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pivotCache/pivotCacheDefinition5.xml" ContentType="application/vnd.openxmlformats-officedocument.spreadsheetml.pivotCacheDefinition+xml"/>
  <Override PartName="/xl/pivotCache/pivotCacheRecords5.xml" ContentType="application/vnd.openxmlformats-officedocument.spreadsheetml.pivotCacheRecords+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tables/table4.xml" ContentType="application/vnd.openxmlformats-officedocument.spreadsheetml.table+xml"/>
  <Override PartName="/xl/comments1.xml" ContentType="application/vnd.openxmlformats-officedocument.spreadsheetml.comments+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pivotTables/pivotTable10.xml" ContentType="application/vnd.openxmlformats-officedocument.spreadsheetml.pivot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pivotTables/pivotTable11.xml" ContentType="application/vnd.openxmlformats-officedocument.spreadsheetml.pivotTable+xml"/>
  <Override PartName="/xl/pivotTables/pivotTable12.xml" ContentType="application/vnd.openxmlformats-officedocument.spreadsheetml.pivotTable+xml"/>
  <Override PartName="/xl/pivotTables/pivotTable13.xml" ContentType="application/vnd.openxmlformats-officedocument.spreadsheetml.pivotTable+xml"/>
  <Override PartName="/xl/pivotTables/pivotTable14.xml" ContentType="application/vnd.openxmlformats-officedocument.spreadsheetml.pivotTable+xml"/>
  <Override PartName="/xl/pivotTables/pivotTable15.xml" ContentType="application/vnd.openxmlformats-officedocument.spreadsheetml.pivotTable+xml"/>
  <Override PartName="/xl/pivotTables/pivotTable16.xml" ContentType="application/vnd.openxmlformats-officedocument.spreadsheetml.pivot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codeName="ThisWorkbook" defaultThemeVersion="166925"/>
  <mc:AlternateContent xmlns:mc="http://schemas.openxmlformats.org/markup-compatibility/2006">
    <mc:Choice Requires="x15">
      <x15ac:absPath xmlns:x15ac="http://schemas.microsoft.com/office/spreadsheetml/2010/11/ac" url="https://unhcr365.sharepoint.com/teams/mena-sdnas-SudanShelterandNFI/Shared Documents/Sudan Shelter and NFI/Shelter and NFI Cluster/HRP 2024/HPC 2025/"/>
    </mc:Choice>
  </mc:AlternateContent>
  <xr:revisionPtr revIDLastSave="323" documentId="8_{10204397-864B-4C4E-90CC-EFB7594AB4C3}" xr6:coauthVersionLast="47" xr6:coauthVersionMax="47" xr10:uidLastSave="{0D71AED3-A309-4114-BE5A-505A5E44600C}"/>
  <bookViews>
    <workbookView xWindow="-120" yWindow="-120" windowWidth="29040" windowHeight="15720" tabRatio="546" firstSheet="5" activeTab="5" xr2:uid="{D7B6F9FA-E942-409C-A119-37236683EDB5}"/>
  </bookViews>
  <sheets>
    <sheet name="Thresholds" sheetId="44" state="hidden" r:id="rId1"/>
    <sheet name="Contributing_Factor_Indicators" sheetId="107" state="hidden" r:id="rId2"/>
    <sheet name="Sheet3" sheetId="110" state="hidden" r:id="rId3"/>
    <sheet name="PiN by cluster" sheetId="112" state="hidden" r:id="rId4"/>
    <sheet name="Sheet4" sheetId="114" state="hidden" r:id="rId5"/>
    <sheet name="Cluster PIN" sheetId="27" r:id="rId6"/>
    <sheet name="Overall severity &amp; PIN Analysis" sheetId="118" r:id="rId7"/>
    <sheet name="SADD PIN" sheetId="115" state="hidden" r:id="rId8"/>
    <sheet name="Sheet2" sheetId="109" state="hidden" r:id="rId9"/>
    <sheet name="Sheet1" sheetId="108" state="hidden" r:id="rId10"/>
    <sheet name="Sheet5" sheetId="113" state="hidden" r:id="rId11"/>
    <sheet name="High pin" sheetId="122" state="hidden" r:id="rId12"/>
    <sheet name="Analysis" sheetId="121" state="hidden" r:id="rId13"/>
    <sheet name="PIN2025" sheetId="120" state="hidden" r:id="rId14"/>
    <sheet name="PiN Historical Trend" sheetId="92" state="hidden" r:id="rId15"/>
    <sheet name="Cluster Severity" sheetId="93" state="hidden" r:id="rId16"/>
    <sheet name="Sheet6" sheetId="116" state="hidden" r:id="rId17"/>
    <sheet name="Reference Table Indicators" sheetId="94" state="hidden" r:id="rId18"/>
    <sheet name="Summary" sheetId="111" state="hidden" r:id="rId19"/>
  </sheets>
  <externalReferences>
    <externalReference r:id="rId20"/>
  </externalReferences>
  <definedNames>
    <definedName name="_xlnm._FilterDatabase" localSheetId="5" hidden="1">'Cluster PIN'!$H$2:$O$2</definedName>
    <definedName name="_xlnm._FilterDatabase" localSheetId="15" hidden="1">'Cluster Severity'!#REF!</definedName>
    <definedName name="_xlnm._FilterDatabase" localSheetId="11" hidden="1">'High pin'!$A$3:$H$567</definedName>
    <definedName name="_xlnm._FilterDatabase" localSheetId="6" hidden="1">'Overall severity &amp; PIN Analysis'!$E$9:$T$573</definedName>
    <definedName name="_xlnm._FilterDatabase" localSheetId="14" hidden="1">'PiN Historical Trend'!#REF!</definedName>
    <definedName name="_xlnm._FilterDatabase" localSheetId="17" hidden="1">'Reference Table Indicators'!$W$3:$AV$3</definedName>
    <definedName name="flag_pin_historical">Thresholds!$D$19</definedName>
    <definedName name="flag_pin_perc" localSheetId="6">[1]Thresholds!$D$18</definedName>
    <definedName name="flag_pin_perc">Thresholds!$D$18</definedName>
    <definedName name="perc_1st_2nd">Thresholds!$D$15</definedName>
    <definedName name="perc_1st_3rd">Thresholds!$D$16</definedName>
    <definedName name="pin_perc" localSheetId="6">#REF!</definedName>
    <definedName name="pin_perc">#REF!</definedName>
    <definedName name="sectors_sev_4">Thresholds!$D$35</definedName>
    <definedName name="sectors_sev_5" localSheetId="6">[1]Thresholds!$D$34</definedName>
    <definedName name="sectors_sev_5">Thresholds!$D$34</definedName>
    <definedName name="table1_cols">#REF!</definedName>
    <definedName name="table1_rows">#REF!</definedName>
    <definedName name="table11">#REF!</definedName>
    <definedName name="table2">#REF!</definedName>
    <definedName name="table2_cols">#REF!</definedName>
    <definedName name="table2_rows">#REF!</definedName>
    <definedName name="table3">#REF!</definedName>
    <definedName name="table3_cols">#REF!</definedName>
    <definedName name="table3_rows">#REF!</definedName>
    <definedName name="table33">#REF!</definedName>
    <definedName name="zero_pin_thresh">Thresholds!$D$14</definedName>
  </definedNames>
  <calcPr calcId="191028"/>
  <pivotCaches>
    <pivotCache cacheId="72" r:id="rId21"/>
    <pivotCache cacheId="73" r:id="rId22"/>
    <pivotCache cacheId="74" r:id="rId23"/>
    <pivotCache cacheId="75" r:id="rId24"/>
    <pivotCache cacheId="76" r:id="rId25"/>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4" i="115" l="1"/>
  <c r="G4" i="115"/>
  <c r="F5" i="115"/>
  <c r="G5" i="115"/>
  <c r="F6" i="115"/>
  <c r="G6" i="115"/>
  <c r="F7" i="115"/>
  <c r="G7" i="115"/>
  <c r="F8" i="115"/>
  <c r="G8" i="115"/>
  <c r="F9" i="115"/>
  <c r="G9" i="115"/>
  <c r="F10" i="115"/>
  <c r="G10" i="115"/>
  <c r="F11" i="115"/>
  <c r="G11" i="115"/>
  <c r="F12" i="115"/>
  <c r="G12" i="115"/>
  <c r="F13" i="115"/>
  <c r="G13" i="115"/>
  <c r="F14" i="115"/>
  <c r="G14" i="115"/>
  <c r="F15" i="115"/>
  <c r="G15" i="115"/>
  <c r="F16" i="115"/>
  <c r="G16" i="115"/>
  <c r="F17" i="115"/>
  <c r="G17" i="115"/>
  <c r="F18" i="115"/>
  <c r="G18" i="115"/>
  <c r="F19" i="115"/>
  <c r="G19" i="115"/>
  <c r="F20" i="115"/>
  <c r="G20" i="115"/>
  <c r="F21" i="115"/>
  <c r="G21" i="115"/>
  <c r="F22" i="115"/>
  <c r="G22" i="115"/>
  <c r="F23" i="115"/>
  <c r="G23" i="115"/>
  <c r="F24" i="115"/>
  <c r="G24" i="115"/>
  <c r="F25" i="115"/>
  <c r="G25" i="115"/>
  <c r="F26" i="115"/>
  <c r="G26" i="115"/>
  <c r="F27" i="115"/>
  <c r="G27" i="115"/>
  <c r="F28" i="115"/>
  <c r="G28" i="115"/>
  <c r="F29" i="115"/>
  <c r="G29" i="115"/>
  <c r="F30" i="115"/>
  <c r="G30" i="115"/>
  <c r="F31" i="115"/>
  <c r="G31" i="115"/>
  <c r="F32" i="115"/>
  <c r="G32" i="115"/>
  <c r="F33" i="115"/>
  <c r="G33" i="115"/>
  <c r="F34" i="115"/>
  <c r="G34" i="115"/>
  <c r="F35" i="115"/>
  <c r="G35" i="115"/>
  <c r="F36" i="115"/>
  <c r="G36" i="115"/>
  <c r="F37" i="115"/>
  <c r="G37" i="115"/>
  <c r="F38" i="115"/>
  <c r="G38" i="115"/>
  <c r="F39" i="115"/>
  <c r="G39" i="115"/>
  <c r="F40" i="115"/>
  <c r="G40" i="115"/>
  <c r="F41" i="115"/>
  <c r="G41" i="115"/>
  <c r="F42" i="115"/>
  <c r="G42" i="115"/>
  <c r="F43" i="115"/>
  <c r="G43" i="115"/>
  <c r="F44" i="115"/>
  <c r="G44" i="115"/>
  <c r="F45" i="115"/>
  <c r="G45" i="115"/>
  <c r="F46" i="115"/>
  <c r="G46" i="115"/>
  <c r="F47" i="115"/>
  <c r="G47" i="115"/>
  <c r="F48" i="115"/>
  <c r="G48" i="115"/>
  <c r="F49" i="115"/>
  <c r="G49" i="115"/>
  <c r="F50" i="115"/>
  <c r="G50" i="115"/>
  <c r="F51" i="115"/>
  <c r="G51" i="115"/>
  <c r="F52" i="115"/>
  <c r="G52" i="115"/>
  <c r="F53" i="115"/>
  <c r="G53" i="115"/>
  <c r="F54" i="115"/>
  <c r="G54" i="115"/>
  <c r="F55" i="115"/>
  <c r="G55" i="115"/>
  <c r="F56" i="115"/>
  <c r="G56" i="115"/>
  <c r="F57" i="115"/>
  <c r="G57" i="115"/>
  <c r="F58" i="115"/>
  <c r="G58" i="115"/>
  <c r="F59" i="115"/>
  <c r="G59" i="115"/>
  <c r="F60" i="115"/>
  <c r="G60" i="115"/>
  <c r="F61" i="115"/>
  <c r="G61" i="115"/>
  <c r="F62" i="115"/>
  <c r="G62" i="115"/>
  <c r="F63" i="115"/>
  <c r="G63" i="115"/>
  <c r="F64" i="115"/>
  <c r="G64" i="115"/>
  <c r="F65" i="115"/>
  <c r="G65" i="115"/>
  <c r="F66" i="115"/>
  <c r="G66" i="115"/>
  <c r="F67" i="115"/>
  <c r="G67" i="115"/>
  <c r="F68" i="115"/>
  <c r="G68" i="115"/>
  <c r="F69" i="115"/>
  <c r="G69" i="115"/>
  <c r="F70" i="115"/>
  <c r="G70" i="115"/>
  <c r="F71" i="115"/>
  <c r="G71" i="115"/>
  <c r="F72" i="115"/>
  <c r="G72" i="115"/>
  <c r="F73" i="115"/>
  <c r="G73" i="115"/>
  <c r="F74" i="115"/>
  <c r="G74" i="115"/>
  <c r="F75" i="115"/>
  <c r="G75" i="115"/>
  <c r="F76" i="115"/>
  <c r="G76" i="115"/>
  <c r="F77" i="115"/>
  <c r="G77" i="115"/>
  <c r="F78" i="115"/>
  <c r="G78" i="115"/>
  <c r="F79" i="115"/>
  <c r="G79" i="115"/>
  <c r="F80" i="115"/>
  <c r="G80" i="115"/>
  <c r="F81" i="115"/>
  <c r="G81" i="115"/>
  <c r="F82" i="115"/>
  <c r="G82" i="115"/>
  <c r="F83" i="115"/>
  <c r="G83" i="115"/>
  <c r="F84" i="115"/>
  <c r="G84" i="115"/>
  <c r="F85" i="115"/>
  <c r="G85" i="115"/>
  <c r="F86" i="115"/>
  <c r="G86" i="115"/>
  <c r="F87" i="115"/>
  <c r="G87" i="115"/>
  <c r="F88" i="115"/>
  <c r="G88" i="115"/>
  <c r="F89" i="115"/>
  <c r="G89" i="115"/>
  <c r="F90" i="115"/>
  <c r="G90" i="115"/>
  <c r="F91" i="115"/>
  <c r="G91" i="115"/>
  <c r="F92" i="115"/>
  <c r="G92" i="115"/>
  <c r="F93" i="115"/>
  <c r="G93" i="115"/>
  <c r="F94" i="115"/>
  <c r="G94" i="115"/>
  <c r="F95" i="115"/>
  <c r="G95" i="115"/>
  <c r="F96" i="115"/>
  <c r="G96" i="115"/>
  <c r="F97" i="115"/>
  <c r="G97" i="115"/>
  <c r="F98" i="115"/>
  <c r="G98" i="115"/>
  <c r="F99" i="115"/>
  <c r="G99" i="115"/>
  <c r="F100" i="115"/>
  <c r="G100" i="115"/>
  <c r="F101" i="115"/>
  <c r="G101" i="115"/>
  <c r="F102" i="115"/>
  <c r="G102" i="115"/>
  <c r="F103" i="115"/>
  <c r="G103" i="115"/>
  <c r="F104" i="115"/>
  <c r="G104" i="115"/>
  <c r="F105" i="115"/>
  <c r="G105" i="115"/>
  <c r="F106" i="115"/>
  <c r="G106" i="115"/>
  <c r="F107" i="115"/>
  <c r="G107" i="115"/>
  <c r="F108" i="115"/>
  <c r="G108" i="115"/>
  <c r="F109" i="115"/>
  <c r="G109" i="115"/>
  <c r="F110" i="115"/>
  <c r="G110" i="115"/>
  <c r="F111" i="115"/>
  <c r="G111" i="115"/>
  <c r="F112" i="115"/>
  <c r="G112" i="115"/>
  <c r="F113" i="115"/>
  <c r="G113" i="115"/>
  <c r="F114" i="115"/>
  <c r="G114" i="115"/>
  <c r="F115" i="115"/>
  <c r="G115" i="115"/>
  <c r="F116" i="115"/>
  <c r="G116" i="115"/>
  <c r="F117" i="115"/>
  <c r="G117" i="115"/>
  <c r="F118" i="115"/>
  <c r="G118" i="115"/>
  <c r="F119" i="115"/>
  <c r="G119" i="115"/>
  <c r="F120" i="115"/>
  <c r="G120" i="115"/>
  <c r="F121" i="115"/>
  <c r="G121" i="115"/>
  <c r="F122" i="115"/>
  <c r="G122" i="115"/>
  <c r="F123" i="115"/>
  <c r="G123" i="115"/>
  <c r="F124" i="115"/>
  <c r="G124" i="115"/>
  <c r="F125" i="115"/>
  <c r="G125" i="115"/>
  <c r="F126" i="115"/>
  <c r="G126" i="115"/>
  <c r="F127" i="115"/>
  <c r="G127" i="115"/>
  <c r="F128" i="115"/>
  <c r="G128" i="115"/>
  <c r="F129" i="115"/>
  <c r="G129" i="115"/>
  <c r="F130" i="115"/>
  <c r="G130" i="115"/>
  <c r="F131" i="115"/>
  <c r="G131" i="115"/>
  <c r="F132" i="115"/>
  <c r="G132" i="115"/>
  <c r="F133" i="115"/>
  <c r="G133" i="115"/>
  <c r="F134" i="115"/>
  <c r="G134" i="115"/>
  <c r="F135" i="115"/>
  <c r="G135" i="115"/>
  <c r="F136" i="115"/>
  <c r="G136" i="115"/>
  <c r="F137" i="115"/>
  <c r="G137" i="115"/>
  <c r="F138" i="115"/>
  <c r="G138" i="115"/>
  <c r="F139" i="115"/>
  <c r="G139" i="115"/>
  <c r="F140" i="115"/>
  <c r="G140" i="115"/>
  <c r="F141" i="115"/>
  <c r="G141" i="115"/>
  <c r="F142" i="115"/>
  <c r="G142" i="115"/>
  <c r="F143" i="115"/>
  <c r="G143" i="115"/>
  <c r="F144" i="115"/>
  <c r="G144" i="115"/>
  <c r="F145" i="115"/>
  <c r="G145" i="115"/>
  <c r="F146" i="115"/>
  <c r="G146" i="115"/>
  <c r="F147" i="115"/>
  <c r="G147" i="115"/>
  <c r="F148" i="115"/>
  <c r="G148" i="115"/>
  <c r="F149" i="115"/>
  <c r="G149" i="115"/>
  <c r="F150" i="115"/>
  <c r="G150" i="115"/>
  <c r="F151" i="115"/>
  <c r="G151" i="115"/>
  <c r="F152" i="115"/>
  <c r="G152" i="115"/>
  <c r="F153" i="115"/>
  <c r="G153" i="115"/>
  <c r="F154" i="115"/>
  <c r="G154" i="115"/>
  <c r="F155" i="115"/>
  <c r="G155" i="115"/>
  <c r="F156" i="115"/>
  <c r="G156" i="115"/>
  <c r="F157" i="115"/>
  <c r="G157" i="115"/>
  <c r="F158" i="115"/>
  <c r="G158" i="115"/>
  <c r="F159" i="115"/>
  <c r="G159" i="115"/>
  <c r="F160" i="115"/>
  <c r="G160" i="115"/>
  <c r="F161" i="115"/>
  <c r="G161" i="115"/>
  <c r="F162" i="115"/>
  <c r="G162" i="115"/>
  <c r="F163" i="115"/>
  <c r="G163" i="115"/>
  <c r="F164" i="115"/>
  <c r="G164" i="115"/>
  <c r="F165" i="115"/>
  <c r="G165" i="115"/>
  <c r="F166" i="115"/>
  <c r="G166" i="115"/>
  <c r="F167" i="115"/>
  <c r="G167" i="115"/>
  <c r="F168" i="115"/>
  <c r="G168" i="115"/>
  <c r="F169" i="115"/>
  <c r="G169" i="115"/>
  <c r="F170" i="115"/>
  <c r="G170" i="115"/>
  <c r="F171" i="115"/>
  <c r="G171" i="115"/>
  <c r="F172" i="115"/>
  <c r="G172" i="115"/>
  <c r="F173" i="115"/>
  <c r="G173" i="115"/>
  <c r="F174" i="115"/>
  <c r="G174" i="115"/>
  <c r="F175" i="115"/>
  <c r="G175" i="115"/>
  <c r="F176" i="115"/>
  <c r="G176" i="115"/>
  <c r="F177" i="115"/>
  <c r="G177" i="115"/>
  <c r="F178" i="115"/>
  <c r="G178" i="115"/>
  <c r="F179" i="115"/>
  <c r="G179" i="115"/>
  <c r="F180" i="115"/>
  <c r="G180" i="115"/>
  <c r="F181" i="115"/>
  <c r="G181" i="115"/>
  <c r="F182" i="115"/>
  <c r="G182" i="115"/>
  <c r="F183" i="115"/>
  <c r="G183" i="115"/>
  <c r="F184" i="115"/>
  <c r="G184" i="115"/>
  <c r="F185" i="115"/>
  <c r="G185" i="115"/>
  <c r="F186" i="115"/>
  <c r="G186" i="115"/>
  <c r="F187" i="115"/>
  <c r="G187" i="115"/>
  <c r="F188" i="115"/>
  <c r="G188" i="115"/>
  <c r="F189" i="115"/>
  <c r="G189" i="115"/>
  <c r="F190" i="115"/>
  <c r="G190" i="115"/>
  <c r="G3" i="115"/>
  <c r="F3" i="115"/>
  <c r="P10" i="118"/>
  <c r="P11" i="118"/>
  <c r="P12" i="118"/>
  <c r="P13" i="118"/>
  <c r="P14" i="118"/>
  <c r="P15" i="118"/>
  <c r="P16" i="118"/>
  <c r="P17" i="118"/>
  <c r="P18" i="118"/>
  <c r="P19" i="118"/>
  <c r="P20" i="118"/>
  <c r="P21" i="118"/>
  <c r="P22" i="118"/>
  <c r="P23" i="118"/>
  <c r="P24" i="118"/>
  <c r="P25" i="118"/>
  <c r="P26" i="118"/>
  <c r="P27" i="118"/>
  <c r="P28" i="118"/>
  <c r="P29" i="118"/>
  <c r="P30" i="118"/>
  <c r="P31" i="118"/>
  <c r="P32" i="118"/>
  <c r="P33" i="118"/>
  <c r="P34" i="118"/>
  <c r="P35" i="118"/>
  <c r="P36" i="118"/>
  <c r="P37" i="118"/>
  <c r="P38" i="118"/>
  <c r="P39" i="118"/>
  <c r="P40" i="118"/>
  <c r="P41" i="118"/>
  <c r="P42" i="118"/>
  <c r="P43" i="118"/>
  <c r="P44" i="118"/>
  <c r="P45" i="118"/>
  <c r="P46" i="118"/>
  <c r="P47" i="118"/>
  <c r="P48" i="118"/>
  <c r="P49" i="118"/>
  <c r="P50" i="118"/>
  <c r="P51" i="118"/>
  <c r="P52" i="118"/>
  <c r="P53" i="118"/>
  <c r="P54" i="118"/>
  <c r="P55" i="118"/>
  <c r="P56" i="118"/>
  <c r="P57" i="118"/>
  <c r="P58" i="118"/>
  <c r="P59" i="118"/>
  <c r="P60" i="118"/>
  <c r="P61" i="118"/>
  <c r="P62" i="118"/>
  <c r="P63" i="118"/>
  <c r="P64" i="118"/>
  <c r="P65" i="118"/>
  <c r="P66" i="118"/>
  <c r="P67" i="118"/>
  <c r="P68" i="118"/>
  <c r="P69" i="118"/>
  <c r="P70" i="118"/>
  <c r="P71" i="118"/>
  <c r="P72" i="118"/>
  <c r="P73" i="118"/>
  <c r="P74" i="118"/>
  <c r="P75" i="118"/>
  <c r="P76" i="118"/>
  <c r="P77" i="118"/>
  <c r="P78" i="118"/>
  <c r="P79" i="118"/>
  <c r="P80" i="118"/>
  <c r="P81" i="118"/>
  <c r="P82" i="118"/>
  <c r="P83" i="118"/>
  <c r="P84" i="118"/>
  <c r="P85" i="118"/>
  <c r="P86" i="118"/>
  <c r="P87" i="118"/>
  <c r="P88" i="118"/>
  <c r="P89" i="118"/>
  <c r="P90" i="118"/>
  <c r="P91" i="118"/>
  <c r="P92" i="118"/>
  <c r="P93" i="118"/>
  <c r="P94" i="118"/>
  <c r="P95" i="118"/>
  <c r="P96" i="118"/>
  <c r="P97" i="118"/>
  <c r="P98" i="118"/>
  <c r="P99" i="118"/>
  <c r="P100" i="118"/>
  <c r="P101" i="118"/>
  <c r="P102" i="118"/>
  <c r="P103" i="118"/>
  <c r="P104" i="118"/>
  <c r="P105" i="118"/>
  <c r="P106" i="118"/>
  <c r="P107" i="118"/>
  <c r="P108" i="118"/>
  <c r="P109" i="118"/>
  <c r="P110" i="118"/>
  <c r="P111" i="118"/>
  <c r="P112" i="118"/>
  <c r="P113" i="118"/>
  <c r="P114" i="118"/>
  <c r="P115" i="118"/>
  <c r="P116" i="118"/>
  <c r="P117" i="118"/>
  <c r="P118" i="118"/>
  <c r="P119" i="118"/>
  <c r="P120" i="118"/>
  <c r="P121" i="118"/>
  <c r="P122" i="118"/>
  <c r="P123" i="118"/>
  <c r="P124" i="118"/>
  <c r="P125" i="118"/>
  <c r="P126" i="118"/>
  <c r="P127" i="118"/>
  <c r="P128" i="118"/>
  <c r="P129" i="118"/>
  <c r="P130" i="118"/>
  <c r="P131" i="118"/>
  <c r="P132" i="118"/>
  <c r="P133" i="118"/>
  <c r="P134" i="118"/>
  <c r="P135" i="118"/>
  <c r="P136" i="118"/>
  <c r="P137" i="118"/>
  <c r="P138" i="118"/>
  <c r="P139" i="118"/>
  <c r="P140" i="118"/>
  <c r="P141" i="118"/>
  <c r="P142" i="118"/>
  <c r="P143" i="118"/>
  <c r="P144" i="118"/>
  <c r="P145" i="118"/>
  <c r="P146" i="118"/>
  <c r="P147" i="118"/>
  <c r="P148" i="118"/>
  <c r="P149" i="118"/>
  <c r="P150" i="118"/>
  <c r="P151" i="118"/>
  <c r="P152" i="118"/>
  <c r="P153" i="118"/>
  <c r="P154" i="118"/>
  <c r="P155" i="118"/>
  <c r="P156" i="118"/>
  <c r="P157" i="118"/>
  <c r="P158" i="118"/>
  <c r="P159" i="118"/>
  <c r="P160" i="118"/>
  <c r="P161" i="118"/>
  <c r="P162" i="118"/>
  <c r="P163" i="118"/>
  <c r="P164" i="118"/>
  <c r="P165" i="118"/>
  <c r="P166" i="118"/>
  <c r="P167" i="118"/>
  <c r="P168" i="118"/>
  <c r="P169" i="118"/>
  <c r="P170" i="118"/>
  <c r="P171" i="118"/>
  <c r="P172" i="118"/>
  <c r="P173" i="118"/>
  <c r="P174" i="118"/>
  <c r="P175" i="118"/>
  <c r="P176" i="118"/>
  <c r="P177" i="118"/>
  <c r="P178" i="118"/>
  <c r="P179" i="118"/>
  <c r="P180" i="118"/>
  <c r="P181" i="118"/>
  <c r="P182" i="118"/>
  <c r="P183" i="118"/>
  <c r="P184" i="118"/>
  <c r="P185" i="118"/>
  <c r="P186" i="118"/>
  <c r="P187" i="118"/>
  <c r="P188" i="118"/>
  <c r="P189" i="118"/>
  <c r="P190" i="118"/>
  <c r="P191" i="118"/>
  <c r="P192" i="118"/>
  <c r="P193" i="118"/>
  <c r="P194" i="118"/>
  <c r="P195" i="118"/>
  <c r="P196" i="118"/>
  <c r="P197" i="118"/>
  <c r="P198" i="118"/>
  <c r="P199" i="118"/>
  <c r="P200" i="118"/>
  <c r="P201" i="118"/>
  <c r="P202" i="118"/>
  <c r="P203" i="118"/>
  <c r="P204" i="118"/>
  <c r="P205" i="118"/>
  <c r="P206" i="118"/>
  <c r="P207" i="118"/>
  <c r="P208" i="118"/>
  <c r="P209" i="118"/>
  <c r="P210" i="118"/>
  <c r="P211" i="118"/>
  <c r="P212" i="118"/>
  <c r="P213" i="118"/>
  <c r="P214" i="118"/>
  <c r="P215" i="118"/>
  <c r="P216" i="118"/>
  <c r="P217" i="118"/>
  <c r="P218" i="118"/>
  <c r="P219" i="118"/>
  <c r="P220" i="118"/>
  <c r="P221" i="118"/>
  <c r="P222" i="118"/>
  <c r="P223" i="118"/>
  <c r="P224" i="118"/>
  <c r="P225" i="118"/>
  <c r="P226" i="118"/>
  <c r="P227" i="118"/>
  <c r="P228" i="118"/>
  <c r="P229" i="118"/>
  <c r="P230" i="118"/>
  <c r="P231" i="118"/>
  <c r="P232" i="118"/>
  <c r="P233" i="118"/>
  <c r="P234" i="118"/>
  <c r="P235" i="118"/>
  <c r="P236" i="118"/>
  <c r="P237" i="118"/>
  <c r="P238" i="118"/>
  <c r="P239" i="118"/>
  <c r="P240" i="118"/>
  <c r="P241" i="118"/>
  <c r="P242" i="118"/>
  <c r="P243" i="118"/>
  <c r="P244" i="118"/>
  <c r="P245" i="118"/>
  <c r="P246" i="118"/>
  <c r="P247" i="118"/>
  <c r="P248" i="118"/>
  <c r="P249" i="118"/>
  <c r="P250" i="118"/>
  <c r="P251" i="118"/>
  <c r="P252" i="118"/>
  <c r="P253" i="118"/>
  <c r="P254" i="118"/>
  <c r="P255" i="118"/>
  <c r="P256" i="118"/>
  <c r="P257" i="118"/>
  <c r="P258" i="118"/>
  <c r="P259" i="118"/>
  <c r="P260" i="118"/>
  <c r="P261" i="118"/>
  <c r="P262" i="118"/>
  <c r="P263" i="118"/>
  <c r="P264" i="118"/>
  <c r="P265" i="118"/>
  <c r="P266" i="118"/>
  <c r="P267" i="118"/>
  <c r="P268" i="118"/>
  <c r="P269" i="118"/>
  <c r="P270" i="118"/>
  <c r="P271" i="118"/>
  <c r="P272" i="118"/>
  <c r="P273" i="118"/>
  <c r="P274" i="118"/>
  <c r="P275" i="118"/>
  <c r="P276" i="118"/>
  <c r="P277" i="118"/>
  <c r="P278" i="118"/>
  <c r="P279" i="118"/>
  <c r="P280" i="118"/>
  <c r="P281" i="118"/>
  <c r="P282" i="118"/>
  <c r="P283" i="118"/>
  <c r="P284" i="118"/>
  <c r="P285" i="118"/>
  <c r="P286" i="118"/>
  <c r="P287" i="118"/>
  <c r="P288" i="118"/>
  <c r="P289" i="118"/>
  <c r="P290" i="118"/>
  <c r="P291" i="118"/>
  <c r="P292" i="118"/>
  <c r="P293" i="118"/>
  <c r="P294" i="118"/>
  <c r="P295" i="118"/>
  <c r="P296" i="118"/>
  <c r="P297" i="118"/>
  <c r="P298" i="118"/>
  <c r="P299" i="118"/>
  <c r="P300" i="118"/>
  <c r="P301" i="118"/>
  <c r="P302" i="118"/>
  <c r="P303" i="118"/>
  <c r="P304" i="118"/>
  <c r="P305" i="118"/>
  <c r="P306" i="118"/>
  <c r="P307" i="118"/>
  <c r="P308" i="118"/>
  <c r="P309" i="118"/>
  <c r="P310" i="118"/>
  <c r="P311" i="118"/>
  <c r="P312" i="118"/>
  <c r="P313" i="118"/>
  <c r="P314" i="118"/>
  <c r="P315" i="118"/>
  <c r="P316" i="118"/>
  <c r="P317" i="118"/>
  <c r="P318" i="118"/>
  <c r="P319" i="118"/>
  <c r="P320" i="118"/>
  <c r="P321" i="118"/>
  <c r="P322" i="118"/>
  <c r="P323" i="118"/>
  <c r="P324" i="118"/>
  <c r="P325" i="118"/>
  <c r="P326" i="118"/>
  <c r="P327" i="118"/>
  <c r="P328" i="118"/>
  <c r="P329" i="118"/>
  <c r="P330" i="118"/>
  <c r="P331" i="118"/>
  <c r="P332" i="118"/>
  <c r="P333" i="118"/>
  <c r="P334" i="118"/>
  <c r="P335" i="118"/>
  <c r="P336" i="118"/>
  <c r="P337" i="118"/>
  <c r="P338" i="118"/>
  <c r="P339" i="118"/>
  <c r="P340" i="118"/>
  <c r="P341" i="118"/>
  <c r="P342" i="118"/>
  <c r="P343" i="118"/>
  <c r="P344" i="118"/>
  <c r="P345" i="118"/>
  <c r="P346" i="118"/>
  <c r="P347" i="118"/>
  <c r="P348" i="118"/>
  <c r="P349" i="118"/>
  <c r="P350" i="118"/>
  <c r="P351" i="118"/>
  <c r="P352" i="118"/>
  <c r="P353" i="118"/>
  <c r="P354" i="118"/>
  <c r="P355" i="118"/>
  <c r="P356" i="118"/>
  <c r="P357" i="118"/>
  <c r="P358" i="118"/>
  <c r="P359" i="118"/>
  <c r="P360" i="118"/>
  <c r="P361" i="118"/>
  <c r="P362" i="118"/>
  <c r="P363" i="118"/>
  <c r="P364" i="118"/>
  <c r="P365" i="118"/>
  <c r="P366" i="118"/>
  <c r="P367" i="118"/>
  <c r="P368" i="118"/>
  <c r="P369" i="118"/>
  <c r="P370" i="118"/>
  <c r="P371" i="118"/>
  <c r="P372" i="118"/>
  <c r="P373" i="118"/>
  <c r="P374" i="118"/>
  <c r="P375" i="118"/>
  <c r="P376" i="118"/>
  <c r="P377" i="118"/>
  <c r="P378" i="118"/>
  <c r="P379" i="118"/>
  <c r="P380" i="118"/>
  <c r="P381" i="118"/>
  <c r="P382" i="118"/>
  <c r="P383" i="118"/>
  <c r="P384" i="118"/>
  <c r="P385" i="118"/>
  <c r="P386" i="118"/>
  <c r="P387" i="118"/>
  <c r="P388" i="118"/>
  <c r="P389" i="118"/>
  <c r="P390" i="118"/>
  <c r="P391" i="118"/>
  <c r="P392" i="118"/>
  <c r="P393" i="118"/>
  <c r="P394" i="118"/>
  <c r="P395" i="118"/>
  <c r="P396" i="118"/>
  <c r="P397" i="118"/>
  <c r="P398" i="118"/>
  <c r="P399" i="118"/>
  <c r="P400" i="118"/>
  <c r="P401" i="118"/>
  <c r="P402" i="118"/>
  <c r="P403" i="118"/>
  <c r="P404" i="118"/>
  <c r="P405" i="118"/>
  <c r="P406" i="118"/>
  <c r="P407" i="118"/>
  <c r="P408" i="118"/>
  <c r="P409" i="118"/>
  <c r="P410" i="118"/>
  <c r="P411" i="118"/>
  <c r="P412" i="118"/>
  <c r="P413" i="118"/>
  <c r="P414" i="118"/>
  <c r="P415" i="118"/>
  <c r="P416" i="118"/>
  <c r="P417" i="118"/>
  <c r="P418" i="118"/>
  <c r="P419" i="118"/>
  <c r="P420" i="118"/>
  <c r="P421" i="118"/>
  <c r="P422" i="118"/>
  <c r="P423" i="118"/>
  <c r="P424" i="118"/>
  <c r="P425" i="118"/>
  <c r="P426" i="118"/>
  <c r="P427" i="118"/>
  <c r="P428" i="118"/>
  <c r="P429" i="118"/>
  <c r="P430" i="118"/>
  <c r="P431" i="118"/>
  <c r="P432" i="118"/>
  <c r="P433" i="118"/>
  <c r="P434" i="118"/>
  <c r="P435" i="118"/>
  <c r="P436" i="118"/>
  <c r="P437" i="118"/>
  <c r="P438" i="118"/>
  <c r="P439" i="118"/>
  <c r="P440" i="118"/>
  <c r="P441" i="118"/>
  <c r="P442" i="118"/>
  <c r="P443" i="118"/>
  <c r="P444" i="118"/>
  <c r="P445" i="118"/>
  <c r="P446" i="118"/>
  <c r="P447" i="118"/>
  <c r="P448" i="118"/>
  <c r="P449" i="118"/>
  <c r="P450" i="118"/>
  <c r="P451" i="118"/>
  <c r="P452" i="118"/>
  <c r="P453" i="118"/>
  <c r="P454" i="118"/>
  <c r="P455" i="118"/>
  <c r="P456" i="118"/>
  <c r="P457" i="118"/>
  <c r="P458" i="118"/>
  <c r="P459" i="118"/>
  <c r="P460" i="118"/>
  <c r="P461" i="118"/>
  <c r="P462" i="118"/>
  <c r="P463" i="118"/>
  <c r="P464" i="118"/>
  <c r="P465" i="118"/>
  <c r="P466" i="118"/>
  <c r="P467" i="118"/>
  <c r="P468" i="118"/>
  <c r="P469" i="118"/>
  <c r="P470" i="118"/>
  <c r="P471" i="118"/>
  <c r="P472" i="118"/>
  <c r="P473" i="118"/>
  <c r="P474" i="118"/>
  <c r="P475" i="118"/>
  <c r="P476" i="118"/>
  <c r="P477" i="118"/>
  <c r="P478" i="118"/>
  <c r="P479" i="118"/>
  <c r="P480" i="118"/>
  <c r="P481" i="118"/>
  <c r="P482" i="118"/>
  <c r="P483" i="118"/>
  <c r="P484" i="118"/>
  <c r="P485" i="118"/>
  <c r="P486" i="118"/>
  <c r="P487" i="118"/>
  <c r="P488" i="118"/>
  <c r="P489" i="118"/>
  <c r="P490" i="118"/>
  <c r="P491" i="118"/>
  <c r="P492" i="118"/>
  <c r="P493" i="118"/>
  <c r="P494" i="118"/>
  <c r="P495" i="118"/>
  <c r="P496" i="118"/>
  <c r="P497" i="118"/>
  <c r="P498" i="118"/>
  <c r="P499" i="118"/>
  <c r="P500" i="118"/>
  <c r="P501" i="118"/>
  <c r="P502" i="118"/>
  <c r="P503" i="118"/>
  <c r="P504" i="118"/>
  <c r="P505" i="118"/>
  <c r="P506" i="118"/>
  <c r="P507" i="118"/>
  <c r="P508" i="118"/>
  <c r="P509" i="118"/>
  <c r="P510" i="118"/>
  <c r="P511" i="118"/>
  <c r="P512" i="118"/>
  <c r="P513" i="118"/>
  <c r="P514" i="118"/>
  <c r="P515" i="118"/>
  <c r="P516" i="118"/>
  <c r="P517" i="118"/>
  <c r="P518" i="118"/>
  <c r="P519" i="118"/>
  <c r="P520" i="118"/>
  <c r="P521" i="118"/>
  <c r="P522" i="118"/>
  <c r="P523" i="118"/>
  <c r="P524" i="118"/>
  <c r="P525" i="118"/>
  <c r="P526" i="118"/>
  <c r="P527" i="118"/>
  <c r="P528" i="118"/>
  <c r="P529" i="118"/>
  <c r="P530" i="118"/>
  <c r="P531" i="118"/>
  <c r="P532" i="118"/>
  <c r="P533" i="118"/>
  <c r="P534" i="118"/>
  <c r="P535" i="118"/>
  <c r="P536" i="118"/>
  <c r="P537" i="118"/>
  <c r="P538" i="118"/>
  <c r="P539" i="118"/>
  <c r="P540" i="118"/>
  <c r="P541" i="118"/>
  <c r="P542" i="118"/>
  <c r="P543" i="118"/>
  <c r="P544" i="118"/>
  <c r="P545" i="118"/>
  <c r="P546" i="118"/>
  <c r="P547" i="118"/>
  <c r="P548" i="118"/>
  <c r="P549" i="118"/>
  <c r="P550" i="118"/>
  <c r="P551" i="118"/>
  <c r="P552" i="118"/>
  <c r="P553" i="118"/>
  <c r="P554" i="118"/>
  <c r="P555" i="118"/>
  <c r="P556" i="118"/>
  <c r="P557" i="118"/>
  <c r="P558" i="118"/>
  <c r="P559" i="118"/>
  <c r="P560" i="118"/>
  <c r="P561" i="118"/>
  <c r="P562" i="118"/>
  <c r="P563" i="118"/>
  <c r="P564" i="118"/>
  <c r="P565" i="118"/>
  <c r="P566" i="118"/>
  <c r="P567" i="118"/>
  <c r="P568" i="118"/>
  <c r="P569" i="118"/>
  <c r="P570" i="118"/>
  <c r="P571" i="118"/>
  <c r="P572" i="118"/>
  <c r="P573" i="118"/>
  <c r="H517" i="122" l="1"/>
  <c r="H148" i="122"/>
  <c r="H162" i="122"/>
  <c r="H73" i="122"/>
  <c r="H478" i="122"/>
  <c r="H58" i="122"/>
  <c r="H48" i="122"/>
  <c r="H49" i="122"/>
  <c r="H59" i="122"/>
  <c r="H461" i="122"/>
  <c r="H468" i="122"/>
  <c r="H24" i="122"/>
  <c r="H518" i="122"/>
  <c r="H149" i="122"/>
  <c r="H452" i="122"/>
  <c r="H71" i="122"/>
  <c r="H161" i="122"/>
  <c r="H516" i="122"/>
  <c r="H72" i="122"/>
  <c r="H74" i="122"/>
  <c r="H175" i="122"/>
  <c r="H524" i="122"/>
  <c r="H456" i="122"/>
  <c r="H31" i="122"/>
  <c r="H529" i="122"/>
  <c r="H360" i="122"/>
  <c r="H126" i="122"/>
  <c r="H127" i="122"/>
  <c r="H470" i="122"/>
  <c r="H17" i="122"/>
  <c r="H16" i="122"/>
  <c r="H537" i="122"/>
  <c r="H523" i="122"/>
  <c r="H176" i="122"/>
  <c r="H538" i="122"/>
  <c r="H178" i="122"/>
  <c r="H530" i="122"/>
  <c r="H154" i="122"/>
  <c r="H533" i="122"/>
  <c r="H534" i="122"/>
  <c r="H361" i="122"/>
  <c r="H522" i="122"/>
  <c r="H138" i="122"/>
  <c r="H532" i="122"/>
  <c r="H177" i="122"/>
  <c r="H422" i="122"/>
  <c r="H242" i="122"/>
  <c r="H469" i="122"/>
  <c r="H329" i="122"/>
  <c r="H54" i="122"/>
  <c r="H526" i="122"/>
  <c r="H527" i="122"/>
  <c r="H164" i="122"/>
  <c r="H230" i="122"/>
  <c r="H229" i="122"/>
  <c r="H535" i="122"/>
  <c r="H100" i="122"/>
  <c r="H528" i="122"/>
  <c r="H163" i="122"/>
  <c r="H531" i="122"/>
  <c r="H199" i="122"/>
  <c r="H155" i="122"/>
  <c r="H228" i="122"/>
  <c r="H525" i="122"/>
  <c r="H243" i="122"/>
  <c r="H53" i="122"/>
  <c r="H521" i="122"/>
  <c r="H539" i="122"/>
  <c r="H328" i="122"/>
  <c r="H520" i="122"/>
  <c r="H536" i="122"/>
  <c r="H472" i="122"/>
  <c r="H319" i="122"/>
  <c r="H335" i="122"/>
  <c r="H336" i="122"/>
  <c r="H269" i="122"/>
  <c r="H209" i="122"/>
  <c r="H359" i="122"/>
  <c r="H358" i="122"/>
  <c r="H77" i="122"/>
  <c r="H313" i="122"/>
  <c r="H296" i="122"/>
  <c r="H428" i="122"/>
  <c r="H450" i="122"/>
  <c r="H156" i="122"/>
  <c r="H210" i="122"/>
  <c r="H427" i="122"/>
  <c r="H558" i="122"/>
  <c r="H560" i="122"/>
  <c r="H255" i="122"/>
  <c r="H368" i="122"/>
  <c r="H130" i="122"/>
  <c r="H267" i="122"/>
  <c r="H556" i="122"/>
  <c r="H289" i="122"/>
  <c r="H552" i="122"/>
  <c r="H159" i="122"/>
  <c r="H131" i="122"/>
  <c r="H355" i="122"/>
  <c r="H354" i="122"/>
  <c r="H449" i="122"/>
  <c r="H145" i="122"/>
  <c r="H146" i="122"/>
  <c r="H451" i="122"/>
  <c r="H352" i="122"/>
  <c r="H320" i="122"/>
  <c r="H484" i="122"/>
  <c r="H224" i="122"/>
  <c r="H225" i="122"/>
  <c r="H559" i="122"/>
  <c r="H554" i="122"/>
  <c r="H555" i="122"/>
  <c r="H254" i="122"/>
  <c r="H439" i="122"/>
  <c r="H440" i="122"/>
  <c r="H288" i="122"/>
  <c r="H19" i="122"/>
  <c r="H18" i="122"/>
  <c r="H185" i="122"/>
  <c r="H186" i="122"/>
  <c r="H553" i="122"/>
  <c r="H371" i="122"/>
  <c r="H121" i="122"/>
  <c r="H122" i="122"/>
  <c r="H222" i="122"/>
  <c r="H476" i="122"/>
  <c r="H285" i="122"/>
  <c r="H334" i="122"/>
  <c r="H223" i="122"/>
  <c r="H557" i="122"/>
  <c r="H561" i="122"/>
  <c r="H78" i="122"/>
  <c r="H454" i="122"/>
  <c r="H401" i="122"/>
  <c r="H302" i="122"/>
  <c r="H303" i="122"/>
  <c r="H438" i="122"/>
  <c r="H366" i="122"/>
  <c r="H365" i="122"/>
  <c r="H563" i="122"/>
  <c r="H261" i="122"/>
  <c r="H260" i="122"/>
  <c r="H187" i="122"/>
  <c r="H193" i="122"/>
  <c r="H194" i="122"/>
  <c r="H189" i="122"/>
  <c r="H190" i="122"/>
  <c r="H310" i="122"/>
  <c r="H370" i="122"/>
  <c r="H406" i="122"/>
  <c r="H219" i="122"/>
  <c r="H188" i="122"/>
  <c r="H240" i="122"/>
  <c r="H455" i="122"/>
  <c r="H241" i="122"/>
  <c r="H218" i="122"/>
  <c r="H426" i="122"/>
  <c r="H412" i="122"/>
  <c r="H495" i="122"/>
  <c r="H179" i="122"/>
  <c r="H325" i="122"/>
  <c r="H279" i="122"/>
  <c r="H278" i="122"/>
  <c r="H375" i="122"/>
  <c r="H493" i="122"/>
  <c r="H147" i="122"/>
  <c r="H34" i="122"/>
  <c r="H237" i="122"/>
  <c r="H144" i="122"/>
  <c r="H35" i="122"/>
  <c r="H471" i="122"/>
  <c r="H494" i="122"/>
  <c r="H326" i="122"/>
  <c r="H86" i="122"/>
  <c r="H87" i="122"/>
  <c r="H142" i="122"/>
  <c r="H464" i="122"/>
  <c r="H140" i="122"/>
  <c r="H141" i="122"/>
  <c r="H139" i="122"/>
  <c r="H423" i="122"/>
  <c r="H496" i="122"/>
  <c r="H61" i="122"/>
  <c r="H60" i="122"/>
  <c r="H497" i="122"/>
  <c r="H364" i="122"/>
  <c r="H264" i="122"/>
  <c r="H272" i="122"/>
  <c r="H12" i="122"/>
  <c r="H13" i="122"/>
  <c r="H168" i="122"/>
  <c r="H167" i="122"/>
  <c r="H351" i="122"/>
  <c r="H273" i="122"/>
  <c r="H41" i="122"/>
  <c r="H40" i="122"/>
  <c r="H475" i="122"/>
  <c r="H106" i="122"/>
  <c r="H490" i="122"/>
  <c r="H105" i="122"/>
  <c r="H158" i="122"/>
  <c r="H157" i="122"/>
  <c r="H483" i="122"/>
  <c r="H491" i="122"/>
  <c r="H404" i="122"/>
  <c r="H62" i="122"/>
  <c r="H492" i="122"/>
  <c r="H482" i="122"/>
  <c r="H25" i="122"/>
  <c r="H26" i="122"/>
  <c r="H265" i="122"/>
  <c r="H410" i="122"/>
  <c r="H344" i="122"/>
  <c r="H340" i="122"/>
  <c r="H382" i="122"/>
  <c r="H390" i="122"/>
  <c r="H381" i="122"/>
  <c r="H271" i="122"/>
  <c r="H183" i="122"/>
  <c r="H184" i="122"/>
  <c r="H268" i="122"/>
  <c r="H270" i="122"/>
  <c r="H294" i="122"/>
  <c r="H383" i="122"/>
  <c r="H432" i="122"/>
  <c r="H431" i="122"/>
  <c r="H314" i="122"/>
  <c r="H433" i="122"/>
  <c r="H413" i="122"/>
  <c r="H377" i="122"/>
  <c r="H376" i="122"/>
  <c r="H392" i="122"/>
  <c r="H395" i="122"/>
  <c r="H309" i="122"/>
  <c r="H298" i="122"/>
  <c r="H384" i="122"/>
  <c r="H263" i="122"/>
  <c r="H262" i="122"/>
  <c r="H311" i="122"/>
  <c r="H305" i="122"/>
  <c r="H213" i="122"/>
  <c r="H394" i="122"/>
  <c r="H317" i="122"/>
  <c r="H301" i="122"/>
  <c r="H379" i="122"/>
  <c r="H110" i="122"/>
  <c r="H562" i="122"/>
  <c r="H306" i="122"/>
  <c r="H447" i="122"/>
  <c r="H256" i="122"/>
  <c r="H297" i="122"/>
  <c r="H109" i="122"/>
  <c r="H466" i="122"/>
  <c r="H378" i="122"/>
  <c r="H380" i="122"/>
  <c r="H341" i="122"/>
  <c r="H385" i="122"/>
  <c r="H467" i="122"/>
  <c r="H257" i="122"/>
  <c r="H387" i="122"/>
  <c r="H304" i="122"/>
  <c r="H212" i="122"/>
  <c r="H307" i="122"/>
  <c r="H181" i="122"/>
  <c r="H180" i="122"/>
  <c r="H239" i="122"/>
  <c r="H487" i="122"/>
  <c r="H79" i="122"/>
  <c r="H64" i="122"/>
  <c r="H4" i="122"/>
  <c r="H357" i="122"/>
  <c r="H350" i="122"/>
  <c r="H238" i="122"/>
  <c r="H479" i="122"/>
  <c r="H322" i="122"/>
  <c r="H5" i="122"/>
  <c r="H481" i="122"/>
  <c r="H489" i="122"/>
  <c r="H330" i="122"/>
  <c r="H331" i="122"/>
  <c r="H349" i="122"/>
  <c r="H488" i="122"/>
  <c r="H80" i="122"/>
  <c r="H63" i="122"/>
  <c r="H566" i="122"/>
  <c r="H150" i="122"/>
  <c r="H436" i="122"/>
  <c r="H477" i="122"/>
  <c r="H47" i="122"/>
  <c r="H567" i="122"/>
  <c r="H421" i="122"/>
  <c r="H151" i="122"/>
  <c r="H474" i="122"/>
  <c r="H46" i="122"/>
  <c r="H356" i="122"/>
  <c r="H221" i="122"/>
  <c r="H66" i="122"/>
  <c r="H65" i="122"/>
  <c r="H332" i="122"/>
  <c r="H67" i="122"/>
  <c r="H445" i="122"/>
  <c r="H68" i="122"/>
  <c r="H42" i="122"/>
  <c r="H43" i="122"/>
  <c r="H333" i="122"/>
  <c r="H93" i="122"/>
  <c r="H92" i="122"/>
  <c r="H407" i="122"/>
  <c r="H565" i="122"/>
  <c r="H182" i="122"/>
  <c r="H220" i="122"/>
  <c r="H129" i="122"/>
  <c r="H128" i="122"/>
  <c r="H549" i="122"/>
  <c r="H419" i="122"/>
  <c r="H207" i="122"/>
  <c r="H38" i="122"/>
  <c r="H259" i="122"/>
  <c r="H258" i="122"/>
  <c r="H85" i="122"/>
  <c r="H448" i="122"/>
  <c r="H132" i="122"/>
  <c r="H84" i="122"/>
  <c r="H266" i="122"/>
  <c r="H206" i="122"/>
  <c r="H50" i="122"/>
  <c r="H133" i="122"/>
  <c r="H548" i="122"/>
  <c r="H416" i="122"/>
  <c r="H429" i="122"/>
  <c r="H204" i="122"/>
  <c r="H104" i="122"/>
  <c r="H205" i="122"/>
  <c r="H465" i="122"/>
  <c r="H103" i="122"/>
  <c r="H547" i="122"/>
  <c r="H435" i="122"/>
  <c r="H372" i="122"/>
  <c r="H112" i="122"/>
  <c r="H111" i="122"/>
  <c r="H37" i="122"/>
  <c r="H108" i="122"/>
  <c r="H107" i="122"/>
  <c r="H203" i="122"/>
  <c r="H57" i="122"/>
  <c r="H509" i="122"/>
  <c r="H513" i="122"/>
  <c r="H51" i="122"/>
  <c r="H52" i="122"/>
  <c r="H202" i="122"/>
  <c r="H508" i="122"/>
  <c r="H102" i="122"/>
  <c r="H10" i="122"/>
  <c r="H248" i="122"/>
  <c r="H424" i="122"/>
  <c r="H215" i="122"/>
  <c r="H511" i="122"/>
  <c r="H253" i="122"/>
  <c r="H514" i="122"/>
  <c r="H101" i="122"/>
  <c r="H287" i="122"/>
  <c r="H411" i="122"/>
  <c r="H152" i="122"/>
  <c r="H153" i="122"/>
  <c r="H82" i="122"/>
  <c r="H214" i="122"/>
  <c r="H512" i="122"/>
  <c r="H11" i="122"/>
  <c r="H510" i="122"/>
  <c r="H81" i="122"/>
  <c r="H515" i="122"/>
  <c r="H405" i="122"/>
  <c r="H247" i="122"/>
  <c r="H373" i="122"/>
  <c r="H473" i="122"/>
  <c r="H166" i="122"/>
  <c r="H160" i="122"/>
  <c r="H231" i="122"/>
  <c r="H286" i="122"/>
  <c r="H507" i="122"/>
  <c r="H244" i="122"/>
  <c r="H245" i="122"/>
  <c r="H234" i="122"/>
  <c r="H70" i="122"/>
  <c r="H505" i="122"/>
  <c r="H420" i="122"/>
  <c r="H6" i="122"/>
  <c r="H7" i="122"/>
  <c r="H502" i="122"/>
  <c r="H367" i="122"/>
  <c r="H232" i="122"/>
  <c r="H506" i="122"/>
  <c r="H501" i="122"/>
  <c r="H165" i="122"/>
  <c r="H503" i="122"/>
  <c r="H117" i="122"/>
  <c r="H118" i="122"/>
  <c r="H116" i="122"/>
  <c r="H120" i="122"/>
  <c r="H119" i="122"/>
  <c r="H83" i="122"/>
  <c r="H500" i="122"/>
  <c r="H414" i="122"/>
  <c r="H233" i="122"/>
  <c r="H69" i="122"/>
  <c r="H504" i="122"/>
  <c r="H443" i="122"/>
  <c r="H498" i="122"/>
  <c r="H499" i="122"/>
  <c r="H115" i="122"/>
  <c r="H442" i="122"/>
  <c r="H541" i="122"/>
  <c r="H545" i="122"/>
  <c r="H22" i="122"/>
  <c r="H23" i="122"/>
  <c r="H195" i="122"/>
  <c r="H113" i="122"/>
  <c r="H544" i="122"/>
  <c r="H125" i="122"/>
  <c r="H343" i="122"/>
  <c r="H542" i="122"/>
  <c r="H95" i="122"/>
  <c r="H540" i="122"/>
  <c r="H143" i="122"/>
  <c r="H546" i="122"/>
  <c r="H485" i="122"/>
  <c r="H196" i="122"/>
  <c r="H459" i="122"/>
  <c r="H20" i="122"/>
  <c r="H21" i="122"/>
  <c r="H94" i="122"/>
  <c r="H543" i="122"/>
  <c r="H114" i="122"/>
  <c r="H409" i="122"/>
  <c r="H363" i="122"/>
  <c r="H33" i="122"/>
  <c r="H32" i="122"/>
  <c r="H236" i="122"/>
  <c r="H551" i="122"/>
  <c r="H235" i="122"/>
  <c r="H290" i="122"/>
  <c r="H408" i="122"/>
  <c r="H30" i="122"/>
  <c r="H198" i="122"/>
  <c r="H291" i="122"/>
  <c r="H251" i="122"/>
  <c r="H374" i="122"/>
  <c r="H8" i="122"/>
  <c r="H252" i="122"/>
  <c r="H197" i="122"/>
  <c r="H460" i="122"/>
  <c r="H9" i="122"/>
  <c r="H29" i="122"/>
  <c r="H327" i="122"/>
  <c r="H434" i="122"/>
  <c r="H338" i="122"/>
  <c r="H292" i="122"/>
  <c r="H321" i="122"/>
  <c r="H345" i="122"/>
  <c r="H299" i="122"/>
  <c r="H308" i="122"/>
  <c r="H337" i="122"/>
  <c r="H318" i="122"/>
  <c r="H388" i="122"/>
  <c r="H88" i="122"/>
  <c r="H346" i="122"/>
  <c r="H315" i="122"/>
  <c r="H342" i="122"/>
  <c r="H391" i="122"/>
  <c r="H316" i="122"/>
  <c r="H339" i="122"/>
  <c r="H393" i="122"/>
  <c r="H300" i="122"/>
  <c r="H396" i="122"/>
  <c r="H389" i="122"/>
  <c r="H89" i="122"/>
  <c r="H312" i="122"/>
  <c r="H386" i="122"/>
  <c r="H486" i="122"/>
  <c r="H293" i="122"/>
  <c r="H295" i="122"/>
  <c r="H75" i="122"/>
  <c r="H280" i="122"/>
  <c r="H97" i="122"/>
  <c r="H39" i="122"/>
  <c r="H171" i="122"/>
  <c r="H362" i="122"/>
  <c r="H402" i="122"/>
  <c r="H172" i="122"/>
  <c r="H550" i="122"/>
  <c r="H462" i="122"/>
  <c r="H480" i="122"/>
  <c r="H96" i="122"/>
  <c r="H36" i="122"/>
  <c r="H324" i="122"/>
  <c r="H323" i="122"/>
  <c r="H441" i="122"/>
  <c r="H99" i="122"/>
  <c r="H98" i="122"/>
  <c r="H76" i="122"/>
  <c r="H446" i="122"/>
  <c r="H124" i="122"/>
  <c r="H415" i="122"/>
  <c r="H246" i="122"/>
  <c r="H123" i="122"/>
  <c r="H208" i="122"/>
  <c r="H463" i="122"/>
  <c r="H348" i="122"/>
  <c r="H91" i="122"/>
  <c r="H14" i="122"/>
  <c r="H15" i="122"/>
  <c r="H211" i="122"/>
  <c r="H56" i="122"/>
  <c r="H55" i="122"/>
  <c r="H369" i="122"/>
  <c r="H27" i="122"/>
  <c r="H28" i="122"/>
  <c r="H90" i="122"/>
  <c r="H347" i="122"/>
  <c r="H397" i="122"/>
  <c r="H437" i="122"/>
  <c r="H173" i="122"/>
  <c r="H403" i="122"/>
  <c r="H217" i="122"/>
  <c r="H275" i="122"/>
  <c r="H274" i="122"/>
  <c r="H444" i="122"/>
  <c r="H418" i="122"/>
  <c r="H283" i="122"/>
  <c r="H417" i="122"/>
  <c r="H282" i="122"/>
  <c r="H281" i="122"/>
  <c r="H191" i="122"/>
  <c r="H453" i="122"/>
  <c r="H169" i="122"/>
  <c r="H136" i="122"/>
  <c r="H430" i="122"/>
  <c r="H201" i="122"/>
  <c r="H400" i="122"/>
  <c r="H44" i="122"/>
  <c r="H284" i="122"/>
  <c r="H45" i="122"/>
  <c r="H174" i="122"/>
  <c r="H425" i="122"/>
  <c r="H564" i="122"/>
  <c r="H227" i="122"/>
  <c r="H226" i="122"/>
  <c r="H135" i="122"/>
  <c r="H458" i="122"/>
  <c r="H170" i="122"/>
  <c r="H137" i="122"/>
  <c r="H250" i="122"/>
  <c r="H249" i="122"/>
  <c r="H134" i="122"/>
  <c r="H398" i="122"/>
  <c r="H277" i="122"/>
  <c r="H192" i="122"/>
  <c r="H276" i="122"/>
  <c r="H457" i="122"/>
  <c r="H399" i="122"/>
  <c r="H353" i="122"/>
  <c r="H200" i="122"/>
  <c r="H216" i="122"/>
  <c r="H519" i="122"/>
  <c r="G1" i="122"/>
  <c r="F1" i="122"/>
  <c r="E1" i="122"/>
  <c r="G8" i="121"/>
  <c r="E4" i="115"/>
  <c r="E5" i="115"/>
  <c r="E6" i="115"/>
  <c r="E7" i="115"/>
  <c r="E8" i="115"/>
  <c r="E9" i="115"/>
  <c r="E10" i="115"/>
  <c r="E11" i="115"/>
  <c r="E12" i="115"/>
  <c r="E13" i="115"/>
  <c r="E14" i="115"/>
  <c r="E15" i="115"/>
  <c r="E16" i="115"/>
  <c r="E17" i="115"/>
  <c r="E18" i="115"/>
  <c r="E19" i="115"/>
  <c r="E20" i="115"/>
  <c r="E21" i="115"/>
  <c r="E22" i="115"/>
  <c r="E23" i="115"/>
  <c r="E24" i="115"/>
  <c r="E25" i="115"/>
  <c r="E26" i="115"/>
  <c r="E27" i="115"/>
  <c r="E28" i="115"/>
  <c r="E29" i="115"/>
  <c r="E30" i="115"/>
  <c r="E31" i="115"/>
  <c r="E32" i="115"/>
  <c r="E33" i="115"/>
  <c r="E34" i="115"/>
  <c r="E35" i="115"/>
  <c r="E36" i="115"/>
  <c r="E37" i="115"/>
  <c r="E38" i="115"/>
  <c r="E39" i="115"/>
  <c r="E40" i="115"/>
  <c r="E41" i="115"/>
  <c r="E42" i="115"/>
  <c r="E43" i="115"/>
  <c r="E44" i="115"/>
  <c r="E45" i="115"/>
  <c r="E46" i="115"/>
  <c r="E47" i="115"/>
  <c r="E48" i="115"/>
  <c r="E49" i="115"/>
  <c r="E50" i="115"/>
  <c r="E51" i="115"/>
  <c r="E52" i="115"/>
  <c r="E53" i="115"/>
  <c r="E54" i="115"/>
  <c r="E55" i="115"/>
  <c r="E56" i="115"/>
  <c r="E57" i="115"/>
  <c r="E58" i="115"/>
  <c r="E59" i="115"/>
  <c r="E60" i="115"/>
  <c r="E61" i="115"/>
  <c r="E62" i="115"/>
  <c r="E63" i="115"/>
  <c r="E64" i="115"/>
  <c r="E65" i="115"/>
  <c r="E66" i="115"/>
  <c r="E67" i="115"/>
  <c r="E68" i="115"/>
  <c r="E69" i="115"/>
  <c r="E70" i="115"/>
  <c r="E71" i="115"/>
  <c r="E72" i="115"/>
  <c r="E73" i="115"/>
  <c r="E74" i="115"/>
  <c r="E75" i="115"/>
  <c r="E76" i="115"/>
  <c r="E77" i="115"/>
  <c r="E78" i="115"/>
  <c r="E79" i="115"/>
  <c r="E80" i="115"/>
  <c r="E81" i="115"/>
  <c r="E82" i="115"/>
  <c r="E83" i="115"/>
  <c r="E84" i="115"/>
  <c r="E85" i="115"/>
  <c r="E86" i="115"/>
  <c r="E87" i="115"/>
  <c r="E88" i="115"/>
  <c r="E89" i="115"/>
  <c r="E90" i="115"/>
  <c r="E91" i="115"/>
  <c r="E92" i="115"/>
  <c r="E93" i="115"/>
  <c r="E94" i="115"/>
  <c r="E95" i="115"/>
  <c r="E96" i="115"/>
  <c r="E97" i="115"/>
  <c r="E98" i="115"/>
  <c r="E99" i="115"/>
  <c r="E100" i="115"/>
  <c r="E101" i="115"/>
  <c r="E102" i="115"/>
  <c r="E103" i="115"/>
  <c r="E104" i="115"/>
  <c r="E105" i="115"/>
  <c r="E106" i="115"/>
  <c r="E107" i="115"/>
  <c r="E108" i="115"/>
  <c r="E109" i="115"/>
  <c r="E110" i="115"/>
  <c r="E111" i="115"/>
  <c r="E112" i="115"/>
  <c r="E113" i="115"/>
  <c r="E114" i="115"/>
  <c r="E115" i="115"/>
  <c r="E116" i="115"/>
  <c r="E117" i="115"/>
  <c r="E118" i="115"/>
  <c r="E119" i="115"/>
  <c r="E120" i="115"/>
  <c r="E121" i="115"/>
  <c r="E122" i="115"/>
  <c r="E123" i="115"/>
  <c r="E124" i="115"/>
  <c r="E125" i="115"/>
  <c r="E126" i="115"/>
  <c r="E127" i="115"/>
  <c r="E128" i="115"/>
  <c r="E129" i="115"/>
  <c r="E130" i="115"/>
  <c r="E131" i="115"/>
  <c r="E132" i="115"/>
  <c r="E133" i="115"/>
  <c r="E134" i="115"/>
  <c r="E135" i="115"/>
  <c r="E136" i="115"/>
  <c r="E137" i="115"/>
  <c r="E138" i="115"/>
  <c r="E139" i="115"/>
  <c r="E140" i="115"/>
  <c r="E141" i="115"/>
  <c r="E142" i="115"/>
  <c r="E143" i="115"/>
  <c r="E144" i="115"/>
  <c r="E145" i="115"/>
  <c r="E146" i="115"/>
  <c r="E147" i="115"/>
  <c r="E148" i="115"/>
  <c r="E149" i="115"/>
  <c r="E150" i="115"/>
  <c r="E151" i="115"/>
  <c r="E152" i="115"/>
  <c r="E153" i="115"/>
  <c r="E154" i="115"/>
  <c r="E155" i="115"/>
  <c r="E156" i="115"/>
  <c r="E157" i="115"/>
  <c r="E158" i="115"/>
  <c r="E159" i="115"/>
  <c r="E160" i="115"/>
  <c r="E161" i="115"/>
  <c r="E162" i="115"/>
  <c r="E163" i="115"/>
  <c r="E164" i="115"/>
  <c r="E165" i="115"/>
  <c r="E166" i="115"/>
  <c r="E167" i="115"/>
  <c r="E168" i="115"/>
  <c r="E169" i="115"/>
  <c r="E170" i="115"/>
  <c r="E171" i="115"/>
  <c r="E172" i="115"/>
  <c r="E173" i="115"/>
  <c r="E174" i="115"/>
  <c r="E175" i="115"/>
  <c r="E176" i="115"/>
  <c r="E177" i="115"/>
  <c r="E178" i="115"/>
  <c r="E179" i="115"/>
  <c r="E180" i="115"/>
  <c r="E181" i="115"/>
  <c r="E182" i="115"/>
  <c r="E183" i="115"/>
  <c r="E184" i="115"/>
  <c r="E185" i="115"/>
  <c r="E186" i="115"/>
  <c r="E187" i="115"/>
  <c r="E188" i="115"/>
  <c r="E189" i="115"/>
  <c r="E190" i="115"/>
  <c r="E3" i="115"/>
  <c r="L73" i="93"/>
  <c r="L18" i="93"/>
  <c r="L19" i="93"/>
  <c r="L20" i="93"/>
  <c r="L74" i="93"/>
  <c r="L21" i="93"/>
  <c r="L22" i="93"/>
  <c r="L75" i="93"/>
  <c r="L77" i="93"/>
  <c r="L78" i="93"/>
  <c r="L79" i="93"/>
  <c r="L80" i="93"/>
  <c r="L23" i="93"/>
  <c r="L81" i="93"/>
  <c r="L82" i="93"/>
  <c r="L83" i="93"/>
  <c r="L84" i="93"/>
  <c r="L85" i="93"/>
  <c r="L86" i="93"/>
  <c r="L87" i="93"/>
  <c r="L88" i="93"/>
  <c r="L124" i="93"/>
  <c r="L125" i="93"/>
  <c r="L26" i="93"/>
  <c r="L126" i="93"/>
  <c r="L127" i="93"/>
  <c r="L128" i="93"/>
  <c r="L129" i="93"/>
  <c r="L130" i="93"/>
  <c r="L131" i="93"/>
  <c r="L132" i="93"/>
  <c r="L133" i="93"/>
  <c r="L134" i="93"/>
  <c r="L135" i="93"/>
  <c r="L136" i="93"/>
  <c r="L139" i="93"/>
  <c r="L140" i="93"/>
  <c r="L141" i="93"/>
  <c r="L156" i="93"/>
  <c r="L157" i="93"/>
  <c r="L158" i="93"/>
  <c r="L159" i="93"/>
  <c r="L160" i="93"/>
  <c r="L161" i="93"/>
  <c r="L162" i="93"/>
  <c r="L163" i="93"/>
  <c r="L46" i="93"/>
  <c r="L47" i="93"/>
  <c r="L48" i="93"/>
  <c r="L49" i="93"/>
  <c r="L50" i="93"/>
  <c r="L51" i="93"/>
  <c r="L52" i="93"/>
  <c r="L53" i="93"/>
  <c r="L54" i="93"/>
  <c r="L38" i="93"/>
  <c r="L39" i="93"/>
  <c r="L40" i="93"/>
  <c r="L41" i="93"/>
  <c r="L42" i="93"/>
  <c r="L43" i="93"/>
  <c r="L44" i="93"/>
  <c r="L45" i="93"/>
  <c r="L142" i="93"/>
  <c r="L143" i="93"/>
  <c r="L27" i="93"/>
  <c r="L144" i="93"/>
  <c r="L145" i="93"/>
  <c r="L146" i="93"/>
  <c r="L147" i="93"/>
  <c r="L148" i="93"/>
  <c r="L149" i="93"/>
  <c r="L150" i="93"/>
  <c r="L28" i="93"/>
  <c r="L29" i="93"/>
  <c r="L151" i="93"/>
  <c r="L152" i="93"/>
  <c r="L153" i="93"/>
  <c r="L154" i="93"/>
  <c r="L155" i="93"/>
  <c r="L16" i="93"/>
  <c r="L33" i="93"/>
  <c r="L34" i="93"/>
  <c r="L185" i="93"/>
  <c r="L35" i="93"/>
  <c r="L36" i="93"/>
  <c r="L37" i="93"/>
  <c r="L178" i="93"/>
  <c r="L179" i="93"/>
  <c r="L30" i="93"/>
  <c r="L180" i="93"/>
  <c r="L181" i="93"/>
  <c r="L182" i="93"/>
  <c r="L183" i="93"/>
  <c r="L184" i="93"/>
  <c r="L104" i="93"/>
  <c r="L105" i="93"/>
  <c r="L106" i="93"/>
  <c r="L107" i="93"/>
  <c r="L108" i="93"/>
  <c r="L109" i="93"/>
  <c r="L110" i="93"/>
  <c r="L111" i="93"/>
  <c r="L24" i="93"/>
  <c r="L65" i="93"/>
  <c r="L66" i="93"/>
  <c r="L67" i="93"/>
  <c r="L68" i="93"/>
  <c r="L69" i="93"/>
  <c r="L188" i="93"/>
  <c r="L70" i="93"/>
  <c r="L71" i="93"/>
  <c r="L189" i="93"/>
  <c r="L72" i="93"/>
  <c r="L17" i="93"/>
  <c r="L55" i="93"/>
  <c r="L56" i="93"/>
  <c r="L57" i="93"/>
  <c r="L58" i="93"/>
  <c r="L59" i="93"/>
  <c r="L60" i="93"/>
  <c r="L61" i="93"/>
  <c r="L62" i="93"/>
  <c r="L63" i="93"/>
  <c r="L64" i="93"/>
  <c r="L89" i="93"/>
  <c r="L90" i="93"/>
  <c r="L91" i="93"/>
  <c r="L92" i="93"/>
  <c r="L93" i="93"/>
  <c r="L94" i="93"/>
  <c r="L95" i="93"/>
  <c r="L96" i="93"/>
  <c r="L118" i="93"/>
  <c r="L25" i="93"/>
  <c r="L119" i="93"/>
  <c r="L120" i="93"/>
  <c r="L121" i="93"/>
  <c r="L122" i="93"/>
  <c r="L123" i="93"/>
  <c r="L10" i="93"/>
  <c r="L11" i="93"/>
  <c r="L12" i="93"/>
  <c r="L13" i="93"/>
  <c r="L14" i="93"/>
  <c r="L15" i="93"/>
  <c r="L31" i="93"/>
  <c r="L32" i="93"/>
  <c r="L191" i="93"/>
  <c r="L112" i="93"/>
  <c r="L113" i="93"/>
  <c r="L114" i="93"/>
  <c r="L115" i="93"/>
  <c r="L116" i="93"/>
  <c r="L117" i="93"/>
  <c r="L97" i="93"/>
  <c r="L98" i="93"/>
  <c r="L99" i="93"/>
  <c r="L100" i="93"/>
  <c r="L101" i="93"/>
  <c r="L102" i="93"/>
  <c r="L103" i="93"/>
  <c r="L164" i="93"/>
  <c r="L165" i="93"/>
  <c r="L166" i="93"/>
  <c r="L167" i="93"/>
  <c r="L168" i="93"/>
  <c r="L169" i="93"/>
  <c r="L170" i="93"/>
  <c r="L171" i="93"/>
  <c r="L172" i="93"/>
  <c r="L173" i="93"/>
  <c r="L174" i="93"/>
  <c r="L175" i="93"/>
  <c r="L176" i="93"/>
  <c r="L177" i="93"/>
  <c r="A11" i="118"/>
  <c r="A12" i="118"/>
  <c r="A13" i="118"/>
  <c r="A14" i="118"/>
  <c r="A15" i="118"/>
  <c r="A16" i="118"/>
  <c r="A17" i="118"/>
  <c r="A18" i="118"/>
  <c r="A19" i="118"/>
  <c r="N272" i="27" s="1"/>
  <c r="A20" i="118"/>
  <c r="A21" i="118"/>
  <c r="A22" i="118"/>
  <c r="A23" i="118"/>
  <c r="A24" i="118"/>
  <c r="A25" i="118"/>
  <c r="A26" i="118"/>
  <c r="A27" i="118"/>
  <c r="A28" i="118"/>
  <c r="A29" i="118"/>
  <c r="A30" i="118"/>
  <c r="A31" i="118"/>
  <c r="A32" i="118"/>
  <c r="A33" i="118"/>
  <c r="A34" i="118"/>
  <c r="A35" i="118"/>
  <c r="A36" i="118"/>
  <c r="A37" i="118"/>
  <c r="A38" i="118"/>
  <c r="A39" i="118"/>
  <c r="A40" i="118"/>
  <c r="A41" i="118"/>
  <c r="A42" i="118"/>
  <c r="A43" i="118"/>
  <c r="A44" i="118"/>
  <c r="A45" i="118"/>
  <c r="A46" i="118"/>
  <c r="A47" i="118"/>
  <c r="A48" i="118"/>
  <c r="A49" i="118"/>
  <c r="A50" i="118"/>
  <c r="A51" i="118"/>
  <c r="A52" i="118"/>
  <c r="A53" i="118"/>
  <c r="A54" i="118"/>
  <c r="A55" i="118"/>
  <c r="A56" i="118"/>
  <c r="A57" i="118"/>
  <c r="A58" i="118"/>
  <c r="A59" i="118"/>
  <c r="A60" i="118"/>
  <c r="A61" i="118"/>
  <c r="A62" i="118"/>
  <c r="A63" i="118"/>
  <c r="A64" i="118"/>
  <c r="A65" i="118"/>
  <c r="A66" i="118"/>
  <c r="A67" i="118"/>
  <c r="A68" i="118"/>
  <c r="A69" i="118"/>
  <c r="A70" i="118"/>
  <c r="A71" i="118"/>
  <c r="A72" i="118"/>
  <c r="A73" i="118"/>
  <c r="A74" i="118"/>
  <c r="A75" i="118"/>
  <c r="A76" i="118"/>
  <c r="A77" i="118"/>
  <c r="A78" i="118"/>
  <c r="A79" i="118"/>
  <c r="A80" i="118"/>
  <c r="A81" i="118"/>
  <c r="A82" i="118"/>
  <c r="A83" i="118"/>
  <c r="A84" i="118"/>
  <c r="A85" i="118"/>
  <c r="A86" i="118"/>
  <c r="A87" i="118"/>
  <c r="A88" i="118"/>
  <c r="A89" i="118"/>
  <c r="A90" i="118"/>
  <c r="A91" i="118"/>
  <c r="A92" i="118"/>
  <c r="A93" i="118"/>
  <c r="A94" i="118"/>
  <c r="A95" i="118"/>
  <c r="A96" i="118"/>
  <c r="A97" i="118"/>
  <c r="A98" i="118"/>
  <c r="A99" i="118"/>
  <c r="A100" i="118"/>
  <c r="A101" i="118"/>
  <c r="A102" i="118"/>
  <c r="A103" i="118"/>
  <c r="A104" i="118"/>
  <c r="A105" i="118"/>
  <c r="A106" i="118"/>
  <c r="A107" i="118"/>
  <c r="A108" i="118"/>
  <c r="A109" i="118"/>
  <c r="A110" i="118"/>
  <c r="A111" i="118"/>
  <c r="A112" i="118"/>
  <c r="A113" i="118"/>
  <c r="A114" i="118"/>
  <c r="A115" i="118"/>
  <c r="A116" i="118"/>
  <c r="A117" i="118"/>
  <c r="A118" i="118"/>
  <c r="A119" i="118"/>
  <c r="A120" i="118"/>
  <c r="A121" i="118"/>
  <c r="A122" i="118"/>
  <c r="A123" i="118"/>
  <c r="A124" i="118"/>
  <c r="A125" i="118"/>
  <c r="A126" i="118"/>
  <c r="A127" i="118"/>
  <c r="A128" i="118"/>
  <c r="A129" i="118"/>
  <c r="A130" i="118"/>
  <c r="A131" i="118"/>
  <c r="A132" i="118"/>
  <c r="A133" i="118"/>
  <c r="A134" i="118"/>
  <c r="A135" i="118"/>
  <c r="A136" i="118"/>
  <c r="A137" i="118"/>
  <c r="A138" i="118"/>
  <c r="A139" i="118"/>
  <c r="A140" i="118"/>
  <c r="A141" i="118"/>
  <c r="A142" i="118"/>
  <c r="A143" i="118"/>
  <c r="A144" i="118"/>
  <c r="A145" i="118"/>
  <c r="A146" i="118"/>
  <c r="A147" i="118"/>
  <c r="A148" i="118"/>
  <c r="A149" i="118"/>
  <c r="A150" i="118"/>
  <c r="A151" i="118"/>
  <c r="A152" i="118"/>
  <c r="A153" i="118"/>
  <c r="A154" i="118"/>
  <c r="A155" i="118"/>
  <c r="A156" i="118"/>
  <c r="A157" i="118"/>
  <c r="A158" i="118"/>
  <c r="A159" i="118"/>
  <c r="A160" i="118"/>
  <c r="A161" i="118"/>
  <c r="A162" i="118"/>
  <c r="A163" i="118"/>
  <c r="A164" i="118"/>
  <c r="A165" i="118"/>
  <c r="A166" i="118"/>
  <c r="A167" i="118"/>
  <c r="A168" i="118"/>
  <c r="A169" i="118"/>
  <c r="A170" i="118"/>
  <c r="A171" i="118"/>
  <c r="A172" i="118"/>
  <c r="A173" i="118"/>
  <c r="A174" i="118"/>
  <c r="A175" i="118"/>
  <c r="A176" i="118"/>
  <c r="A177" i="118"/>
  <c r="A178" i="118"/>
  <c r="A179" i="118"/>
  <c r="A180" i="118"/>
  <c r="A181" i="118"/>
  <c r="A182" i="118"/>
  <c r="A183" i="118"/>
  <c r="A184" i="118"/>
  <c r="A185" i="118"/>
  <c r="A186" i="118"/>
  <c r="A187" i="118"/>
  <c r="A188" i="118"/>
  <c r="A189" i="118"/>
  <c r="A190" i="118"/>
  <c r="A191" i="118"/>
  <c r="A192" i="118"/>
  <c r="A193" i="118"/>
  <c r="A194" i="118"/>
  <c r="A195" i="118"/>
  <c r="A196" i="118"/>
  <c r="A197" i="118"/>
  <c r="A198" i="118"/>
  <c r="A199" i="118"/>
  <c r="A200" i="118"/>
  <c r="A201" i="118"/>
  <c r="A202" i="118"/>
  <c r="A203" i="118"/>
  <c r="A204" i="118"/>
  <c r="A205" i="118"/>
  <c r="A206" i="118"/>
  <c r="A207" i="118"/>
  <c r="A208" i="118"/>
  <c r="A209" i="118"/>
  <c r="A210" i="118"/>
  <c r="A211" i="118"/>
  <c r="A212" i="118"/>
  <c r="A213" i="118"/>
  <c r="A214" i="118"/>
  <c r="A215" i="118"/>
  <c r="A216" i="118"/>
  <c r="A217" i="118"/>
  <c r="A218" i="118"/>
  <c r="A219" i="118"/>
  <c r="A220" i="118"/>
  <c r="A221" i="118"/>
  <c r="A222" i="118"/>
  <c r="A223" i="118"/>
  <c r="A224" i="118"/>
  <c r="A225" i="118"/>
  <c r="A226" i="118"/>
  <c r="A227" i="118"/>
  <c r="A228" i="118"/>
  <c r="A229" i="118"/>
  <c r="A230" i="118"/>
  <c r="A231" i="118"/>
  <c r="A232" i="118"/>
  <c r="A233" i="118"/>
  <c r="A234" i="118"/>
  <c r="A235" i="118"/>
  <c r="A236" i="118"/>
  <c r="A237" i="118"/>
  <c r="A238" i="118"/>
  <c r="A239" i="118"/>
  <c r="A240" i="118"/>
  <c r="A241" i="118"/>
  <c r="A242" i="118"/>
  <c r="A243" i="118"/>
  <c r="A244" i="118"/>
  <c r="A245" i="118"/>
  <c r="A246" i="118"/>
  <c r="A247" i="118"/>
  <c r="A248" i="118"/>
  <c r="A249" i="118"/>
  <c r="A250" i="118"/>
  <c r="A251" i="118"/>
  <c r="A252" i="118"/>
  <c r="A253" i="118"/>
  <c r="A254" i="118"/>
  <c r="A255" i="118"/>
  <c r="A256" i="118"/>
  <c r="A257" i="118"/>
  <c r="A258" i="118"/>
  <c r="A259" i="118"/>
  <c r="A260" i="118"/>
  <c r="A261" i="118"/>
  <c r="A262" i="118"/>
  <c r="A263" i="118"/>
  <c r="A264" i="118"/>
  <c r="A265" i="118"/>
  <c r="A266" i="118"/>
  <c r="A267" i="118"/>
  <c r="A268" i="118"/>
  <c r="A269" i="118"/>
  <c r="A270" i="118"/>
  <c r="A271" i="118"/>
  <c r="A272" i="118"/>
  <c r="A273" i="118"/>
  <c r="A274" i="118"/>
  <c r="A275" i="118"/>
  <c r="A276" i="118"/>
  <c r="A277" i="118"/>
  <c r="A278" i="118"/>
  <c r="A279" i="118"/>
  <c r="A280" i="118"/>
  <c r="A281" i="118"/>
  <c r="A282" i="118"/>
  <c r="A283" i="118"/>
  <c r="A284" i="118"/>
  <c r="A285" i="118"/>
  <c r="A286" i="118"/>
  <c r="A287" i="118"/>
  <c r="A288" i="118"/>
  <c r="A289" i="118"/>
  <c r="A290" i="118"/>
  <c r="A291" i="118"/>
  <c r="A292" i="118"/>
  <c r="A293" i="118"/>
  <c r="A294" i="118"/>
  <c r="A295" i="118"/>
  <c r="A296" i="118"/>
  <c r="A297" i="118"/>
  <c r="A298" i="118"/>
  <c r="A299" i="118"/>
  <c r="A300" i="118"/>
  <c r="A301" i="118"/>
  <c r="A302" i="118"/>
  <c r="A303" i="118"/>
  <c r="A304" i="118"/>
  <c r="A305" i="118"/>
  <c r="A306" i="118"/>
  <c r="A307" i="118"/>
  <c r="A308" i="118"/>
  <c r="A309" i="118"/>
  <c r="A310" i="118"/>
  <c r="A311" i="118"/>
  <c r="A312" i="118"/>
  <c r="A313" i="118"/>
  <c r="A314" i="118"/>
  <c r="A315" i="118"/>
  <c r="A316" i="118"/>
  <c r="A317" i="118"/>
  <c r="A318" i="118"/>
  <c r="A319" i="118"/>
  <c r="A320" i="118"/>
  <c r="A321" i="118"/>
  <c r="A322" i="118"/>
  <c r="A323" i="118"/>
  <c r="A324" i="118"/>
  <c r="A325" i="118"/>
  <c r="A326" i="118"/>
  <c r="A327" i="118"/>
  <c r="A328" i="118"/>
  <c r="A329" i="118"/>
  <c r="A330" i="118"/>
  <c r="A331" i="118"/>
  <c r="A332" i="118"/>
  <c r="A333" i="118"/>
  <c r="A334" i="118"/>
  <c r="A335" i="118"/>
  <c r="A336" i="118"/>
  <c r="A337" i="118"/>
  <c r="A338" i="118"/>
  <c r="A339" i="118"/>
  <c r="A340" i="118"/>
  <c r="A341" i="118"/>
  <c r="A342" i="118"/>
  <c r="A343" i="118"/>
  <c r="A344" i="118"/>
  <c r="A345" i="118"/>
  <c r="A346" i="118"/>
  <c r="A347" i="118"/>
  <c r="A348" i="118"/>
  <c r="A349" i="118"/>
  <c r="A350" i="118"/>
  <c r="A351" i="118"/>
  <c r="A352" i="118"/>
  <c r="A353" i="118"/>
  <c r="A354" i="118"/>
  <c r="A355" i="118"/>
  <c r="A356" i="118"/>
  <c r="A357" i="118"/>
  <c r="A358" i="118"/>
  <c r="A359" i="118"/>
  <c r="A360" i="118"/>
  <c r="A361" i="118"/>
  <c r="A362" i="118"/>
  <c r="A363" i="118"/>
  <c r="A364" i="118"/>
  <c r="A365" i="118"/>
  <c r="A366" i="118"/>
  <c r="A367" i="118"/>
  <c r="A368" i="118"/>
  <c r="A369" i="118"/>
  <c r="A370" i="118"/>
  <c r="A371" i="118"/>
  <c r="A372" i="118"/>
  <c r="A373" i="118"/>
  <c r="A374" i="118"/>
  <c r="A375" i="118"/>
  <c r="A376" i="118"/>
  <c r="A377" i="118"/>
  <c r="A378" i="118"/>
  <c r="A379" i="118"/>
  <c r="A380" i="118"/>
  <c r="A381" i="118"/>
  <c r="A382" i="118"/>
  <c r="A383" i="118"/>
  <c r="A384" i="118"/>
  <c r="A385" i="118"/>
  <c r="A386" i="118"/>
  <c r="A387" i="118"/>
  <c r="A388" i="118"/>
  <c r="A389" i="118"/>
  <c r="A390" i="118"/>
  <c r="A391" i="118"/>
  <c r="A392" i="118"/>
  <c r="A393" i="118"/>
  <c r="A394" i="118"/>
  <c r="A395" i="118"/>
  <c r="A396" i="118"/>
  <c r="A397" i="118"/>
  <c r="A398" i="118"/>
  <c r="A399" i="118"/>
  <c r="A400" i="118"/>
  <c r="A401" i="118"/>
  <c r="A402" i="118"/>
  <c r="A403" i="118"/>
  <c r="A404" i="118"/>
  <c r="A405" i="118"/>
  <c r="A406" i="118"/>
  <c r="A407" i="118"/>
  <c r="A408" i="118"/>
  <c r="A409" i="118"/>
  <c r="A410" i="118"/>
  <c r="A411" i="118"/>
  <c r="A412" i="118"/>
  <c r="A413" i="118"/>
  <c r="A414" i="118"/>
  <c r="A415" i="118"/>
  <c r="A416" i="118"/>
  <c r="A417" i="118"/>
  <c r="A418" i="118"/>
  <c r="A419" i="118"/>
  <c r="A420" i="118"/>
  <c r="A421" i="118"/>
  <c r="A422" i="118"/>
  <c r="A423" i="118"/>
  <c r="A424" i="118"/>
  <c r="A425" i="118"/>
  <c r="A426" i="118"/>
  <c r="A427" i="118"/>
  <c r="A428" i="118"/>
  <c r="A429" i="118"/>
  <c r="A430" i="118"/>
  <c r="A431" i="118"/>
  <c r="A432" i="118"/>
  <c r="A433" i="118"/>
  <c r="A434" i="118"/>
  <c r="A435" i="118"/>
  <c r="A436" i="118"/>
  <c r="A437" i="118"/>
  <c r="A438" i="118"/>
  <c r="A439" i="118"/>
  <c r="A440" i="118"/>
  <c r="A441" i="118"/>
  <c r="A442" i="118"/>
  <c r="A443" i="118"/>
  <c r="A444" i="118"/>
  <c r="A445" i="118"/>
  <c r="A446" i="118"/>
  <c r="A447" i="118"/>
  <c r="A448" i="118"/>
  <c r="A449" i="118"/>
  <c r="A450" i="118"/>
  <c r="A451" i="118"/>
  <c r="A452" i="118"/>
  <c r="A453" i="118"/>
  <c r="A454" i="118"/>
  <c r="A455" i="118"/>
  <c r="A456" i="118"/>
  <c r="A457" i="118"/>
  <c r="A458" i="118"/>
  <c r="A459" i="118"/>
  <c r="A460" i="118"/>
  <c r="A461" i="118"/>
  <c r="A462" i="118"/>
  <c r="A463" i="118"/>
  <c r="A464" i="118"/>
  <c r="A465" i="118"/>
  <c r="A466" i="118"/>
  <c r="A467" i="118"/>
  <c r="A468" i="118"/>
  <c r="A469" i="118"/>
  <c r="A470" i="118"/>
  <c r="A471" i="118"/>
  <c r="A472" i="118"/>
  <c r="A473" i="118"/>
  <c r="A474" i="118"/>
  <c r="A475" i="118"/>
  <c r="A476" i="118"/>
  <c r="A477" i="118"/>
  <c r="A478" i="118"/>
  <c r="A479" i="118"/>
  <c r="A480" i="118"/>
  <c r="A481" i="118"/>
  <c r="A482" i="118"/>
  <c r="A483" i="118"/>
  <c r="A484" i="118"/>
  <c r="A485" i="118"/>
  <c r="A486" i="118"/>
  <c r="A487" i="118"/>
  <c r="A488" i="118"/>
  <c r="A489" i="118"/>
  <c r="A490" i="118"/>
  <c r="A491" i="118"/>
  <c r="A492" i="118"/>
  <c r="A493" i="118"/>
  <c r="A494" i="118"/>
  <c r="A495" i="118"/>
  <c r="A496" i="118"/>
  <c r="A497" i="118"/>
  <c r="A498" i="118"/>
  <c r="A499" i="118"/>
  <c r="A500" i="118"/>
  <c r="A501" i="118"/>
  <c r="A502" i="118"/>
  <c r="A503" i="118"/>
  <c r="A504" i="118"/>
  <c r="A505" i="118"/>
  <c r="A506" i="118"/>
  <c r="A507" i="118"/>
  <c r="A508" i="118"/>
  <c r="A509" i="118"/>
  <c r="A510" i="118"/>
  <c r="A511" i="118"/>
  <c r="A512" i="118"/>
  <c r="A513" i="118"/>
  <c r="A514" i="118"/>
  <c r="A515" i="118"/>
  <c r="A516" i="118"/>
  <c r="A517" i="118"/>
  <c r="A518" i="118"/>
  <c r="A519" i="118"/>
  <c r="A520" i="118"/>
  <c r="A521" i="118"/>
  <c r="A522" i="118"/>
  <c r="A523" i="118"/>
  <c r="A524" i="118"/>
  <c r="A525" i="118"/>
  <c r="A526" i="118"/>
  <c r="A527" i="118"/>
  <c r="A528" i="118"/>
  <c r="A529" i="118"/>
  <c r="A530" i="118"/>
  <c r="A531" i="118"/>
  <c r="A532" i="118"/>
  <c r="A533" i="118"/>
  <c r="A534" i="118"/>
  <c r="A535" i="118"/>
  <c r="A536" i="118"/>
  <c r="A537" i="118"/>
  <c r="A538" i="118"/>
  <c r="A539" i="118"/>
  <c r="A540" i="118"/>
  <c r="A541" i="118"/>
  <c r="A542" i="118"/>
  <c r="A543" i="118"/>
  <c r="A544" i="118"/>
  <c r="A545" i="118"/>
  <c r="A546" i="118"/>
  <c r="A547" i="118"/>
  <c r="A548" i="118"/>
  <c r="A549" i="118"/>
  <c r="A550" i="118"/>
  <c r="A551" i="118"/>
  <c r="A552" i="118"/>
  <c r="A553" i="118"/>
  <c r="A554" i="118"/>
  <c r="A555" i="118"/>
  <c r="A556" i="118"/>
  <c r="A557" i="118"/>
  <c r="A558" i="118"/>
  <c r="A559" i="118"/>
  <c r="A560" i="118"/>
  <c r="A561" i="118"/>
  <c r="A562" i="118"/>
  <c r="A563" i="118"/>
  <c r="A564" i="118"/>
  <c r="A565" i="118"/>
  <c r="A566" i="118"/>
  <c r="A567" i="118"/>
  <c r="A568" i="118"/>
  <c r="A569" i="118"/>
  <c r="A570" i="118"/>
  <c r="A571" i="118"/>
  <c r="A572" i="118"/>
  <c r="A573" i="118"/>
  <c r="A10" i="118"/>
  <c r="AB5" i="118"/>
  <c r="O5" i="118"/>
  <c r="G5" i="118"/>
  <c r="N17" i="27" l="1"/>
  <c r="N560" i="27"/>
  <c r="N6" i="27"/>
  <c r="N54" i="27"/>
  <c r="N5" i="27"/>
  <c r="N4" i="27"/>
  <c r="N22" i="27"/>
  <c r="N335" i="27"/>
  <c r="N70" i="27"/>
  <c r="N406" i="27"/>
  <c r="N485" i="27"/>
  <c r="N480" i="27"/>
  <c r="N143" i="27"/>
  <c r="N543" i="27"/>
  <c r="N304" i="27"/>
  <c r="N134" i="27"/>
  <c r="N384" i="27"/>
  <c r="N128" i="27"/>
  <c r="N464" i="27"/>
  <c r="N383" i="27"/>
  <c r="N294" i="27"/>
  <c r="N208" i="27"/>
  <c r="N127" i="27"/>
  <c r="N32" i="27"/>
  <c r="N416" i="27"/>
  <c r="N559" i="27"/>
  <c r="N159" i="27"/>
  <c r="N486" i="27"/>
  <c r="N549" i="27"/>
  <c r="N230" i="27"/>
  <c r="N399" i="27"/>
  <c r="N390" i="27"/>
  <c r="N223" i="27"/>
  <c r="N48" i="27"/>
  <c r="N534" i="27"/>
  <c r="N303" i="27"/>
  <c r="N38" i="27"/>
  <c r="N533" i="27"/>
  <c r="N20" i="27"/>
  <c r="N528" i="27"/>
  <c r="N463" i="27"/>
  <c r="N374" i="27"/>
  <c r="N288" i="27"/>
  <c r="N207" i="27"/>
  <c r="N118" i="27"/>
  <c r="N496" i="27"/>
  <c r="N240" i="27"/>
  <c r="N320" i="27"/>
  <c r="N144" i="27"/>
  <c r="N544" i="27"/>
  <c r="N310" i="27"/>
  <c r="N479" i="27"/>
  <c r="N213" i="27"/>
  <c r="N229" i="27"/>
  <c r="N261" i="27"/>
  <c r="N293" i="27"/>
  <c r="N325" i="27"/>
  <c r="N373" i="27"/>
  <c r="N405" i="27"/>
  <c r="N437" i="27"/>
  <c r="N469" i="27"/>
  <c r="N197" i="27"/>
  <c r="N245" i="27"/>
  <c r="N277" i="27"/>
  <c r="N309" i="27"/>
  <c r="N341" i="27"/>
  <c r="N357" i="27"/>
  <c r="N389" i="27"/>
  <c r="N421" i="27"/>
  <c r="N453" i="27"/>
  <c r="N15" i="27"/>
  <c r="N47" i="27"/>
  <c r="N31" i="27"/>
  <c r="N470" i="27"/>
  <c r="N214" i="27"/>
  <c r="N500" i="27"/>
  <c r="N467" i="27"/>
  <c r="N527" i="27"/>
  <c r="N454" i="27"/>
  <c r="N368" i="27"/>
  <c r="N287" i="27"/>
  <c r="N198" i="27"/>
  <c r="N112" i="27"/>
  <c r="N16" i="27"/>
  <c r="N246" i="27"/>
  <c r="N326" i="27"/>
  <c r="N239" i="27"/>
  <c r="N63" i="27"/>
  <c r="N224" i="27"/>
  <c r="N367" i="27"/>
  <c r="N111" i="27"/>
  <c r="N447" i="27"/>
  <c r="N102" i="27"/>
  <c r="N438" i="27"/>
  <c r="N182" i="27"/>
  <c r="N511" i="27"/>
  <c r="N262" i="27"/>
  <c r="N95" i="27"/>
  <c r="N79" i="27"/>
  <c r="N415" i="27"/>
  <c r="N150" i="27"/>
  <c r="N319" i="27"/>
  <c r="N518" i="27"/>
  <c r="N278" i="27"/>
  <c r="N192" i="27"/>
  <c r="N358" i="27"/>
  <c r="N191" i="27"/>
  <c r="N512" i="27"/>
  <c r="N271" i="27"/>
  <c r="N96" i="27"/>
  <c r="N432" i="27"/>
  <c r="N351" i="27"/>
  <c r="N176" i="27"/>
  <c r="N566" i="27"/>
  <c r="N502" i="27"/>
  <c r="N431" i="27"/>
  <c r="N342" i="27"/>
  <c r="N256" i="27"/>
  <c r="N175" i="27"/>
  <c r="N86" i="27"/>
  <c r="N160" i="27"/>
  <c r="N495" i="27"/>
  <c r="N550" i="27"/>
  <c r="N64" i="27"/>
  <c r="N400" i="27"/>
  <c r="N448" i="27"/>
  <c r="N517" i="27"/>
  <c r="N352" i="27"/>
  <c r="N565" i="27"/>
  <c r="N501" i="27"/>
  <c r="N422" i="27"/>
  <c r="N336" i="27"/>
  <c r="N255" i="27"/>
  <c r="N166" i="27"/>
  <c r="N80" i="27"/>
  <c r="N558" i="27"/>
  <c r="N494" i="27"/>
  <c r="N430" i="27"/>
  <c r="N366" i="27"/>
  <c r="N302" i="27"/>
  <c r="N238" i="27"/>
  <c r="N174" i="27"/>
  <c r="N62" i="27"/>
  <c r="N525" i="27"/>
  <c r="N445" i="27"/>
  <c r="N381" i="27"/>
  <c r="N317" i="27"/>
  <c r="N253" i="27"/>
  <c r="N189" i="27"/>
  <c r="N125" i="27"/>
  <c r="N77" i="27"/>
  <c r="N13" i="27"/>
  <c r="N508" i="27"/>
  <c r="N476" i="27"/>
  <c r="N412" i="27"/>
  <c r="N332" i="27"/>
  <c r="N268" i="27"/>
  <c r="N204" i="27"/>
  <c r="N140" i="27"/>
  <c r="N92" i="27"/>
  <c r="N28" i="27"/>
  <c r="N539" i="27"/>
  <c r="N475" i="27"/>
  <c r="N411" i="27"/>
  <c r="N331" i="27"/>
  <c r="N267" i="27"/>
  <c r="N203" i="27"/>
  <c r="N155" i="27"/>
  <c r="N91" i="27"/>
  <c r="N43" i="27"/>
  <c r="N554" i="27"/>
  <c r="N538" i="27"/>
  <c r="N522" i="27"/>
  <c r="N506" i="27"/>
  <c r="N490" i="27"/>
  <c r="N474" i="27"/>
  <c r="N458" i="27"/>
  <c r="N442" i="27"/>
  <c r="N426" i="27"/>
  <c r="N410" i="27"/>
  <c r="N394" i="27"/>
  <c r="N378" i="27"/>
  <c r="N362" i="27"/>
  <c r="N346" i="27"/>
  <c r="N330" i="27"/>
  <c r="N314" i="27"/>
  <c r="N298" i="27"/>
  <c r="N282" i="27"/>
  <c r="N266" i="27"/>
  <c r="N250" i="27"/>
  <c r="N234" i="27"/>
  <c r="N218" i="27"/>
  <c r="N202" i="27"/>
  <c r="N186" i="27"/>
  <c r="N170" i="27"/>
  <c r="N154" i="27"/>
  <c r="N138" i="27"/>
  <c r="N122" i="27"/>
  <c r="N106" i="27"/>
  <c r="N90" i="27"/>
  <c r="N74" i="27"/>
  <c r="N58" i="27"/>
  <c r="N42" i="27"/>
  <c r="N26" i="27"/>
  <c r="N10" i="27"/>
  <c r="N542" i="27"/>
  <c r="N462" i="27"/>
  <c r="N398" i="27"/>
  <c r="N334" i="27"/>
  <c r="N270" i="27"/>
  <c r="N206" i="27"/>
  <c r="N142" i="27"/>
  <c r="N94" i="27"/>
  <c r="N30" i="27"/>
  <c r="N557" i="27"/>
  <c r="N493" i="27"/>
  <c r="N429" i="27"/>
  <c r="N365" i="27"/>
  <c r="N301" i="27"/>
  <c r="N237" i="27"/>
  <c r="N173" i="27"/>
  <c r="N109" i="27"/>
  <c r="N61" i="27"/>
  <c r="N556" i="27"/>
  <c r="N444" i="27"/>
  <c r="N380" i="27"/>
  <c r="N316" i="27"/>
  <c r="N252" i="27"/>
  <c r="N188" i="27"/>
  <c r="N124" i="27"/>
  <c r="N44" i="27"/>
  <c r="N523" i="27"/>
  <c r="N459" i="27"/>
  <c r="N395" i="27"/>
  <c r="N347" i="27"/>
  <c r="N283" i="27"/>
  <c r="N219" i="27"/>
  <c r="N139" i="27"/>
  <c r="N75" i="27"/>
  <c r="N27" i="27"/>
  <c r="N553" i="27"/>
  <c r="N537" i="27"/>
  <c r="N521" i="27"/>
  <c r="N505" i="27"/>
  <c r="N489" i="27"/>
  <c r="N473" i="27"/>
  <c r="N457" i="27"/>
  <c r="N441" i="27"/>
  <c r="N425" i="27"/>
  <c r="N409" i="27"/>
  <c r="N393" i="27"/>
  <c r="N377" i="27"/>
  <c r="N361" i="27"/>
  <c r="N345" i="27"/>
  <c r="N329" i="27"/>
  <c r="N313" i="27"/>
  <c r="N297" i="27"/>
  <c r="N281" i="27"/>
  <c r="N265" i="27"/>
  <c r="N249" i="27"/>
  <c r="N233" i="27"/>
  <c r="N217" i="27"/>
  <c r="N201" i="27"/>
  <c r="N185" i="27"/>
  <c r="N169" i="27"/>
  <c r="N153" i="27"/>
  <c r="N137" i="27"/>
  <c r="N121" i="27"/>
  <c r="N105" i="27"/>
  <c r="N89" i="27"/>
  <c r="N73" i="27"/>
  <c r="N57" i="27"/>
  <c r="N41" i="27"/>
  <c r="N25" i="27"/>
  <c r="N9" i="27"/>
  <c r="N510" i="27"/>
  <c r="N446" i="27"/>
  <c r="N382" i="27"/>
  <c r="N318" i="27"/>
  <c r="N254" i="27"/>
  <c r="N190" i="27"/>
  <c r="N126" i="27"/>
  <c r="N78" i="27"/>
  <c r="N46" i="27"/>
  <c r="N509" i="27"/>
  <c r="N461" i="27"/>
  <c r="N397" i="27"/>
  <c r="N333" i="27"/>
  <c r="N269" i="27"/>
  <c r="N205" i="27"/>
  <c r="N141" i="27"/>
  <c r="N45" i="27"/>
  <c r="N540" i="27"/>
  <c r="N460" i="27"/>
  <c r="N396" i="27"/>
  <c r="N364" i="27"/>
  <c r="N300" i="27"/>
  <c r="N236" i="27"/>
  <c r="N172" i="27"/>
  <c r="N108" i="27"/>
  <c r="N60" i="27"/>
  <c r="N507" i="27"/>
  <c r="N443" i="27"/>
  <c r="N379" i="27"/>
  <c r="N315" i="27"/>
  <c r="N251" i="27"/>
  <c r="N187" i="27"/>
  <c r="N107" i="27"/>
  <c r="N11" i="27"/>
  <c r="N552" i="27"/>
  <c r="N536" i="27"/>
  <c r="N520" i="27"/>
  <c r="N504" i="27"/>
  <c r="N488" i="27"/>
  <c r="N472" i="27"/>
  <c r="N456" i="27"/>
  <c r="N440" i="27"/>
  <c r="N424" i="27"/>
  <c r="N408" i="27"/>
  <c r="N392" i="27"/>
  <c r="N376" i="27"/>
  <c r="N360" i="27"/>
  <c r="N344" i="27"/>
  <c r="N328" i="27"/>
  <c r="N312" i="27"/>
  <c r="N296" i="27"/>
  <c r="N280" i="27"/>
  <c r="N264" i="27"/>
  <c r="N248" i="27"/>
  <c r="N232" i="27"/>
  <c r="N216" i="27"/>
  <c r="N200" i="27"/>
  <c r="N184" i="27"/>
  <c r="N168" i="27"/>
  <c r="N152" i="27"/>
  <c r="N136" i="27"/>
  <c r="N120" i="27"/>
  <c r="N104" i="27"/>
  <c r="N88" i="27"/>
  <c r="N72" i="27"/>
  <c r="N56" i="27"/>
  <c r="N40" i="27"/>
  <c r="N24" i="27"/>
  <c r="N8" i="27"/>
  <c r="N526" i="27"/>
  <c r="N478" i="27"/>
  <c r="N414" i="27"/>
  <c r="N350" i="27"/>
  <c r="N286" i="27"/>
  <c r="N222" i="27"/>
  <c r="N158" i="27"/>
  <c r="N110" i="27"/>
  <c r="N14" i="27"/>
  <c r="N541" i="27"/>
  <c r="N477" i="27"/>
  <c r="N413" i="27"/>
  <c r="N349" i="27"/>
  <c r="N285" i="27"/>
  <c r="N221" i="27"/>
  <c r="N157" i="27"/>
  <c r="N93" i="27"/>
  <c r="N29" i="27"/>
  <c r="N524" i="27"/>
  <c r="N492" i="27"/>
  <c r="N428" i="27"/>
  <c r="N348" i="27"/>
  <c r="N284" i="27"/>
  <c r="N220" i="27"/>
  <c r="N156" i="27"/>
  <c r="N76" i="27"/>
  <c r="N12" i="27"/>
  <c r="N555" i="27"/>
  <c r="N491" i="27"/>
  <c r="N427" i="27"/>
  <c r="N363" i="27"/>
  <c r="N299" i="27"/>
  <c r="N235" i="27"/>
  <c r="N171" i="27"/>
  <c r="N123" i="27"/>
  <c r="N59" i="27"/>
  <c r="N567" i="27"/>
  <c r="N551" i="27"/>
  <c r="N535" i="27"/>
  <c r="N519" i="27"/>
  <c r="N503" i="27"/>
  <c r="N487" i="27"/>
  <c r="N471" i="27"/>
  <c r="N455" i="27"/>
  <c r="N439" i="27"/>
  <c r="N423" i="27"/>
  <c r="N407" i="27"/>
  <c r="N391" i="27"/>
  <c r="N375" i="27"/>
  <c r="N359" i="27"/>
  <c r="N343" i="27"/>
  <c r="N327" i="27"/>
  <c r="N311" i="27"/>
  <c r="N295" i="27"/>
  <c r="N279" i="27"/>
  <c r="N263" i="27"/>
  <c r="N247" i="27"/>
  <c r="N231" i="27"/>
  <c r="N215" i="27"/>
  <c r="N199" i="27"/>
  <c r="N183" i="27"/>
  <c r="N167" i="27"/>
  <c r="N151" i="27"/>
  <c r="N135" i="27"/>
  <c r="N119" i="27"/>
  <c r="N103" i="27"/>
  <c r="N87" i="27"/>
  <c r="N71" i="27"/>
  <c r="N55" i="27"/>
  <c r="N39" i="27"/>
  <c r="N23" i="27"/>
  <c r="N7" i="27"/>
  <c r="N165" i="27"/>
  <c r="N133" i="27"/>
  <c r="N101" i="27"/>
  <c r="N69" i="27"/>
  <c r="N37" i="27"/>
  <c r="N21" i="27"/>
  <c r="N548" i="27"/>
  <c r="N516" i="27"/>
  <c r="N484" i="27"/>
  <c r="N436" i="27"/>
  <c r="N404" i="27"/>
  <c r="N372" i="27"/>
  <c r="N340" i="27"/>
  <c r="N308" i="27"/>
  <c r="N276" i="27"/>
  <c r="N244" i="27"/>
  <c r="N212" i="27"/>
  <c r="N180" i="27"/>
  <c r="N148" i="27"/>
  <c r="N116" i="27"/>
  <c r="N84" i="27"/>
  <c r="N52" i="27"/>
  <c r="N547" i="27"/>
  <c r="N515" i="27"/>
  <c r="N483" i="27"/>
  <c r="N451" i="27"/>
  <c r="N419" i="27"/>
  <c r="N387" i="27"/>
  <c r="N355" i="27"/>
  <c r="N323" i="27"/>
  <c r="N291" i="27"/>
  <c r="N259" i="27"/>
  <c r="N227" i="27"/>
  <c r="N195" i="27"/>
  <c r="N163" i="27"/>
  <c r="N131" i="27"/>
  <c r="N99" i="27"/>
  <c r="N83" i="27"/>
  <c r="N67" i="27"/>
  <c r="N35" i="27"/>
  <c r="N19" i="27"/>
  <c r="N562" i="27"/>
  <c r="N546" i="27"/>
  <c r="N530" i="27"/>
  <c r="N514" i="27"/>
  <c r="N498" i="27"/>
  <c r="N482" i="27"/>
  <c r="N466" i="27"/>
  <c r="N450" i="27"/>
  <c r="N434" i="27"/>
  <c r="N418" i="27"/>
  <c r="N402" i="27"/>
  <c r="N386" i="27"/>
  <c r="N370" i="27"/>
  <c r="N354" i="27"/>
  <c r="N338" i="27"/>
  <c r="N322" i="27"/>
  <c r="N306" i="27"/>
  <c r="N290" i="27"/>
  <c r="N274" i="27"/>
  <c r="N258" i="27"/>
  <c r="N242" i="27"/>
  <c r="N226" i="27"/>
  <c r="N210" i="27"/>
  <c r="N194" i="27"/>
  <c r="N178" i="27"/>
  <c r="N162" i="27"/>
  <c r="N146" i="27"/>
  <c r="N130" i="27"/>
  <c r="N114" i="27"/>
  <c r="N98" i="27"/>
  <c r="N82" i="27"/>
  <c r="N66" i="27"/>
  <c r="N50" i="27"/>
  <c r="N34" i="27"/>
  <c r="N18" i="27"/>
  <c r="N181" i="27"/>
  <c r="N149" i="27"/>
  <c r="N117" i="27"/>
  <c r="N85" i="27"/>
  <c r="N53" i="27"/>
  <c r="N564" i="27"/>
  <c r="N532" i="27"/>
  <c r="N468" i="27"/>
  <c r="N452" i="27"/>
  <c r="N420" i="27"/>
  <c r="N388" i="27"/>
  <c r="N356" i="27"/>
  <c r="N324" i="27"/>
  <c r="N292" i="27"/>
  <c r="N260" i="27"/>
  <c r="N228" i="27"/>
  <c r="N196" i="27"/>
  <c r="N164" i="27"/>
  <c r="N132" i="27"/>
  <c r="N100" i="27"/>
  <c r="N68" i="27"/>
  <c r="N36" i="27"/>
  <c r="N563" i="27"/>
  <c r="N531" i="27"/>
  <c r="N499" i="27"/>
  <c r="N435" i="27"/>
  <c r="N403" i="27"/>
  <c r="N371" i="27"/>
  <c r="N339" i="27"/>
  <c r="N307" i="27"/>
  <c r="N275" i="27"/>
  <c r="N243" i="27"/>
  <c r="N211" i="27"/>
  <c r="N179" i="27"/>
  <c r="N147" i="27"/>
  <c r="N115" i="27"/>
  <c r="N51" i="27"/>
  <c r="N561" i="27"/>
  <c r="N545" i="27"/>
  <c r="N529" i="27"/>
  <c r="N513" i="27"/>
  <c r="N497" i="27"/>
  <c r="N481" i="27"/>
  <c r="N465" i="27"/>
  <c r="N449" i="27"/>
  <c r="N433" i="27"/>
  <c r="N417" i="27"/>
  <c r="N401" i="27"/>
  <c r="N385" i="27"/>
  <c r="N369" i="27"/>
  <c r="N353" i="27"/>
  <c r="N337" i="27"/>
  <c r="N321" i="27"/>
  <c r="N305" i="27"/>
  <c r="N289" i="27"/>
  <c r="N273" i="27"/>
  <c r="N257" i="27"/>
  <c r="N241" i="27"/>
  <c r="N225" i="27"/>
  <c r="N209" i="27"/>
  <c r="N193" i="27"/>
  <c r="N177" i="27"/>
  <c r="N161" i="27"/>
  <c r="N145" i="27"/>
  <c r="N129" i="27"/>
  <c r="N113" i="27"/>
  <c r="N97" i="27"/>
  <c r="N81" i="27"/>
  <c r="N65" i="27"/>
  <c r="N49" i="27"/>
  <c r="N33" i="27"/>
  <c r="P5" i="118"/>
  <c r="M6" i="115" l="1"/>
  <c r="W18" i="93"/>
  <c r="W19" i="93"/>
  <c r="W20" i="93"/>
  <c r="W74" i="93"/>
  <c r="W21" i="93"/>
  <c r="W22" i="93"/>
  <c r="W75" i="93"/>
  <c r="W76" i="93"/>
  <c r="W77" i="93"/>
  <c r="W78" i="93"/>
  <c r="W79" i="93"/>
  <c r="W80" i="93"/>
  <c r="W190" i="93"/>
  <c r="W23" i="93"/>
  <c r="W81" i="93"/>
  <c r="W82" i="93"/>
  <c r="W83" i="93"/>
  <c r="W84" i="93"/>
  <c r="W85" i="93"/>
  <c r="W86" i="93"/>
  <c r="W87" i="93"/>
  <c r="W5" i="93"/>
  <c r="W88" i="93"/>
  <c r="W124" i="93"/>
  <c r="W125" i="93"/>
  <c r="W7" i="93"/>
  <c r="W26" i="93"/>
  <c r="W126" i="93"/>
  <c r="W127" i="93"/>
  <c r="W128" i="93"/>
  <c r="W129" i="93"/>
  <c r="W130" i="93"/>
  <c r="W131" i="93"/>
  <c r="W132" i="93"/>
  <c r="W133" i="93"/>
  <c r="W134" i="93"/>
  <c r="W8" i="93"/>
  <c r="W135" i="93"/>
  <c r="W136" i="93"/>
  <c r="W137" i="93"/>
  <c r="W138" i="93"/>
  <c r="W139" i="93"/>
  <c r="W140" i="93"/>
  <c r="W141" i="93"/>
  <c r="W156" i="93"/>
  <c r="W157" i="93"/>
  <c r="W158" i="93"/>
  <c r="W159" i="93"/>
  <c r="W160" i="93"/>
  <c r="W161" i="93"/>
  <c r="W162" i="93"/>
  <c r="W163" i="93"/>
  <c r="W46" i="93"/>
  <c r="W47" i="93"/>
  <c r="W48" i="93"/>
  <c r="W49" i="93"/>
  <c r="W50" i="93"/>
  <c r="W51" i="93"/>
  <c r="W52" i="93"/>
  <c r="W53" i="93"/>
  <c r="W54" i="93"/>
  <c r="W38" i="93"/>
  <c r="W39" i="93"/>
  <c r="W40" i="93"/>
  <c r="W41" i="93"/>
  <c r="W42" i="93"/>
  <c r="W43" i="93"/>
  <c r="W44" i="93"/>
  <c r="W4" i="93"/>
  <c r="W45" i="93"/>
  <c r="W142" i="93"/>
  <c r="W143" i="93"/>
  <c r="W27" i="93"/>
  <c r="W144" i="93"/>
  <c r="W145" i="93"/>
  <c r="W146" i="93"/>
  <c r="W147" i="93"/>
  <c r="W148" i="93"/>
  <c r="W149" i="93"/>
  <c r="W150" i="93"/>
  <c r="W28" i="93"/>
  <c r="W29" i="93"/>
  <c r="W151" i="93"/>
  <c r="W152" i="93"/>
  <c r="W153" i="93"/>
  <c r="W154" i="93"/>
  <c r="W155" i="93"/>
  <c r="W16" i="93"/>
  <c r="W33" i="93"/>
  <c r="W34" i="93"/>
  <c r="W185" i="93"/>
  <c r="W35" i="93"/>
  <c r="W36" i="93"/>
  <c r="W37" i="93"/>
  <c r="W178" i="93"/>
  <c r="W179" i="93"/>
  <c r="W30" i="93"/>
  <c r="W180" i="93"/>
  <c r="W181" i="93"/>
  <c r="W182" i="93"/>
  <c r="W183" i="93"/>
  <c r="W9" i="93"/>
  <c r="W184" i="93"/>
  <c r="W104" i="93"/>
  <c r="W105" i="93"/>
  <c r="W106" i="93"/>
  <c r="W107" i="93"/>
  <c r="W6" i="93"/>
  <c r="W108" i="93"/>
  <c r="W109" i="93"/>
  <c r="W110" i="93"/>
  <c r="W111" i="93"/>
  <c r="W24" i="93"/>
  <c r="W65" i="93"/>
  <c r="W66" i="93"/>
  <c r="W67" i="93"/>
  <c r="W68" i="93"/>
  <c r="W69" i="93"/>
  <c r="W188" i="93"/>
  <c r="W70" i="93"/>
  <c r="W71" i="93"/>
  <c r="W189" i="93"/>
  <c r="W72" i="93"/>
  <c r="W17" i="93"/>
  <c r="W55" i="93"/>
  <c r="W56" i="93"/>
  <c r="W57" i="93"/>
  <c r="W186" i="93"/>
  <c r="W58" i="93"/>
  <c r="W59" i="93"/>
  <c r="W60" i="93"/>
  <c r="W61" i="93"/>
  <c r="W62" i="93"/>
  <c r="W63" i="93"/>
  <c r="W187" i="93"/>
  <c r="W64" i="93"/>
  <c r="W89" i="93"/>
  <c r="W90" i="93"/>
  <c r="W91" i="93"/>
  <c r="W92" i="93"/>
  <c r="W93" i="93"/>
  <c r="W94" i="93"/>
  <c r="W95" i="93"/>
  <c r="W96" i="93"/>
  <c r="W118" i="93"/>
  <c r="W25" i="93"/>
  <c r="W119" i="93"/>
  <c r="W120" i="93"/>
  <c r="W121" i="93"/>
  <c r="W122" i="93"/>
  <c r="W123" i="93"/>
  <c r="W10" i="93"/>
  <c r="W11" i="93"/>
  <c r="W12" i="93"/>
  <c r="W13" i="93"/>
  <c r="W14" i="93"/>
  <c r="W15" i="93"/>
  <c r="W31" i="93"/>
  <c r="W32" i="93"/>
  <c r="W191" i="93"/>
  <c r="W112" i="93"/>
  <c r="W113" i="93"/>
  <c r="W114" i="93"/>
  <c r="W115" i="93"/>
  <c r="W116" i="93"/>
  <c r="W117" i="93"/>
  <c r="W97" i="93"/>
  <c r="W98" i="93"/>
  <c r="W99" i="93"/>
  <c r="W100" i="93"/>
  <c r="W101" i="93"/>
  <c r="W102" i="93"/>
  <c r="W103" i="93"/>
  <c r="W164" i="93"/>
  <c r="W165" i="93"/>
  <c r="W166" i="93"/>
  <c r="W167" i="93"/>
  <c r="W168" i="93"/>
  <c r="W169" i="93"/>
  <c r="W170" i="93"/>
  <c r="W171" i="93"/>
  <c r="W172" i="93"/>
  <c r="W173" i="93"/>
  <c r="W174" i="93"/>
  <c r="W175" i="93"/>
  <c r="W176" i="93"/>
  <c r="W177" i="93"/>
  <c r="W73" i="93"/>
  <c r="AF7" i="27"/>
  <c r="AF10" i="27"/>
  <c r="AF13" i="27"/>
  <c r="AF16" i="27"/>
  <c r="AF19" i="27"/>
  <c r="AF22" i="27"/>
  <c r="AF25" i="27"/>
  <c r="AF28" i="27"/>
  <c r="AF31" i="27"/>
  <c r="AF34" i="27"/>
  <c r="AF37" i="27"/>
  <c r="AF40" i="27"/>
  <c r="AF43" i="27"/>
  <c r="AF46" i="27"/>
  <c r="AF49" i="27"/>
  <c r="AF52" i="27"/>
  <c r="AF55" i="27"/>
  <c r="AF58" i="27"/>
  <c r="AF61" i="27"/>
  <c r="AF64" i="27"/>
  <c r="AF67" i="27"/>
  <c r="AF70" i="27"/>
  <c r="AF73" i="27"/>
  <c r="AF76" i="27"/>
  <c r="AF79" i="27"/>
  <c r="AF82" i="27"/>
  <c r="AF85" i="27"/>
  <c r="AF88" i="27"/>
  <c r="AF91" i="27"/>
  <c r="AF94" i="27"/>
  <c r="AF97" i="27"/>
  <c r="AF100" i="27"/>
  <c r="AF103" i="27"/>
  <c r="AF106" i="27"/>
  <c r="AF109" i="27"/>
  <c r="AF112" i="27"/>
  <c r="AF115" i="27"/>
  <c r="AF118" i="27"/>
  <c r="AF121" i="27"/>
  <c r="AF124" i="27"/>
  <c r="AF127" i="27"/>
  <c r="AF130" i="27"/>
  <c r="AF133" i="27"/>
  <c r="AF136" i="27"/>
  <c r="AF139" i="27"/>
  <c r="AF142" i="27"/>
  <c r="AF145" i="27"/>
  <c r="AF148" i="27"/>
  <c r="AF151" i="27"/>
  <c r="AF154" i="27"/>
  <c r="AF157" i="27"/>
  <c r="AF160" i="27"/>
  <c r="AF163" i="27"/>
  <c r="AF166" i="27"/>
  <c r="AF169" i="27"/>
  <c r="AF172" i="27"/>
  <c r="AF175" i="27"/>
  <c r="AF178" i="27"/>
  <c r="AF181" i="27"/>
  <c r="AF184" i="27"/>
  <c r="AF187" i="27"/>
  <c r="AF190" i="27"/>
  <c r="AF193" i="27"/>
  <c r="AF196" i="27"/>
  <c r="AF199" i="27"/>
  <c r="AF202" i="27"/>
  <c r="AF205" i="27"/>
  <c r="AF208" i="27"/>
  <c r="AF211" i="27"/>
  <c r="AF214" i="27"/>
  <c r="AF217" i="27"/>
  <c r="AF220" i="27"/>
  <c r="AF223" i="27"/>
  <c r="AF226" i="27"/>
  <c r="AF229" i="27"/>
  <c r="AF232" i="27"/>
  <c r="AF235" i="27"/>
  <c r="AF238" i="27"/>
  <c r="AF241" i="27"/>
  <c r="AF244" i="27"/>
  <c r="AF247" i="27"/>
  <c r="AF250" i="27"/>
  <c r="AF253" i="27"/>
  <c r="AF256" i="27"/>
  <c r="AF259" i="27"/>
  <c r="AF262" i="27"/>
  <c r="AF265" i="27"/>
  <c r="AF268" i="27"/>
  <c r="AF271" i="27"/>
  <c r="AF274" i="27"/>
  <c r="AF277" i="27"/>
  <c r="AF280" i="27"/>
  <c r="AF283" i="27"/>
  <c r="AF286" i="27"/>
  <c r="AF289" i="27"/>
  <c r="AF292" i="27"/>
  <c r="AF295" i="27"/>
  <c r="AF298" i="27"/>
  <c r="AF301" i="27"/>
  <c r="AF304" i="27"/>
  <c r="AF307" i="27"/>
  <c r="AF310" i="27"/>
  <c r="AF313" i="27"/>
  <c r="AF316" i="27"/>
  <c r="AF319" i="27"/>
  <c r="AF322" i="27"/>
  <c r="AF325" i="27"/>
  <c r="AF328" i="27"/>
  <c r="AF331" i="27"/>
  <c r="AF334" i="27"/>
  <c r="AF337" i="27"/>
  <c r="AF340" i="27"/>
  <c r="AF343" i="27"/>
  <c r="AF346" i="27"/>
  <c r="AF349" i="27"/>
  <c r="AF352" i="27"/>
  <c r="AF355" i="27"/>
  <c r="AF358" i="27"/>
  <c r="AF361" i="27"/>
  <c r="AF364" i="27"/>
  <c r="AF367" i="27"/>
  <c r="AF370" i="27"/>
  <c r="AF373" i="27"/>
  <c r="AF376" i="27"/>
  <c r="AF379" i="27"/>
  <c r="AF382" i="27"/>
  <c r="AF385" i="27"/>
  <c r="AF388" i="27"/>
  <c r="AF391" i="27"/>
  <c r="AF394" i="27"/>
  <c r="AF397" i="27"/>
  <c r="AF400" i="27"/>
  <c r="AF403" i="27"/>
  <c r="AF406" i="27"/>
  <c r="AF409" i="27"/>
  <c r="AF412" i="27"/>
  <c r="AF415" i="27"/>
  <c r="AF418" i="27"/>
  <c r="AF421" i="27"/>
  <c r="AF424" i="27"/>
  <c r="AF427" i="27"/>
  <c r="AF430" i="27"/>
  <c r="AF433" i="27"/>
  <c r="AF436" i="27"/>
  <c r="AF439" i="27"/>
  <c r="AF442" i="27"/>
  <c r="AF445" i="27"/>
  <c r="AF448" i="27"/>
  <c r="AF451" i="27"/>
  <c r="AF454" i="27"/>
  <c r="AF457" i="27"/>
  <c r="AF460" i="27"/>
  <c r="AF463" i="27"/>
  <c r="AF466" i="27"/>
  <c r="AF469" i="27"/>
  <c r="AF472" i="27"/>
  <c r="AF475" i="27"/>
  <c r="AF478" i="27"/>
  <c r="AF481" i="27"/>
  <c r="AF484" i="27"/>
  <c r="AF487" i="27"/>
  <c r="AF490" i="27"/>
  <c r="AF493" i="27"/>
  <c r="AF496" i="27"/>
  <c r="AF499" i="27"/>
  <c r="AF502" i="27"/>
  <c r="AF505" i="27"/>
  <c r="AF508" i="27"/>
  <c r="AF511" i="27"/>
  <c r="AF514" i="27"/>
  <c r="AF517" i="27"/>
  <c r="AF520" i="27"/>
  <c r="AF523" i="27"/>
  <c r="AF526" i="27"/>
  <c r="AF529" i="27"/>
  <c r="AF532" i="27"/>
  <c r="AF535" i="27"/>
  <c r="AF538" i="27"/>
  <c r="AF541" i="27"/>
  <c r="AF544" i="27"/>
  <c r="AF547" i="27"/>
  <c r="AF550" i="27"/>
  <c r="AF553" i="27"/>
  <c r="AF556" i="27"/>
  <c r="AF559" i="27"/>
  <c r="AF562" i="27"/>
  <c r="AF565" i="27"/>
  <c r="AF5" i="27"/>
  <c r="AF8" i="27"/>
  <c r="AF11" i="27"/>
  <c r="AF14" i="27"/>
  <c r="AF17" i="27"/>
  <c r="AF20" i="27"/>
  <c r="AF23" i="27"/>
  <c r="AF26" i="27"/>
  <c r="AF29" i="27"/>
  <c r="AF32" i="27"/>
  <c r="AF35" i="27"/>
  <c r="AF38" i="27"/>
  <c r="AF41" i="27"/>
  <c r="AF44" i="27"/>
  <c r="AF47" i="27"/>
  <c r="AF50" i="27"/>
  <c r="AF53" i="27"/>
  <c r="AF56" i="27"/>
  <c r="AF59" i="27"/>
  <c r="AF62" i="27"/>
  <c r="AF65" i="27"/>
  <c r="AF68" i="27"/>
  <c r="AF71" i="27"/>
  <c r="AF74" i="27"/>
  <c r="AF77" i="27"/>
  <c r="AF80" i="27"/>
  <c r="AF83" i="27"/>
  <c r="AF86" i="27"/>
  <c r="AF89" i="27"/>
  <c r="AF92" i="27"/>
  <c r="AF95" i="27"/>
  <c r="AF98" i="27"/>
  <c r="AF101" i="27"/>
  <c r="AF104" i="27"/>
  <c r="AF107" i="27"/>
  <c r="AF110" i="27"/>
  <c r="AF113" i="27"/>
  <c r="AF116" i="27"/>
  <c r="AF119" i="27"/>
  <c r="AF122" i="27"/>
  <c r="AF125" i="27"/>
  <c r="AF128" i="27"/>
  <c r="AF131" i="27"/>
  <c r="AF134" i="27"/>
  <c r="AF137" i="27"/>
  <c r="AF140" i="27"/>
  <c r="AF143" i="27"/>
  <c r="AF146" i="27"/>
  <c r="AF149" i="27"/>
  <c r="AF152" i="27"/>
  <c r="AF155" i="27"/>
  <c r="AF158" i="27"/>
  <c r="AF161" i="27"/>
  <c r="AF164" i="27"/>
  <c r="AF167" i="27"/>
  <c r="AF170" i="27"/>
  <c r="AF173" i="27"/>
  <c r="AF176" i="27"/>
  <c r="AF179" i="27"/>
  <c r="AF182" i="27"/>
  <c r="AF185" i="27"/>
  <c r="AF188" i="27"/>
  <c r="AF191" i="27"/>
  <c r="AF194" i="27"/>
  <c r="AF197" i="27"/>
  <c r="AF200" i="27"/>
  <c r="AF203" i="27"/>
  <c r="AF206" i="27"/>
  <c r="AF209" i="27"/>
  <c r="AF212" i="27"/>
  <c r="AF215" i="27"/>
  <c r="AF218" i="27"/>
  <c r="AF221" i="27"/>
  <c r="AF224" i="27"/>
  <c r="AF227" i="27"/>
  <c r="AF230" i="27"/>
  <c r="AF233" i="27"/>
  <c r="AF236" i="27"/>
  <c r="AF239" i="27"/>
  <c r="AF242" i="27"/>
  <c r="AF245" i="27"/>
  <c r="AF248" i="27"/>
  <c r="AF251" i="27"/>
  <c r="AF254" i="27"/>
  <c r="AF257" i="27"/>
  <c r="AF260" i="27"/>
  <c r="AF263" i="27"/>
  <c r="AF266" i="27"/>
  <c r="AF269" i="27"/>
  <c r="AF272" i="27"/>
  <c r="AF275" i="27"/>
  <c r="AF278" i="27"/>
  <c r="AF281" i="27"/>
  <c r="AF284" i="27"/>
  <c r="AF287" i="27"/>
  <c r="AF290" i="27"/>
  <c r="AF293" i="27"/>
  <c r="AF296" i="27"/>
  <c r="AF299" i="27"/>
  <c r="AF302" i="27"/>
  <c r="AF305" i="27"/>
  <c r="AF308" i="27"/>
  <c r="AF311" i="27"/>
  <c r="AF314" i="27"/>
  <c r="AF317" i="27"/>
  <c r="AF320" i="27"/>
  <c r="AF323" i="27"/>
  <c r="AF326" i="27"/>
  <c r="AF329" i="27"/>
  <c r="AF332" i="27"/>
  <c r="AF335" i="27"/>
  <c r="AF338" i="27"/>
  <c r="AF341" i="27"/>
  <c r="AF344" i="27"/>
  <c r="AF347" i="27"/>
  <c r="AF350" i="27"/>
  <c r="AF353" i="27"/>
  <c r="AF356" i="27"/>
  <c r="AF359" i="27"/>
  <c r="AF362" i="27"/>
  <c r="AF365" i="27"/>
  <c r="AF368" i="27"/>
  <c r="AF371" i="27"/>
  <c r="AF374" i="27"/>
  <c r="AF377" i="27"/>
  <c r="AF380" i="27"/>
  <c r="AF383" i="27"/>
  <c r="AF386" i="27"/>
  <c r="AF389" i="27"/>
  <c r="AF392" i="27"/>
  <c r="AF395" i="27"/>
  <c r="AF398" i="27"/>
  <c r="AF401" i="27"/>
  <c r="AF404" i="27"/>
  <c r="AF407" i="27"/>
  <c r="AF410" i="27"/>
  <c r="AF413" i="27"/>
  <c r="AF416" i="27"/>
  <c r="AF419" i="27"/>
  <c r="AF422" i="27"/>
  <c r="AF425" i="27"/>
  <c r="AF428" i="27"/>
  <c r="AF431" i="27"/>
  <c r="AF434" i="27"/>
  <c r="AF437" i="27"/>
  <c r="AF440" i="27"/>
  <c r="AF443" i="27"/>
  <c r="AF446" i="27"/>
  <c r="AF449" i="27"/>
  <c r="AF452" i="27"/>
  <c r="AF455" i="27"/>
  <c r="AF458" i="27"/>
  <c r="AF461" i="27"/>
  <c r="AF464" i="27"/>
  <c r="AF467" i="27"/>
  <c r="AF470" i="27"/>
  <c r="AF473" i="27"/>
  <c r="AF476" i="27"/>
  <c r="AF479" i="27"/>
  <c r="AF482" i="27"/>
  <c r="AF485" i="27"/>
  <c r="AF488" i="27"/>
  <c r="AF491" i="27"/>
  <c r="AF494" i="27"/>
  <c r="AF497" i="27"/>
  <c r="AF500" i="27"/>
  <c r="AF503" i="27"/>
  <c r="AF506" i="27"/>
  <c r="AF509" i="27"/>
  <c r="AF512" i="27"/>
  <c r="AF515" i="27"/>
  <c r="AF518" i="27"/>
  <c r="AF521" i="27"/>
  <c r="AF524" i="27"/>
  <c r="AF527" i="27"/>
  <c r="AF530" i="27"/>
  <c r="AF533" i="27"/>
  <c r="AF536" i="27"/>
  <c r="AF539" i="27"/>
  <c r="AF542" i="27"/>
  <c r="AF545" i="27"/>
  <c r="AF548" i="27"/>
  <c r="AF551" i="27"/>
  <c r="AF554" i="27"/>
  <c r="AF557" i="27"/>
  <c r="AF560" i="27"/>
  <c r="AF563" i="27"/>
  <c r="AF566" i="27"/>
  <c r="AF6" i="27"/>
  <c r="AF9" i="27"/>
  <c r="AF12" i="27"/>
  <c r="AF15" i="27"/>
  <c r="AF18" i="27"/>
  <c r="AF21" i="27"/>
  <c r="AF24" i="27"/>
  <c r="AF27" i="27"/>
  <c r="AF30" i="27"/>
  <c r="AF33" i="27"/>
  <c r="AF36" i="27"/>
  <c r="AF39" i="27"/>
  <c r="AF42" i="27"/>
  <c r="AF45" i="27"/>
  <c r="AF48" i="27"/>
  <c r="AF51" i="27"/>
  <c r="AF54" i="27"/>
  <c r="AF57" i="27"/>
  <c r="AF60" i="27"/>
  <c r="AF63" i="27"/>
  <c r="AF66" i="27"/>
  <c r="AF69" i="27"/>
  <c r="AF72" i="27"/>
  <c r="AF75" i="27"/>
  <c r="AF78" i="27"/>
  <c r="AF81" i="27"/>
  <c r="AF84" i="27"/>
  <c r="AF87" i="27"/>
  <c r="AF90" i="27"/>
  <c r="AF93" i="27"/>
  <c r="AF96" i="27"/>
  <c r="AF99" i="27"/>
  <c r="AF102" i="27"/>
  <c r="AF105" i="27"/>
  <c r="AF108" i="27"/>
  <c r="AF111" i="27"/>
  <c r="AF114" i="27"/>
  <c r="AF117" i="27"/>
  <c r="AF120" i="27"/>
  <c r="AF123" i="27"/>
  <c r="AF126" i="27"/>
  <c r="AF129" i="27"/>
  <c r="AF132" i="27"/>
  <c r="AF135" i="27"/>
  <c r="AF138" i="27"/>
  <c r="AF141" i="27"/>
  <c r="AF144" i="27"/>
  <c r="AF147" i="27"/>
  <c r="AF150" i="27"/>
  <c r="AF153" i="27"/>
  <c r="AF156" i="27"/>
  <c r="AF159" i="27"/>
  <c r="AF162" i="27"/>
  <c r="AF165" i="27"/>
  <c r="AF168" i="27"/>
  <c r="AF171" i="27"/>
  <c r="AF174" i="27"/>
  <c r="AF177" i="27"/>
  <c r="AF180" i="27"/>
  <c r="AF183" i="27"/>
  <c r="AF186" i="27"/>
  <c r="AF189" i="27"/>
  <c r="AF192" i="27"/>
  <c r="AF195" i="27"/>
  <c r="AF198" i="27"/>
  <c r="AF201" i="27"/>
  <c r="AF204" i="27"/>
  <c r="AF207" i="27"/>
  <c r="AF210" i="27"/>
  <c r="AF213" i="27"/>
  <c r="AF216" i="27"/>
  <c r="AF219" i="27"/>
  <c r="AF222" i="27"/>
  <c r="AF225" i="27"/>
  <c r="AF228" i="27"/>
  <c r="AF231" i="27"/>
  <c r="AF234" i="27"/>
  <c r="AF237" i="27"/>
  <c r="AF240" i="27"/>
  <c r="AF243" i="27"/>
  <c r="AF246" i="27"/>
  <c r="AF249" i="27"/>
  <c r="AF252" i="27"/>
  <c r="AF255" i="27"/>
  <c r="AF258" i="27"/>
  <c r="AF261" i="27"/>
  <c r="AF264" i="27"/>
  <c r="AF267" i="27"/>
  <c r="AF270" i="27"/>
  <c r="AF273" i="27"/>
  <c r="AF276" i="27"/>
  <c r="AF279" i="27"/>
  <c r="AF282" i="27"/>
  <c r="AF285" i="27"/>
  <c r="AF288" i="27"/>
  <c r="AF291" i="27"/>
  <c r="AF294" i="27"/>
  <c r="AF297" i="27"/>
  <c r="AF300" i="27"/>
  <c r="AF303" i="27"/>
  <c r="AF306" i="27"/>
  <c r="AF309" i="27"/>
  <c r="AF312" i="27"/>
  <c r="AF315" i="27"/>
  <c r="AF318" i="27"/>
  <c r="AF321" i="27"/>
  <c r="AF324" i="27"/>
  <c r="AF327" i="27"/>
  <c r="AF330" i="27"/>
  <c r="AF333" i="27"/>
  <c r="AF336" i="27"/>
  <c r="AF339" i="27"/>
  <c r="AF342" i="27"/>
  <c r="AF345" i="27"/>
  <c r="AF348" i="27"/>
  <c r="AF351" i="27"/>
  <c r="AF354" i="27"/>
  <c r="AF357" i="27"/>
  <c r="AF360" i="27"/>
  <c r="AF363" i="27"/>
  <c r="AF366" i="27"/>
  <c r="AF369" i="27"/>
  <c r="AF372" i="27"/>
  <c r="AF375" i="27"/>
  <c r="AF378" i="27"/>
  <c r="AF381" i="27"/>
  <c r="AF384" i="27"/>
  <c r="AF387" i="27"/>
  <c r="AF390" i="27"/>
  <c r="AF393" i="27"/>
  <c r="AF396" i="27"/>
  <c r="AF399" i="27"/>
  <c r="AF402" i="27"/>
  <c r="AF405" i="27"/>
  <c r="AF408" i="27"/>
  <c r="AF411" i="27"/>
  <c r="AF414" i="27"/>
  <c r="AF417" i="27"/>
  <c r="AF420" i="27"/>
  <c r="AF423" i="27"/>
  <c r="AF426" i="27"/>
  <c r="AF429" i="27"/>
  <c r="AF432" i="27"/>
  <c r="AF435" i="27"/>
  <c r="AF438" i="27"/>
  <c r="AF441" i="27"/>
  <c r="AF444" i="27"/>
  <c r="AF447" i="27"/>
  <c r="AF450" i="27"/>
  <c r="AF453" i="27"/>
  <c r="AF456" i="27"/>
  <c r="AF459" i="27"/>
  <c r="AF462" i="27"/>
  <c r="AF465" i="27"/>
  <c r="AF468" i="27"/>
  <c r="AF471" i="27"/>
  <c r="AF474" i="27"/>
  <c r="AF477" i="27"/>
  <c r="AF480" i="27"/>
  <c r="AF483" i="27"/>
  <c r="AF486" i="27"/>
  <c r="AF489" i="27"/>
  <c r="AF492" i="27"/>
  <c r="AF495" i="27"/>
  <c r="AF498" i="27"/>
  <c r="AF501" i="27"/>
  <c r="AF504" i="27"/>
  <c r="AF507" i="27"/>
  <c r="AF510" i="27"/>
  <c r="AF513" i="27"/>
  <c r="AF516" i="27"/>
  <c r="AF519" i="27"/>
  <c r="AF522" i="27"/>
  <c r="AF525" i="27"/>
  <c r="AF528" i="27"/>
  <c r="AF531" i="27"/>
  <c r="AF534" i="27"/>
  <c r="AF537" i="27"/>
  <c r="AF540" i="27"/>
  <c r="AF543" i="27"/>
  <c r="AF546" i="27"/>
  <c r="AF549" i="27"/>
  <c r="AF552" i="27"/>
  <c r="AF555" i="27"/>
  <c r="AF558" i="27"/>
  <c r="AF561" i="27"/>
  <c r="AF564" i="27"/>
  <c r="AF567" i="27"/>
  <c r="AF4" i="27"/>
  <c r="A7" i="27"/>
  <c r="A10" i="27"/>
  <c r="A13" i="27"/>
  <c r="A16" i="27"/>
  <c r="A19" i="27"/>
  <c r="A22" i="27"/>
  <c r="A25" i="27"/>
  <c r="A28" i="27"/>
  <c r="A31" i="27"/>
  <c r="A34" i="27"/>
  <c r="A37" i="27"/>
  <c r="A40" i="27"/>
  <c r="A43" i="27"/>
  <c r="A46" i="27"/>
  <c r="A49" i="27"/>
  <c r="A52" i="27"/>
  <c r="A55" i="27"/>
  <c r="A58" i="27"/>
  <c r="A61" i="27"/>
  <c r="A64" i="27"/>
  <c r="A67" i="27"/>
  <c r="A70" i="27"/>
  <c r="A73" i="27"/>
  <c r="A76" i="27"/>
  <c r="A79" i="27"/>
  <c r="A82" i="27"/>
  <c r="A85" i="27"/>
  <c r="A88" i="27"/>
  <c r="A91" i="27"/>
  <c r="A94" i="27"/>
  <c r="A97" i="27"/>
  <c r="A100" i="27"/>
  <c r="A103" i="27"/>
  <c r="A106" i="27"/>
  <c r="A109" i="27"/>
  <c r="A112" i="27"/>
  <c r="A115" i="27"/>
  <c r="A118" i="27"/>
  <c r="A121" i="27"/>
  <c r="A124" i="27"/>
  <c r="A127" i="27"/>
  <c r="A130" i="27"/>
  <c r="A133" i="27"/>
  <c r="A136" i="27"/>
  <c r="A139" i="27"/>
  <c r="A142" i="27"/>
  <c r="A145" i="27"/>
  <c r="A148" i="27"/>
  <c r="A151" i="27"/>
  <c r="A154" i="27"/>
  <c r="A157" i="27"/>
  <c r="A160" i="27"/>
  <c r="A163" i="27"/>
  <c r="A166" i="27"/>
  <c r="A169" i="27"/>
  <c r="A172" i="27"/>
  <c r="A175" i="27"/>
  <c r="A178" i="27"/>
  <c r="A181" i="27"/>
  <c r="A184" i="27"/>
  <c r="A187" i="27"/>
  <c r="A190" i="27"/>
  <c r="A193" i="27"/>
  <c r="A196" i="27"/>
  <c r="A199" i="27"/>
  <c r="A202" i="27"/>
  <c r="A205" i="27"/>
  <c r="A208" i="27"/>
  <c r="A211" i="27"/>
  <c r="A214" i="27"/>
  <c r="A217" i="27"/>
  <c r="A220" i="27"/>
  <c r="A223" i="27"/>
  <c r="A226" i="27"/>
  <c r="A229" i="27"/>
  <c r="A232" i="27"/>
  <c r="A235" i="27"/>
  <c r="A238" i="27"/>
  <c r="A241" i="27"/>
  <c r="A244" i="27"/>
  <c r="A247" i="27"/>
  <c r="A250" i="27"/>
  <c r="A253" i="27"/>
  <c r="A256" i="27"/>
  <c r="A259" i="27"/>
  <c r="A262" i="27"/>
  <c r="A265" i="27"/>
  <c r="A268" i="27"/>
  <c r="A271" i="27"/>
  <c r="A274" i="27"/>
  <c r="A277" i="27"/>
  <c r="A280" i="27"/>
  <c r="A283" i="27"/>
  <c r="A286" i="27"/>
  <c r="A289" i="27"/>
  <c r="A292" i="27"/>
  <c r="A295" i="27"/>
  <c r="A298" i="27"/>
  <c r="A301" i="27"/>
  <c r="A304" i="27"/>
  <c r="A307" i="27"/>
  <c r="A310" i="27"/>
  <c r="A313" i="27"/>
  <c r="A316" i="27"/>
  <c r="A319" i="27"/>
  <c r="A322" i="27"/>
  <c r="A325" i="27"/>
  <c r="A328" i="27"/>
  <c r="A331" i="27"/>
  <c r="A334" i="27"/>
  <c r="A337" i="27"/>
  <c r="A340" i="27"/>
  <c r="A343" i="27"/>
  <c r="A346" i="27"/>
  <c r="A349" i="27"/>
  <c r="A352" i="27"/>
  <c r="A355" i="27"/>
  <c r="A358" i="27"/>
  <c r="A361" i="27"/>
  <c r="A364" i="27"/>
  <c r="A367" i="27"/>
  <c r="A370" i="27"/>
  <c r="A373" i="27"/>
  <c r="A376" i="27"/>
  <c r="A379" i="27"/>
  <c r="A382" i="27"/>
  <c r="A385" i="27"/>
  <c r="A388" i="27"/>
  <c r="A391" i="27"/>
  <c r="A394" i="27"/>
  <c r="A397" i="27"/>
  <c r="A400" i="27"/>
  <c r="A403" i="27"/>
  <c r="A406" i="27"/>
  <c r="A409" i="27"/>
  <c r="A412" i="27"/>
  <c r="A415" i="27"/>
  <c r="A418" i="27"/>
  <c r="A421" i="27"/>
  <c r="A424" i="27"/>
  <c r="A427" i="27"/>
  <c r="A430" i="27"/>
  <c r="A433" i="27"/>
  <c r="A436" i="27"/>
  <c r="A439" i="27"/>
  <c r="A442" i="27"/>
  <c r="A445" i="27"/>
  <c r="A448" i="27"/>
  <c r="A451" i="27"/>
  <c r="A454" i="27"/>
  <c r="A457" i="27"/>
  <c r="A460" i="27"/>
  <c r="A463" i="27"/>
  <c r="A466" i="27"/>
  <c r="A469" i="27"/>
  <c r="A472" i="27"/>
  <c r="A475" i="27"/>
  <c r="A478" i="27"/>
  <c r="A481" i="27"/>
  <c r="A484" i="27"/>
  <c r="A487" i="27"/>
  <c r="A490" i="27"/>
  <c r="A493" i="27"/>
  <c r="A496" i="27"/>
  <c r="A499" i="27"/>
  <c r="A502" i="27"/>
  <c r="A505" i="27"/>
  <c r="A508" i="27"/>
  <c r="A511" i="27"/>
  <c r="A514" i="27"/>
  <c r="A517" i="27"/>
  <c r="A520" i="27"/>
  <c r="A523" i="27"/>
  <c r="A526" i="27"/>
  <c r="A529" i="27"/>
  <c r="A532" i="27"/>
  <c r="A535" i="27"/>
  <c r="A538" i="27"/>
  <c r="A541" i="27"/>
  <c r="A544" i="27"/>
  <c r="A547" i="27"/>
  <c r="A550" i="27"/>
  <c r="A553" i="27"/>
  <c r="A556" i="27"/>
  <c r="A559" i="27"/>
  <c r="A562" i="27"/>
  <c r="A565" i="27"/>
  <c r="A5" i="27"/>
  <c r="A8" i="27"/>
  <c r="A11" i="27"/>
  <c r="A14" i="27"/>
  <c r="A17" i="27"/>
  <c r="A20" i="27"/>
  <c r="A23" i="27"/>
  <c r="A26" i="27"/>
  <c r="A29" i="27"/>
  <c r="A32" i="27"/>
  <c r="A35" i="27"/>
  <c r="A38" i="27"/>
  <c r="A41" i="27"/>
  <c r="A44" i="27"/>
  <c r="A47" i="27"/>
  <c r="A50" i="27"/>
  <c r="A53" i="27"/>
  <c r="A56" i="27"/>
  <c r="A59" i="27"/>
  <c r="A62" i="27"/>
  <c r="A65" i="27"/>
  <c r="A68" i="27"/>
  <c r="A71" i="27"/>
  <c r="A74" i="27"/>
  <c r="A77" i="27"/>
  <c r="A80" i="27"/>
  <c r="A83" i="27"/>
  <c r="A86" i="27"/>
  <c r="A89" i="27"/>
  <c r="A92" i="27"/>
  <c r="A95" i="27"/>
  <c r="A98" i="27"/>
  <c r="A101" i="27"/>
  <c r="A104" i="27"/>
  <c r="A107" i="27"/>
  <c r="A110" i="27"/>
  <c r="A113" i="27"/>
  <c r="A116" i="27"/>
  <c r="A119" i="27"/>
  <c r="A122" i="27"/>
  <c r="A125" i="27"/>
  <c r="A128" i="27"/>
  <c r="A131" i="27"/>
  <c r="A134" i="27"/>
  <c r="A137" i="27"/>
  <c r="A140" i="27"/>
  <c r="A143" i="27"/>
  <c r="A146" i="27"/>
  <c r="A149" i="27"/>
  <c r="A152" i="27"/>
  <c r="A155" i="27"/>
  <c r="A158" i="27"/>
  <c r="A161" i="27"/>
  <c r="A164" i="27"/>
  <c r="A167" i="27"/>
  <c r="A170" i="27"/>
  <c r="A173" i="27"/>
  <c r="A176" i="27"/>
  <c r="A179" i="27"/>
  <c r="A182" i="27"/>
  <c r="A185" i="27"/>
  <c r="A188" i="27"/>
  <c r="A191" i="27"/>
  <c r="A194" i="27"/>
  <c r="A197" i="27"/>
  <c r="A200" i="27"/>
  <c r="A203" i="27"/>
  <c r="A206" i="27"/>
  <c r="A209" i="27"/>
  <c r="A212" i="27"/>
  <c r="A215" i="27"/>
  <c r="A218" i="27"/>
  <c r="A221" i="27"/>
  <c r="A224" i="27"/>
  <c r="A227" i="27"/>
  <c r="A230" i="27"/>
  <c r="A233" i="27"/>
  <c r="A236" i="27"/>
  <c r="A239" i="27"/>
  <c r="A242" i="27"/>
  <c r="A245" i="27"/>
  <c r="A248" i="27"/>
  <c r="A251" i="27"/>
  <c r="A254" i="27"/>
  <c r="A257" i="27"/>
  <c r="A260" i="27"/>
  <c r="A263" i="27"/>
  <c r="A266" i="27"/>
  <c r="A269" i="27"/>
  <c r="A272" i="27"/>
  <c r="A275" i="27"/>
  <c r="A278" i="27"/>
  <c r="A281" i="27"/>
  <c r="A284" i="27"/>
  <c r="A287" i="27"/>
  <c r="A290" i="27"/>
  <c r="A293" i="27"/>
  <c r="A296" i="27"/>
  <c r="A299" i="27"/>
  <c r="A302" i="27"/>
  <c r="A305" i="27"/>
  <c r="A308" i="27"/>
  <c r="A311" i="27"/>
  <c r="A314" i="27"/>
  <c r="A317" i="27"/>
  <c r="A320" i="27"/>
  <c r="A323" i="27"/>
  <c r="A326" i="27"/>
  <c r="A329" i="27"/>
  <c r="A332" i="27"/>
  <c r="A335" i="27"/>
  <c r="A338" i="27"/>
  <c r="A341" i="27"/>
  <c r="A344" i="27"/>
  <c r="A347" i="27"/>
  <c r="A350" i="27"/>
  <c r="A353" i="27"/>
  <c r="A356" i="27"/>
  <c r="A359" i="27"/>
  <c r="A362" i="27"/>
  <c r="A365" i="27"/>
  <c r="A368" i="27"/>
  <c r="A371" i="27"/>
  <c r="A374" i="27"/>
  <c r="A377" i="27"/>
  <c r="A380" i="27"/>
  <c r="A383" i="27"/>
  <c r="A386" i="27"/>
  <c r="A389" i="27"/>
  <c r="A392" i="27"/>
  <c r="A395" i="27"/>
  <c r="A398" i="27"/>
  <c r="A401" i="27"/>
  <c r="A404" i="27"/>
  <c r="A407" i="27"/>
  <c r="A410" i="27"/>
  <c r="A413" i="27"/>
  <c r="A416" i="27"/>
  <c r="A419" i="27"/>
  <c r="A422" i="27"/>
  <c r="A425" i="27"/>
  <c r="A428" i="27"/>
  <c r="A431" i="27"/>
  <c r="A434" i="27"/>
  <c r="A437" i="27"/>
  <c r="A440" i="27"/>
  <c r="A443" i="27"/>
  <c r="A446" i="27"/>
  <c r="A449" i="27"/>
  <c r="A452" i="27"/>
  <c r="A455" i="27"/>
  <c r="A458" i="27"/>
  <c r="A461" i="27"/>
  <c r="A464" i="27"/>
  <c r="A467" i="27"/>
  <c r="A470" i="27"/>
  <c r="A473" i="27"/>
  <c r="A476" i="27"/>
  <c r="A479" i="27"/>
  <c r="A482" i="27"/>
  <c r="A485" i="27"/>
  <c r="A488" i="27"/>
  <c r="A491" i="27"/>
  <c r="A494" i="27"/>
  <c r="A497" i="27"/>
  <c r="A500" i="27"/>
  <c r="A503" i="27"/>
  <c r="A506" i="27"/>
  <c r="A509" i="27"/>
  <c r="A512" i="27"/>
  <c r="A515" i="27"/>
  <c r="A518" i="27"/>
  <c r="A521" i="27"/>
  <c r="A524" i="27"/>
  <c r="A527" i="27"/>
  <c r="A530" i="27"/>
  <c r="A533" i="27"/>
  <c r="A536" i="27"/>
  <c r="A539" i="27"/>
  <c r="A542" i="27"/>
  <c r="A545" i="27"/>
  <c r="A548" i="27"/>
  <c r="A551" i="27"/>
  <c r="A554" i="27"/>
  <c r="A557" i="27"/>
  <c r="A560" i="27"/>
  <c r="A563" i="27"/>
  <c r="A566" i="27"/>
  <c r="A6" i="27"/>
  <c r="A9" i="27"/>
  <c r="A12" i="27"/>
  <c r="A15" i="27"/>
  <c r="A18" i="27"/>
  <c r="A21" i="27"/>
  <c r="A24" i="27"/>
  <c r="A27" i="27"/>
  <c r="A30" i="27"/>
  <c r="A33" i="27"/>
  <c r="A36" i="27"/>
  <c r="A39" i="27"/>
  <c r="A42" i="27"/>
  <c r="A45" i="27"/>
  <c r="A48" i="27"/>
  <c r="A51" i="27"/>
  <c r="A54" i="27"/>
  <c r="A57" i="27"/>
  <c r="A60" i="27"/>
  <c r="A63" i="27"/>
  <c r="A66" i="27"/>
  <c r="A69" i="27"/>
  <c r="A72" i="27"/>
  <c r="A75" i="27"/>
  <c r="A78" i="27"/>
  <c r="A81" i="27"/>
  <c r="A84" i="27"/>
  <c r="A87" i="27"/>
  <c r="A90" i="27"/>
  <c r="A93" i="27"/>
  <c r="A96" i="27"/>
  <c r="A99" i="27"/>
  <c r="A102" i="27"/>
  <c r="A105" i="27"/>
  <c r="A108" i="27"/>
  <c r="A111" i="27"/>
  <c r="A114" i="27"/>
  <c r="A117" i="27"/>
  <c r="A120" i="27"/>
  <c r="A123" i="27"/>
  <c r="A126" i="27"/>
  <c r="A129" i="27"/>
  <c r="A132" i="27"/>
  <c r="A135" i="27"/>
  <c r="A138" i="27"/>
  <c r="A141" i="27"/>
  <c r="A144" i="27"/>
  <c r="A147" i="27"/>
  <c r="A150" i="27"/>
  <c r="A153" i="27"/>
  <c r="A156" i="27"/>
  <c r="A159" i="27"/>
  <c r="A162" i="27"/>
  <c r="A165" i="27"/>
  <c r="A168" i="27"/>
  <c r="A171" i="27"/>
  <c r="A174" i="27"/>
  <c r="A177" i="27"/>
  <c r="A180" i="27"/>
  <c r="A183" i="27"/>
  <c r="A186" i="27"/>
  <c r="A189" i="27"/>
  <c r="A192" i="27"/>
  <c r="A195" i="27"/>
  <c r="A198" i="27"/>
  <c r="A201" i="27"/>
  <c r="A204" i="27"/>
  <c r="A207" i="27"/>
  <c r="A210" i="27"/>
  <c r="A213" i="27"/>
  <c r="A216" i="27"/>
  <c r="A219" i="27"/>
  <c r="A222" i="27"/>
  <c r="A225" i="27"/>
  <c r="A228" i="27"/>
  <c r="A231" i="27"/>
  <c r="A234" i="27"/>
  <c r="A237" i="27"/>
  <c r="A240" i="27"/>
  <c r="A243" i="27"/>
  <c r="A246" i="27"/>
  <c r="A249" i="27"/>
  <c r="A252" i="27"/>
  <c r="A255" i="27"/>
  <c r="A258" i="27"/>
  <c r="A261" i="27"/>
  <c r="A264" i="27"/>
  <c r="A267" i="27"/>
  <c r="A270" i="27"/>
  <c r="A273" i="27"/>
  <c r="A276" i="27"/>
  <c r="A279" i="27"/>
  <c r="A282" i="27"/>
  <c r="A285" i="27"/>
  <c r="A288" i="27"/>
  <c r="A291" i="27"/>
  <c r="A294" i="27"/>
  <c r="A297" i="27"/>
  <c r="A300" i="27"/>
  <c r="A303" i="27"/>
  <c r="A306" i="27"/>
  <c r="A309" i="27"/>
  <c r="A312" i="27"/>
  <c r="A315" i="27"/>
  <c r="A318" i="27"/>
  <c r="A321" i="27"/>
  <c r="A324" i="27"/>
  <c r="A327" i="27"/>
  <c r="A330" i="27"/>
  <c r="A333" i="27"/>
  <c r="A336" i="27"/>
  <c r="A339" i="27"/>
  <c r="A342" i="27"/>
  <c r="A345" i="27"/>
  <c r="A348" i="27"/>
  <c r="A351" i="27"/>
  <c r="A354" i="27"/>
  <c r="A357" i="27"/>
  <c r="A360" i="27"/>
  <c r="A363" i="27"/>
  <c r="A366" i="27"/>
  <c r="A369" i="27"/>
  <c r="A372" i="27"/>
  <c r="A375" i="27"/>
  <c r="A378" i="27"/>
  <c r="A381" i="27"/>
  <c r="A384" i="27"/>
  <c r="A387" i="27"/>
  <c r="A390" i="27"/>
  <c r="A393" i="27"/>
  <c r="A396" i="27"/>
  <c r="A399" i="27"/>
  <c r="A402" i="27"/>
  <c r="A405" i="27"/>
  <c r="A408" i="27"/>
  <c r="A411" i="27"/>
  <c r="A414" i="27"/>
  <c r="A417" i="27"/>
  <c r="A420" i="27"/>
  <c r="A423" i="27"/>
  <c r="A426" i="27"/>
  <c r="A429" i="27"/>
  <c r="A432" i="27"/>
  <c r="A435" i="27"/>
  <c r="A438" i="27"/>
  <c r="A441" i="27"/>
  <c r="A444" i="27"/>
  <c r="A447" i="27"/>
  <c r="A450" i="27"/>
  <c r="A453" i="27"/>
  <c r="A456" i="27"/>
  <c r="A459" i="27"/>
  <c r="A462" i="27"/>
  <c r="A465" i="27"/>
  <c r="A468" i="27"/>
  <c r="A471" i="27"/>
  <c r="A474" i="27"/>
  <c r="A477" i="27"/>
  <c r="A480" i="27"/>
  <c r="A483" i="27"/>
  <c r="A486" i="27"/>
  <c r="A489" i="27"/>
  <c r="A492" i="27"/>
  <c r="A495" i="27"/>
  <c r="A498" i="27"/>
  <c r="A501" i="27"/>
  <c r="A504" i="27"/>
  <c r="A507" i="27"/>
  <c r="A510" i="27"/>
  <c r="A513" i="27"/>
  <c r="A516" i="27"/>
  <c r="A519" i="27"/>
  <c r="A522" i="27"/>
  <c r="A525" i="27"/>
  <c r="A528" i="27"/>
  <c r="A531" i="27"/>
  <c r="A534" i="27"/>
  <c r="A537" i="27"/>
  <c r="A540" i="27"/>
  <c r="A543" i="27"/>
  <c r="A546" i="27"/>
  <c r="A549" i="27"/>
  <c r="A552" i="27"/>
  <c r="A555" i="27"/>
  <c r="A558" i="27"/>
  <c r="A561" i="27"/>
  <c r="A564" i="27"/>
  <c r="A567" i="27"/>
  <c r="A4" i="27"/>
  <c r="A177" i="93"/>
  <c r="A4" i="92"/>
  <c r="A73" i="93"/>
  <c r="AD208" i="92" l="1"/>
  <c r="AD224" i="92"/>
  <c r="AD240" i="92"/>
  <c r="AD256" i="92"/>
  <c r="AD272" i="92"/>
  <c r="AD288" i="92"/>
  <c r="AD304" i="92"/>
  <c r="AD320" i="92"/>
  <c r="AD336" i="92"/>
  <c r="AD352" i="92"/>
  <c r="AD368" i="92"/>
  <c r="AD384" i="92"/>
  <c r="AD588" i="92"/>
  <c r="AD604" i="92"/>
  <c r="AD620" i="92"/>
  <c r="AD636" i="92"/>
  <c r="AD652" i="92"/>
  <c r="AD668" i="92"/>
  <c r="AD684" i="92"/>
  <c r="AD700" i="92"/>
  <c r="AD716" i="92"/>
  <c r="AD732" i="92"/>
  <c r="AD748" i="92"/>
  <c r="AD735" i="92"/>
  <c r="AD704" i="92"/>
  <c r="AD737" i="92"/>
  <c r="AD722" i="92"/>
  <c r="AD693" i="92"/>
  <c r="AD85" i="92"/>
  <c r="AD209" i="92"/>
  <c r="AD225" i="92"/>
  <c r="AD241" i="92"/>
  <c r="AD257" i="92"/>
  <c r="AD273" i="92"/>
  <c r="AD289" i="92"/>
  <c r="AD305" i="92"/>
  <c r="AD321" i="92"/>
  <c r="AD337" i="92"/>
  <c r="AD353" i="92"/>
  <c r="AD369" i="92"/>
  <c r="AD465" i="92"/>
  <c r="AD589" i="92"/>
  <c r="AD605" i="92"/>
  <c r="AD621" i="92"/>
  <c r="AD637" i="92"/>
  <c r="AD653" i="92"/>
  <c r="AD669" i="92"/>
  <c r="AD685" i="92"/>
  <c r="AD701" i="92"/>
  <c r="AD717" i="92"/>
  <c r="AD733" i="92"/>
  <c r="AD749" i="92"/>
  <c r="AD703" i="92"/>
  <c r="AD751" i="92"/>
  <c r="AD720" i="92"/>
  <c r="AD690" i="92"/>
  <c r="AD740" i="92"/>
  <c r="AD742" i="92"/>
  <c r="AD194" i="92"/>
  <c r="AD210" i="92"/>
  <c r="AD226" i="92"/>
  <c r="AD242" i="92"/>
  <c r="AD258" i="92"/>
  <c r="AD274" i="92"/>
  <c r="AD290" i="92"/>
  <c r="AD306" i="92"/>
  <c r="AD322" i="92"/>
  <c r="AD338" i="92"/>
  <c r="AD354" i="92"/>
  <c r="AD370" i="92"/>
  <c r="AD574" i="92"/>
  <c r="AD590" i="92"/>
  <c r="AD606" i="92"/>
  <c r="AD622" i="92"/>
  <c r="AD638" i="92"/>
  <c r="AD654" i="92"/>
  <c r="AD670" i="92"/>
  <c r="AD686" i="92"/>
  <c r="AD702" i="92"/>
  <c r="AD718" i="92"/>
  <c r="AD734" i="92"/>
  <c r="AD750" i="92"/>
  <c r="AD687" i="92"/>
  <c r="AD688" i="92"/>
  <c r="AD736" i="92"/>
  <c r="AD706" i="92"/>
  <c r="AD739" i="92"/>
  <c r="AD726" i="92"/>
  <c r="AD195" i="92"/>
  <c r="AD211" i="92"/>
  <c r="AD227" i="92"/>
  <c r="AD243" i="92"/>
  <c r="AD259" i="92"/>
  <c r="AD275" i="92"/>
  <c r="AD291" i="92"/>
  <c r="AD307" i="92"/>
  <c r="AD323" i="92"/>
  <c r="AD339" i="92"/>
  <c r="AD355" i="92"/>
  <c r="AD371" i="92"/>
  <c r="AD575" i="92"/>
  <c r="AD591" i="92"/>
  <c r="AD607" i="92"/>
  <c r="AD623" i="92"/>
  <c r="AD639" i="92"/>
  <c r="AD655" i="92"/>
  <c r="AD671" i="92"/>
  <c r="AD719" i="92"/>
  <c r="AD752" i="92"/>
  <c r="AD707" i="92"/>
  <c r="AD196" i="92"/>
  <c r="AD212" i="92"/>
  <c r="AD228" i="92"/>
  <c r="AD244" i="92"/>
  <c r="AD260" i="92"/>
  <c r="AD276" i="92"/>
  <c r="AD292" i="92"/>
  <c r="AD308" i="92"/>
  <c r="AD324" i="92"/>
  <c r="AD340" i="92"/>
  <c r="AD356" i="92"/>
  <c r="AD372" i="92"/>
  <c r="AD576" i="92"/>
  <c r="AD592" i="92"/>
  <c r="AD608" i="92"/>
  <c r="AD624" i="92"/>
  <c r="AD640" i="92"/>
  <c r="AD656" i="92"/>
  <c r="AD672" i="92"/>
  <c r="AD753" i="92"/>
  <c r="AD724" i="92"/>
  <c r="AD197" i="92"/>
  <c r="AD213" i="92"/>
  <c r="AD229" i="92"/>
  <c r="AD245" i="92"/>
  <c r="AD261" i="92"/>
  <c r="AD277" i="92"/>
  <c r="AD293" i="92"/>
  <c r="AD309" i="92"/>
  <c r="AD325" i="92"/>
  <c r="AD341" i="92"/>
  <c r="AD357" i="92"/>
  <c r="AD373" i="92"/>
  <c r="AD577" i="92"/>
  <c r="AD593" i="92"/>
  <c r="AD609" i="92"/>
  <c r="AD625" i="92"/>
  <c r="AD641" i="92"/>
  <c r="AD657" i="92"/>
  <c r="AD673" i="92"/>
  <c r="AD689" i="92"/>
  <c r="AD705" i="92"/>
  <c r="AD721" i="92"/>
  <c r="AD738" i="92"/>
  <c r="AD757" i="92"/>
  <c r="AD198" i="92"/>
  <c r="AD214" i="92"/>
  <c r="AD230" i="92"/>
  <c r="AD246" i="92"/>
  <c r="AD262" i="92"/>
  <c r="AD278" i="92"/>
  <c r="AD294" i="92"/>
  <c r="AD310" i="92"/>
  <c r="AD326" i="92"/>
  <c r="AD342" i="92"/>
  <c r="AD358" i="92"/>
  <c r="AD374" i="92"/>
  <c r="AD578" i="92"/>
  <c r="AD594" i="92"/>
  <c r="AD610" i="92"/>
  <c r="AD626" i="92"/>
  <c r="AD642" i="92"/>
  <c r="AD658" i="92"/>
  <c r="AD674" i="92"/>
  <c r="AD754" i="92"/>
  <c r="AD199" i="92"/>
  <c r="AD215" i="92"/>
  <c r="AD231" i="92"/>
  <c r="AD247" i="92"/>
  <c r="AD263" i="92"/>
  <c r="AD279" i="92"/>
  <c r="AD295" i="92"/>
  <c r="AD311" i="92"/>
  <c r="AD327" i="92"/>
  <c r="AD343" i="92"/>
  <c r="AD359" i="92"/>
  <c r="AD375" i="92"/>
  <c r="AD579" i="92"/>
  <c r="AD595" i="92"/>
  <c r="AD611" i="92"/>
  <c r="AD627" i="92"/>
  <c r="AD643" i="92"/>
  <c r="AD659" i="92"/>
  <c r="AD675" i="92"/>
  <c r="AD691" i="92"/>
  <c r="AD678" i="92"/>
  <c r="AD200" i="92"/>
  <c r="AD216" i="92"/>
  <c r="AD232" i="92"/>
  <c r="AD248" i="92"/>
  <c r="AD264" i="92"/>
  <c r="AD280" i="92"/>
  <c r="AD296" i="92"/>
  <c r="AD312" i="92"/>
  <c r="AD328" i="92"/>
  <c r="AD344" i="92"/>
  <c r="AD360" i="92"/>
  <c r="AD376" i="92"/>
  <c r="AD580" i="92"/>
  <c r="AD596" i="92"/>
  <c r="AD612" i="92"/>
  <c r="AD628" i="92"/>
  <c r="AD644" i="92"/>
  <c r="AD660" i="92"/>
  <c r="AD676" i="92"/>
  <c r="AD692" i="92"/>
  <c r="AD708" i="92"/>
  <c r="AD741" i="92"/>
  <c r="AD201" i="92"/>
  <c r="AD217" i="92"/>
  <c r="AD233" i="92"/>
  <c r="AD249" i="92"/>
  <c r="AD265" i="92"/>
  <c r="AD281" i="92"/>
  <c r="AD297" i="92"/>
  <c r="AD313" i="92"/>
  <c r="AD329" i="92"/>
  <c r="AD345" i="92"/>
  <c r="AD361" i="92"/>
  <c r="AD377" i="92"/>
  <c r="AD581" i="92"/>
  <c r="AD597" i="92"/>
  <c r="AD613" i="92"/>
  <c r="AD629" i="92"/>
  <c r="AD645" i="92"/>
  <c r="AD661" i="92"/>
  <c r="AD677" i="92"/>
  <c r="AD202" i="92"/>
  <c r="AD218" i="92"/>
  <c r="AD234" i="92"/>
  <c r="AD250" i="92"/>
  <c r="AD266" i="92"/>
  <c r="AD282" i="92"/>
  <c r="AD298" i="92"/>
  <c r="AD314" i="92"/>
  <c r="AD330" i="92"/>
  <c r="AD346" i="92"/>
  <c r="AD362" i="92"/>
  <c r="AD378" i="92"/>
  <c r="AD582" i="92"/>
  <c r="AD598" i="92"/>
  <c r="AD614" i="92"/>
  <c r="AD630" i="92"/>
  <c r="AD646" i="92"/>
  <c r="AD662" i="92"/>
  <c r="AD694" i="92"/>
  <c r="AD203" i="92"/>
  <c r="AD219" i="92"/>
  <c r="AD235" i="92"/>
  <c r="AD251" i="92"/>
  <c r="AD267" i="92"/>
  <c r="AD283" i="92"/>
  <c r="AD299" i="92"/>
  <c r="AD315" i="92"/>
  <c r="AD331" i="92"/>
  <c r="AD347" i="92"/>
  <c r="AD363" i="92"/>
  <c r="AD379" i="92"/>
  <c r="AD583" i="92"/>
  <c r="AD599" i="92"/>
  <c r="AD615" i="92"/>
  <c r="AD631" i="92"/>
  <c r="AD647" i="92"/>
  <c r="AD663" i="92"/>
  <c r="AD679" i="92"/>
  <c r="AD695" i="92"/>
  <c r="AD711" i="92"/>
  <c r="AD727" i="92"/>
  <c r="AD743" i="92"/>
  <c r="AD759" i="92"/>
  <c r="AD762" i="92"/>
  <c r="AD709" i="92"/>
  <c r="AD204" i="92"/>
  <c r="AD220" i="92"/>
  <c r="AD236" i="92"/>
  <c r="AD252" i="92"/>
  <c r="AD268" i="92"/>
  <c r="AD284" i="92"/>
  <c r="AD300" i="92"/>
  <c r="AD316" i="92"/>
  <c r="AD332" i="92"/>
  <c r="AD348" i="92"/>
  <c r="AD364" i="92"/>
  <c r="AD380" i="92"/>
  <c r="AD584" i="92"/>
  <c r="AD600" i="92"/>
  <c r="AD616" i="92"/>
  <c r="AD632" i="92"/>
  <c r="AD648" i="92"/>
  <c r="AD664" i="92"/>
  <c r="AD680" i="92"/>
  <c r="AD696" i="92"/>
  <c r="AD712" i="92"/>
  <c r="AD728" i="92"/>
  <c r="AD744" i="92"/>
  <c r="AD760" i="92"/>
  <c r="AD763" i="92"/>
  <c r="AD725" i="92"/>
  <c r="AD205" i="92"/>
  <c r="AD221" i="92"/>
  <c r="AD237" i="92"/>
  <c r="AD253" i="92"/>
  <c r="AD269" i="92"/>
  <c r="AD285" i="92"/>
  <c r="AD301" i="92"/>
  <c r="AD317" i="92"/>
  <c r="AD333" i="92"/>
  <c r="AD349" i="92"/>
  <c r="AD365" i="92"/>
  <c r="AD381" i="92"/>
  <c r="AD585" i="92"/>
  <c r="AD601" i="92"/>
  <c r="AD617" i="92"/>
  <c r="AD633" i="92"/>
  <c r="AD649" i="92"/>
  <c r="AD665" i="92"/>
  <c r="AD681" i="92"/>
  <c r="AD697" i="92"/>
  <c r="AD713" i="92"/>
  <c r="AD729" i="92"/>
  <c r="AD745" i="92"/>
  <c r="AD761" i="92"/>
  <c r="AD756" i="92"/>
  <c r="AD206" i="92"/>
  <c r="AD222" i="92"/>
  <c r="AD238" i="92"/>
  <c r="AD254" i="92"/>
  <c r="AD270" i="92"/>
  <c r="AD286" i="92"/>
  <c r="AD302" i="92"/>
  <c r="AD318" i="92"/>
  <c r="AD334" i="92"/>
  <c r="AD350" i="92"/>
  <c r="AD366" i="92"/>
  <c r="AD382" i="92"/>
  <c r="AD586" i="92"/>
  <c r="AD602" i="92"/>
  <c r="AD618" i="92"/>
  <c r="AD634" i="92"/>
  <c r="AD650" i="92"/>
  <c r="AD666" i="92"/>
  <c r="AD682" i="92"/>
  <c r="AD698" i="92"/>
  <c r="AD714" i="92"/>
  <c r="AD730" i="92"/>
  <c r="AD746" i="92"/>
  <c r="AD723" i="92"/>
  <c r="AD710" i="92"/>
  <c r="AD207" i="92"/>
  <c r="AD223" i="92"/>
  <c r="AD239" i="92"/>
  <c r="AD255" i="92"/>
  <c r="AD271" i="92"/>
  <c r="AD287" i="92"/>
  <c r="AD303" i="92"/>
  <c r="AD319" i="92"/>
  <c r="AD335" i="92"/>
  <c r="AD351" i="92"/>
  <c r="AD367" i="92"/>
  <c r="AD383" i="92"/>
  <c r="AD587" i="92"/>
  <c r="AD603" i="92"/>
  <c r="AD619" i="92"/>
  <c r="AD635" i="92"/>
  <c r="AD651" i="92"/>
  <c r="AD667" i="92"/>
  <c r="AD683" i="92"/>
  <c r="AD699" i="92"/>
  <c r="AD715" i="92"/>
  <c r="AD731" i="92"/>
  <c r="AD747" i="92"/>
  <c r="AD755" i="92"/>
  <c r="AD758" i="92"/>
  <c r="AD113" i="92"/>
  <c r="AD135" i="92"/>
  <c r="AD535" i="92"/>
  <c r="AD86" i="92"/>
  <c r="AD79" i="92"/>
  <c r="AD28" i="92"/>
  <c r="AD12" i="92"/>
  <c r="AD134" i="92"/>
  <c r="AD21" i="92"/>
  <c r="AD188" i="92"/>
  <c r="AD500" i="92"/>
  <c r="AD458" i="92"/>
  <c r="AD20" i="92"/>
  <c r="AD192" i="92"/>
  <c r="AD499" i="92"/>
  <c r="AD464" i="92"/>
  <c r="AD37" i="92"/>
  <c r="AD190" i="92"/>
  <c r="AD174" i="92"/>
  <c r="AD58" i="92"/>
  <c r="AD555" i="92"/>
  <c r="AD569" i="92"/>
  <c r="AD478" i="92"/>
  <c r="AD414" i="92"/>
  <c r="AD440" i="92"/>
  <c r="AD429" i="92"/>
  <c r="AD59" i="92"/>
  <c r="AD539" i="92"/>
  <c r="AD536" i="92"/>
  <c r="AD151" i="92"/>
  <c r="AD173" i="92"/>
  <c r="AD531" i="92"/>
  <c r="AD494" i="92"/>
  <c r="AD513" i="92"/>
  <c r="AD152" i="92"/>
  <c r="AD471" i="92"/>
  <c r="AD452" i="92"/>
  <c r="AD403" i="92"/>
  <c r="AD501" i="92"/>
  <c r="AD450" i="92"/>
  <c r="AD410" i="92"/>
  <c r="AD565" i="92"/>
  <c r="AD93" i="92"/>
  <c r="AD69" i="92"/>
  <c r="AD413" i="92"/>
  <c r="AD399" i="92"/>
  <c r="AD44" i="92"/>
  <c r="AD68" i="92"/>
  <c r="AD416" i="92"/>
  <c r="AD398" i="92"/>
  <c r="AD554" i="92"/>
  <c r="AD430" i="92"/>
  <c r="AD558" i="92"/>
  <c r="AD15" i="92"/>
  <c r="AD184" i="92"/>
  <c r="AD167" i="92"/>
  <c r="AD35" i="92"/>
  <c r="AD546" i="92"/>
  <c r="AD507" i="92"/>
  <c r="AD520" i="92"/>
  <c r="AD509" i="92"/>
  <c r="AD182" i="92"/>
  <c r="AD34" i="92"/>
  <c r="AD438" i="92"/>
  <c r="AD123" i="92"/>
  <c r="AD82" i="92"/>
  <c r="AD407" i="92"/>
  <c r="AD43" i="92"/>
  <c r="AD62" i="92"/>
  <c r="AD32" i="92"/>
  <c r="AD90" i="92"/>
  <c r="AD71" i="92"/>
  <c r="AD165" i="92"/>
  <c r="AD150" i="92"/>
  <c r="AD428" i="92"/>
  <c r="AD443" i="92"/>
  <c r="AD163" i="92"/>
  <c r="AD148" i="92"/>
  <c r="AD426" i="92"/>
  <c r="AD445" i="92"/>
  <c r="AD164" i="92"/>
  <c r="AD158" i="92"/>
  <c r="AD562" i="92"/>
  <c r="AD189" i="92"/>
  <c r="AD552" i="92"/>
  <c r="AD537" i="92"/>
  <c r="AD474" i="92"/>
  <c r="AD511" i="92"/>
  <c r="AD460" i="92"/>
  <c r="AD564" i="92"/>
  <c r="AD533" i="92"/>
  <c r="AD54" i="92"/>
  <c r="AD559" i="92"/>
  <c r="AD114" i="92"/>
  <c r="AD538" i="92"/>
  <c r="AD541" i="92"/>
  <c r="AD498" i="92"/>
  <c r="AD447" i="92"/>
  <c r="AD475" i="92"/>
  <c r="AD477" i="92"/>
  <c r="AD570" i="92"/>
  <c r="AD133" i="92"/>
  <c r="AD156" i="92"/>
  <c r="AD421" i="92"/>
  <c r="AD42" i="92"/>
  <c r="AD64" i="92"/>
  <c r="AD409" i="92"/>
  <c r="AD109" i="92"/>
  <c r="AD116" i="92"/>
  <c r="AD141" i="92"/>
  <c r="AD56" i="92"/>
  <c r="AD8" i="92"/>
  <c r="AD126" i="92"/>
  <c r="AD26" i="92"/>
  <c r="AD433" i="92"/>
  <c r="AD7" i="92"/>
  <c r="AD144" i="92"/>
  <c r="AD25" i="92"/>
  <c r="AD431" i="92"/>
  <c r="AD6" i="92"/>
  <c r="AD142" i="92"/>
  <c r="AD24" i="92"/>
  <c r="AD553" i="92"/>
  <c r="AD157" i="92"/>
  <c r="AD179" i="92"/>
  <c r="AD527" i="92"/>
  <c r="AD385" i="92"/>
  <c r="AD525" i="92"/>
  <c r="AD446" i="92"/>
  <c r="AD484" i="92"/>
  <c r="AD518" i="92"/>
  <c r="AD392" i="92"/>
  <c r="AD401" i="92"/>
  <c r="AD512" i="92"/>
  <c r="AD103" i="92"/>
  <c r="AD417" i="92"/>
  <c r="AD118" i="92"/>
  <c r="AD96" i="92"/>
  <c r="AD425" i="92"/>
  <c r="AD139" i="92"/>
  <c r="AD491" i="92"/>
  <c r="AD432" i="92"/>
  <c r="AD514" i="92"/>
  <c r="AD107" i="92"/>
  <c r="AD389" i="92"/>
  <c r="AD400" i="92"/>
  <c r="AD390" i="92"/>
  <c r="AD505" i="92"/>
  <c r="AD100" i="92"/>
  <c r="AD80" i="92"/>
  <c r="AD75" i="92"/>
  <c r="AD172" i="92"/>
  <c r="AD55" i="92"/>
  <c r="AD493" i="92"/>
  <c r="AD515" i="92"/>
  <c r="AD193" i="92"/>
  <c r="AD121" i="92"/>
  <c r="AD70" i="92"/>
  <c r="AD110" i="92"/>
  <c r="AD89" i="92"/>
  <c r="AD77" i="92"/>
  <c r="AD170" i="92"/>
  <c r="AD568" i="92"/>
  <c r="AD92" i="92"/>
  <c r="AD76" i="92"/>
  <c r="AD169" i="92"/>
  <c r="AD572" i="92"/>
  <c r="AD88" i="92"/>
  <c r="AD83" i="92"/>
  <c r="AD168" i="92"/>
  <c r="AD183" i="92"/>
  <c r="AD147" i="92"/>
  <c r="AD556" i="92"/>
  <c r="AD411" i="92"/>
  <c r="AD467" i="92"/>
  <c r="AD453" i="92"/>
  <c r="AD94" i="92"/>
  <c r="AD130" i="92"/>
  <c r="AD175" i="92"/>
  <c r="AD18" i="92"/>
  <c r="AD495" i="92"/>
  <c r="AD481" i="92"/>
  <c r="AD11" i="92"/>
  <c r="AD137" i="92"/>
  <c r="AD394" i="92"/>
  <c r="AD466" i="92"/>
  <c r="AD459" i="92"/>
  <c r="AD567" i="92"/>
  <c r="AD470" i="92"/>
  <c r="AD451" i="92"/>
  <c r="AD545" i="92"/>
  <c r="AD17" i="92"/>
  <c r="AD473" i="92"/>
  <c r="AD449" i="92"/>
  <c r="AD543" i="92"/>
  <c r="AD16" i="92"/>
  <c r="AD424" i="92"/>
  <c r="AD448" i="92"/>
  <c r="AD544" i="92"/>
  <c r="AD480" i="92"/>
  <c r="AD404" i="92"/>
  <c r="AD131" i="92"/>
  <c r="AD45" i="92"/>
  <c r="AD66" i="92"/>
  <c r="AD486" i="92"/>
  <c r="AD171" i="92"/>
  <c r="AD65" i="92"/>
  <c r="AD124" i="92"/>
  <c r="AD516" i="92"/>
  <c r="AD186" i="92"/>
  <c r="AD503" i="92"/>
  <c r="AD462" i="92"/>
  <c r="AD160" i="92"/>
  <c r="AD49" i="92"/>
  <c r="AD67" i="92"/>
  <c r="AD13" i="92"/>
  <c r="AD40" i="92"/>
  <c r="AD115" i="92"/>
  <c r="AD136" i="92"/>
  <c r="AD530" i="92"/>
  <c r="AD39" i="92"/>
  <c r="AD112" i="92"/>
  <c r="AD128" i="92"/>
  <c r="AD528" i="92"/>
  <c r="AD38" i="92"/>
  <c r="AD117" i="92"/>
  <c r="AD143" i="92"/>
  <c r="AD176" i="92"/>
  <c r="AD31" i="92"/>
  <c r="AD479" i="92"/>
  <c r="AD510" i="92"/>
  <c r="AD437" i="92"/>
  <c r="AD506" i="92"/>
  <c r="AD524" i="92"/>
  <c r="AD434" i="92"/>
  <c r="AD522" i="92"/>
  <c r="AD563" i="92"/>
  <c r="AD5" i="92"/>
  <c r="AD145" i="92"/>
  <c r="AD405" i="92"/>
  <c r="AD122" i="92"/>
  <c r="AD99" i="92"/>
  <c r="AD454" i="92"/>
  <c r="AD166" i="92"/>
  <c r="AD46" i="92"/>
  <c r="AD61" i="92"/>
  <c r="AD51" i="92"/>
  <c r="AD178" i="92"/>
  <c r="AD571" i="92"/>
  <c r="AD91" i="92"/>
  <c r="AD72" i="92"/>
  <c r="AD532" i="92"/>
  <c r="AD423" i="92"/>
  <c r="AD442" i="92"/>
  <c r="AD534" i="92"/>
  <c r="AD436" i="92"/>
  <c r="AD388" i="92"/>
  <c r="AD146" i="92"/>
  <c r="AD439" i="92"/>
  <c r="AD387" i="92"/>
  <c r="AD161" i="92"/>
  <c r="AD386" i="92"/>
  <c r="AD548" i="92"/>
  <c r="AD101" i="92"/>
  <c r="AD191" i="92"/>
  <c r="AD48" i="92"/>
  <c r="AD427" i="92"/>
  <c r="AD508" i="92"/>
  <c r="AD155" i="92"/>
  <c r="AD422" i="92"/>
  <c r="AD444" i="92"/>
  <c r="AD23" i="92"/>
  <c r="AD52" i="92"/>
  <c r="AD180" i="92"/>
  <c r="AD162" i="92"/>
  <c r="AD105" i="92"/>
  <c r="AD120" i="92"/>
  <c r="AD78" i="92"/>
  <c r="AD406" i="92"/>
  <c r="AD102" i="92"/>
  <c r="AD119" i="92"/>
  <c r="AD84" i="92"/>
  <c r="AD108" i="92"/>
  <c r="AD81" i="92"/>
  <c r="AD504" i="92"/>
  <c r="AD185" i="92"/>
  <c r="AD74" i="92"/>
  <c r="AD561" i="92"/>
  <c r="AD529" i="92"/>
  <c r="AD60" i="92"/>
  <c r="AD557" i="92"/>
  <c r="AD415" i="92"/>
  <c r="AD489" i="92"/>
  <c r="AD551" i="92"/>
  <c r="AD408" i="92"/>
  <c r="AD490" i="92"/>
  <c r="AD469" i="92"/>
  <c r="AD457" i="92"/>
  <c r="AD33" i="92"/>
  <c r="AD487" i="92"/>
  <c r="AD472" i="92"/>
  <c r="AD456" i="92"/>
  <c r="AD36" i="92"/>
  <c r="AD483" i="92"/>
  <c r="AD468" i="92"/>
  <c r="AD463" i="92"/>
  <c r="AD497" i="92"/>
  <c r="AD523" i="92"/>
  <c r="AD87" i="92"/>
  <c r="AD73" i="92"/>
  <c r="AD187" i="92"/>
  <c r="AD19" i="92"/>
  <c r="AD41" i="92"/>
  <c r="AD395" i="92"/>
  <c r="AD159" i="92"/>
  <c r="AD22" i="92"/>
  <c r="AD27" i="92"/>
  <c r="AD435" i="92"/>
  <c r="AD30" i="92"/>
  <c r="AD63" i="92"/>
  <c r="AD550" i="92"/>
  <c r="AD549" i="92"/>
  <c r="AD455" i="92"/>
  <c r="AD47" i="92"/>
  <c r="AD488" i="92"/>
  <c r="AD402" i="92"/>
  <c r="AD104" i="92"/>
  <c r="AD476" i="92"/>
  <c r="AD519" i="92"/>
  <c r="AD573" i="92"/>
  <c r="AD560" i="92"/>
  <c r="AD412" i="92"/>
  <c r="AD393" i="92"/>
  <c r="AD420" i="92"/>
  <c r="AD95" i="92"/>
  <c r="AD140" i="92"/>
  <c r="AD397" i="92"/>
  <c r="AD419" i="92"/>
  <c r="AD97" i="92"/>
  <c r="AD129" i="92"/>
  <c r="AD396" i="92"/>
  <c r="AD418" i="92"/>
  <c r="AD181" i="92"/>
  <c r="AD502" i="92"/>
  <c r="AD461" i="92"/>
  <c r="AD57" i="92"/>
  <c r="AD177" i="92"/>
  <c r="AD149" i="92"/>
  <c r="AD492" i="92"/>
  <c r="AD106" i="92"/>
  <c r="AD29" i="92"/>
  <c r="AD566" i="92"/>
  <c r="AD111" i="92"/>
  <c r="AD138" i="92"/>
  <c r="AD154" i="92"/>
  <c r="AD98" i="92"/>
  <c r="AD127" i="92"/>
  <c r="AD153" i="92"/>
  <c r="AD53" i="92"/>
  <c r="AD50" i="92"/>
  <c r="AD441" i="92"/>
  <c r="AD547" i="92"/>
  <c r="AD14" i="92"/>
  <c r="AD391" i="92"/>
  <c r="AD517" i="92"/>
  <c r="AD540" i="92"/>
  <c r="AD496" i="92"/>
  <c r="AD521" i="92"/>
  <c r="AD542" i="92"/>
  <c r="AD485" i="92"/>
  <c r="AD9" i="92"/>
  <c r="AD132" i="92"/>
  <c r="AD526" i="92"/>
  <c r="AD482" i="92"/>
  <c r="AD10" i="92"/>
  <c r="AD125" i="92"/>
  <c r="L5" i="115"/>
  <c r="H1" i="27"/>
  <c r="G1" i="27"/>
  <c r="AG58" i="27"/>
  <c r="AG277" i="27"/>
  <c r="AG433" i="27"/>
  <c r="AG436" i="27"/>
  <c r="AG442" i="27"/>
  <c r="AG457" i="27"/>
  <c r="AG469" i="27"/>
  <c r="AG475" i="27"/>
  <c r="AG484" i="27"/>
  <c r="AG496" i="27"/>
  <c r="AG511" i="27"/>
  <c r="AG517" i="27"/>
  <c r="AG523" i="27"/>
  <c r="AG529" i="27"/>
  <c r="AG541" i="27"/>
  <c r="AG547" i="27"/>
  <c r="AG553" i="27"/>
  <c r="AG559" i="27"/>
  <c r="AG565" i="27"/>
  <c r="AG8" i="27"/>
  <c r="AG14" i="27"/>
  <c r="AG26" i="27"/>
  <c r="AG32" i="27"/>
  <c r="AG38" i="27"/>
  <c r="AG44" i="27"/>
  <c r="AG59" i="27"/>
  <c r="AG62" i="27"/>
  <c r="AG86" i="27"/>
  <c r="AG92" i="27"/>
  <c r="AG110" i="27"/>
  <c r="AG134" i="27"/>
  <c r="AG158" i="27"/>
  <c r="AG182" i="27"/>
  <c r="AG188" i="27"/>
  <c r="AG206" i="27"/>
  <c r="AG212" i="27"/>
  <c r="AG218" i="27"/>
  <c r="AG221" i="27"/>
  <c r="AG224" i="27"/>
  <c r="AG233" i="27"/>
  <c r="AG239" i="27"/>
  <c r="AG242" i="27"/>
  <c r="AG245" i="27"/>
  <c r="AG248" i="27"/>
  <c r="AG251" i="27"/>
  <c r="AG254" i="27"/>
  <c r="AG260" i="27"/>
  <c r="AG263" i="27"/>
  <c r="AG266" i="27"/>
  <c r="AG272" i="27"/>
  <c r="AG278" i="27"/>
  <c r="AG281" i="27"/>
  <c r="AG284" i="27"/>
  <c r="AG287" i="27"/>
  <c r="AG290" i="27"/>
  <c r="AG296" i="27"/>
  <c r="AG299" i="27"/>
  <c r="AG302" i="27"/>
  <c r="AG305" i="27"/>
  <c r="AG308" i="27"/>
  <c r="AG314" i="27"/>
  <c r="AG320" i="27"/>
  <c r="AG326" i="27"/>
  <c r="AG332" i="27"/>
  <c r="AG338" i="27"/>
  <c r="AG341" i="27"/>
  <c r="AG344" i="27"/>
  <c r="AG350" i="27"/>
  <c r="AG356" i="27"/>
  <c r="AG359" i="27"/>
  <c r="AG362" i="27"/>
  <c r="AG368" i="27"/>
  <c r="AG374" i="27"/>
  <c r="AG380" i="27"/>
  <c r="AG386" i="27"/>
  <c r="AG389" i="27"/>
  <c r="AG392" i="27"/>
  <c r="AG398" i="27"/>
  <c r="AG404" i="27"/>
  <c r="AG407" i="27"/>
  <c r="AG410" i="27"/>
  <c r="AG413" i="27"/>
  <c r="AG416" i="27"/>
  <c r="AG422" i="27"/>
  <c r="AG425" i="27"/>
  <c r="AG428" i="27"/>
  <c r="AG431" i="27"/>
  <c r="AG434" i="27"/>
  <c r="AG437" i="27"/>
  <c r="AG440" i="27"/>
  <c r="AG443" i="27"/>
  <c r="AG446" i="27"/>
  <c r="AG449" i="27"/>
  <c r="AG452" i="27"/>
  <c r="AG458" i="27"/>
  <c r="AG461" i="27"/>
  <c r="AG464" i="27"/>
  <c r="AG467" i="27"/>
  <c r="AG470" i="27"/>
  <c r="AG476" i="27"/>
  <c r="AG479" i="27"/>
  <c r="AG482" i="27"/>
  <c r="AG488" i="27"/>
  <c r="AG491" i="27"/>
  <c r="AG494" i="27"/>
  <c r="AG497" i="27"/>
  <c r="AG500" i="27"/>
  <c r="AG503" i="27"/>
  <c r="AG506" i="27"/>
  <c r="AG512" i="27"/>
  <c r="AG515" i="27"/>
  <c r="AG518" i="27"/>
  <c r="AG521" i="27"/>
  <c r="AG524" i="27"/>
  <c r="AG530" i="27"/>
  <c r="AG536" i="27"/>
  <c r="AG539" i="27"/>
  <c r="AG542" i="27"/>
  <c r="AG545" i="27"/>
  <c r="AG548" i="27"/>
  <c r="AG554" i="27"/>
  <c r="AG560" i="27"/>
  <c r="AG563" i="27"/>
  <c r="AG566" i="27"/>
  <c r="AG6" i="27"/>
  <c r="AG9" i="27"/>
  <c r="AG15" i="27"/>
  <c r="AG21" i="27"/>
  <c r="AG24" i="27"/>
  <c r="AG27" i="27"/>
  <c r="AG30" i="27"/>
  <c r="AG33" i="27"/>
  <c r="AG39" i="27"/>
  <c r="AG45" i="27"/>
  <c r="AG48" i="27"/>
  <c r="AG51" i="27"/>
  <c r="AG54" i="27"/>
  <c r="AG57" i="27"/>
  <c r="AG63" i="27"/>
  <c r="AG69" i="27"/>
  <c r="AG72" i="27"/>
  <c r="AG75" i="27"/>
  <c r="AG78" i="27"/>
  <c r="AG81" i="27"/>
  <c r="AG84" i="27"/>
  <c r="AG87" i="27"/>
  <c r="AG93" i="27"/>
  <c r="AG96" i="27"/>
  <c r="AG99" i="27"/>
  <c r="AG102" i="27"/>
  <c r="AG105" i="27"/>
  <c r="AG108" i="27"/>
  <c r="AG111" i="27"/>
  <c r="AG117" i="27"/>
  <c r="AG120" i="27"/>
  <c r="AG123" i="27"/>
  <c r="AG126" i="27"/>
  <c r="AG129" i="27"/>
  <c r="AG132" i="27"/>
  <c r="AG135" i="27"/>
  <c r="AG141" i="27"/>
  <c r="AG144" i="27"/>
  <c r="AG147" i="27"/>
  <c r="AG150" i="27"/>
  <c r="AG153" i="27"/>
  <c r="AG156" i="27"/>
  <c r="AG159" i="27"/>
  <c r="AG165" i="27"/>
  <c r="AG168" i="27"/>
  <c r="AG171" i="27"/>
  <c r="AG174" i="27"/>
  <c r="AG177" i="27"/>
  <c r="AG183" i="27"/>
  <c r="AG189" i="27"/>
  <c r="AG192" i="27"/>
  <c r="AG195" i="27"/>
  <c r="AG198" i="27"/>
  <c r="AG201" i="27"/>
  <c r="AG204" i="27"/>
  <c r="AG207" i="27"/>
  <c r="AG213" i="27"/>
  <c r="AG216" i="27"/>
  <c r="AG219" i="27"/>
  <c r="AG222" i="27"/>
  <c r="AG225" i="27"/>
  <c r="AG228" i="27"/>
  <c r="AG231" i="27"/>
  <c r="AG237" i="27"/>
  <c r="AG240" i="27"/>
  <c r="AG243" i="27"/>
  <c r="AG246" i="27"/>
  <c r="AG249" i="27"/>
  <c r="AG252" i="27"/>
  <c r="AG255" i="27"/>
  <c r="AG258" i="27"/>
  <c r="AG261" i="27"/>
  <c r="AG264" i="27"/>
  <c r="AG267" i="27"/>
  <c r="AG270" i="27"/>
  <c r="AG273" i="27"/>
  <c r="AG276" i="27"/>
  <c r="AG279" i="27"/>
  <c r="AG285" i="27"/>
  <c r="AG288" i="27"/>
  <c r="AG297" i="27"/>
  <c r="AG300" i="27"/>
  <c r="AG306" i="27"/>
  <c r="AG315" i="27"/>
  <c r="AG318" i="27"/>
  <c r="AG327" i="27"/>
  <c r="AG336" i="27"/>
  <c r="AG348" i="27"/>
  <c r="AG354" i="27"/>
  <c r="AG360" i="27"/>
  <c r="AG363" i="27"/>
  <c r="AG366" i="27"/>
  <c r="AG375" i="27"/>
  <c r="AG384" i="27"/>
  <c r="AG396" i="27"/>
  <c r="AG402" i="27"/>
  <c r="AG408" i="27"/>
  <c r="AG411" i="27"/>
  <c r="AG414" i="27"/>
  <c r="AG423" i="27"/>
  <c r="AG429" i="27"/>
  <c r="AG432" i="27"/>
  <c r="AG444" i="27"/>
  <c r="AG450" i="27"/>
  <c r="AG456" i="27"/>
  <c r="AG462" i="27"/>
  <c r="AG468" i="27"/>
  <c r="AG474" i="27"/>
  <c r="AG480" i="27"/>
  <c r="AG486" i="27"/>
  <c r="AG492" i="27"/>
  <c r="AG498" i="27"/>
  <c r="AG504" i="27"/>
  <c r="AG510" i="27"/>
  <c r="AG516" i="27"/>
  <c r="AG522" i="27"/>
  <c r="AG528" i="27"/>
  <c r="AG534" i="27"/>
  <c r="AG540" i="27"/>
  <c r="AG546" i="27"/>
  <c r="AG552" i="27"/>
  <c r="AG558" i="27"/>
  <c r="AG564" i="27"/>
  <c r="AB4" i="27"/>
  <c r="AB507" i="27"/>
  <c r="AG365" i="27" l="1"/>
  <c r="AG16" i="27"/>
  <c r="AG335" i="27"/>
  <c r="AG275" i="27"/>
  <c r="AG68" i="27"/>
  <c r="AG473" i="27"/>
  <c r="AG453" i="27"/>
  <c r="AG114" i="27"/>
  <c r="AG465" i="27"/>
  <c r="AG544" i="27"/>
  <c r="AG513" i="27"/>
  <c r="AG399" i="27"/>
  <c r="AG381" i="27"/>
  <c r="AG489" i="27"/>
  <c r="AG339" i="27"/>
  <c r="AG116" i="27"/>
  <c r="AG85" i="27"/>
  <c r="AG549" i="27"/>
  <c r="AG282" i="27"/>
  <c r="AG66" i="27"/>
  <c r="AG83" i="27"/>
  <c r="AG514" i="27"/>
  <c r="AG190" i="27"/>
  <c r="AG561" i="27"/>
  <c r="AG180" i="27"/>
  <c r="AG419" i="27"/>
  <c r="AG317" i="27"/>
  <c r="AG209" i="27"/>
  <c r="AG448" i="27"/>
  <c r="AG347" i="27"/>
  <c r="AG164" i="27"/>
  <c r="AG131" i="27"/>
  <c r="AG36" i="27"/>
  <c r="AG527" i="27"/>
  <c r="AG329" i="27"/>
  <c r="AG481" i="27"/>
  <c r="AG199" i="27"/>
  <c r="AG324" i="27"/>
  <c r="AG90" i="27"/>
  <c r="AG35" i="27"/>
  <c r="AG133" i="27"/>
  <c r="AG537" i="27"/>
  <c r="AG303" i="27"/>
  <c r="AG18" i="27"/>
  <c r="AG311" i="27"/>
  <c r="AG140" i="27"/>
  <c r="AG107" i="27"/>
  <c r="AG325" i="27"/>
  <c r="AG238" i="27"/>
  <c r="AG46" i="27"/>
  <c r="AG383" i="27"/>
  <c r="AG293" i="27"/>
  <c r="AG435" i="27"/>
  <c r="AG333" i="27"/>
  <c r="AG490" i="27"/>
  <c r="AG289" i="27"/>
  <c r="AG115" i="27"/>
  <c r="AG97" i="27"/>
  <c r="AG12" i="27"/>
  <c r="AG477" i="27"/>
  <c r="AG210" i="27"/>
  <c r="AG138" i="27"/>
  <c r="AG485" i="27"/>
  <c r="AG155" i="27"/>
  <c r="AG5" i="27"/>
  <c r="AG556" i="27"/>
  <c r="AG508" i="27"/>
  <c r="AG391" i="27"/>
  <c r="AG151" i="27"/>
  <c r="AG10" i="27"/>
  <c r="AG501" i="27"/>
  <c r="AG420" i="27"/>
  <c r="AG60" i="27"/>
  <c r="AG269" i="27"/>
  <c r="AG230" i="27"/>
  <c r="AG487" i="27"/>
  <c r="AG427" i="27"/>
  <c r="AG343" i="27"/>
  <c r="AG286" i="27"/>
  <c r="AG247" i="27"/>
  <c r="AG94" i="27"/>
  <c r="AG37" i="27"/>
  <c r="AG22" i="27"/>
  <c r="AG7" i="27"/>
  <c r="AG393" i="27"/>
  <c r="AG312" i="27"/>
  <c r="AG509" i="27"/>
  <c r="AG401" i="27"/>
  <c r="AG550" i="27"/>
  <c r="AG124" i="27"/>
  <c r="AG525" i="27"/>
  <c r="AG551" i="27"/>
  <c r="AG197" i="27"/>
  <c r="AG29" i="27"/>
  <c r="AG562" i="27"/>
  <c r="AG439" i="27"/>
  <c r="AG382" i="27"/>
  <c r="AG34" i="27"/>
  <c r="AG372" i="27"/>
  <c r="AG186" i="27"/>
  <c r="AG557" i="27"/>
  <c r="AG395" i="27"/>
  <c r="AG377" i="27"/>
  <c r="AG323" i="27"/>
  <c r="AG203" i="27"/>
  <c r="AG149" i="27"/>
  <c r="AG385" i="27"/>
  <c r="AG373" i="27"/>
  <c r="AG334" i="27"/>
  <c r="AG40" i="27"/>
  <c r="AG28" i="27"/>
  <c r="AG567" i="27"/>
  <c r="AG555" i="27"/>
  <c r="AG543" i="27"/>
  <c r="AG531" i="27"/>
  <c r="AG519" i="27"/>
  <c r="AG507" i="27"/>
  <c r="AG495" i="27"/>
  <c r="AG483" i="27"/>
  <c r="AG471" i="27"/>
  <c r="AG459" i="27"/>
  <c r="AG447" i="27"/>
  <c r="AG351" i="27"/>
  <c r="AG162" i="27"/>
  <c r="AG533" i="27"/>
  <c r="AG173" i="27"/>
  <c r="AG17" i="27"/>
  <c r="AG532" i="27"/>
  <c r="AG520" i="27"/>
  <c r="AG460" i="27"/>
  <c r="AG295" i="27"/>
  <c r="AG103" i="27"/>
  <c r="AG55" i="27"/>
  <c r="AG455" i="27"/>
  <c r="AG441" i="27"/>
  <c r="AG387" i="27"/>
  <c r="AG345" i="27"/>
  <c r="AG291" i="27"/>
  <c r="AG371" i="27"/>
  <c r="AG353" i="27"/>
  <c r="AG257" i="27"/>
  <c r="AG502" i="27"/>
  <c r="AG454" i="27"/>
  <c r="AG234" i="27"/>
  <c r="AG42" i="27"/>
  <c r="AG179" i="27"/>
  <c r="AG23" i="27"/>
  <c r="AG11" i="27"/>
  <c r="AG538" i="27"/>
  <c r="AG526" i="27"/>
  <c r="AG376" i="27"/>
  <c r="AG181" i="27"/>
  <c r="AG142" i="27"/>
  <c r="AG4" i="27"/>
  <c r="AG229" i="27"/>
  <c r="AG193" i="27"/>
  <c r="AG71" i="27"/>
  <c r="AG95" i="27"/>
  <c r="AG505" i="27"/>
  <c r="AG145" i="27"/>
  <c r="AG426" i="27"/>
  <c r="AG378" i="27"/>
  <c r="AG330" i="27"/>
  <c r="AG143" i="27"/>
  <c r="AG56" i="27"/>
  <c r="AG535" i="27"/>
  <c r="AG349" i="27"/>
  <c r="AG253" i="27"/>
  <c r="AG157" i="27"/>
  <c r="AG227" i="27"/>
  <c r="AG119" i="27"/>
  <c r="AG405" i="27"/>
  <c r="AG357" i="27"/>
  <c r="AG309" i="27"/>
  <c r="AG167" i="27"/>
  <c r="AG80" i="27"/>
  <c r="AG53" i="27"/>
  <c r="AG346" i="27"/>
  <c r="AG250" i="27"/>
  <c r="AG154" i="27"/>
  <c r="AG49" i="27"/>
  <c r="AG176" i="27"/>
  <c r="AG421" i="27"/>
  <c r="AG438" i="27"/>
  <c r="AG390" i="27"/>
  <c r="AG342" i="27"/>
  <c r="AG294" i="27"/>
  <c r="AG191" i="27"/>
  <c r="AG104" i="27"/>
  <c r="AG77" i="27"/>
  <c r="AG463" i="27"/>
  <c r="AG451" i="27"/>
  <c r="AG364" i="27"/>
  <c r="AG268" i="27"/>
  <c r="AG172" i="27"/>
  <c r="AG61" i="27"/>
  <c r="AG200" i="27"/>
  <c r="AG20" i="27"/>
  <c r="AG337" i="27"/>
  <c r="AG13" i="27"/>
  <c r="AG417" i="27"/>
  <c r="AG369" i="27"/>
  <c r="AG321" i="27"/>
  <c r="AG128" i="27"/>
  <c r="AG101" i="27"/>
  <c r="AG280" i="27"/>
  <c r="AG184" i="27"/>
  <c r="AG76" i="27"/>
  <c r="AG241" i="27"/>
  <c r="AG152" i="27"/>
  <c r="AG125" i="27"/>
  <c r="AG47" i="27"/>
  <c r="AG403" i="27"/>
  <c r="AG307" i="27"/>
  <c r="AG211" i="27"/>
  <c r="AG88" i="27"/>
  <c r="AG236" i="27"/>
  <c r="AG194" i="27"/>
  <c r="AG170" i="27"/>
  <c r="AG146" i="27"/>
  <c r="AG122" i="27"/>
  <c r="AG98" i="27"/>
  <c r="AG74" i="27"/>
  <c r="AG50" i="27"/>
  <c r="AG478" i="27"/>
  <c r="AG415" i="27"/>
  <c r="AG358" i="27"/>
  <c r="AG319" i="27"/>
  <c r="AG262" i="27"/>
  <c r="AG223" i="27"/>
  <c r="AG166" i="27"/>
  <c r="AG127" i="27"/>
  <c r="AG215" i="27"/>
  <c r="AG499" i="27"/>
  <c r="AG412" i="27"/>
  <c r="AG397" i="27"/>
  <c r="AG355" i="27"/>
  <c r="AG328" i="27"/>
  <c r="AG316" i="27"/>
  <c r="AG301" i="27"/>
  <c r="AG259" i="27"/>
  <c r="AG232" i="27"/>
  <c r="AG220" i="27"/>
  <c r="AG205" i="27"/>
  <c r="AG163" i="27"/>
  <c r="AG136" i="27"/>
  <c r="AG109" i="27"/>
  <c r="AG70" i="27"/>
  <c r="AG19" i="27"/>
  <c r="AG185" i="27"/>
  <c r="AG161" i="27"/>
  <c r="AG137" i="27"/>
  <c r="AG113" i="27"/>
  <c r="AG89" i="27"/>
  <c r="AG65" i="27"/>
  <c r="AG41" i="27"/>
  <c r="AG394" i="27"/>
  <c r="AG298" i="27"/>
  <c r="AG202" i="27"/>
  <c r="AG106" i="27"/>
  <c r="AG67" i="27"/>
  <c r="AG31" i="27"/>
  <c r="AG430" i="27"/>
  <c r="AG406" i="27"/>
  <c r="AG367" i="27"/>
  <c r="AG310" i="27"/>
  <c r="AG271" i="27"/>
  <c r="AG214" i="27"/>
  <c r="AG175" i="27"/>
  <c r="AG118" i="27"/>
  <c r="AG79" i="27"/>
  <c r="AG493" i="27"/>
  <c r="AG466" i="27"/>
  <c r="AG445" i="27"/>
  <c r="AG418" i="27"/>
  <c r="AG409" i="27"/>
  <c r="AG400" i="27"/>
  <c r="AG361" i="27"/>
  <c r="AG352" i="27"/>
  <c r="AG313" i="27"/>
  <c r="AG304" i="27"/>
  <c r="AG265" i="27"/>
  <c r="AG256" i="27"/>
  <c r="AG217" i="27"/>
  <c r="AG208" i="27"/>
  <c r="AG169" i="27"/>
  <c r="AG160" i="27"/>
  <c r="AG121" i="27"/>
  <c r="AG112" i="27"/>
  <c r="AG73" i="27"/>
  <c r="AG64" i="27"/>
  <c r="AG25" i="27"/>
  <c r="AG472" i="27"/>
  <c r="AG424" i="27"/>
  <c r="AG379" i="27"/>
  <c r="AG370" i="27"/>
  <c r="AG331" i="27"/>
  <c r="AG322" i="27"/>
  <c r="AG283" i="27"/>
  <c r="AG274" i="27"/>
  <c r="AG235" i="27"/>
  <c r="AG226" i="27"/>
  <c r="AG187" i="27"/>
  <c r="AG178" i="27"/>
  <c r="AG139" i="27"/>
  <c r="AG130" i="27"/>
  <c r="AG91" i="27"/>
  <c r="AG82" i="27"/>
  <c r="AG43" i="27"/>
  <c r="AG388" i="27"/>
  <c r="AG340" i="27"/>
  <c r="AG292" i="27"/>
  <c r="AG244" i="27"/>
  <c r="AG196" i="27"/>
  <c r="AG148" i="27"/>
  <c r="AG100" i="27"/>
  <c r="AG52" i="27"/>
  <c r="L3" i="115"/>
  <c r="AH4" i="27" l="1"/>
  <c r="AK4" i="27" s="1"/>
  <c r="R73" i="93" l="1"/>
  <c r="A18" i="93"/>
  <c r="A19" i="93"/>
  <c r="A20" i="93"/>
  <c r="A74" i="93"/>
  <c r="A21" i="93"/>
  <c r="A22" i="93"/>
  <c r="A75" i="93"/>
  <c r="A76" i="93"/>
  <c r="A77" i="93"/>
  <c r="A78" i="93"/>
  <c r="A79" i="93"/>
  <c r="A80" i="93"/>
  <c r="A190" i="93"/>
  <c r="A23" i="93"/>
  <c r="A81" i="93"/>
  <c r="A82" i="93"/>
  <c r="A83" i="93"/>
  <c r="A84" i="93"/>
  <c r="A85" i="93"/>
  <c r="A86" i="93"/>
  <c r="A87" i="93"/>
  <c r="A5" i="93"/>
  <c r="A88" i="93"/>
  <c r="A124" i="93"/>
  <c r="A125" i="93"/>
  <c r="A7" i="93"/>
  <c r="A26" i="93"/>
  <c r="A126" i="93"/>
  <c r="A127" i="93"/>
  <c r="A128" i="93"/>
  <c r="A129" i="93"/>
  <c r="A130" i="93"/>
  <c r="A131" i="93"/>
  <c r="A132" i="93"/>
  <c r="A133" i="93"/>
  <c r="A134" i="93"/>
  <c r="A8" i="93"/>
  <c r="A135" i="93"/>
  <c r="A136" i="93"/>
  <c r="A137" i="93"/>
  <c r="A138" i="93"/>
  <c r="A139" i="93"/>
  <c r="A140" i="93"/>
  <c r="A141" i="93"/>
  <c r="A156" i="93"/>
  <c r="A157" i="93"/>
  <c r="A158" i="93"/>
  <c r="A159" i="93"/>
  <c r="A160" i="93"/>
  <c r="A161" i="93"/>
  <c r="A162" i="93"/>
  <c r="A163" i="93"/>
  <c r="A46" i="93"/>
  <c r="A47" i="93"/>
  <c r="A48" i="93"/>
  <c r="A49" i="93"/>
  <c r="A50" i="93"/>
  <c r="A51" i="93"/>
  <c r="A52" i="93"/>
  <c r="A53" i="93"/>
  <c r="A54" i="93"/>
  <c r="A38" i="93"/>
  <c r="A39" i="93"/>
  <c r="A40" i="93"/>
  <c r="A41" i="93"/>
  <c r="A42" i="93"/>
  <c r="A43" i="93"/>
  <c r="A44" i="93"/>
  <c r="A4" i="93"/>
  <c r="A45" i="93"/>
  <c r="A142" i="93"/>
  <c r="A143" i="93"/>
  <c r="A27" i="93"/>
  <c r="A144" i="93"/>
  <c r="A145" i="93"/>
  <c r="A146" i="93"/>
  <c r="A147" i="93"/>
  <c r="A148" i="93"/>
  <c r="A149" i="93"/>
  <c r="A150" i="93"/>
  <c r="A28" i="93"/>
  <c r="A29" i="93"/>
  <c r="A151" i="93"/>
  <c r="A152" i="93"/>
  <c r="A153" i="93"/>
  <c r="A154" i="93"/>
  <c r="A155" i="93"/>
  <c r="A16" i="93"/>
  <c r="A33" i="93"/>
  <c r="A34" i="93"/>
  <c r="A185" i="93"/>
  <c r="A35" i="93"/>
  <c r="A36" i="93"/>
  <c r="A37" i="93"/>
  <c r="A178" i="93"/>
  <c r="A179" i="93"/>
  <c r="A30" i="93"/>
  <c r="A180" i="93"/>
  <c r="A181" i="93"/>
  <c r="A182" i="93"/>
  <c r="A183" i="93"/>
  <c r="A9" i="93"/>
  <c r="A184" i="93"/>
  <c r="A104" i="93"/>
  <c r="A105" i="93"/>
  <c r="A106" i="93"/>
  <c r="A107" i="93"/>
  <c r="A6" i="93"/>
  <c r="A108" i="93"/>
  <c r="A109" i="93"/>
  <c r="A110" i="93"/>
  <c r="A111" i="93"/>
  <c r="A24" i="93"/>
  <c r="A65" i="93"/>
  <c r="A66" i="93"/>
  <c r="A67" i="93"/>
  <c r="A68" i="93"/>
  <c r="A69" i="93"/>
  <c r="A188" i="93"/>
  <c r="A70" i="93"/>
  <c r="A71" i="93"/>
  <c r="A189" i="93"/>
  <c r="A72" i="93"/>
  <c r="A17" i="93"/>
  <c r="A55" i="93"/>
  <c r="A56" i="93"/>
  <c r="A57" i="93"/>
  <c r="A186" i="93"/>
  <c r="A58" i="93"/>
  <c r="A59" i="93"/>
  <c r="A60" i="93"/>
  <c r="A61" i="93"/>
  <c r="A62" i="93"/>
  <c r="A63" i="93"/>
  <c r="A187" i="93"/>
  <c r="A64" i="93"/>
  <c r="A89" i="93"/>
  <c r="A90" i="93"/>
  <c r="A91" i="93"/>
  <c r="A92" i="93"/>
  <c r="A93" i="93"/>
  <c r="A94" i="93"/>
  <c r="A95" i="93"/>
  <c r="A96" i="93"/>
  <c r="A118" i="93"/>
  <c r="A25" i="93"/>
  <c r="A119" i="93"/>
  <c r="A120" i="93"/>
  <c r="A121" i="93"/>
  <c r="A122" i="93"/>
  <c r="A123" i="93"/>
  <c r="A10" i="93"/>
  <c r="A11" i="93"/>
  <c r="A12" i="93"/>
  <c r="A13" i="93"/>
  <c r="A14" i="93"/>
  <c r="A15" i="93"/>
  <c r="A31" i="93"/>
  <c r="A32" i="93"/>
  <c r="A191" i="93"/>
  <c r="A112" i="93"/>
  <c r="A113" i="93"/>
  <c r="A114" i="93"/>
  <c r="A115" i="93"/>
  <c r="A116" i="93"/>
  <c r="A117" i="93"/>
  <c r="A97" i="93"/>
  <c r="A98" i="93"/>
  <c r="A99" i="93"/>
  <c r="A100" i="93"/>
  <c r="A101" i="93"/>
  <c r="A102" i="93"/>
  <c r="A103" i="93"/>
  <c r="A164" i="93"/>
  <c r="A165" i="93"/>
  <c r="A166" i="93"/>
  <c r="A167" i="93"/>
  <c r="A168" i="93"/>
  <c r="A169" i="93"/>
  <c r="A170" i="93"/>
  <c r="A171" i="93"/>
  <c r="A172" i="93"/>
  <c r="A173" i="93"/>
  <c r="A174" i="93"/>
  <c r="A175" i="93"/>
  <c r="A176" i="93"/>
  <c r="A5" i="94"/>
  <c r="A6" i="94"/>
  <c r="A7" i="94"/>
  <c r="A8" i="94"/>
  <c r="A9" i="94"/>
  <c r="A10" i="94"/>
  <c r="A11" i="94"/>
  <c r="A12" i="94"/>
  <c r="A13" i="94"/>
  <c r="A14" i="94"/>
  <c r="A15" i="94"/>
  <c r="A16" i="94"/>
  <c r="A17" i="94"/>
  <c r="A18" i="94"/>
  <c r="A19" i="94"/>
  <c r="A20" i="94"/>
  <c r="A21" i="94"/>
  <c r="A22" i="94"/>
  <c r="A23" i="94"/>
  <c r="A24" i="94"/>
  <c r="A25" i="94"/>
  <c r="A26" i="94"/>
  <c r="A27" i="94"/>
  <c r="A28" i="94"/>
  <c r="A29" i="94"/>
  <c r="A30" i="94"/>
  <c r="A31" i="94"/>
  <c r="A32" i="94"/>
  <c r="A33" i="94"/>
  <c r="A34" i="94"/>
  <c r="A35" i="94"/>
  <c r="A36" i="94"/>
  <c r="A37" i="94"/>
  <c r="A38" i="94"/>
  <c r="A39" i="94"/>
  <c r="A40" i="94"/>
  <c r="A41" i="94"/>
  <c r="A42" i="94"/>
  <c r="A43" i="94"/>
  <c r="A44" i="94"/>
  <c r="A45" i="94"/>
  <c r="A46" i="94"/>
  <c r="A47" i="94"/>
  <c r="A48" i="94"/>
  <c r="A49" i="94"/>
  <c r="A50" i="94"/>
  <c r="A51" i="94"/>
  <c r="A52" i="94"/>
  <c r="A53" i="94"/>
  <c r="A54" i="94"/>
  <c r="A55" i="94"/>
  <c r="A56" i="94"/>
  <c r="A57" i="94"/>
  <c r="A58" i="94"/>
  <c r="A59" i="94"/>
  <c r="A60" i="94"/>
  <c r="A61" i="94"/>
  <c r="A62" i="94"/>
  <c r="A63" i="94"/>
  <c r="A64" i="94"/>
  <c r="A65" i="94"/>
  <c r="A66" i="94"/>
  <c r="A67" i="94"/>
  <c r="A68" i="94"/>
  <c r="A69" i="94"/>
  <c r="A70" i="94"/>
  <c r="A71" i="94"/>
  <c r="A72" i="94"/>
  <c r="A73" i="94"/>
  <c r="A74" i="94"/>
  <c r="A75" i="94"/>
  <c r="A76" i="94"/>
  <c r="A77" i="94"/>
  <c r="A78" i="94"/>
  <c r="A79" i="94"/>
  <c r="A80" i="94"/>
  <c r="A81" i="94"/>
  <c r="A82" i="94"/>
  <c r="A83" i="94"/>
  <c r="A84" i="94"/>
  <c r="A85" i="94"/>
  <c r="A86" i="94"/>
  <c r="A87" i="94"/>
  <c r="A88" i="94"/>
  <c r="A89" i="94"/>
  <c r="A90" i="94"/>
  <c r="A91" i="94"/>
  <c r="A92" i="94"/>
  <c r="A93" i="94"/>
  <c r="A94" i="94"/>
  <c r="A95" i="94"/>
  <c r="A96" i="94"/>
  <c r="A97" i="94"/>
  <c r="A98" i="94"/>
  <c r="A99" i="94"/>
  <c r="A100" i="94"/>
  <c r="A101" i="94"/>
  <c r="A102" i="94"/>
  <c r="A103" i="94"/>
  <c r="A104" i="94"/>
  <c r="A105" i="94"/>
  <c r="A106" i="94"/>
  <c r="A107" i="94"/>
  <c r="A108" i="94"/>
  <c r="A109" i="94"/>
  <c r="A110" i="94"/>
  <c r="A111" i="94"/>
  <c r="A112" i="94"/>
  <c r="A113" i="94"/>
  <c r="A114" i="94"/>
  <c r="A115" i="94"/>
  <c r="A116" i="94"/>
  <c r="A117" i="94"/>
  <c r="A118" i="94"/>
  <c r="A119" i="94"/>
  <c r="A120" i="94"/>
  <c r="A121" i="94"/>
  <c r="A122" i="94"/>
  <c r="A123" i="94"/>
  <c r="A124" i="94"/>
  <c r="A125" i="94"/>
  <c r="A126" i="94"/>
  <c r="A127" i="94"/>
  <c r="A128" i="94"/>
  <c r="A129" i="94"/>
  <c r="A130" i="94"/>
  <c r="A131" i="94"/>
  <c r="A132" i="94"/>
  <c r="A133" i="94"/>
  <c r="A134" i="94"/>
  <c r="A135" i="94"/>
  <c r="A136" i="94"/>
  <c r="A137" i="94"/>
  <c r="A138" i="94"/>
  <c r="A139" i="94"/>
  <c r="A140" i="94"/>
  <c r="A141" i="94"/>
  <c r="A142" i="94"/>
  <c r="A143" i="94"/>
  <c r="A144" i="94"/>
  <c r="A145" i="94"/>
  <c r="A146" i="94"/>
  <c r="A147" i="94"/>
  <c r="A148" i="94"/>
  <c r="A149" i="94"/>
  <c r="A150" i="94"/>
  <c r="A151" i="94"/>
  <c r="A152" i="94"/>
  <c r="A153" i="94"/>
  <c r="A154" i="94"/>
  <c r="A155" i="94"/>
  <c r="A156" i="94"/>
  <c r="A157" i="94"/>
  <c r="A158" i="94"/>
  <c r="A159" i="94"/>
  <c r="A160" i="94"/>
  <c r="A161" i="94"/>
  <c r="A162" i="94"/>
  <c r="A163" i="94"/>
  <c r="A164" i="94"/>
  <c r="A165" i="94"/>
  <c r="A166" i="94"/>
  <c r="A167" i="94"/>
  <c r="A168" i="94"/>
  <c r="A169" i="94"/>
  <c r="A170" i="94"/>
  <c r="A171" i="94"/>
  <c r="A172" i="94"/>
  <c r="A173" i="94"/>
  <c r="A174" i="94"/>
  <c r="A175" i="94"/>
  <c r="A176" i="94"/>
  <c r="A177" i="94"/>
  <c r="A178" i="94"/>
  <c r="A179" i="94"/>
  <c r="A180" i="94"/>
  <c r="A181" i="94"/>
  <c r="A182" i="94"/>
  <c r="A183" i="94"/>
  <c r="A184" i="94"/>
  <c r="A185" i="94"/>
  <c r="A186" i="94"/>
  <c r="A187" i="94"/>
  <c r="A188" i="94"/>
  <c r="A189" i="94"/>
  <c r="A190" i="94"/>
  <c r="A191" i="94"/>
  <c r="A4" i="94"/>
  <c r="L4" i="115" l="1"/>
  <c r="L6" i="115"/>
  <c r="L7" i="115"/>
  <c r="L8" i="115"/>
  <c r="L9" i="115"/>
  <c r="L10" i="115"/>
  <c r="L11" i="115"/>
  <c r="L12" i="115"/>
  <c r="L13" i="115"/>
  <c r="L14" i="115"/>
  <c r="L15" i="115"/>
  <c r="L16" i="115"/>
  <c r="L17" i="115"/>
  <c r="L18" i="115"/>
  <c r="L19" i="115"/>
  <c r="L20" i="115"/>
  <c r="L21" i="115"/>
  <c r="L22" i="115"/>
  <c r="L23" i="115"/>
  <c r="L24" i="115"/>
  <c r="L25" i="115"/>
  <c r="L26" i="115"/>
  <c r="L27" i="115"/>
  <c r="L28" i="115"/>
  <c r="L29" i="115"/>
  <c r="L30" i="115"/>
  <c r="L31" i="115"/>
  <c r="L32" i="115"/>
  <c r="L33" i="115"/>
  <c r="L34" i="115"/>
  <c r="L35" i="115"/>
  <c r="L36" i="115"/>
  <c r="L37" i="115"/>
  <c r="L38" i="115"/>
  <c r="L39" i="115"/>
  <c r="L40" i="115"/>
  <c r="L41" i="115"/>
  <c r="L42" i="115"/>
  <c r="L43" i="115"/>
  <c r="L44" i="115"/>
  <c r="L45" i="115"/>
  <c r="L46" i="115"/>
  <c r="L47" i="115"/>
  <c r="L48" i="115"/>
  <c r="L49" i="115"/>
  <c r="L50" i="115"/>
  <c r="L51" i="115"/>
  <c r="L52" i="115"/>
  <c r="L53" i="115"/>
  <c r="L54" i="115"/>
  <c r="L55" i="115"/>
  <c r="L56" i="115"/>
  <c r="L57" i="115"/>
  <c r="L58" i="115"/>
  <c r="L59" i="115"/>
  <c r="L60" i="115"/>
  <c r="L61" i="115"/>
  <c r="L62" i="115"/>
  <c r="L63" i="115"/>
  <c r="L64" i="115"/>
  <c r="L65" i="115"/>
  <c r="L66" i="115"/>
  <c r="L67" i="115"/>
  <c r="L68" i="115"/>
  <c r="L69" i="115"/>
  <c r="L70" i="115"/>
  <c r="L71" i="115"/>
  <c r="L72" i="115"/>
  <c r="L73" i="115"/>
  <c r="L74" i="115"/>
  <c r="L75" i="115"/>
  <c r="L76" i="115"/>
  <c r="L77" i="115"/>
  <c r="L78" i="115"/>
  <c r="L79" i="115"/>
  <c r="L80" i="115"/>
  <c r="L81" i="115"/>
  <c r="L82" i="115"/>
  <c r="L83" i="115"/>
  <c r="L84" i="115"/>
  <c r="L85" i="115"/>
  <c r="L86" i="115"/>
  <c r="L87" i="115"/>
  <c r="L88" i="115"/>
  <c r="L89" i="115"/>
  <c r="L90" i="115"/>
  <c r="L91" i="115"/>
  <c r="L92" i="115"/>
  <c r="L93" i="115"/>
  <c r="L94" i="115"/>
  <c r="L95" i="115"/>
  <c r="L96" i="115"/>
  <c r="L97" i="115"/>
  <c r="L98" i="115"/>
  <c r="L99" i="115"/>
  <c r="L100" i="115"/>
  <c r="L101" i="115"/>
  <c r="L102" i="115"/>
  <c r="L103" i="115"/>
  <c r="L104" i="115"/>
  <c r="L105" i="115"/>
  <c r="L106" i="115"/>
  <c r="L107" i="115"/>
  <c r="L108" i="115"/>
  <c r="L109" i="115"/>
  <c r="L110" i="115"/>
  <c r="L111" i="115"/>
  <c r="L112" i="115"/>
  <c r="L113" i="115"/>
  <c r="L114" i="115"/>
  <c r="L115" i="115"/>
  <c r="L116" i="115"/>
  <c r="L117" i="115"/>
  <c r="L118" i="115"/>
  <c r="L119" i="115"/>
  <c r="L120" i="115"/>
  <c r="L121" i="115"/>
  <c r="L122" i="115"/>
  <c r="L123" i="115"/>
  <c r="L124" i="115"/>
  <c r="L125" i="115"/>
  <c r="L126" i="115"/>
  <c r="L127" i="115"/>
  <c r="L128" i="115"/>
  <c r="L129" i="115"/>
  <c r="L130" i="115"/>
  <c r="L131" i="115"/>
  <c r="L132" i="115"/>
  <c r="L133" i="115"/>
  <c r="L134" i="115"/>
  <c r="L135" i="115"/>
  <c r="L136" i="115"/>
  <c r="L137" i="115"/>
  <c r="L138" i="115"/>
  <c r="L139" i="115"/>
  <c r="L140" i="115"/>
  <c r="L141" i="115"/>
  <c r="L142" i="115"/>
  <c r="L143" i="115"/>
  <c r="L144" i="115"/>
  <c r="L145" i="115"/>
  <c r="L146" i="115"/>
  <c r="L147" i="115"/>
  <c r="L148" i="115"/>
  <c r="L149" i="115"/>
  <c r="L150" i="115"/>
  <c r="L151" i="115"/>
  <c r="L152" i="115"/>
  <c r="L153" i="115"/>
  <c r="L154" i="115"/>
  <c r="L155" i="115"/>
  <c r="L156" i="115"/>
  <c r="L157" i="115"/>
  <c r="L158" i="115"/>
  <c r="L159" i="115"/>
  <c r="L160" i="115"/>
  <c r="L161" i="115"/>
  <c r="L162" i="115"/>
  <c r="L163" i="115"/>
  <c r="L164" i="115"/>
  <c r="L165" i="115"/>
  <c r="L166" i="115"/>
  <c r="L167" i="115"/>
  <c r="L168" i="115"/>
  <c r="L169" i="115"/>
  <c r="L170" i="115"/>
  <c r="L171" i="115"/>
  <c r="L172" i="115"/>
  <c r="L173" i="115"/>
  <c r="L174" i="115"/>
  <c r="L175" i="115"/>
  <c r="L176" i="115"/>
  <c r="L177" i="115"/>
  <c r="L178" i="115"/>
  <c r="L179" i="115"/>
  <c r="L180" i="115"/>
  <c r="L181" i="115"/>
  <c r="L182" i="115"/>
  <c r="L183" i="115"/>
  <c r="L184" i="115"/>
  <c r="L185" i="115"/>
  <c r="L186" i="115"/>
  <c r="L187" i="115"/>
  <c r="L188" i="115"/>
  <c r="L189" i="115"/>
  <c r="L190" i="115"/>
  <c r="L1" i="92" l="1"/>
  <c r="M1" i="92"/>
  <c r="N1" i="92"/>
  <c r="O1" i="92"/>
  <c r="P1" i="92"/>
  <c r="Q1" i="92"/>
  <c r="R1" i="92"/>
  <c r="S1" i="92"/>
  <c r="T1" i="92"/>
  <c r="J1" i="92"/>
  <c r="K1" i="92"/>
  <c r="G5" i="114" l="1"/>
  <c r="G6" i="114"/>
  <c r="G7" i="114"/>
  <c r="G8" i="114"/>
  <c r="G9" i="114"/>
  <c r="G10" i="114"/>
  <c r="G11" i="114"/>
  <c r="G12" i="114"/>
  <c r="G13" i="114"/>
  <c r="G14" i="114"/>
  <c r="G15" i="114"/>
  <c r="G16" i="114"/>
  <c r="G17" i="114"/>
  <c r="G18" i="114"/>
  <c r="G19" i="114"/>
  <c r="G20" i="114"/>
  <c r="G21" i="114"/>
  <c r="G22" i="114"/>
  <c r="G4" i="114"/>
  <c r="F1" i="27" l="1"/>
  <c r="O1" i="27" l="1"/>
  <c r="J1" i="27" l="1"/>
  <c r="K1" i="27"/>
  <c r="L1" i="27"/>
  <c r="M1" i="27"/>
  <c r="N1" i="27"/>
  <c r="P1" i="27"/>
  <c r="Q1" i="27"/>
  <c r="R1" i="27"/>
  <c r="S1" i="27"/>
  <c r="H5" i="109" l="1"/>
  <c r="H6" i="109"/>
  <c r="H7" i="109"/>
  <c r="H8" i="109"/>
  <c r="H9" i="109"/>
  <c r="H10" i="109"/>
  <c r="H11" i="109"/>
  <c r="H12" i="109"/>
  <c r="H13" i="109"/>
  <c r="H14" i="109"/>
  <c r="H15" i="109"/>
  <c r="H16" i="109"/>
  <c r="H17" i="109"/>
  <c r="H18" i="109"/>
  <c r="H19" i="109"/>
  <c r="H20" i="109"/>
  <c r="H21" i="109"/>
  <c r="H22" i="109"/>
  <c r="H23" i="109"/>
  <c r="H24" i="109"/>
  <c r="H25" i="109"/>
  <c r="H26" i="109"/>
  <c r="H27" i="109"/>
  <c r="H28" i="109"/>
  <c r="H29" i="109"/>
  <c r="H30" i="109"/>
  <c r="H31" i="109"/>
  <c r="H32" i="109"/>
  <c r="H33" i="109"/>
  <c r="H34" i="109"/>
  <c r="H35" i="109"/>
  <c r="H36" i="109"/>
  <c r="H37" i="109"/>
  <c r="H38" i="109"/>
  <c r="H39" i="109"/>
  <c r="H40" i="109"/>
  <c r="H41" i="109"/>
  <c r="H42" i="109"/>
  <c r="H43" i="109"/>
  <c r="H44" i="109"/>
  <c r="H45" i="109"/>
  <c r="H46" i="109"/>
  <c r="H47" i="109"/>
  <c r="H48" i="109"/>
  <c r="H49" i="109"/>
  <c r="H50" i="109"/>
  <c r="H51" i="109"/>
  <c r="H52" i="109"/>
  <c r="H53" i="109"/>
  <c r="H54" i="109"/>
  <c r="H55" i="109"/>
  <c r="H56" i="109"/>
  <c r="H57" i="109"/>
  <c r="H58" i="109"/>
  <c r="H59" i="109"/>
  <c r="H60" i="109"/>
  <c r="H61" i="109"/>
  <c r="H62" i="109"/>
  <c r="H63" i="109"/>
  <c r="H64" i="109"/>
  <c r="H65" i="109"/>
  <c r="H66" i="109"/>
  <c r="H67" i="109"/>
  <c r="H68" i="109"/>
  <c r="H69" i="109"/>
  <c r="H70" i="109"/>
  <c r="H71" i="109"/>
  <c r="H72" i="109"/>
  <c r="H73" i="109"/>
  <c r="H74" i="109"/>
  <c r="H75" i="109"/>
  <c r="H76" i="109"/>
  <c r="H77" i="109"/>
  <c r="H78" i="109"/>
  <c r="H79" i="109"/>
  <c r="H80" i="109"/>
  <c r="H81" i="109"/>
  <c r="H82" i="109"/>
  <c r="H83" i="109"/>
  <c r="H84" i="109"/>
  <c r="H85" i="109"/>
  <c r="H86" i="109"/>
  <c r="H87" i="109"/>
  <c r="H88" i="109"/>
  <c r="H89" i="109"/>
  <c r="H90" i="109"/>
  <c r="H91" i="109"/>
  <c r="H92" i="109"/>
  <c r="H93" i="109"/>
  <c r="H94" i="109"/>
  <c r="H95" i="109"/>
  <c r="H96" i="109"/>
  <c r="H97" i="109"/>
  <c r="H98" i="109"/>
  <c r="H99" i="109"/>
  <c r="H100" i="109"/>
  <c r="H101" i="109"/>
  <c r="H102" i="109"/>
  <c r="H103" i="109"/>
  <c r="H104" i="109"/>
  <c r="H105" i="109"/>
  <c r="H106" i="109"/>
  <c r="H107" i="109"/>
  <c r="H108" i="109"/>
  <c r="H109" i="109"/>
  <c r="H110" i="109"/>
  <c r="H111" i="109"/>
  <c r="H112" i="109"/>
  <c r="H113" i="109"/>
  <c r="H114" i="109"/>
  <c r="H115" i="109"/>
  <c r="H116" i="109"/>
  <c r="H117" i="109"/>
  <c r="H118" i="109"/>
  <c r="H119" i="109"/>
  <c r="H120" i="109"/>
  <c r="H121" i="109"/>
  <c r="H122" i="109"/>
  <c r="H123" i="109"/>
  <c r="H124" i="109"/>
  <c r="H125" i="109"/>
  <c r="H126" i="109"/>
  <c r="H127" i="109"/>
  <c r="H128" i="109"/>
  <c r="H129" i="109"/>
  <c r="H130" i="109"/>
  <c r="H131" i="109"/>
  <c r="H132" i="109"/>
  <c r="H133" i="109"/>
  <c r="H134" i="109"/>
  <c r="H135" i="109"/>
  <c r="H136" i="109"/>
  <c r="H137" i="109"/>
  <c r="H138" i="109"/>
  <c r="H139" i="109"/>
  <c r="H140" i="109"/>
  <c r="H141" i="109"/>
  <c r="H142" i="109"/>
  <c r="H143" i="109"/>
  <c r="H144" i="109"/>
  <c r="H145" i="109"/>
  <c r="H146" i="109"/>
  <c r="H147" i="109"/>
  <c r="H148" i="109"/>
  <c r="H149" i="109"/>
  <c r="H150" i="109"/>
  <c r="H151" i="109"/>
  <c r="H152" i="109"/>
  <c r="H153" i="109"/>
  <c r="H154" i="109"/>
  <c r="H155" i="109"/>
  <c r="H156" i="109"/>
  <c r="H157" i="109"/>
  <c r="H158" i="109"/>
  <c r="H159" i="109"/>
  <c r="H160" i="109"/>
  <c r="H161" i="109"/>
  <c r="H162" i="109"/>
  <c r="H163" i="109"/>
  <c r="H164" i="109"/>
  <c r="H165" i="109"/>
  <c r="H166" i="109"/>
  <c r="H167" i="109"/>
  <c r="H168" i="109"/>
  <c r="H169" i="109"/>
  <c r="H170" i="109"/>
  <c r="H171" i="109"/>
  <c r="H172" i="109"/>
  <c r="H173" i="109"/>
  <c r="H174" i="109"/>
  <c r="H175" i="109"/>
  <c r="H176" i="109"/>
  <c r="H177" i="109"/>
  <c r="H178" i="109"/>
  <c r="H179" i="109"/>
  <c r="H180" i="109"/>
  <c r="H181" i="109"/>
  <c r="H182" i="109"/>
  <c r="H183" i="109"/>
  <c r="H184" i="109"/>
  <c r="H185" i="109"/>
  <c r="H186" i="109"/>
  <c r="H187" i="109"/>
  <c r="H188" i="109"/>
  <c r="H189" i="109"/>
  <c r="H190" i="109"/>
  <c r="H191" i="109"/>
  <c r="H192" i="109"/>
  <c r="H193" i="109"/>
  <c r="H4" i="109"/>
  <c r="I1" i="27" l="1"/>
  <c r="AB473" i="27" l="1"/>
  <c r="Z473" i="27" l="1"/>
  <c r="Z476" i="27"/>
  <c r="Z479" i="27"/>
  <c r="Z482" i="27"/>
  <c r="Z464" i="27"/>
  <c r="Z461" i="27"/>
  <c r="Z470" i="27"/>
  <c r="Z467" i="27"/>
  <c r="Z275" i="27"/>
  <c r="Z278" i="27"/>
  <c r="Z281" i="27"/>
  <c r="Z269" i="27"/>
  <c r="Z272" i="27"/>
  <c r="Z284" i="27"/>
  <c r="Z287" i="27"/>
  <c r="Z191" i="27"/>
  <c r="Z194" i="27"/>
  <c r="Z200" i="27"/>
  <c r="Z197" i="27"/>
  <c r="Z203" i="27"/>
  <c r="Z206" i="27"/>
  <c r="Z209" i="27"/>
  <c r="Z215" i="27"/>
  <c r="Z212" i="27"/>
  <c r="Z167" i="27"/>
  <c r="Z179" i="27"/>
  <c r="Z170" i="27"/>
  <c r="Z164" i="27"/>
  <c r="Z176" i="27"/>
  <c r="Z185" i="27"/>
  <c r="Z182" i="27"/>
  <c r="Z173" i="27"/>
  <c r="Z188" i="27"/>
  <c r="Z380" i="27"/>
  <c r="Z383" i="27"/>
  <c r="Z386" i="27"/>
  <c r="Z395" i="27"/>
  <c r="Z407" i="27"/>
  <c r="Z389" i="27"/>
  <c r="Z413" i="27"/>
  <c r="Z392" i="27"/>
  <c r="Z398" i="27"/>
  <c r="Z410" i="27"/>
  <c r="Z401" i="27"/>
  <c r="Z404" i="27"/>
  <c r="Z347" i="27"/>
  <c r="Z350" i="27"/>
  <c r="Z356" i="27"/>
  <c r="Z353" i="27"/>
  <c r="Z365" i="27"/>
  <c r="Z359" i="27"/>
  <c r="Z371" i="27"/>
  <c r="Z377" i="27"/>
  <c r="Z362" i="27"/>
  <c r="Z368" i="27"/>
  <c r="Z374" i="27"/>
  <c r="Z11" i="27"/>
  <c r="Z5" i="27"/>
  <c r="Z17" i="27"/>
  <c r="Z23" i="27"/>
  <c r="Z14" i="27"/>
  <c r="Z8" i="27"/>
  <c r="Z20" i="27"/>
  <c r="Z29" i="27"/>
  <c r="Z32" i="27"/>
  <c r="Z68" i="27"/>
  <c r="Z35" i="27"/>
  <c r="Z38" i="27"/>
  <c r="Z41" i="27"/>
  <c r="Z74" i="27"/>
  <c r="Z26" i="27"/>
  <c r="Z47" i="27"/>
  <c r="Z50" i="27"/>
  <c r="Z65" i="27"/>
  <c r="Z53" i="27"/>
  <c r="Z56" i="27"/>
  <c r="Z59" i="27"/>
  <c r="Z71" i="27"/>
  <c r="Z44" i="27"/>
  <c r="Z62" i="27"/>
  <c r="Z437" i="27"/>
  <c r="Z425" i="27"/>
  <c r="Z428" i="27"/>
  <c r="Z434" i="27"/>
  <c r="Z419" i="27"/>
  <c r="Z422" i="27"/>
  <c r="Z431" i="27"/>
  <c r="Z416" i="27"/>
  <c r="Z521" i="27"/>
  <c r="Z512" i="27"/>
  <c r="Z518" i="27"/>
  <c r="Z509" i="27"/>
  <c r="Z515" i="27"/>
  <c r="Z506" i="27"/>
  <c r="Z524" i="27"/>
  <c r="Z344" i="27"/>
  <c r="Z335" i="27"/>
  <c r="Z317" i="27"/>
  <c r="Z326" i="27"/>
  <c r="Z338" i="27"/>
  <c r="Z329" i="27"/>
  <c r="Z320" i="27"/>
  <c r="Z332" i="27"/>
  <c r="Z341" i="27"/>
  <c r="Z323" i="27"/>
  <c r="Z485" i="27"/>
  <c r="Z494" i="27"/>
  <c r="Z503" i="27"/>
  <c r="Z488" i="27"/>
  <c r="Z497" i="27"/>
  <c r="Z500" i="27"/>
  <c r="Z491" i="27"/>
  <c r="Z440" i="27"/>
  <c r="Z446" i="27"/>
  <c r="Z449" i="27"/>
  <c r="Z452" i="27"/>
  <c r="Z443" i="27"/>
  <c r="Z455" i="27"/>
  <c r="Z458" i="27"/>
  <c r="Z77" i="27"/>
  <c r="Z98" i="27"/>
  <c r="Z131" i="27"/>
  <c r="Z110" i="27"/>
  <c r="Z125" i="27"/>
  <c r="Z122" i="27"/>
  <c r="Z137" i="27"/>
  <c r="Z80" i="27"/>
  <c r="Z104" i="27"/>
  <c r="Z83" i="27"/>
  <c r="Z119" i="27"/>
  <c r="Z113" i="27"/>
  <c r="Z86" i="27"/>
  <c r="Z101" i="27"/>
  <c r="Z134" i="27"/>
  <c r="Z128" i="27"/>
  <c r="Z116" i="27"/>
  <c r="Z92" i="27"/>
  <c r="Z107" i="27"/>
  <c r="Z95" i="27"/>
  <c r="Z89" i="27"/>
  <c r="Z224" i="27"/>
  <c r="Z218" i="27"/>
  <c r="Z254" i="27"/>
  <c r="Z248" i="27"/>
  <c r="Z257" i="27"/>
  <c r="Z233" i="27"/>
  <c r="Z230" i="27"/>
  <c r="Z242" i="27"/>
  <c r="Z260" i="27"/>
  <c r="Z263" i="27"/>
  <c r="Z236" i="27"/>
  <c r="Z266" i="27"/>
  <c r="Z251" i="27"/>
  <c r="Z239" i="27"/>
  <c r="Z245" i="27"/>
  <c r="Z221" i="27"/>
  <c r="Z227" i="27"/>
  <c r="Z143" i="27"/>
  <c r="Z140" i="27"/>
  <c r="Z146" i="27"/>
  <c r="Z149" i="27"/>
  <c r="Z152" i="27"/>
  <c r="Z155" i="27"/>
  <c r="Z158" i="27"/>
  <c r="Z161" i="27"/>
  <c r="Z533" i="27"/>
  <c r="Z545" i="27"/>
  <c r="Z557" i="27"/>
  <c r="Z560" i="27"/>
  <c r="Z563" i="27"/>
  <c r="Z554" i="27"/>
  <c r="Z566" i="27"/>
  <c r="Z530" i="27"/>
  <c r="Z542" i="27"/>
  <c r="Z548" i="27"/>
  <c r="Z551" i="27"/>
  <c r="Z527" i="27"/>
  <c r="Z539" i="27"/>
  <c r="Z536" i="27"/>
  <c r="Z290" i="27"/>
  <c r="Z311" i="27"/>
  <c r="Z308" i="27"/>
  <c r="Z305" i="27"/>
  <c r="Z314" i="27"/>
  <c r="Z299" i="27"/>
  <c r="Z296" i="27"/>
  <c r="Z302" i="27"/>
  <c r="Z293" i="27"/>
  <c r="Z472" i="27"/>
  <c r="Z475" i="27"/>
  <c r="Z478" i="27"/>
  <c r="Z481" i="27"/>
  <c r="Z463" i="27"/>
  <c r="Z460" i="27"/>
  <c r="Z469" i="27"/>
  <c r="Z466" i="27"/>
  <c r="Z274" i="27"/>
  <c r="Z277" i="27"/>
  <c r="Z280" i="27"/>
  <c r="Z268" i="27"/>
  <c r="Z271" i="27"/>
  <c r="Z283" i="27"/>
  <c r="Z286" i="27"/>
  <c r="Z190" i="27"/>
  <c r="Z193" i="27"/>
  <c r="Z199" i="27"/>
  <c r="Z196" i="27"/>
  <c r="Z202" i="27"/>
  <c r="Z205" i="27"/>
  <c r="Z208" i="27"/>
  <c r="Z214" i="27"/>
  <c r="Z211" i="27"/>
  <c r="Z166" i="27"/>
  <c r="Z178" i="27"/>
  <c r="Z169" i="27"/>
  <c r="Z163" i="27"/>
  <c r="Z175" i="27"/>
  <c r="Z184" i="27"/>
  <c r="Z181" i="27"/>
  <c r="Z172" i="27"/>
  <c r="Z187" i="27"/>
  <c r="Z379" i="27"/>
  <c r="Z382" i="27"/>
  <c r="Z385" i="27"/>
  <c r="Z394" i="27"/>
  <c r="Z406" i="27"/>
  <c r="Z388" i="27"/>
  <c r="Z412" i="27"/>
  <c r="Z391" i="27"/>
  <c r="Z397" i="27"/>
  <c r="Z409" i="27"/>
  <c r="Z400" i="27"/>
  <c r="Z403" i="27"/>
  <c r="Z346" i="27"/>
  <c r="Z349" i="27"/>
  <c r="Z355" i="27"/>
  <c r="Z352" i="27"/>
  <c r="Z364" i="27"/>
  <c r="Z358" i="27"/>
  <c r="Z370" i="27"/>
  <c r="Z376" i="27"/>
  <c r="Z361" i="27"/>
  <c r="Z367" i="27"/>
  <c r="Z373" i="27"/>
  <c r="Z10" i="27"/>
  <c r="Z4" i="27"/>
  <c r="Z16" i="27"/>
  <c r="Z22" i="27"/>
  <c r="Z13" i="27"/>
  <c r="Z7" i="27"/>
  <c r="Z19" i="27"/>
  <c r="Z28" i="27"/>
  <c r="Z31" i="27"/>
  <c r="Z67" i="27"/>
  <c r="Z34" i="27"/>
  <c r="Z37" i="27"/>
  <c r="Z40" i="27"/>
  <c r="Z73" i="27"/>
  <c r="Z25" i="27"/>
  <c r="Z46" i="27"/>
  <c r="Z49" i="27"/>
  <c r="Z64" i="27"/>
  <c r="Z52" i="27"/>
  <c r="Z55" i="27"/>
  <c r="Z58" i="27"/>
  <c r="Z70" i="27"/>
  <c r="Z43" i="27"/>
  <c r="Z61" i="27"/>
  <c r="Z436" i="27"/>
  <c r="Z424" i="27"/>
  <c r="Z427" i="27"/>
  <c r="Z433" i="27"/>
  <c r="Z418" i="27"/>
  <c r="Z421" i="27"/>
  <c r="Z430" i="27"/>
  <c r="Z415" i="27"/>
  <c r="Z520" i="27"/>
  <c r="Z511" i="27"/>
  <c r="Z517" i="27"/>
  <c r="Z508" i="27"/>
  <c r="Z514" i="27"/>
  <c r="Z505" i="27"/>
  <c r="Z523" i="27"/>
  <c r="Z343" i="27"/>
  <c r="Z334" i="27"/>
  <c r="Z316" i="27"/>
  <c r="Z325" i="27"/>
  <c r="Z337" i="27"/>
  <c r="Z328" i="27"/>
  <c r="Z319" i="27"/>
  <c r="Z331" i="27"/>
  <c r="Z340" i="27"/>
  <c r="Z322" i="27"/>
  <c r="Z484" i="27"/>
  <c r="Z493" i="27"/>
  <c r="Z502" i="27"/>
  <c r="Z487" i="27"/>
  <c r="Z496" i="27"/>
  <c r="Z499" i="27"/>
  <c r="Z490" i="27"/>
  <c r="Z439" i="27"/>
  <c r="Z445" i="27"/>
  <c r="Z448" i="27"/>
  <c r="Z451" i="27"/>
  <c r="Z442" i="27"/>
  <c r="Z454" i="27"/>
  <c r="Z457" i="27"/>
  <c r="Z76" i="27"/>
  <c r="Z97" i="27"/>
  <c r="Z130" i="27"/>
  <c r="Z109" i="27"/>
  <c r="Z124" i="27"/>
  <c r="Z121" i="27"/>
  <c r="Z136" i="27"/>
  <c r="Z79" i="27"/>
  <c r="Z103" i="27"/>
  <c r="Z82" i="27"/>
  <c r="Z118" i="27"/>
  <c r="Z112" i="27"/>
  <c r="Z85" i="27"/>
  <c r="Z100" i="27"/>
  <c r="Z133" i="27"/>
  <c r="Z127" i="27"/>
  <c r="Z115" i="27"/>
  <c r="Z91" i="27"/>
  <c r="Z106" i="27"/>
  <c r="Z94" i="27"/>
  <c r="Z88" i="27"/>
  <c r="Z223" i="27"/>
  <c r="Z217" i="27"/>
  <c r="Z253" i="27"/>
  <c r="Z247" i="27"/>
  <c r="Z256" i="27"/>
  <c r="Z232" i="27"/>
  <c r="Z229" i="27"/>
  <c r="Z241" i="27"/>
  <c r="Z259" i="27"/>
  <c r="Z262" i="27"/>
  <c r="Z235" i="27"/>
  <c r="Z265" i="27"/>
  <c r="Z250" i="27"/>
  <c r="Z238" i="27"/>
  <c r="Z244" i="27"/>
  <c r="Z220" i="27"/>
  <c r="Z226" i="27"/>
  <c r="Z142" i="27"/>
  <c r="Z139" i="27"/>
  <c r="Z145" i="27"/>
  <c r="Z148" i="27"/>
  <c r="Z151" i="27"/>
  <c r="Z154" i="27"/>
  <c r="Z157" i="27"/>
  <c r="Z160" i="27"/>
  <c r="Z532" i="27"/>
  <c r="Z544" i="27"/>
  <c r="Z556" i="27"/>
  <c r="Z559" i="27"/>
  <c r="Z562" i="27"/>
  <c r="Z553" i="27"/>
  <c r="Z565" i="27"/>
  <c r="Z529" i="27"/>
  <c r="Z541" i="27"/>
  <c r="Z547" i="27"/>
  <c r="Z550" i="27"/>
  <c r="Z526" i="27"/>
  <c r="Z538" i="27"/>
  <c r="Z535" i="27"/>
  <c r="Z289" i="27"/>
  <c r="Z310" i="27"/>
  <c r="Z307" i="27"/>
  <c r="Z304" i="27"/>
  <c r="Z313" i="27"/>
  <c r="Z298" i="27"/>
  <c r="Z295" i="27"/>
  <c r="Z301" i="27"/>
  <c r="Z292" i="27"/>
  <c r="Z474" i="27"/>
  <c r="Z477" i="27"/>
  <c r="Z480" i="27"/>
  <c r="Z483" i="27"/>
  <c r="Z465" i="27"/>
  <c r="Z462" i="27"/>
  <c r="Z471" i="27"/>
  <c r="Z468" i="27"/>
  <c r="Z276" i="27"/>
  <c r="Z279" i="27"/>
  <c r="Z282" i="27"/>
  <c r="Z270" i="27"/>
  <c r="Z273" i="27"/>
  <c r="Z285" i="27"/>
  <c r="Z288" i="27"/>
  <c r="Z192" i="27"/>
  <c r="Z195" i="27"/>
  <c r="Z201" i="27"/>
  <c r="Z198" i="27"/>
  <c r="Z204" i="27"/>
  <c r="Z207" i="27"/>
  <c r="Z210" i="27"/>
  <c r="Z216" i="27"/>
  <c r="Z213" i="27"/>
  <c r="Z168" i="27"/>
  <c r="Z180" i="27"/>
  <c r="Z171" i="27"/>
  <c r="Z165" i="27"/>
  <c r="Z177" i="27"/>
  <c r="Z186" i="27"/>
  <c r="Z183" i="27"/>
  <c r="Z174" i="27"/>
  <c r="Z189" i="27"/>
  <c r="Z381" i="27"/>
  <c r="Z384" i="27"/>
  <c r="Z387" i="27"/>
  <c r="Z396" i="27"/>
  <c r="Z408" i="27"/>
  <c r="Z390" i="27"/>
  <c r="Z414" i="27"/>
  <c r="Z393" i="27"/>
  <c r="Z399" i="27"/>
  <c r="Z411" i="27"/>
  <c r="Z402" i="27"/>
  <c r="Z405" i="27"/>
  <c r="Z348" i="27"/>
  <c r="Z351" i="27"/>
  <c r="Z357" i="27"/>
  <c r="Z354" i="27"/>
  <c r="Z366" i="27"/>
  <c r="Z360" i="27"/>
  <c r="Z372" i="27"/>
  <c r="Z378" i="27"/>
  <c r="Z363" i="27"/>
  <c r="Z369" i="27"/>
  <c r="Z375" i="27"/>
  <c r="Z12" i="27"/>
  <c r="Z6" i="27"/>
  <c r="Z18" i="27"/>
  <c r="Z24" i="27"/>
  <c r="Z15" i="27"/>
  <c r="Z9" i="27"/>
  <c r="Z21" i="27"/>
  <c r="Z30" i="27"/>
  <c r="Z33" i="27"/>
  <c r="Z69" i="27"/>
  <c r="Z36" i="27"/>
  <c r="Z39" i="27"/>
  <c r="Z42" i="27"/>
  <c r="Z75" i="27"/>
  <c r="Z27" i="27"/>
  <c r="Z48" i="27"/>
  <c r="Z51" i="27"/>
  <c r="Z66" i="27"/>
  <c r="Z54" i="27"/>
  <c r="Z57" i="27"/>
  <c r="Z60" i="27"/>
  <c r="Z72" i="27"/>
  <c r="Z45" i="27"/>
  <c r="Z63" i="27"/>
  <c r="Z438" i="27"/>
  <c r="Z426" i="27"/>
  <c r="Z429" i="27"/>
  <c r="Z435" i="27"/>
  <c r="Z420" i="27"/>
  <c r="Z423" i="27"/>
  <c r="Z432" i="27"/>
  <c r="Z417" i="27"/>
  <c r="Z522" i="27"/>
  <c r="Z513" i="27"/>
  <c r="Z519" i="27"/>
  <c r="Z510" i="27"/>
  <c r="Z516" i="27"/>
  <c r="Z507" i="27"/>
  <c r="Z525" i="27"/>
  <c r="Z345" i="27"/>
  <c r="Z336" i="27"/>
  <c r="Z318" i="27"/>
  <c r="Z327" i="27"/>
  <c r="Z339" i="27"/>
  <c r="Z330" i="27"/>
  <c r="Z321" i="27"/>
  <c r="Z333" i="27"/>
  <c r="Z342" i="27"/>
  <c r="Z324" i="27"/>
  <c r="Z486" i="27"/>
  <c r="Z495" i="27"/>
  <c r="Z504" i="27"/>
  <c r="Z489" i="27"/>
  <c r="Z498" i="27"/>
  <c r="Z501" i="27"/>
  <c r="Z492" i="27"/>
  <c r="Z441" i="27"/>
  <c r="Z447" i="27"/>
  <c r="Z450" i="27"/>
  <c r="Z453" i="27"/>
  <c r="Z444" i="27"/>
  <c r="Z456" i="27"/>
  <c r="Z459" i="27"/>
  <c r="Z78" i="27"/>
  <c r="Z99" i="27"/>
  <c r="Z132" i="27"/>
  <c r="Z111" i="27"/>
  <c r="Z126" i="27"/>
  <c r="Z123" i="27"/>
  <c r="Z138" i="27"/>
  <c r="Z81" i="27"/>
  <c r="Z105" i="27"/>
  <c r="Z84" i="27"/>
  <c r="Z120" i="27"/>
  <c r="Z114" i="27"/>
  <c r="Z87" i="27"/>
  <c r="Z102" i="27"/>
  <c r="Z135" i="27"/>
  <c r="Z129" i="27"/>
  <c r="Z117" i="27"/>
  <c r="Z93" i="27"/>
  <c r="Z108" i="27"/>
  <c r="Z96" i="27"/>
  <c r="Z90" i="27"/>
  <c r="Z225" i="27"/>
  <c r="Z219" i="27"/>
  <c r="Z255" i="27"/>
  <c r="Z249" i="27"/>
  <c r="Z258" i="27"/>
  <c r="Z234" i="27"/>
  <c r="Z231" i="27"/>
  <c r="Z243" i="27"/>
  <c r="Z261" i="27"/>
  <c r="Z264" i="27"/>
  <c r="Z237" i="27"/>
  <c r="Z267" i="27"/>
  <c r="Z252" i="27"/>
  <c r="Z240" i="27"/>
  <c r="Z246" i="27"/>
  <c r="Z222" i="27"/>
  <c r="Z228" i="27"/>
  <c r="Z144" i="27"/>
  <c r="Z141" i="27"/>
  <c r="Z147" i="27"/>
  <c r="Z150" i="27"/>
  <c r="Z153" i="27"/>
  <c r="Z156" i="27"/>
  <c r="Z159" i="27"/>
  <c r="Z162" i="27"/>
  <c r="Z534" i="27"/>
  <c r="Z546" i="27"/>
  <c r="Z558" i="27"/>
  <c r="Z561" i="27"/>
  <c r="Z564" i="27"/>
  <c r="Z555" i="27"/>
  <c r="Z567" i="27"/>
  <c r="Z531" i="27"/>
  <c r="Z543" i="27"/>
  <c r="Z549" i="27"/>
  <c r="Z552" i="27"/>
  <c r="Z528" i="27"/>
  <c r="Z540" i="27"/>
  <c r="Z537" i="27"/>
  <c r="Z291" i="27"/>
  <c r="Z312" i="27"/>
  <c r="Z309" i="27"/>
  <c r="Z306" i="27"/>
  <c r="Z315" i="27"/>
  <c r="Z300" i="27"/>
  <c r="Z297" i="27"/>
  <c r="Z303" i="27"/>
  <c r="Z294" i="27"/>
  <c r="W370" i="27" l="1"/>
  <c r="W502" i="27"/>
  <c r="W100" i="27"/>
  <c r="W253" i="27"/>
  <c r="W142" i="27"/>
  <c r="W151" i="27"/>
  <c r="W559" i="27"/>
  <c r="W565" i="27"/>
  <c r="W474" i="27"/>
  <c r="W465" i="27"/>
  <c r="W195" i="27"/>
  <c r="W201" i="27"/>
  <c r="W396" i="27"/>
  <c r="W354" i="27"/>
  <c r="W366" i="27"/>
  <c r="W42" i="27"/>
  <c r="W438" i="27"/>
  <c r="W339" i="27"/>
  <c r="W495" i="27"/>
  <c r="W441" i="27"/>
  <c r="W114" i="27"/>
  <c r="W87" i="27"/>
  <c r="W249" i="27"/>
  <c r="W258" i="27"/>
  <c r="W228" i="27"/>
  <c r="W147" i="27"/>
  <c r="W159" i="27"/>
  <c r="W555" i="27"/>
  <c r="W460" i="27"/>
  <c r="W268" i="27"/>
  <c r="W190" i="27"/>
  <c r="W400" i="27"/>
  <c r="W4" i="27"/>
  <c r="W328" i="27"/>
  <c r="W526" i="27"/>
  <c r="W96" i="27"/>
  <c r="W199" i="27"/>
  <c r="W37" i="27"/>
  <c r="W82" i="27"/>
  <c r="W226" i="27"/>
  <c r="W298" i="27"/>
  <c r="W270" i="27"/>
  <c r="W331" i="27"/>
  <c r="W547" i="27"/>
  <c r="W277" i="27"/>
  <c r="W163" i="27"/>
  <c r="W91" i="27"/>
  <c r="W57" i="27"/>
  <c r="W427" i="27"/>
  <c r="W55" i="27"/>
  <c r="W64" i="27"/>
  <c r="W483" i="27"/>
  <c r="W73" i="27"/>
  <c r="W97" i="27"/>
  <c r="W148" i="27"/>
  <c r="W402" i="27"/>
  <c r="A382" i="92"/>
  <c r="A383" i="92"/>
  <c r="A384" i="92"/>
  <c r="A385" i="92"/>
  <c r="A386" i="92"/>
  <c r="A387" i="92"/>
  <c r="A388" i="92"/>
  <c r="A389" i="92"/>
  <c r="A390" i="92"/>
  <c r="A391" i="92"/>
  <c r="A392" i="92"/>
  <c r="A393" i="92"/>
  <c r="A394" i="92"/>
  <c r="A395" i="92"/>
  <c r="A396" i="92"/>
  <c r="A397" i="92"/>
  <c r="A398" i="92"/>
  <c r="A399" i="92"/>
  <c r="A400" i="92"/>
  <c r="A401" i="92"/>
  <c r="A402" i="92"/>
  <c r="A403" i="92"/>
  <c r="A404" i="92"/>
  <c r="A405" i="92"/>
  <c r="A406" i="92"/>
  <c r="A407" i="92"/>
  <c r="A408" i="92"/>
  <c r="A409" i="92"/>
  <c r="A410" i="92"/>
  <c r="A411" i="92"/>
  <c r="A412" i="92"/>
  <c r="A413" i="92"/>
  <c r="A414" i="92"/>
  <c r="A415" i="92"/>
  <c r="A416" i="92"/>
  <c r="A417" i="92"/>
  <c r="A418" i="92"/>
  <c r="A419" i="92"/>
  <c r="A420" i="92"/>
  <c r="A421" i="92"/>
  <c r="A422" i="92"/>
  <c r="A423" i="92"/>
  <c r="A424" i="92"/>
  <c r="A425" i="92"/>
  <c r="A426" i="92"/>
  <c r="A427" i="92"/>
  <c r="A428" i="92"/>
  <c r="A429" i="92"/>
  <c r="A430" i="92"/>
  <c r="A431" i="92"/>
  <c r="A432" i="92"/>
  <c r="A433" i="92"/>
  <c r="A434" i="92"/>
  <c r="A435" i="92"/>
  <c r="A436" i="92"/>
  <c r="A437" i="92"/>
  <c r="A438" i="92"/>
  <c r="A439" i="92"/>
  <c r="A440" i="92"/>
  <c r="A441" i="92"/>
  <c r="A442" i="92"/>
  <c r="A443" i="92"/>
  <c r="A444" i="92"/>
  <c r="A445" i="92"/>
  <c r="A446" i="92"/>
  <c r="A447" i="92"/>
  <c r="A448" i="92"/>
  <c r="A449" i="92"/>
  <c r="A450" i="92"/>
  <c r="A451" i="92"/>
  <c r="A452" i="92"/>
  <c r="A453" i="92"/>
  <c r="A454" i="92"/>
  <c r="A455" i="92"/>
  <c r="A456" i="92"/>
  <c r="A457" i="92"/>
  <c r="A458" i="92"/>
  <c r="A459" i="92"/>
  <c r="A460" i="92"/>
  <c r="A461" i="92"/>
  <c r="A462" i="92"/>
  <c r="A463" i="92"/>
  <c r="A464" i="92"/>
  <c r="A465" i="92"/>
  <c r="A466" i="92"/>
  <c r="A467" i="92"/>
  <c r="A468" i="92"/>
  <c r="A469" i="92"/>
  <c r="A470" i="92"/>
  <c r="A471" i="92"/>
  <c r="A472" i="92"/>
  <c r="A473" i="92"/>
  <c r="A474" i="92"/>
  <c r="A475" i="92"/>
  <c r="A476" i="92"/>
  <c r="A477" i="92"/>
  <c r="A478" i="92"/>
  <c r="A479" i="92"/>
  <c r="A480" i="92"/>
  <c r="A481" i="92"/>
  <c r="A482" i="92"/>
  <c r="A483" i="92"/>
  <c r="A484" i="92"/>
  <c r="A485" i="92"/>
  <c r="A486" i="92"/>
  <c r="A487" i="92"/>
  <c r="A488" i="92"/>
  <c r="A489" i="92"/>
  <c r="A490" i="92"/>
  <c r="A491" i="92"/>
  <c r="A492" i="92"/>
  <c r="A493" i="92"/>
  <c r="A494" i="92"/>
  <c r="A495" i="92"/>
  <c r="A496" i="92"/>
  <c r="A497" i="92"/>
  <c r="A498" i="92"/>
  <c r="A499" i="92"/>
  <c r="A500" i="92"/>
  <c r="A501" i="92"/>
  <c r="A502" i="92"/>
  <c r="A503" i="92"/>
  <c r="A504" i="92"/>
  <c r="A505" i="92"/>
  <c r="A506" i="92"/>
  <c r="A507" i="92"/>
  <c r="A508" i="92"/>
  <c r="A509" i="92"/>
  <c r="A510" i="92"/>
  <c r="A511" i="92"/>
  <c r="A512" i="92"/>
  <c r="A513" i="92"/>
  <c r="A514" i="92"/>
  <c r="A515" i="92"/>
  <c r="A516" i="92"/>
  <c r="A517" i="92"/>
  <c r="A518" i="92"/>
  <c r="A519" i="92"/>
  <c r="A520" i="92"/>
  <c r="A521" i="92"/>
  <c r="A522" i="92"/>
  <c r="A523" i="92"/>
  <c r="A524" i="92"/>
  <c r="A525" i="92"/>
  <c r="A526" i="92"/>
  <c r="A527" i="92"/>
  <c r="A528" i="92"/>
  <c r="A529" i="92"/>
  <c r="A530" i="92"/>
  <c r="A531" i="92"/>
  <c r="A532" i="92"/>
  <c r="A533" i="92"/>
  <c r="A534" i="92"/>
  <c r="A535" i="92"/>
  <c r="A536" i="92"/>
  <c r="A537" i="92"/>
  <c r="A538" i="92"/>
  <c r="A539" i="92"/>
  <c r="A540" i="92"/>
  <c r="A541" i="92"/>
  <c r="A542" i="92"/>
  <c r="A543" i="92"/>
  <c r="A544" i="92"/>
  <c r="A545" i="92"/>
  <c r="A546" i="92"/>
  <c r="A547" i="92"/>
  <c r="A548" i="92"/>
  <c r="A549" i="92"/>
  <c r="A550" i="92"/>
  <c r="A551" i="92"/>
  <c r="A552" i="92"/>
  <c r="A553" i="92"/>
  <c r="A554" i="92"/>
  <c r="A555" i="92"/>
  <c r="A556" i="92"/>
  <c r="A557" i="92"/>
  <c r="A558" i="92"/>
  <c r="A559" i="92"/>
  <c r="A560" i="92"/>
  <c r="A561" i="92"/>
  <c r="A562" i="92"/>
  <c r="A563" i="92"/>
  <c r="A564" i="92"/>
  <c r="A565" i="92"/>
  <c r="A566" i="92"/>
  <c r="A567" i="92"/>
  <c r="A568" i="92"/>
  <c r="A569" i="92"/>
  <c r="A570" i="92"/>
  <c r="A571" i="92"/>
  <c r="A572" i="92"/>
  <c r="A573" i="92"/>
  <c r="A574" i="92"/>
  <c r="A575" i="92"/>
  <c r="A576" i="92"/>
  <c r="A577" i="92"/>
  <c r="A578" i="92"/>
  <c r="A579" i="92"/>
  <c r="A580" i="92"/>
  <c r="A581" i="92"/>
  <c r="A582" i="92"/>
  <c r="A583" i="92"/>
  <c r="A584" i="92"/>
  <c r="A585" i="92"/>
  <c r="A586" i="92"/>
  <c r="A587" i="92"/>
  <c r="A588" i="92"/>
  <c r="A589" i="92"/>
  <c r="A590" i="92"/>
  <c r="A591" i="92"/>
  <c r="A592" i="92"/>
  <c r="A593" i="92"/>
  <c r="A594" i="92"/>
  <c r="A595" i="92"/>
  <c r="A596" i="92"/>
  <c r="A597" i="92"/>
  <c r="A598" i="92"/>
  <c r="A599" i="92"/>
  <c r="A600" i="92"/>
  <c r="A601" i="92"/>
  <c r="A602" i="92"/>
  <c r="A603" i="92"/>
  <c r="A604" i="92"/>
  <c r="A605" i="92"/>
  <c r="A606" i="92"/>
  <c r="A607" i="92"/>
  <c r="A608" i="92"/>
  <c r="A609" i="92"/>
  <c r="A610" i="92"/>
  <c r="A611" i="92"/>
  <c r="A612" i="92"/>
  <c r="A613" i="92"/>
  <c r="A614" i="92"/>
  <c r="A615" i="92"/>
  <c r="A616" i="92"/>
  <c r="A617" i="92"/>
  <c r="A618" i="92"/>
  <c r="A619" i="92"/>
  <c r="A620" i="92"/>
  <c r="A621" i="92"/>
  <c r="A622" i="92"/>
  <c r="A623" i="92"/>
  <c r="A624" i="92"/>
  <c r="A625" i="92"/>
  <c r="A626" i="92"/>
  <c r="A627" i="92"/>
  <c r="A628" i="92"/>
  <c r="A629" i="92"/>
  <c r="A630" i="92"/>
  <c r="A631" i="92"/>
  <c r="A632" i="92"/>
  <c r="A633" i="92"/>
  <c r="A634" i="92"/>
  <c r="A635" i="92"/>
  <c r="A636" i="92"/>
  <c r="A637" i="92"/>
  <c r="A638" i="92"/>
  <c r="A639" i="92"/>
  <c r="A640" i="92"/>
  <c r="A641" i="92"/>
  <c r="A642" i="92"/>
  <c r="A643" i="92"/>
  <c r="A644" i="92"/>
  <c r="A645" i="92"/>
  <c r="A646" i="92"/>
  <c r="A647" i="92"/>
  <c r="A648" i="92"/>
  <c r="A649" i="92"/>
  <c r="A650" i="92"/>
  <c r="A651" i="92"/>
  <c r="A652" i="92"/>
  <c r="A653" i="92"/>
  <c r="A654" i="92"/>
  <c r="A655" i="92"/>
  <c r="A656" i="92"/>
  <c r="A657" i="92"/>
  <c r="A658" i="92"/>
  <c r="A659" i="92"/>
  <c r="A660" i="92"/>
  <c r="A661" i="92"/>
  <c r="A662" i="92"/>
  <c r="A663" i="92"/>
  <c r="A664" i="92"/>
  <c r="A665" i="92"/>
  <c r="A666" i="92"/>
  <c r="A667" i="92"/>
  <c r="A668" i="92"/>
  <c r="A669" i="92"/>
  <c r="A670" i="92"/>
  <c r="A671" i="92"/>
  <c r="A672" i="92"/>
  <c r="A673" i="92"/>
  <c r="A674" i="92"/>
  <c r="A675" i="92"/>
  <c r="A676" i="92"/>
  <c r="A677" i="92"/>
  <c r="A678" i="92"/>
  <c r="A679" i="92"/>
  <c r="A680" i="92"/>
  <c r="A681" i="92"/>
  <c r="A682" i="92"/>
  <c r="A683" i="92"/>
  <c r="A684" i="92"/>
  <c r="A685" i="92"/>
  <c r="A686" i="92"/>
  <c r="A687" i="92"/>
  <c r="A688" i="92"/>
  <c r="A689" i="92"/>
  <c r="A690" i="92"/>
  <c r="A691" i="92"/>
  <c r="A692" i="92"/>
  <c r="A693" i="92"/>
  <c r="A694" i="92"/>
  <c r="A695" i="92"/>
  <c r="A696" i="92"/>
  <c r="A697" i="92"/>
  <c r="A698" i="92"/>
  <c r="A699" i="92"/>
  <c r="A700" i="92"/>
  <c r="A701" i="92"/>
  <c r="A702" i="92"/>
  <c r="A703" i="92"/>
  <c r="A704" i="92"/>
  <c r="A705" i="92"/>
  <c r="A706" i="92"/>
  <c r="A707" i="92"/>
  <c r="A708" i="92"/>
  <c r="A709" i="92"/>
  <c r="A710" i="92"/>
  <c r="A711" i="92"/>
  <c r="A712" i="92"/>
  <c r="A713" i="92"/>
  <c r="A714" i="92"/>
  <c r="A715" i="92"/>
  <c r="A716" i="92"/>
  <c r="A717" i="92"/>
  <c r="A718" i="92"/>
  <c r="A719" i="92"/>
  <c r="A720" i="92"/>
  <c r="A721" i="92"/>
  <c r="A722" i="92"/>
  <c r="A723" i="92"/>
  <c r="A724" i="92"/>
  <c r="A725" i="92"/>
  <c r="A726" i="92"/>
  <c r="A727" i="92"/>
  <c r="A728" i="92"/>
  <c r="A729" i="92"/>
  <c r="A730" i="92"/>
  <c r="A731" i="92"/>
  <c r="A732" i="92"/>
  <c r="A733" i="92"/>
  <c r="A734" i="92"/>
  <c r="A735" i="92"/>
  <c r="A736" i="92"/>
  <c r="A737" i="92"/>
  <c r="A738" i="92"/>
  <c r="A739" i="92"/>
  <c r="A740" i="92"/>
  <c r="A741" i="92"/>
  <c r="A742" i="92"/>
  <c r="A743" i="92"/>
  <c r="A744" i="92"/>
  <c r="A745" i="92"/>
  <c r="A746" i="92"/>
  <c r="A747" i="92"/>
  <c r="A748" i="92"/>
  <c r="A749" i="92"/>
  <c r="A750" i="92"/>
  <c r="A751" i="92"/>
  <c r="A752" i="92"/>
  <c r="A753" i="92"/>
  <c r="A754" i="92"/>
  <c r="A755" i="92"/>
  <c r="A756" i="92"/>
  <c r="A757" i="92"/>
  <c r="A758" i="92"/>
  <c r="A759" i="92"/>
  <c r="A760" i="92"/>
  <c r="A761" i="92"/>
  <c r="A762" i="92"/>
  <c r="A763" i="92"/>
  <c r="T472" i="27"/>
  <c r="T475" i="27"/>
  <c r="T478" i="27"/>
  <c r="T481" i="27"/>
  <c r="T463" i="27"/>
  <c r="T460" i="27"/>
  <c r="T469" i="27"/>
  <c r="T466" i="27"/>
  <c r="T274" i="27"/>
  <c r="T277" i="27"/>
  <c r="T280" i="27"/>
  <c r="T268" i="27"/>
  <c r="T271" i="27"/>
  <c r="T283" i="27"/>
  <c r="T286" i="27"/>
  <c r="T190" i="27"/>
  <c r="T193" i="27"/>
  <c r="T199" i="27"/>
  <c r="T196" i="27"/>
  <c r="T202" i="27"/>
  <c r="T205" i="27"/>
  <c r="T208" i="27"/>
  <c r="T214" i="27"/>
  <c r="T211" i="27"/>
  <c r="T166" i="27"/>
  <c r="T178" i="27"/>
  <c r="T169" i="27"/>
  <c r="T163" i="27"/>
  <c r="T175" i="27"/>
  <c r="T184" i="27"/>
  <c r="T181" i="27"/>
  <c r="T172" i="27"/>
  <c r="T187" i="27"/>
  <c r="T379" i="27"/>
  <c r="T382" i="27"/>
  <c r="T385" i="27"/>
  <c r="T394" i="27"/>
  <c r="T406" i="27"/>
  <c r="T388" i="27"/>
  <c r="T412" i="27"/>
  <c r="T391" i="27"/>
  <c r="T397" i="27"/>
  <c r="T409" i="27"/>
  <c r="T400" i="27"/>
  <c r="T403" i="27"/>
  <c r="T346" i="27"/>
  <c r="T349" i="27"/>
  <c r="T355" i="27"/>
  <c r="T352" i="27"/>
  <c r="T364" i="27"/>
  <c r="T358" i="27"/>
  <c r="T370" i="27"/>
  <c r="T376" i="27"/>
  <c r="T361" i="27"/>
  <c r="T367" i="27"/>
  <c r="T373" i="27"/>
  <c r="T10" i="27"/>
  <c r="T16" i="27"/>
  <c r="T22" i="27"/>
  <c r="T13" i="27"/>
  <c r="T7" i="27"/>
  <c r="T19" i="27"/>
  <c r="T28" i="27"/>
  <c r="T31" i="27"/>
  <c r="T67" i="27"/>
  <c r="T34" i="27"/>
  <c r="T37" i="27"/>
  <c r="T40" i="27"/>
  <c r="T73" i="27"/>
  <c r="T25" i="27"/>
  <c r="T46" i="27"/>
  <c r="T49" i="27"/>
  <c r="T64" i="27"/>
  <c r="T52" i="27"/>
  <c r="T55" i="27"/>
  <c r="T58" i="27"/>
  <c r="T70" i="27"/>
  <c r="T43" i="27"/>
  <c r="T61" i="27"/>
  <c r="T436" i="27"/>
  <c r="T424" i="27"/>
  <c r="T427" i="27"/>
  <c r="T433" i="27"/>
  <c r="T418" i="27"/>
  <c r="T421" i="27"/>
  <c r="T430" i="27"/>
  <c r="T415" i="27"/>
  <c r="T520" i="27"/>
  <c r="T511" i="27"/>
  <c r="T517" i="27"/>
  <c r="T508" i="27"/>
  <c r="T514" i="27"/>
  <c r="T505" i="27"/>
  <c r="T523" i="27"/>
  <c r="T343" i="27"/>
  <c r="T334" i="27"/>
  <c r="T316" i="27"/>
  <c r="T325" i="27"/>
  <c r="T337" i="27"/>
  <c r="T328" i="27"/>
  <c r="T319" i="27"/>
  <c r="T331" i="27"/>
  <c r="T340" i="27"/>
  <c r="T322" i="27"/>
  <c r="T484" i="27"/>
  <c r="T493" i="27"/>
  <c r="T502" i="27"/>
  <c r="T487" i="27"/>
  <c r="T496" i="27"/>
  <c r="T499" i="27"/>
  <c r="T490" i="27"/>
  <c r="T439" i="27"/>
  <c r="T445" i="27"/>
  <c r="T448" i="27"/>
  <c r="T451" i="27"/>
  <c r="T442" i="27"/>
  <c r="T454" i="27"/>
  <c r="T457" i="27"/>
  <c r="T76" i="27"/>
  <c r="T97" i="27"/>
  <c r="T130" i="27"/>
  <c r="T109" i="27"/>
  <c r="T124" i="27"/>
  <c r="T121" i="27"/>
  <c r="T136" i="27"/>
  <c r="T79" i="27"/>
  <c r="T103" i="27"/>
  <c r="T82" i="27"/>
  <c r="T118" i="27"/>
  <c r="T112" i="27"/>
  <c r="T85" i="27"/>
  <c r="T100" i="27"/>
  <c r="T133" i="27"/>
  <c r="T127" i="27"/>
  <c r="T115" i="27"/>
  <c r="T91" i="27"/>
  <c r="T106" i="27"/>
  <c r="T94" i="27"/>
  <c r="T88" i="27"/>
  <c r="T223" i="27"/>
  <c r="T217" i="27"/>
  <c r="T253" i="27"/>
  <c r="T247" i="27"/>
  <c r="T256" i="27"/>
  <c r="T232" i="27"/>
  <c r="T229" i="27"/>
  <c r="T241" i="27"/>
  <c r="T259" i="27"/>
  <c r="T262" i="27"/>
  <c r="T235" i="27"/>
  <c r="T265" i="27"/>
  <c r="T250" i="27"/>
  <c r="T238" i="27"/>
  <c r="T244" i="27"/>
  <c r="T220" i="27"/>
  <c r="T226" i="27"/>
  <c r="T142" i="27"/>
  <c r="T139" i="27"/>
  <c r="T145" i="27"/>
  <c r="T148" i="27"/>
  <c r="T151" i="27"/>
  <c r="T154" i="27"/>
  <c r="T157" i="27"/>
  <c r="T160" i="27"/>
  <c r="T532" i="27"/>
  <c r="T544" i="27"/>
  <c r="T556" i="27"/>
  <c r="T559" i="27"/>
  <c r="T562" i="27"/>
  <c r="T553" i="27"/>
  <c r="T565" i="27"/>
  <c r="T529" i="27"/>
  <c r="T541" i="27"/>
  <c r="T547" i="27"/>
  <c r="T550" i="27"/>
  <c r="T526" i="27"/>
  <c r="T538" i="27"/>
  <c r="T535" i="27"/>
  <c r="T289" i="27"/>
  <c r="T310" i="27"/>
  <c r="T307" i="27"/>
  <c r="T304" i="27"/>
  <c r="T313" i="27"/>
  <c r="T298" i="27"/>
  <c r="T295" i="27"/>
  <c r="T301" i="27"/>
  <c r="T292" i="27"/>
  <c r="T474" i="27"/>
  <c r="T477" i="27"/>
  <c r="T480" i="27"/>
  <c r="T483" i="27"/>
  <c r="T465" i="27"/>
  <c r="T462" i="27"/>
  <c r="T471" i="27"/>
  <c r="T468" i="27"/>
  <c r="T276" i="27"/>
  <c r="T279" i="27"/>
  <c r="T282" i="27"/>
  <c r="T270" i="27"/>
  <c r="T273" i="27"/>
  <c r="T285" i="27"/>
  <c r="T288" i="27"/>
  <c r="T192" i="27"/>
  <c r="T195" i="27"/>
  <c r="T201" i="27"/>
  <c r="T198" i="27"/>
  <c r="T204" i="27"/>
  <c r="T207" i="27"/>
  <c r="T210" i="27"/>
  <c r="T216" i="27"/>
  <c r="T213" i="27"/>
  <c r="T168" i="27"/>
  <c r="T180" i="27"/>
  <c r="T171" i="27"/>
  <c r="T165" i="27"/>
  <c r="T177" i="27"/>
  <c r="T186" i="27"/>
  <c r="T183" i="27"/>
  <c r="T174" i="27"/>
  <c r="T189" i="27"/>
  <c r="T381" i="27"/>
  <c r="T384" i="27"/>
  <c r="T387" i="27"/>
  <c r="T396" i="27"/>
  <c r="T408" i="27"/>
  <c r="T390" i="27"/>
  <c r="T414" i="27"/>
  <c r="T393" i="27"/>
  <c r="T399" i="27"/>
  <c r="T411" i="27"/>
  <c r="T402" i="27"/>
  <c r="T405" i="27"/>
  <c r="T348" i="27"/>
  <c r="T351" i="27"/>
  <c r="T357" i="27"/>
  <c r="T354" i="27"/>
  <c r="T366" i="27"/>
  <c r="T360" i="27"/>
  <c r="T372" i="27"/>
  <c r="T378" i="27"/>
  <c r="T363" i="27"/>
  <c r="T369" i="27"/>
  <c r="T375" i="27"/>
  <c r="T12" i="27"/>
  <c r="T6" i="27"/>
  <c r="T18" i="27"/>
  <c r="T24" i="27"/>
  <c r="T15" i="27"/>
  <c r="T9" i="27"/>
  <c r="T21" i="27"/>
  <c r="T30" i="27"/>
  <c r="T33" i="27"/>
  <c r="T69" i="27"/>
  <c r="T36" i="27"/>
  <c r="T39" i="27"/>
  <c r="T42" i="27"/>
  <c r="T75" i="27"/>
  <c r="T27" i="27"/>
  <c r="T48" i="27"/>
  <c r="T51" i="27"/>
  <c r="T66" i="27"/>
  <c r="T54" i="27"/>
  <c r="T57" i="27"/>
  <c r="T60" i="27"/>
  <c r="T72" i="27"/>
  <c r="T45" i="27"/>
  <c r="T63" i="27"/>
  <c r="T438" i="27"/>
  <c r="T426" i="27"/>
  <c r="T429" i="27"/>
  <c r="T435" i="27"/>
  <c r="T420" i="27"/>
  <c r="T423" i="27"/>
  <c r="T432" i="27"/>
  <c r="T417" i="27"/>
  <c r="T522" i="27"/>
  <c r="T513" i="27"/>
  <c r="T519" i="27"/>
  <c r="T510" i="27"/>
  <c r="T516" i="27"/>
  <c r="T507" i="27"/>
  <c r="T525" i="27"/>
  <c r="T345" i="27"/>
  <c r="T336" i="27"/>
  <c r="T318" i="27"/>
  <c r="T327" i="27"/>
  <c r="T339" i="27"/>
  <c r="T330" i="27"/>
  <c r="T321" i="27"/>
  <c r="T333" i="27"/>
  <c r="T342" i="27"/>
  <c r="T324" i="27"/>
  <c r="T486" i="27"/>
  <c r="T495" i="27"/>
  <c r="T504" i="27"/>
  <c r="T489" i="27"/>
  <c r="T498" i="27"/>
  <c r="T501" i="27"/>
  <c r="T492" i="27"/>
  <c r="T441" i="27"/>
  <c r="T447" i="27"/>
  <c r="T450" i="27"/>
  <c r="T453" i="27"/>
  <c r="T444" i="27"/>
  <c r="T456" i="27"/>
  <c r="T459" i="27"/>
  <c r="T78" i="27"/>
  <c r="T99" i="27"/>
  <c r="T132" i="27"/>
  <c r="T111" i="27"/>
  <c r="T126" i="27"/>
  <c r="T123" i="27"/>
  <c r="T138" i="27"/>
  <c r="T81" i="27"/>
  <c r="T105" i="27"/>
  <c r="T84" i="27"/>
  <c r="T120" i="27"/>
  <c r="T114" i="27"/>
  <c r="T87" i="27"/>
  <c r="T102" i="27"/>
  <c r="T135" i="27"/>
  <c r="T129" i="27"/>
  <c r="T117" i="27"/>
  <c r="T93" i="27"/>
  <c r="T108" i="27"/>
  <c r="T96" i="27"/>
  <c r="T90" i="27"/>
  <c r="T225" i="27"/>
  <c r="T219" i="27"/>
  <c r="T255" i="27"/>
  <c r="T249" i="27"/>
  <c r="T258" i="27"/>
  <c r="T234" i="27"/>
  <c r="T231" i="27"/>
  <c r="T243" i="27"/>
  <c r="T261" i="27"/>
  <c r="T264" i="27"/>
  <c r="T237" i="27"/>
  <c r="T267" i="27"/>
  <c r="T252" i="27"/>
  <c r="T240" i="27"/>
  <c r="T246" i="27"/>
  <c r="T222" i="27"/>
  <c r="T228" i="27"/>
  <c r="T144" i="27"/>
  <c r="T141" i="27"/>
  <c r="T147" i="27"/>
  <c r="T150" i="27"/>
  <c r="T153" i="27"/>
  <c r="T156" i="27"/>
  <c r="T159" i="27"/>
  <c r="T162" i="27"/>
  <c r="T534" i="27"/>
  <c r="T546" i="27"/>
  <c r="T558" i="27"/>
  <c r="T561" i="27"/>
  <c r="T564" i="27"/>
  <c r="T555" i="27"/>
  <c r="T567" i="27"/>
  <c r="T531" i="27"/>
  <c r="T543" i="27"/>
  <c r="T549" i="27"/>
  <c r="T552" i="27"/>
  <c r="T528" i="27"/>
  <c r="T540" i="27"/>
  <c r="T537" i="27"/>
  <c r="T291" i="27"/>
  <c r="T312" i="27"/>
  <c r="T309" i="27"/>
  <c r="T306" i="27"/>
  <c r="T315" i="27"/>
  <c r="T300" i="27"/>
  <c r="T297" i="27"/>
  <c r="T303" i="27"/>
  <c r="T294" i="27"/>
  <c r="U472" i="27"/>
  <c r="U475" i="27"/>
  <c r="U478" i="27"/>
  <c r="U481" i="27"/>
  <c r="U463" i="27"/>
  <c r="U460" i="27"/>
  <c r="U469" i="27"/>
  <c r="U466" i="27"/>
  <c r="U274" i="27"/>
  <c r="U277" i="27"/>
  <c r="U280" i="27"/>
  <c r="U268" i="27"/>
  <c r="U271" i="27"/>
  <c r="U283" i="27"/>
  <c r="U286" i="27"/>
  <c r="U190" i="27"/>
  <c r="U193" i="27"/>
  <c r="U199" i="27"/>
  <c r="U196" i="27"/>
  <c r="U202" i="27"/>
  <c r="U205" i="27"/>
  <c r="U208" i="27"/>
  <c r="U214" i="27"/>
  <c r="U211" i="27"/>
  <c r="U166" i="27"/>
  <c r="U178" i="27"/>
  <c r="U169" i="27"/>
  <c r="U163" i="27"/>
  <c r="U175" i="27"/>
  <c r="U184" i="27"/>
  <c r="U181" i="27"/>
  <c r="U172" i="27"/>
  <c r="U187" i="27"/>
  <c r="U379" i="27"/>
  <c r="U382" i="27"/>
  <c r="U385" i="27"/>
  <c r="U394" i="27"/>
  <c r="U406" i="27"/>
  <c r="U388" i="27"/>
  <c r="U412" i="27"/>
  <c r="U391" i="27"/>
  <c r="U397" i="27"/>
  <c r="U409" i="27"/>
  <c r="U400" i="27"/>
  <c r="U403" i="27"/>
  <c r="U346" i="27"/>
  <c r="U349" i="27"/>
  <c r="U355" i="27"/>
  <c r="U352" i="27"/>
  <c r="U364" i="27"/>
  <c r="U358" i="27"/>
  <c r="U370" i="27"/>
  <c r="U376" i="27"/>
  <c r="U361" i="27"/>
  <c r="U367" i="27"/>
  <c r="U373" i="27"/>
  <c r="U10" i="27"/>
  <c r="U4" i="27"/>
  <c r="U16" i="27"/>
  <c r="U22" i="27"/>
  <c r="U13" i="27"/>
  <c r="U7" i="27"/>
  <c r="U19" i="27"/>
  <c r="U28" i="27"/>
  <c r="U31" i="27"/>
  <c r="U67" i="27"/>
  <c r="U34" i="27"/>
  <c r="U37" i="27"/>
  <c r="U40" i="27"/>
  <c r="U73" i="27"/>
  <c r="U25" i="27"/>
  <c r="U46" i="27"/>
  <c r="U49" i="27"/>
  <c r="U64" i="27"/>
  <c r="U52" i="27"/>
  <c r="U55" i="27"/>
  <c r="U58" i="27"/>
  <c r="U70" i="27"/>
  <c r="U43" i="27"/>
  <c r="U61" i="27"/>
  <c r="U436" i="27"/>
  <c r="U424" i="27"/>
  <c r="U427" i="27"/>
  <c r="U433" i="27"/>
  <c r="U418" i="27"/>
  <c r="U421" i="27"/>
  <c r="U430" i="27"/>
  <c r="U415" i="27"/>
  <c r="U520" i="27"/>
  <c r="U511" i="27"/>
  <c r="U517" i="27"/>
  <c r="U508" i="27"/>
  <c r="U514" i="27"/>
  <c r="U505" i="27"/>
  <c r="U523" i="27"/>
  <c r="U343" i="27"/>
  <c r="U334" i="27"/>
  <c r="U316" i="27"/>
  <c r="U325" i="27"/>
  <c r="U337" i="27"/>
  <c r="U328" i="27"/>
  <c r="U319" i="27"/>
  <c r="U331" i="27"/>
  <c r="U340" i="27"/>
  <c r="U322" i="27"/>
  <c r="U484" i="27"/>
  <c r="U493" i="27"/>
  <c r="U502" i="27"/>
  <c r="U487" i="27"/>
  <c r="U496" i="27"/>
  <c r="U499" i="27"/>
  <c r="U490" i="27"/>
  <c r="U439" i="27"/>
  <c r="U445" i="27"/>
  <c r="U448" i="27"/>
  <c r="U451" i="27"/>
  <c r="U442" i="27"/>
  <c r="U454" i="27"/>
  <c r="U457" i="27"/>
  <c r="U76" i="27"/>
  <c r="U97" i="27"/>
  <c r="U130" i="27"/>
  <c r="U109" i="27"/>
  <c r="U124" i="27"/>
  <c r="U121" i="27"/>
  <c r="U136" i="27"/>
  <c r="U79" i="27"/>
  <c r="U103" i="27"/>
  <c r="U82" i="27"/>
  <c r="U118" i="27"/>
  <c r="U112" i="27"/>
  <c r="U85" i="27"/>
  <c r="U100" i="27"/>
  <c r="U133" i="27"/>
  <c r="U127" i="27"/>
  <c r="U115" i="27"/>
  <c r="U91" i="27"/>
  <c r="U106" i="27"/>
  <c r="U94" i="27"/>
  <c r="U88" i="27"/>
  <c r="U223" i="27"/>
  <c r="U217" i="27"/>
  <c r="U253" i="27"/>
  <c r="U247" i="27"/>
  <c r="U256" i="27"/>
  <c r="U232" i="27"/>
  <c r="U229" i="27"/>
  <c r="U241" i="27"/>
  <c r="U259" i="27"/>
  <c r="U262" i="27"/>
  <c r="U235" i="27"/>
  <c r="U265" i="27"/>
  <c r="U250" i="27"/>
  <c r="U238" i="27"/>
  <c r="U244" i="27"/>
  <c r="U220" i="27"/>
  <c r="U226" i="27"/>
  <c r="U142" i="27"/>
  <c r="U139" i="27"/>
  <c r="U145" i="27"/>
  <c r="U148" i="27"/>
  <c r="U151" i="27"/>
  <c r="U154" i="27"/>
  <c r="U157" i="27"/>
  <c r="U160" i="27"/>
  <c r="U532" i="27"/>
  <c r="U544" i="27"/>
  <c r="U556" i="27"/>
  <c r="U559" i="27"/>
  <c r="U562" i="27"/>
  <c r="U553" i="27"/>
  <c r="U565" i="27"/>
  <c r="U529" i="27"/>
  <c r="U541" i="27"/>
  <c r="U547" i="27"/>
  <c r="U550" i="27"/>
  <c r="U526" i="27"/>
  <c r="U538" i="27"/>
  <c r="U535" i="27"/>
  <c r="U289" i="27"/>
  <c r="U310" i="27"/>
  <c r="U307" i="27"/>
  <c r="U304" i="27"/>
  <c r="U313" i="27"/>
  <c r="U298" i="27"/>
  <c r="U295" i="27"/>
  <c r="U301" i="27"/>
  <c r="U292" i="27"/>
  <c r="U474" i="27"/>
  <c r="U477" i="27"/>
  <c r="U480" i="27"/>
  <c r="U483" i="27"/>
  <c r="U465" i="27"/>
  <c r="U462" i="27"/>
  <c r="U471" i="27"/>
  <c r="U468" i="27"/>
  <c r="U276" i="27"/>
  <c r="U279" i="27"/>
  <c r="U282" i="27"/>
  <c r="U270" i="27"/>
  <c r="U273" i="27"/>
  <c r="U285" i="27"/>
  <c r="U288" i="27"/>
  <c r="U192" i="27"/>
  <c r="U195" i="27"/>
  <c r="U201" i="27"/>
  <c r="U198" i="27"/>
  <c r="U204" i="27"/>
  <c r="U207" i="27"/>
  <c r="U210" i="27"/>
  <c r="U216" i="27"/>
  <c r="U213" i="27"/>
  <c r="U168" i="27"/>
  <c r="U180" i="27"/>
  <c r="U171" i="27"/>
  <c r="U165" i="27"/>
  <c r="U177" i="27"/>
  <c r="U186" i="27"/>
  <c r="U183" i="27"/>
  <c r="U174" i="27"/>
  <c r="U189" i="27"/>
  <c r="U381" i="27"/>
  <c r="U384" i="27"/>
  <c r="U387" i="27"/>
  <c r="U396" i="27"/>
  <c r="U408" i="27"/>
  <c r="U390" i="27"/>
  <c r="U414" i="27"/>
  <c r="U393" i="27"/>
  <c r="U399" i="27"/>
  <c r="U411" i="27"/>
  <c r="U402" i="27"/>
  <c r="U405" i="27"/>
  <c r="U348" i="27"/>
  <c r="U351" i="27"/>
  <c r="U357" i="27"/>
  <c r="U354" i="27"/>
  <c r="U366" i="27"/>
  <c r="U360" i="27"/>
  <c r="U372" i="27"/>
  <c r="U378" i="27"/>
  <c r="U363" i="27"/>
  <c r="U369" i="27"/>
  <c r="U375" i="27"/>
  <c r="U12" i="27"/>
  <c r="U6" i="27"/>
  <c r="U18" i="27"/>
  <c r="U24" i="27"/>
  <c r="U15" i="27"/>
  <c r="U9" i="27"/>
  <c r="U21" i="27"/>
  <c r="U30" i="27"/>
  <c r="U33" i="27"/>
  <c r="U69" i="27"/>
  <c r="U36" i="27"/>
  <c r="U39" i="27"/>
  <c r="U42" i="27"/>
  <c r="U75" i="27"/>
  <c r="U27" i="27"/>
  <c r="U48" i="27"/>
  <c r="U51" i="27"/>
  <c r="U66" i="27"/>
  <c r="U54" i="27"/>
  <c r="U57" i="27"/>
  <c r="U60" i="27"/>
  <c r="U72" i="27"/>
  <c r="U45" i="27"/>
  <c r="U63" i="27"/>
  <c r="U438" i="27"/>
  <c r="U426" i="27"/>
  <c r="U429" i="27"/>
  <c r="U435" i="27"/>
  <c r="U420" i="27"/>
  <c r="U423" i="27"/>
  <c r="U432" i="27"/>
  <c r="U417" i="27"/>
  <c r="U522" i="27"/>
  <c r="U513" i="27"/>
  <c r="U519" i="27"/>
  <c r="U510" i="27"/>
  <c r="U516" i="27"/>
  <c r="U507" i="27"/>
  <c r="U525" i="27"/>
  <c r="U345" i="27"/>
  <c r="U336" i="27"/>
  <c r="U318" i="27"/>
  <c r="U327" i="27"/>
  <c r="U339" i="27"/>
  <c r="U330" i="27"/>
  <c r="U321" i="27"/>
  <c r="U333" i="27"/>
  <c r="U342" i="27"/>
  <c r="U324" i="27"/>
  <c r="U486" i="27"/>
  <c r="U495" i="27"/>
  <c r="U504" i="27"/>
  <c r="U489" i="27"/>
  <c r="U498" i="27"/>
  <c r="U501" i="27"/>
  <c r="U492" i="27"/>
  <c r="U441" i="27"/>
  <c r="U447" i="27"/>
  <c r="U450" i="27"/>
  <c r="U453" i="27"/>
  <c r="U444" i="27"/>
  <c r="U456" i="27"/>
  <c r="U459" i="27"/>
  <c r="U78" i="27"/>
  <c r="U99" i="27"/>
  <c r="U132" i="27"/>
  <c r="U111" i="27"/>
  <c r="U126" i="27"/>
  <c r="U123" i="27"/>
  <c r="U138" i="27"/>
  <c r="U81" i="27"/>
  <c r="U105" i="27"/>
  <c r="U84" i="27"/>
  <c r="U120" i="27"/>
  <c r="U114" i="27"/>
  <c r="U87" i="27"/>
  <c r="U102" i="27"/>
  <c r="U135" i="27"/>
  <c r="U129" i="27"/>
  <c r="U117" i="27"/>
  <c r="U93" i="27"/>
  <c r="U108" i="27"/>
  <c r="U96" i="27"/>
  <c r="U90" i="27"/>
  <c r="U225" i="27"/>
  <c r="U219" i="27"/>
  <c r="U255" i="27"/>
  <c r="U249" i="27"/>
  <c r="U258" i="27"/>
  <c r="U234" i="27"/>
  <c r="U231" i="27"/>
  <c r="U243" i="27"/>
  <c r="U261" i="27"/>
  <c r="U264" i="27"/>
  <c r="U237" i="27"/>
  <c r="U267" i="27"/>
  <c r="U252" i="27"/>
  <c r="U240" i="27"/>
  <c r="U246" i="27"/>
  <c r="U222" i="27"/>
  <c r="U228" i="27"/>
  <c r="U144" i="27"/>
  <c r="U141" i="27"/>
  <c r="U147" i="27"/>
  <c r="U150" i="27"/>
  <c r="U153" i="27"/>
  <c r="U156" i="27"/>
  <c r="U159" i="27"/>
  <c r="U162" i="27"/>
  <c r="U534" i="27"/>
  <c r="U546" i="27"/>
  <c r="U558" i="27"/>
  <c r="U561" i="27"/>
  <c r="U564" i="27"/>
  <c r="U555" i="27"/>
  <c r="U567" i="27"/>
  <c r="U531" i="27"/>
  <c r="U543" i="27"/>
  <c r="U549" i="27"/>
  <c r="U552" i="27"/>
  <c r="U528" i="27"/>
  <c r="U540" i="27"/>
  <c r="U537" i="27"/>
  <c r="U291" i="27"/>
  <c r="U312" i="27"/>
  <c r="U309" i="27"/>
  <c r="U306" i="27"/>
  <c r="U315" i="27"/>
  <c r="U300" i="27"/>
  <c r="U297" i="27"/>
  <c r="U303" i="27"/>
  <c r="U294" i="27"/>
  <c r="V472" i="27"/>
  <c r="V475" i="27"/>
  <c r="V478" i="27"/>
  <c r="V481" i="27"/>
  <c r="V463" i="27"/>
  <c r="V460" i="27"/>
  <c r="V469" i="27"/>
  <c r="V466" i="27"/>
  <c r="V274" i="27"/>
  <c r="V277" i="27"/>
  <c r="V280" i="27"/>
  <c r="V268" i="27"/>
  <c r="V271" i="27"/>
  <c r="V283" i="27"/>
  <c r="V286" i="27"/>
  <c r="V190" i="27"/>
  <c r="V193" i="27"/>
  <c r="V199" i="27"/>
  <c r="V196" i="27"/>
  <c r="V202" i="27"/>
  <c r="V205" i="27"/>
  <c r="V208" i="27"/>
  <c r="V214" i="27"/>
  <c r="V211" i="27"/>
  <c r="V166" i="27"/>
  <c r="V178" i="27"/>
  <c r="V169" i="27"/>
  <c r="V163" i="27"/>
  <c r="V175" i="27"/>
  <c r="V184" i="27"/>
  <c r="V181" i="27"/>
  <c r="V172" i="27"/>
  <c r="V187" i="27"/>
  <c r="V379" i="27"/>
  <c r="V382" i="27"/>
  <c r="V385" i="27"/>
  <c r="V394" i="27"/>
  <c r="V406" i="27"/>
  <c r="V388" i="27"/>
  <c r="V412" i="27"/>
  <c r="V391" i="27"/>
  <c r="V397" i="27"/>
  <c r="V409" i="27"/>
  <c r="V400" i="27"/>
  <c r="V403" i="27"/>
  <c r="V346" i="27"/>
  <c r="V349" i="27"/>
  <c r="V355" i="27"/>
  <c r="V352" i="27"/>
  <c r="V364" i="27"/>
  <c r="V358" i="27"/>
  <c r="V370" i="27"/>
  <c r="V376" i="27"/>
  <c r="V361" i="27"/>
  <c r="V367" i="27"/>
  <c r="V373" i="27"/>
  <c r="V10" i="27"/>
  <c r="V4" i="27"/>
  <c r="V16" i="27"/>
  <c r="V22" i="27"/>
  <c r="V13" i="27"/>
  <c r="V7" i="27"/>
  <c r="V19" i="27"/>
  <c r="V28" i="27"/>
  <c r="V31" i="27"/>
  <c r="V67" i="27"/>
  <c r="V34" i="27"/>
  <c r="V37" i="27"/>
  <c r="V40" i="27"/>
  <c r="V73" i="27"/>
  <c r="V25" i="27"/>
  <c r="V46" i="27"/>
  <c r="V49" i="27"/>
  <c r="V64" i="27"/>
  <c r="V52" i="27"/>
  <c r="V55" i="27"/>
  <c r="V58" i="27"/>
  <c r="V70" i="27"/>
  <c r="V43" i="27"/>
  <c r="V61" i="27"/>
  <c r="V436" i="27"/>
  <c r="V424" i="27"/>
  <c r="V427" i="27"/>
  <c r="V433" i="27"/>
  <c r="V418" i="27"/>
  <c r="V421" i="27"/>
  <c r="V430" i="27"/>
  <c r="V415" i="27"/>
  <c r="V520" i="27"/>
  <c r="V511" i="27"/>
  <c r="V517" i="27"/>
  <c r="V508" i="27"/>
  <c r="V514" i="27"/>
  <c r="V505" i="27"/>
  <c r="V523" i="27"/>
  <c r="V343" i="27"/>
  <c r="V334" i="27"/>
  <c r="V316" i="27"/>
  <c r="V325" i="27"/>
  <c r="V337" i="27"/>
  <c r="V328" i="27"/>
  <c r="V319" i="27"/>
  <c r="V331" i="27"/>
  <c r="V340" i="27"/>
  <c r="V322" i="27"/>
  <c r="V484" i="27"/>
  <c r="V493" i="27"/>
  <c r="V502" i="27"/>
  <c r="V487" i="27"/>
  <c r="V496" i="27"/>
  <c r="V499" i="27"/>
  <c r="V490" i="27"/>
  <c r="V439" i="27"/>
  <c r="V445" i="27"/>
  <c r="V448" i="27"/>
  <c r="V451" i="27"/>
  <c r="V442" i="27"/>
  <c r="V454" i="27"/>
  <c r="V457" i="27"/>
  <c r="V76" i="27"/>
  <c r="V97" i="27"/>
  <c r="V130" i="27"/>
  <c r="V109" i="27"/>
  <c r="V124" i="27"/>
  <c r="V121" i="27"/>
  <c r="V136" i="27"/>
  <c r="V79" i="27"/>
  <c r="V103" i="27"/>
  <c r="V82" i="27"/>
  <c r="V118" i="27"/>
  <c r="V112" i="27"/>
  <c r="V85" i="27"/>
  <c r="V100" i="27"/>
  <c r="V133" i="27"/>
  <c r="V127" i="27"/>
  <c r="V115" i="27"/>
  <c r="V91" i="27"/>
  <c r="V106" i="27"/>
  <c r="V94" i="27"/>
  <c r="V88" i="27"/>
  <c r="V223" i="27"/>
  <c r="V217" i="27"/>
  <c r="V253" i="27"/>
  <c r="V247" i="27"/>
  <c r="V256" i="27"/>
  <c r="V232" i="27"/>
  <c r="V229" i="27"/>
  <c r="V241" i="27"/>
  <c r="V259" i="27"/>
  <c r="V262" i="27"/>
  <c r="V235" i="27"/>
  <c r="V265" i="27"/>
  <c r="V250" i="27"/>
  <c r="V238" i="27"/>
  <c r="V244" i="27"/>
  <c r="V220" i="27"/>
  <c r="V226" i="27"/>
  <c r="V142" i="27"/>
  <c r="V139" i="27"/>
  <c r="V145" i="27"/>
  <c r="V148" i="27"/>
  <c r="V151" i="27"/>
  <c r="V154" i="27"/>
  <c r="V157" i="27"/>
  <c r="V160" i="27"/>
  <c r="V532" i="27"/>
  <c r="V544" i="27"/>
  <c r="V556" i="27"/>
  <c r="V559" i="27"/>
  <c r="V562" i="27"/>
  <c r="V553" i="27"/>
  <c r="V565" i="27"/>
  <c r="V529" i="27"/>
  <c r="V541" i="27"/>
  <c r="V547" i="27"/>
  <c r="V550" i="27"/>
  <c r="V526" i="27"/>
  <c r="V538" i="27"/>
  <c r="V535" i="27"/>
  <c r="V289" i="27"/>
  <c r="V310" i="27"/>
  <c r="V307" i="27"/>
  <c r="V304" i="27"/>
  <c r="V313" i="27"/>
  <c r="V298" i="27"/>
  <c r="V295" i="27"/>
  <c r="V301" i="27"/>
  <c r="V292" i="27"/>
  <c r="V474" i="27"/>
  <c r="V477" i="27"/>
  <c r="V480" i="27"/>
  <c r="V483" i="27"/>
  <c r="V465" i="27"/>
  <c r="V462" i="27"/>
  <c r="V471" i="27"/>
  <c r="V468" i="27"/>
  <c r="V276" i="27"/>
  <c r="V279" i="27"/>
  <c r="V282" i="27"/>
  <c r="V270" i="27"/>
  <c r="V273" i="27"/>
  <c r="V285" i="27"/>
  <c r="V288" i="27"/>
  <c r="V192" i="27"/>
  <c r="V195" i="27"/>
  <c r="V201" i="27"/>
  <c r="V198" i="27"/>
  <c r="V204" i="27"/>
  <c r="V207" i="27"/>
  <c r="V210" i="27"/>
  <c r="V216" i="27"/>
  <c r="V213" i="27"/>
  <c r="V168" i="27"/>
  <c r="V180" i="27"/>
  <c r="V171" i="27"/>
  <c r="V165" i="27"/>
  <c r="V177" i="27"/>
  <c r="V186" i="27"/>
  <c r="V183" i="27"/>
  <c r="V174" i="27"/>
  <c r="V189" i="27"/>
  <c r="V381" i="27"/>
  <c r="V384" i="27"/>
  <c r="V387" i="27"/>
  <c r="V396" i="27"/>
  <c r="V408" i="27"/>
  <c r="V390" i="27"/>
  <c r="V414" i="27"/>
  <c r="V393" i="27"/>
  <c r="V399" i="27"/>
  <c r="V411" i="27"/>
  <c r="V402" i="27"/>
  <c r="V405" i="27"/>
  <c r="V348" i="27"/>
  <c r="V351" i="27"/>
  <c r="V357" i="27"/>
  <c r="V354" i="27"/>
  <c r="V366" i="27"/>
  <c r="V360" i="27"/>
  <c r="V372" i="27"/>
  <c r="V378" i="27"/>
  <c r="V363" i="27"/>
  <c r="V369" i="27"/>
  <c r="V375" i="27"/>
  <c r="V12" i="27"/>
  <c r="V6" i="27"/>
  <c r="V18" i="27"/>
  <c r="V24" i="27"/>
  <c r="V15" i="27"/>
  <c r="V9" i="27"/>
  <c r="V21" i="27"/>
  <c r="V30" i="27"/>
  <c r="V33" i="27"/>
  <c r="V69" i="27"/>
  <c r="V36" i="27"/>
  <c r="V39" i="27"/>
  <c r="V42" i="27"/>
  <c r="V75" i="27"/>
  <c r="V27" i="27"/>
  <c r="V48" i="27"/>
  <c r="V51" i="27"/>
  <c r="V66" i="27"/>
  <c r="V54" i="27"/>
  <c r="V57" i="27"/>
  <c r="V60" i="27"/>
  <c r="V72" i="27"/>
  <c r="V45" i="27"/>
  <c r="V63" i="27"/>
  <c r="V438" i="27"/>
  <c r="V426" i="27"/>
  <c r="V429" i="27"/>
  <c r="V435" i="27"/>
  <c r="V420" i="27"/>
  <c r="V423" i="27"/>
  <c r="V432" i="27"/>
  <c r="V417" i="27"/>
  <c r="V522" i="27"/>
  <c r="V513" i="27"/>
  <c r="V519" i="27"/>
  <c r="V510" i="27"/>
  <c r="V516" i="27"/>
  <c r="V507" i="27"/>
  <c r="V525" i="27"/>
  <c r="V345" i="27"/>
  <c r="V336" i="27"/>
  <c r="V318" i="27"/>
  <c r="V327" i="27"/>
  <c r="V339" i="27"/>
  <c r="V330" i="27"/>
  <c r="V321" i="27"/>
  <c r="V333" i="27"/>
  <c r="V342" i="27"/>
  <c r="V324" i="27"/>
  <c r="V486" i="27"/>
  <c r="V495" i="27"/>
  <c r="V504" i="27"/>
  <c r="V489" i="27"/>
  <c r="V498" i="27"/>
  <c r="V501" i="27"/>
  <c r="V492" i="27"/>
  <c r="V441" i="27"/>
  <c r="V447" i="27"/>
  <c r="V450" i="27"/>
  <c r="V453" i="27"/>
  <c r="V444" i="27"/>
  <c r="V456" i="27"/>
  <c r="V459" i="27"/>
  <c r="V78" i="27"/>
  <c r="V99" i="27"/>
  <c r="V132" i="27"/>
  <c r="V111" i="27"/>
  <c r="V126" i="27"/>
  <c r="V123" i="27"/>
  <c r="V138" i="27"/>
  <c r="V81" i="27"/>
  <c r="V105" i="27"/>
  <c r="V84" i="27"/>
  <c r="V120" i="27"/>
  <c r="V114" i="27"/>
  <c r="V87" i="27"/>
  <c r="V102" i="27"/>
  <c r="V135" i="27"/>
  <c r="V129" i="27"/>
  <c r="V117" i="27"/>
  <c r="V93" i="27"/>
  <c r="V108" i="27"/>
  <c r="V96" i="27"/>
  <c r="V90" i="27"/>
  <c r="V225" i="27"/>
  <c r="V219" i="27"/>
  <c r="V255" i="27"/>
  <c r="V249" i="27"/>
  <c r="V258" i="27"/>
  <c r="V234" i="27"/>
  <c r="V231" i="27"/>
  <c r="V243" i="27"/>
  <c r="V261" i="27"/>
  <c r="V264" i="27"/>
  <c r="V237" i="27"/>
  <c r="V267" i="27"/>
  <c r="V252" i="27"/>
  <c r="V240" i="27"/>
  <c r="V246" i="27"/>
  <c r="V222" i="27"/>
  <c r="V228" i="27"/>
  <c r="V144" i="27"/>
  <c r="V141" i="27"/>
  <c r="V147" i="27"/>
  <c r="V150" i="27"/>
  <c r="V153" i="27"/>
  <c r="V156" i="27"/>
  <c r="V159" i="27"/>
  <c r="V162" i="27"/>
  <c r="V534" i="27"/>
  <c r="V546" i="27"/>
  <c r="V558" i="27"/>
  <c r="V561" i="27"/>
  <c r="V564" i="27"/>
  <c r="V555" i="27"/>
  <c r="V567" i="27"/>
  <c r="V531" i="27"/>
  <c r="V543" i="27"/>
  <c r="V549" i="27"/>
  <c r="V552" i="27"/>
  <c r="V528" i="27"/>
  <c r="V540" i="27"/>
  <c r="V537" i="27"/>
  <c r="V291" i="27"/>
  <c r="V312" i="27"/>
  <c r="V309" i="27"/>
  <c r="V306" i="27"/>
  <c r="V315" i="27"/>
  <c r="V300" i="27"/>
  <c r="V297" i="27"/>
  <c r="V303" i="27"/>
  <c r="V294" i="27"/>
  <c r="W385" i="27"/>
  <c r="X472" i="27"/>
  <c r="X475" i="27"/>
  <c r="X478" i="27"/>
  <c r="X481" i="27"/>
  <c r="X463" i="27"/>
  <c r="X460" i="27"/>
  <c r="X469" i="27"/>
  <c r="X466" i="27"/>
  <c r="X274" i="27"/>
  <c r="X277" i="27"/>
  <c r="X280" i="27"/>
  <c r="X268" i="27"/>
  <c r="X271" i="27"/>
  <c r="X283" i="27"/>
  <c r="X286" i="27"/>
  <c r="X190" i="27"/>
  <c r="X193" i="27"/>
  <c r="X199" i="27"/>
  <c r="X196" i="27"/>
  <c r="X202" i="27"/>
  <c r="X205" i="27"/>
  <c r="X208" i="27"/>
  <c r="X214" i="27"/>
  <c r="X211" i="27"/>
  <c r="X166" i="27"/>
  <c r="X178" i="27"/>
  <c r="X169" i="27"/>
  <c r="X163" i="27"/>
  <c r="X175" i="27"/>
  <c r="X184" i="27"/>
  <c r="X181" i="27"/>
  <c r="X172" i="27"/>
  <c r="X187" i="27"/>
  <c r="X379" i="27"/>
  <c r="X382" i="27"/>
  <c r="X385" i="27"/>
  <c r="X394" i="27"/>
  <c r="X406" i="27"/>
  <c r="X388" i="27"/>
  <c r="X412" i="27"/>
  <c r="X391" i="27"/>
  <c r="X397" i="27"/>
  <c r="X409" i="27"/>
  <c r="X400" i="27"/>
  <c r="X403" i="27"/>
  <c r="X346" i="27"/>
  <c r="X349" i="27"/>
  <c r="X355" i="27"/>
  <c r="X352" i="27"/>
  <c r="X364" i="27"/>
  <c r="X358" i="27"/>
  <c r="X370" i="27"/>
  <c r="X376" i="27"/>
  <c r="X361" i="27"/>
  <c r="X367" i="27"/>
  <c r="X373" i="27"/>
  <c r="X10" i="27"/>
  <c r="X4" i="27"/>
  <c r="X16" i="27"/>
  <c r="X22" i="27"/>
  <c r="X13" i="27"/>
  <c r="X7" i="27"/>
  <c r="X19" i="27"/>
  <c r="X28" i="27"/>
  <c r="X31" i="27"/>
  <c r="X67" i="27"/>
  <c r="X34" i="27"/>
  <c r="X37" i="27"/>
  <c r="X40" i="27"/>
  <c r="X73" i="27"/>
  <c r="X25" i="27"/>
  <c r="X46" i="27"/>
  <c r="X49" i="27"/>
  <c r="X64" i="27"/>
  <c r="X52" i="27"/>
  <c r="X55" i="27"/>
  <c r="X58" i="27"/>
  <c r="X70" i="27"/>
  <c r="X43" i="27"/>
  <c r="X61" i="27"/>
  <c r="X436" i="27"/>
  <c r="X424" i="27"/>
  <c r="X427" i="27"/>
  <c r="X433" i="27"/>
  <c r="X418" i="27"/>
  <c r="X421" i="27"/>
  <c r="X430" i="27"/>
  <c r="X415" i="27"/>
  <c r="X520" i="27"/>
  <c r="X511" i="27"/>
  <c r="X517" i="27"/>
  <c r="X508" i="27"/>
  <c r="X514" i="27"/>
  <c r="X505" i="27"/>
  <c r="X523" i="27"/>
  <c r="X343" i="27"/>
  <c r="X334" i="27"/>
  <c r="X316" i="27"/>
  <c r="X325" i="27"/>
  <c r="X337" i="27"/>
  <c r="X328" i="27"/>
  <c r="X319" i="27"/>
  <c r="X331" i="27"/>
  <c r="X340" i="27"/>
  <c r="X322" i="27"/>
  <c r="X484" i="27"/>
  <c r="X493" i="27"/>
  <c r="X502" i="27"/>
  <c r="X487" i="27"/>
  <c r="X496" i="27"/>
  <c r="X499" i="27"/>
  <c r="X490" i="27"/>
  <c r="X439" i="27"/>
  <c r="X445" i="27"/>
  <c r="X448" i="27"/>
  <c r="X451" i="27"/>
  <c r="X442" i="27"/>
  <c r="X454" i="27"/>
  <c r="X457" i="27"/>
  <c r="X76" i="27"/>
  <c r="X97" i="27"/>
  <c r="X130" i="27"/>
  <c r="X109" i="27"/>
  <c r="X124" i="27"/>
  <c r="X121" i="27"/>
  <c r="X136" i="27"/>
  <c r="X79" i="27"/>
  <c r="X103" i="27"/>
  <c r="X82" i="27"/>
  <c r="X118" i="27"/>
  <c r="X112" i="27"/>
  <c r="X85" i="27"/>
  <c r="X100" i="27"/>
  <c r="X133" i="27"/>
  <c r="X127" i="27"/>
  <c r="X115" i="27"/>
  <c r="X91" i="27"/>
  <c r="X106" i="27"/>
  <c r="X94" i="27"/>
  <c r="X88" i="27"/>
  <c r="X223" i="27"/>
  <c r="X217" i="27"/>
  <c r="X253" i="27"/>
  <c r="X247" i="27"/>
  <c r="X256" i="27"/>
  <c r="X232" i="27"/>
  <c r="X229" i="27"/>
  <c r="X241" i="27"/>
  <c r="X259" i="27"/>
  <c r="X262" i="27"/>
  <c r="X235" i="27"/>
  <c r="X265" i="27"/>
  <c r="X250" i="27"/>
  <c r="X238" i="27"/>
  <c r="X244" i="27"/>
  <c r="X220" i="27"/>
  <c r="X226" i="27"/>
  <c r="X142" i="27"/>
  <c r="X139" i="27"/>
  <c r="X145" i="27"/>
  <c r="X148" i="27"/>
  <c r="X151" i="27"/>
  <c r="X154" i="27"/>
  <c r="X157" i="27"/>
  <c r="X160" i="27"/>
  <c r="X532" i="27"/>
  <c r="X544" i="27"/>
  <c r="X556" i="27"/>
  <c r="X559" i="27"/>
  <c r="X562" i="27"/>
  <c r="X553" i="27"/>
  <c r="X565" i="27"/>
  <c r="X529" i="27"/>
  <c r="X541" i="27"/>
  <c r="X547" i="27"/>
  <c r="X550" i="27"/>
  <c r="X526" i="27"/>
  <c r="X538" i="27"/>
  <c r="X535" i="27"/>
  <c r="X289" i="27"/>
  <c r="X310" i="27"/>
  <c r="X307" i="27"/>
  <c r="X304" i="27"/>
  <c r="X313" i="27"/>
  <c r="X298" i="27"/>
  <c r="X295" i="27"/>
  <c r="X301" i="27"/>
  <c r="X292" i="27"/>
  <c r="X474" i="27"/>
  <c r="X477" i="27"/>
  <c r="X480" i="27"/>
  <c r="X483" i="27"/>
  <c r="X465" i="27"/>
  <c r="X462" i="27"/>
  <c r="X471" i="27"/>
  <c r="X468" i="27"/>
  <c r="X276" i="27"/>
  <c r="X279" i="27"/>
  <c r="X282" i="27"/>
  <c r="X270" i="27"/>
  <c r="X273" i="27"/>
  <c r="X285" i="27"/>
  <c r="X288" i="27"/>
  <c r="X192" i="27"/>
  <c r="X195" i="27"/>
  <c r="X201" i="27"/>
  <c r="X198" i="27"/>
  <c r="X204" i="27"/>
  <c r="X207" i="27"/>
  <c r="X210" i="27"/>
  <c r="X216" i="27"/>
  <c r="X213" i="27"/>
  <c r="X168" i="27"/>
  <c r="X180" i="27"/>
  <c r="X171" i="27"/>
  <c r="X165" i="27"/>
  <c r="X177" i="27"/>
  <c r="X186" i="27"/>
  <c r="X183" i="27"/>
  <c r="X174" i="27"/>
  <c r="X189" i="27"/>
  <c r="X381" i="27"/>
  <c r="X384" i="27"/>
  <c r="X387" i="27"/>
  <c r="X396" i="27"/>
  <c r="X408" i="27"/>
  <c r="X390" i="27"/>
  <c r="X414" i="27"/>
  <c r="X393" i="27"/>
  <c r="X399" i="27"/>
  <c r="X411" i="27"/>
  <c r="X402" i="27"/>
  <c r="X405" i="27"/>
  <c r="X348" i="27"/>
  <c r="X351" i="27"/>
  <c r="X357" i="27"/>
  <c r="X354" i="27"/>
  <c r="X366" i="27"/>
  <c r="X360" i="27"/>
  <c r="X372" i="27"/>
  <c r="X378" i="27"/>
  <c r="X363" i="27"/>
  <c r="X369" i="27"/>
  <c r="X375" i="27"/>
  <c r="X12" i="27"/>
  <c r="X6" i="27"/>
  <c r="X18" i="27"/>
  <c r="X24" i="27"/>
  <c r="X15" i="27"/>
  <c r="X9" i="27"/>
  <c r="X21" i="27"/>
  <c r="X30" i="27"/>
  <c r="X33" i="27"/>
  <c r="X69" i="27"/>
  <c r="X36" i="27"/>
  <c r="X39" i="27"/>
  <c r="X42" i="27"/>
  <c r="X75" i="27"/>
  <c r="X27" i="27"/>
  <c r="X48" i="27"/>
  <c r="X51" i="27"/>
  <c r="X66" i="27"/>
  <c r="X54" i="27"/>
  <c r="X57" i="27"/>
  <c r="X60" i="27"/>
  <c r="X72" i="27"/>
  <c r="X45" i="27"/>
  <c r="X63" i="27"/>
  <c r="X438" i="27"/>
  <c r="X426" i="27"/>
  <c r="X429" i="27"/>
  <c r="X435" i="27"/>
  <c r="X420" i="27"/>
  <c r="X423" i="27"/>
  <c r="X432" i="27"/>
  <c r="X417" i="27"/>
  <c r="X522" i="27"/>
  <c r="X513" i="27"/>
  <c r="X519" i="27"/>
  <c r="X510" i="27"/>
  <c r="X516" i="27"/>
  <c r="X507" i="27"/>
  <c r="X525" i="27"/>
  <c r="X345" i="27"/>
  <c r="X336" i="27"/>
  <c r="X318" i="27"/>
  <c r="X327" i="27"/>
  <c r="X339" i="27"/>
  <c r="X330" i="27"/>
  <c r="X321" i="27"/>
  <c r="X333" i="27"/>
  <c r="X342" i="27"/>
  <c r="X324" i="27"/>
  <c r="X486" i="27"/>
  <c r="X495" i="27"/>
  <c r="X504" i="27"/>
  <c r="X489" i="27"/>
  <c r="X498" i="27"/>
  <c r="X501" i="27"/>
  <c r="X492" i="27"/>
  <c r="X441" i="27"/>
  <c r="X447" i="27"/>
  <c r="X450" i="27"/>
  <c r="X453" i="27"/>
  <c r="X444" i="27"/>
  <c r="X456" i="27"/>
  <c r="X459" i="27"/>
  <c r="X78" i="27"/>
  <c r="X99" i="27"/>
  <c r="X132" i="27"/>
  <c r="X111" i="27"/>
  <c r="X126" i="27"/>
  <c r="X123" i="27"/>
  <c r="X138" i="27"/>
  <c r="X81" i="27"/>
  <c r="X105" i="27"/>
  <c r="X84" i="27"/>
  <c r="X120" i="27"/>
  <c r="X114" i="27"/>
  <c r="X87" i="27"/>
  <c r="X102" i="27"/>
  <c r="X135" i="27"/>
  <c r="X129" i="27"/>
  <c r="X117" i="27"/>
  <c r="X93" i="27"/>
  <c r="X108" i="27"/>
  <c r="X96" i="27"/>
  <c r="X90" i="27"/>
  <c r="X225" i="27"/>
  <c r="X219" i="27"/>
  <c r="X255" i="27"/>
  <c r="X249" i="27"/>
  <c r="X258" i="27"/>
  <c r="X234" i="27"/>
  <c r="X231" i="27"/>
  <c r="X243" i="27"/>
  <c r="X261" i="27"/>
  <c r="X264" i="27"/>
  <c r="X237" i="27"/>
  <c r="X267" i="27"/>
  <c r="X252" i="27"/>
  <c r="X240" i="27"/>
  <c r="X246" i="27"/>
  <c r="X222" i="27"/>
  <c r="X228" i="27"/>
  <c r="X144" i="27"/>
  <c r="X141" i="27"/>
  <c r="X147" i="27"/>
  <c r="X150" i="27"/>
  <c r="X153" i="27"/>
  <c r="X156" i="27"/>
  <c r="X159" i="27"/>
  <c r="X162" i="27"/>
  <c r="X534" i="27"/>
  <c r="X546" i="27"/>
  <c r="X558" i="27"/>
  <c r="X561" i="27"/>
  <c r="X564" i="27"/>
  <c r="X555" i="27"/>
  <c r="X567" i="27"/>
  <c r="X531" i="27"/>
  <c r="X543" i="27"/>
  <c r="X549" i="27"/>
  <c r="X552" i="27"/>
  <c r="X528" i="27"/>
  <c r="X540" i="27"/>
  <c r="X537" i="27"/>
  <c r="X291" i="27"/>
  <c r="X312" i="27"/>
  <c r="X309" i="27"/>
  <c r="X306" i="27"/>
  <c r="X315" i="27"/>
  <c r="X300" i="27"/>
  <c r="X297" i="27"/>
  <c r="X303" i="27"/>
  <c r="X294" i="27"/>
  <c r="Y472" i="27"/>
  <c r="Y475" i="27"/>
  <c r="Y478" i="27"/>
  <c r="Y481" i="27"/>
  <c r="Y463" i="27"/>
  <c r="Y460" i="27"/>
  <c r="Y469" i="27"/>
  <c r="Y466" i="27"/>
  <c r="Y274" i="27"/>
  <c r="Y277" i="27"/>
  <c r="Y280" i="27"/>
  <c r="Y268" i="27"/>
  <c r="Y271" i="27"/>
  <c r="Y283" i="27"/>
  <c r="Y286" i="27"/>
  <c r="Y190" i="27"/>
  <c r="Y193" i="27"/>
  <c r="Y199" i="27"/>
  <c r="Y196" i="27"/>
  <c r="Y202" i="27"/>
  <c r="Y205" i="27"/>
  <c r="Y208" i="27"/>
  <c r="Y214" i="27"/>
  <c r="Y211" i="27"/>
  <c r="Y166" i="27"/>
  <c r="Y178" i="27"/>
  <c r="Y169" i="27"/>
  <c r="Y163" i="27"/>
  <c r="Y175" i="27"/>
  <c r="Y184" i="27"/>
  <c r="Y181" i="27"/>
  <c r="Y172" i="27"/>
  <c r="Y187" i="27"/>
  <c r="Y379" i="27"/>
  <c r="Y382" i="27"/>
  <c r="Y385" i="27"/>
  <c r="Y394" i="27"/>
  <c r="Y406" i="27"/>
  <c r="Y388" i="27"/>
  <c r="Y412" i="27"/>
  <c r="Y391" i="27"/>
  <c r="Y397" i="27"/>
  <c r="Y409" i="27"/>
  <c r="Y400" i="27"/>
  <c r="Y403" i="27"/>
  <c r="Y346" i="27"/>
  <c r="Y349" i="27"/>
  <c r="Y355" i="27"/>
  <c r="Y352" i="27"/>
  <c r="Y364" i="27"/>
  <c r="Y358" i="27"/>
  <c r="Y370" i="27"/>
  <c r="Y376" i="27"/>
  <c r="Y361" i="27"/>
  <c r="Y367" i="27"/>
  <c r="Y373" i="27"/>
  <c r="Y10" i="27"/>
  <c r="Y4" i="27"/>
  <c r="Y16" i="27"/>
  <c r="Y22" i="27"/>
  <c r="Y13" i="27"/>
  <c r="Y7" i="27"/>
  <c r="Y19" i="27"/>
  <c r="Y28" i="27"/>
  <c r="Y31" i="27"/>
  <c r="Y67" i="27"/>
  <c r="Y34" i="27"/>
  <c r="Y37" i="27"/>
  <c r="Y40" i="27"/>
  <c r="Y73" i="27"/>
  <c r="Y25" i="27"/>
  <c r="Y46" i="27"/>
  <c r="Y49" i="27"/>
  <c r="Y64" i="27"/>
  <c r="Y52" i="27"/>
  <c r="Y55" i="27"/>
  <c r="Y58" i="27"/>
  <c r="Y70" i="27"/>
  <c r="Y43" i="27"/>
  <c r="Y61" i="27"/>
  <c r="Y436" i="27"/>
  <c r="Y424" i="27"/>
  <c r="Y427" i="27"/>
  <c r="Y433" i="27"/>
  <c r="Y418" i="27"/>
  <c r="Y421" i="27"/>
  <c r="Y430" i="27"/>
  <c r="Y415" i="27"/>
  <c r="Y520" i="27"/>
  <c r="Y511" i="27"/>
  <c r="Y517" i="27"/>
  <c r="Y508" i="27"/>
  <c r="Y514" i="27"/>
  <c r="Y505" i="27"/>
  <c r="Y523" i="27"/>
  <c r="Y343" i="27"/>
  <c r="Y334" i="27"/>
  <c r="Y316" i="27"/>
  <c r="Y325" i="27"/>
  <c r="Y337" i="27"/>
  <c r="Y328" i="27"/>
  <c r="Y319" i="27"/>
  <c r="Y331" i="27"/>
  <c r="Y340" i="27"/>
  <c r="Y322" i="27"/>
  <c r="Y484" i="27"/>
  <c r="Y493" i="27"/>
  <c r="Y502" i="27"/>
  <c r="Y487" i="27"/>
  <c r="Y496" i="27"/>
  <c r="Y499" i="27"/>
  <c r="Y490" i="27"/>
  <c r="Y439" i="27"/>
  <c r="Y445" i="27"/>
  <c r="Y448" i="27"/>
  <c r="Y451" i="27"/>
  <c r="Y442" i="27"/>
  <c r="Y454" i="27"/>
  <c r="Y457" i="27"/>
  <c r="Y76" i="27"/>
  <c r="Y97" i="27"/>
  <c r="Y130" i="27"/>
  <c r="Y109" i="27"/>
  <c r="Y124" i="27"/>
  <c r="Y121" i="27"/>
  <c r="Y136" i="27"/>
  <c r="Y79" i="27"/>
  <c r="Y103" i="27"/>
  <c r="Y82" i="27"/>
  <c r="Y118" i="27"/>
  <c r="Y112" i="27"/>
  <c r="Y85" i="27"/>
  <c r="Y100" i="27"/>
  <c r="Y133" i="27"/>
  <c r="Y127" i="27"/>
  <c r="Y115" i="27"/>
  <c r="Y91" i="27"/>
  <c r="Y106" i="27"/>
  <c r="Y94" i="27"/>
  <c r="Y88" i="27"/>
  <c r="Y223" i="27"/>
  <c r="Y217" i="27"/>
  <c r="Y253" i="27"/>
  <c r="Y247" i="27"/>
  <c r="Y256" i="27"/>
  <c r="Y232" i="27"/>
  <c r="Y229" i="27"/>
  <c r="Y241" i="27"/>
  <c r="Y259" i="27"/>
  <c r="Y262" i="27"/>
  <c r="Y235" i="27"/>
  <c r="Y265" i="27"/>
  <c r="Y250" i="27"/>
  <c r="Y238" i="27"/>
  <c r="Y244" i="27"/>
  <c r="Y220" i="27"/>
  <c r="Y226" i="27"/>
  <c r="Y142" i="27"/>
  <c r="Y139" i="27"/>
  <c r="Y145" i="27"/>
  <c r="Y148" i="27"/>
  <c r="Y151" i="27"/>
  <c r="Y154" i="27"/>
  <c r="Y157" i="27"/>
  <c r="Y160" i="27"/>
  <c r="Y532" i="27"/>
  <c r="Y544" i="27"/>
  <c r="Y556" i="27"/>
  <c r="Y559" i="27"/>
  <c r="Y562" i="27"/>
  <c r="Y553" i="27"/>
  <c r="Y565" i="27"/>
  <c r="Y529" i="27"/>
  <c r="Y541" i="27"/>
  <c r="Y547" i="27"/>
  <c r="Y550" i="27"/>
  <c r="Y526" i="27"/>
  <c r="Y538" i="27"/>
  <c r="Y535" i="27"/>
  <c r="Y289" i="27"/>
  <c r="Y310" i="27"/>
  <c r="Y307" i="27"/>
  <c r="Y304" i="27"/>
  <c r="Y313" i="27"/>
  <c r="Y298" i="27"/>
  <c r="Y295" i="27"/>
  <c r="Y301" i="27"/>
  <c r="Y292" i="27"/>
  <c r="Y474" i="27"/>
  <c r="Y477" i="27"/>
  <c r="Y480" i="27"/>
  <c r="Y483" i="27"/>
  <c r="Y465" i="27"/>
  <c r="Y462" i="27"/>
  <c r="Y471" i="27"/>
  <c r="Y468" i="27"/>
  <c r="Y276" i="27"/>
  <c r="Y279" i="27"/>
  <c r="Y282" i="27"/>
  <c r="Y270" i="27"/>
  <c r="Y273" i="27"/>
  <c r="Y285" i="27"/>
  <c r="Y288" i="27"/>
  <c r="Y192" i="27"/>
  <c r="Y195" i="27"/>
  <c r="Y201" i="27"/>
  <c r="Y198" i="27"/>
  <c r="Y204" i="27"/>
  <c r="Y207" i="27"/>
  <c r="Y210" i="27"/>
  <c r="Y216" i="27"/>
  <c r="Y213" i="27"/>
  <c r="Y168" i="27"/>
  <c r="Y180" i="27"/>
  <c r="Y171" i="27"/>
  <c r="Y165" i="27"/>
  <c r="Y177" i="27"/>
  <c r="Y186" i="27"/>
  <c r="Y183" i="27"/>
  <c r="Y174" i="27"/>
  <c r="Y189" i="27"/>
  <c r="Y381" i="27"/>
  <c r="Y384" i="27"/>
  <c r="Y387" i="27"/>
  <c r="Y396" i="27"/>
  <c r="Y408" i="27"/>
  <c r="Y390" i="27"/>
  <c r="Y414" i="27"/>
  <c r="Y393" i="27"/>
  <c r="Y399" i="27"/>
  <c r="Y411" i="27"/>
  <c r="Y402" i="27"/>
  <c r="Y405" i="27"/>
  <c r="Y348" i="27"/>
  <c r="Y351" i="27"/>
  <c r="Y357" i="27"/>
  <c r="Y354" i="27"/>
  <c r="Y366" i="27"/>
  <c r="Y360" i="27"/>
  <c r="Y372" i="27"/>
  <c r="Y378" i="27"/>
  <c r="Y363" i="27"/>
  <c r="Y369" i="27"/>
  <c r="Y375" i="27"/>
  <c r="Y12" i="27"/>
  <c r="Y6" i="27"/>
  <c r="Y18" i="27"/>
  <c r="Y24" i="27"/>
  <c r="Y15" i="27"/>
  <c r="Y9" i="27"/>
  <c r="Y21" i="27"/>
  <c r="Y30" i="27"/>
  <c r="Y33" i="27"/>
  <c r="Y69" i="27"/>
  <c r="Y36" i="27"/>
  <c r="Y39" i="27"/>
  <c r="Y42" i="27"/>
  <c r="Y75" i="27"/>
  <c r="Y27" i="27"/>
  <c r="Y48" i="27"/>
  <c r="Y51" i="27"/>
  <c r="Y66" i="27"/>
  <c r="Y54" i="27"/>
  <c r="Y57" i="27"/>
  <c r="Y60" i="27"/>
  <c r="Y72" i="27"/>
  <c r="Y45" i="27"/>
  <c r="Y63" i="27"/>
  <c r="Y438" i="27"/>
  <c r="Y426" i="27"/>
  <c r="Y429" i="27"/>
  <c r="Y435" i="27"/>
  <c r="Y420" i="27"/>
  <c r="Y423" i="27"/>
  <c r="Y432" i="27"/>
  <c r="Y417" i="27"/>
  <c r="Y522" i="27"/>
  <c r="Y513" i="27"/>
  <c r="Y519" i="27"/>
  <c r="Y510" i="27"/>
  <c r="Y516" i="27"/>
  <c r="Y507" i="27"/>
  <c r="Y525" i="27"/>
  <c r="Y345" i="27"/>
  <c r="Y336" i="27"/>
  <c r="Y318" i="27"/>
  <c r="Y327" i="27"/>
  <c r="Y339" i="27"/>
  <c r="Y330" i="27"/>
  <c r="Y321" i="27"/>
  <c r="Y333" i="27"/>
  <c r="Y342" i="27"/>
  <c r="Y324" i="27"/>
  <c r="Y486" i="27"/>
  <c r="Y495" i="27"/>
  <c r="Y504" i="27"/>
  <c r="Y489" i="27"/>
  <c r="Y498" i="27"/>
  <c r="Y501" i="27"/>
  <c r="Y492" i="27"/>
  <c r="Y441" i="27"/>
  <c r="Y447" i="27"/>
  <c r="Y450" i="27"/>
  <c r="Y453" i="27"/>
  <c r="Y444" i="27"/>
  <c r="Y456" i="27"/>
  <c r="Y459" i="27"/>
  <c r="Y78" i="27"/>
  <c r="Y99" i="27"/>
  <c r="Y132" i="27"/>
  <c r="Y111" i="27"/>
  <c r="Y126" i="27"/>
  <c r="Y123" i="27"/>
  <c r="Y138" i="27"/>
  <c r="Y81" i="27"/>
  <c r="Y105" i="27"/>
  <c r="Y84" i="27"/>
  <c r="Y120" i="27"/>
  <c r="Y114" i="27"/>
  <c r="Y87" i="27"/>
  <c r="Y102" i="27"/>
  <c r="Y135" i="27"/>
  <c r="Y129" i="27"/>
  <c r="Y117" i="27"/>
  <c r="Y93" i="27"/>
  <c r="Y108" i="27"/>
  <c r="Y96" i="27"/>
  <c r="Y90" i="27"/>
  <c r="Y225" i="27"/>
  <c r="Y219" i="27"/>
  <c r="Y255" i="27"/>
  <c r="Y249" i="27"/>
  <c r="Y258" i="27"/>
  <c r="Y234" i="27"/>
  <c r="Y231" i="27"/>
  <c r="Y243" i="27"/>
  <c r="Y261" i="27"/>
  <c r="Y264" i="27"/>
  <c r="Y237" i="27"/>
  <c r="Y267" i="27"/>
  <c r="Y252" i="27"/>
  <c r="Y240" i="27"/>
  <c r="Y246" i="27"/>
  <c r="Y222" i="27"/>
  <c r="Y228" i="27"/>
  <c r="Y144" i="27"/>
  <c r="Y141" i="27"/>
  <c r="Y147" i="27"/>
  <c r="Y150" i="27"/>
  <c r="Y153" i="27"/>
  <c r="Y156" i="27"/>
  <c r="Y159" i="27"/>
  <c r="Y162" i="27"/>
  <c r="Y534" i="27"/>
  <c r="Y546" i="27"/>
  <c r="Y558" i="27"/>
  <c r="Y561" i="27"/>
  <c r="Y564" i="27"/>
  <c r="Y555" i="27"/>
  <c r="Y567" i="27"/>
  <c r="Y531" i="27"/>
  <c r="Y543" i="27"/>
  <c r="Y549" i="27"/>
  <c r="Y552" i="27"/>
  <c r="Y528" i="27"/>
  <c r="Y540" i="27"/>
  <c r="Y537" i="27"/>
  <c r="Y291" i="27"/>
  <c r="Y312" i="27"/>
  <c r="Y309" i="27"/>
  <c r="Y306" i="27"/>
  <c r="Y315" i="27"/>
  <c r="Y300" i="27"/>
  <c r="Y297" i="27"/>
  <c r="Y303" i="27"/>
  <c r="Y294" i="27"/>
  <c r="AB472" i="27"/>
  <c r="AB475" i="27"/>
  <c r="AB478" i="27"/>
  <c r="AB481" i="27"/>
  <c r="AB463" i="27"/>
  <c r="AB460" i="27"/>
  <c r="AB469" i="27"/>
  <c r="AB466" i="27"/>
  <c r="AB274" i="27"/>
  <c r="AB277" i="27"/>
  <c r="AB280" i="27"/>
  <c r="AB268" i="27"/>
  <c r="AB271" i="27"/>
  <c r="AB283" i="27"/>
  <c r="AB286" i="27"/>
  <c r="AB190" i="27"/>
  <c r="AB193" i="27"/>
  <c r="AB199" i="27"/>
  <c r="AB196" i="27"/>
  <c r="AB202" i="27"/>
  <c r="AB205" i="27"/>
  <c r="AB208" i="27"/>
  <c r="AB214" i="27"/>
  <c r="AB211" i="27"/>
  <c r="AB166" i="27"/>
  <c r="AB178" i="27"/>
  <c r="AB169" i="27"/>
  <c r="AB163" i="27"/>
  <c r="AB175" i="27"/>
  <c r="AB184" i="27"/>
  <c r="AB181" i="27"/>
  <c r="AB172" i="27"/>
  <c r="AB187" i="27"/>
  <c r="AB379" i="27"/>
  <c r="AB382" i="27"/>
  <c r="AB385" i="27"/>
  <c r="AB394" i="27"/>
  <c r="AB406" i="27"/>
  <c r="AB388" i="27"/>
  <c r="AB412" i="27"/>
  <c r="AB391" i="27"/>
  <c r="AB397" i="27"/>
  <c r="AB409" i="27"/>
  <c r="AB400" i="27"/>
  <c r="AB403" i="27"/>
  <c r="AB346" i="27"/>
  <c r="AB349" i="27"/>
  <c r="AB355" i="27"/>
  <c r="AB352" i="27"/>
  <c r="AB364" i="27"/>
  <c r="AB358" i="27"/>
  <c r="AB370" i="27"/>
  <c r="AB376" i="27"/>
  <c r="AB361" i="27"/>
  <c r="AB367" i="27"/>
  <c r="AB373" i="27"/>
  <c r="AB10" i="27"/>
  <c r="AB16" i="27"/>
  <c r="AB22" i="27"/>
  <c r="AB13" i="27"/>
  <c r="AB7" i="27"/>
  <c r="AB19" i="27"/>
  <c r="AB28" i="27"/>
  <c r="AB31" i="27"/>
  <c r="AB67" i="27"/>
  <c r="AB34" i="27"/>
  <c r="AB37" i="27"/>
  <c r="AB40" i="27"/>
  <c r="AB73" i="27"/>
  <c r="AB25" i="27"/>
  <c r="AB46" i="27"/>
  <c r="AB49" i="27"/>
  <c r="AB64" i="27"/>
  <c r="AB52" i="27"/>
  <c r="AB55" i="27"/>
  <c r="AB58" i="27"/>
  <c r="AB70" i="27"/>
  <c r="AB43" i="27"/>
  <c r="AB61" i="27"/>
  <c r="AB436" i="27"/>
  <c r="AB424" i="27"/>
  <c r="AB427" i="27"/>
  <c r="AB433" i="27"/>
  <c r="AB418" i="27"/>
  <c r="AB421" i="27"/>
  <c r="AB430" i="27"/>
  <c r="AB415" i="27"/>
  <c r="AB520" i="27"/>
  <c r="AB511" i="27"/>
  <c r="AB517" i="27"/>
  <c r="AB508" i="27"/>
  <c r="AB514" i="27"/>
  <c r="AB505" i="27"/>
  <c r="AB523" i="27"/>
  <c r="AB343" i="27"/>
  <c r="AB334" i="27"/>
  <c r="AB316" i="27"/>
  <c r="AB325" i="27"/>
  <c r="AB337" i="27"/>
  <c r="AB328" i="27"/>
  <c r="AB319" i="27"/>
  <c r="AB331" i="27"/>
  <c r="AB340" i="27"/>
  <c r="AB322" i="27"/>
  <c r="AB484" i="27"/>
  <c r="AB493" i="27"/>
  <c r="AB502" i="27"/>
  <c r="AB487" i="27"/>
  <c r="AB496" i="27"/>
  <c r="AB499" i="27"/>
  <c r="AB490" i="27"/>
  <c r="AB439" i="27"/>
  <c r="AB445" i="27"/>
  <c r="AB448" i="27"/>
  <c r="AB451" i="27"/>
  <c r="AB442" i="27"/>
  <c r="AB454" i="27"/>
  <c r="AB457" i="27"/>
  <c r="AB76" i="27"/>
  <c r="AB97" i="27"/>
  <c r="AB130" i="27"/>
  <c r="AB109" i="27"/>
  <c r="AB124" i="27"/>
  <c r="AB121" i="27"/>
  <c r="AB136" i="27"/>
  <c r="AB79" i="27"/>
  <c r="AB103" i="27"/>
  <c r="AB82" i="27"/>
  <c r="AB118" i="27"/>
  <c r="AB112" i="27"/>
  <c r="AB85" i="27"/>
  <c r="AB100" i="27"/>
  <c r="AB133" i="27"/>
  <c r="AB127" i="27"/>
  <c r="AB115" i="27"/>
  <c r="AB91" i="27"/>
  <c r="AB106" i="27"/>
  <c r="AB94" i="27"/>
  <c r="AB88" i="27"/>
  <c r="AB223" i="27"/>
  <c r="AB217" i="27"/>
  <c r="AB253" i="27"/>
  <c r="AB247" i="27"/>
  <c r="AB256" i="27"/>
  <c r="AB232" i="27"/>
  <c r="AB229" i="27"/>
  <c r="AB241" i="27"/>
  <c r="AB259" i="27"/>
  <c r="AB262" i="27"/>
  <c r="AB235" i="27"/>
  <c r="AB265" i="27"/>
  <c r="AB250" i="27"/>
  <c r="AB238" i="27"/>
  <c r="AB244" i="27"/>
  <c r="AB220" i="27"/>
  <c r="AB226" i="27"/>
  <c r="AB142" i="27"/>
  <c r="AB139" i="27"/>
  <c r="AB145" i="27"/>
  <c r="AB148" i="27"/>
  <c r="AB151" i="27"/>
  <c r="AB154" i="27"/>
  <c r="AB157" i="27"/>
  <c r="AB160" i="27"/>
  <c r="AB532" i="27"/>
  <c r="AB544" i="27"/>
  <c r="AB556" i="27"/>
  <c r="AB559" i="27"/>
  <c r="AB562" i="27"/>
  <c r="AB553" i="27"/>
  <c r="AB565" i="27"/>
  <c r="AB529" i="27"/>
  <c r="AB541" i="27"/>
  <c r="AB547" i="27"/>
  <c r="AB550" i="27"/>
  <c r="AB526" i="27"/>
  <c r="AB538" i="27"/>
  <c r="AB535" i="27"/>
  <c r="AB289" i="27"/>
  <c r="AB310" i="27"/>
  <c r="AB307" i="27"/>
  <c r="AB304" i="27"/>
  <c r="AB313" i="27"/>
  <c r="AB298" i="27"/>
  <c r="AB295" i="27"/>
  <c r="AB301" i="27"/>
  <c r="AB292" i="27"/>
  <c r="AB474" i="27"/>
  <c r="AB477" i="27"/>
  <c r="AB480" i="27"/>
  <c r="AB483" i="27"/>
  <c r="AB465" i="27"/>
  <c r="AB462" i="27"/>
  <c r="AB471" i="27"/>
  <c r="AB468" i="27"/>
  <c r="AB276" i="27"/>
  <c r="AB279" i="27"/>
  <c r="AB282" i="27"/>
  <c r="AB270" i="27"/>
  <c r="AB273" i="27"/>
  <c r="AB285" i="27"/>
  <c r="AB288" i="27"/>
  <c r="AB192" i="27"/>
  <c r="AB195" i="27"/>
  <c r="AB201" i="27"/>
  <c r="AB198" i="27"/>
  <c r="AB204" i="27"/>
  <c r="AB207" i="27"/>
  <c r="AB210" i="27"/>
  <c r="AB216" i="27"/>
  <c r="AB213" i="27"/>
  <c r="AB168" i="27"/>
  <c r="AB180" i="27"/>
  <c r="AB171" i="27"/>
  <c r="AB165" i="27"/>
  <c r="AB177" i="27"/>
  <c r="AB186" i="27"/>
  <c r="AB183" i="27"/>
  <c r="AB174" i="27"/>
  <c r="AB189" i="27"/>
  <c r="AB381" i="27"/>
  <c r="AB384" i="27"/>
  <c r="AB387" i="27"/>
  <c r="AB396" i="27"/>
  <c r="AB408" i="27"/>
  <c r="AB390" i="27"/>
  <c r="AB414" i="27"/>
  <c r="AB393" i="27"/>
  <c r="AB399" i="27"/>
  <c r="AB411" i="27"/>
  <c r="AB402" i="27"/>
  <c r="AB405" i="27"/>
  <c r="AB348" i="27"/>
  <c r="AB351" i="27"/>
  <c r="AB357" i="27"/>
  <c r="AB354" i="27"/>
  <c r="AB366" i="27"/>
  <c r="AB360" i="27"/>
  <c r="AB372" i="27"/>
  <c r="AB378" i="27"/>
  <c r="AB363" i="27"/>
  <c r="AB369" i="27"/>
  <c r="AB375" i="27"/>
  <c r="AB12" i="27"/>
  <c r="AB6" i="27"/>
  <c r="AB18" i="27"/>
  <c r="AB24" i="27"/>
  <c r="AB15" i="27"/>
  <c r="AB9" i="27"/>
  <c r="AB21" i="27"/>
  <c r="AB30" i="27"/>
  <c r="AB33" i="27"/>
  <c r="AB69" i="27"/>
  <c r="AB36" i="27"/>
  <c r="AB39" i="27"/>
  <c r="AB42" i="27"/>
  <c r="AB75" i="27"/>
  <c r="AB27" i="27"/>
  <c r="AB48" i="27"/>
  <c r="AB51" i="27"/>
  <c r="AB66" i="27"/>
  <c r="AB54" i="27"/>
  <c r="AB57" i="27"/>
  <c r="AB60" i="27"/>
  <c r="AB72" i="27"/>
  <c r="AB45" i="27"/>
  <c r="AB63" i="27"/>
  <c r="AB438" i="27"/>
  <c r="AB426" i="27"/>
  <c r="AB429" i="27"/>
  <c r="AB435" i="27"/>
  <c r="AB420" i="27"/>
  <c r="AB423" i="27"/>
  <c r="AB432" i="27"/>
  <c r="AB417" i="27"/>
  <c r="AB522" i="27"/>
  <c r="AB513" i="27"/>
  <c r="AB519" i="27"/>
  <c r="AB510" i="27"/>
  <c r="AB516" i="27"/>
  <c r="AB525" i="27"/>
  <c r="AB345" i="27"/>
  <c r="AB336" i="27"/>
  <c r="AB318" i="27"/>
  <c r="AB327" i="27"/>
  <c r="AB339" i="27"/>
  <c r="AB330" i="27"/>
  <c r="AB321" i="27"/>
  <c r="AB333" i="27"/>
  <c r="AB342" i="27"/>
  <c r="AB324" i="27"/>
  <c r="AB486" i="27"/>
  <c r="AB495" i="27"/>
  <c r="AB504" i="27"/>
  <c r="AB489" i="27"/>
  <c r="AB498" i="27"/>
  <c r="AB501" i="27"/>
  <c r="AB492" i="27"/>
  <c r="AB441" i="27"/>
  <c r="AB447" i="27"/>
  <c r="AB450" i="27"/>
  <c r="AB453" i="27"/>
  <c r="AB444" i="27"/>
  <c r="AB456" i="27"/>
  <c r="AB459" i="27"/>
  <c r="AB78" i="27"/>
  <c r="AB99" i="27"/>
  <c r="AB132" i="27"/>
  <c r="AB111" i="27"/>
  <c r="AB126" i="27"/>
  <c r="AB123" i="27"/>
  <c r="AB138" i="27"/>
  <c r="AB81" i="27"/>
  <c r="AB105" i="27"/>
  <c r="AB84" i="27"/>
  <c r="AB120" i="27"/>
  <c r="AB114" i="27"/>
  <c r="AB87" i="27"/>
  <c r="AB102" i="27"/>
  <c r="AB135" i="27"/>
  <c r="AB129" i="27"/>
  <c r="AB117" i="27"/>
  <c r="AB93" i="27"/>
  <c r="AB108" i="27"/>
  <c r="AB96" i="27"/>
  <c r="AB90" i="27"/>
  <c r="AB225" i="27"/>
  <c r="AB219" i="27"/>
  <c r="AB255" i="27"/>
  <c r="AB249" i="27"/>
  <c r="AB258" i="27"/>
  <c r="AB234" i="27"/>
  <c r="AB231" i="27"/>
  <c r="AB243" i="27"/>
  <c r="AB261" i="27"/>
  <c r="AB264" i="27"/>
  <c r="AB237" i="27"/>
  <c r="AB267" i="27"/>
  <c r="AB252" i="27"/>
  <c r="AB240" i="27"/>
  <c r="AB246" i="27"/>
  <c r="AB222" i="27"/>
  <c r="AB228" i="27"/>
  <c r="AB144" i="27"/>
  <c r="AB141" i="27"/>
  <c r="AB147" i="27"/>
  <c r="AB150" i="27"/>
  <c r="AB153" i="27"/>
  <c r="AB156" i="27"/>
  <c r="AB159" i="27"/>
  <c r="AB162" i="27"/>
  <c r="AB534" i="27"/>
  <c r="AB546" i="27"/>
  <c r="AB558" i="27"/>
  <c r="AB561" i="27"/>
  <c r="AB564" i="27"/>
  <c r="AB555" i="27"/>
  <c r="AB567" i="27"/>
  <c r="AB531" i="27"/>
  <c r="AB543" i="27"/>
  <c r="AB549" i="27"/>
  <c r="AB552" i="27"/>
  <c r="AB528" i="27"/>
  <c r="AB540" i="27"/>
  <c r="AB537" i="27"/>
  <c r="AB291" i="27"/>
  <c r="AB312" i="27"/>
  <c r="AB309" i="27"/>
  <c r="AB306" i="27"/>
  <c r="AB315" i="27"/>
  <c r="AB300" i="27"/>
  <c r="AB297" i="27"/>
  <c r="AB303" i="27"/>
  <c r="AB294" i="27"/>
  <c r="AC472" i="27"/>
  <c r="AC475" i="27"/>
  <c r="AC478" i="27"/>
  <c r="AC481" i="27"/>
  <c r="AC463" i="27"/>
  <c r="AC460" i="27"/>
  <c r="AC469" i="27"/>
  <c r="AC466" i="27"/>
  <c r="AC274" i="27"/>
  <c r="AC277" i="27"/>
  <c r="AC280" i="27"/>
  <c r="AC268" i="27"/>
  <c r="AC271" i="27"/>
  <c r="AC283" i="27"/>
  <c r="AC286" i="27"/>
  <c r="AC190" i="27"/>
  <c r="AC193" i="27"/>
  <c r="AC199" i="27"/>
  <c r="AC196" i="27"/>
  <c r="AC202" i="27"/>
  <c r="AC205" i="27"/>
  <c r="AC208" i="27"/>
  <c r="AC214" i="27"/>
  <c r="AC211" i="27"/>
  <c r="AC166" i="27"/>
  <c r="AC178" i="27"/>
  <c r="AC169" i="27"/>
  <c r="AC163" i="27"/>
  <c r="AC175" i="27"/>
  <c r="AC184" i="27"/>
  <c r="AC181" i="27"/>
  <c r="AC172" i="27"/>
  <c r="AC187" i="27"/>
  <c r="AC379" i="27"/>
  <c r="AC382" i="27"/>
  <c r="AC385" i="27"/>
  <c r="AC394" i="27"/>
  <c r="AC406" i="27"/>
  <c r="AC388" i="27"/>
  <c r="AC412" i="27"/>
  <c r="AC391" i="27"/>
  <c r="AC397" i="27"/>
  <c r="AC409" i="27"/>
  <c r="AC400" i="27"/>
  <c r="AC403" i="27"/>
  <c r="AC346" i="27"/>
  <c r="AC349" i="27"/>
  <c r="AC355" i="27"/>
  <c r="AC352" i="27"/>
  <c r="AC364" i="27"/>
  <c r="AC358" i="27"/>
  <c r="AC370" i="27"/>
  <c r="AC376" i="27"/>
  <c r="AC361" i="27"/>
  <c r="AC367" i="27"/>
  <c r="AC373" i="27"/>
  <c r="AC10" i="27"/>
  <c r="AC4" i="27"/>
  <c r="AC16" i="27"/>
  <c r="AC22" i="27"/>
  <c r="AC13" i="27"/>
  <c r="AC7" i="27"/>
  <c r="AC19" i="27"/>
  <c r="AC28" i="27"/>
  <c r="AC31" i="27"/>
  <c r="AC67" i="27"/>
  <c r="AC34" i="27"/>
  <c r="AC37" i="27"/>
  <c r="AC40" i="27"/>
  <c r="AC73" i="27"/>
  <c r="AC25" i="27"/>
  <c r="AC46" i="27"/>
  <c r="AC49" i="27"/>
  <c r="AC64" i="27"/>
  <c r="AC52" i="27"/>
  <c r="AC55" i="27"/>
  <c r="AC58" i="27"/>
  <c r="AC70" i="27"/>
  <c r="AC43" i="27"/>
  <c r="AC61" i="27"/>
  <c r="AC436" i="27"/>
  <c r="AC424" i="27"/>
  <c r="AC427" i="27"/>
  <c r="AC433" i="27"/>
  <c r="AC418" i="27"/>
  <c r="AC421" i="27"/>
  <c r="AC430" i="27"/>
  <c r="AC415" i="27"/>
  <c r="AC520" i="27"/>
  <c r="AC511" i="27"/>
  <c r="AC517" i="27"/>
  <c r="AC508" i="27"/>
  <c r="AC514" i="27"/>
  <c r="AC505" i="27"/>
  <c r="AC523" i="27"/>
  <c r="AC343" i="27"/>
  <c r="AC334" i="27"/>
  <c r="AC316" i="27"/>
  <c r="AC325" i="27"/>
  <c r="AC337" i="27"/>
  <c r="AC328" i="27"/>
  <c r="AC319" i="27"/>
  <c r="AC331" i="27"/>
  <c r="AC340" i="27"/>
  <c r="AC322" i="27"/>
  <c r="AC484" i="27"/>
  <c r="AC493" i="27"/>
  <c r="AC502" i="27"/>
  <c r="AC487" i="27"/>
  <c r="AC496" i="27"/>
  <c r="AC499" i="27"/>
  <c r="AC490" i="27"/>
  <c r="AC439" i="27"/>
  <c r="AC445" i="27"/>
  <c r="AC448" i="27"/>
  <c r="AC451" i="27"/>
  <c r="AC442" i="27"/>
  <c r="AC454" i="27"/>
  <c r="AC457" i="27"/>
  <c r="AC76" i="27"/>
  <c r="AC97" i="27"/>
  <c r="AC130" i="27"/>
  <c r="AC109" i="27"/>
  <c r="AC124" i="27"/>
  <c r="AC121" i="27"/>
  <c r="AC136" i="27"/>
  <c r="AC79" i="27"/>
  <c r="AC103" i="27"/>
  <c r="AC82" i="27"/>
  <c r="AC118" i="27"/>
  <c r="AC112" i="27"/>
  <c r="AC85" i="27"/>
  <c r="AC100" i="27"/>
  <c r="AC133" i="27"/>
  <c r="AC127" i="27"/>
  <c r="AC115" i="27"/>
  <c r="AC91" i="27"/>
  <c r="AC106" i="27"/>
  <c r="AC94" i="27"/>
  <c r="AC88" i="27"/>
  <c r="AC223" i="27"/>
  <c r="AC217" i="27"/>
  <c r="AC253" i="27"/>
  <c r="AC247" i="27"/>
  <c r="AC256" i="27"/>
  <c r="AC232" i="27"/>
  <c r="AC229" i="27"/>
  <c r="AC241" i="27"/>
  <c r="AC259" i="27"/>
  <c r="AC262" i="27"/>
  <c r="AC235" i="27"/>
  <c r="AC265" i="27"/>
  <c r="AC250" i="27"/>
  <c r="AC238" i="27"/>
  <c r="AC244" i="27"/>
  <c r="AC220" i="27"/>
  <c r="AC226" i="27"/>
  <c r="AC142" i="27"/>
  <c r="AC139" i="27"/>
  <c r="AC145" i="27"/>
  <c r="AC148" i="27"/>
  <c r="AC151" i="27"/>
  <c r="AC154" i="27"/>
  <c r="AC157" i="27"/>
  <c r="AC160" i="27"/>
  <c r="AC532" i="27"/>
  <c r="AC544" i="27"/>
  <c r="AC556" i="27"/>
  <c r="AC559" i="27"/>
  <c r="AC562" i="27"/>
  <c r="AC553" i="27"/>
  <c r="AC565" i="27"/>
  <c r="AC529" i="27"/>
  <c r="AC541" i="27"/>
  <c r="AC547" i="27"/>
  <c r="AC550" i="27"/>
  <c r="AC526" i="27"/>
  <c r="AC538" i="27"/>
  <c r="AC535" i="27"/>
  <c r="AC289" i="27"/>
  <c r="AC310" i="27"/>
  <c r="AC307" i="27"/>
  <c r="AC304" i="27"/>
  <c r="AC313" i="27"/>
  <c r="AC298" i="27"/>
  <c r="AC295" i="27"/>
  <c r="AC301" i="27"/>
  <c r="AC292" i="27"/>
  <c r="AC474" i="27"/>
  <c r="AC477" i="27"/>
  <c r="AC480" i="27"/>
  <c r="AC483" i="27"/>
  <c r="AC465" i="27"/>
  <c r="AC462" i="27"/>
  <c r="AC471" i="27"/>
  <c r="AC468" i="27"/>
  <c r="AC276" i="27"/>
  <c r="AC279" i="27"/>
  <c r="AC282" i="27"/>
  <c r="AC270" i="27"/>
  <c r="AC273" i="27"/>
  <c r="AC285" i="27"/>
  <c r="AC288" i="27"/>
  <c r="AC192" i="27"/>
  <c r="AC195" i="27"/>
  <c r="AC201" i="27"/>
  <c r="AC198" i="27"/>
  <c r="AC204" i="27"/>
  <c r="AC207" i="27"/>
  <c r="AC210" i="27"/>
  <c r="AC216" i="27"/>
  <c r="AC213" i="27"/>
  <c r="AC168" i="27"/>
  <c r="AC180" i="27"/>
  <c r="AC171" i="27"/>
  <c r="AC165" i="27"/>
  <c r="AC177" i="27"/>
  <c r="AC186" i="27"/>
  <c r="AC183" i="27"/>
  <c r="AC174" i="27"/>
  <c r="AC189" i="27"/>
  <c r="AC381" i="27"/>
  <c r="AC384" i="27"/>
  <c r="AC387" i="27"/>
  <c r="AC396" i="27"/>
  <c r="AC408" i="27"/>
  <c r="AC390" i="27"/>
  <c r="AC414" i="27"/>
  <c r="AC393" i="27"/>
  <c r="AC399" i="27"/>
  <c r="AC411" i="27"/>
  <c r="AC402" i="27"/>
  <c r="AC405" i="27"/>
  <c r="AC348" i="27"/>
  <c r="AC351" i="27"/>
  <c r="AC357" i="27"/>
  <c r="AC354" i="27"/>
  <c r="AC366" i="27"/>
  <c r="AC360" i="27"/>
  <c r="AC372" i="27"/>
  <c r="AC378" i="27"/>
  <c r="AC363" i="27"/>
  <c r="AC369" i="27"/>
  <c r="AC375" i="27"/>
  <c r="AC12" i="27"/>
  <c r="AC6" i="27"/>
  <c r="AC18" i="27"/>
  <c r="AC24" i="27"/>
  <c r="AC15" i="27"/>
  <c r="AC9" i="27"/>
  <c r="AC21" i="27"/>
  <c r="AC30" i="27"/>
  <c r="AC33" i="27"/>
  <c r="AC69" i="27"/>
  <c r="AC36" i="27"/>
  <c r="AC39" i="27"/>
  <c r="AC42" i="27"/>
  <c r="AC75" i="27"/>
  <c r="AC27" i="27"/>
  <c r="AC48" i="27"/>
  <c r="AC51" i="27"/>
  <c r="AC66" i="27"/>
  <c r="AC54" i="27"/>
  <c r="AC57" i="27"/>
  <c r="AC60" i="27"/>
  <c r="AC72" i="27"/>
  <c r="AC45" i="27"/>
  <c r="AC63" i="27"/>
  <c r="AC438" i="27"/>
  <c r="AC426" i="27"/>
  <c r="AC429" i="27"/>
  <c r="AC435" i="27"/>
  <c r="AC420" i="27"/>
  <c r="AC423" i="27"/>
  <c r="AC432" i="27"/>
  <c r="AC417" i="27"/>
  <c r="AC522" i="27"/>
  <c r="AC513" i="27"/>
  <c r="AC519" i="27"/>
  <c r="AC510" i="27"/>
  <c r="AC516" i="27"/>
  <c r="AC507" i="27"/>
  <c r="AC525" i="27"/>
  <c r="AC345" i="27"/>
  <c r="AC336" i="27"/>
  <c r="AC318" i="27"/>
  <c r="AC327" i="27"/>
  <c r="AC339" i="27"/>
  <c r="AC330" i="27"/>
  <c r="AC321" i="27"/>
  <c r="AC333" i="27"/>
  <c r="AC342" i="27"/>
  <c r="AC324" i="27"/>
  <c r="AC486" i="27"/>
  <c r="AC495" i="27"/>
  <c r="AC504" i="27"/>
  <c r="AC489" i="27"/>
  <c r="AC498" i="27"/>
  <c r="AC501" i="27"/>
  <c r="AC492" i="27"/>
  <c r="AC441" i="27"/>
  <c r="AC447" i="27"/>
  <c r="AC450" i="27"/>
  <c r="AC453" i="27"/>
  <c r="AC444" i="27"/>
  <c r="AC456" i="27"/>
  <c r="AC459" i="27"/>
  <c r="AC78" i="27"/>
  <c r="AC99" i="27"/>
  <c r="AC132" i="27"/>
  <c r="AC111" i="27"/>
  <c r="AC126" i="27"/>
  <c r="AC123" i="27"/>
  <c r="AC138" i="27"/>
  <c r="AC81" i="27"/>
  <c r="AC105" i="27"/>
  <c r="AC84" i="27"/>
  <c r="AC120" i="27"/>
  <c r="AC114" i="27"/>
  <c r="AC87" i="27"/>
  <c r="AC102" i="27"/>
  <c r="AC135" i="27"/>
  <c r="AC129" i="27"/>
  <c r="AC117" i="27"/>
  <c r="AC93" i="27"/>
  <c r="AC108" i="27"/>
  <c r="AC96" i="27"/>
  <c r="AC90" i="27"/>
  <c r="AC225" i="27"/>
  <c r="AC219" i="27"/>
  <c r="AC255" i="27"/>
  <c r="AC249" i="27"/>
  <c r="AC258" i="27"/>
  <c r="AC234" i="27"/>
  <c r="AC231" i="27"/>
  <c r="AC243" i="27"/>
  <c r="AC261" i="27"/>
  <c r="AC264" i="27"/>
  <c r="AC237" i="27"/>
  <c r="AC267" i="27"/>
  <c r="AC252" i="27"/>
  <c r="AC240" i="27"/>
  <c r="AC246" i="27"/>
  <c r="AC222" i="27"/>
  <c r="AC228" i="27"/>
  <c r="AC144" i="27"/>
  <c r="AC141" i="27"/>
  <c r="AC147" i="27"/>
  <c r="AC150" i="27"/>
  <c r="AC153" i="27"/>
  <c r="AC156" i="27"/>
  <c r="AC159" i="27"/>
  <c r="AC162" i="27"/>
  <c r="AC534" i="27"/>
  <c r="AC546" i="27"/>
  <c r="AC558" i="27"/>
  <c r="AC561" i="27"/>
  <c r="AC564" i="27"/>
  <c r="AC555" i="27"/>
  <c r="AC567" i="27"/>
  <c r="AC531" i="27"/>
  <c r="AC543" i="27"/>
  <c r="AC549" i="27"/>
  <c r="AC552" i="27"/>
  <c r="AC528" i="27"/>
  <c r="AC540" i="27"/>
  <c r="AC537" i="27"/>
  <c r="AC291" i="27"/>
  <c r="AC312" i="27"/>
  <c r="AC309" i="27"/>
  <c r="AC306" i="27"/>
  <c r="AC315" i="27"/>
  <c r="AC300" i="27"/>
  <c r="AC297" i="27"/>
  <c r="AC303" i="27"/>
  <c r="AC294" i="27"/>
  <c r="AD472" i="27"/>
  <c r="AD475" i="27"/>
  <c r="AD478" i="27"/>
  <c r="AD481" i="27"/>
  <c r="AD463" i="27"/>
  <c r="AD460" i="27"/>
  <c r="AD469" i="27"/>
  <c r="AD466" i="27"/>
  <c r="AD274" i="27"/>
  <c r="AD277" i="27"/>
  <c r="AD280" i="27"/>
  <c r="AD268" i="27"/>
  <c r="AD271" i="27"/>
  <c r="AD283" i="27"/>
  <c r="AD286" i="27"/>
  <c r="AD190" i="27"/>
  <c r="AD193" i="27"/>
  <c r="AD199" i="27"/>
  <c r="AD196" i="27"/>
  <c r="AD202" i="27"/>
  <c r="AD205" i="27"/>
  <c r="AD208" i="27"/>
  <c r="AD214" i="27"/>
  <c r="AD211" i="27"/>
  <c r="AD166" i="27"/>
  <c r="AD178" i="27"/>
  <c r="AD169" i="27"/>
  <c r="AD163" i="27"/>
  <c r="AD175" i="27"/>
  <c r="AD184" i="27"/>
  <c r="AD181" i="27"/>
  <c r="AD172" i="27"/>
  <c r="AD187" i="27"/>
  <c r="AD379" i="27"/>
  <c r="AD382" i="27"/>
  <c r="AD385" i="27"/>
  <c r="AD394" i="27"/>
  <c r="AD406" i="27"/>
  <c r="AD388" i="27"/>
  <c r="AD412" i="27"/>
  <c r="AD391" i="27"/>
  <c r="AD397" i="27"/>
  <c r="AD409" i="27"/>
  <c r="AD400" i="27"/>
  <c r="AD403" i="27"/>
  <c r="AD346" i="27"/>
  <c r="AD349" i="27"/>
  <c r="AD355" i="27"/>
  <c r="AD352" i="27"/>
  <c r="AD364" i="27"/>
  <c r="AD358" i="27"/>
  <c r="AD370" i="27"/>
  <c r="AD376" i="27"/>
  <c r="AD361" i="27"/>
  <c r="AD367" i="27"/>
  <c r="AD373" i="27"/>
  <c r="AD10" i="27"/>
  <c r="AD4" i="27"/>
  <c r="AD16" i="27"/>
  <c r="AD22" i="27"/>
  <c r="AD13" i="27"/>
  <c r="AD7" i="27"/>
  <c r="AD19" i="27"/>
  <c r="AD28" i="27"/>
  <c r="AD31" i="27"/>
  <c r="AD67" i="27"/>
  <c r="AD34" i="27"/>
  <c r="AD37" i="27"/>
  <c r="AD40" i="27"/>
  <c r="AD73" i="27"/>
  <c r="AD25" i="27"/>
  <c r="AD46" i="27"/>
  <c r="AD49" i="27"/>
  <c r="AD64" i="27"/>
  <c r="AD52" i="27"/>
  <c r="AD55" i="27"/>
  <c r="AD58" i="27"/>
  <c r="AD70" i="27"/>
  <c r="AD43" i="27"/>
  <c r="AD61" i="27"/>
  <c r="AD436" i="27"/>
  <c r="AD424" i="27"/>
  <c r="AD427" i="27"/>
  <c r="AD433" i="27"/>
  <c r="AD418" i="27"/>
  <c r="AD421" i="27"/>
  <c r="AD430" i="27"/>
  <c r="AD415" i="27"/>
  <c r="AD520" i="27"/>
  <c r="AD511" i="27"/>
  <c r="AD517" i="27"/>
  <c r="AD508" i="27"/>
  <c r="AD514" i="27"/>
  <c r="AD505" i="27"/>
  <c r="AD523" i="27"/>
  <c r="AD343" i="27"/>
  <c r="AD334" i="27"/>
  <c r="AD316" i="27"/>
  <c r="AD325" i="27"/>
  <c r="AD337" i="27"/>
  <c r="AD328" i="27"/>
  <c r="AD319" i="27"/>
  <c r="AD331" i="27"/>
  <c r="AD340" i="27"/>
  <c r="AD322" i="27"/>
  <c r="AD484" i="27"/>
  <c r="AD493" i="27"/>
  <c r="AD502" i="27"/>
  <c r="AD487" i="27"/>
  <c r="AD496" i="27"/>
  <c r="AD499" i="27"/>
  <c r="AD490" i="27"/>
  <c r="AD439" i="27"/>
  <c r="AD445" i="27"/>
  <c r="AD448" i="27"/>
  <c r="AD451" i="27"/>
  <c r="AD442" i="27"/>
  <c r="AD454" i="27"/>
  <c r="AD457" i="27"/>
  <c r="AD76" i="27"/>
  <c r="AD97" i="27"/>
  <c r="AD130" i="27"/>
  <c r="AD109" i="27"/>
  <c r="AD124" i="27"/>
  <c r="AD121" i="27"/>
  <c r="AD136" i="27"/>
  <c r="AD79" i="27"/>
  <c r="AD103" i="27"/>
  <c r="AD82" i="27"/>
  <c r="AD118" i="27"/>
  <c r="AD112" i="27"/>
  <c r="AD85" i="27"/>
  <c r="AD100" i="27"/>
  <c r="AD133" i="27"/>
  <c r="AD127" i="27"/>
  <c r="AD115" i="27"/>
  <c r="AD91" i="27"/>
  <c r="AD106" i="27"/>
  <c r="AD94" i="27"/>
  <c r="AD88" i="27"/>
  <c r="AD223" i="27"/>
  <c r="AD217" i="27"/>
  <c r="AD253" i="27"/>
  <c r="AD247" i="27"/>
  <c r="AD256" i="27"/>
  <c r="AD232" i="27"/>
  <c r="AD229" i="27"/>
  <c r="AD241" i="27"/>
  <c r="AD259" i="27"/>
  <c r="AD262" i="27"/>
  <c r="AD235" i="27"/>
  <c r="AD265" i="27"/>
  <c r="AD250" i="27"/>
  <c r="AD238" i="27"/>
  <c r="AD244" i="27"/>
  <c r="AD220" i="27"/>
  <c r="AD226" i="27"/>
  <c r="AD142" i="27"/>
  <c r="AD139" i="27"/>
  <c r="AD145" i="27"/>
  <c r="AD148" i="27"/>
  <c r="AD151" i="27"/>
  <c r="AD154" i="27"/>
  <c r="AD157" i="27"/>
  <c r="AD160" i="27"/>
  <c r="AD532" i="27"/>
  <c r="AD544" i="27"/>
  <c r="AD556" i="27"/>
  <c r="AD559" i="27"/>
  <c r="AD562" i="27"/>
  <c r="AD553" i="27"/>
  <c r="AD565" i="27"/>
  <c r="AD529" i="27"/>
  <c r="AD541" i="27"/>
  <c r="AD547" i="27"/>
  <c r="AD550" i="27"/>
  <c r="AD526" i="27"/>
  <c r="AD538" i="27"/>
  <c r="AD535" i="27"/>
  <c r="AD289" i="27"/>
  <c r="AD310" i="27"/>
  <c r="AD307" i="27"/>
  <c r="AD304" i="27"/>
  <c r="AD313" i="27"/>
  <c r="AD298" i="27"/>
  <c r="AD295" i="27"/>
  <c r="AD301" i="27"/>
  <c r="AD292" i="27"/>
  <c r="AD474" i="27"/>
  <c r="AD477" i="27"/>
  <c r="AD480" i="27"/>
  <c r="AD483" i="27"/>
  <c r="AD465" i="27"/>
  <c r="AD462" i="27"/>
  <c r="AD471" i="27"/>
  <c r="AD468" i="27"/>
  <c r="AD276" i="27"/>
  <c r="AD279" i="27"/>
  <c r="AD282" i="27"/>
  <c r="AD270" i="27"/>
  <c r="AD273" i="27"/>
  <c r="AD285" i="27"/>
  <c r="AD288" i="27"/>
  <c r="AD192" i="27"/>
  <c r="AD195" i="27"/>
  <c r="AD201" i="27"/>
  <c r="AD198" i="27"/>
  <c r="AD204" i="27"/>
  <c r="AD207" i="27"/>
  <c r="AD210" i="27"/>
  <c r="AD216" i="27"/>
  <c r="AD213" i="27"/>
  <c r="AD168" i="27"/>
  <c r="AD180" i="27"/>
  <c r="AD171" i="27"/>
  <c r="AD165" i="27"/>
  <c r="AD177" i="27"/>
  <c r="AD186" i="27"/>
  <c r="AD183" i="27"/>
  <c r="AD174" i="27"/>
  <c r="AD189" i="27"/>
  <c r="AD381" i="27"/>
  <c r="AD384" i="27"/>
  <c r="AD387" i="27"/>
  <c r="AD396" i="27"/>
  <c r="AD408" i="27"/>
  <c r="AD390" i="27"/>
  <c r="AD414" i="27"/>
  <c r="AD393" i="27"/>
  <c r="AD399" i="27"/>
  <c r="AD411" i="27"/>
  <c r="AD402" i="27"/>
  <c r="AD405" i="27"/>
  <c r="AD348" i="27"/>
  <c r="AD351" i="27"/>
  <c r="AD357" i="27"/>
  <c r="AD354" i="27"/>
  <c r="AD366" i="27"/>
  <c r="AD360" i="27"/>
  <c r="AD372" i="27"/>
  <c r="AD378" i="27"/>
  <c r="AD363" i="27"/>
  <c r="AD369" i="27"/>
  <c r="AD375" i="27"/>
  <c r="AD12" i="27"/>
  <c r="AD6" i="27"/>
  <c r="AD18" i="27"/>
  <c r="AD24" i="27"/>
  <c r="AD15" i="27"/>
  <c r="AD9" i="27"/>
  <c r="AD21" i="27"/>
  <c r="AD30" i="27"/>
  <c r="AD33" i="27"/>
  <c r="AD69" i="27"/>
  <c r="AD36" i="27"/>
  <c r="AD39" i="27"/>
  <c r="AD42" i="27"/>
  <c r="AD75" i="27"/>
  <c r="AD27" i="27"/>
  <c r="AD48" i="27"/>
  <c r="AD51" i="27"/>
  <c r="AD66" i="27"/>
  <c r="AD54" i="27"/>
  <c r="AD57" i="27"/>
  <c r="AD60" i="27"/>
  <c r="AD72" i="27"/>
  <c r="AD45" i="27"/>
  <c r="AD63" i="27"/>
  <c r="AD438" i="27"/>
  <c r="AD426" i="27"/>
  <c r="AD429" i="27"/>
  <c r="AD435" i="27"/>
  <c r="AD420" i="27"/>
  <c r="AD423" i="27"/>
  <c r="AD432" i="27"/>
  <c r="AD417" i="27"/>
  <c r="AD522" i="27"/>
  <c r="AD513" i="27"/>
  <c r="AD519" i="27"/>
  <c r="AD510" i="27"/>
  <c r="AD516" i="27"/>
  <c r="AD507" i="27"/>
  <c r="AD525" i="27"/>
  <c r="AD345" i="27"/>
  <c r="AD336" i="27"/>
  <c r="AD318" i="27"/>
  <c r="AD327" i="27"/>
  <c r="AD339" i="27"/>
  <c r="AD330" i="27"/>
  <c r="AD321" i="27"/>
  <c r="AD333" i="27"/>
  <c r="AD342" i="27"/>
  <c r="AD324" i="27"/>
  <c r="AD486" i="27"/>
  <c r="AD495" i="27"/>
  <c r="AD504" i="27"/>
  <c r="AD489" i="27"/>
  <c r="AD498" i="27"/>
  <c r="AD501" i="27"/>
  <c r="AD492" i="27"/>
  <c r="AD441" i="27"/>
  <c r="AD447" i="27"/>
  <c r="AD450" i="27"/>
  <c r="AD453" i="27"/>
  <c r="AD444" i="27"/>
  <c r="AD456" i="27"/>
  <c r="AD459" i="27"/>
  <c r="AD78" i="27"/>
  <c r="AD99" i="27"/>
  <c r="AD132" i="27"/>
  <c r="AD111" i="27"/>
  <c r="AD126" i="27"/>
  <c r="AD123" i="27"/>
  <c r="AD138" i="27"/>
  <c r="AD81" i="27"/>
  <c r="AD105" i="27"/>
  <c r="AD84" i="27"/>
  <c r="AD120" i="27"/>
  <c r="AD114" i="27"/>
  <c r="AD87" i="27"/>
  <c r="AD102" i="27"/>
  <c r="AD135" i="27"/>
  <c r="AD129" i="27"/>
  <c r="AD117" i="27"/>
  <c r="AD93" i="27"/>
  <c r="AD108" i="27"/>
  <c r="AD96" i="27"/>
  <c r="AD90" i="27"/>
  <c r="AD225" i="27"/>
  <c r="AD219" i="27"/>
  <c r="AD255" i="27"/>
  <c r="AD249" i="27"/>
  <c r="AD258" i="27"/>
  <c r="AD234" i="27"/>
  <c r="AD231" i="27"/>
  <c r="AD243" i="27"/>
  <c r="AD261" i="27"/>
  <c r="AD264" i="27"/>
  <c r="AD237" i="27"/>
  <c r="AD267" i="27"/>
  <c r="AD252" i="27"/>
  <c r="AD240" i="27"/>
  <c r="AD246" i="27"/>
  <c r="AD222" i="27"/>
  <c r="AD228" i="27"/>
  <c r="AD144" i="27"/>
  <c r="AD141" i="27"/>
  <c r="AD147" i="27"/>
  <c r="AD150" i="27"/>
  <c r="AD153" i="27"/>
  <c r="AD156" i="27"/>
  <c r="AD159" i="27"/>
  <c r="AD162" i="27"/>
  <c r="AD534" i="27"/>
  <c r="AD546" i="27"/>
  <c r="AD558" i="27"/>
  <c r="AD561" i="27"/>
  <c r="AD564" i="27"/>
  <c r="AD555" i="27"/>
  <c r="AD567" i="27"/>
  <c r="AD531" i="27"/>
  <c r="AD543" i="27"/>
  <c r="AD549" i="27"/>
  <c r="AD552" i="27"/>
  <c r="AD528" i="27"/>
  <c r="AD540" i="27"/>
  <c r="AD537" i="27"/>
  <c r="AD291" i="27"/>
  <c r="AD312" i="27"/>
  <c r="AD309" i="27"/>
  <c r="AD306" i="27"/>
  <c r="AD315" i="27"/>
  <c r="AD300" i="27"/>
  <c r="AD297" i="27"/>
  <c r="AD303" i="27"/>
  <c r="AD294" i="27"/>
  <c r="AE472" i="27"/>
  <c r="AE475" i="27"/>
  <c r="AE478" i="27"/>
  <c r="AE481" i="27"/>
  <c r="AE463" i="27"/>
  <c r="AE460" i="27"/>
  <c r="AE469" i="27"/>
  <c r="AE466" i="27"/>
  <c r="AE274" i="27"/>
  <c r="AE277" i="27"/>
  <c r="AE280" i="27"/>
  <c r="AE268" i="27"/>
  <c r="AE271" i="27"/>
  <c r="AE283" i="27"/>
  <c r="AE286" i="27"/>
  <c r="AE190" i="27"/>
  <c r="AE193" i="27"/>
  <c r="AE199" i="27"/>
  <c r="AE196" i="27"/>
  <c r="AE202" i="27"/>
  <c r="AE205" i="27"/>
  <c r="AE208" i="27"/>
  <c r="AE214" i="27"/>
  <c r="AE211" i="27"/>
  <c r="AE166" i="27"/>
  <c r="AE178" i="27"/>
  <c r="AE169" i="27"/>
  <c r="AE163" i="27"/>
  <c r="AE175" i="27"/>
  <c r="AE184" i="27"/>
  <c r="AE181" i="27"/>
  <c r="AE172" i="27"/>
  <c r="AE187" i="27"/>
  <c r="AE379" i="27"/>
  <c r="AE382" i="27"/>
  <c r="AE385" i="27"/>
  <c r="AE394" i="27"/>
  <c r="AE406" i="27"/>
  <c r="AE388" i="27"/>
  <c r="AE412" i="27"/>
  <c r="AE391" i="27"/>
  <c r="AE397" i="27"/>
  <c r="AE409" i="27"/>
  <c r="AE400" i="27"/>
  <c r="AE403" i="27"/>
  <c r="AE346" i="27"/>
  <c r="AE349" i="27"/>
  <c r="AE355" i="27"/>
  <c r="AE352" i="27"/>
  <c r="AE364" i="27"/>
  <c r="AE358" i="27"/>
  <c r="AE370" i="27"/>
  <c r="AE376" i="27"/>
  <c r="AE361" i="27"/>
  <c r="AE367" i="27"/>
  <c r="AE373" i="27"/>
  <c r="AE10" i="27"/>
  <c r="AE4" i="27"/>
  <c r="AE16" i="27"/>
  <c r="AE22" i="27"/>
  <c r="AE13" i="27"/>
  <c r="AE7" i="27"/>
  <c r="AE19" i="27"/>
  <c r="AE28" i="27"/>
  <c r="AE31" i="27"/>
  <c r="AE67" i="27"/>
  <c r="AE34" i="27"/>
  <c r="AE37" i="27"/>
  <c r="AE40" i="27"/>
  <c r="AE73" i="27"/>
  <c r="AE25" i="27"/>
  <c r="AE46" i="27"/>
  <c r="AE49" i="27"/>
  <c r="AE64" i="27"/>
  <c r="AE52" i="27"/>
  <c r="AE55" i="27"/>
  <c r="AE58" i="27"/>
  <c r="AE70" i="27"/>
  <c r="AE43" i="27"/>
  <c r="AE61" i="27"/>
  <c r="AE436" i="27"/>
  <c r="AE424" i="27"/>
  <c r="AE427" i="27"/>
  <c r="AE433" i="27"/>
  <c r="AE418" i="27"/>
  <c r="AE421" i="27"/>
  <c r="AE430" i="27"/>
  <c r="AE415" i="27"/>
  <c r="AE520" i="27"/>
  <c r="AE511" i="27"/>
  <c r="AE517" i="27"/>
  <c r="AE508" i="27"/>
  <c r="AE514" i="27"/>
  <c r="AE505" i="27"/>
  <c r="AE523" i="27"/>
  <c r="AE343" i="27"/>
  <c r="AE334" i="27"/>
  <c r="AE316" i="27"/>
  <c r="AE325" i="27"/>
  <c r="AE337" i="27"/>
  <c r="AE328" i="27"/>
  <c r="AE319" i="27"/>
  <c r="AE331" i="27"/>
  <c r="AE340" i="27"/>
  <c r="AE322" i="27"/>
  <c r="AE484" i="27"/>
  <c r="AE493" i="27"/>
  <c r="AE502" i="27"/>
  <c r="AE487" i="27"/>
  <c r="AE496" i="27"/>
  <c r="AE499" i="27"/>
  <c r="AE490" i="27"/>
  <c r="AE439" i="27"/>
  <c r="AE445" i="27"/>
  <c r="AE448" i="27"/>
  <c r="AE451" i="27"/>
  <c r="AE442" i="27"/>
  <c r="AE454" i="27"/>
  <c r="AE457" i="27"/>
  <c r="AE76" i="27"/>
  <c r="AE97" i="27"/>
  <c r="AE130" i="27"/>
  <c r="AE109" i="27"/>
  <c r="AE124" i="27"/>
  <c r="AE121" i="27"/>
  <c r="AE136" i="27"/>
  <c r="AE79" i="27"/>
  <c r="AE103" i="27"/>
  <c r="AE82" i="27"/>
  <c r="AE118" i="27"/>
  <c r="AE112" i="27"/>
  <c r="AE85" i="27"/>
  <c r="AE100" i="27"/>
  <c r="AE133" i="27"/>
  <c r="AE127" i="27"/>
  <c r="AE115" i="27"/>
  <c r="AE91" i="27"/>
  <c r="AE106" i="27"/>
  <c r="AE94" i="27"/>
  <c r="AE88" i="27"/>
  <c r="AE223" i="27"/>
  <c r="AE217" i="27"/>
  <c r="AE253" i="27"/>
  <c r="AE247" i="27"/>
  <c r="AE256" i="27"/>
  <c r="AE232" i="27"/>
  <c r="AE229" i="27"/>
  <c r="AE241" i="27"/>
  <c r="AE259" i="27"/>
  <c r="AE262" i="27"/>
  <c r="AE235" i="27"/>
  <c r="AE265" i="27"/>
  <c r="AE250" i="27"/>
  <c r="AE238" i="27"/>
  <c r="AE244" i="27"/>
  <c r="AE220" i="27"/>
  <c r="AE226" i="27"/>
  <c r="AE142" i="27"/>
  <c r="AE139" i="27"/>
  <c r="AE145" i="27"/>
  <c r="AE148" i="27"/>
  <c r="AE151" i="27"/>
  <c r="AE154" i="27"/>
  <c r="AE157" i="27"/>
  <c r="AE160" i="27"/>
  <c r="AE532" i="27"/>
  <c r="AE544" i="27"/>
  <c r="AE556" i="27"/>
  <c r="AE559" i="27"/>
  <c r="AE562" i="27"/>
  <c r="AE553" i="27"/>
  <c r="AE565" i="27"/>
  <c r="AE529" i="27"/>
  <c r="AE541" i="27"/>
  <c r="AE547" i="27"/>
  <c r="AE550" i="27"/>
  <c r="AE526" i="27"/>
  <c r="AE538" i="27"/>
  <c r="AE535" i="27"/>
  <c r="AE289" i="27"/>
  <c r="AE310" i="27"/>
  <c r="AE307" i="27"/>
  <c r="AE304" i="27"/>
  <c r="AE313" i="27"/>
  <c r="AE298" i="27"/>
  <c r="AE295" i="27"/>
  <c r="AE301" i="27"/>
  <c r="AE292" i="27"/>
  <c r="AE474" i="27"/>
  <c r="AE477" i="27"/>
  <c r="AE480" i="27"/>
  <c r="AE483" i="27"/>
  <c r="AE465" i="27"/>
  <c r="AE462" i="27"/>
  <c r="AE471" i="27"/>
  <c r="AE468" i="27"/>
  <c r="AE276" i="27"/>
  <c r="AE279" i="27"/>
  <c r="AE282" i="27"/>
  <c r="AE270" i="27"/>
  <c r="AE273" i="27"/>
  <c r="AE285" i="27"/>
  <c r="AE288" i="27"/>
  <c r="AE192" i="27"/>
  <c r="AE195" i="27"/>
  <c r="AE201" i="27"/>
  <c r="AE198" i="27"/>
  <c r="AE204" i="27"/>
  <c r="AE207" i="27"/>
  <c r="AE210" i="27"/>
  <c r="AE216" i="27"/>
  <c r="AE213" i="27"/>
  <c r="AE168" i="27"/>
  <c r="AE180" i="27"/>
  <c r="AE171" i="27"/>
  <c r="AE165" i="27"/>
  <c r="AE177" i="27"/>
  <c r="AE186" i="27"/>
  <c r="AE183" i="27"/>
  <c r="AE174" i="27"/>
  <c r="AE189" i="27"/>
  <c r="AE381" i="27"/>
  <c r="AE384" i="27"/>
  <c r="AE387" i="27"/>
  <c r="AE396" i="27"/>
  <c r="AE408" i="27"/>
  <c r="AE390" i="27"/>
  <c r="AE414" i="27"/>
  <c r="AE393" i="27"/>
  <c r="AE399" i="27"/>
  <c r="AE411" i="27"/>
  <c r="AE402" i="27"/>
  <c r="AE405" i="27"/>
  <c r="AE348" i="27"/>
  <c r="AE351" i="27"/>
  <c r="AE357" i="27"/>
  <c r="AE354" i="27"/>
  <c r="AE366" i="27"/>
  <c r="AE360" i="27"/>
  <c r="AE372" i="27"/>
  <c r="AE378" i="27"/>
  <c r="AE363" i="27"/>
  <c r="AE369" i="27"/>
  <c r="AE375" i="27"/>
  <c r="AE12" i="27"/>
  <c r="AE6" i="27"/>
  <c r="AE18" i="27"/>
  <c r="AE24" i="27"/>
  <c r="AE15" i="27"/>
  <c r="AE9" i="27"/>
  <c r="AE21" i="27"/>
  <c r="AE30" i="27"/>
  <c r="AE33" i="27"/>
  <c r="AE69" i="27"/>
  <c r="AE36" i="27"/>
  <c r="AE39" i="27"/>
  <c r="AE42" i="27"/>
  <c r="AE75" i="27"/>
  <c r="AE27" i="27"/>
  <c r="AE48" i="27"/>
  <c r="AE51" i="27"/>
  <c r="AE66" i="27"/>
  <c r="AE54" i="27"/>
  <c r="AE57" i="27"/>
  <c r="AE60" i="27"/>
  <c r="AE72" i="27"/>
  <c r="AE45" i="27"/>
  <c r="AE63" i="27"/>
  <c r="AE438" i="27"/>
  <c r="AE426" i="27"/>
  <c r="AE429" i="27"/>
  <c r="AE435" i="27"/>
  <c r="AE420" i="27"/>
  <c r="AE423" i="27"/>
  <c r="AE432" i="27"/>
  <c r="AE417" i="27"/>
  <c r="AE522" i="27"/>
  <c r="AE513" i="27"/>
  <c r="AE519" i="27"/>
  <c r="AE510" i="27"/>
  <c r="AE516" i="27"/>
  <c r="AE507" i="27"/>
  <c r="AE525" i="27"/>
  <c r="AE345" i="27"/>
  <c r="AE336" i="27"/>
  <c r="AE318" i="27"/>
  <c r="AE327" i="27"/>
  <c r="AE339" i="27"/>
  <c r="AE330" i="27"/>
  <c r="AE321" i="27"/>
  <c r="AE333" i="27"/>
  <c r="AE342" i="27"/>
  <c r="AE324" i="27"/>
  <c r="AE486" i="27"/>
  <c r="AE495" i="27"/>
  <c r="AE504" i="27"/>
  <c r="AE489" i="27"/>
  <c r="AE498" i="27"/>
  <c r="AE501" i="27"/>
  <c r="AE492" i="27"/>
  <c r="AE441" i="27"/>
  <c r="AE447" i="27"/>
  <c r="AE450" i="27"/>
  <c r="AE453" i="27"/>
  <c r="AE444" i="27"/>
  <c r="AE456" i="27"/>
  <c r="AE459" i="27"/>
  <c r="AE78" i="27"/>
  <c r="AE99" i="27"/>
  <c r="AE132" i="27"/>
  <c r="AE111" i="27"/>
  <c r="AE126" i="27"/>
  <c r="AE123" i="27"/>
  <c r="AE138" i="27"/>
  <c r="AE81" i="27"/>
  <c r="AE105" i="27"/>
  <c r="AE84" i="27"/>
  <c r="AE120" i="27"/>
  <c r="AE114" i="27"/>
  <c r="AE87" i="27"/>
  <c r="AE102" i="27"/>
  <c r="AE135" i="27"/>
  <c r="AE129" i="27"/>
  <c r="AE117" i="27"/>
  <c r="AE93" i="27"/>
  <c r="AE108" i="27"/>
  <c r="AE96" i="27"/>
  <c r="AE90" i="27"/>
  <c r="AE225" i="27"/>
  <c r="AE219" i="27"/>
  <c r="AE255" i="27"/>
  <c r="AE249" i="27"/>
  <c r="AE258" i="27"/>
  <c r="AE234" i="27"/>
  <c r="AE231" i="27"/>
  <c r="AE243" i="27"/>
  <c r="AE261" i="27"/>
  <c r="AE264" i="27"/>
  <c r="AE237" i="27"/>
  <c r="AE267" i="27"/>
  <c r="AE252" i="27"/>
  <c r="AE240" i="27"/>
  <c r="AE246" i="27"/>
  <c r="AE222" i="27"/>
  <c r="AE228" i="27"/>
  <c r="AE144" i="27"/>
  <c r="AE141" i="27"/>
  <c r="AE147" i="27"/>
  <c r="AE150" i="27"/>
  <c r="AE153" i="27"/>
  <c r="AE156" i="27"/>
  <c r="AE159" i="27"/>
  <c r="AE162" i="27"/>
  <c r="AE534" i="27"/>
  <c r="AE546" i="27"/>
  <c r="AE558" i="27"/>
  <c r="AE561" i="27"/>
  <c r="AE564" i="27"/>
  <c r="AE555" i="27"/>
  <c r="AE567" i="27"/>
  <c r="AE531" i="27"/>
  <c r="AE543" i="27"/>
  <c r="AE549" i="27"/>
  <c r="AE552" i="27"/>
  <c r="AE528" i="27"/>
  <c r="AE540" i="27"/>
  <c r="AE537" i="27"/>
  <c r="AE291" i="27"/>
  <c r="AE312" i="27"/>
  <c r="AE309" i="27"/>
  <c r="AE306" i="27"/>
  <c r="AE315" i="27"/>
  <c r="AE300" i="27"/>
  <c r="AE297" i="27"/>
  <c r="AE303" i="27"/>
  <c r="AE294" i="27"/>
  <c r="W13" i="27" l="1"/>
  <c r="W175" i="27"/>
  <c r="W187" i="27"/>
  <c r="W124" i="27"/>
  <c r="W508" i="27"/>
  <c r="W241" i="27"/>
  <c r="W451" i="27"/>
  <c r="W10" i="27"/>
  <c r="W352" i="27"/>
  <c r="W391" i="27"/>
  <c r="W271" i="27"/>
  <c r="W115" i="27"/>
  <c r="W433" i="27"/>
  <c r="W166" i="27"/>
  <c r="W193" i="27"/>
  <c r="W274" i="27"/>
  <c r="W205" i="27"/>
  <c r="W49" i="27"/>
  <c r="W340" i="27"/>
  <c r="W403" i="27"/>
  <c r="W463" i="27"/>
  <c r="W160" i="27"/>
  <c r="W373" i="27"/>
  <c r="W63" i="27"/>
  <c r="W492" i="27"/>
  <c r="W286" i="27"/>
  <c r="W196" i="27"/>
  <c r="W280" i="27"/>
  <c r="W322" i="27"/>
  <c r="W556" i="27"/>
  <c r="W472" i="27"/>
  <c r="W406" i="27"/>
  <c r="W85" i="27"/>
  <c r="W415" i="27"/>
  <c r="W9" i="27"/>
  <c r="W186" i="27"/>
  <c r="W247" i="27"/>
  <c r="W112" i="27"/>
  <c r="W337" i="27"/>
  <c r="W301" i="27"/>
  <c r="W541" i="27"/>
  <c r="W490" i="27"/>
  <c r="W325" i="27"/>
  <c r="W40" i="27"/>
  <c r="W330" i="27"/>
  <c r="W351" i="27"/>
  <c r="W384" i="27"/>
  <c r="W288" i="27"/>
  <c r="W480" i="27"/>
  <c r="W217" i="27"/>
  <c r="W171" i="27"/>
  <c r="W145" i="27"/>
  <c r="W109" i="27"/>
  <c r="W6" i="27"/>
  <c r="W313" i="27"/>
  <c r="W88" i="27"/>
  <c r="W103" i="27"/>
  <c r="W130" i="27"/>
  <c r="W43" i="27"/>
  <c r="W358" i="27"/>
  <c r="W75" i="27"/>
  <c r="W390" i="27"/>
  <c r="W471" i="27"/>
  <c r="W304" i="27"/>
  <c r="W133" i="27"/>
  <c r="W343" i="27"/>
  <c r="W511" i="27"/>
  <c r="W22" i="27"/>
  <c r="W408" i="27"/>
  <c r="W462" i="27"/>
  <c r="W157" i="27"/>
  <c r="W235" i="27"/>
  <c r="W76" i="27"/>
  <c r="W58" i="27"/>
  <c r="W310" i="27"/>
  <c r="W52" i="27"/>
  <c r="W213" i="27"/>
  <c r="W67" i="27"/>
  <c r="W192" i="27"/>
  <c r="W544" i="27"/>
  <c r="W418" i="27"/>
  <c r="W19" i="27"/>
  <c r="W181" i="27"/>
  <c r="W361" i="27"/>
  <c r="W283" i="27"/>
  <c r="W345" i="27"/>
  <c r="W516" i="27"/>
  <c r="W346" i="27"/>
  <c r="W466" i="27"/>
  <c r="W208" i="27"/>
  <c r="W484" i="27"/>
  <c r="W409" i="27"/>
  <c r="W202" i="27"/>
  <c r="W139" i="27"/>
  <c r="W379" i="27"/>
  <c r="W529" i="27"/>
  <c r="W367" i="27"/>
  <c r="W432" i="27"/>
  <c r="W136" i="27"/>
  <c r="W454" i="27"/>
  <c r="W412" i="27"/>
  <c r="W475" i="27"/>
  <c r="W375" i="27"/>
  <c r="W357" i="27"/>
  <c r="W223" i="27"/>
  <c r="W442" i="27"/>
  <c r="W487" i="27"/>
  <c r="W468" i="27"/>
  <c r="W16" i="27"/>
  <c r="W169" i="27"/>
  <c r="W180" i="27"/>
  <c r="W424" i="27"/>
  <c r="W493" i="27"/>
  <c r="W349" i="27"/>
  <c r="W522" i="27"/>
  <c r="W250" i="27"/>
  <c r="W439" i="27"/>
  <c r="W364" i="27"/>
  <c r="W517" i="27"/>
  <c r="W481" i="27"/>
  <c r="W334" i="27"/>
  <c r="W397" i="27"/>
  <c r="W478" i="27"/>
  <c r="W505" i="27"/>
  <c r="W552" i="27"/>
  <c r="W520" i="27"/>
  <c r="W31" i="27"/>
  <c r="W394" i="27"/>
  <c r="W117" i="27"/>
  <c r="W265" i="27"/>
  <c r="W70" i="27"/>
  <c r="W34" i="27"/>
  <c r="W376" i="27"/>
  <c r="W178" i="27"/>
  <c r="W306" i="27"/>
  <c r="W459" i="27"/>
  <c r="W237" i="27"/>
  <c r="W549" i="27"/>
  <c r="W153" i="27"/>
  <c r="W255" i="27"/>
  <c r="W120" i="27"/>
  <c r="W513" i="27"/>
  <c r="W154" i="27"/>
  <c r="W219" i="27"/>
  <c r="W498" i="27"/>
  <c r="W132" i="27"/>
  <c r="W318" i="27"/>
  <c r="W36" i="27"/>
  <c r="W229" i="27"/>
  <c r="W300" i="27"/>
  <c r="W534" i="27"/>
  <c r="W252" i="27"/>
  <c r="W99" i="27"/>
  <c r="W321" i="27"/>
  <c r="W27" i="27"/>
  <c r="W162" i="27"/>
  <c r="W102" i="27"/>
  <c r="W45" i="27"/>
  <c r="W430" i="27"/>
  <c r="W291" i="27"/>
  <c r="W46" i="27"/>
  <c r="W211" i="27"/>
  <c r="W105" i="27"/>
  <c r="W33" i="27"/>
  <c r="W189" i="27"/>
  <c r="W79" i="27"/>
  <c r="W523" i="27"/>
  <c r="W172" i="27"/>
  <c r="W243" i="27"/>
  <c r="W141" i="27"/>
  <c r="W231" i="27"/>
  <c r="W129" i="27"/>
  <c r="W444" i="27"/>
  <c r="W477" i="27"/>
  <c r="W127" i="27"/>
  <c r="W303" i="27"/>
  <c r="W309" i="27"/>
  <c r="W234" i="27"/>
  <c r="W225" i="27"/>
  <c r="W135" i="27"/>
  <c r="W84" i="27"/>
  <c r="W333" i="27"/>
  <c r="W30" i="27"/>
  <c r="W372" i="27"/>
  <c r="W414" i="27"/>
  <c r="W289" i="27"/>
  <c r="W232" i="27"/>
  <c r="W312" i="27"/>
  <c r="W561" i="27"/>
  <c r="W450" i="27"/>
  <c r="W489" i="27"/>
  <c r="W519" i="27"/>
  <c r="W423" i="27"/>
  <c r="W54" i="27"/>
  <c r="W360" i="27"/>
  <c r="W348" i="27"/>
  <c r="W165" i="27"/>
  <c r="W216" i="27"/>
  <c r="W282" i="27"/>
  <c r="W535" i="27"/>
  <c r="W81" i="27"/>
  <c r="W447" i="27"/>
  <c r="W336" i="27"/>
  <c r="W420" i="27"/>
  <c r="W66" i="27"/>
  <c r="W381" i="27"/>
  <c r="W210" i="27"/>
  <c r="W279" i="27"/>
  <c r="W537" i="27"/>
  <c r="W546" i="27"/>
  <c r="W540" i="27"/>
  <c r="W531" i="27"/>
  <c r="W246" i="27"/>
  <c r="W264" i="27"/>
  <c r="W108" i="27"/>
  <c r="W123" i="27"/>
  <c r="W525" i="27"/>
  <c r="W429" i="27"/>
  <c r="W48" i="27"/>
  <c r="W174" i="27"/>
  <c r="W204" i="27"/>
  <c r="W553" i="27"/>
  <c r="W532" i="27"/>
  <c r="W259" i="27"/>
  <c r="W150" i="27"/>
  <c r="W261" i="27"/>
  <c r="W93" i="27"/>
  <c r="W486" i="27"/>
  <c r="W426" i="27"/>
  <c r="W72" i="27"/>
  <c r="W24" i="27"/>
  <c r="W369" i="27"/>
  <c r="W411" i="27"/>
  <c r="W198" i="27"/>
  <c r="W285" i="27"/>
  <c r="W550" i="27"/>
  <c r="W111" i="27"/>
  <c r="W456" i="27"/>
  <c r="W501" i="27"/>
  <c r="W324" i="27"/>
  <c r="W69" i="27"/>
  <c r="W363" i="27"/>
  <c r="W399" i="27"/>
  <c r="W342" i="27"/>
  <c r="W18" i="27"/>
  <c r="W457" i="27"/>
  <c r="W436" i="27"/>
  <c r="W214" i="27"/>
  <c r="W156" i="27"/>
  <c r="W51" i="27"/>
  <c r="W393" i="27"/>
  <c r="W244" i="27"/>
  <c r="W256" i="27"/>
  <c r="W276" i="27"/>
  <c r="W94" i="27"/>
  <c r="W445" i="27"/>
  <c r="W28" i="27"/>
  <c r="W421" i="27"/>
  <c r="W327" i="27"/>
  <c r="W39" i="27"/>
  <c r="W387" i="27"/>
  <c r="W240" i="27"/>
  <c r="W558" i="27"/>
  <c r="W504" i="27"/>
  <c r="W405" i="27"/>
  <c r="W562" i="27"/>
  <c r="W118" i="27"/>
  <c r="W315" i="27"/>
  <c r="W514" i="27"/>
  <c r="W469" i="27"/>
  <c r="W222" i="27"/>
  <c r="W499" i="27"/>
  <c r="W7" i="27"/>
  <c r="W78" i="27"/>
  <c r="W510" i="27"/>
  <c r="W435" i="27"/>
  <c r="W12" i="27"/>
  <c r="W177" i="27"/>
  <c r="W207" i="27"/>
  <c r="W307" i="27"/>
  <c r="W238" i="27"/>
  <c r="W61" i="27"/>
  <c r="W184" i="27"/>
  <c r="W90" i="27"/>
  <c r="W60" i="27"/>
  <c r="W273" i="27"/>
  <c r="W355" i="27"/>
  <c r="W294" i="27"/>
  <c r="W106" i="27"/>
  <c r="W319" i="27"/>
  <c r="W267" i="27"/>
  <c r="W25" i="27"/>
  <c r="W567" i="27"/>
  <c r="W126" i="27"/>
  <c r="W453" i="27"/>
  <c r="W417" i="27"/>
  <c r="W15" i="27"/>
  <c r="W378" i="27"/>
  <c r="W168" i="27"/>
  <c r="W295" i="27"/>
  <c r="W538" i="27"/>
  <c r="W262" i="27"/>
  <c r="W121" i="27"/>
  <c r="W388" i="27"/>
  <c r="W496" i="27"/>
  <c r="W528" i="27"/>
  <c r="W316" i="27"/>
  <c r="W448" i="27"/>
  <c r="W382" i="27"/>
  <c r="W138" i="27"/>
  <c r="W507" i="27"/>
  <c r="W21" i="27"/>
  <c r="W183" i="27"/>
  <c r="W292" i="27"/>
  <c r="W220" i="27"/>
  <c r="W564" i="27"/>
  <c r="W144" i="27"/>
  <c r="W543" i="27"/>
  <c r="W297" i="27"/>
  <c r="A199" i="92"/>
  <c r="A200" i="92"/>
  <c r="A201" i="92"/>
  <c r="A202" i="92"/>
  <c r="A203" i="92"/>
  <c r="A204" i="92"/>
  <c r="A205" i="92"/>
  <c r="A206" i="92"/>
  <c r="A207" i="92"/>
  <c r="A208" i="92"/>
  <c r="A209" i="92"/>
  <c r="A210" i="92"/>
  <c r="A211" i="92"/>
  <c r="A212" i="92"/>
  <c r="A213" i="92"/>
  <c r="A214" i="92"/>
  <c r="A215" i="92"/>
  <c r="A216" i="92"/>
  <c r="A217" i="92"/>
  <c r="A218" i="92"/>
  <c r="A219" i="92"/>
  <c r="A220" i="92"/>
  <c r="A221" i="92"/>
  <c r="A222" i="92"/>
  <c r="A223" i="92"/>
  <c r="A224" i="92"/>
  <c r="A225" i="92"/>
  <c r="A226" i="92"/>
  <c r="A227" i="92"/>
  <c r="A228" i="92"/>
  <c r="A229" i="92"/>
  <c r="A230" i="92"/>
  <c r="A231" i="92"/>
  <c r="A232" i="92"/>
  <c r="A233" i="92"/>
  <c r="A234" i="92"/>
  <c r="A235" i="92"/>
  <c r="A236" i="92"/>
  <c r="A237" i="92"/>
  <c r="A238" i="92"/>
  <c r="A239" i="92"/>
  <c r="A240" i="92"/>
  <c r="A241" i="92"/>
  <c r="A242" i="92"/>
  <c r="A243" i="92"/>
  <c r="A244" i="92"/>
  <c r="A245" i="92"/>
  <c r="A246" i="92"/>
  <c r="A247" i="92"/>
  <c r="A248" i="92"/>
  <c r="A249" i="92"/>
  <c r="A250" i="92"/>
  <c r="A251" i="92"/>
  <c r="A252" i="92"/>
  <c r="A253" i="92"/>
  <c r="A254" i="92"/>
  <c r="A255" i="92"/>
  <c r="A256" i="92"/>
  <c r="A257" i="92"/>
  <c r="A258" i="92"/>
  <c r="A259" i="92"/>
  <c r="A260" i="92"/>
  <c r="A261" i="92"/>
  <c r="A262" i="92"/>
  <c r="A263" i="92"/>
  <c r="A264" i="92"/>
  <c r="A265" i="92"/>
  <c r="A266" i="92"/>
  <c r="A267" i="92"/>
  <c r="A268" i="92"/>
  <c r="A269" i="92"/>
  <c r="A270" i="92"/>
  <c r="A271" i="92"/>
  <c r="A272" i="92"/>
  <c r="A273" i="92"/>
  <c r="A274" i="92"/>
  <c r="A275" i="92"/>
  <c r="A276" i="92"/>
  <c r="A277" i="92"/>
  <c r="A278" i="92"/>
  <c r="A279" i="92"/>
  <c r="A280" i="92"/>
  <c r="A281" i="92"/>
  <c r="A282" i="92"/>
  <c r="A283" i="92"/>
  <c r="A284" i="92"/>
  <c r="A285" i="92"/>
  <c r="A286" i="92"/>
  <c r="A287" i="92"/>
  <c r="A288" i="92"/>
  <c r="A289" i="92"/>
  <c r="A290" i="92"/>
  <c r="A291" i="92"/>
  <c r="A292" i="92"/>
  <c r="A293" i="92"/>
  <c r="A294" i="92"/>
  <c r="A295" i="92"/>
  <c r="A296" i="92"/>
  <c r="A297" i="92"/>
  <c r="A298" i="92"/>
  <c r="A299" i="92"/>
  <c r="A300" i="92"/>
  <c r="A301" i="92"/>
  <c r="A302" i="92"/>
  <c r="A303" i="92"/>
  <c r="A304" i="92"/>
  <c r="A305" i="92"/>
  <c r="A306" i="92"/>
  <c r="A307" i="92"/>
  <c r="A308" i="92"/>
  <c r="A309" i="92"/>
  <c r="A310" i="92"/>
  <c r="A311" i="92"/>
  <c r="A312" i="92"/>
  <c r="A313" i="92"/>
  <c r="A314" i="92"/>
  <c r="A315" i="92"/>
  <c r="A316" i="92"/>
  <c r="A317" i="92"/>
  <c r="A318" i="92"/>
  <c r="A319" i="92"/>
  <c r="A320" i="92"/>
  <c r="A321" i="92"/>
  <c r="A322" i="92"/>
  <c r="A323" i="92"/>
  <c r="A324" i="92"/>
  <c r="A325" i="92"/>
  <c r="A326" i="92"/>
  <c r="A327" i="92"/>
  <c r="A328" i="92"/>
  <c r="A329" i="92"/>
  <c r="A330" i="92"/>
  <c r="A331" i="92"/>
  <c r="A332" i="92"/>
  <c r="A333" i="92"/>
  <c r="A334" i="92"/>
  <c r="A335" i="92"/>
  <c r="A336" i="92"/>
  <c r="A337" i="92"/>
  <c r="A338" i="92"/>
  <c r="A339" i="92"/>
  <c r="A340" i="92"/>
  <c r="A341" i="92"/>
  <c r="A342" i="92"/>
  <c r="A343" i="92"/>
  <c r="A344" i="92"/>
  <c r="A345" i="92"/>
  <c r="A346" i="92"/>
  <c r="A347" i="92"/>
  <c r="A348" i="92"/>
  <c r="A349" i="92"/>
  <c r="A350" i="92"/>
  <c r="A351" i="92"/>
  <c r="A352" i="92"/>
  <c r="A353" i="92"/>
  <c r="A354" i="92"/>
  <c r="A355" i="92"/>
  <c r="A356" i="92"/>
  <c r="A357" i="92"/>
  <c r="A358" i="92"/>
  <c r="A359" i="92"/>
  <c r="A360" i="92"/>
  <c r="A361" i="92"/>
  <c r="A362" i="92"/>
  <c r="A363" i="92"/>
  <c r="A364" i="92"/>
  <c r="A365" i="92"/>
  <c r="A366" i="92"/>
  <c r="A367" i="92"/>
  <c r="A368" i="92"/>
  <c r="A369" i="92"/>
  <c r="A370" i="92"/>
  <c r="A371" i="92"/>
  <c r="A372" i="92"/>
  <c r="A373" i="92"/>
  <c r="A374" i="92"/>
  <c r="A375" i="92"/>
  <c r="A376" i="92"/>
  <c r="A377" i="92"/>
  <c r="A378" i="92"/>
  <c r="A379" i="92"/>
  <c r="A380" i="92"/>
  <c r="A381" i="92"/>
  <c r="A7" i="92"/>
  <c r="A8" i="92"/>
  <c r="A9" i="92"/>
  <c r="A10" i="92"/>
  <c r="A11" i="92"/>
  <c r="A12" i="92"/>
  <c r="A13" i="92"/>
  <c r="A14" i="92"/>
  <c r="A15" i="92"/>
  <c r="A16" i="92"/>
  <c r="A17" i="92"/>
  <c r="A18" i="92"/>
  <c r="A19" i="92"/>
  <c r="A20" i="92"/>
  <c r="A21" i="92"/>
  <c r="A22" i="92"/>
  <c r="A23" i="92"/>
  <c r="A24" i="92"/>
  <c r="A25" i="92"/>
  <c r="A26" i="92"/>
  <c r="A27" i="92"/>
  <c r="A28" i="92"/>
  <c r="A29" i="92"/>
  <c r="A30" i="92"/>
  <c r="A31" i="92"/>
  <c r="A32" i="92"/>
  <c r="A33" i="92"/>
  <c r="A34" i="92"/>
  <c r="A35" i="92"/>
  <c r="A36" i="92"/>
  <c r="A37" i="92"/>
  <c r="A38" i="92"/>
  <c r="A39" i="92"/>
  <c r="A40" i="92"/>
  <c r="A41" i="92"/>
  <c r="A42" i="92"/>
  <c r="A43" i="92"/>
  <c r="A44" i="92"/>
  <c r="A45" i="92"/>
  <c r="A46" i="92"/>
  <c r="A47" i="92"/>
  <c r="A48" i="92"/>
  <c r="A49" i="92"/>
  <c r="A50" i="92"/>
  <c r="A51" i="92"/>
  <c r="A52" i="92"/>
  <c r="A53" i="92"/>
  <c r="A54" i="92"/>
  <c r="A55" i="92"/>
  <c r="A56" i="92"/>
  <c r="A57" i="92"/>
  <c r="A58" i="92"/>
  <c r="A59" i="92"/>
  <c r="A60" i="92"/>
  <c r="A61" i="92"/>
  <c r="A62" i="92"/>
  <c r="A63" i="92"/>
  <c r="A64" i="92"/>
  <c r="A65" i="92"/>
  <c r="A66" i="92"/>
  <c r="A67" i="92"/>
  <c r="A68" i="92"/>
  <c r="A69" i="92"/>
  <c r="A70" i="92"/>
  <c r="A71" i="92"/>
  <c r="A72" i="92"/>
  <c r="A73" i="92"/>
  <c r="A74" i="92"/>
  <c r="A75" i="92"/>
  <c r="A76" i="92"/>
  <c r="A77" i="92"/>
  <c r="A78" i="92"/>
  <c r="A79" i="92"/>
  <c r="A80" i="92"/>
  <c r="A81" i="92"/>
  <c r="A82" i="92"/>
  <c r="A83" i="92"/>
  <c r="A84" i="92"/>
  <c r="A85" i="92"/>
  <c r="A86" i="92"/>
  <c r="A87" i="92"/>
  <c r="A88" i="92"/>
  <c r="A89" i="92"/>
  <c r="A90" i="92"/>
  <c r="A91" i="92"/>
  <c r="A92" i="92"/>
  <c r="A93" i="92"/>
  <c r="A94" i="92"/>
  <c r="A95" i="92"/>
  <c r="A96" i="92"/>
  <c r="A97" i="92"/>
  <c r="A98" i="92"/>
  <c r="A99" i="92"/>
  <c r="A100" i="92"/>
  <c r="A101" i="92"/>
  <c r="A102" i="92"/>
  <c r="A103" i="92"/>
  <c r="A104" i="92"/>
  <c r="A105" i="92"/>
  <c r="A106" i="92"/>
  <c r="A107" i="92"/>
  <c r="A108" i="92"/>
  <c r="A109" i="92"/>
  <c r="A110" i="92"/>
  <c r="A111" i="92"/>
  <c r="A112" i="92"/>
  <c r="A113" i="92"/>
  <c r="A114" i="92"/>
  <c r="A115" i="92"/>
  <c r="A116" i="92"/>
  <c r="A117" i="92"/>
  <c r="A118" i="92"/>
  <c r="A119" i="92"/>
  <c r="A120" i="92"/>
  <c r="A121" i="92"/>
  <c r="A122" i="92"/>
  <c r="A123" i="92"/>
  <c r="A124" i="92"/>
  <c r="A125" i="92"/>
  <c r="A126" i="92"/>
  <c r="A127" i="92"/>
  <c r="A128" i="92"/>
  <c r="A129" i="92"/>
  <c r="A130" i="92"/>
  <c r="A131" i="92"/>
  <c r="A132" i="92"/>
  <c r="A133" i="92"/>
  <c r="A134" i="92"/>
  <c r="A135" i="92"/>
  <c r="A136" i="92"/>
  <c r="A137" i="92"/>
  <c r="A138" i="92"/>
  <c r="A139" i="92"/>
  <c r="A140" i="92"/>
  <c r="A141" i="92"/>
  <c r="A142" i="92"/>
  <c r="A143" i="92"/>
  <c r="A144" i="92"/>
  <c r="A145" i="92"/>
  <c r="A146" i="92"/>
  <c r="A147" i="92"/>
  <c r="A148" i="92"/>
  <c r="A149" i="92"/>
  <c r="A150" i="92"/>
  <c r="A151" i="92"/>
  <c r="A152" i="92"/>
  <c r="A153" i="92"/>
  <c r="A154" i="92"/>
  <c r="A155" i="92"/>
  <c r="A156" i="92"/>
  <c r="A157" i="92"/>
  <c r="A158" i="92"/>
  <c r="A159" i="92"/>
  <c r="A160" i="92"/>
  <c r="A161" i="92"/>
  <c r="A162" i="92"/>
  <c r="A163" i="92"/>
  <c r="A164" i="92"/>
  <c r="A165" i="92"/>
  <c r="A166" i="92"/>
  <c r="A167" i="92"/>
  <c r="A168" i="92"/>
  <c r="A169" i="92"/>
  <c r="A170" i="92"/>
  <c r="A171" i="92"/>
  <c r="A172" i="92"/>
  <c r="A173" i="92"/>
  <c r="A174" i="92"/>
  <c r="A175" i="92"/>
  <c r="A176" i="92"/>
  <c r="A177" i="92"/>
  <c r="A178" i="92"/>
  <c r="A179" i="92"/>
  <c r="A180" i="92"/>
  <c r="A181" i="92"/>
  <c r="A182" i="92"/>
  <c r="A183" i="92"/>
  <c r="A184" i="92"/>
  <c r="A185" i="92"/>
  <c r="A186" i="92"/>
  <c r="A187" i="92"/>
  <c r="A188" i="92"/>
  <c r="A189" i="92"/>
  <c r="A190" i="92"/>
  <c r="A191" i="92"/>
  <c r="A192" i="92"/>
  <c r="A193" i="92"/>
  <c r="A194" i="92"/>
  <c r="A195" i="92"/>
  <c r="A196" i="92"/>
  <c r="A197" i="92"/>
  <c r="A198" i="92"/>
  <c r="R85" i="93"/>
  <c r="R96" i="93"/>
  <c r="R92" i="93"/>
  <c r="R93" i="93"/>
  <c r="R95" i="93"/>
  <c r="R90" i="93"/>
  <c r="R91" i="93"/>
  <c r="R94" i="93"/>
  <c r="R89" i="93"/>
  <c r="R102" i="93"/>
  <c r="R99" i="93"/>
  <c r="R101" i="93"/>
  <c r="R98" i="93"/>
  <c r="R100" i="93"/>
  <c r="R97" i="93"/>
  <c r="R103" i="93"/>
  <c r="R24" i="93"/>
  <c r="R109" i="93"/>
  <c r="R104" i="93"/>
  <c r="R107" i="93"/>
  <c r="R110" i="93"/>
  <c r="R6" i="93"/>
  <c r="R105" i="93"/>
  <c r="R108" i="93"/>
  <c r="R111" i="93"/>
  <c r="R106" i="93"/>
  <c r="R191" i="93"/>
  <c r="R114" i="93"/>
  <c r="R117" i="93"/>
  <c r="R112" i="93"/>
  <c r="R115" i="93"/>
  <c r="R116" i="93"/>
  <c r="R113" i="93"/>
  <c r="R118" i="93"/>
  <c r="R119" i="93"/>
  <c r="R120" i="93"/>
  <c r="R121" i="93"/>
  <c r="R25" i="93"/>
  <c r="R122" i="93"/>
  <c r="R123" i="93"/>
  <c r="R124" i="93"/>
  <c r="R129" i="93"/>
  <c r="R139" i="93"/>
  <c r="R133" i="93"/>
  <c r="R137" i="93"/>
  <c r="R136" i="93"/>
  <c r="R141" i="93"/>
  <c r="R125" i="93"/>
  <c r="R131" i="93"/>
  <c r="R7" i="93"/>
  <c r="R135" i="93"/>
  <c r="R134" i="93"/>
  <c r="R26" i="93"/>
  <c r="R130" i="93"/>
  <c r="R140" i="93"/>
  <c r="R138" i="93"/>
  <c r="R8" i="93"/>
  <c r="R127" i="93"/>
  <c r="R132" i="93"/>
  <c r="R128" i="93"/>
  <c r="R126" i="93"/>
  <c r="R27" i="93"/>
  <c r="R142" i="93"/>
  <c r="R151" i="93"/>
  <c r="R28" i="93"/>
  <c r="R152" i="93"/>
  <c r="R146" i="93"/>
  <c r="R145" i="93"/>
  <c r="R149" i="93"/>
  <c r="R153" i="93"/>
  <c r="R154" i="93"/>
  <c r="R147" i="93"/>
  <c r="R155" i="93"/>
  <c r="R29" i="93"/>
  <c r="R148" i="93"/>
  <c r="R150" i="93"/>
  <c r="R143" i="93"/>
  <c r="R144" i="93"/>
  <c r="R157" i="93"/>
  <c r="R156" i="93"/>
  <c r="R158" i="93"/>
  <c r="R159" i="93"/>
  <c r="R160" i="93"/>
  <c r="R161" i="93"/>
  <c r="R162" i="93"/>
  <c r="R163" i="93"/>
  <c r="R166" i="93"/>
  <c r="R170" i="93"/>
  <c r="R174" i="93"/>
  <c r="R175" i="93"/>
  <c r="R176" i="93"/>
  <c r="R173" i="93"/>
  <c r="R177" i="93"/>
  <c r="R165" i="93"/>
  <c r="R169" i="93"/>
  <c r="R171" i="93"/>
  <c r="R172" i="93"/>
  <c r="R164" i="93"/>
  <c r="R168" i="93"/>
  <c r="R167" i="93"/>
  <c r="R178" i="93"/>
  <c r="R9" i="93"/>
  <c r="R183" i="93"/>
  <c r="R182" i="93"/>
  <c r="R184" i="93"/>
  <c r="R180" i="93"/>
  <c r="R30" i="93"/>
  <c r="R181" i="93"/>
  <c r="R179" i="93"/>
  <c r="S85" i="93"/>
  <c r="S96" i="93"/>
  <c r="S92" i="93"/>
  <c r="S93" i="93"/>
  <c r="S95" i="93"/>
  <c r="S90" i="93"/>
  <c r="S91" i="93"/>
  <c r="S94" i="93"/>
  <c r="S89" i="93"/>
  <c r="S102" i="93"/>
  <c r="S99" i="93"/>
  <c r="S101" i="93"/>
  <c r="S98" i="93"/>
  <c r="S100" i="93"/>
  <c r="S97" i="93"/>
  <c r="S103" i="93"/>
  <c r="S24" i="93"/>
  <c r="S109" i="93"/>
  <c r="S104" i="93"/>
  <c r="S107" i="93"/>
  <c r="S110" i="93"/>
  <c r="S6" i="93"/>
  <c r="S105" i="93"/>
  <c r="S108" i="93"/>
  <c r="S111" i="93"/>
  <c r="S106" i="93"/>
  <c r="S191" i="93"/>
  <c r="S114" i="93"/>
  <c r="S117" i="93"/>
  <c r="S112" i="93"/>
  <c r="S115" i="93"/>
  <c r="S116" i="93"/>
  <c r="S113" i="93"/>
  <c r="S118" i="93"/>
  <c r="S119" i="93"/>
  <c r="S120" i="93"/>
  <c r="S121" i="93"/>
  <c r="S25" i="93"/>
  <c r="S122" i="93"/>
  <c r="S123" i="93"/>
  <c r="S124" i="93"/>
  <c r="S129" i="93"/>
  <c r="S139" i="93"/>
  <c r="S133" i="93"/>
  <c r="S137" i="93"/>
  <c r="S136" i="93"/>
  <c r="S141" i="93"/>
  <c r="S125" i="93"/>
  <c r="S131" i="93"/>
  <c r="S7" i="93"/>
  <c r="S135" i="93"/>
  <c r="S134" i="93"/>
  <c r="S26" i="93"/>
  <c r="S130" i="93"/>
  <c r="S140" i="93"/>
  <c r="S138" i="93"/>
  <c r="S8" i="93"/>
  <c r="S127" i="93"/>
  <c r="S132" i="93"/>
  <c r="S128" i="93"/>
  <c r="S126" i="93"/>
  <c r="S27" i="93"/>
  <c r="S142" i="93"/>
  <c r="S151" i="93"/>
  <c r="S28" i="93"/>
  <c r="S152" i="93"/>
  <c r="S146" i="93"/>
  <c r="S145" i="93"/>
  <c r="S149" i="93"/>
  <c r="S153" i="93"/>
  <c r="S154" i="93"/>
  <c r="S147" i="93"/>
  <c r="S155" i="93"/>
  <c r="S29" i="93"/>
  <c r="S148" i="93"/>
  <c r="S150" i="93"/>
  <c r="S143" i="93"/>
  <c r="S144" i="93"/>
  <c r="S157" i="93"/>
  <c r="S156" i="93"/>
  <c r="S158" i="93"/>
  <c r="S159" i="93"/>
  <c r="S160" i="93"/>
  <c r="S161" i="93"/>
  <c r="S162" i="93"/>
  <c r="S163" i="93"/>
  <c r="S166" i="93"/>
  <c r="S170" i="93"/>
  <c r="S174" i="93"/>
  <c r="S175" i="93"/>
  <c r="S176" i="93"/>
  <c r="S173" i="93"/>
  <c r="S177" i="93"/>
  <c r="S165" i="93"/>
  <c r="S169" i="93"/>
  <c r="S171" i="93"/>
  <c r="S172" i="93"/>
  <c r="S164" i="93"/>
  <c r="S168" i="93"/>
  <c r="S167" i="93"/>
  <c r="S178" i="93"/>
  <c r="S9" i="93"/>
  <c r="S183" i="93"/>
  <c r="S182" i="93"/>
  <c r="S184" i="93"/>
  <c r="S180" i="93"/>
  <c r="S30" i="93"/>
  <c r="S181" i="93"/>
  <c r="S179" i="93"/>
  <c r="T85" i="93"/>
  <c r="T96" i="93"/>
  <c r="T92" i="93"/>
  <c r="T93" i="93"/>
  <c r="T95" i="93"/>
  <c r="T90" i="93"/>
  <c r="T91" i="93"/>
  <c r="T94" i="93"/>
  <c r="T89" i="93"/>
  <c r="T102" i="93"/>
  <c r="T99" i="93"/>
  <c r="T101" i="93"/>
  <c r="T98" i="93"/>
  <c r="T100" i="93"/>
  <c r="T97" i="93"/>
  <c r="T103" i="93"/>
  <c r="T24" i="93"/>
  <c r="T109" i="93"/>
  <c r="T104" i="93"/>
  <c r="T107" i="93"/>
  <c r="T110" i="93"/>
  <c r="T6" i="93"/>
  <c r="T105" i="93"/>
  <c r="T108" i="93"/>
  <c r="T111" i="93"/>
  <c r="T106" i="93"/>
  <c r="T191" i="93"/>
  <c r="T114" i="93"/>
  <c r="T117" i="93"/>
  <c r="T112" i="93"/>
  <c r="T115" i="93"/>
  <c r="T116" i="93"/>
  <c r="T113" i="93"/>
  <c r="T118" i="93"/>
  <c r="T119" i="93"/>
  <c r="T120" i="93"/>
  <c r="T121" i="93"/>
  <c r="T25" i="93"/>
  <c r="T122" i="93"/>
  <c r="T123" i="93"/>
  <c r="T124" i="93"/>
  <c r="T129" i="93"/>
  <c r="T139" i="93"/>
  <c r="T133" i="93"/>
  <c r="T137" i="93"/>
  <c r="T136" i="93"/>
  <c r="T141" i="93"/>
  <c r="T125" i="93"/>
  <c r="T131" i="93"/>
  <c r="T7" i="93"/>
  <c r="T135" i="93"/>
  <c r="T134" i="93"/>
  <c r="T26" i="93"/>
  <c r="T130" i="93"/>
  <c r="T140" i="93"/>
  <c r="T138" i="93"/>
  <c r="T8" i="93"/>
  <c r="T127" i="93"/>
  <c r="T132" i="93"/>
  <c r="T128" i="93"/>
  <c r="T126" i="93"/>
  <c r="T27" i="93"/>
  <c r="T142" i="93"/>
  <c r="T151" i="93"/>
  <c r="T28" i="93"/>
  <c r="T152" i="93"/>
  <c r="T146" i="93"/>
  <c r="T145" i="93"/>
  <c r="T149" i="93"/>
  <c r="T153" i="93"/>
  <c r="T154" i="93"/>
  <c r="T147" i="93"/>
  <c r="T155" i="93"/>
  <c r="T29" i="93"/>
  <c r="T148" i="93"/>
  <c r="T150" i="93"/>
  <c r="T143" i="93"/>
  <c r="T144" i="93"/>
  <c r="T157" i="93"/>
  <c r="T156" i="93"/>
  <c r="T158" i="93"/>
  <c r="T159" i="93"/>
  <c r="T160" i="93"/>
  <c r="T161" i="93"/>
  <c r="T162" i="93"/>
  <c r="T163" i="93"/>
  <c r="T166" i="93"/>
  <c r="T170" i="93"/>
  <c r="T174" i="93"/>
  <c r="T175" i="93"/>
  <c r="T176" i="93"/>
  <c r="T173" i="93"/>
  <c r="T177" i="93"/>
  <c r="T165" i="93"/>
  <c r="T169" i="93"/>
  <c r="T171" i="93"/>
  <c r="T172" i="93"/>
  <c r="T164" i="93"/>
  <c r="T168" i="93"/>
  <c r="T167" i="93"/>
  <c r="T178" i="93"/>
  <c r="T9" i="93"/>
  <c r="T183" i="93"/>
  <c r="T182" i="93"/>
  <c r="T184" i="93"/>
  <c r="T180" i="93"/>
  <c r="T30" i="93"/>
  <c r="T181" i="93"/>
  <c r="T179" i="93"/>
  <c r="U85" i="93"/>
  <c r="U96" i="93"/>
  <c r="U92" i="93"/>
  <c r="U93" i="93"/>
  <c r="U95" i="93"/>
  <c r="U90" i="93"/>
  <c r="U91" i="93"/>
  <c r="U94" i="93"/>
  <c r="U89" i="93"/>
  <c r="U102" i="93"/>
  <c r="U99" i="93"/>
  <c r="U101" i="93"/>
  <c r="U98" i="93"/>
  <c r="U100" i="93"/>
  <c r="U97" i="93"/>
  <c r="U103" i="93"/>
  <c r="U24" i="93"/>
  <c r="U109" i="93"/>
  <c r="U104" i="93"/>
  <c r="U107" i="93"/>
  <c r="U110" i="93"/>
  <c r="U6" i="93"/>
  <c r="U105" i="93"/>
  <c r="U108" i="93"/>
  <c r="U111" i="93"/>
  <c r="U106" i="93"/>
  <c r="U191" i="93"/>
  <c r="U114" i="93"/>
  <c r="U117" i="93"/>
  <c r="U112" i="93"/>
  <c r="U115" i="93"/>
  <c r="U116" i="93"/>
  <c r="U113" i="93"/>
  <c r="U118" i="93"/>
  <c r="U119" i="93"/>
  <c r="U120" i="93"/>
  <c r="U121" i="93"/>
  <c r="U25" i="93"/>
  <c r="U122" i="93"/>
  <c r="U123" i="93"/>
  <c r="U124" i="93"/>
  <c r="U129" i="93"/>
  <c r="U139" i="93"/>
  <c r="U133" i="93"/>
  <c r="U137" i="93"/>
  <c r="U136" i="93"/>
  <c r="U141" i="93"/>
  <c r="U125" i="93"/>
  <c r="U131" i="93"/>
  <c r="U7" i="93"/>
  <c r="U135" i="93"/>
  <c r="U134" i="93"/>
  <c r="U26" i="93"/>
  <c r="U130" i="93"/>
  <c r="U140" i="93"/>
  <c r="U138" i="93"/>
  <c r="U8" i="93"/>
  <c r="U127" i="93"/>
  <c r="U132" i="93"/>
  <c r="U128" i="93"/>
  <c r="U126" i="93"/>
  <c r="U27" i="93"/>
  <c r="U142" i="93"/>
  <c r="U151" i="93"/>
  <c r="U28" i="93"/>
  <c r="U152" i="93"/>
  <c r="U146" i="93"/>
  <c r="U145" i="93"/>
  <c r="U149" i="93"/>
  <c r="U153" i="93"/>
  <c r="U154" i="93"/>
  <c r="U147" i="93"/>
  <c r="U155" i="93"/>
  <c r="U29" i="93"/>
  <c r="U148" i="93"/>
  <c r="U150" i="93"/>
  <c r="U143" i="93"/>
  <c r="U144" i="93"/>
  <c r="U157" i="93"/>
  <c r="U156" i="93"/>
  <c r="U158" i="93"/>
  <c r="U159" i="93"/>
  <c r="U160" i="93"/>
  <c r="U161" i="93"/>
  <c r="U162" i="93"/>
  <c r="U163" i="93"/>
  <c r="U166" i="93"/>
  <c r="U170" i="93"/>
  <c r="U174" i="93"/>
  <c r="U175" i="93"/>
  <c r="U176" i="93"/>
  <c r="U173" i="93"/>
  <c r="U177" i="93"/>
  <c r="U165" i="93"/>
  <c r="U169" i="93"/>
  <c r="U171" i="93"/>
  <c r="U172" i="93"/>
  <c r="U164" i="93"/>
  <c r="U168" i="93"/>
  <c r="U167" i="93"/>
  <c r="U178" i="93"/>
  <c r="U9" i="93"/>
  <c r="U183" i="93"/>
  <c r="U182" i="93"/>
  <c r="U184" i="93"/>
  <c r="U180" i="93"/>
  <c r="U30" i="93"/>
  <c r="U181" i="93"/>
  <c r="U179" i="93"/>
  <c r="V85" i="93"/>
  <c r="X85" i="93" s="1"/>
  <c r="V96" i="93"/>
  <c r="X96" i="93" s="1"/>
  <c r="V92" i="93"/>
  <c r="X92" i="93" s="1"/>
  <c r="V93" i="93"/>
  <c r="X93" i="93" s="1"/>
  <c r="V95" i="93"/>
  <c r="X95" i="93" s="1"/>
  <c r="V90" i="93"/>
  <c r="X90" i="93" s="1"/>
  <c r="V91" i="93"/>
  <c r="X91" i="93" s="1"/>
  <c r="V94" i="93"/>
  <c r="X94" i="93" s="1"/>
  <c r="V89" i="93"/>
  <c r="X89" i="93" s="1"/>
  <c r="V102" i="93"/>
  <c r="X102" i="93" s="1"/>
  <c r="V99" i="93"/>
  <c r="X99" i="93" s="1"/>
  <c r="V101" i="93"/>
  <c r="X101" i="93" s="1"/>
  <c r="V98" i="93"/>
  <c r="X98" i="93" s="1"/>
  <c r="V100" i="93"/>
  <c r="X100" i="93" s="1"/>
  <c r="V97" i="93"/>
  <c r="X97" i="93" s="1"/>
  <c r="V103" i="93"/>
  <c r="X103" i="93" s="1"/>
  <c r="V24" i="93"/>
  <c r="X24" i="93" s="1"/>
  <c r="V109" i="93"/>
  <c r="X109" i="93" s="1"/>
  <c r="V104" i="93"/>
  <c r="X104" i="93" s="1"/>
  <c r="V107" i="93"/>
  <c r="X107" i="93" s="1"/>
  <c r="V110" i="93"/>
  <c r="X110" i="93" s="1"/>
  <c r="V6" i="93"/>
  <c r="X6" i="93" s="1"/>
  <c r="V105" i="93"/>
  <c r="X105" i="93" s="1"/>
  <c r="V108" i="93"/>
  <c r="X108" i="93" s="1"/>
  <c r="V111" i="93"/>
  <c r="X111" i="93" s="1"/>
  <c r="V106" i="93"/>
  <c r="X106" i="93" s="1"/>
  <c r="V191" i="93"/>
  <c r="X191" i="93" s="1"/>
  <c r="V114" i="93"/>
  <c r="X114" i="93" s="1"/>
  <c r="V117" i="93"/>
  <c r="X117" i="93" s="1"/>
  <c r="V112" i="93"/>
  <c r="X112" i="93" s="1"/>
  <c r="V115" i="93"/>
  <c r="X115" i="93" s="1"/>
  <c r="V116" i="93"/>
  <c r="X116" i="93" s="1"/>
  <c r="V113" i="93"/>
  <c r="X113" i="93" s="1"/>
  <c r="V118" i="93"/>
  <c r="X118" i="93" s="1"/>
  <c r="V119" i="93"/>
  <c r="V120" i="93"/>
  <c r="X120" i="93" s="1"/>
  <c r="V121" i="93"/>
  <c r="X121" i="93" s="1"/>
  <c r="V25" i="93"/>
  <c r="X25" i="93" s="1"/>
  <c r="V122" i="93"/>
  <c r="X122" i="93" s="1"/>
  <c r="V123" i="93"/>
  <c r="X123" i="93" s="1"/>
  <c r="V124" i="93"/>
  <c r="X124" i="93" s="1"/>
  <c r="V129" i="93"/>
  <c r="X129" i="93" s="1"/>
  <c r="V139" i="93"/>
  <c r="V133" i="93"/>
  <c r="X133" i="93" s="1"/>
  <c r="V137" i="93"/>
  <c r="X137" i="93" s="1"/>
  <c r="V136" i="93"/>
  <c r="X136" i="93" s="1"/>
  <c r="V141" i="93"/>
  <c r="X141" i="93" s="1"/>
  <c r="V125" i="93"/>
  <c r="X125" i="93" s="1"/>
  <c r="V131" i="93"/>
  <c r="X131" i="93" s="1"/>
  <c r="V7" i="93"/>
  <c r="X7" i="93" s="1"/>
  <c r="V135" i="93"/>
  <c r="X135" i="93" s="1"/>
  <c r="V134" i="93"/>
  <c r="X134" i="93" s="1"/>
  <c r="V26" i="93"/>
  <c r="X26" i="93" s="1"/>
  <c r="V130" i="93"/>
  <c r="X130" i="93" s="1"/>
  <c r="V140" i="93"/>
  <c r="X140" i="93" s="1"/>
  <c r="V138" i="93"/>
  <c r="X138" i="93" s="1"/>
  <c r="V8" i="93"/>
  <c r="X8" i="93" s="1"/>
  <c r="V127" i="93"/>
  <c r="X127" i="93" s="1"/>
  <c r="V132" i="93"/>
  <c r="V128" i="93"/>
  <c r="X128" i="93" s="1"/>
  <c r="V126" i="93"/>
  <c r="X126" i="93" s="1"/>
  <c r="V27" i="93"/>
  <c r="X27" i="93" s="1"/>
  <c r="V142" i="93"/>
  <c r="X142" i="93" s="1"/>
  <c r="V151" i="93"/>
  <c r="X151" i="93" s="1"/>
  <c r="V28" i="93"/>
  <c r="X28" i="93" s="1"/>
  <c r="V152" i="93"/>
  <c r="X152" i="93" s="1"/>
  <c r="V146" i="93"/>
  <c r="V145" i="93"/>
  <c r="X145" i="93" s="1"/>
  <c r="V149" i="93"/>
  <c r="X149" i="93" s="1"/>
  <c r="V153" i="93"/>
  <c r="X153" i="93" s="1"/>
  <c r="V154" i="93"/>
  <c r="X154" i="93" s="1"/>
  <c r="V147" i="93"/>
  <c r="X147" i="93" s="1"/>
  <c r="V155" i="93"/>
  <c r="X155" i="93" s="1"/>
  <c r="V29" i="93"/>
  <c r="X29" i="93" s="1"/>
  <c r="V148" i="93"/>
  <c r="X148" i="93" s="1"/>
  <c r="V150" i="93"/>
  <c r="X150" i="93" s="1"/>
  <c r="V143" i="93"/>
  <c r="X143" i="93" s="1"/>
  <c r="V144" i="93"/>
  <c r="X144" i="93" s="1"/>
  <c r="V157" i="93"/>
  <c r="X157" i="93" s="1"/>
  <c r="V156" i="93"/>
  <c r="X156" i="93" s="1"/>
  <c r="V158" i="93"/>
  <c r="X158" i="93" s="1"/>
  <c r="V159" i="93"/>
  <c r="X159" i="93" s="1"/>
  <c r="V160" i="93"/>
  <c r="X160" i="93" s="1"/>
  <c r="V161" i="93"/>
  <c r="X161" i="93" s="1"/>
  <c r="V162" i="93"/>
  <c r="X162" i="93" s="1"/>
  <c r="V163" i="93"/>
  <c r="X163" i="93" s="1"/>
  <c r="V166" i="93"/>
  <c r="X166" i="93" s="1"/>
  <c r="V170" i="93"/>
  <c r="X170" i="93" s="1"/>
  <c r="V174" i="93"/>
  <c r="X174" i="93" s="1"/>
  <c r="V175" i="93"/>
  <c r="X175" i="93" s="1"/>
  <c r="V176" i="93"/>
  <c r="X176" i="93" s="1"/>
  <c r="V173" i="93"/>
  <c r="X173" i="93" s="1"/>
  <c r="V177" i="93"/>
  <c r="X177" i="93" s="1"/>
  <c r="V165" i="93"/>
  <c r="X165" i="93" s="1"/>
  <c r="V169" i="93"/>
  <c r="X169" i="93" s="1"/>
  <c r="V171" i="93"/>
  <c r="X171" i="93" s="1"/>
  <c r="V172" i="93"/>
  <c r="X172" i="93" s="1"/>
  <c r="V164" i="93"/>
  <c r="X164" i="93" s="1"/>
  <c r="V168" i="93"/>
  <c r="X168" i="93" s="1"/>
  <c r="V167" i="93"/>
  <c r="X167" i="93" s="1"/>
  <c r="V178" i="93"/>
  <c r="X178" i="93" s="1"/>
  <c r="V9" i="93"/>
  <c r="X9" i="93" s="1"/>
  <c r="V183" i="93"/>
  <c r="X183" i="93" s="1"/>
  <c r="V182" i="93"/>
  <c r="X182" i="93" s="1"/>
  <c r="V184" i="93"/>
  <c r="X184" i="93" s="1"/>
  <c r="V180" i="93"/>
  <c r="X180" i="93" s="1"/>
  <c r="V30" i="93"/>
  <c r="X30" i="93" s="1"/>
  <c r="V181" i="93"/>
  <c r="X181" i="93" s="1"/>
  <c r="V179" i="93"/>
  <c r="X179" i="93" s="1"/>
  <c r="T62" i="27"/>
  <c r="T437" i="27"/>
  <c r="T425" i="27"/>
  <c r="T428" i="27"/>
  <c r="T434" i="27"/>
  <c r="T419" i="27"/>
  <c r="T422" i="27"/>
  <c r="T431" i="27"/>
  <c r="T416" i="27"/>
  <c r="T521" i="27"/>
  <c r="T512" i="27"/>
  <c r="T518" i="27"/>
  <c r="T509" i="27"/>
  <c r="T515" i="27"/>
  <c r="T506" i="27"/>
  <c r="T524" i="27"/>
  <c r="T344" i="27"/>
  <c r="T335" i="27"/>
  <c r="T317" i="27"/>
  <c r="T326" i="27"/>
  <c r="T338" i="27"/>
  <c r="T329" i="27"/>
  <c r="T320" i="27"/>
  <c r="T332" i="27"/>
  <c r="T341" i="27"/>
  <c r="T323" i="27"/>
  <c r="T485" i="27"/>
  <c r="T494" i="27"/>
  <c r="T503" i="27"/>
  <c r="T488" i="27"/>
  <c r="T497" i="27"/>
  <c r="T500" i="27"/>
  <c r="T491" i="27"/>
  <c r="T440" i="27"/>
  <c r="T446" i="27"/>
  <c r="T449" i="27"/>
  <c r="T452" i="27"/>
  <c r="T443" i="27"/>
  <c r="T455" i="27"/>
  <c r="T458" i="27"/>
  <c r="T77" i="27"/>
  <c r="T98" i="27"/>
  <c r="T131" i="27"/>
  <c r="T110" i="27"/>
  <c r="T125" i="27"/>
  <c r="T122" i="27"/>
  <c r="T137" i="27"/>
  <c r="T80" i="27"/>
  <c r="T104" i="27"/>
  <c r="T83" i="27"/>
  <c r="T119" i="27"/>
  <c r="T113" i="27"/>
  <c r="T86" i="27"/>
  <c r="T101" i="27"/>
  <c r="T134" i="27"/>
  <c r="T128" i="27"/>
  <c r="T116" i="27"/>
  <c r="T92" i="27"/>
  <c r="T107" i="27"/>
  <c r="T95" i="27"/>
  <c r="T89" i="27"/>
  <c r="T224" i="27"/>
  <c r="T218" i="27"/>
  <c r="T254" i="27"/>
  <c r="T248" i="27"/>
  <c r="T257" i="27"/>
  <c r="T233" i="27"/>
  <c r="T230" i="27"/>
  <c r="T242" i="27"/>
  <c r="T260" i="27"/>
  <c r="T263" i="27"/>
  <c r="T236" i="27"/>
  <c r="T266" i="27"/>
  <c r="T251" i="27"/>
  <c r="T239" i="27"/>
  <c r="T245" i="27"/>
  <c r="T221" i="27"/>
  <c r="T227" i="27"/>
  <c r="T143" i="27"/>
  <c r="T140" i="27"/>
  <c r="T146" i="27"/>
  <c r="T149" i="27"/>
  <c r="T152" i="27"/>
  <c r="T155" i="27"/>
  <c r="T158" i="27"/>
  <c r="T161" i="27"/>
  <c r="T533" i="27"/>
  <c r="T545" i="27"/>
  <c r="T557" i="27"/>
  <c r="T560" i="27"/>
  <c r="T563" i="27"/>
  <c r="T554" i="27"/>
  <c r="T566" i="27"/>
  <c r="T530" i="27"/>
  <c r="T542" i="27"/>
  <c r="T548" i="27"/>
  <c r="T551" i="27"/>
  <c r="T527" i="27"/>
  <c r="T539" i="27"/>
  <c r="T536" i="27"/>
  <c r="T290" i="27"/>
  <c r="T311" i="27"/>
  <c r="T308" i="27"/>
  <c r="T305" i="27"/>
  <c r="T314" i="27"/>
  <c r="T299" i="27"/>
  <c r="T296" i="27"/>
  <c r="T302" i="27"/>
  <c r="T293" i="27"/>
  <c r="U62" i="27"/>
  <c r="U437" i="27"/>
  <c r="U425" i="27"/>
  <c r="U428" i="27"/>
  <c r="U434" i="27"/>
  <c r="U419" i="27"/>
  <c r="U422" i="27"/>
  <c r="U431" i="27"/>
  <c r="U416" i="27"/>
  <c r="U521" i="27"/>
  <c r="U512" i="27"/>
  <c r="U518" i="27"/>
  <c r="U509" i="27"/>
  <c r="U515" i="27"/>
  <c r="U506" i="27"/>
  <c r="U524" i="27"/>
  <c r="U344" i="27"/>
  <c r="U335" i="27"/>
  <c r="U317" i="27"/>
  <c r="U326" i="27"/>
  <c r="U338" i="27"/>
  <c r="U329" i="27"/>
  <c r="U320" i="27"/>
  <c r="U332" i="27"/>
  <c r="U341" i="27"/>
  <c r="U323" i="27"/>
  <c r="U485" i="27"/>
  <c r="U494" i="27"/>
  <c r="U503" i="27"/>
  <c r="U488" i="27"/>
  <c r="U497" i="27"/>
  <c r="U500" i="27"/>
  <c r="U491" i="27"/>
  <c r="U440" i="27"/>
  <c r="U446" i="27"/>
  <c r="U449" i="27"/>
  <c r="U452" i="27"/>
  <c r="U443" i="27"/>
  <c r="U455" i="27"/>
  <c r="U458" i="27"/>
  <c r="U77" i="27"/>
  <c r="U98" i="27"/>
  <c r="U131" i="27"/>
  <c r="U110" i="27"/>
  <c r="U125" i="27"/>
  <c r="U122" i="27"/>
  <c r="U137" i="27"/>
  <c r="U80" i="27"/>
  <c r="U104" i="27"/>
  <c r="U83" i="27"/>
  <c r="U119" i="27"/>
  <c r="U113" i="27"/>
  <c r="U86" i="27"/>
  <c r="U101" i="27"/>
  <c r="U134" i="27"/>
  <c r="U128" i="27"/>
  <c r="U116" i="27"/>
  <c r="U92" i="27"/>
  <c r="U107" i="27"/>
  <c r="U95" i="27"/>
  <c r="U89" i="27"/>
  <c r="U224" i="27"/>
  <c r="U218" i="27"/>
  <c r="U254" i="27"/>
  <c r="U248" i="27"/>
  <c r="U257" i="27"/>
  <c r="U233" i="27"/>
  <c r="U230" i="27"/>
  <c r="U242" i="27"/>
  <c r="U260" i="27"/>
  <c r="U263" i="27"/>
  <c r="U236" i="27"/>
  <c r="U266" i="27"/>
  <c r="U251" i="27"/>
  <c r="U239" i="27"/>
  <c r="U245" i="27"/>
  <c r="U221" i="27"/>
  <c r="U227" i="27"/>
  <c r="U143" i="27"/>
  <c r="U140" i="27"/>
  <c r="U146" i="27"/>
  <c r="U149" i="27"/>
  <c r="U152" i="27"/>
  <c r="U155" i="27"/>
  <c r="U158" i="27"/>
  <c r="U161" i="27"/>
  <c r="U533" i="27"/>
  <c r="U545" i="27"/>
  <c r="U557" i="27"/>
  <c r="U560" i="27"/>
  <c r="U563" i="27"/>
  <c r="U554" i="27"/>
  <c r="U566" i="27"/>
  <c r="U530" i="27"/>
  <c r="U542" i="27"/>
  <c r="U548" i="27"/>
  <c r="U551" i="27"/>
  <c r="U527" i="27"/>
  <c r="U539" i="27"/>
  <c r="U536" i="27"/>
  <c r="U290" i="27"/>
  <c r="U311" i="27"/>
  <c r="U308" i="27"/>
  <c r="U305" i="27"/>
  <c r="U314" i="27"/>
  <c r="U299" i="27"/>
  <c r="U296" i="27"/>
  <c r="U302" i="27"/>
  <c r="U293" i="27"/>
  <c r="V62" i="27"/>
  <c r="V437" i="27"/>
  <c r="V425" i="27"/>
  <c r="V428" i="27"/>
  <c r="V434" i="27"/>
  <c r="V419" i="27"/>
  <c r="V422" i="27"/>
  <c r="V431" i="27"/>
  <c r="V416" i="27"/>
  <c r="V521" i="27"/>
  <c r="V512" i="27"/>
  <c r="V518" i="27"/>
  <c r="V509" i="27"/>
  <c r="V515" i="27"/>
  <c r="V506" i="27"/>
  <c r="V524" i="27"/>
  <c r="V344" i="27"/>
  <c r="V335" i="27"/>
  <c r="V317" i="27"/>
  <c r="V326" i="27"/>
  <c r="V338" i="27"/>
  <c r="V329" i="27"/>
  <c r="V320" i="27"/>
  <c r="V332" i="27"/>
  <c r="V341" i="27"/>
  <c r="V323" i="27"/>
  <c r="V485" i="27"/>
  <c r="V494" i="27"/>
  <c r="V503" i="27"/>
  <c r="V488" i="27"/>
  <c r="V497" i="27"/>
  <c r="V500" i="27"/>
  <c r="V491" i="27"/>
  <c r="V440" i="27"/>
  <c r="V446" i="27"/>
  <c r="V449" i="27"/>
  <c r="V452" i="27"/>
  <c r="V443" i="27"/>
  <c r="V455" i="27"/>
  <c r="V458" i="27"/>
  <c r="V77" i="27"/>
  <c r="V98" i="27"/>
  <c r="V131" i="27"/>
  <c r="V110" i="27"/>
  <c r="V125" i="27"/>
  <c r="V122" i="27"/>
  <c r="V137" i="27"/>
  <c r="V80" i="27"/>
  <c r="V104" i="27"/>
  <c r="V83" i="27"/>
  <c r="V119" i="27"/>
  <c r="V113" i="27"/>
  <c r="V86" i="27"/>
  <c r="V101" i="27"/>
  <c r="V134" i="27"/>
  <c r="V128" i="27"/>
  <c r="V116" i="27"/>
  <c r="V92" i="27"/>
  <c r="V107" i="27"/>
  <c r="V95" i="27"/>
  <c r="V89" i="27"/>
  <c r="V224" i="27"/>
  <c r="V218" i="27"/>
  <c r="V254" i="27"/>
  <c r="V248" i="27"/>
  <c r="V257" i="27"/>
  <c r="V233" i="27"/>
  <c r="V230" i="27"/>
  <c r="V242" i="27"/>
  <c r="V260" i="27"/>
  <c r="V263" i="27"/>
  <c r="V236" i="27"/>
  <c r="V266" i="27"/>
  <c r="V251" i="27"/>
  <c r="V239" i="27"/>
  <c r="V245" i="27"/>
  <c r="V221" i="27"/>
  <c r="V227" i="27"/>
  <c r="V143" i="27"/>
  <c r="V140" i="27"/>
  <c r="V146" i="27"/>
  <c r="V149" i="27"/>
  <c r="V152" i="27"/>
  <c r="V155" i="27"/>
  <c r="V158" i="27"/>
  <c r="V161" i="27"/>
  <c r="V533" i="27"/>
  <c r="V545" i="27"/>
  <c r="V557" i="27"/>
  <c r="V560" i="27"/>
  <c r="V563" i="27"/>
  <c r="V554" i="27"/>
  <c r="V566" i="27"/>
  <c r="V530" i="27"/>
  <c r="V542" i="27"/>
  <c r="V548" i="27"/>
  <c r="V551" i="27"/>
  <c r="V527" i="27"/>
  <c r="V539" i="27"/>
  <c r="V536" i="27"/>
  <c r="V290" i="27"/>
  <c r="V311" i="27"/>
  <c r="V308" i="27"/>
  <c r="V305" i="27"/>
  <c r="V314" i="27"/>
  <c r="V299" i="27"/>
  <c r="V296" i="27"/>
  <c r="V302" i="27"/>
  <c r="V293" i="27"/>
  <c r="W62" i="27"/>
  <c r="W437" i="27"/>
  <c r="W425" i="27"/>
  <c r="W428" i="27"/>
  <c r="W434" i="27"/>
  <c r="W419" i="27"/>
  <c r="W422" i="27"/>
  <c r="W431" i="27"/>
  <c r="W416" i="27"/>
  <c r="W521" i="27"/>
  <c r="W512" i="27"/>
  <c r="W518" i="27"/>
  <c r="W509" i="27"/>
  <c r="W515" i="27"/>
  <c r="W506" i="27"/>
  <c r="W524" i="27"/>
  <c r="W344" i="27"/>
  <c r="W335" i="27"/>
  <c r="W317" i="27"/>
  <c r="W326" i="27"/>
  <c r="W338" i="27"/>
  <c r="W329" i="27"/>
  <c r="W320" i="27"/>
  <c r="W332" i="27"/>
  <c r="W341" i="27"/>
  <c r="W323" i="27"/>
  <c r="W485" i="27"/>
  <c r="W494" i="27"/>
  <c r="W503" i="27"/>
  <c r="W488" i="27"/>
  <c r="W497" i="27"/>
  <c r="W500" i="27"/>
  <c r="W491" i="27"/>
  <c r="W440" i="27"/>
  <c r="W446" i="27"/>
  <c r="W449" i="27"/>
  <c r="W452" i="27"/>
  <c r="W443" i="27"/>
  <c r="W455" i="27"/>
  <c r="W458" i="27"/>
  <c r="W77" i="27"/>
  <c r="W98" i="27"/>
  <c r="W131" i="27"/>
  <c r="W110" i="27"/>
  <c r="W125" i="27"/>
  <c r="W122" i="27"/>
  <c r="W137" i="27"/>
  <c r="W80" i="27"/>
  <c r="W104" i="27"/>
  <c r="W83" i="27"/>
  <c r="W119" i="27"/>
  <c r="W113" i="27"/>
  <c r="W86" i="27"/>
  <c r="W101" i="27"/>
  <c r="W134" i="27"/>
  <c r="W128" i="27"/>
  <c r="W116" i="27"/>
  <c r="W92" i="27"/>
  <c r="W107" i="27"/>
  <c r="W95" i="27"/>
  <c r="W89" i="27"/>
  <c r="W224" i="27"/>
  <c r="W218" i="27"/>
  <c r="W254" i="27"/>
  <c r="W248" i="27"/>
  <c r="W257" i="27"/>
  <c r="W233" i="27"/>
  <c r="W230" i="27"/>
  <c r="W242" i="27"/>
  <c r="W260" i="27"/>
  <c r="W263" i="27"/>
  <c r="W236" i="27"/>
  <c r="W266" i="27"/>
  <c r="W251" i="27"/>
  <c r="W239" i="27"/>
  <c r="W245" i="27"/>
  <c r="W221" i="27"/>
  <c r="W227" i="27"/>
  <c r="W143" i="27"/>
  <c r="W140" i="27"/>
  <c r="W146" i="27"/>
  <c r="W149" i="27"/>
  <c r="W152" i="27"/>
  <c r="W155" i="27"/>
  <c r="W158" i="27"/>
  <c r="W161" i="27"/>
  <c r="W533" i="27"/>
  <c r="W545" i="27"/>
  <c r="W557" i="27"/>
  <c r="W560" i="27"/>
  <c r="W563" i="27"/>
  <c r="W554" i="27"/>
  <c r="W566" i="27"/>
  <c r="W530" i="27"/>
  <c r="W542" i="27"/>
  <c r="W548" i="27"/>
  <c r="W551" i="27"/>
  <c r="W527" i="27"/>
  <c r="W539" i="27"/>
  <c r="W536" i="27"/>
  <c r="W290" i="27"/>
  <c r="W311" i="27"/>
  <c r="W308" i="27"/>
  <c r="W305" i="27"/>
  <c r="W314" i="27"/>
  <c r="W299" i="27"/>
  <c r="W296" i="27"/>
  <c r="W302" i="27"/>
  <c r="W293" i="27"/>
  <c r="X62" i="27"/>
  <c r="X437" i="27"/>
  <c r="X425" i="27"/>
  <c r="X428" i="27"/>
  <c r="X434" i="27"/>
  <c r="X419" i="27"/>
  <c r="X422" i="27"/>
  <c r="X431" i="27"/>
  <c r="X416" i="27"/>
  <c r="X521" i="27"/>
  <c r="X512" i="27"/>
  <c r="X518" i="27"/>
  <c r="X509" i="27"/>
  <c r="X515" i="27"/>
  <c r="X506" i="27"/>
  <c r="X524" i="27"/>
  <c r="X344" i="27"/>
  <c r="X335" i="27"/>
  <c r="X317" i="27"/>
  <c r="X326" i="27"/>
  <c r="X338" i="27"/>
  <c r="X329" i="27"/>
  <c r="X320" i="27"/>
  <c r="X332" i="27"/>
  <c r="X341" i="27"/>
  <c r="X323" i="27"/>
  <c r="X485" i="27"/>
  <c r="X494" i="27"/>
  <c r="X503" i="27"/>
  <c r="X488" i="27"/>
  <c r="X497" i="27"/>
  <c r="X500" i="27"/>
  <c r="X491" i="27"/>
  <c r="X440" i="27"/>
  <c r="X446" i="27"/>
  <c r="X449" i="27"/>
  <c r="X452" i="27"/>
  <c r="X443" i="27"/>
  <c r="X455" i="27"/>
  <c r="X458" i="27"/>
  <c r="X77" i="27"/>
  <c r="X98" i="27"/>
  <c r="X131" i="27"/>
  <c r="X110" i="27"/>
  <c r="X125" i="27"/>
  <c r="X122" i="27"/>
  <c r="X137" i="27"/>
  <c r="X80" i="27"/>
  <c r="X104" i="27"/>
  <c r="X83" i="27"/>
  <c r="X119" i="27"/>
  <c r="X113" i="27"/>
  <c r="X86" i="27"/>
  <c r="X101" i="27"/>
  <c r="X134" i="27"/>
  <c r="X128" i="27"/>
  <c r="X116" i="27"/>
  <c r="X92" i="27"/>
  <c r="X107" i="27"/>
  <c r="X95" i="27"/>
  <c r="X89" i="27"/>
  <c r="X224" i="27"/>
  <c r="X218" i="27"/>
  <c r="X254" i="27"/>
  <c r="X248" i="27"/>
  <c r="X257" i="27"/>
  <c r="X233" i="27"/>
  <c r="X230" i="27"/>
  <c r="X242" i="27"/>
  <c r="X260" i="27"/>
  <c r="X263" i="27"/>
  <c r="X236" i="27"/>
  <c r="X266" i="27"/>
  <c r="X251" i="27"/>
  <c r="X239" i="27"/>
  <c r="X245" i="27"/>
  <c r="X221" i="27"/>
  <c r="X227" i="27"/>
  <c r="X143" i="27"/>
  <c r="X140" i="27"/>
  <c r="X146" i="27"/>
  <c r="X149" i="27"/>
  <c r="X152" i="27"/>
  <c r="X155" i="27"/>
  <c r="X158" i="27"/>
  <c r="X161" i="27"/>
  <c r="X533" i="27"/>
  <c r="X545" i="27"/>
  <c r="X557" i="27"/>
  <c r="X560" i="27"/>
  <c r="X563" i="27"/>
  <c r="X554" i="27"/>
  <c r="X566" i="27"/>
  <c r="X530" i="27"/>
  <c r="X542" i="27"/>
  <c r="X548" i="27"/>
  <c r="X551" i="27"/>
  <c r="X527" i="27"/>
  <c r="X539" i="27"/>
  <c r="X536" i="27"/>
  <c r="X290" i="27"/>
  <c r="X311" i="27"/>
  <c r="X308" i="27"/>
  <c r="X305" i="27"/>
  <c r="X314" i="27"/>
  <c r="X299" i="27"/>
  <c r="X296" i="27"/>
  <c r="X302" i="27"/>
  <c r="X293" i="27"/>
  <c r="Y62" i="27"/>
  <c r="Y437" i="27"/>
  <c r="Y425" i="27"/>
  <c r="Y428" i="27"/>
  <c r="Y434" i="27"/>
  <c r="Y419" i="27"/>
  <c r="Y422" i="27"/>
  <c r="Y431" i="27"/>
  <c r="Y416" i="27"/>
  <c r="Y521" i="27"/>
  <c r="Y512" i="27"/>
  <c r="Y518" i="27"/>
  <c r="Y509" i="27"/>
  <c r="Y515" i="27"/>
  <c r="Y506" i="27"/>
  <c r="Y524" i="27"/>
  <c r="Y344" i="27"/>
  <c r="Y335" i="27"/>
  <c r="Y317" i="27"/>
  <c r="Y326" i="27"/>
  <c r="Y338" i="27"/>
  <c r="Y329" i="27"/>
  <c r="Y320" i="27"/>
  <c r="Y332" i="27"/>
  <c r="Y341" i="27"/>
  <c r="Y323" i="27"/>
  <c r="Y485" i="27"/>
  <c r="Y494" i="27"/>
  <c r="Y503" i="27"/>
  <c r="Y488" i="27"/>
  <c r="Y497" i="27"/>
  <c r="Y500" i="27"/>
  <c r="Y491" i="27"/>
  <c r="Y440" i="27"/>
  <c r="Y446" i="27"/>
  <c r="Y449" i="27"/>
  <c r="Y452" i="27"/>
  <c r="Y443" i="27"/>
  <c r="Y455" i="27"/>
  <c r="Y458" i="27"/>
  <c r="Y77" i="27"/>
  <c r="Y98" i="27"/>
  <c r="Y131" i="27"/>
  <c r="Y110" i="27"/>
  <c r="Y125" i="27"/>
  <c r="Y122" i="27"/>
  <c r="Y137" i="27"/>
  <c r="Y80" i="27"/>
  <c r="Y104" i="27"/>
  <c r="Y83" i="27"/>
  <c r="Y119" i="27"/>
  <c r="Y113" i="27"/>
  <c r="Y86" i="27"/>
  <c r="Y101" i="27"/>
  <c r="Y134" i="27"/>
  <c r="Y128" i="27"/>
  <c r="Y116" i="27"/>
  <c r="Y92" i="27"/>
  <c r="Y107" i="27"/>
  <c r="Y95" i="27"/>
  <c r="Y89" i="27"/>
  <c r="Y224" i="27"/>
  <c r="Y218" i="27"/>
  <c r="Y254" i="27"/>
  <c r="Y248" i="27"/>
  <c r="Y257" i="27"/>
  <c r="Y233" i="27"/>
  <c r="Y230" i="27"/>
  <c r="Y242" i="27"/>
  <c r="Y260" i="27"/>
  <c r="Y263" i="27"/>
  <c r="Y236" i="27"/>
  <c r="Y266" i="27"/>
  <c r="Y251" i="27"/>
  <c r="Y239" i="27"/>
  <c r="Y245" i="27"/>
  <c r="Y221" i="27"/>
  <c r="Y227" i="27"/>
  <c r="Y143" i="27"/>
  <c r="Y140" i="27"/>
  <c r="Y146" i="27"/>
  <c r="Y149" i="27"/>
  <c r="Y152" i="27"/>
  <c r="Y155" i="27"/>
  <c r="Y158" i="27"/>
  <c r="Y161" i="27"/>
  <c r="Y533" i="27"/>
  <c r="Y545" i="27"/>
  <c r="Y557" i="27"/>
  <c r="Y560" i="27"/>
  <c r="Y563" i="27"/>
  <c r="Y554" i="27"/>
  <c r="Y566" i="27"/>
  <c r="Y530" i="27"/>
  <c r="Y542" i="27"/>
  <c r="Y548" i="27"/>
  <c r="Y551" i="27"/>
  <c r="Y527" i="27"/>
  <c r="Y539" i="27"/>
  <c r="Y536" i="27"/>
  <c r="Y290" i="27"/>
  <c r="Y311" i="27"/>
  <c r="Y308" i="27"/>
  <c r="Y305" i="27"/>
  <c r="Y314" i="27"/>
  <c r="Y299" i="27"/>
  <c r="Y296" i="27"/>
  <c r="Y302" i="27"/>
  <c r="Y293" i="27"/>
  <c r="AB62" i="27"/>
  <c r="AB437" i="27"/>
  <c r="AB425" i="27"/>
  <c r="AB428" i="27"/>
  <c r="AB434" i="27"/>
  <c r="AB419" i="27"/>
  <c r="AB422" i="27"/>
  <c r="AB431" i="27"/>
  <c r="AB416" i="27"/>
  <c r="AB521" i="27"/>
  <c r="AB512" i="27"/>
  <c r="AB518" i="27"/>
  <c r="AB509" i="27"/>
  <c r="AB515" i="27"/>
  <c r="AB506" i="27"/>
  <c r="AB524" i="27"/>
  <c r="AB344" i="27"/>
  <c r="AB335" i="27"/>
  <c r="AB317" i="27"/>
  <c r="AB326" i="27"/>
  <c r="AB338" i="27"/>
  <c r="AB329" i="27"/>
  <c r="AB320" i="27"/>
  <c r="AB332" i="27"/>
  <c r="AB341" i="27"/>
  <c r="AB323" i="27"/>
  <c r="AB485" i="27"/>
  <c r="AB494" i="27"/>
  <c r="AB503" i="27"/>
  <c r="AB488" i="27"/>
  <c r="AB497" i="27"/>
  <c r="AB500" i="27"/>
  <c r="AB491" i="27"/>
  <c r="AB440" i="27"/>
  <c r="AB446" i="27"/>
  <c r="AB449" i="27"/>
  <c r="AB452" i="27"/>
  <c r="AB443" i="27"/>
  <c r="AB455" i="27"/>
  <c r="AB458" i="27"/>
  <c r="AB77" i="27"/>
  <c r="AB98" i="27"/>
  <c r="AB131" i="27"/>
  <c r="AB110" i="27"/>
  <c r="AB125" i="27"/>
  <c r="AB122" i="27"/>
  <c r="AB137" i="27"/>
  <c r="AB80" i="27"/>
  <c r="AB104" i="27"/>
  <c r="AB83" i="27"/>
  <c r="AB119" i="27"/>
  <c r="AB113" i="27"/>
  <c r="AB86" i="27"/>
  <c r="AB101" i="27"/>
  <c r="AB134" i="27"/>
  <c r="AB128" i="27"/>
  <c r="AB116" i="27"/>
  <c r="AB92" i="27"/>
  <c r="AB107" i="27"/>
  <c r="AB95" i="27"/>
  <c r="AB89" i="27"/>
  <c r="AB224" i="27"/>
  <c r="AB218" i="27"/>
  <c r="AB254" i="27"/>
  <c r="AB248" i="27"/>
  <c r="AB257" i="27"/>
  <c r="AB233" i="27"/>
  <c r="AB230" i="27"/>
  <c r="AB242" i="27"/>
  <c r="AB260" i="27"/>
  <c r="AB263" i="27"/>
  <c r="AB236" i="27"/>
  <c r="AB266" i="27"/>
  <c r="AB251" i="27"/>
  <c r="AB239" i="27"/>
  <c r="AB245" i="27"/>
  <c r="AB221" i="27"/>
  <c r="AB227" i="27"/>
  <c r="AB143" i="27"/>
  <c r="AB140" i="27"/>
  <c r="AB146" i="27"/>
  <c r="AB149" i="27"/>
  <c r="AB152" i="27"/>
  <c r="AB155" i="27"/>
  <c r="AB158" i="27"/>
  <c r="AB161" i="27"/>
  <c r="AB533" i="27"/>
  <c r="AB545" i="27"/>
  <c r="AB557" i="27"/>
  <c r="AB560" i="27"/>
  <c r="AB563" i="27"/>
  <c r="AB554" i="27"/>
  <c r="AB566" i="27"/>
  <c r="AB530" i="27"/>
  <c r="AB542" i="27"/>
  <c r="AB548" i="27"/>
  <c r="AB551" i="27"/>
  <c r="AB527" i="27"/>
  <c r="AB539" i="27"/>
  <c r="AB536" i="27"/>
  <c r="AB290" i="27"/>
  <c r="AB311" i="27"/>
  <c r="AB308" i="27"/>
  <c r="AB305" i="27"/>
  <c r="AB314" i="27"/>
  <c r="AB299" i="27"/>
  <c r="AB296" i="27"/>
  <c r="AB302" i="27"/>
  <c r="AB293" i="27"/>
  <c r="AC62" i="27"/>
  <c r="AC437" i="27"/>
  <c r="AC425" i="27"/>
  <c r="AC428" i="27"/>
  <c r="AC434" i="27"/>
  <c r="AC419" i="27"/>
  <c r="AC422" i="27"/>
  <c r="AC431" i="27"/>
  <c r="AC416" i="27"/>
  <c r="AC521" i="27"/>
  <c r="AC512" i="27"/>
  <c r="AC518" i="27"/>
  <c r="AC509" i="27"/>
  <c r="AC515" i="27"/>
  <c r="AC506" i="27"/>
  <c r="AC524" i="27"/>
  <c r="AC344" i="27"/>
  <c r="AC335" i="27"/>
  <c r="AC317" i="27"/>
  <c r="AC326" i="27"/>
  <c r="AC338" i="27"/>
  <c r="AC329" i="27"/>
  <c r="AC320" i="27"/>
  <c r="AC332" i="27"/>
  <c r="AC341" i="27"/>
  <c r="AC323" i="27"/>
  <c r="AC485" i="27"/>
  <c r="AC494" i="27"/>
  <c r="AC503" i="27"/>
  <c r="AC488" i="27"/>
  <c r="AC497" i="27"/>
  <c r="AC500" i="27"/>
  <c r="AC491" i="27"/>
  <c r="AC440" i="27"/>
  <c r="AC446" i="27"/>
  <c r="AC449" i="27"/>
  <c r="AC452" i="27"/>
  <c r="AC443" i="27"/>
  <c r="AC455" i="27"/>
  <c r="AC458" i="27"/>
  <c r="AC77" i="27"/>
  <c r="AC98" i="27"/>
  <c r="AC131" i="27"/>
  <c r="AC110" i="27"/>
  <c r="AC125" i="27"/>
  <c r="AC122" i="27"/>
  <c r="AC137" i="27"/>
  <c r="AC80" i="27"/>
  <c r="AC104" i="27"/>
  <c r="AC83" i="27"/>
  <c r="AC119" i="27"/>
  <c r="AC113" i="27"/>
  <c r="AC86" i="27"/>
  <c r="AC101" i="27"/>
  <c r="AC134" i="27"/>
  <c r="AC128" i="27"/>
  <c r="AC116" i="27"/>
  <c r="AC92" i="27"/>
  <c r="AC107" i="27"/>
  <c r="AC95" i="27"/>
  <c r="AC89" i="27"/>
  <c r="AC224" i="27"/>
  <c r="AC218" i="27"/>
  <c r="AC254" i="27"/>
  <c r="AC248" i="27"/>
  <c r="AC257" i="27"/>
  <c r="AC233" i="27"/>
  <c r="AC230" i="27"/>
  <c r="AC242" i="27"/>
  <c r="AC260" i="27"/>
  <c r="AC263" i="27"/>
  <c r="AC236" i="27"/>
  <c r="AC266" i="27"/>
  <c r="AC251" i="27"/>
  <c r="AC239" i="27"/>
  <c r="AC245" i="27"/>
  <c r="AC221" i="27"/>
  <c r="AC227" i="27"/>
  <c r="AC143" i="27"/>
  <c r="AC140" i="27"/>
  <c r="AC146" i="27"/>
  <c r="AC149" i="27"/>
  <c r="AC152" i="27"/>
  <c r="AC155" i="27"/>
  <c r="AC158" i="27"/>
  <c r="AC161" i="27"/>
  <c r="AC533" i="27"/>
  <c r="AC545" i="27"/>
  <c r="AC557" i="27"/>
  <c r="AC560" i="27"/>
  <c r="AC563" i="27"/>
  <c r="AC554" i="27"/>
  <c r="AC566" i="27"/>
  <c r="AC530" i="27"/>
  <c r="AC542" i="27"/>
  <c r="AC548" i="27"/>
  <c r="AC551" i="27"/>
  <c r="AC527" i="27"/>
  <c r="AC539" i="27"/>
  <c r="AC536" i="27"/>
  <c r="AC290" i="27"/>
  <c r="AC311" i="27"/>
  <c r="AC308" i="27"/>
  <c r="AC305" i="27"/>
  <c r="AC314" i="27"/>
  <c r="AC299" i="27"/>
  <c r="AC296" i="27"/>
  <c r="AC302" i="27"/>
  <c r="AC293" i="27"/>
  <c r="AD62" i="27"/>
  <c r="AD437" i="27"/>
  <c r="AD425" i="27"/>
  <c r="AD428" i="27"/>
  <c r="AD434" i="27"/>
  <c r="AD419" i="27"/>
  <c r="AD422" i="27"/>
  <c r="AD431" i="27"/>
  <c r="AD416" i="27"/>
  <c r="AD521" i="27"/>
  <c r="AD512" i="27"/>
  <c r="AD518" i="27"/>
  <c r="AD509" i="27"/>
  <c r="AD515" i="27"/>
  <c r="AD506" i="27"/>
  <c r="AD524" i="27"/>
  <c r="AD344" i="27"/>
  <c r="AD335" i="27"/>
  <c r="AD317" i="27"/>
  <c r="AD326" i="27"/>
  <c r="AD338" i="27"/>
  <c r="AD329" i="27"/>
  <c r="AD320" i="27"/>
  <c r="AD332" i="27"/>
  <c r="AD341" i="27"/>
  <c r="AD323" i="27"/>
  <c r="AD485" i="27"/>
  <c r="AD494" i="27"/>
  <c r="AD503" i="27"/>
  <c r="AD488" i="27"/>
  <c r="AD497" i="27"/>
  <c r="AD500" i="27"/>
  <c r="AD491" i="27"/>
  <c r="AD440" i="27"/>
  <c r="AD446" i="27"/>
  <c r="AD449" i="27"/>
  <c r="AD452" i="27"/>
  <c r="AD443" i="27"/>
  <c r="AD455" i="27"/>
  <c r="AD458" i="27"/>
  <c r="AD77" i="27"/>
  <c r="AD98" i="27"/>
  <c r="AD131" i="27"/>
  <c r="AD110" i="27"/>
  <c r="AD125" i="27"/>
  <c r="AD122" i="27"/>
  <c r="AD137" i="27"/>
  <c r="AD80" i="27"/>
  <c r="AD104" i="27"/>
  <c r="AD83" i="27"/>
  <c r="AD119" i="27"/>
  <c r="AD113" i="27"/>
  <c r="AD86" i="27"/>
  <c r="AD101" i="27"/>
  <c r="AD134" i="27"/>
  <c r="AD128" i="27"/>
  <c r="AD116" i="27"/>
  <c r="AD92" i="27"/>
  <c r="AD107" i="27"/>
  <c r="AD95" i="27"/>
  <c r="AD89" i="27"/>
  <c r="AD224" i="27"/>
  <c r="AD218" i="27"/>
  <c r="AD254" i="27"/>
  <c r="AD248" i="27"/>
  <c r="AD257" i="27"/>
  <c r="AD233" i="27"/>
  <c r="AD230" i="27"/>
  <c r="AD242" i="27"/>
  <c r="AD260" i="27"/>
  <c r="AD263" i="27"/>
  <c r="AD236" i="27"/>
  <c r="AD266" i="27"/>
  <c r="AD251" i="27"/>
  <c r="AD239" i="27"/>
  <c r="AD245" i="27"/>
  <c r="AD221" i="27"/>
  <c r="AD227" i="27"/>
  <c r="AD143" i="27"/>
  <c r="AD140" i="27"/>
  <c r="AD146" i="27"/>
  <c r="AD149" i="27"/>
  <c r="AD152" i="27"/>
  <c r="AD155" i="27"/>
  <c r="AD158" i="27"/>
  <c r="AD161" i="27"/>
  <c r="AD533" i="27"/>
  <c r="AD545" i="27"/>
  <c r="AD557" i="27"/>
  <c r="AD560" i="27"/>
  <c r="AD563" i="27"/>
  <c r="AD554" i="27"/>
  <c r="AD566" i="27"/>
  <c r="AD530" i="27"/>
  <c r="AD542" i="27"/>
  <c r="AD548" i="27"/>
  <c r="AD551" i="27"/>
  <c r="AD527" i="27"/>
  <c r="AD539" i="27"/>
  <c r="AD536" i="27"/>
  <c r="AD290" i="27"/>
  <c r="AD311" i="27"/>
  <c r="AD308" i="27"/>
  <c r="AD305" i="27"/>
  <c r="AD314" i="27"/>
  <c r="AD299" i="27"/>
  <c r="AD296" i="27"/>
  <c r="AD302" i="27"/>
  <c r="AD293" i="27"/>
  <c r="AE62" i="27"/>
  <c r="AE437" i="27"/>
  <c r="AE425" i="27"/>
  <c r="AE428" i="27"/>
  <c r="AE434" i="27"/>
  <c r="AE419" i="27"/>
  <c r="AE422" i="27"/>
  <c r="AE431" i="27"/>
  <c r="AE416" i="27"/>
  <c r="AE521" i="27"/>
  <c r="AE512" i="27"/>
  <c r="AE518" i="27"/>
  <c r="AE509" i="27"/>
  <c r="AE515" i="27"/>
  <c r="AE506" i="27"/>
  <c r="AE524" i="27"/>
  <c r="AE344" i="27"/>
  <c r="AE335" i="27"/>
  <c r="AE317" i="27"/>
  <c r="AE326" i="27"/>
  <c r="AE338" i="27"/>
  <c r="AE329" i="27"/>
  <c r="AE320" i="27"/>
  <c r="AE332" i="27"/>
  <c r="AE341" i="27"/>
  <c r="AE323" i="27"/>
  <c r="AE485" i="27"/>
  <c r="AE494" i="27"/>
  <c r="AE503" i="27"/>
  <c r="AE488" i="27"/>
  <c r="AE497" i="27"/>
  <c r="AE500" i="27"/>
  <c r="AE491" i="27"/>
  <c r="AE440" i="27"/>
  <c r="AE446" i="27"/>
  <c r="AE449" i="27"/>
  <c r="AE452" i="27"/>
  <c r="AE443" i="27"/>
  <c r="AE455" i="27"/>
  <c r="AE458" i="27"/>
  <c r="AE77" i="27"/>
  <c r="AE98" i="27"/>
  <c r="AE131" i="27"/>
  <c r="AE110" i="27"/>
  <c r="AE125" i="27"/>
  <c r="AE122" i="27"/>
  <c r="AE137" i="27"/>
  <c r="AE80" i="27"/>
  <c r="AE104" i="27"/>
  <c r="AE83" i="27"/>
  <c r="AE119" i="27"/>
  <c r="AE113" i="27"/>
  <c r="AE86" i="27"/>
  <c r="AE101" i="27"/>
  <c r="AE134" i="27"/>
  <c r="AE128" i="27"/>
  <c r="AE116" i="27"/>
  <c r="AE92" i="27"/>
  <c r="AE107" i="27"/>
  <c r="AE95" i="27"/>
  <c r="AE89" i="27"/>
  <c r="AE224" i="27"/>
  <c r="AE218" i="27"/>
  <c r="AE254" i="27"/>
  <c r="AE248" i="27"/>
  <c r="AE257" i="27"/>
  <c r="AE233" i="27"/>
  <c r="AE230" i="27"/>
  <c r="AE242" i="27"/>
  <c r="AE260" i="27"/>
  <c r="AE263" i="27"/>
  <c r="AE236" i="27"/>
  <c r="AE266" i="27"/>
  <c r="AE251" i="27"/>
  <c r="AE239" i="27"/>
  <c r="AE245" i="27"/>
  <c r="AE221" i="27"/>
  <c r="AE227" i="27"/>
  <c r="AE143" i="27"/>
  <c r="AE140" i="27"/>
  <c r="AE146" i="27"/>
  <c r="AE149" i="27"/>
  <c r="AE152" i="27"/>
  <c r="AE155" i="27"/>
  <c r="AE158" i="27"/>
  <c r="AE161" i="27"/>
  <c r="AE533" i="27"/>
  <c r="AE545" i="27"/>
  <c r="AE557" i="27"/>
  <c r="AE560" i="27"/>
  <c r="AE563" i="27"/>
  <c r="AE554" i="27"/>
  <c r="AE566" i="27"/>
  <c r="AE530" i="27"/>
  <c r="AE542" i="27"/>
  <c r="AE548" i="27"/>
  <c r="AE551" i="27"/>
  <c r="AE527" i="27"/>
  <c r="AE539" i="27"/>
  <c r="AE536" i="27"/>
  <c r="AE290" i="27"/>
  <c r="AE311" i="27"/>
  <c r="AE308" i="27"/>
  <c r="AE305" i="27"/>
  <c r="AE314" i="27"/>
  <c r="AE299" i="27"/>
  <c r="AE296" i="27"/>
  <c r="AE302" i="27"/>
  <c r="AE293" i="27"/>
  <c r="R77" i="93"/>
  <c r="R87" i="93"/>
  <c r="R78" i="93"/>
  <c r="R79" i="93"/>
  <c r="R80" i="93"/>
  <c r="R88" i="93"/>
  <c r="R75" i="93"/>
  <c r="R23" i="93"/>
  <c r="R81" i="93"/>
  <c r="R86" i="93"/>
  <c r="R82" i="93"/>
  <c r="R83" i="93"/>
  <c r="R84" i="93"/>
  <c r="R5" i="93"/>
  <c r="R190" i="93"/>
  <c r="S77" i="93"/>
  <c r="S87" i="93"/>
  <c r="S78" i="93"/>
  <c r="S79" i="93"/>
  <c r="S80" i="93"/>
  <c r="S88" i="93"/>
  <c r="S75" i="93"/>
  <c r="S23" i="93"/>
  <c r="S81" i="93"/>
  <c r="S86" i="93"/>
  <c r="S82" i="93"/>
  <c r="S83" i="93"/>
  <c r="S84" i="93"/>
  <c r="S5" i="93"/>
  <c r="S190" i="93"/>
  <c r="T77" i="93"/>
  <c r="T87" i="93"/>
  <c r="T78" i="93"/>
  <c r="T79" i="93"/>
  <c r="T80" i="93"/>
  <c r="T88" i="93"/>
  <c r="T75" i="93"/>
  <c r="T23" i="93"/>
  <c r="T81" i="93"/>
  <c r="T86" i="93"/>
  <c r="T82" i="93"/>
  <c r="T83" i="93"/>
  <c r="T84" i="93"/>
  <c r="T5" i="93"/>
  <c r="T190" i="93"/>
  <c r="U77" i="93"/>
  <c r="U87" i="93"/>
  <c r="U78" i="93"/>
  <c r="U79" i="93"/>
  <c r="U80" i="93"/>
  <c r="U88" i="93"/>
  <c r="U75" i="93"/>
  <c r="U23" i="93"/>
  <c r="U81" i="93"/>
  <c r="U86" i="93"/>
  <c r="U82" i="93"/>
  <c r="U83" i="93"/>
  <c r="U84" i="93"/>
  <c r="U5" i="93"/>
  <c r="U190" i="93"/>
  <c r="V77" i="93"/>
  <c r="X77" i="93" s="1"/>
  <c r="V87" i="93"/>
  <c r="X87" i="93" s="1"/>
  <c r="V78" i="93"/>
  <c r="X78" i="93" s="1"/>
  <c r="V79" i="93"/>
  <c r="X79" i="93" s="1"/>
  <c r="V80" i="93"/>
  <c r="X80" i="93" s="1"/>
  <c r="V88" i="93"/>
  <c r="X88" i="93" s="1"/>
  <c r="V75" i="93"/>
  <c r="X75" i="93" s="1"/>
  <c r="V23" i="93"/>
  <c r="X23" i="93" s="1"/>
  <c r="V81" i="93"/>
  <c r="X81" i="93" s="1"/>
  <c r="V86" i="93"/>
  <c r="X86" i="93" s="1"/>
  <c r="V82" i="93"/>
  <c r="X82" i="93" s="1"/>
  <c r="V83" i="93"/>
  <c r="X83" i="93" s="1"/>
  <c r="V84" i="93"/>
  <c r="X84" i="93" s="1"/>
  <c r="V5" i="93"/>
  <c r="X5" i="93" s="1"/>
  <c r="V190" i="93"/>
  <c r="X190" i="93" s="1"/>
  <c r="T32" i="27"/>
  <c r="T68" i="27"/>
  <c r="T35" i="27"/>
  <c r="T38" i="27"/>
  <c r="T41" i="27"/>
  <c r="T74" i="27"/>
  <c r="T26" i="27"/>
  <c r="T47" i="27"/>
  <c r="T50" i="27"/>
  <c r="T65" i="27"/>
  <c r="T53" i="27"/>
  <c r="T56" i="27"/>
  <c r="T59" i="27"/>
  <c r="T71" i="27"/>
  <c r="T44" i="27"/>
  <c r="U32" i="27"/>
  <c r="U68" i="27"/>
  <c r="U35" i="27"/>
  <c r="U38" i="27"/>
  <c r="U41" i="27"/>
  <c r="U74" i="27"/>
  <c r="U26" i="27"/>
  <c r="U47" i="27"/>
  <c r="U50" i="27"/>
  <c r="U65" i="27"/>
  <c r="U53" i="27"/>
  <c r="U56" i="27"/>
  <c r="U59" i="27"/>
  <c r="U71" i="27"/>
  <c r="U44" i="27"/>
  <c r="V32" i="27"/>
  <c r="V68" i="27"/>
  <c r="V35" i="27"/>
  <c r="V38" i="27"/>
  <c r="V41" i="27"/>
  <c r="V74" i="27"/>
  <c r="V26" i="27"/>
  <c r="V47" i="27"/>
  <c r="V50" i="27"/>
  <c r="V65" i="27"/>
  <c r="V53" i="27"/>
  <c r="V56" i="27"/>
  <c r="V59" i="27"/>
  <c r="V71" i="27"/>
  <c r="V44" i="27"/>
  <c r="W32" i="27"/>
  <c r="W68" i="27"/>
  <c r="W35" i="27"/>
  <c r="W38" i="27"/>
  <c r="W41" i="27"/>
  <c r="W74" i="27"/>
  <c r="W26" i="27"/>
  <c r="W47" i="27"/>
  <c r="W50" i="27"/>
  <c r="W65" i="27"/>
  <c r="W53" i="27"/>
  <c r="W56" i="27"/>
  <c r="W59" i="27"/>
  <c r="W71" i="27"/>
  <c r="W44" i="27"/>
  <c r="X32" i="27"/>
  <c r="X68" i="27"/>
  <c r="X35" i="27"/>
  <c r="X38" i="27"/>
  <c r="X41" i="27"/>
  <c r="X74" i="27"/>
  <c r="X26" i="27"/>
  <c r="X47" i="27"/>
  <c r="X50" i="27"/>
  <c r="X65" i="27"/>
  <c r="X53" i="27"/>
  <c r="X56" i="27"/>
  <c r="X59" i="27"/>
  <c r="X71" i="27"/>
  <c r="X44" i="27"/>
  <c r="Y32" i="27"/>
  <c r="Y68" i="27"/>
  <c r="Y35" i="27"/>
  <c r="Y38" i="27"/>
  <c r="Y41" i="27"/>
  <c r="Y74" i="27"/>
  <c r="Y26" i="27"/>
  <c r="Y47" i="27"/>
  <c r="Y50" i="27"/>
  <c r="Y65" i="27"/>
  <c r="Y53" i="27"/>
  <c r="Y56" i="27"/>
  <c r="Y59" i="27"/>
  <c r="Y71" i="27"/>
  <c r="Y44" i="27"/>
  <c r="AB32" i="27"/>
  <c r="AB68" i="27"/>
  <c r="AB35" i="27"/>
  <c r="AB38" i="27"/>
  <c r="AB41" i="27"/>
  <c r="AB74" i="27"/>
  <c r="AB26" i="27"/>
  <c r="AB47" i="27"/>
  <c r="AB50" i="27"/>
  <c r="AB65" i="27"/>
  <c r="AB53" i="27"/>
  <c r="AB56" i="27"/>
  <c r="AB59" i="27"/>
  <c r="AB71" i="27"/>
  <c r="AB44" i="27"/>
  <c r="AC32" i="27"/>
  <c r="AC68" i="27"/>
  <c r="AC35" i="27"/>
  <c r="AC38" i="27"/>
  <c r="AC41" i="27"/>
  <c r="AC74" i="27"/>
  <c r="AC26" i="27"/>
  <c r="AC47" i="27"/>
  <c r="AC50" i="27"/>
  <c r="AC65" i="27"/>
  <c r="AC53" i="27"/>
  <c r="AC56" i="27"/>
  <c r="AC59" i="27"/>
  <c r="AC71" i="27"/>
  <c r="AC44" i="27"/>
  <c r="AD32" i="27"/>
  <c r="AD68" i="27"/>
  <c r="AD35" i="27"/>
  <c r="AD38" i="27"/>
  <c r="AD41" i="27"/>
  <c r="AD74" i="27"/>
  <c r="AD26" i="27"/>
  <c r="AD47" i="27"/>
  <c r="AD50" i="27"/>
  <c r="AD65" i="27"/>
  <c r="AD53" i="27"/>
  <c r="AD56" i="27"/>
  <c r="AD59" i="27"/>
  <c r="AD71" i="27"/>
  <c r="AD44" i="27"/>
  <c r="AE32" i="27"/>
  <c r="AE68" i="27"/>
  <c r="AE35" i="27"/>
  <c r="AE38" i="27"/>
  <c r="AE41" i="27"/>
  <c r="AE74" i="27"/>
  <c r="AE26" i="27"/>
  <c r="AE47" i="27"/>
  <c r="AE50" i="27"/>
  <c r="AE65" i="27"/>
  <c r="AE53" i="27"/>
  <c r="AE56" i="27"/>
  <c r="AE59" i="27"/>
  <c r="AE71" i="27"/>
  <c r="AE44" i="27"/>
  <c r="W473" i="27"/>
  <c r="W476" i="27"/>
  <c r="W479" i="27"/>
  <c r="W482" i="27"/>
  <c r="W464" i="27"/>
  <c r="W461" i="27"/>
  <c r="W470" i="27"/>
  <c r="W467" i="27"/>
  <c r="W275" i="27"/>
  <c r="W278" i="27"/>
  <c r="W281" i="27"/>
  <c r="W269" i="27"/>
  <c r="W272" i="27"/>
  <c r="W284" i="27"/>
  <c r="W287" i="27"/>
  <c r="W191" i="27"/>
  <c r="W194" i="27"/>
  <c r="W200" i="27"/>
  <c r="W197" i="27"/>
  <c r="W203" i="27"/>
  <c r="W206" i="27"/>
  <c r="W209" i="27"/>
  <c r="W215" i="27"/>
  <c r="W212" i="27"/>
  <c r="W167" i="27"/>
  <c r="W179" i="27"/>
  <c r="W170" i="27"/>
  <c r="W164" i="27"/>
  <c r="W176" i="27"/>
  <c r="W185" i="27"/>
  <c r="W182" i="27"/>
  <c r="W173" i="27"/>
  <c r="W188" i="27"/>
  <c r="W380" i="27"/>
  <c r="W383" i="27"/>
  <c r="W386" i="27"/>
  <c r="W395" i="27"/>
  <c r="W407" i="27"/>
  <c r="W389" i="27"/>
  <c r="W413" i="27"/>
  <c r="W392" i="27"/>
  <c r="W398" i="27"/>
  <c r="W410" i="27"/>
  <c r="W401" i="27"/>
  <c r="W404" i="27"/>
  <c r="W347" i="27"/>
  <c r="W350" i="27"/>
  <c r="W356" i="27"/>
  <c r="W353" i="27"/>
  <c r="W365" i="27"/>
  <c r="W359" i="27"/>
  <c r="W371" i="27"/>
  <c r="W377" i="27"/>
  <c r="W362" i="27"/>
  <c r="W368" i="27"/>
  <c r="W374" i="27"/>
  <c r="W11" i="27"/>
  <c r="W5" i="27"/>
  <c r="W17" i="27"/>
  <c r="W23" i="27"/>
  <c r="W14" i="27"/>
  <c r="W8" i="27"/>
  <c r="W20" i="27"/>
  <c r="W29" i="27"/>
  <c r="Y473" i="27"/>
  <c r="Y476" i="27"/>
  <c r="Y479" i="27"/>
  <c r="Y482" i="27"/>
  <c r="Y464" i="27"/>
  <c r="Y461" i="27"/>
  <c r="Y470" i="27"/>
  <c r="Y467" i="27"/>
  <c r="Y275" i="27"/>
  <c r="Y278" i="27"/>
  <c r="Y281" i="27"/>
  <c r="Y269" i="27"/>
  <c r="Y272" i="27"/>
  <c r="Y284" i="27"/>
  <c r="Y287" i="27"/>
  <c r="Y191" i="27"/>
  <c r="Y194" i="27"/>
  <c r="Y200" i="27"/>
  <c r="Y197" i="27"/>
  <c r="Y203" i="27"/>
  <c r="Y206" i="27"/>
  <c r="Y209" i="27"/>
  <c r="Y215" i="27"/>
  <c r="Y212" i="27"/>
  <c r="Y167" i="27"/>
  <c r="Y179" i="27"/>
  <c r="Y170" i="27"/>
  <c r="Y164" i="27"/>
  <c r="Y176" i="27"/>
  <c r="Y185" i="27"/>
  <c r="Y182" i="27"/>
  <c r="Y173" i="27"/>
  <c r="Y188" i="27"/>
  <c r="Y380" i="27"/>
  <c r="Y383" i="27"/>
  <c r="Y386" i="27"/>
  <c r="Y395" i="27"/>
  <c r="Y407" i="27"/>
  <c r="Y389" i="27"/>
  <c r="Y413" i="27"/>
  <c r="Y392" i="27"/>
  <c r="Y398" i="27"/>
  <c r="Y410" i="27"/>
  <c r="Y401" i="27"/>
  <c r="Y404" i="27"/>
  <c r="Y347" i="27"/>
  <c r="Y350" i="27"/>
  <c r="Y356" i="27"/>
  <c r="Y353" i="27"/>
  <c r="Y365" i="27"/>
  <c r="Y359" i="27"/>
  <c r="Y371" i="27"/>
  <c r="Y377" i="27"/>
  <c r="Y362" i="27"/>
  <c r="Y368" i="27"/>
  <c r="Y374" i="27"/>
  <c r="Y11" i="27"/>
  <c r="Y5" i="27"/>
  <c r="Y17" i="27"/>
  <c r="Y23" i="27"/>
  <c r="Y14" i="27"/>
  <c r="Y8" i="27"/>
  <c r="Y20" i="27"/>
  <c r="Y29" i="27"/>
  <c r="X473" i="27"/>
  <c r="X476" i="27"/>
  <c r="X479" i="27"/>
  <c r="X482" i="27"/>
  <c r="X464" i="27"/>
  <c r="X461" i="27"/>
  <c r="X470" i="27"/>
  <c r="X467" i="27"/>
  <c r="X275" i="27"/>
  <c r="X278" i="27"/>
  <c r="X281" i="27"/>
  <c r="X269" i="27"/>
  <c r="X272" i="27"/>
  <c r="X284" i="27"/>
  <c r="X287" i="27"/>
  <c r="X191" i="27"/>
  <c r="X194" i="27"/>
  <c r="X200" i="27"/>
  <c r="X197" i="27"/>
  <c r="X203" i="27"/>
  <c r="X206" i="27"/>
  <c r="X209" i="27"/>
  <c r="X215" i="27"/>
  <c r="X212" i="27"/>
  <c r="X167" i="27"/>
  <c r="X179" i="27"/>
  <c r="X170" i="27"/>
  <c r="X164" i="27"/>
  <c r="X176" i="27"/>
  <c r="X185" i="27"/>
  <c r="X182" i="27"/>
  <c r="X173" i="27"/>
  <c r="X188" i="27"/>
  <c r="X380" i="27"/>
  <c r="X383" i="27"/>
  <c r="X386" i="27"/>
  <c r="X395" i="27"/>
  <c r="X407" i="27"/>
  <c r="X389" i="27"/>
  <c r="X413" i="27"/>
  <c r="X392" i="27"/>
  <c r="X398" i="27"/>
  <c r="X410" i="27"/>
  <c r="X401" i="27"/>
  <c r="X404" i="27"/>
  <c r="X347" i="27"/>
  <c r="X350" i="27"/>
  <c r="X356" i="27"/>
  <c r="X353" i="27"/>
  <c r="X365" i="27"/>
  <c r="X359" i="27"/>
  <c r="X371" i="27"/>
  <c r="X377" i="27"/>
  <c r="X362" i="27"/>
  <c r="X368" i="27"/>
  <c r="X374" i="27"/>
  <c r="X11" i="27"/>
  <c r="X5" i="27"/>
  <c r="X17" i="27"/>
  <c r="X23" i="27"/>
  <c r="X14" i="27"/>
  <c r="X8" i="27"/>
  <c r="X20" i="27"/>
  <c r="X29" i="27"/>
  <c r="V473" i="27"/>
  <c r="V476" i="27"/>
  <c r="V479" i="27"/>
  <c r="V482" i="27"/>
  <c r="V464" i="27"/>
  <c r="V461" i="27"/>
  <c r="V470" i="27"/>
  <c r="V467" i="27"/>
  <c r="V275" i="27"/>
  <c r="V278" i="27"/>
  <c r="V281" i="27"/>
  <c r="V269" i="27"/>
  <c r="V272" i="27"/>
  <c r="V284" i="27"/>
  <c r="V287" i="27"/>
  <c r="V191" i="27"/>
  <c r="V194" i="27"/>
  <c r="V200" i="27"/>
  <c r="V197" i="27"/>
  <c r="V203" i="27"/>
  <c r="V206" i="27"/>
  <c r="V209" i="27"/>
  <c r="V215" i="27"/>
  <c r="V212" i="27"/>
  <c r="V167" i="27"/>
  <c r="V179" i="27"/>
  <c r="V170" i="27"/>
  <c r="V164" i="27"/>
  <c r="V176" i="27"/>
  <c r="V185" i="27"/>
  <c r="V182" i="27"/>
  <c r="V173" i="27"/>
  <c r="V188" i="27"/>
  <c r="V380" i="27"/>
  <c r="V383" i="27"/>
  <c r="V386" i="27"/>
  <c r="V395" i="27"/>
  <c r="V407" i="27"/>
  <c r="V389" i="27"/>
  <c r="V413" i="27"/>
  <c r="V392" i="27"/>
  <c r="V398" i="27"/>
  <c r="V410" i="27"/>
  <c r="V401" i="27"/>
  <c r="V404" i="27"/>
  <c r="V347" i="27"/>
  <c r="V350" i="27"/>
  <c r="V356" i="27"/>
  <c r="V353" i="27"/>
  <c r="V365" i="27"/>
  <c r="V359" i="27"/>
  <c r="V371" i="27"/>
  <c r="V377" i="27"/>
  <c r="V362" i="27"/>
  <c r="V368" i="27"/>
  <c r="V374" i="27"/>
  <c r="V11" i="27"/>
  <c r="V5" i="27"/>
  <c r="V17" i="27"/>
  <c r="V23" i="27"/>
  <c r="V14" i="27"/>
  <c r="V8" i="27"/>
  <c r="V20" i="27"/>
  <c r="V29" i="27"/>
  <c r="U473" i="27"/>
  <c r="U476" i="27"/>
  <c r="U479" i="27"/>
  <c r="U482" i="27"/>
  <c r="U464" i="27"/>
  <c r="U461" i="27"/>
  <c r="U470" i="27"/>
  <c r="U467" i="27"/>
  <c r="U275" i="27"/>
  <c r="U278" i="27"/>
  <c r="U281" i="27"/>
  <c r="U269" i="27"/>
  <c r="U272" i="27"/>
  <c r="U284" i="27"/>
  <c r="U287" i="27"/>
  <c r="U191" i="27"/>
  <c r="U194" i="27"/>
  <c r="U200" i="27"/>
  <c r="U197" i="27"/>
  <c r="U203" i="27"/>
  <c r="U206" i="27"/>
  <c r="U209" i="27"/>
  <c r="U215" i="27"/>
  <c r="U212" i="27"/>
  <c r="U167" i="27"/>
  <c r="U179" i="27"/>
  <c r="U170" i="27"/>
  <c r="U164" i="27"/>
  <c r="U176" i="27"/>
  <c r="U185" i="27"/>
  <c r="U182" i="27"/>
  <c r="U173" i="27"/>
  <c r="U188" i="27"/>
  <c r="U380" i="27"/>
  <c r="U383" i="27"/>
  <c r="U386" i="27"/>
  <c r="U395" i="27"/>
  <c r="U407" i="27"/>
  <c r="U389" i="27"/>
  <c r="U413" i="27"/>
  <c r="U392" i="27"/>
  <c r="U398" i="27"/>
  <c r="U410" i="27"/>
  <c r="U401" i="27"/>
  <c r="U404" i="27"/>
  <c r="U347" i="27"/>
  <c r="U350" i="27"/>
  <c r="U356" i="27"/>
  <c r="U353" i="27"/>
  <c r="U365" i="27"/>
  <c r="U359" i="27"/>
  <c r="U371" i="27"/>
  <c r="U377" i="27"/>
  <c r="U362" i="27"/>
  <c r="U368" i="27"/>
  <c r="U374" i="27"/>
  <c r="U11" i="27"/>
  <c r="U5" i="27"/>
  <c r="U17" i="27"/>
  <c r="U23" i="27"/>
  <c r="U14" i="27"/>
  <c r="U8" i="27"/>
  <c r="U20" i="27"/>
  <c r="U29" i="27"/>
  <c r="T473" i="27"/>
  <c r="T476" i="27"/>
  <c r="T479" i="27"/>
  <c r="T482" i="27"/>
  <c r="T464" i="27"/>
  <c r="T461" i="27"/>
  <c r="T470" i="27"/>
  <c r="T467" i="27"/>
  <c r="T275" i="27"/>
  <c r="T278" i="27"/>
  <c r="T281" i="27"/>
  <c r="T269" i="27"/>
  <c r="T272" i="27"/>
  <c r="T284" i="27"/>
  <c r="T287" i="27"/>
  <c r="T191" i="27"/>
  <c r="T194" i="27"/>
  <c r="T200" i="27"/>
  <c r="T197" i="27"/>
  <c r="T203" i="27"/>
  <c r="T206" i="27"/>
  <c r="T209" i="27"/>
  <c r="T215" i="27"/>
  <c r="T212" i="27"/>
  <c r="T167" i="27"/>
  <c r="T179" i="27"/>
  <c r="T170" i="27"/>
  <c r="T164" i="27"/>
  <c r="T176" i="27"/>
  <c r="T185" i="27"/>
  <c r="T182" i="27"/>
  <c r="T173" i="27"/>
  <c r="T188" i="27"/>
  <c r="T380" i="27"/>
  <c r="T383" i="27"/>
  <c r="T386" i="27"/>
  <c r="T395" i="27"/>
  <c r="T407" i="27"/>
  <c r="T389" i="27"/>
  <c r="T413" i="27"/>
  <c r="T392" i="27"/>
  <c r="T398" i="27"/>
  <c r="T410" i="27"/>
  <c r="T401" i="27"/>
  <c r="T404" i="27"/>
  <c r="T347" i="27"/>
  <c r="T350" i="27"/>
  <c r="T356" i="27"/>
  <c r="T353" i="27"/>
  <c r="T365" i="27"/>
  <c r="T359" i="27"/>
  <c r="T371" i="27"/>
  <c r="T377" i="27"/>
  <c r="T362" i="27"/>
  <c r="T368" i="27"/>
  <c r="T374" i="27"/>
  <c r="T11" i="27"/>
  <c r="T5" i="27"/>
  <c r="T17" i="27"/>
  <c r="T23" i="27"/>
  <c r="T14" i="27"/>
  <c r="T8" i="27"/>
  <c r="T20" i="27"/>
  <c r="T29" i="27"/>
  <c r="R31" i="93"/>
  <c r="R32" i="93"/>
  <c r="R11" i="93"/>
  <c r="R10" i="93"/>
  <c r="R13" i="93"/>
  <c r="R12" i="93"/>
  <c r="R34" i="93"/>
  <c r="S31" i="93"/>
  <c r="S32" i="93"/>
  <c r="S11" i="93"/>
  <c r="S10" i="93"/>
  <c r="S13" i="93"/>
  <c r="S12" i="93"/>
  <c r="S34" i="93"/>
  <c r="T31" i="93"/>
  <c r="T32" i="93"/>
  <c r="T11" i="93"/>
  <c r="T10" i="93"/>
  <c r="T13" i="93"/>
  <c r="T12" i="93"/>
  <c r="T34" i="93"/>
  <c r="U31" i="93"/>
  <c r="U32" i="93"/>
  <c r="U11" i="93"/>
  <c r="U10" i="93"/>
  <c r="U13" i="93"/>
  <c r="U12" i="93"/>
  <c r="U34" i="93"/>
  <c r="V31" i="93"/>
  <c r="X31" i="93" s="1"/>
  <c r="V32" i="93"/>
  <c r="X32" i="93" s="1"/>
  <c r="V11" i="93"/>
  <c r="X11" i="93" s="1"/>
  <c r="V10" i="93"/>
  <c r="X10" i="93" s="1"/>
  <c r="V13" i="93"/>
  <c r="X13" i="93" s="1"/>
  <c r="V12" i="93"/>
  <c r="X12" i="93" s="1"/>
  <c r="V34" i="93"/>
  <c r="X34" i="93" s="1"/>
  <c r="AE473" i="27"/>
  <c r="AE476" i="27"/>
  <c r="AE479" i="27"/>
  <c r="AE482" i="27"/>
  <c r="AE464" i="27"/>
  <c r="AE461" i="27"/>
  <c r="AE470" i="27"/>
  <c r="AE467" i="27"/>
  <c r="AE275" i="27"/>
  <c r="AE278" i="27"/>
  <c r="AE281" i="27"/>
  <c r="AE269" i="27"/>
  <c r="AE272" i="27"/>
  <c r="AE284" i="27"/>
  <c r="AE287" i="27"/>
  <c r="AE191" i="27"/>
  <c r="AE194" i="27"/>
  <c r="AE200" i="27"/>
  <c r="AE197" i="27"/>
  <c r="AE203" i="27"/>
  <c r="AE206" i="27"/>
  <c r="AE209" i="27"/>
  <c r="AE215" i="27"/>
  <c r="AE212" i="27"/>
  <c r="AE167" i="27"/>
  <c r="AE179" i="27"/>
  <c r="AE170" i="27"/>
  <c r="AE164" i="27"/>
  <c r="AE176" i="27"/>
  <c r="AE185" i="27"/>
  <c r="AE182" i="27"/>
  <c r="AE173" i="27"/>
  <c r="AE188" i="27"/>
  <c r="AE380" i="27"/>
  <c r="AE383" i="27"/>
  <c r="AE386" i="27"/>
  <c r="AE395" i="27"/>
  <c r="AE407" i="27"/>
  <c r="AE389" i="27"/>
  <c r="AE413" i="27"/>
  <c r="AE392" i="27"/>
  <c r="AE398" i="27"/>
  <c r="AE410" i="27"/>
  <c r="AE401" i="27"/>
  <c r="AE404" i="27"/>
  <c r="AE347" i="27"/>
  <c r="AE350" i="27"/>
  <c r="AE356" i="27"/>
  <c r="AE353" i="27"/>
  <c r="AE365" i="27"/>
  <c r="AE359" i="27"/>
  <c r="AE371" i="27"/>
  <c r="AE377" i="27"/>
  <c r="AE362" i="27"/>
  <c r="AE368" i="27"/>
  <c r="AE374" i="27"/>
  <c r="AE11" i="27"/>
  <c r="AE5" i="27"/>
  <c r="AE17" i="27"/>
  <c r="AE23" i="27"/>
  <c r="AE14" i="27"/>
  <c r="AE8" i="27"/>
  <c r="AE20" i="27"/>
  <c r="AE29" i="27"/>
  <c r="AD473" i="27"/>
  <c r="AD476" i="27"/>
  <c r="AD479" i="27"/>
  <c r="AD482" i="27"/>
  <c r="AD464" i="27"/>
  <c r="AD461" i="27"/>
  <c r="AD470" i="27"/>
  <c r="AD467" i="27"/>
  <c r="AD275" i="27"/>
  <c r="AD278" i="27"/>
  <c r="AD281" i="27"/>
  <c r="AD269" i="27"/>
  <c r="AD272" i="27"/>
  <c r="AD284" i="27"/>
  <c r="AD287" i="27"/>
  <c r="AD191" i="27"/>
  <c r="AD194" i="27"/>
  <c r="AD200" i="27"/>
  <c r="AD197" i="27"/>
  <c r="AD203" i="27"/>
  <c r="AD206" i="27"/>
  <c r="AD209" i="27"/>
  <c r="AD215" i="27"/>
  <c r="AD212" i="27"/>
  <c r="AD167" i="27"/>
  <c r="AD179" i="27"/>
  <c r="AD170" i="27"/>
  <c r="AD164" i="27"/>
  <c r="AD176" i="27"/>
  <c r="AD185" i="27"/>
  <c r="AD182" i="27"/>
  <c r="AD173" i="27"/>
  <c r="AD188" i="27"/>
  <c r="AD380" i="27"/>
  <c r="AD383" i="27"/>
  <c r="AD386" i="27"/>
  <c r="AD395" i="27"/>
  <c r="AD407" i="27"/>
  <c r="AD389" i="27"/>
  <c r="AD413" i="27"/>
  <c r="AD392" i="27"/>
  <c r="AD398" i="27"/>
  <c r="AD410" i="27"/>
  <c r="AD401" i="27"/>
  <c r="AD404" i="27"/>
  <c r="AD347" i="27"/>
  <c r="AD350" i="27"/>
  <c r="AD356" i="27"/>
  <c r="AD353" i="27"/>
  <c r="AD365" i="27"/>
  <c r="AD359" i="27"/>
  <c r="AD371" i="27"/>
  <c r="AD377" i="27"/>
  <c r="AD362" i="27"/>
  <c r="AD368" i="27"/>
  <c r="AD374" i="27"/>
  <c r="AD11" i="27"/>
  <c r="AD5" i="27"/>
  <c r="AD17" i="27"/>
  <c r="AD23" i="27"/>
  <c r="AD14" i="27"/>
  <c r="AD8" i="27"/>
  <c r="AD20" i="27"/>
  <c r="AD29" i="27"/>
  <c r="AC473" i="27"/>
  <c r="AC476" i="27"/>
  <c r="AC479" i="27"/>
  <c r="AC482" i="27"/>
  <c r="AC464" i="27"/>
  <c r="AC461" i="27"/>
  <c r="AC470" i="27"/>
  <c r="AC467" i="27"/>
  <c r="AC275" i="27"/>
  <c r="AC278" i="27"/>
  <c r="AC281" i="27"/>
  <c r="AC269" i="27"/>
  <c r="AC272" i="27"/>
  <c r="AC284" i="27"/>
  <c r="AC287" i="27"/>
  <c r="AC191" i="27"/>
  <c r="AC194" i="27"/>
  <c r="AC200" i="27"/>
  <c r="AC197" i="27"/>
  <c r="AC203" i="27"/>
  <c r="AC206" i="27"/>
  <c r="AC209" i="27"/>
  <c r="AC215" i="27"/>
  <c r="AC212" i="27"/>
  <c r="AC167" i="27"/>
  <c r="AC179" i="27"/>
  <c r="AC170" i="27"/>
  <c r="AC164" i="27"/>
  <c r="AC176" i="27"/>
  <c r="AC185" i="27"/>
  <c r="AC182" i="27"/>
  <c r="AC173" i="27"/>
  <c r="AC188" i="27"/>
  <c r="AC380" i="27"/>
  <c r="AC383" i="27"/>
  <c r="AC386" i="27"/>
  <c r="AC395" i="27"/>
  <c r="AC407" i="27"/>
  <c r="AC389" i="27"/>
  <c r="AC413" i="27"/>
  <c r="AC392" i="27"/>
  <c r="AC398" i="27"/>
  <c r="AC410" i="27"/>
  <c r="AC401" i="27"/>
  <c r="AC404" i="27"/>
  <c r="AC347" i="27"/>
  <c r="AC350" i="27"/>
  <c r="AC356" i="27"/>
  <c r="AC353" i="27"/>
  <c r="AC365" i="27"/>
  <c r="AC359" i="27"/>
  <c r="AC371" i="27"/>
  <c r="AC377" i="27"/>
  <c r="AC362" i="27"/>
  <c r="AC368" i="27"/>
  <c r="AC374" i="27"/>
  <c r="AC11" i="27"/>
  <c r="AC5" i="27"/>
  <c r="AC17" i="27"/>
  <c r="AC23" i="27"/>
  <c r="AC14" i="27"/>
  <c r="AC8" i="27"/>
  <c r="AC20" i="27"/>
  <c r="AC29" i="27"/>
  <c r="AB476" i="27"/>
  <c r="AB479" i="27"/>
  <c r="AB482" i="27"/>
  <c r="AB464" i="27"/>
  <c r="AB461" i="27"/>
  <c r="AB470" i="27"/>
  <c r="AB467" i="27"/>
  <c r="AB275" i="27"/>
  <c r="AB278" i="27"/>
  <c r="AB281" i="27"/>
  <c r="AB269" i="27"/>
  <c r="AB272" i="27"/>
  <c r="AB284" i="27"/>
  <c r="AB287" i="27"/>
  <c r="AB191" i="27"/>
  <c r="AB194" i="27"/>
  <c r="AB200" i="27"/>
  <c r="AB197" i="27"/>
  <c r="AB203" i="27"/>
  <c r="AB206" i="27"/>
  <c r="AB209" i="27"/>
  <c r="AB215" i="27"/>
  <c r="AB212" i="27"/>
  <c r="AB167" i="27"/>
  <c r="AB179" i="27"/>
  <c r="AB170" i="27"/>
  <c r="AB164" i="27"/>
  <c r="AB176" i="27"/>
  <c r="AB185" i="27"/>
  <c r="AB182" i="27"/>
  <c r="AB173" i="27"/>
  <c r="AB188" i="27"/>
  <c r="AB380" i="27"/>
  <c r="AB383" i="27"/>
  <c r="AB386" i="27"/>
  <c r="AB395" i="27"/>
  <c r="AB407" i="27"/>
  <c r="AB389" i="27"/>
  <c r="AB413" i="27"/>
  <c r="AB392" i="27"/>
  <c r="AB398" i="27"/>
  <c r="AB410" i="27"/>
  <c r="AB401" i="27"/>
  <c r="AB404" i="27"/>
  <c r="AB347" i="27"/>
  <c r="AB350" i="27"/>
  <c r="AB356" i="27"/>
  <c r="AB353" i="27"/>
  <c r="AB365" i="27"/>
  <c r="AB359" i="27"/>
  <c r="AB371" i="27"/>
  <c r="AB377" i="27"/>
  <c r="AB362" i="27"/>
  <c r="AB368" i="27"/>
  <c r="AB374" i="27"/>
  <c r="AB11" i="27"/>
  <c r="AB5" i="27"/>
  <c r="AB17" i="27"/>
  <c r="AB23" i="27"/>
  <c r="AB14" i="27"/>
  <c r="AB8" i="27"/>
  <c r="AB20" i="27"/>
  <c r="AB29" i="27"/>
  <c r="R14" i="93"/>
  <c r="S14" i="93"/>
  <c r="T14" i="93"/>
  <c r="U14" i="93"/>
  <c r="V14" i="93"/>
  <c r="X14" i="93" s="1"/>
  <c r="R15" i="93"/>
  <c r="S15" i="93"/>
  <c r="T15" i="93"/>
  <c r="U15" i="93"/>
  <c r="V15" i="93"/>
  <c r="X15" i="93" s="1"/>
  <c r="R185" i="93"/>
  <c r="S185" i="93"/>
  <c r="T185" i="93"/>
  <c r="U185" i="93"/>
  <c r="V185" i="93"/>
  <c r="X185" i="93" s="1"/>
  <c r="R35" i="93"/>
  <c r="S35" i="93"/>
  <c r="T35" i="93"/>
  <c r="U35" i="93"/>
  <c r="V35" i="93"/>
  <c r="X35" i="93" s="1"/>
  <c r="R16" i="93"/>
  <c r="S16" i="93"/>
  <c r="T16" i="93"/>
  <c r="U16" i="93"/>
  <c r="V16" i="93"/>
  <c r="X16" i="93" s="1"/>
  <c r="R33" i="93"/>
  <c r="S33" i="93"/>
  <c r="T33" i="93"/>
  <c r="U33" i="93"/>
  <c r="V33" i="93"/>
  <c r="X33" i="93" s="1"/>
  <c r="R36" i="93"/>
  <c r="S36" i="93"/>
  <c r="T36" i="93"/>
  <c r="U36" i="93"/>
  <c r="V36" i="93"/>
  <c r="X36" i="93" s="1"/>
  <c r="R37" i="93"/>
  <c r="S37" i="93"/>
  <c r="T37" i="93"/>
  <c r="U37" i="93"/>
  <c r="V37" i="93"/>
  <c r="X37" i="93" s="1"/>
  <c r="R38" i="93"/>
  <c r="S38" i="93"/>
  <c r="T38" i="93"/>
  <c r="U38" i="93"/>
  <c r="V38" i="93"/>
  <c r="X38" i="93" s="1"/>
  <c r="R39" i="93"/>
  <c r="S39" i="93"/>
  <c r="T39" i="93"/>
  <c r="U39" i="93"/>
  <c r="V39" i="93"/>
  <c r="X39" i="93" s="1"/>
  <c r="R41" i="93"/>
  <c r="S41" i="93"/>
  <c r="T41" i="93"/>
  <c r="U41" i="93"/>
  <c r="V41" i="93"/>
  <c r="X41" i="93" s="1"/>
  <c r="R40" i="93"/>
  <c r="S40" i="93"/>
  <c r="T40" i="93"/>
  <c r="U40" i="93"/>
  <c r="V40" i="93"/>
  <c r="X40" i="93" s="1"/>
  <c r="R42" i="93"/>
  <c r="S42" i="93"/>
  <c r="T42" i="93"/>
  <c r="U42" i="93"/>
  <c r="V42" i="93"/>
  <c r="X42" i="93" s="1"/>
  <c r="R43" i="93"/>
  <c r="S43" i="93"/>
  <c r="T43" i="93"/>
  <c r="U43" i="93"/>
  <c r="V43" i="93"/>
  <c r="X43" i="93" s="1"/>
  <c r="R44" i="93"/>
  <c r="S44" i="93"/>
  <c r="T44" i="93"/>
  <c r="U44" i="93"/>
  <c r="V44" i="93"/>
  <c r="X44" i="93" s="1"/>
  <c r="R45" i="93"/>
  <c r="S45" i="93"/>
  <c r="T45" i="93"/>
  <c r="U45" i="93"/>
  <c r="V45" i="93"/>
  <c r="X45" i="93" s="1"/>
  <c r="R4" i="93"/>
  <c r="S4" i="93"/>
  <c r="T4" i="93"/>
  <c r="U4" i="93"/>
  <c r="V4" i="93"/>
  <c r="X4" i="93" s="1"/>
  <c r="R47" i="93"/>
  <c r="S47" i="93"/>
  <c r="T47" i="93"/>
  <c r="U47" i="93"/>
  <c r="V47" i="93"/>
  <c r="X47" i="93" s="1"/>
  <c r="R51" i="93"/>
  <c r="S51" i="93"/>
  <c r="T51" i="93"/>
  <c r="U51" i="93"/>
  <c r="V51" i="93"/>
  <c r="X51" i="93" s="1"/>
  <c r="R48" i="93"/>
  <c r="S48" i="93"/>
  <c r="T48" i="93"/>
  <c r="U48" i="93"/>
  <c r="V48" i="93"/>
  <c r="X48" i="93" s="1"/>
  <c r="R46" i="93"/>
  <c r="S46" i="93"/>
  <c r="T46" i="93"/>
  <c r="U46" i="93"/>
  <c r="V46" i="93"/>
  <c r="X46" i="93" s="1"/>
  <c r="R50" i="93"/>
  <c r="S50" i="93"/>
  <c r="T50" i="93"/>
  <c r="U50" i="93"/>
  <c r="V50" i="93"/>
  <c r="X50" i="93" s="1"/>
  <c r="R53" i="93"/>
  <c r="S53" i="93"/>
  <c r="T53" i="93"/>
  <c r="U53" i="93"/>
  <c r="V53" i="93"/>
  <c r="X53" i="93" s="1"/>
  <c r="R52" i="93"/>
  <c r="S52" i="93"/>
  <c r="T52" i="93"/>
  <c r="U52" i="93"/>
  <c r="V52" i="93"/>
  <c r="X52" i="93" s="1"/>
  <c r="R49" i="93"/>
  <c r="S49" i="93"/>
  <c r="T49" i="93"/>
  <c r="U49" i="93"/>
  <c r="V49" i="93"/>
  <c r="X49" i="93" s="1"/>
  <c r="R54" i="93"/>
  <c r="S54" i="93"/>
  <c r="T54" i="93"/>
  <c r="U54" i="93"/>
  <c r="V54" i="93"/>
  <c r="X54" i="93" s="1"/>
  <c r="R55" i="93"/>
  <c r="S55" i="93"/>
  <c r="T55" i="93"/>
  <c r="U55" i="93"/>
  <c r="V55" i="93"/>
  <c r="X55" i="93" s="1"/>
  <c r="R56" i="93"/>
  <c r="S56" i="93"/>
  <c r="T56" i="93"/>
  <c r="U56" i="93"/>
  <c r="V56" i="93"/>
  <c r="X56" i="93" s="1"/>
  <c r="R57" i="93"/>
  <c r="S57" i="93"/>
  <c r="T57" i="93"/>
  <c r="U57" i="93"/>
  <c r="V57" i="93"/>
  <c r="X57" i="93" s="1"/>
  <c r="R59" i="93"/>
  <c r="S59" i="93"/>
  <c r="T59" i="93"/>
  <c r="U59" i="93"/>
  <c r="V59" i="93"/>
  <c r="X59" i="93" s="1"/>
  <c r="R63" i="93"/>
  <c r="S63" i="93"/>
  <c r="T63" i="93"/>
  <c r="U63" i="93"/>
  <c r="V63" i="93"/>
  <c r="X63" i="93" s="1"/>
  <c r="R186" i="93"/>
  <c r="S186" i="93"/>
  <c r="T186" i="93"/>
  <c r="U186" i="93"/>
  <c r="V186" i="93"/>
  <c r="X186" i="93" s="1"/>
  <c r="R64" i="93"/>
  <c r="S64" i="93"/>
  <c r="T64" i="93"/>
  <c r="U64" i="93"/>
  <c r="V64" i="93"/>
  <c r="X64" i="93" s="1"/>
  <c r="R58" i="93"/>
  <c r="S58" i="93"/>
  <c r="T58" i="93"/>
  <c r="U58" i="93"/>
  <c r="V58" i="93"/>
  <c r="X58" i="93" s="1"/>
  <c r="R60" i="93"/>
  <c r="S60" i="93"/>
  <c r="T60" i="93"/>
  <c r="U60" i="93"/>
  <c r="V60" i="93"/>
  <c r="X60" i="93" s="1"/>
  <c r="R187" i="93"/>
  <c r="S187" i="93"/>
  <c r="T187" i="93"/>
  <c r="U187" i="93"/>
  <c r="V187" i="93"/>
  <c r="X187" i="93" s="1"/>
  <c r="R61" i="93"/>
  <c r="S61" i="93"/>
  <c r="T61" i="93"/>
  <c r="U61" i="93"/>
  <c r="V61" i="93"/>
  <c r="X61" i="93" s="1"/>
  <c r="R62" i="93"/>
  <c r="S62" i="93"/>
  <c r="T62" i="93"/>
  <c r="U62" i="93"/>
  <c r="V62" i="93"/>
  <c r="X62" i="93" s="1"/>
  <c r="R65" i="93"/>
  <c r="S65" i="93"/>
  <c r="T65" i="93"/>
  <c r="U65" i="93"/>
  <c r="V65" i="93"/>
  <c r="X65" i="93" s="1"/>
  <c r="R66" i="93"/>
  <c r="S66" i="93"/>
  <c r="T66" i="93"/>
  <c r="U66" i="93"/>
  <c r="V66" i="93"/>
  <c r="X66" i="93" s="1"/>
  <c r="R68" i="93"/>
  <c r="S68" i="93"/>
  <c r="T68" i="93"/>
  <c r="U68" i="93"/>
  <c r="V68" i="93"/>
  <c r="X68" i="93" s="1"/>
  <c r="R67" i="93"/>
  <c r="S67" i="93"/>
  <c r="T67" i="93"/>
  <c r="U67" i="93"/>
  <c r="V67" i="93"/>
  <c r="X67" i="93" s="1"/>
  <c r="R70" i="93"/>
  <c r="S70" i="93"/>
  <c r="T70" i="93"/>
  <c r="U70" i="93"/>
  <c r="V70" i="93"/>
  <c r="X70" i="93" s="1"/>
  <c r="R69" i="93"/>
  <c r="S69" i="93"/>
  <c r="T69" i="93"/>
  <c r="U69" i="93"/>
  <c r="V69" i="93"/>
  <c r="X69" i="93" s="1"/>
  <c r="R189" i="93"/>
  <c r="S189" i="93"/>
  <c r="T189" i="93"/>
  <c r="U189" i="93"/>
  <c r="V189" i="93"/>
  <c r="X189" i="93" s="1"/>
  <c r="R17" i="93"/>
  <c r="S17" i="93"/>
  <c r="T17" i="93"/>
  <c r="U17" i="93"/>
  <c r="V17" i="93"/>
  <c r="X17" i="93" s="1"/>
  <c r="R188" i="93"/>
  <c r="S188" i="93"/>
  <c r="T188" i="93"/>
  <c r="U188" i="93"/>
  <c r="V188" i="93"/>
  <c r="X188" i="93" s="1"/>
  <c r="R71" i="93"/>
  <c r="S71" i="93"/>
  <c r="T71" i="93"/>
  <c r="U71" i="93"/>
  <c r="V71" i="93"/>
  <c r="X71" i="93" s="1"/>
  <c r="R72" i="93"/>
  <c r="S72" i="93"/>
  <c r="T72" i="93"/>
  <c r="U72" i="93"/>
  <c r="V72" i="93"/>
  <c r="X72" i="93" s="1"/>
  <c r="R19" i="93"/>
  <c r="S19" i="93"/>
  <c r="T19" i="93"/>
  <c r="U19" i="93"/>
  <c r="V19" i="93"/>
  <c r="X19" i="93" s="1"/>
  <c r="S73" i="93"/>
  <c r="T73" i="93"/>
  <c r="U73" i="93"/>
  <c r="V73" i="93"/>
  <c r="X73" i="93" s="1"/>
  <c r="R74" i="93"/>
  <c r="S74" i="93"/>
  <c r="T74" i="93"/>
  <c r="U74" i="93"/>
  <c r="V74" i="93"/>
  <c r="X74" i="93" s="1"/>
  <c r="R22" i="93"/>
  <c r="S22" i="93"/>
  <c r="T22" i="93"/>
  <c r="U22" i="93"/>
  <c r="V22" i="93"/>
  <c r="X22" i="93" s="1"/>
  <c r="R20" i="93"/>
  <c r="S20" i="93"/>
  <c r="T20" i="93"/>
  <c r="U20" i="93"/>
  <c r="V20" i="93"/>
  <c r="X20" i="93" s="1"/>
  <c r="R18" i="93"/>
  <c r="S18" i="93"/>
  <c r="T18" i="93"/>
  <c r="U18" i="93"/>
  <c r="V18" i="93"/>
  <c r="X18" i="93" s="1"/>
  <c r="R21" i="93"/>
  <c r="S21" i="93"/>
  <c r="T21" i="93"/>
  <c r="U21" i="93"/>
  <c r="V21" i="93"/>
  <c r="X21" i="93" s="1"/>
  <c r="R76" i="93"/>
  <c r="S76" i="93"/>
  <c r="T76" i="93"/>
  <c r="U76" i="93"/>
  <c r="V76" i="93"/>
  <c r="X76" i="93" s="1"/>
  <c r="A6" i="92"/>
  <c r="A5" i="92"/>
  <c r="AA73" i="93" l="1"/>
  <c r="X139" i="93"/>
  <c r="X132" i="93"/>
  <c r="X119" i="93"/>
  <c r="X146" i="93"/>
  <c r="AA111" i="93" l="1"/>
  <c r="AA140" i="93"/>
  <c r="AA114" i="93"/>
  <c r="AA6" i="93"/>
  <c r="AA115" i="93"/>
  <c r="AA120" i="93"/>
  <c r="AA154" i="93"/>
  <c r="AA158" i="93"/>
  <c r="AA177" i="93"/>
  <c r="AA159" i="93"/>
  <c r="AA145" i="93"/>
  <c r="AA164" i="93"/>
  <c r="AA106" i="93"/>
  <c r="AA144" i="93"/>
  <c r="AA122" i="93"/>
  <c r="AA162" i="93"/>
  <c r="AA173" i="93"/>
  <c r="AA176" i="93"/>
  <c r="AA142" i="93"/>
  <c r="AA26" i="93"/>
  <c r="AA79" i="93"/>
  <c r="AA165" i="93"/>
  <c r="AA24" i="93"/>
  <c r="AA172" i="93"/>
  <c r="AA89" i="93"/>
  <c r="AA143" i="93"/>
  <c r="AA141" i="93"/>
  <c r="AA180" i="93"/>
  <c r="AA125" i="93"/>
  <c r="AA88" i="93"/>
  <c r="AA93" i="93"/>
  <c r="AA97" i="93"/>
  <c r="AA129" i="93"/>
  <c r="AA148" i="93"/>
  <c r="AA118" i="93"/>
  <c r="AA138" i="93"/>
  <c r="AA163" i="93"/>
  <c r="AA169" i="93"/>
  <c r="AA175" i="93"/>
  <c r="AA92" i="93"/>
  <c r="AA84" i="93"/>
  <c r="AA153" i="93"/>
  <c r="AA137" i="93"/>
  <c r="AA99" i="93"/>
  <c r="AA152" i="93"/>
  <c r="AA182" i="93"/>
  <c r="AA166" i="93"/>
  <c r="AA27" i="93"/>
  <c r="AA132" i="93"/>
  <c r="AA168" i="93"/>
  <c r="AA109" i="93"/>
  <c r="AA107" i="93"/>
  <c r="AA160" i="93"/>
  <c r="AA91" i="93"/>
  <c r="AA171" i="93"/>
  <c r="AA161" i="93"/>
  <c r="AA100" i="93"/>
  <c r="AA28" i="93"/>
  <c r="AA155" i="93"/>
  <c r="AA83" i="93"/>
  <c r="AA133" i="93"/>
  <c r="AA23" i="93"/>
  <c r="AA184" i="93"/>
  <c r="AA5" i="93"/>
  <c r="AA104" i="93"/>
  <c r="AA98" i="93"/>
  <c r="AA113" i="93"/>
  <c r="AA134" i="93"/>
  <c r="AA149" i="93"/>
  <c r="AA135" i="93"/>
  <c r="AA80" i="93"/>
  <c r="AA167" i="93"/>
  <c r="AA112" i="93"/>
  <c r="AA124" i="93"/>
  <c r="AA136" i="93"/>
  <c r="AA101" i="93"/>
  <c r="AA130" i="93"/>
  <c r="AA157" i="93"/>
  <c r="AA181" i="93"/>
  <c r="AA77" i="93"/>
  <c r="AA87" i="93"/>
  <c r="AA7" i="93"/>
  <c r="AA96" i="93"/>
  <c r="AA105" i="93"/>
  <c r="AA127" i="93"/>
  <c r="AA183" i="93"/>
  <c r="AA119" i="93"/>
  <c r="AA121" i="93"/>
  <c r="AA103" i="93"/>
  <c r="AA9" i="93"/>
  <c r="AA151" i="93"/>
  <c r="AA86" i="93"/>
  <c r="AA78" i="93"/>
  <c r="AA108" i="93"/>
  <c r="AA150" i="93"/>
  <c r="AA146" i="93"/>
  <c r="AA116" i="93"/>
  <c r="AA191" i="93"/>
  <c r="AA102" i="93"/>
  <c r="AA170" i="93"/>
  <c r="AA123" i="93"/>
  <c r="AA179" i="93"/>
  <c r="AA82" i="93"/>
  <c r="AA95" i="93"/>
  <c r="AA117" i="93"/>
  <c r="AA126" i="93"/>
  <c r="AA128" i="93"/>
  <c r="AA30" i="93"/>
  <c r="AA85" i="93"/>
  <c r="AA156" i="93"/>
  <c r="AA90" i="93"/>
  <c r="AA131" i="93"/>
  <c r="AA178" i="93"/>
  <c r="AA110" i="93"/>
  <c r="AA139" i="93"/>
  <c r="AA8" i="93"/>
  <c r="AA174" i="93"/>
  <c r="AA29" i="93"/>
  <c r="AA190" i="93"/>
  <c r="AA147" i="93"/>
  <c r="AA25" i="93"/>
  <c r="AA94" i="93"/>
  <c r="AA81" i="93"/>
  <c r="AA75" i="93"/>
  <c r="AA51" i="93"/>
  <c r="AA44" i="93"/>
  <c r="AA52" i="93"/>
  <c r="AA57" i="93"/>
  <c r="AA186" i="93"/>
  <c r="AA60" i="93"/>
  <c r="AA47" i="93"/>
  <c r="AA19" i="93"/>
  <c r="AA76" i="93"/>
  <c r="AA55" i="93"/>
  <c r="AA63" i="93"/>
  <c r="AA33" i="93"/>
  <c r="AA188" i="93"/>
  <c r="AA20" i="93"/>
  <c r="AA70" i="93"/>
  <c r="AA38" i="93"/>
  <c r="AA187" i="93"/>
  <c r="AA40" i="93"/>
  <c r="AA64" i="93"/>
  <c r="AA42" i="93"/>
  <c r="AA72" i="93"/>
  <c r="AA49" i="93"/>
  <c r="AA43" i="93"/>
  <c r="AA62" i="93"/>
  <c r="AA50" i="93"/>
  <c r="AA4" i="93"/>
  <c r="AA36" i="93"/>
  <c r="AA189" i="93"/>
  <c r="AA53" i="93"/>
  <c r="AA68" i="93"/>
  <c r="AA71" i="93"/>
  <c r="AA58" i="93"/>
  <c r="AA45" i="93"/>
  <c r="AA74" i="93"/>
  <c r="AA35" i="93"/>
  <c r="AA46" i="93"/>
  <c r="AA61" i="93"/>
  <c r="AA67" i="93"/>
  <c r="AA48" i="93"/>
  <c r="AA41" i="93"/>
  <c r="AA69" i="93"/>
  <c r="AA39" i="93"/>
  <c r="AA16" i="93"/>
  <c r="AA56" i="93"/>
  <c r="AA18" i="93"/>
  <c r="AA54" i="93"/>
  <c r="AA59" i="93"/>
  <c r="AA22" i="93"/>
  <c r="AA21" i="93"/>
  <c r="AA66" i="93"/>
  <c r="AA37" i="93"/>
  <c r="AA17" i="93"/>
  <c r="AA65" i="93"/>
  <c r="AA13" i="93" l="1"/>
  <c r="AA14" i="93"/>
  <c r="AA12" i="93"/>
  <c r="AA32" i="93"/>
  <c r="AA11" i="93"/>
  <c r="AA31" i="93"/>
  <c r="AA34" i="93"/>
  <c r="AA10" i="93"/>
  <c r="AA185" i="93"/>
  <c r="AA15" i="93"/>
  <c r="AA2" i="93" l="1"/>
  <c r="AA156" i="27" l="1"/>
  <c r="AA7" i="27"/>
  <c r="AA30" i="27"/>
  <c r="AA42" i="27"/>
  <c r="AA354" i="27"/>
  <c r="AA21" i="27"/>
  <c r="AA40" i="27"/>
  <c r="AA141" i="27"/>
  <c r="AA484" i="27"/>
  <c r="AA111" i="27"/>
  <c r="AA138" i="27"/>
  <c r="AA325" i="27"/>
  <c r="AA241" i="27"/>
  <c r="AA297" i="27"/>
  <c r="AA24" i="27"/>
  <c r="AA135" i="27"/>
  <c r="AA436" i="27"/>
  <c r="AA127" i="27"/>
  <c r="AA154" i="27"/>
  <c r="AA202" i="27"/>
  <c r="AA196" i="27"/>
  <c r="AA102" i="27"/>
  <c r="AA214" i="27"/>
  <c r="AA432" i="27"/>
  <c r="AA372" i="27"/>
  <c r="AA273" i="27"/>
  <c r="AA448" i="27"/>
  <c r="AA199" i="27"/>
  <c r="AA91" i="27"/>
  <c r="AA277" i="27"/>
  <c r="AA295" i="27"/>
  <c r="AA462" i="27"/>
  <c r="AA271" i="27"/>
  <c r="AA176" i="27"/>
  <c r="AA558" i="27"/>
  <c r="AA123" i="27"/>
  <c r="AA243" i="27"/>
  <c r="AA142" i="27"/>
  <c r="AA261" i="27"/>
  <c r="AA105" i="27"/>
  <c r="AA496" i="27"/>
  <c r="AA301" i="27"/>
  <c r="AA421" i="27"/>
  <c r="AA393" i="27"/>
  <c r="AA256" i="27"/>
  <c r="AA244" i="27"/>
  <c r="AA55" i="27"/>
  <c r="AA353" i="27"/>
  <c r="AA327" i="27"/>
  <c r="AA11" i="27"/>
  <c r="AA355" i="27"/>
  <c r="AA445" i="27"/>
  <c r="AA523" i="27"/>
  <c r="AA203" i="27"/>
  <c r="AA75" i="27"/>
  <c r="AA537" i="27"/>
  <c r="AA13" i="27"/>
  <c r="AA29" i="27"/>
  <c r="AA435" i="27"/>
  <c r="AA228" i="27"/>
  <c r="AA39" i="27"/>
  <c r="AA223" i="27"/>
  <c r="AA235" i="27"/>
  <c r="AA172" i="27"/>
  <c r="AA163" i="27"/>
  <c r="AA180" i="27"/>
  <c r="AA100" i="27"/>
  <c r="AA396" i="27"/>
  <c r="AA374" i="27"/>
  <c r="AA229" i="27"/>
  <c r="AA365" i="27"/>
  <c r="AA369" i="27"/>
  <c r="AA264" i="27"/>
  <c r="AA109" i="27"/>
  <c r="AA12" i="27"/>
  <c r="AA124" i="27"/>
  <c r="AA511" i="27"/>
  <c r="AA345" i="27"/>
  <c r="AA217" i="27"/>
  <c r="AA427" i="27"/>
  <c r="AA495" i="27"/>
  <c r="AA334" i="27"/>
  <c r="AA379" i="27"/>
  <c r="AA170" i="27"/>
  <c r="AA96" i="27"/>
  <c r="AA169" i="27"/>
  <c r="AA525" i="27"/>
  <c r="AA274" i="27"/>
  <c r="AA280" i="27"/>
  <c r="AA348" i="27"/>
  <c r="AA567" i="27"/>
  <c r="AA232" i="27"/>
  <c r="AA19" i="27"/>
  <c r="AA238" i="27"/>
  <c r="AA285" i="27"/>
  <c r="AA501" i="27"/>
  <c r="AA370" i="27"/>
  <c r="AA171" i="27"/>
  <c r="AA356" i="27"/>
  <c r="AA531" i="27"/>
  <c r="AA304" i="27"/>
  <c r="AA519" i="27"/>
  <c r="AA270" i="27"/>
  <c r="AA144" i="27"/>
  <c r="AA165" i="27"/>
  <c r="AA225" i="27"/>
  <c r="AA418" i="27"/>
  <c r="AA201" i="27"/>
  <c r="AA94" i="27"/>
  <c r="AA321" i="27"/>
  <c r="AA178" i="27"/>
  <c r="AA452" i="27"/>
  <c r="AA516" i="27"/>
  <c r="AA403" i="27"/>
  <c r="AA450" i="27"/>
  <c r="AA335" i="27"/>
  <c r="AA538" i="27"/>
  <c r="AA328" i="27"/>
  <c r="AA532" i="27"/>
  <c r="AA191" i="27"/>
  <c r="AA559" i="27"/>
  <c r="AA60" i="27"/>
  <c r="AA520" i="27"/>
  <c r="AA159" i="27"/>
  <c r="AA130" i="27"/>
  <c r="AA400" i="27"/>
  <c r="AA292" i="27"/>
  <c r="AA25" i="27"/>
  <c r="AA34" i="27"/>
  <c r="AA192" i="27"/>
  <c r="AA289" i="27"/>
  <c r="AA305" i="27"/>
  <c r="AA151" i="27"/>
  <c r="AA4" i="27"/>
  <c r="AA104" i="27"/>
  <c r="AA112" i="27"/>
  <c r="AA66" i="27"/>
  <c r="AA544" i="27"/>
  <c r="AA166" i="27"/>
  <c r="AA83" i="27"/>
  <c r="AA129" i="27"/>
  <c r="AA17" i="27"/>
  <c r="AA350" i="27"/>
  <c r="AA276" i="27"/>
  <c r="AA77" i="27"/>
  <c r="AA237" i="27"/>
  <c r="AA502" i="27"/>
  <c r="AA477" i="27"/>
  <c r="AA442" i="27"/>
  <c r="AA422" i="27"/>
  <c r="AA52" i="27"/>
  <c r="AA456" i="27"/>
  <c r="AA454" i="27"/>
  <c r="AA548" i="27"/>
  <c r="AA471" i="27"/>
  <c r="AA382" i="27"/>
  <c r="AA153" i="27"/>
  <c r="AA233" i="27"/>
  <c r="AA459" i="27"/>
  <c r="AA303" i="27"/>
  <c r="AA389" i="27"/>
  <c r="AA149" i="27"/>
  <c r="AA181" i="27"/>
  <c r="AA205" i="27"/>
  <c r="AA423" i="27"/>
  <c r="AA81" i="27"/>
  <c r="AA221" i="27"/>
  <c r="AA76" i="27"/>
  <c r="AA82" i="27"/>
  <c r="AA72" i="27"/>
  <c r="AA415" i="27"/>
  <c r="AA258" i="27"/>
  <c r="AA110" i="27"/>
  <c r="AA376" i="27"/>
  <c r="AA294" i="27"/>
  <c r="AA413" i="27"/>
  <c r="AA58" i="27"/>
  <c r="AA140" i="27"/>
  <c r="AA478" i="27"/>
  <c r="AA468" i="27"/>
  <c r="AA16" i="27"/>
  <c r="AA155" i="27"/>
  <c r="AA204" i="27"/>
  <c r="AA220" i="27"/>
  <c r="AA190" i="27"/>
  <c r="AA362" i="27"/>
  <c r="AA384" i="27"/>
  <c r="AA434" i="27"/>
  <c r="AA352" i="27"/>
  <c r="AA236" i="27"/>
  <c r="AA554" i="27"/>
  <c r="AA492" i="27"/>
  <c r="AA5" i="27"/>
  <c r="AA131" i="27"/>
  <c r="AA463" i="27"/>
  <c r="AA160" i="27"/>
  <c r="AA441" i="27"/>
  <c r="AA245" i="27"/>
  <c r="AA555" i="27"/>
  <c r="AA64" i="27"/>
  <c r="AA99" i="27"/>
  <c r="AA8" i="27"/>
  <c r="AA211" i="27"/>
  <c r="AA457" i="27"/>
  <c r="AA341" i="27"/>
  <c r="AA431" i="27"/>
  <c r="AA426" i="27"/>
  <c r="AA282" i="27"/>
  <c r="AA552" i="27"/>
  <c r="AA433" i="27"/>
  <c r="AA299" i="27"/>
  <c r="AA88" i="27"/>
  <c r="AA498" i="27"/>
  <c r="AA493" i="27"/>
  <c r="AA48" i="27"/>
  <c r="AA399" i="27"/>
  <c r="AA80" i="27"/>
  <c r="AA230" i="27"/>
  <c r="AA518" i="27"/>
  <c r="AA84" i="27"/>
  <c r="AA219" i="27"/>
  <c r="AA517" i="27"/>
  <c r="AA385" i="27"/>
  <c r="AA253" i="27"/>
  <c r="AA373" i="27"/>
  <c r="AA288" i="27"/>
  <c r="AA87" i="27"/>
  <c r="AA534" i="27"/>
  <c r="AA248" i="27"/>
  <c r="AA377" i="27"/>
  <c r="AA375" i="27"/>
  <c r="AA529" i="27"/>
  <c r="AA391" i="27"/>
  <c r="AA407" i="27"/>
  <c r="AA542" i="27"/>
  <c r="AA134" i="27"/>
  <c r="AA137" i="27"/>
  <c r="AA460" i="27"/>
  <c r="AA183" i="27"/>
  <c r="AA326" i="27"/>
  <c r="AA472" i="27"/>
  <c r="AA482" i="27"/>
  <c r="AA59" i="27"/>
  <c r="AA331" i="27"/>
  <c r="AA114" i="27"/>
  <c r="AA416" i="27"/>
  <c r="AA406" i="27"/>
  <c r="AA260" i="27"/>
  <c r="AA551" i="27"/>
  <c r="AA177" i="27"/>
  <c r="AA541" i="27"/>
  <c r="AA168" i="27"/>
  <c r="AA467" i="27"/>
  <c r="AA397" i="27"/>
  <c r="AA35" i="27"/>
  <c r="AA103" i="27"/>
  <c r="AA458" i="27"/>
  <c r="AA515" i="27"/>
  <c r="AA510" i="27"/>
  <c r="AA466" i="27"/>
  <c r="AA212" i="27"/>
  <c r="AA275" i="27"/>
  <c r="AA26" i="27"/>
  <c r="AA469" i="27"/>
  <c r="AA97" i="27"/>
  <c r="AA262" i="27"/>
  <c r="AA557" i="27"/>
  <c r="AA90" i="27"/>
  <c r="AA446" i="27"/>
  <c r="AA316" i="27"/>
  <c r="AA193" i="27"/>
  <c r="AA132" i="27"/>
  <c r="AA363" i="27"/>
  <c r="AA28" i="27"/>
  <c r="AA302" i="27"/>
  <c r="AA44" i="27"/>
  <c r="AA504" i="27"/>
  <c r="AA390" i="27"/>
  <c r="AA404" i="27"/>
  <c r="AA522" i="27"/>
  <c r="AA499" i="27"/>
  <c r="AA490" i="27"/>
  <c r="AA562" i="27"/>
  <c r="AA560" i="27"/>
  <c r="AA36" i="27"/>
  <c r="AA507" i="27"/>
  <c r="AA20" i="27"/>
  <c r="AA536" i="27"/>
  <c r="AA145" i="27"/>
  <c r="AA268" i="27"/>
  <c r="AA491" i="27"/>
  <c r="AA388" i="27"/>
  <c r="AA313" i="27"/>
  <c r="AA174" i="27"/>
  <c r="AA208" i="27"/>
  <c r="AA46" i="27"/>
  <c r="AA62" i="27"/>
  <c r="AA476" i="27"/>
  <c r="AA179" i="27"/>
  <c r="AA120" i="27"/>
  <c r="AA514" i="27"/>
  <c r="AA250" i="27"/>
  <c r="AA343" i="27"/>
  <c r="AA320" i="27"/>
  <c r="AA252" i="27"/>
  <c r="AA18" i="27"/>
  <c r="AA530" i="27"/>
  <c r="AA323" i="27"/>
  <c r="AA479" i="27"/>
  <c r="AA287" i="27"/>
  <c r="AA360" i="27"/>
  <c r="AA368" i="27"/>
  <c r="AA257" i="27"/>
  <c r="AA279" i="27"/>
  <c r="AA513" i="27"/>
  <c r="AA15" i="27"/>
  <c r="AA27" i="27"/>
  <c r="AA107" i="27"/>
  <c r="AA300" i="27"/>
  <c r="AA148" i="27"/>
  <c r="AA206" i="27"/>
  <c r="AA314" i="27"/>
  <c r="AA150" i="27"/>
  <c r="AA330" i="27"/>
  <c r="AA329" i="27"/>
  <c r="AA481" i="27"/>
  <c r="AA361" i="27"/>
  <c r="AA37" i="27"/>
  <c r="AA408" i="27"/>
  <c r="AA73" i="27"/>
  <c r="AA395" i="27"/>
  <c r="AA486" i="27"/>
  <c r="AA157" i="27"/>
  <c r="AA500" i="27"/>
  <c r="AA152" i="27"/>
  <c r="AA95" i="27"/>
  <c r="AA359" i="27"/>
  <c r="AA546" i="27"/>
  <c r="AA428" i="27"/>
  <c r="AA207" i="27"/>
  <c r="AA474" i="27"/>
  <c r="AA483" i="27"/>
  <c r="AA133" i="27"/>
  <c r="AA414" i="27"/>
  <c r="AA194" i="27"/>
  <c r="AA197" i="27"/>
  <c r="AA239" i="27"/>
  <c r="AA210" i="27"/>
  <c r="AA255" i="27"/>
  <c r="AA381" i="27"/>
  <c r="AA184" i="27"/>
  <c r="AA346" i="27"/>
  <c r="AA9" i="27"/>
  <c r="AA429" i="27"/>
  <c r="AA209" i="27"/>
  <c r="AA291" i="27"/>
  <c r="AA108" i="27"/>
  <c r="AA122" i="27"/>
  <c r="AA65" i="27"/>
  <c r="AA318" i="27"/>
  <c r="AA296" i="27"/>
  <c r="AA308" i="27"/>
  <c r="AA98" i="27"/>
  <c r="AA45" i="27"/>
  <c r="AA121" i="27"/>
  <c r="AA387" i="27"/>
  <c r="AA367" i="27"/>
  <c r="AA470" i="27"/>
  <c r="AA242" i="27"/>
  <c r="AA227" i="27"/>
  <c r="AA32" i="27"/>
  <c r="AA231" i="27"/>
  <c r="AA213" i="27"/>
  <c r="AA161" i="27"/>
  <c r="AA278" i="27"/>
  <c r="AA41" i="27"/>
  <c r="AA218" i="27"/>
  <c r="AA394" i="27"/>
  <c r="AA54" i="27"/>
  <c r="AA349" i="27"/>
  <c r="AA444" i="27"/>
  <c r="AA92" i="27"/>
  <c r="AA488" i="27"/>
  <c r="AA312" i="27"/>
  <c r="AA543" i="27"/>
  <c r="AA420" i="27"/>
  <c r="AA527" i="27"/>
  <c r="AA226" i="27"/>
  <c r="AA119" i="27"/>
  <c r="AA69" i="27"/>
  <c r="AA480" i="27"/>
  <c r="AA378" i="27"/>
  <c r="AA79" i="27"/>
  <c r="AA487" i="27"/>
  <c r="AA485" i="27"/>
  <c r="AA283" i="27"/>
  <c r="AA550" i="27"/>
  <c r="AA333" i="27"/>
  <c r="AA358" i="27"/>
  <c r="AA437" i="27"/>
  <c r="AA117" i="27"/>
  <c r="AA286" i="27"/>
  <c r="AA259" i="27"/>
  <c r="AA315" i="27"/>
  <c r="AA68" i="27"/>
  <c r="AA425" i="27"/>
  <c r="AA10" i="27"/>
  <c r="AA106" i="27"/>
  <c r="AA49" i="27"/>
  <c r="AA556" i="27"/>
  <c r="AA398" i="27"/>
  <c r="AA319" i="27"/>
  <c r="AA430" i="27"/>
  <c r="AA405" i="27"/>
  <c r="AA447" i="27"/>
  <c r="AA357" i="27"/>
  <c r="AA309" i="27"/>
  <c r="AA508" i="27"/>
  <c r="AA200" i="27"/>
  <c r="AA263" i="27"/>
  <c r="AA57" i="27"/>
  <c r="AA31" i="27"/>
  <c r="AA125" i="27"/>
  <c r="AA51" i="27"/>
  <c r="AA290" i="27"/>
  <c r="AA351" i="27"/>
  <c r="AA249" i="27"/>
  <c r="AA539" i="27"/>
  <c r="AA524" i="27"/>
  <c r="AA528" i="27"/>
  <c r="AA118" i="27"/>
  <c r="AA189" i="27"/>
  <c r="AA173" i="27"/>
  <c r="AA188" i="27"/>
  <c r="AA195" i="27"/>
  <c r="AA392" i="27"/>
  <c r="AA251" i="27"/>
  <c r="AA86" i="27"/>
  <c r="AA187" i="27"/>
  <c r="AA67" i="27"/>
  <c r="AA449" i="27"/>
  <c r="AA438" i="27"/>
  <c r="AA116" i="27"/>
  <c r="AA402" i="27"/>
  <c r="AA38" i="27"/>
  <c r="AA401" i="27"/>
  <c r="AA553" i="27"/>
  <c r="AA317" i="27"/>
  <c r="AA254" i="27"/>
  <c r="AA164" i="27"/>
  <c r="AA306" i="27"/>
  <c r="AA101" i="27"/>
  <c r="AA33" i="27"/>
  <c r="AA186" i="27"/>
  <c r="AA6" i="27"/>
  <c r="AA443" i="27"/>
  <c r="AA412" i="27"/>
  <c r="AA465" i="27"/>
  <c r="AA22" i="27"/>
  <c r="AA310" i="27"/>
  <c r="AA489" i="27"/>
  <c r="AA139" i="27"/>
  <c r="AA409" i="27"/>
  <c r="AA547" i="27"/>
  <c r="AA14" i="27"/>
  <c r="AA56" i="27"/>
  <c r="AA340" i="27"/>
  <c r="AA509" i="27"/>
  <c r="AA78" i="27"/>
  <c r="AA222" i="27"/>
  <c r="AA198" i="27"/>
  <c r="AA494" i="27"/>
  <c r="AA272" i="27"/>
  <c r="AA115" i="27"/>
  <c r="AA503" i="27"/>
  <c r="AA307" i="27"/>
  <c r="AA53" i="27"/>
  <c r="AA347" i="27"/>
  <c r="AA411" i="27"/>
  <c r="AA440" i="27"/>
  <c r="AA473" i="27"/>
  <c r="AA234" i="27"/>
  <c r="AA383" i="27"/>
  <c r="AA50" i="27"/>
  <c r="AA451" i="27"/>
  <c r="AA410" i="27"/>
  <c r="AA380" i="27"/>
  <c r="AA339" i="27"/>
  <c r="AA439" i="27"/>
  <c r="AA136" i="27"/>
  <c r="AA246" i="27"/>
  <c r="AA344" i="27"/>
  <c r="AA23" i="27"/>
  <c r="AA535" i="27"/>
  <c r="AA565" i="27"/>
  <c r="AA143" i="27"/>
  <c r="AA70" i="27"/>
  <c r="AA175" i="27"/>
  <c r="AA526" i="27"/>
  <c r="AA324" i="27"/>
  <c r="AA455" i="27"/>
  <c r="AA512" i="27"/>
  <c r="AA167" i="27"/>
  <c r="AA545" i="27"/>
  <c r="AA497" i="27"/>
  <c r="AA43" i="27"/>
  <c r="AA128" i="27"/>
  <c r="AA564" i="27"/>
  <c r="AA461" i="27"/>
  <c r="AA366" i="27"/>
  <c r="AA371" i="27"/>
  <c r="AA417" i="27"/>
  <c r="AA265" i="27"/>
  <c r="AA89" i="27"/>
  <c r="AA337" i="27"/>
  <c r="AA386" i="27"/>
  <c r="AA224" i="27"/>
  <c r="AA364" i="27"/>
  <c r="AA113" i="27"/>
  <c r="AA93" i="27"/>
  <c r="AA338" i="27"/>
  <c r="AA561" i="27"/>
  <c r="AA185" i="27"/>
  <c r="AA424" i="27"/>
  <c r="AA240" i="27"/>
  <c r="AA269" i="27"/>
  <c r="AA505" i="27"/>
  <c r="AA162" i="27"/>
  <c r="AA506" i="27"/>
  <c r="AA216" i="27"/>
  <c r="AA453" i="27"/>
  <c r="AA71" i="27"/>
  <c r="AA533" i="27"/>
  <c r="AA566" i="27"/>
  <c r="AA563" i="27"/>
  <c r="AA267" i="27"/>
  <c r="AA146" i="27"/>
  <c r="AA336" i="27"/>
  <c r="AA540" i="27"/>
  <c r="AA74" i="27"/>
  <c r="AA182" i="27"/>
  <c r="AA266" i="27"/>
  <c r="AA549" i="27"/>
  <c r="AA332" i="27"/>
  <c r="AA298" i="27"/>
  <c r="AA247" i="27"/>
  <c r="AA85" i="27"/>
  <c r="AA63" i="27"/>
  <c r="AA61" i="27"/>
  <c r="AA464" i="27"/>
  <c r="AA293" i="27"/>
  <c r="AA215" i="27"/>
  <c r="AA419" i="27"/>
  <c r="AA47" i="27"/>
  <c r="AA281" i="27"/>
  <c r="AA284" i="27"/>
  <c r="AA311" i="27"/>
  <c r="AA342" i="27"/>
  <c r="AA322" i="27"/>
  <c r="AA475" i="27"/>
  <c r="AA521" i="27"/>
  <c r="AA126" i="27"/>
  <c r="AA158" i="27"/>
  <c r="AA147" i="27"/>
  <c r="AH330" i="27" l="1"/>
  <c r="AK330" i="27" s="1"/>
  <c r="AH98" i="27"/>
  <c r="AK98" i="27" s="1"/>
  <c r="AH312" i="27"/>
  <c r="AK312" i="27" s="1"/>
  <c r="AH35" i="27"/>
  <c r="AK35" i="27" s="1"/>
  <c r="AH71" i="27"/>
  <c r="AK71" i="27" s="1"/>
  <c r="AH51" i="27"/>
  <c r="AK51" i="27" s="1"/>
  <c r="AH446" i="27"/>
  <c r="AK446" i="27" s="1"/>
  <c r="AH349" i="27"/>
  <c r="AK349" i="27" s="1"/>
  <c r="AH359" i="27"/>
  <c r="AK359" i="27" s="1"/>
  <c r="AH221" i="27"/>
  <c r="AK221" i="27" s="1"/>
  <c r="AH27" i="27"/>
  <c r="AK27" i="27" s="1"/>
  <c r="AH413" i="27"/>
  <c r="AK413" i="27" s="1"/>
  <c r="AH203" i="27"/>
  <c r="AK203" i="27" s="1"/>
  <c r="AH410" i="27"/>
  <c r="AK410" i="27" s="1"/>
  <c r="AH57" i="27"/>
  <c r="AK57" i="27" s="1"/>
  <c r="AH496" i="27"/>
  <c r="AK496" i="27" s="1"/>
  <c r="AH32" i="27"/>
  <c r="AK32" i="27" s="1"/>
  <c r="AH456" i="27"/>
  <c r="AK456" i="27" s="1"/>
  <c r="AH6" i="27"/>
  <c r="AK6" i="27" s="1"/>
  <c r="AH365" i="27"/>
  <c r="AK365" i="27" s="1"/>
  <c r="AH476" i="27"/>
  <c r="AK476" i="27" s="1"/>
  <c r="AH508" i="27"/>
  <c r="AK508" i="27" s="1"/>
  <c r="AH463" i="27"/>
  <c r="AK463" i="27" s="1"/>
  <c r="AH480" i="27"/>
  <c r="AK480" i="27" s="1"/>
  <c r="AH29" i="27"/>
  <c r="AK29" i="27" s="1"/>
  <c r="AH89" i="27"/>
  <c r="AK89" i="27" s="1"/>
  <c r="AH119" i="27"/>
  <c r="AK119" i="27" s="1"/>
  <c r="AH551" i="27"/>
  <c r="AK551" i="27" s="1"/>
  <c r="AH123" i="27"/>
  <c r="AK123" i="27" s="1"/>
  <c r="AH421" i="27"/>
  <c r="AK421" i="27" s="1"/>
  <c r="AH382" i="27"/>
  <c r="AK382" i="27" s="1"/>
  <c r="AH14" i="27"/>
  <c r="AK14" i="27" s="1"/>
  <c r="AH546" i="27"/>
  <c r="AK546" i="27" s="1"/>
  <c r="AH49" i="27"/>
  <c r="AK49" i="27" s="1"/>
  <c r="AH213" i="27"/>
  <c r="AK213" i="27" s="1"/>
  <c r="AH223" i="27"/>
  <c r="AK223" i="27" s="1"/>
  <c r="AH100" i="27"/>
  <c r="AK100" i="27" s="1"/>
  <c r="AH489" i="27"/>
  <c r="AK489" i="27" s="1"/>
  <c r="AH92" i="27"/>
  <c r="AK92" i="27" s="1"/>
  <c r="AH396" i="27"/>
  <c r="AK396" i="27" s="1"/>
  <c r="AH128" i="27"/>
  <c r="AK128" i="27" s="1"/>
  <c r="AH370" i="27"/>
  <c r="AK370" i="27" s="1"/>
  <c r="AH235" i="27"/>
  <c r="AK235" i="27" s="1"/>
  <c r="AH303" i="27"/>
  <c r="AK303" i="27" s="1"/>
  <c r="AH543" i="27"/>
  <c r="AK543" i="27" s="1"/>
  <c r="AH302" i="27"/>
  <c r="AK302" i="27" s="1"/>
  <c r="AH342" i="27"/>
  <c r="AK342" i="27" s="1"/>
  <c r="AH111" i="27"/>
  <c r="AK111" i="27" s="1"/>
  <c r="AH69" i="27"/>
  <c r="AK69" i="27" s="1"/>
  <c r="AH122" i="27"/>
  <c r="AK122" i="27" s="1"/>
  <c r="AH360" i="27"/>
  <c r="AK360" i="27" s="1"/>
  <c r="AH318" i="27"/>
  <c r="AK318" i="27" s="1"/>
  <c r="AH75" i="27"/>
  <c r="AK75" i="27" s="1"/>
  <c r="AH60" i="27"/>
  <c r="AK60" i="27" s="1"/>
  <c r="AH219" i="27"/>
  <c r="AK219" i="27" s="1"/>
  <c r="AH352" i="27"/>
  <c r="AK352" i="27" s="1"/>
  <c r="AH253" i="27"/>
  <c r="AK253" i="27" s="1"/>
  <c r="AH187" i="27"/>
  <c r="AK187" i="27" s="1"/>
  <c r="AH126" i="27"/>
  <c r="AK126" i="27" s="1"/>
  <c r="AH378" i="27"/>
  <c r="AK378" i="27" s="1"/>
  <c r="AH199" i="27"/>
  <c r="AK199" i="27" s="1"/>
  <c r="AH147" i="27"/>
  <c r="AK147" i="27" s="1"/>
  <c r="AH495" i="27"/>
  <c r="AK495" i="27" s="1"/>
  <c r="AH297" i="27"/>
  <c r="AK297" i="27" s="1"/>
  <c r="AH406" i="27"/>
  <c r="AK406" i="27" s="1"/>
  <c r="AH47" i="27"/>
  <c r="AK47" i="27" s="1"/>
  <c r="AH129" i="27"/>
  <c r="AK129" i="27" s="1"/>
  <c r="AH61" i="27"/>
  <c r="AK61" i="27" s="1"/>
  <c r="AH241" i="27"/>
  <c r="AK241" i="27" s="1"/>
  <c r="AH162" i="27"/>
  <c r="AK162" i="27" s="1"/>
  <c r="AH507" i="27"/>
  <c r="AK507" i="27" s="1"/>
  <c r="AH249" i="27"/>
  <c r="AK249" i="27" s="1"/>
  <c r="AH284" i="27"/>
  <c r="AK284" i="27" s="1"/>
  <c r="AH320" i="27"/>
  <c r="AK320" i="27" s="1"/>
  <c r="AH354" i="27"/>
  <c r="AK354" i="27" s="1"/>
  <c r="AH18" i="27"/>
  <c r="AK18" i="27" s="1"/>
  <c r="AH109" i="27"/>
  <c r="AK109" i="27" s="1"/>
  <c r="AH55" i="27"/>
  <c r="AK55" i="27" s="1"/>
  <c r="AH197" i="27"/>
  <c r="AK197" i="27" s="1"/>
  <c r="AH10" i="27"/>
  <c r="AK10" i="27" s="1"/>
  <c r="AH371" i="27"/>
  <c r="AK371" i="27" s="1"/>
  <c r="AH11" i="27"/>
  <c r="AK11" i="27" s="1"/>
  <c r="AH77" i="27"/>
  <c r="AK77" i="27" s="1"/>
  <c r="AH285" i="27"/>
  <c r="AK285" i="27" s="1"/>
  <c r="AH538" i="27"/>
  <c r="AK538" i="27" s="1"/>
  <c r="AH96" i="27"/>
  <c r="AK96" i="27" s="1"/>
  <c r="AH130" i="27"/>
  <c r="AK130" i="27" s="1"/>
  <c r="AH461" i="27"/>
  <c r="AK461" i="27" s="1"/>
  <c r="AH326" i="27"/>
  <c r="AK326" i="27" s="1"/>
  <c r="AH16" i="27"/>
  <c r="AK16" i="27" s="1"/>
  <c r="AH484" i="27"/>
  <c r="AK484" i="27" s="1"/>
  <c r="AH80" i="27"/>
  <c r="AK80" i="27" s="1"/>
  <c r="AH216" i="27"/>
  <c r="AK216" i="27" s="1"/>
  <c r="AH305" i="27"/>
  <c r="AK305" i="27" s="1"/>
  <c r="AH233" i="27"/>
  <c r="AK233" i="27" s="1"/>
  <c r="AH186" i="27"/>
  <c r="AK186" i="27" s="1"/>
  <c r="AH257" i="27"/>
  <c r="AK257" i="27" s="1"/>
  <c r="AH152" i="27"/>
  <c r="AK152" i="27" s="1"/>
  <c r="AH81" i="27"/>
  <c r="AK81" i="27" s="1"/>
  <c r="AH160" i="27"/>
  <c r="AK160" i="27" s="1"/>
  <c r="AH444" i="27"/>
  <c r="AK444" i="27" s="1"/>
  <c r="AH191" i="27"/>
  <c r="AK191" i="27" s="1"/>
  <c r="AH86" i="27"/>
  <c r="AK86" i="27" s="1"/>
  <c r="AH549" i="27"/>
  <c r="AK549" i="27" s="1"/>
  <c r="AH555" i="27"/>
  <c r="AK555" i="27" s="1"/>
  <c r="AH34" i="27"/>
  <c r="AK34" i="27" s="1"/>
  <c r="AH281" i="27"/>
  <c r="AK281" i="27" s="1"/>
  <c r="AH514" i="27"/>
  <c r="AK514" i="27" s="1"/>
  <c r="AH228" i="27"/>
  <c r="AK228" i="27" s="1"/>
  <c r="AH437" i="27"/>
  <c r="AK437" i="27" s="1"/>
  <c r="AH488" i="27"/>
  <c r="AK488" i="27" s="1"/>
  <c r="AH557" i="27"/>
  <c r="AK557" i="27" s="1"/>
  <c r="AH201" i="27"/>
  <c r="AK201" i="27" s="1"/>
  <c r="AH307" i="27"/>
  <c r="AK307" i="27" s="1"/>
  <c r="AH72" i="27"/>
  <c r="AK72" i="27" s="1"/>
  <c r="AH9" i="27"/>
  <c r="AK9" i="27" s="1"/>
  <c r="AH479" i="27"/>
  <c r="AK479" i="27" s="1"/>
  <c r="AH498" i="27"/>
  <c r="AK498" i="27" s="1"/>
  <c r="AH167" i="27"/>
  <c r="AK167" i="27" s="1"/>
  <c r="AH22" i="27"/>
  <c r="AK22" i="27" s="1"/>
  <c r="AH282" i="27"/>
  <c r="AK282" i="27" s="1"/>
  <c r="AH140" i="27"/>
  <c r="AK140" i="27" s="1"/>
  <c r="AH407" i="27"/>
  <c r="AK407" i="27" s="1"/>
  <c r="AH426" i="27"/>
  <c r="AK426" i="27" s="1"/>
  <c r="AH417" i="27"/>
  <c r="AK417" i="27" s="1"/>
  <c r="AH477" i="27"/>
  <c r="AK477" i="27" s="1"/>
  <c r="AH184" i="27"/>
  <c r="AK184" i="27" s="1"/>
  <c r="AH108" i="27"/>
  <c r="AK108" i="27" s="1"/>
  <c r="AH268" i="27"/>
  <c r="AK268" i="27" s="1"/>
  <c r="AH91" i="27"/>
  <c r="AK91" i="27" s="1"/>
  <c r="AH218" i="27"/>
  <c r="AK218" i="27" s="1"/>
  <c r="AH95" i="27"/>
  <c r="AK95" i="27" s="1"/>
  <c r="AH106" i="27"/>
  <c r="AK106" i="27" s="1"/>
  <c r="AH36" i="27"/>
  <c r="AK36" i="27" s="1"/>
  <c r="AH23" i="27"/>
  <c r="AK23" i="27" s="1"/>
  <c r="AH424" i="27"/>
  <c r="AK424" i="27" s="1"/>
  <c r="AH503" i="27"/>
  <c r="AK503" i="27" s="1"/>
  <c r="AH44" i="27"/>
  <c r="AK44" i="27" s="1"/>
  <c r="AH17" i="27"/>
  <c r="AK17" i="27" s="1"/>
  <c r="AH206" i="27"/>
  <c r="AK206" i="27" s="1"/>
  <c r="AH174" i="27"/>
  <c r="AK174" i="27" s="1"/>
  <c r="AH385" i="27"/>
  <c r="AK385" i="27" s="1"/>
  <c r="AH364" i="27"/>
  <c r="AK364" i="27" s="1"/>
  <c r="AH113" i="27"/>
  <c r="AK113" i="27" s="1"/>
  <c r="AH356" i="27"/>
  <c r="AK356" i="27" s="1"/>
  <c r="AH338" i="27"/>
  <c r="AK338" i="27" s="1"/>
  <c r="AH7" i="27"/>
  <c r="AK7" i="27" s="1"/>
  <c r="AH504" i="27"/>
  <c r="AK504" i="27" s="1"/>
  <c r="AH485" i="27"/>
  <c r="AK485" i="27" s="1"/>
  <c r="AH290" i="27"/>
  <c r="AK290" i="27" s="1"/>
  <c r="AH131" i="27"/>
  <c r="AK131" i="27" s="1"/>
  <c r="AH314" i="27"/>
  <c r="AK314" i="27" s="1"/>
  <c r="AH121" i="27"/>
  <c r="AK121" i="27" s="1"/>
  <c r="AH478" i="27"/>
  <c r="AK478" i="27" s="1"/>
  <c r="AH93" i="27"/>
  <c r="AK93" i="27" s="1"/>
  <c r="AH565" i="27"/>
  <c r="AK565" i="27" s="1"/>
  <c r="AH340" i="27"/>
  <c r="AK340" i="27" s="1"/>
  <c r="AH54" i="27"/>
  <c r="AK54" i="27" s="1"/>
  <c r="AH8" i="27"/>
  <c r="AK8" i="27" s="1"/>
  <c r="AH422" i="27"/>
  <c r="AK422" i="27" s="1"/>
  <c r="AH200" i="27"/>
  <c r="AK200" i="27" s="1"/>
  <c r="AH328" i="27"/>
  <c r="AK328" i="27" s="1"/>
  <c r="AH195" i="27"/>
  <c r="AK195" i="27" s="1"/>
  <c r="AH46" i="27"/>
  <c r="AK46" i="27" s="1"/>
  <c r="AH469" i="27"/>
  <c r="AK469" i="27" s="1"/>
  <c r="AH553" i="27"/>
  <c r="AK553" i="27" s="1"/>
  <c r="AH395" i="27"/>
  <c r="AK395" i="27" s="1"/>
  <c r="AH179" i="27"/>
  <c r="AK179" i="27" s="1"/>
  <c r="AH346" i="27"/>
  <c r="AK346" i="27" s="1"/>
  <c r="AH158" i="27"/>
  <c r="AK158" i="27" s="1"/>
  <c r="AH287" i="27"/>
  <c r="AK287" i="27" s="1"/>
  <c r="AH83" i="27"/>
  <c r="AK83" i="27" s="1"/>
  <c r="AH90" i="27"/>
  <c r="AK90" i="27" s="1"/>
  <c r="AH74" i="27"/>
  <c r="AK74" i="27" s="1"/>
  <c r="AH20" i="27"/>
  <c r="AK20" i="27" s="1"/>
  <c r="AH139" i="27"/>
  <c r="AK139" i="27" s="1"/>
  <c r="AH53" i="27"/>
  <c r="AK53" i="27" s="1"/>
  <c r="AH291" i="27"/>
  <c r="AK291" i="27" s="1"/>
  <c r="AH245" i="27"/>
  <c r="AK245" i="27" s="1"/>
  <c r="AH416" i="27"/>
  <c r="AK416" i="27" s="1"/>
  <c r="AH15" i="27"/>
  <c r="AK15" i="27" s="1"/>
  <c r="AH25" i="27"/>
  <c r="AK25" i="27" s="1"/>
  <c r="AH82" i="27"/>
  <c r="AK82" i="27" s="1"/>
  <c r="AH227" i="27"/>
  <c r="AK227" i="27" s="1"/>
  <c r="AH146" i="27"/>
  <c r="AK146" i="27" s="1"/>
  <c r="AH283" i="27"/>
  <c r="AK283" i="27" s="1"/>
  <c r="AH125" i="27"/>
  <c r="AK125" i="27" s="1"/>
  <c r="AH230" i="27"/>
  <c r="AK230" i="27" s="1"/>
  <c r="AH159" i="27"/>
  <c r="AK159" i="27" s="1"/>
  <c r="AH414" i="27"/>
  <c r="AK414" i="27" s="1"/>
  <c r="AH409" i="27"/>
  <c r="AK409" i="27" s="1"/>
  <c r="AH155" i="27"/>
  <c r="AK155" i="27" s="1"/>
  <c r="AH143" i="27"/>
  <c r="AK143" i="27" s="1"/>
  <c r="AH263" i="27"/>
  <c r="AK263" i="27" s="1"/>
  <c r="AH515" i="27"/>
  <c r="AK515" i="27" s="1"/>
  <c r="AH133" i="27"/>
  <c r="AK133" i="27" s="1"/>
  <c r="AH26" i="27"/>
  <c r="AK26" i="27" s="1"/>
  <c r="AH31" i="27"/>
  <c r="AK31" i="27" s="1"/>
  <c r="AH66" i="27"/>
  <c r="AK66" i="27" s="1"/>
  <c r="AH132" i="27"/>
  <c r="AK132" i="27" s="1"/>
  <c r="AH389" i="27"/>
  <c r="AK389" i="27" s="1"/>
  <c r="AH460" i="27"/>
  <c r="AK460" i="27" s="1"/>
  <c r="AH181" i="27"/>
  <c r="AK181" i="27" s="1"/>
  <c r="AH289" i="27"/>
  <c r="AK289" i="27" s="1"/>
  <c r="AH475" i="27"/>
  <c r="AK475" i="27" s="1"/>
  <c r="AH344" i="27"/>
  <c r="AK344" i="27" s="1"/>
  <c r="AH151" i="27"/>
  <c r="AK151" i="27" s="1"/>
  <c r="AH279" i="27"/>
  <c r="AK279" i="27" s="1"/>
  <c r="AH388" i="27"/>
  <c r="AK388" i="27" s="1"/>
  <c r="AH462" i="27"/>
  <c r="AK462" i="27" s="1"/>
  <c r="AH62" i="27"/>
  <c r="AK62" i="27" s="1"/>
  <c r="AH536" i="27"/>
  <c r="AK536" i="27" s="1"/>
  <c r="AH258" i="27"/>
  <c r="AK258" i="27" s="1"/>
  <c r="AH441" i="27"/>
  <c r="AK441" i="27" s="1"/>
  <c r="AH45" i="27"/>
  <c r="AK45" i="27" s="1"/>
  <c r="AH308" i="27"/>
  <c r="AK308" i="27" s="1"/>
  <c r="AH68" i="27"/>
  <c r="AK68" i="27" s="1"/>
  <c r="AH136" i="27"/>
  <c r="AK136" i="27" s="1"/>
  <c r="AH520" i="27"/>
  <c r="AK520" i="27" s="1"/>
  <c r="AH296" i="27"/>
  <c r="AK296" i="27" s="1"/>
  <c r="AH337" i="27"/>
  <c r="AK337" i="27" s="1"/>
  <c r="AH43" i="27"/>
  <c r="AK43" i="27" s="1"/>
  <c r="AH322" i="27"/>
  <c r="AK322" i="27" s="1"/>
  <c r="AH161" i="27"/>
  <c r="AK161" i="27" s="1"/>
  <c r="AH288" i="27"/>
  <c r="AK288" i="27" s="1"/>
  <c r="AH244" i="27"/>
  <c r="AK244" i="27" s="1"/>
  <c r="AH134" i="27"/>
  <c r="AK134" i="27" s="1"/>
  <c r="AH449" i="27"/>
  <c r="AK449" i="27" s="1"/>
  <c r="AH248" i="27"/>
  <c r="AK248" i="27" s="1"/>
  <c r="AH149" i="27"/>
  <c r="AK149" i="27" s="1"/>
  <c r="AH408" i="27"/>
  <c r="AK408" i="27" s="1"/>
  <c r="AH37" i="27"/>
  <c r="AK37" i="27" s="1"/>
  <c r="AH269" i="27"/>
  <c r="AK269" i="27" s="1"/>
  <c r="AH466" i="27"/>
  <c r="AK466" i="27" s="1"/>
  <c r="AH272" i="27"/>
  <c r="AK272" i="27" s="1"/>
  <c r="AH107" i="27"/>
  <c r="AK107" i="27" s="1"/>
  <c r="AH390" i="27"/>
  <c r="AK390" i="27" s="1"/>
  <c r="AH399" i="27"/>
  <c r="AK399" i="27" s="1"/>
  <c r="AH368" i="27"/>
  <c r="AK368" i="27" s="1"/>
  <c r="AH541" i="27"/>
  <c r="AK541" i="27" s="1"/>
  <c r="AH518" i="27"/>
  <c r="AK518" i="27" s="1"/>
  <c r="AH434" i="27"/>
  <c r="AK434" i="27" s="1"/>
  <c r="AH38" i="27"/>
  <c r="AK38" i="27" s="1"/>
  <c r="AH41" i="27"/>
  <c r="AK41" i="27" s="1"/>
  <c r="AH254" i="27"/>
  <c r="AK254" i="27" s="1"/>
  <c r="AH324" i="27"/>
  <c r="AK324" i="27" s="1"/>
  <c r="AH215" i="27"/>
  <c r="AK215" i="27" s="1"/>
  <c r="AH527" i="27"/>
  <c r="AK527" i="27" s="1"/>
  <c r="AH482" i="27"/>
  <c r="AK482" i="27" s="1"/>
  <c r="AH420" i="27"/>
  <c r="AK420" i="27" s="1"/>
  <c r="AH247" i="27"/>
  <c r="AK247" i="27" s="1"/>
  <c r="AH137" i="27"/>
  <c r="AK137" i="27" s="1"/>
  <c r="AH559" i="27"/>
  <c r="AK559" i="27" s="1"/>
  <c r="AH259" i="27"/>
  <c r="AK259" i="27" s="1"/>
  <c r="AH333" i="27"/>
  <c r="AK333" i="27" s="1"/>
  <c r="AH103" i="27"/>
  <c r="AK103" i="27" s="1"/>
  <c r="AH204" i="27"/>
  <c r="AK204" i="27" s="1"/>
  <c r="AH372" i="27"/>
  <c r="AK372" i="27" s="1"/>
  <c r="AH154" i="27"/>
  <c r="AK154" i="27" s="1"/>
  <c r="AH377" i="27"/>
  <c r="AK377" i="27" s="1"/>
  <c r="AH347" i="27"/>
  <c r="AK347" i="27" s="1"/>
  <c r="AH78" i="27"/>
  <c r="AK78" i="27" s="1"/>
  <c r="AH524" i="27"/>
  <c r="AK524" i="27" s="1"/>
  <c r="AH178" i="27"/>
  <c r="AK178" i="27" s="1"/>
  <c r="AH497" i="27"/>
  <c r="AK497" i="27" s="1"/>
  <c r="AH67" i="27"/>
  <c r="AK67" i="27" s="1"/>
  <c r="AH224" i="27"/>
  <c r="AK224" i="27" s="1"/>
  <c r="AH542" i="27"/>
  <c r="AK542" i="27" s="1"/>
  <c r="AH366" i="27"/>
  <c r="AK366" i="27" s="1"/>
  <c r="AH560" i="27"/>
  <c r="AK560" i="27" s="1"/>
  <c r="AH164" i="27"/>
  <c r="AK164" i="27" s="1"/>
  <c r="AH380" i="27"/>
  <c r="AK380" i="27" s="1"/>
  <c r="AH118" i="27"/>
  <c r="AK118" i="27" s="1"/>
  <c r="AH110" i="27"/>
  <c r="AK110" i="27" s="1"/>
  <c r="AH452" i="27"/>
  <c r="AK452" i="27" s="1"/>
  <c r="AH246" i="27"/>
  <c r="AK246" i="27" s="1"/>
  <c r="AH439" i="27"/>
  <c r="AK439" i="27" s="1"/>
  <c r="AH464" i="27"/>
  <c r="AK464" i="27" s="1"/>
  <c r="AH509" i="27"/>
  <c r="AK509" i="27" s="1"/>
  <c r="AH335" i="27"/>
  <c r="AK335" i="27" s="1"/>
  <c r="AH533" i="27"/>
  <c r="AK533" i="27" s="1"/>
  <c r="AH442" i="27"/>
  <c r="AK442" i="27" s="1"/>
  <c r="AH5" i="27"/>
  <c r="AK5" i="27" s="1"/>
  <c r="AH309" i="27"/>
  <c r="AK309" i="27" s="1"/>
  <c r="AH367" i="27"/>
  <c r="AK367" i="27" s="1"/>
  <c r="AH157" i="27"/>
  <c r="AK157" i="27" s="1"/>
  <c r="AH331" i="27"/>
  <c r="AK331" i="27" s="1"/>
  <c r="AH455" i="27"/>
  <c r="AK455" i="27" s="1"/>
  <c r="AH293" i="27"/>
  <c r="AK293" i="27" s="1"/>
  <c r="AH278" i="27"/>
  <c r="AK278" i="27" s="1"/>
  <c r="AH323" i="27"/>
  <c r="AK323" i="27" s="1"/>
  <c r="AH537" i="27"/>
  <c r="AK537" i="27" s="1"/>
  <c r="AH212" i="27"/>
  <c r="AK212" i="27" s="1"/>
  <c r="AH311" i="27"/>
  <c r="AK311" i="27" s="1"/>
  <c r="AH383" i="27"/>
  <c r="AK383" i="27" s="1"/>
  <c r="AH341" i="27"/>
  <c r="AK341" i="27" s="1"/>
  <c r="AH458" i="27"/>
  <c r="AK458" i="27" s="1"/>
  <c r="AH127" i="27"/>
  <c r="AK127" i="27" s="1"/>
  <c r="AH506" i="27"/>
  <c r="AK506" i="27" s="1"/>
  <c r="AH198" i="27"/>
  <c r="AK198" i="27" s="1"/>
  <c r="AH451" i="27"/>
  <c r="AK451" i="27" s="1"/>
  <c r="AH425" i="27"/>
  <c r="AK425" i="27" s="1"/>
  <c r="AH209" i="27"/>
  <c r="AK209" i="27" s="1"/>
  <c r="AH188" i="27"/>
  <c r="AK188" i="27" s="1"/>
  <c r="AH512" i="27"/>
  <c r="AK512" i="27" s="1"/>
  <c r="AH336" i="27"/>
  <c r="AK336" i="27" s="1"/>
  <c r="AH28" i="27"/>
  <c r="AK28" i="27" s="1"/>
  <c r="AH450" i="27"/>
  <c r="AK450" i="27" s="1"/>
  <c r="AH511" i="27"/>
  <c r="AK511" i="27" s="1"/>
  <c r="AH56" i="27"/>
  <c r="AK56" i="27" s="1"/>
  <c r="AH176" i="27"/>
  <c r="AK176" i="27" s="1"/>
  <c r="AH196" i="27"/>
  <c r="AK196" i="27" s="1"/>
  <c r="AH207" i="27"/>
  <c r="AK207" i="27" s="1"/>
  <c r="AH430" i="27"/>
  <c r="AK430" i="27" s="1"/>
  <c r="AH465" i="27"/>
  <c r="AK465" i="27" s="1"/>
  <c r="AH298" i="27"/>
  <c r="AK298" i="27" s="1"/>
  <c r="AH400" i="27"/>
  <c r="AK400" i="27" s="1"/>
  <c r="AH362" i="27"/>
  <c r="AK362" i="27" s="1"/>
  <c r="AH467" i="27"/>
  <c r="AK467" i="27" s="1"/>
  <c r="AH401" i="27"/>
  <c r="AK401" i="27" s="1"/>
  <c r="AH386" i="27"/>
  <c r="AK386" i="27" s="1"/>
  <c r="AH313" i="27"/>
  <c r="AK313" i="27" s="1"/>
  <c r="AH398" i="27"/>
  <c r="AK398" i="27" s="1"/>
  <c r="AH173" i="27"/>
  <c r="AK173" i="27" s="1"/>
  <c r="AH185" i="27"/>
  <c r="AK185" i="27" s="1"/>
  <c r="AH404" i="27"/>
  <c r="AK404" i="27" s="1"/>
  <c r="AH545" i="27"/>
  <c r="AK545" i="27" s="1"/>
  <c r="AH473" i="27"/>
  <c r="AK473" i="27" s="1"/>
  <c r="AH262" i="27"/>
  <c r="AK262" i="27" s="1"/>
  <c r="AH491" i="27"/>
  <c r="AK491" i="27" s="1"/>
  <c r="AH470" i="27"/>
  <c r="AK470" i="27" s="1"/>
  <c r="AH353" i="27"/>
  <c r="AK353" i="27" s="1"/>
  <c r="AH50" i="27"/>
  <c r="AK50" i="27" s="1"/>
  <c r="AH374" i="27"/>
  <c r="AK374" i="27" s="1"/>
  <c r="AH535" i="27"/>
  <c r="AK535" i="27" s="1"/>
  <c r="AH251" i="27"/>
  <c r="AK251" i="27" s="1"/>
  <c r="AH275" i="27"/>
  <c r="AK275" i="27" s="1"/>
  <c r="AH189" i="27"/>
  <c r="AK189" i="27" s="1"/>
  <c r="AH548" i="27"/>
  <c r="AK548" i="27" s="1"/>
  <c r="AH440" i="27"/>
  <c r="AK440" i="27" s="1"/>
  <c r="AH87" i="27"/>
  <c r="AK87" i="27" s="1"/>
  <c r="AH566" i="27"/>
  <c r="AK566" i="27" s="1"/>
  <c r="AH169" i="27"/>
  <c r="AK169" i="27" s="1"/>
  <c r="AH419" i="27"/>
  <c r="AK419" i="27" s="1"/>
  <c r="AH190" i="27"/>
  <c r="AK190" i="27" s="1"/>
  <c r="AH84" i="27"/>
  <c r="AK84" i="27" s="1"/>
  <c r="AH170" i="27"/>
  <c r="AK170" i="27" s="1"/>
  <c r="AH319" i="27"/>
  <c r="AK319" i="27" s="1"/>
  <c r="AH562" i="27"/>
  <c r="AK562" i="27" s="1"/>
  <c r="AH534" i="27"/>
  <c r="AK534" i="27" s="1"/>
  <c r="AH510" i="27"/>
  <c r="AK510" i="27" s="1"/>
  <c r="AH264" i="27"/>
  <c r="AK264" i="27" s="1"/>
  <c r="AH375" i="27"/>
  <c r="AK375" i="27" s="1"/>
  <c r="AH379" i="27"/>
  <c r="AK379" i="27" s="1"/>
  <c r="AH172" i="27"/>
  <c r="AK172" i="27" s="1"/>
  <c r="AH394" i="27"/>
  <c r="AK394" i="27" s="1"/>
  <c r="AH472" i="27"/>
  <c r="AK472" i="27" s="1"/>
  <c r="AH33" i="27"/>
  <c r="AK33" i="27" s="1"/>
  <c r="AH521" i="27"/>
  <c r="AK521" i="27" s="1"/>
  <c r="AH487" i="27"/>
  <c r="AK487" i="27" s="1"/>
  <c r="AH294" i="27"/>
  <c r="AK294" i="27" s="1"/>
  <c r="AH530" i="27"/>
  <c r="AK530" i="27" s="1"/>
  <c r="AH494" i="27"/>
  <c r="AK494" i="27" s="1"/>
  <c r="AH211" i="27"/>
  <c r="AK211" i="27" s="1"/>
  <c r="AH242" i="27"/>
  <c r="AK242" i="27" s="1"/>
  <c r="AH292" i="27"/>
  <c r="AK292" i="27" s="1"/>
  <c r="AH453" i="27"/>
  <c r="AK453" i="27" s="1"/>
  <c r="AH474" i="27"/>
  <c r="AK474" i="27" s="1"/>
  <c r="AH348" i="27"/>
  <c r="AK348" i="27" s="1"/>
  <c r="AH153" i="27"/>
  <c r="AK153" i="27" s="1"/>
  <c r="AH411" i="27"/>
  <c r="AK411" i="27" s="1"/>
  <c r="AH112" i="27"/>
  <c r="AK112" i="27" s="1"/>
  <c r="AH540" i="27"/>
  <c r="AK540" i="27" s="1"/>
  <c r="AH343" i="27"/>
  <c r="AK343" i="27" s="1"/>
  <c r="AH193" i="27"/>
  <c r="AK193" i="27" s="1"/>
  <c r="AH145" i="27"/>
  <c r="AK145" i="27" s="1"/>
  <c r="AH500" i="27"/>
  <c r="AK500" i="27" s="1"/>
  <c r="AH148" i="27"/>
  <c r="AK148" i="27" s="1"/>
  <c r="AH138" i="27"/>
  <c r="AK138" i="27" s="1"/>
  <c r="AH266" i="27"/>
  <c r="AK266" i="27" s="1"/>
  <c r="AH124" i="27"/>
  <c r="AK124" i="27" s="1"/>
  <c r="AH59" i="27"/>
  <c r="AK59" i="27" s="1"/>
  <c r="AH116" i="27"/>
  <c r="AK116" i="27" s="1"/>
  <c r="AH539" i="27"/>
  <c r="AK539" i="27" s="1"/>
  <c r="AH457" i="27"/>
  <c r="AK457" i="27" s="1"/>
  <c r="AH329" i="27"/>
  <c r="AK329" i="27" s="1"/>
  <c r="AH505" i="27"/>
  <c r="AK505" i="27" s="1"/>
  <c r="AH502" i="27"/>
  <c r="AK502" i="27" s="1"/>
  <c r="AH316" i="27"/>
  <c r="AK316" i="27" s="1"/>
  <c r="AH532" i="27"/>
  <c r="AK532" i="27" s="1"/>
  <c r="AH376" i="27"/>
  <c r="AK376" i="27" s="1"/>
  <c r="AH76" i="27"/>
  <c r="AK76" i="27" s="1"/>
  <c r="AH252" i="27"/>
  <c r="AK252" i="27" s="1"/>
  <c r="AH236" i="27"/>
  <c r="AK236" i="27" s="1"/>
  <c r="AH369" i="27"/>
  <c r="AK369" i="27" s="1"/>
  <c r="AH239" i="27"/>
  <c r="AK239" i="27" s="1"/>
  <c r="AH64" i="27"/>
  <c r="AK64" i="27" s="1"/>
  <c r="AH21" i="27"/>
  <c r="AK21" i="27" s="1"/>
  <c r="AH397" i="27"/>
  <c r="AK397" i="27" s="1"/>
  <c r="AH141" i="27"/>
  <c r="AK141" i="27" s="1"/>
  <c r="AH547" i="27"/>
  <c r="AK547" i="27" s="1"/>
  <c r="AH415" i="27"/>
  <c r="AK415" i="27" s="1"/>
  <c r="AH177" i="27"/>
  <c r="AK177" i="27" s="1"/>
  <c r="AH171" i="27"/>
  <c r="AK171" i="27" s="1"/>
  <c r="AH40" i="27"/>
  <c r="AK40" i="27" s="1"/>
  <c r="AH214" i="27"/>
  <c r="AK214" i="27" s="1"/>
  <c r="AH42" i="27"/>
  <c r="AK42" i="27" s="1"/>
  <c r="AH438" i="27"/>
  <c r="AK438" i="27" s="1"/>
  <c r="AH175" i="27"/>
  <c r="AK175" i="27" s="1"/>
  <c r="AH30" i="27"/>
  <c r="AK30" i="27" s="1"/>
  <c r="AH13" i="27"/>
  <c r="AK13" i="27" s="1"/>
  <c r="AH256" i="27"/>
  <c r="AK256" i="27" s="1"/>
  <c r="AH24" i="27"/>
  <c r="AK24" i="27" s="1"/>
  <c r="AH429" i="27"/>
  <c r="AK429" i="27" s="1"/>
  <c r="AH403" i="27"/>
  <c r="AK403" i="27" s="1"/>
  <c r="AH454" i="27"/>
  <c r="AK454" i="27" s="1"/>
  <c r="AH229" i="27"/>
  <c r="AK229" i="27" s="1"/>
  <c r="AH448" i="27"/>
  <c r="AK448" i="27" s="1"/>
  <c r="AH436" i="27"/>
  <c r="AK436" i="27" s="1"/>
  <c r="AH238" i="27"/>
  <c r="AK238" i="27" s="1"/>
  <c r="AH295" i="27"/>
  <c r="AK295" i="27" s="1"/>
  <c r="AH550" i="27"/>
  <c r="AK550" i="27" s="1"/>
  <c r="AH165" i="27"/>
  <c r="AK165" i="27" s="1"/>
  <c r="AH104" i="27"/>
  <c r="AK104" i="27" s="1"/>
  <c r="AH180" i="27"/>
  <c r="AK180" i="27" s="1"/>
  <c r="AH304" i="27"/>
  <c r="AK304" i="27" s="1"/>
  <c r="AH519" i="27"/>
  <c r="AK519" i="27" s="1"/>
  <c r="AH384" i="27"/>
  <c r="AK384" i="27" s="1"/>
  <c r="AH501" i="27"/>
  <c r="AK501" i="27" s="1"/>
  <c r="AH526" i="27"/>
  <c r="AK526" i="27" s="1"/>
  <c r="AH142" i="27"/>
  <c r="AK142" i="27" s="1"/>
  <c r="AH310" i="27"/>
  <c r="AK310" i="27" s="1"/>
  <c r="AH52" i="27"/>
  <c r="AK52" i="27" s="1"/>
  <c r="AH327" i="27"/>
  <c r="AK327" i="27" s="1"/>
  <c r="AH493" i="27"/>
  <c r="AK493" i="27" s="1"/>
  <c r="AH114" i="27"/>
  <c r="AK114" i="27" s="1"/>
  <c r="AH168" i="27"/>
  <c r="AK168" i="27" s="1"/>
  <c r="AH156" i="27"/>
  <c r="AK156" i="27" s="1"/>
  <c r="AH525" i="27"/>
  <c r="AK525" i="27" s="1"/>
  <c r="AH567" i="27"/>
  <c r="AK567" i="27" s="1"/>
  <c r="AH231" i="27"/>
  <c r="AK231" i="27" s="1"/>
  <c r="AH101" i="27"/>
  <c r="AK101" i="27" s="1"/>
  <c r="AH381" i="27"/>
  <c r="AK381" i="27" s="1"/>
  <c r="AH250" i="27"/>
  <c r="AK250" i="27" s="1"/>
  <c r="AH445" i="27"/>
  <c r="AK445" i="27" s="1"/>
  <c r="AH564" i="27"/>
  <c r="AK564" i="27" s="1"/>
  <c r="AH182" i="27"/>
  <c r="AK182" i="27" s="1"/>
  <c r="AH517" i="27" l="1"/>
  <c r="AK517" i="27" s="1"/>
  <c r="AH431" i="27"/>
  <c r="AK431" i="27" s="1"/>
  <c r="AH355" i="27"/>
  <c r="AK355" i="27" s="1"/>
  <c r="AH418" i="27"/>
  <c r="AK418" i="27" s="1"/>
  <c r="AH265" i="27"/>
  <c r="AK265" i="27" s="1"/>
  <c r="AH255" i="27"/>
  <c r="AK255" i="27" s="1"/>
  <c r="AH63" i="27"/>
  <c r="AK63" i="27" s="1"/>
  <c r="AH516" i="27" l="1"/>
  <c r="AK516" i="27" s="1"/>
  <c r="AH563" i="27"/>
  <c r="AK563" i="27" s="1"/>
  <c r="AH435" i="27"/>
  <c r="AK435" i="27" s="1"/>
  <c r="AH300" i="27"/>
  <c r="AK300" i="27" s="1"/>
  <c r="AH459" i="27"/>
  <c r="AK459" i="27" s="1"/>
  <c r="AH240" i="27"/>
  <c r="AK240" i="27" s="1"/>
  <c r="AH443" i="27"/>
  <c r="AK443" i="27" s="1"/>
  <c r="AH361" i="27"/>
  <c r="AK361" i="27" s="1"/>
  <c r="AH274" i="27"/>
  <c r="AK274" i="27" s="1"/>
  <c r="AH433" i="27"/>
  <c r="AK433" i="27" s="1"/>
  <c r="AH102" i="27"/>
  <c r="AK102" i="27" s="1"/>
  <c r="AH194" i="27"/>
  <c r="AK194" i="27" s="1"/>
  <c r="AH350" i="27"/>
  <c r="AK350" i="27" s="1"/>
  <c r="AH267" i="27"/>
  <c r="AK267" i="27" s="1"/>
  <c r="AH70" i="27"/>
  <c r="AK70" i="27" s="1"/>
  <c r="AH97" i="27"/>
  <c r="AK97" i="27" s="1"/>
  <c r="AH79" i="27"/>
  <c r="AK79" i="27" s="1"/>
  <c r="AH317" i="27"/>
  <c r="AK317" i="27" s="1"/>
  <c r="AH447" i="27"/>
  <c r="AK447" i="27" s="1"/>
  <c r="AH58" i="27"/>
  <c r="AK58" i="27" s="1"/>
  <c r="AH85" i="27"/>
  <c r="AK85" i="27" s="1"/>
  <c r="AH315" i="27"/>
  <c r="AK315" i="27" s="1"/>
  <c r="AH393" i="27"/>
  <c r="AK393" i="27" s="1"/>
  <c r="AH166" i="27"/>
  <c r="AK166" i="27" s="1"/>
  <c r="AH226" i="27"/>
  <c r="AK226" i="27" s="1"/>
  <c r="AH332" i="27"/>
  <c r="AK332" i="27" s="1"/>
  <c r="AH273" i="27"/>
  <c r="AK273" i="27" s="1"/>
  <c r="AH357" i="27"/>
  <c r="AK357" i="27" s="1"/>
  <c r="AH306" i="27"/>
  <c r="AK306" i="27" s="1"/>
  <c r="AH277" i="27"/>
  <c r="AK277" i="27" s="1"/>
  <c r="AH220" i="27"/>
  <c r="AK220" i="27" s="1"/>
  <c r="AH150" i="27"/>
  <c r="AK150" i="27" s="1"/>
  <c r="AH192" i="27"/>
  <c r="AK192" i="27" s="1"/>
  <c r="AH12" i="27"/>
  <c r="AK12" i="27" s="1"/>
  <c r="AH301" i="27"/>
  <c r="AK301" i="27" s="1"/>
  <c r="AH373" i="27"/>
  <c r="AK373" i="27" s="1"/>
  <c r="AH392" i="27"/>
  <c r="AK392" i="27" s="1"/>
  <c r="AH358" i="27"/>
  <c r="AK358" i="27" s="1"/>
  <c r="AH552" i="27"/>
  <c r="AK552" i="27" s="1"/>
  <c r="AH402" i="27"/>
  <c r="AK402" i="27" s="1"/>
  <c r="AH483" i="27"/>
  <c r="AK483" i="27" s="1"/>
  <c r="AH225" i="27"/>
  <c r="AK225" i="27" s="1"/>
  <c r="AH222" i="27"/>
  <c r="AK222" i="27" s="1"/>
  <c r="AH208" i="27"/>
  <c r="AK208" i="27" s="1"/>
  <c r="AH490" i="27"/>
  <c r="AK490" i="27" s="1"/>
  <c r="AH105" i="27"/>
  <c r="AK105" i="27" s="1"/>
  <c r="AH481" i="27"/>
  <c r="AK481" i="27" s="1"/>
  <c r="AH65" i="27"/>
  <c r="AK65" i="27" s="1"/>
  <c r="AH135" i="27"/>
  <c r="AK135" i="27" s="1"/>
  <c r="AH19" i="27"/>
  <c r="AK19" i="27" s="1"/>
  <c r="AH210" i="27"/>
  <c r="AK210" i="27" s="1"/>
  <c r="AH286" i="27"/>
  <c r="AK286" i="27" s="1"/>
  <c r="AH523" i="27"/>
  <c r="AK523" i="27" s="1"/>
  <c r="AH427" i="27"/>
  <c r="AK427" i="27" s="1"/>
  <c r="AH88" i="27"/>
  <c r="AK88" i="27" s="1"/>
  <c r="AH363" i="27"/>
  <c r="AK363" i="27" s="1"/>
  <c r="AH428" i="27"/>
  <c r="AK428" i="27" s="1"/>
  <c r="AH468" i="27"/>
  <c r="AK468" i="27" s="1"/>
  <c r="AH528" i="27"/>
  <c r="AK528" i="27" s="1"/>
  <c r="AH260" i="27"/>
  <c r="AK260" i="27" s="1"/>
  <c r="AH471" i="27"/>
  <c r="AK471" i="27" s="1"/>
  <c r="AH48" i="27"/>
  <c r="AK48" i="27" s="1"/>
  <c r="AH243" i="27"/>
  <c r="AK243" i="27" s="1"/>
  <c r="AH334" i="27"/>
  <c r="AK334" i="27" s="1"/>
  <c r="AH522" i="27"/>
  <c r="AK522" i="27" s="1"/>
  <c r="AH115" i="27"/>
  <c r="AK115" i="27" s="1"/>
  <c r="AH280" i="27"/>
  <c r="AK280" i="27" s="1"/>
  <c r="AH554" i="27"/>
  <c r="AK554" i="27" s="1"/>
  <c r="AH237" i="27"/>
  <c r="AK237" i="27" s="1"/>
  <c r="AH183" i="27"/>
  <c r="AK183" i="27" s="1"/>
  <c r="AH144" i="27"/>
  <c r="AK144" i="27" s="1"/>
  <c r="AH234" i="27"/>
  <c r="AK234" i="27" s="1"/>
  <c r="AH276" i="27"/>
  <c r="AK276" i="27" s="1"/>
  <c r="AH232" i="27"/>
  <c r="AK232" i="27" s="1"/>
  <c r="AH94" i="27"/>
  <c r="AK94" i="27" s="1"/>
  <c r="AH544" i="27"/>
  <c r="AK544" i="27" s="1"/>
  <c r="AH556" i="27"/>
  <c r="AK556" i="27" s="1"/>
  <c r="AH423" i="27"/>
  <c r="AK423" i="27" s="1"/>
  <c r="AH558" i="27"/>
  <c r="AK558" i="27" s="1"/>
  <c r="AH492" i="27"/>
  <c r="AK492" i="27" s="1"/>
  <c r="AH120" i="27"/>
  <c r="AK120" i="27" s="1"/>
  <c r="AH387" i="27"/>
  <c r="AK387" i="27" s="1"/>
  <c r="AH513" i="27"/>
  <c r="AK513" i="27" s="1"/>
  <c r="AH391" i="27"/>
  <c r="AK391" i="27" s="1"/>
  <c r="AH271" i="27"/>
  <c r="AK271" i="27" s="1"/>
  <c r="AH117" i="27"/>
  <c r="AK117" i="27" s="1"/>
  <c r="AH345" i="27"/>
  <c r="AK345" i="27" s="1"/>
  <c r="AH321" i="27"/>
  <c r="AK321" i="27" s="1"/>
  <c r="AH73" i="27"/>
  <c r="AK73" i="27" s="1"/>
  <c r="AH486" i="27"/>
  <c r="AK486" i="27" s="1"/>
  <c r="AH39" i="27"/>
  <c r="AK39" i="27" s="1"/>
  <c r="AH405" i="27"/>
  <c r="AK405" i="27" s="1"/>
  <c r="AH205" i="27"/>
  <c r="AK205" i="27" s="1"/>
  <c r="AH202" i="27"/>
  <c r="AK202" i="27" s="1"/>
  <c r="AH339" i="27"/>
  <c r="AK339" i="27" s="1"/>
  <c r="AH499" i="27"/>
  <c r="AK499" i="27" s="1"/>
  <c r="AH529" i="27"/>
  <c r="AK529" i="27" s="1"/>
  <c r="AH261" i="27"/>
  <c r="AK261" i="27" s="1"/>
  <c r="AH351" i="27"/>
  <c r="AK351" i="27" s="1"/>
  <c r="AH561" i="27"/>
  <c r="AK561" i="27" s="1"/>
  <c r="AH412" i="27"/>
  <c r="AK412" i="27" s="1"/>
  <c r="AH270" i="27"/>
  <c r="AK270" i="27" s="1"/>
  <c r="AH325" i="27"/>
  <c r="AK325" i="27" s="1"/>
  <c r="AH432" i="27"/>
  <c r="AK432" i="27" s="1"/>
  <c r="AH217" i="27"/>
  <c r="AK217" i="27" s="1"/>
  <c r="AH99" i="27"/>
  <c r="AK99" i="27" s="1"/>
  <c r="AH531" i="27"/>
  <c r="AK531" i="27" s="1"/>
  <c r="AH163" i="27"/>
  <c r="AK163" i="27" s="1"/>
  <c r="AH299" i="27"/>
  <c r="AK299" i="27" s="1"/>
  <c r="AL4" i="27" l="1"/>
  <c r="AH1" i="27"/>
  <c r="AC4" i="92" l="1"/>
  <c r="AY4" i="92" s="1"/>
  <c r="Z34" i="92"/>
  <c r="X42" i="92"/>
  <c r="AT42" i="92" s="1"/>
  <c r="AZ16" i="92"/>
  <c r="AE25" i="92"/>
  <c r="AP25" i="92" s="1"/>
  <c r="V40" i="92"/>
  <c r="AG40" i="92" s="1"/>
  <c r="Y37" i="92"/>
  <c r="AU37" i="92" s="1"/>
  <c r="W30" i="92"/>
  <c r="AS30" i="92" s="1"/>
  <c r="Y29" i="92"/>
  <c r="AU29" i="92" s="1"/>
  <c r="U16" i="92"/>
  <c r="AQ16" i="92" s="1"/>
  <c r="W36" i="92"/>
  <c r="AH36" i="92" s="1"/>
  <c r="X40" i="92"/>
  <c r="AI40" i="92" s="1"/>
  <c r="Y18" i="92"/>
  <c r="AJ18" i="92" s="1"/>
  <c r="AO10" i="92"/>
  <c r="AE14" i="92"/>
  <c r="BA14" i="92" s="1"/>
  <c r="W29" i="92"/>
  <c r="AH29" i="92" s="1"/>
  <c r="Z37" i="92"/>
  <c r="AC5" i="92"/>
  <c r="AE16" i="92"/>
  <c r="BA16" i="92" s="1"/>
  <c r="Z8" i="92"/>
  <c r="AV8" i="92" s="1"/>
  <c r="Z32" i="92"/>
  <c r="Z17" i="92"/>
  <c r="AC14" i="92"/>
  <c r="AN14" i="92" s="1"/>
  <c r="V31" i="92"/>
  <c r="AR31" i="92" s="1"/>
  <c r="W9" i="92"/>
  <c r="V10" i="92"/>
  <c r="AR10" i="92" s="1"/>
  <c r="Z5" i="92"/>
  <c r="AV5" i="92" s="1"/>
  <c r="V11" i="92"/>
  <c r="AG11" i="92" s="1"/>
  <c r="AE26" i="92"/>
  <c r="BA26" i="92" s="1"/>
  <c r="V6" i="92"/>
  <c r="AR6" i="92" s="1"/>
  <c r="Y35" i="92"/>
  <c r="AU35" i="92" s="1"/>
  <c r="AE41" i="92"/>
  <c r="BA41" i="92" s="1"/>
  <c r="W15" i="92"/>
  <c r="AS15" i="92" s="1"/>
  <c r="Z39" i="92"/>
  <c r="AK39" i="92" s="1"/>
  <c r="X5" i="92"/>
  <c r="AT5" i="92" s="1"/>
  <c r="AB42" i="92"/>
  <c r="AX42" i="92" s="1"/>
  <c r="AZ5" i="92"/>
  <c r="U15" i="92"/>
  <c r="AQ15" i="92" s="1"/>
  <c r="AE44" i="92"/>
  <c r="AP44" i="92" s="1"/>
  <c r="AE33" i="92"/>
  <c r="AE36" i="92"/>
  <c r="AP36" i="92" s="1"/>
  <c r="W27" i="92"/>
  <c r="AH27" i="92" s="1"/>
  <c r="Z15" i="92"/>
  <c r="AK15" i="92" s="1"/>
  <c r="W6" i="92"/>
  <c r="AH6" i="92" s="1"/>
  <c r="AE12" i="92"/>
  <c r="W33" i="92"/>
  <c r="AH33" i="92" s="1"/>
  <c r="Z40" i="92"/>
  <c r="AK40" i="92" s="1"/>
  <c r="X13" i="92"/>
  <c r="AT13" i="92" s="1"/>
  <c r="V76" i="92"/>
  <c r="AR76" i="92" s="1"/>
  <c r="X12" i="92"/>
  <c r="AT12" i="92" s="1"/>
  <c r="X4" i="92"/>
  <c r="AT4" i="92" s="1"/>
  <c r="Y17" i="92"/>
  <c r="AO11" i="92"/>
  <c r="AA18" i="92"/>
  <c r="AW18" i="92" s="1"/>
  <c r="AC17" i="92"/>
  <c r="AN17" i="92" s="1"/>
  <c r="AB5" i="92"/>
  <c r="X31" i="92"/>
  <c r="AI31" i="92" s="1"/>
  <c r="V39" i="92"/>
  <c r="AG39" i="92" s="1"/>
  <c r="AE10" i="92"/>
  <c r="X30" i="92"/>
  <c r="AT30" i="92" s="1"/>
  <c r="Y11" i="92"/>
  <c r="AU11" i="92" s="1"/>
  <c r="Y15" i="92"/>
  <c r="AU15" i="92" s="1"/>
  <c r="Z23" i="92"/>
  <c r="AV23" i="92" s="1"/>
  <c r="AE29" i="92"/>
  <c r="BA29" i="92" s="1"/>
  <c r="Y36" i="92"/>
  <c r="AU36" i="92" s="1"/>
  <c r="V18" i="92"/>
  <c r="AG18" i="92" s="1"/>
  <c r="W44" i="92"/>
  <c r="AH44" i="92" s="1"/>
  <c r="X29" i="92"/>
  <c r="AT29" i="92" s="1"/>
  <c r="X19" i="92"/>
  <c r="AT19" i="92" s="1"/>
  <c r="U8" i="92"/>
  <c r="AF8" i="92" s="1"/>
  <c r="AZ9" i="92"/>
  <c r="AC19" i="92"/>
  <c r="AB9" i="92"/>
  <c r="AX9" i="92" s="1"/>
  <c r="AZ13" i="92"/>
  <c r="U34" i="92"/>
  <c r="AF34" i="92" s="1"/>
  <c r="U6" i="92"/>
  <c r="AF6" i="92" s="1"/>
  <c r="U31" i="92"/>
  <c r="AQ31" i="92" s="1"/>
  <c r="X6" i="92"/>
  <c r="AT6" i="92" s="1"/>
  <c r="V4" i="92"/>
  <c r="AG4" i="92" s="1"/>
  <c r="Z16" i="92"/>
  <c r="AK16" i="92" s="1"/>
  <c r="Y30" i="92"/>
  <c r="AE8" i="92"/>
  <c r="AP8" i="92" s="1"/>
  <c r="AE79" i="92"/>
  <c r="BA79" i="92" s="1"/>
  <c r="U26" i="92"/>
  <c r="AQ26" i="92" s="1"/>
  <c r="V20" i="92"/>
  <c r="AR20" i="92" s="1"/>
  <c r="X11" i="92"/>
  <c r="AI11" i="92" s="1"/>
  <c r="U13" i="92"/>
  <c r="Z33" i="92"/>
  <c r="AV33" i="92" s="1"/>
  <c r="AA11" i="92"/>
  <c r="AL11" i="92" s="1"/>
  <c r="AA8" i="92"/>
  <c r="AA13" i="92"/>
  <c r="AL13" i="92" s="1"/>
  <c r="AA19" i="92"/>
  <c r="AL19" i="92" s="1"/>
  <c r="Z18" i="92"/>
  <c r="AK18" i="92" s="1"/>
  <c r="Z22" i="92"/>
  <c r="AK22" i="92" s="1"/>
  <c r="W17" i="92"/>
  <c r="AS17" i="92" s="1"/>
  <c r="U20" i="92"/>
  <c r="AQ20" i="92" s="1"/>
  <c r="X39" i="92"/>
  <c r="U39" i="92"/>
  <c r="AQ39" i="92" s="1"/>
  <c r="AE42" i="92"/>
  <c r="AP42" i="92" s="1"/>
  <c r="Y6" i="92"/>
  <c r="W38" i="92"/>
  <c r="AS38" i="92" s="1"/>
  <c r="AE23" i="92"/>
  <c r="BA23" i="92" s="1"/>
  <c r="Y10" i="92"/>
  <c r="V19" i="92"/>
  <c r="U28" i="92"/>
  <c r="Y9" i="92"/>
  <c r="AA4" i="92"/>
  <c r="AL4" i="92" s="1"/>
  <c r="AO18" i="92"/>
  <c r="AB6" i="92"/>
  <c r="AM6" i="92" s="1"/>
  <c r="AB16" i="92"/>
  <c r="AX16" i="92" s="1"/>
  <c r="W35" i="92"/>
  <c r="AH35" i="92" s="1"/>
  <c r="V34" i="92"/>
  <c r="AG34" i="92" s="1"/>
  <c r="Y8" i="92"/>
  <c r="Z30" i="92"/>
  <c r="AV30" i="92" s="1"/>
  <c r="AE38" i="92"/>
  <c r="BA38" i="92" s="1"/>
  <c r="W16" i="92"/>
  <c r="AS16" i="92" s="1"/>
  <c r="X9" i="92"/>
  <c r="AI9" i="92" s="1"/>
  <c r="V22" i="92"/>
  <c r="AR22" i="92" s="1"/>
  <c r="AE13" i="92"/>
  <c r="V17" i="92"/>
  <c r="U19" i="92"/>
  <c r="AF19" i="92" s="1"/>
  <c r="V41" i="92"/>
  <c r="AG41" i="92" s="1"/>
  <c r="W19" i="92"/>
  <c r="Y5" i="92"/>
  <c r="AU5" i="92" s="1"/>
  <c r="AB8" i="92"/>
  <c r="AX8" i="92" s="1"/>
  <c r="AC16" i="92"/>
  <c r="AN16" i="92" s="1"/>
  <c r="AC9" i="92"/>
  <c r="AY9" i="92" s="1"/>
  <c r="AE40" i="92"/>
  <c r="X44" i="92"/>
  <c r="W11" i="92"/>
  <c r="AH11" i="92" s="1"/>
  <c r="V33" i="92"/>
  <c r="AG33" i="92" s="1"/>
  <c r="Z6" i="92"/>
  <c r="AV6" i="92" s="1"/>
  <c r="AE43" i="92"/>
  <c r="AP43" i="92" s="1"/>
  <c r="Z13" i="92"/>
  <c r="AK13" i="92" s="1"/>
  <c r="W25" i="92"/>
  <c r="AH25" i="92" s="1"/>
  <c r="Y31" i="92"/>
  <c r="V30" i="92"/>
  <c r="AG30" i="92" s="1"/>
  <c r="Z26" i="92"/>
  <c r="AK26" i="92" s="1"/>
  <c r="U9" i="92"/>
  <c r="U17" i="92"/>
  <c r="AQ17" i="92" s="1"/>
  <c r="X10" i="92"/>
  <c r="AI10" i="92" s="1"/>
  <c r="W5" i="92"/>
  <c r="AH5" i="92" s="1"/>
  <c r="AA7" i="92"/>
  <c r="AW7" i="92" s="1"/>
  <c r="AB20" i="92"/>
  <c r="AB18" i="92"/>
  <c r="W81" i="92"/>
  <c r="AH81" i="92" s="1"/>
  <c r="AE31" i="92"/>
  <c r="AP31" i="92" s="1"/>
  <c r="U22" i="92"/>
  <c r="AQ22" i="92" s="1"/>
  <c r="Y21" i="92"/>
  <c r="AU21" i="92" s="1"/>
  <c r="X14" i="92"/>
  <c r="AI14" i="92" s="1"/>
  <c r="U42" i="92"/>
  <c r="AF42" i="92" s="1"/>
  <c r="AE9" i="92"/>
  <c r="AP9" i="92" s="1"/>
  <c r="X8" i="92"/>
  <c r="AT8" i="92" s="1"/>
  <c r="AE17" i="92"/>
  <c r="BA17" i="92" s="1"/>
  <c r="Y7" i="92"/>
  <c r="X21" i="92"/>
  <c r="AT21" i="92" s="1"/>
  <c r="AE11" i="92"/>
  <c r="BA11" i="92" s="1"/>
  <c r="Z38" i="92"/>
  <c r="AV38" i="92" s="1"/>
  <c r="W10" i="92"/>
  <c r="AS10" i="92" s="1"/>
  <c r="V14" i="92"/>
  <c r="AG14" i="92" s="1"/>
  <c r="Y32" i="92"/>
  <c r="AE21" i="92"/>
  <c r="BA21" i="92" s="1"/>
  <c r="Z31" i="92"/>
  <c r="AK31" i="92" s="1"/>
  <c r="U18" i="92"/>
  <c r="AQ18" i="92" s="1"/>
  <c r="V23" i="92"/>
  <c r="AG23" i="92" s="1"/>
  <c r="X25" i="92"/>
  <c r="AT25" i="92" s="1"/>
  <c r="W8" i="92"/>
  <c r="W21" i="92"/>
  <c r="AH21" i="92" s="1"/>
  <c r="W24" i="92"/>
  <c r="Z11" i="92"/>
  <c r="AK11" i="92" s="1"/>
  <c r="W32" i="92"/>
  <c r="Y4" i="92"/>
  <c r="AU4" i="92" s="1"/>
  <c r="Y34" i="92"/>
  <c r="AU34" i="92" s="1"/>
  <c r="U21" i="92"/>
  <c r="AF21" i="92" s="1"/>
  <c r="W20" i="92"/>
  <c r="AS20" i="92" s="1"/>
  <c r="Y13" i="92"/>
  <c r="U4" i="92"/>
  <c r="AF4" i="92" s="1"/>
  <c r="AB13" i="92"/>
  <c r="AX13" i="92" s="1"/>
  <c r="AA6" i="92"/>
  <c r="AO8" i="92"/>
  <c r="Z4" i="92"/>
  <c r="AV4" i="92" s="1"/>
  <c r="AC13" i="92"/>
  <c r="AN13" i="92" s="1"/>
  <c r="AB15" i="92"/>
  <c r="AM15" i="92" s="1"/>
  <c r="AA9" i="92"/>
  <c r="AW9" i="92" s="1"/>
  <c r="AZ14" i="92"/>
  <c r="AE4" i="92"/>
  <c r="BA4" i="92" s="1"/>
  <c r="X33" i="92"/>
  <c r="W4" i="92"/>
  <c r="AS4" i="92" s="1"/>
  <c r="U30" i="92"/>
  <c r="AF30" i="92" s="1"/>
  <c r="V25" i="92"/>
  <c r="AR25" i="92" s="1"/>
  <c r="X22" i="92"/>
  <c r="AT22" i="92" s="1"/>
  <c r="X34" i="92"/>
  <c r="AT34" i="92" s="1"/>
  <c r="W7" i="92"/>
  <c r="AS7" i="92" s="1"/>
  <c r="Y14" i="92"/>
  <c r="AJ14" i="92" s="1"/>
  <c r="V28" i="92"/>
  <c r="AG28" i="92" s="1"/>
  <c r="AE28" i="92"/>
  <c r="BA28" i="92" s="1"/>
  <c r="Y22" i="92"/>
  <c r="AJ22" i="92" s="1"/>
  <c r="W13" i="92"/>
  <c r="AH13" i="92" s="1"/>
  <c r="Y23" i="92"/>
  <c r="AU23" i="92" s="1"/>
  <c r="U10" i="92"/>
  <c r="AE6" i="92"/>
  <c r="AP6" i="92" s="1"/>
  <c r="X15" i="92"/>
  <c r="AI15" i="92" s="1"/>
  <c r="AE20" i="92"/>
  <c r="BA20" i="92" s="1"/>
  <c r="U7" i="92"/>
  <c r="AF7" i="92" s="1"/>
  <c r="W41" i="92"/>
  <c r="AS41" i="92" s="1"/>
  <c r="U32" i="92"/>
  <c r="AF32" i="92" s="1"/>
  <c r="V13" i="92"/>
  <c r="AG13" i="92" s="1"/>
  <c r="V8" i="92"/>
  <c r="Y19" i="92"/>
  <c r="AJ19" i="92" s="1"/>
  <c r="V16" i="92"/>
  <c r="V44" i="92"/>
  <c r="AG44" i="92" s="1"/>
  <c r="Y12" i="92"/>
  <c r="AJ12" i="92" s="1"/>
  <c r="Y42" i="92"/>
  <c r="AJ42" i="92" s="1"/>
  <c r="U41" i="92"/>
  <c r="AF41" i="92" s="1"/>
  <c r="AA15" i="92"/>
  <c r="AL15" i="92" s="1"/>
  <c r="AC15" i="92"/>
  <c r="AN15" i="92" s="1"/>
  <c r="AC20" i="92"/>
  <c r="AA10" i="92"/>
  <c r="AL10" i="92" s="1"/>
  <c r="AA5" i="92"/>
  <c r="AZ20" i="92"/>
  <c r="AA14" i="92"/>
  <c r="AW14" i="92" s="1"/>
  <c r="AB4" i="92"/>
  <c r="AM4" i="92" s="1"/>
  <c r="AC10" i="92"/>
  <c r="AN10" i="92" s="1"/>
  <c r="AC8" i="92"/>
  <c r="AY8" i="92" s="1"/>
  <c r="AC6" i="92"/>
  <c r="AA12" i="92"/>
  <c r="AL12" i="92" s="1"/>
  <c r="AC18" i="92"/>
  <c r="AB10" i="92"/>
  <c r="AX10" i="92" s="1"/>
  <c r="AE19" i="92"/>
  <c r="AP19" i="92" s="1"/>
  <c r="V9" i="92"/>
  <c r="AR9" i="92" s="1"/>
  <c r="AE39" i="92"/>
  <c r="AP39" i="92" s="1"/>
  <c r="Z14" i="92"/>
  <c r="AV14" i="92" s="1"/>
  <c r="Y41" i="92"/>
  <c r="AJ41" i="92" s="1"/>
  <c r="U38" i="92"/>
  <c r="AQ38" i="92" s="1"/>
  <c r="V12" i="92"/>
  <c r="W14" i="92"/>
  <c r="AS14" i="92" s="1"/>
  <c r="Y16" i="92"/>
  <c r="AU16" i="92" s="1"/>
  <c r="AE5" i="92"/>
  <c r="BA5" i="92" s="1"/>
  <c r="X38" i="92"/>
  <c r="AI38" i="92" s="1"/>
  <c r="Y24" i="92"/>
  <c r="AE24" i="92"/>
  <c r="BA24" i="92" s="1"/>
  <c r="X7" i="92"/>
  <c r="AT7" i="92" s="1"/>
  <c r="Z29" i="92"/>
  <c r="AK29" i="92" s="1"/>
  <c r="W31" i="92"/>
  <c r="AH31" i="92" s="1"/>
  <c r="X17" i="92"/>
  <c r="AT17" i="92" s="1"/>
  <c r="AE18" i="92"/>
  <c r="BA18" i="92" s="1"/>
  <c r="U14" i="92"/>
  <c r="AF14" i="92" s="1"/>
  <c r="U40" i="92"/>
  <c r="AF40" i="92" s="1"/>
  <c r="W18" i="92"/>
  <c r="AH18" i="92" s="1"/>
  <c r="V5" i="92"/>
  <c r="AG5" i="92" s="1"/>
  <c r="Z9" i="92"/>
  <c r="AV9" i="92" s="1"/>
  <c r="V35" i="92"/>
  <c r="AR35" i="92" s="1"/>
  <c r="Z20" i="92"/>
  <c r="AK20" i="92" s="1"/>
  <c r="V43" i="92"/>
  <c r="AR43" i="92" s="1"/>
  <c r="X20" i="92"/>
  <c r="AI20" i="92" s="1"/>
  <c r="X18" i="92"/>
  <c r="Z10" i="92"/>
  <c r="AV10" i="92" s="1"/>
  <c r="AO6" i="92"/>
  <c r="AB7" i="92"/>
  <c r="AB11" i="92"/>
  <c r="AM11" i="92" s="1"/>
  <c r="AC11" i="92"/>
  <c r="AY11" i="92" s="1"/>
  <c r="AC12" i="92"/>
  <c r="AZ15" i="92"/>
  <c r="AO12" i="92"/>
  <c r="AB12" i="92"/>
  <c r="AX12" i="92" s="1"/>
  <c r="AB14" i="92"/>
  <c r="AX14" i="92" s="1"/>
  <c r="V38" i="92"/>
  <c r="AG38" i="92" s="1"/>
  <c r="Y25" i="92"/>
  <c r="AU25" i="92" s="1"/>
  <c r="AE34" i="92"/>
  <c r="X41" i="92"/>
  <c r="AI41" i="92" s="1"/>
  <c r="V27" i="92"/>
  <c r="AG27" i="92" s="1"/>
  <c r="V42" i="92"/>
  <c r="AR42" i="92" s="1"/>
  <c r="AE7" i="92"/>
  <c r="AP7" i="92" s="1"/>
  <c r="Z7" i="92"/>
  <c r="AV7" i="92" s="1"/>
  <c r="X16" i="92"/>
  <c r="AE35" i="92"/>
  <c r="AP35" i="92" s="1"/>
  <c r="W22" i="92"/>
  <c r="X24" i="92"/>
  <c r="V7" i="92"/>
  <c r="AG7" i="92" s="1"/>
  <c r="Z24" i="92"/>
  <c r="U12" i="92"/>
  <c r="V15" i="92"/>
  <c r="AG15" i="92" s="1"/>
  <c r="Y40" i="92"/>
  <c r="AE15" i="92"/>
  <c r="BA15" i="92" s="1"/>
  <c r="Y39" i="92"/>
  <c r="X32" i="92"/>
  <c r="AI32" i="92" s="1"/>
  <c r="Y44" i="92"/>
  <c r="U11" i="92"/>
  <c r="AF11" i="92" s="1"/>
  <c r="Z12" i="92"/>
  <c r="U5" i="92"/>
  <c r="AQ5" i="92" s="1"/>
  <c r="Z19" i="92"/>
  <c r="U35" i="92"/>
  <c r="AF35" i="92" s="1"/>
  <c r="W12" i="92"/>
  <c r="Y20" i="92"/>
  <c r="AU20" i="92" s="1"/>
  <c r="Z41" i="92"/>
  <c r="AK41" i="92" s="1"/>
  <c r="AA16" i="92"/>
  <c r="AW16" i="92" s="1"/>
  <c r="AC7" i="92"/>
  <c r="AA20" i="92"/>
  <c r="AL20" i="92" s="1"/>
  <c r="AB19" i="92"/>
  <c r="AM19" i="92" s="1"/>
  <c r="AB17" i="92"/>
  <c r="AM17" i="92" s="1"/>
  <c r="AA17" i="92"/>
  <c r="AO7" i="92"/>
  <c r="AD4" i="92"/>
  <c r="AZ17" i="92"/>
  <c r="AA27" i="92"/>
  <c r="W77" i="92"/>
  <c r="AH77" i="92" s="1"/>
  <c r="W28" i="92"/>
  <c r="AS28" i="92" s="1"/>
  <c r="AE22" i="92"/>
  <c r="AP22" i="92" s="1"/>
  <c r="V26" i="92"/>
  <c r="AG26" i="92" s="1"/>
  <c r="U23" i="92"/>
  <c r="AQ23" i="92" s="1"/>
  <c r="AE32" i="92"/>
  <c r="BA32" i="92" s="1"/>
  <c r="W43" i="92"/>
  <c r="AS43" i="92" s="1"/>
  <c r="AE37" i="92"/>
  <c r="AP37" i="92" s="1"/>
  <c r="AE30" i="92"/>
  <c r="BA30" i="92" s="1"/>
  <c r="W23" i="92"/>
  <c r="W26" i="92"/>
  <c r="AH26" i="92" s="1"/>
  <c r="AE27" i="92"/>
  <c r="AP27" i="92" s="1"/>
  <c r="Y38" i="92"/>
  <c r="AJ38" i="92" s="1"/>
  <c r="U24" i="92"/>
  <c r="AF24" i="92" s="1"/>
  <c r="W39" i="92"/>
  <c r="AS39" i="92" s="1"/>
  <c r="X23" i="92"/>
  <c r="V21" i="92"/>
  <c r="AR21" i="92" s="1"/>
  <c r="Z21" i="92"/>
  <c r="AK21" i="92" s="1"/>
  <c r="V29" i="92"/>
  <c r="AG29" i="92" s="1"/>
  <c r="Z27" i="92"/>
  <c r="AV27" i="92" s="1"/>
  <c r="U43" i="92"/>
  <c r="AF43" i="92" s="1"/>
  <c r="X35" i="92"/>
  <c r="AT35" i="92" s="1"/>
  <c r="W76" i="92"/>
  <c r="AS76" i="92" s="1"/>
  <c r="Z54" i="92"/>
  <c r="Y68" i="92"/>
  <c r="Z48" i="92"/>
  <c r="AK48" i="92" s="1"/>
  <c r="U47" i="92"/>
  <c r="AQ47" i="92" s="1"/>
  <c r="AE51" i="92"/>
  <c r="BA51" i="92" s="1"/>
  <c r="U179" i="92"/>
  <c r="AF179" i="92" s="1"/>
  <c r="Y75" i="92"/>
  <c r="AU75" i="92" s="1"/>
  <c r="W84" i="92"/>
  <c r="AH84" i="92" s="1"/>
  <c r="U45" i="92"/>
  <c r="AQ45" i="92" s="1"/>
  <c r="W55" i="92"/>
  <c r="Y77" i="92"/>
  <c r="Z25" i="92"/>
  <c r="AK25" i="92" s="1"/>
  <c r="AE74" i="92"/>
  <c r="AP74" i="92" s="1"/>
  <c r="Z70" i="92"/>
  <c r="AK70" i="92" s="1"/>
  <c r="W54" i="92"/>
  <c r="AS54" i="92" s="1"/>
  <c r="AE85" i="92"/>
  <c r="AP85" i="92" s="1"/>
  <c r="AE45" i="92"/>
  <c r="Y78" i="92"/>
  <c r="AE75" i="92"/>
  <c r="BA75" i="92" s="1"/>
  <c r="X79" i="92"/>
  <c r="AI79" i="92" s="1"/>
  <c r="W73" i="92"/>
  <c r="AH73" i="92" s="1"/>
  <c r="X85" i="92"/>
  <c r="AI85" i="92" s="1"/>
  <c r="X86" i="92"/>
  <c r="AI86" i="92" s="1"/>
  <c r="V48" i="92"/>
  <c r="AG48" i="92" s="1"/>
  <c r="X49" i="92"/>
  <c r="AI49" i="92" s="1"/>
  <c r="X70" i="92"/>
  <c r="AI70" i="92" s="1"/>
  <c r="Z47" i="92"/>
  <c r="AK47" i="92" s="1"/>
  <c r="X72" i="92"/>
  <c r="AT72" i="92" s="1"/>
  <c r="Z55" i="92"/>
  <c r="AK55" i="92" s="1"/>
  <c r="Z63" i="92"/>
  <c r="AK63" i="92" s="1"/>
  <c r="AE62" i="92"/>
  <c r="BA62" i="92" s="1"/>
  <c r="V57" i="92"/>
  <c r="AR57" i="92" s="1"/>
  <c r="Y366" i="92"/>
  <c r="Y55" i="92"/>
  <c r="V64" i="92"/>
  <c r="AR64" i="92" s="1"/>
  <c r="Y63" i="92"/>
  <c r="AJ63" i="92" s="1"/>
  <c r="U85" i="92"/>
  <c r="AF85" i="92" s="1"/>
  <c r="V62" i="92"/>
  <c r="AG62" i="92" s="1"/>
  <c r="Z78" i="92"/>
  <c r="AV78" i="92" s="1"/>
  <c r="Z67" i="92"/>
  <c r="X63" i="92"/>
  <c r="V65" i="92"/>
  <c r="AR65" i="92" s="1"/>
  <c r="V56" i="92"/>
  <c r="AG56" i="92" s="1"/>
  <c r="W58" i="92"/>
  <c r="AH58" i="92" s="1"/>
  <c r="AE46" i="92"/>
  <c r="AP46" i="92" s="1"/>
  <c r="Y58" i="92"/>
  <c r="AJ58" i="92" s="1"/>
  <c r="Y74" i="92"/>
  <c r="AU74" i="92" s="1"/>
  <c r="U46" i="92"/>
  <c r="X57" i="92"/>
  <c r="AE65" i="92"/>
  <c r="AP65" i="92" s="1"/>
  <c r="V63" i="92"/>
  <c r="AG63" i="92" s="1"/>
  <c r="V58" i="92"/>
  <c r="AG58" i="92" s="1"/>
  <c r="Z73" i="92"/>
  <c r="AV73" i="92" s="1"/>
  <c r="W49" i="92"/>
  <c r="AH49" i="92" s="1"/>
  <c r="AE78" i="92"/>
  <c r="AP78" i="92" s="1"/>
  <c r="Y64" i="92"/>
  <c r="AJ64" i="92" s="1"/>
  <c r="AE59" i="92"/>
  <c r="X78" i="92"/>
  <c r="AI78" i="92" s="1"/>
  <c r="U48" i="92"/>
  <c r="AQ48" i="92" s="1"/>
  <c r="AE53" i="92"/>
  <c r="AP53" i="92" s="1"/>
  <c r="Y54" i="92"/>
  <c r="AJ54" i="92" s="1"/>
  <c r="V69" i="92"/>
  <c r="AG69" i="92" s="1"/>
  <c r="AE48" i="92"/>
  <c r="AP48" i="92" s="1"/>
  <c r="W79" i="92"/>
  <c r="AH79" i="92" s="1"/>
  <c r="W65" i="92"/>
  <c r="AS65" i="92" s="1"/>
  <c r="U65" i="92"/>
  <c r="V87" i="92"/>
  <c r="AG87" i="92" s="1"/>
  <c r="U80" i="92"/>
  <c r="AF80" i="92" s="1"/>
  <c r="Z46" i="92"/>
  <c r="AK46" i="92" s="1"/>
  <c r="X73" i="92"/>
  <c r="AT73" i="92" s="1"/>
  <c r="Y80" i="92"/>
  <c r="AJ80" i="92" s="1"/>
  <c r="Y67" i="92"/>
  <c r="W59" i="92"/>
  <c r="AS59" i="92" s="1"/>
  <c r="Y43" i="92"/>
  <c r="AE501" i="92"/>
  <c r="AE691" i="92"/>
  <c r="AP691" i="92" s="1"/>
  <c r="W86" i="92"/>
  <c r="AH86" i="92" s="1"/>
  <c r="Y85" i="92"/>
  <c r="AU85" i="92" s="1"/>
  <c r="AE55" i="92"/>
  <c r="BA55" i="92" s="1"/>
  <c r="V79" i="92"/>
  <c r="AR79" i="92" s="1"/>
  <c r="W80" i="92"/>
  <c r="AH80" i="92" s="1"/>
  <c r="U79" i="92"/>
  <c r="AQ79" i="92" s="1"/>
  <c r="X69" i="92"/>
  <c r="AI69" i="92" s="1"/>
  <c r="X59" i="92"/>
  <c r="AT59" i="92" s="1"/>
  <c r="X83" i="92"/>
  <c r="AT83" i="92" s="1"/>
  <c r="Z76" i="92"/>
  <c r="AK76" i="92" s="1"/>
  <c r="AE52" i="92"/>
  <c r="BA52" i="92" s="1"/>
  <c r="W70" i="92"/>
  <c r="X47" i="92"/>
  <c r="AI47" i="92" s="1"/>
  <c r="U82" i="92"/>
  <c r="Z71" i="92"/>
  <c r="AV71" i="92" s="1"/>
  <c r="AE83" i="92"/>
  <c r="AP83" i="92" s="1"/>
  <c r="U66" i="92"/>
  <c r="AQ66" i="92" s="1"/>
  <c r="U67" i="92"/>
  <c r="AQ67" i="92" s="1"/>
  <c r="X71" i="92"/>
  <c r="AI71" i="92" s="1"/>
  <c r="U74" i="92"/>
  <c r="AF74" i="92" s="1"/>
  <c r="U29" i="92"/>
  <c r="AQ29" i="92" s="1"/>
  <c r="Z43" i="92"/>
  <c r="AK43" i="92" s="1"/>
  <c r="AA23" i="92"/>
  <c r="AL23" i="92" s="1"/>
  <c r="AE73" i="92"/>
  <c r="BA73" i="92" s="1"/>
  <c r="AE57" i="92"/>
  <c r="BA57" i="92" s="1"/>
  <c r="U78" i="92"/>
  <c r="AQ78" i="92" s="1"/>
  <c r="Z56" i="92"/>
  <c r="AK56" i="92" s="1"/>
  <c r="U61" i="92"/>
  <c r="AQ61" i="92" s="1"/>
  <c r="AE80" i="92"/>
  <c r="AP80" i="92" s="1"/>
  <c r="V47" i="92"/>
  <c r="AG47" i="92" s="1"/>
  <c r="Y72" i="92"/>
  <c r="AJ72" i="92" s="1"/>
  <c r="AE50" i="92"/>
  <c r="BA50" i="92" s="1"/>
  <c r="V55" i="92"/>
  <c r="AR55" i="92" s="1"/>
  <c r="Z72" i="92"/>
  <c r="AK72" i="92" s="1"/>
  <c r="V49" i="92"/>
  <c r="AR49" i="92" s="1"/>
  <c r="W52" i="92"/>
  <c r="AH52" i="92" s="1"/>
  <c r="AE82" i="92"/>
  <c r="U54" i="92"/>
  <c r="U86" i="92"/>
  <c r="AF86" i="92" s="1"/>
  <c r="Z81" i="92"/>
  <c r="AV81" i="92" s="1"/>
  <c r="Z52" i="92"/>
  <c r="AK52" i="92" s="1"/>
  <c r="AE47" i="92"/>
  <c r="BA47" i="92" s="1"/>
  <c r="V71" i="92"/>
  <c r="AR71" i="92" s="1"/>
  <c r="V74" i="92"/>
  <c r="AR74" i="92" s="1"/>
  <c r="Z62" i="92"/>
  <c r="W82" i="92"/>
  <c r="W75" i="92"/>
  <c r="AS75" i="92" s="1"/>
  <c r="Y66" i="92"/>
  <c r="AJ66" i="92" s="1"/>
  <c r="Z59" i="92"/>
  <c r="AK59" i="92" s="1"/>
  <c r="U73" i="92"/>
  <c r="AQ73" i="92" s="1"/>
  <c r="Y49" i="92"/>
  <c r="AJ49" i="92" s="1"/>
  <c r="W60" i="92"/>
  <c r="W68" i="92"/>
  <c r="AS68" i="92" s="1"/>
  <c r="U25" i="92"/>
  <c r="AF25" i="92" s="1"/>
  <c r="U36" i="92"/>
  <c r="AQ36" i="92" s="1"/>
  <c r="X26" i="92"/>
  <c r="AT26" i="92" s="1"/>
  <c r="W133" i="92"/>
  <c r="AH133" i="92" s="1"/>
  <c r="AE621" i="92"/>
  <c r="AP621" i="92" s="1"/>
  <c r="AE60" i="92"/>
  <c r="BA60" i="92" s="1"/>
  <c r="AE76" i="92"/>
  <c r="W47" i="92"/>
  <c r="AH47" i="92" s="1"/>
  <c r="V78" i="92"/>
  <c r="AG78" i="92" s="1"/>
  <c r="W62" i="92"/>
  <c r="W317" i="92"/>
  <c r="AH317" i="92" s="1"/>
  <c r="AE86" i="92"/>
  <c r="AP86" i="92" s="1"/>
  <c r="V54" i="92"/>
  <c r="Y70" i="92"/>
  <c r="AJ70" i="92" s="1"/>
  <c r="U50" i="92"/>
  <c r="Z51" i="92"/>
  <c r="AK51" i="92" s="1"/>
  <c r="AE68" i="92"/>
  <c r="BA68" i="92" s="1"/>
  <c r="Y71" i="92"/>
  <c r="AJ71" i="92" s="1"/>
  <c r="V50" i="92"/>
  <c r="AR50" i="92" s="1"/>
  <c r="Y59" i="92"/>
  <c r="AJ59" i="92" s="1"/>
  <c r="AE54" i="92"/>
  <c r="BA54" i="92" s="1"/>
  <c r="AE63" i="92"/>
  <c r="AP63" i="92" s="1"/>
  <c r="Y46" i="92"/>
  <c r="Y33" i="92"/>
  <c r="V72" i="92"/>
  <c r="AR72" i="92" s="1"/>
  <c r="V36" i="92"/>
  <c r="AG36" i="92" s="1"/>
  <c r="Y26" i="92"/>
  <c r="AJ26" i="92" s="1"/>
  <c r="Y27" i="92"/>
  <c r="AU27" i="92" s="1"/>
  <c r="V24" i="92"/>
  <c r="AG24" i="92" s="1"/>
  <c r="W51" i="92"/>
  <c r="AS51" i="92" s="1"/>
  <c r="Z35" i="92"/>
  <c r="U44" i="92"/>
  <c r="AQ44" i="92" s="1"/>
  <c r="AE69" i="92"/>
  <c r="BA69" i="92" s="1"/>
  <c r="AE58" i="92"/>
  <c r="AP58" i="92" s="1"/>
  <c r="U175" i="92"/>
  <c r="AF175" i="92" s="1"/>
  <c r="Y56" i="92"/>
  <c r="AJ56" i="92" s="1"/>
  <c r="Z247" i="92"/>
  <c r="AK247" i="92" s="1"/>
  <c r="V46" i="92"/>
  <c r="AR46" i="92" s="1"/>
  <c r="W57" i="92"/>
  <c r="AS57" i="92" s="1"/>
  <c r="AE67" i="92"/>
  <c r="Z64" i="92"/>
  <c r="AK64" i="92" s="1"/>
  <c r="AE56" i="92"/>
  <c r="AP56" i="92" s="1"/>
  <c r="W71" i="92"/>
  <c r="AH71" i="92" s="1"/>
  <c r="W87" i="92"/>
  <c r="AH87" i="92" s="1"/>
  <c r="X50" i="92"/>
  <c r="AI50" i="92" s="1"/>
  <c r="AE87" i="92"/>
  <c r="Z86" i="92"/>
  <c r="AK86" i="92" s="1"/>
  <c r="W236" i="92"/>
  <c r="X65" i="92"/>
  <c r="AI65" i="92" s="1"/>
  <c r="X82" i="92"/>
  <c r="X76" i="92"/>
  <c r="AI76" i="92" s="1"/>
  <c r="X46" i="92"/>
  <c r="AT46" i="92" s="1"/>
  <c r="U55" i="92"/>
  <c r="AF55" i="92" s="1"/>
  <c r="W64" i="92"/>
  <c r="AH64" i="92" s="1"/>
  <c r="AE71" i="92"/>
  <c r="AP71" i="92" s="1"/>
  <c r="U71" i="92"/>
  <c r="Z87" i="92"/>
  <c r="W72" i="92"/>
  <c r="W67" i="92"/>
  <c r="AS67" i="92" s="1"/>
  <c r="U81" i="92"/>
  <c r="AF81" i="92" s="1"/>
  <c r="X36" i="92"/>
  <c r="AI36" i="92" s="1"/>
  <c r="X53" i="92"/>
  <c r="AI53" i="92" s="1"/>
  <c r="AE64" i="92"/>
  <c r="AP64" i="92" s="1"/>
  <c r="Y47" i="92"/>
  <c r="AJ47" i="92" s="1"/>
  <c r="AE558" i="92"/>
  <c r="BA558" i="92" s="1"/>
  <c r="AE66" i="92"/>
  <c r="AP66" i="92" s="1"/>
  <c r="X87" i="92"/>
  <c r="AT87" i="92" s="1"/>
  <c r="Y62" i="92"/>
  <c r="AJ62" i="92" s="1"/>
  <c r="Y225" i="92"/>
  <c r="AJ225" i="92" s="1"/>
  <c r="X60" i="92"/>
  <c r="AI60" i="92" s="1"/>
  <c r="AE146" i="92"/>
  <c r="W63" i="92"/>
  <c r="AH63" i="92" s="1"/>
  <c r="V86" i="92"/>
  <c r="AR86" i="92" s="1"/>
  <c r="U49" i="92"/>
  <c r="AF49" i="92" s="1"/>
  <c r="V75" i="92"/>
  <c r="AR75" i="92" s="1"/>
  <c r="X55" i="92"/>
  <c r="AT55" i="92" s="1"/>
  <c r="U58" i="92"/>
  <c r="AF58" i="92" s="1"/>
  <c r="AE72" i="92"/>
  <c r="AP72" i="92" s="1"/>
  <c r="V70" i="92"/>
  <c r="AE84" i="92"/>
  <c r="BA84" i="92" s="1"/>
  <c r="U87" i="92"/>
  <c r="AF87" i="92" s="1"/>
  <c r="W56" i="92"/>
  <c r="AH56" i="92" s="1"/>
  <c r="AE49" i="92"/>
  <c r="AP49" i="92" s="1"/>
  <c r="Y52" i="92"/>
  <c r="AU52" i="92" s="1"/>
  <c r="Z60" i="92"/>
  <c r="AK60" i="92" s="1"/>
  <c r="W45" i="92"/>
  <c r="AS45" i="92" s="1"/>
  <c r="W50" i="92"/>
  <c r="AA40" i="92"/>
  <c r="AL40" i="92" s="1"/>
  <c r="AE186" i="92"/>
  <c r="AP186" i="92" s="1"/>
  <c r="AE564" i="92"/>
  <c r="X309" i="92"/>
  <c r="AI309" i="92" s="1"/>
  <c r="AE366" i="92"/>
  <c r="AP366" i="92" s="1"/>
  <c r="AE344" i="92"/>
  <c r="AP344" i="92" s="1"/>
  <c r="X211" i="92"/>
  <c r="AI211" i="92" s="1"/>
  <c r="AE671" i="92"/>
  <c r="AP671" i="92" s="1"/>
  <c r="AE718" i="92"/>
  <c r="BA718" i="92" s="1"/>
  <c r="U349" i="92"/>
  <c r="AQ349" i="92" s="1"/>
  <c r="X381" i="92"/>
  <c r="AT381" i="92" s="1"/>
  <c r="Z222" i="92"/>
  <c r="AV222" i="92" s="1"/>
  <c r="W129" i="92"/>
  <c r="X247" i="92"/>
  <c r="AT247" i="92" s="1"/>
  <c r="Y333" i="92"/>
  <c r="X239" i="92"/>
  <c r="AT239" i="92" s="1"/>
  <c r="AE685" i="92"/>
  <c r="BA685" i="92" s="1"/>
  <c r="Z364" i="92"/>
  <c r="AK364" i="92" s="1"/>
  <c r="AE358" i="92"/>
  <c r="AP358" i="92" s="1"/>
  <c r="W205" i="92"/>
  <c r="AS205" i="92" s="1"/>
  <c r="Z359" i="92"/>
  <c r="AV359" i="92" s="1"/>
  <c r="Z99" i="92"/>
  <c r="AK99" i="92" s="1"/>
  <c r="V434" i="92"/>
  <c r="AR434" i="92" s="1"/>
  <c r="V127" i="92"/>
  <c r="U119" i="92"/>
  <c r="AF119" i="92" s="1"/>
  <c r="AE440" i="92"/>
  <c r="Y309" i="92"/>
  <c r="AE336" i="92"/>
  <c r="BA336" i="92" s="1"/>
  <c r="AE754" i="92"/>
  <c r="AP754" i="92" s="1"/>
  <c r="V348" i="92"/>
  <c r="AR348" i="92" s="1"/>
  <c r="AE601" i="92"/>
  <c r="AP601" i="92" s="1"/>
  <c r="AE575" i="92"/>
  <c r="AP575" i="92" s="1"/>
  <c r="W277" i="92"/>
  <c r="AE689" i="92"/>
  <c r="Y599" i="92"/>
  <c r="AU599" i="92" s="1"/>
  <c r="Y191" i="92"/>
  <c r="AU191" i="92" s="1"/>
  <c r="Y609" i="92"/>
  <c r="AU609" i="92" s="1"/>
  <c r="AE176" i="92"/>
  <c r="AE543" i="92"/>
  <c r="Y193" i="92"/>
  <c r="X250" i="92"/>
  <c r="AI250" i="92" s="1"/>
  <c r="AE750" i="92"/>
  <c r="BA750" i="92" s="1"/>
  <c r="W222" i="92"/>
  <c r="V321" i="92"/>
  <c r="AR321" i="92" s="1"/>
  <c r="AE462" i="92"/>
  <c r="BA462" i="92" s="1"/>
  <c r="V153" i="92"/>
  <c r="AE707" i="92"/>
  <c r="AP707" i="92" s="1"/>
  <c r="W159" i="92"/>
  <c r="AH159" i="92" s="1"/>
  <c r="AE209" i="92"/>
  <c r="BA209" i="92" s="1"/>
  <c r="Y124" i="92"/>
  <c r="AE522" i="92"/>
  <c r="BA522" i="92" s="1"/>
  <c r="X260" i="92"/>
  <c r="Y273" i="92"/>
  <c r="AU273" i="92" s="1"/>
  <c r="AE726" i="92"/>
  <c r="AP726" i="92" s="1"/>
  <c r="V455" i="92"/>
  <c r="V121" i="92"/>
  <c r="AG121" i="92" s="1"/>
  <c r="Y489" i="92"/>
  <c r="AU489" i="92" s="1"/>
  <c r="AE148" i="92"/>
  <c r="AP148" i="92" s="1"/>
  <c r="Y453" i="92"/>
  <c r="AJ453" i="92" s="1"/>
  <c r="Z567" i="92"/>
  <c r="AV567" i="92" s="1"/>
  <c r="X315" i="92"/>
  <c r="AI315" i="92" s="1"/>
  <c r="V375" i="92"/>
  <c r="AG375" i="92" s="1"/>
  <c r="W162" i="92"/>
  <c r="AS162" i="92" s="1"/>
  <c r="W138" i="92"/>
  <c r="V335" i="92"/>
  <c r="AR335" i="92" s="1"/>
  <c r="Z135" i="92"/>
  <c r="AE228" i="92"/>
  <c r="V110" i="92"/>
  <c r="AG110" i="92" s="1"/>
  <c r="W301" i="92"/>
  <c r="AS301" i="92" s="1"/>
  <c r="W103" i="92"/>
  <c r="AS103" i="92" s="1"/>
  <c r="V204" i="92"/>
  <c r="U270" i="92"/>
  <c r="Y300" i="92"/>
  <c r="AU300" i="92" s="1"/>
  <c r="AE600" i="92"/>
  <c r="BA600" i="92" s="1"/>
  <c r="AE615" i="92"/>
  <c r="AE431" i="92"/>
  <c r="AE388" i="92"/>
  <c r="AE550" i="92"/>
  <c r="AE93" i="92"/>
  <c r="BA93" i="92" s="1"/>
  <c r="V369" i="92"/>
  <c r="AG369" i="92" s="1"/>
  <c r="X391" i="92"/>
  <c r="Z519" i="92"/>
  <c r="AK519" i="92" s="1"/>
  <c r="AE590" i="92"/>
  <c r="AP590" i="92" s="1"/>
  <c r="AE690" i="92"/>
  <c r="AP690" i="92" s="1"/>
  <c r="AE701" i="92"/>
  <c r="BA701" i="92" s="1"/>
  <c r="AE694" i="92"/>
  <c r="AP694" i="92" s="1"/>
  <c r="AE89" i="92"/>
  <c r="AP89" i="92" s="1"/>
  <c r="AE410" i="92"/>
  <c r="AP410" i="92" s="1"/>
  <c r="W566" i="92"/>
  <c r="AS566" i="92" s="1"/>
  <c r="U197" i="92"/>
  <c r="AF197" i="92" s="1"/>
  <c r="U359" i="92"/>
  <c r="V217" i="92"/>
  <c r="AE199" i="92"/>
  <c r="BA199" i="92" s="1"/>
  <c r="Z320" i="92"/>
  <c r="AV320" i="92" s="1"/>
  <c r="V353" i="92"/>
  <c r="U375" i="92"/>
  <c r="U127" i="92"/>
  <c r="AQ127" i="92" s="1"/>
  <c r="U277" i="92"/>
  <c r="AQ277" i="92" s="1"/>
  <c r="X244" i="92"/>
  <c r="W364" i="92"/>
  <c r="AH364" i="92" s="1"/>
  <c r="Z182" i="92"/>
  <c r="AV182" i="92" s="1"/>
  <c r="Z175" i="92"/>
  <c r="AK175" i="92" s="1"/>
  <c r="Y268" i="92"/>
  <c r="AJ268" i="92" s="1"/>
  <c r="Z150" i="92"/>
  <c r="U695" i="92"/>
  <c r="AQ695" i="92" s="1"/>
  <c r="AE443" i="92"/>
  <c r="AP443" i="92" s="1"/>
  <c r="AE519" i="92"/>
  <c r="AP519" i="92" s="1"/>
  <c r="AE109" i="92"/>
  <c r="AE566" i="92"/>
  <c r="AP566" i="92" s="1"/>
  <c r="AE709" i="92"/>
  <c r="BA709" i="92" s="1"/>
  <c r="U666" i="92"/>
  <c r="AF666" i="92" s="1"/>
  <c r="Z235" i="92"/>
  <c r="AV235" i="92" s="1"/>
  <c r="U234" i="92"/>
  <c r="AQ234" i="92" s="1"/>
  <c r="Z346" i="92"/>
  <c r="U298" i="92"/>
  <c r="V186" i="92"/>
  <c r="AR186" i="92" s="1"/>
  <c r="V247" i="92"/>
  <c r="U296" i="92"/>
  <c r="V318" i="92"/>
  <c r="AG318" i="92" s="1"/>
  <c r="X145" i="92"/>
  <c r="U241" i="92"/>
  <c r="AQ241" i="92" s="1"/>
  <c r="W144" i="92"/>
  <c r="V381" i="92"/>
  <c r="U276" i="92"/>
  <c r="X285" i="92"/>
  <c r="AT285" i="92" s="1"/>
  <c r="U151" i="92"/>
  <c r="Y310" i="92"/>
  <c r="AU310" i="92" s="1"/>
  <c r="W191" i="92"/>
  <c r="AH191" i="92" s="1"/>
  <c r="X166" i="92"/>
  <c r="AE181" i="92"/>
  <c r="BA181" i="92" s="1"/>
  <c r="AE97" i="92"/>
  <c r="AE419" i="92"/>
  <c r="AE739" i="92"/>
  <c r="AP739" i="92" s="1"/>
  <c r="AE724" i="92"/>
  <c r="BA724" i="92" s="1"/>
  <c r="Z458" i="92"/>
  <c r="Z139" i="92"/>
  <c r="AV139" i="92" s="1"/>
  <c r="Z407" i="92"/>
  <c r="U215" i="92"/>
  <c r="AF215" i="92" s="1"/>
  <c r="X179" i="92"/>
  <c r="AI179" i="92" s="1"/>
  <c r="Z137" i="92"/>
  <c r="AK137" i="92" s="1"/>
  <c r="U249" i="92"/>
  <c r="AQ249" i="92" s="1"/>
  <c r="Z269" i="92"/>
  <c r="AV269" i="92" s="1"/>
  <c r="Y262" i="92"/>
  <c r="Z262" i="92"/>
  <c r="V166" i="92"/>
  <c r="Y293" i="92"/>
  <c r="Y159" i="92"/>
  <c r="V308" i="92"/>
  <c r="AG308" i="92" s="1"/>
  <c r="AE309" i="92"/>
  <c r="AP309" i="92" s="1"/>
  <c r="AE284" i="92"/>
  <c r="Y348" i="92"/>
  <c r="AJ348" i="92" s="1"/>
  <c r="U143" i="92"/>
  <c r="AF143" i="92" s="1"/>
  <c r="U159" i="92"/>
  <c r="AF159" i="92" s="1"/>
  <c r="W111" i="92"/>
  <c r="W143" i="92"/>
  <c r="AE116" i="92"/>
  <c r="AP116" i="92" s="1"/>
  <c r="AE110" i="92"/>
  <c r="AP110" i="92" s="1"/>
  <c r="Y155" i="92"/>
  <c r="AJ155" i="92" s="1"/>
  <c r="U591" i="92"/>
  <c r="U303" i="92"/>
  <c r="AF303" i="92" s="1"/>
  <c r="AE360" i="92"/>
  <c r="AP360" i="92" s="1"/>
  <c r="X359" i="92"/>
  <c r="V270" i="92"/>
  <c r="W293" i="92"/>
  <c r="AS293" i="92" s="1"/>
  <c r="U342" i="92"/>
  <c r="AF342" i="92" s="1"/>
  <c r="Z317" i="92"/>
  <c r="AK317" i="92" s="1"/>
  <c r="V333" i="92"/>
  <c r="AG333" i="92" s="1"/>
  <c r="AE401" i="92"/>
  <c r="AE667" i="92"/>
  <c r="AP667" i="92" s="1"/>
  <c r="AE100" i="92"/>
  <c r="AP100" i="92" s="1"/>
  <c r="AE630" i="92"/>
  <c r="AP630" i="92" s="1"/>
  <c r="X695" i="92"/>
  <c r="AT695" i="92" s="1"/>
  <c r="X727" i="92"/>
  <c r="AI727" i="92" s="1"/>
  <c r="U275" i="92"/>
  <c r="AF275" i="92" s="1"/>
  <c r="V337" i="92"/>
  <c r="AG337" i="92" s="1"/>
  <c r="V343" i="92"/>
  <c r="AG343" i="92" s="1"/>
  <c r="Z368" i="92"/>
  <c r="AK368" i="92" s="1"/>
  <c r="U246" i="92"/>
  <c r="AQ246" i="92" s="1"/>
  <c r="U220" i="92"/>
  <c r="V143" i="92"/>
  <c r="AG143" i="92" s="1"/>
  <c r="V286" i="92"/>
  <c r="AR286" i="92" s="1"/>
  <c r="Y301" i="92"/>
  <c r="AU301" i="92" s="1"/>
  <c r="X111" i="92"/>
  <c r="W206" i="92"/>
  <c r="AH206" i="92" s="1"/>
  <c r="AE412" i="92"/>
  <c r="AP412" i="92" s="1"/>
  <c r="AE470" i="92"/>
  <c r="AP470" i="92" s="1"/>
  <c r="AE143" i="92"/>
  <c r="AP143" i="92" s="1"/>
  <c r="AE660" i="92"/>
  <c r="BA660" i="92" s="1"/>
  <c r="AE475" i="92"/>
  <c r="BA475" i="92" s="1"/>
  <c r="AE672" i="92"/>
  <c r="AP672" i="92" s="1"/>
  <c r="AE174" i="92"/>
  <c r="BA174" i="92" s="1"/>
  <c r="AE605" i="92"/>
  <c r="Z650" i="92"/>
  <c r="AK650" i="92" s="1"/>
  <c r="Y91" i="92"/>
  <c r="X400" i="92"/>
  <c r="V383" i="92"/>
  <c r="Z337" i="92"/>
  <c r="AK337" i="92" s="1"/>
  <c r="W122" i="92"/>
  <c r="AS122" i="92" s="1"/>
  <c r="U319" i="92"/>
  <c r="AF319" i="92" s="1"/>
  <c r="W114" i="92"/>
  <c r="AS114" i="92" s="1"/>
  <c r="Z199" i="92"/>
  <c r="V373" i="92"/>
  <c r="AG373" i="92" s="1"/>
  <c r="Y284" i="92"/>
  <c r="AE221" i="92"/>
  <c r="BA221" i="92" s="1"/>
  <c r="X229" i="92"/>
  <c r="AT229" i="92" s="1"/>
  <c r="Y334" i="92"/>
  <c r="Z372" i="92"/>
  <c r="Z373" i="92"/>
  <c r="Z220" i="92"/>
  <c r="AK220" i="92" s="1"/>
  <c r="AE432" i="92"/>
  <c r="AP432" i="92" s="1"/>
  <c r="AE582" i="92"/>
  <c r="AP582" i="92" s="1"/>
  <c r="AE622" i="92"/>
  <c r="BA622" i="92" s="1"/>
  <c r="AE466" i="92"/>
  <c r="BA466" i="92" s="1"/>
  <c r="AE748" i="92"/>
  <c r="AP748" i="92" s="1"/>
  <c r="AE150" i="92"/>
  <c r="AP150" i="92" s="1"/>
  <c r="AE448" i="92"/>
  <c r="AP448" i="92" s="1"/>
  <c r="AE402" i="92"/>
  <c r="BA402" i="92" s="1"/>
  <c r="Z600" i="92"/>
  <c r="W432" i="92"/>
  <c r="AE331" i="92"/>
  <c r="BA331" i="92" s="1"/>
  <c r="AE659" i="92"/>
  <c r="AP659" i="92" s="1"/>
  <c r="Y336" i="92"/>
  <c r="AJ336" i="92" s="1"/>
  <c r="W194" i="92"/>
  <c r="Z134" i="92"/>
  <c r="AE293" i="92"/>
  <c r="AP293" i="92" s="1"/>
  <c r="AE749" i="92"/>
  <c r="BA749" i="92" s="1"/>
  <c r="AE492" i="92"/>
  <c r="AP492" i="92" s="1"/>
  <c r="AE670" i="92"/>
  <c r="AP670" i="92" s="1"/>
  <c r="Z442" i="92"/>
  <c r="AV442" i="92" s="1"/>
  <c r="X189" i="92"/>
  <c r="AI189" i="92" s="1"/>
  <c r="Z527" i="92"/>
  <c r="AV527" i="92" s="1"/>
  <c r="X248" i="92"/>
  <c r="AE263" i="92"/>
  <c r="X286" i="92"/>
  <c r="V174" i="92"/>
  <c r="Y167" i="92"/>
  <c r="AJ167" i="92" s="1"/>
  <c r="V205" i="92"/>
  <c r="AG205" i="92" s="1"/>
  <c r="Y221" i="92"/>
  <c r="AJ221" i="92" s="1"/>
  <c r="Z356" i="92"/>
  <c r="AK356" i="92" s="1"/>
  <c r="AE633" i="92"/>
  <c r="AE614" i="92"/>
  <c r="AP614" i="92" s="1"/>
  <c r="AE731" i="92"/>
  <c r="BA731" i="92" s="1"/>
  <c r="AE552" i="92"/>
  <c r="BA552" i="92" s="1"/>
  <c r="AE134" i="92"/>
  <c r="V240" i="92"/>
  <c r="X321" i="92"/>
  <c r="AI321" i="92" s="1"/>
  <c r="Y263" i="92"/>
  <c r="Y312" i="92"/>
  <c r="X206" i="92"/>
  <c r="AI206" i="92" s="1"/>
  <c r="Z237" i="92"/>
  <c r="AE325" i="92"/>
  <c r="BA325" i="92" s="1"/>
  <c r="Z143" i="92"/>
  <c r="AK143" i="92" s="1"/>
  <c r="AE560" i="92"/>
  <c r="BA560" i="92" s="1"/>
  <c r="AE433" i="92"/>
  <c r="AE588" i="92"/>
  <c r="AE504" i="92"/>
  <c r="AE556" i="92"/>
  <c r="BA556" i="92" s="1"/>
  <c r="AE447" i="92"/>
  <c r="BA447" i="92" s="1"/>
  <c r="AE711" i="92"/>
  <c r="AE535" i="92"/>
  <c r="Z415" i="92"/>
  <c r="AV415" i="92" s="1"/>
  <c r="Z648" i="92"/>
  <c r="AK648" i="92" s="1"/>
  <c r="V195" i="92"/>
  <c r="Z400" i="92"/>
  <c r="X193" i="92"/>
  <c r="AI193" i="92" s="1"/>
  <c r="U98" i="92"/>
  <c r="AF98" i="92" s="1"/>
  <c r="W207" i="92"/>
  <c r="AS207" i="92" s="1"/>
  <c r="AE335" i="92"/>
  <c r="Z263" i="92"/>
  <c r="AV263" i="92" s="1"/>
  <c r="W136" i="92"/>
  <c r="AS136" i="92" s="1"/>
  <c r="V317" i="92"/>
  <c r="AG317" i="92" s="1"/>
  <c r="V228" i="92"/>
  <c r="AR228" i="92" s="1"/>
  <c r="V158" i="92"/>
  <c r="AG158" i="92" s="1"/>
  <c r="W166" i="92"/>
  <c r="AE349" i="92"/>
  <c r="AP349" i="92" s="1"/>
  <c r="V230" i="92"/>
  <c r="U316" i="92"/>
  <c r="AQ316" i="92" s="1"/>
  <c r="X261" i="92"/>
  <c r="AT261" i="92" s="1"/>
  <c r="U254" i="92"/>
  <c r="AQ254" i="92" s="1"/>
  <c r="X340" i="92"/>
  <c r="AT340" i="92" s="1"/>
  <c r="AE598" i="92"/>
  <c r="AP598" i="92" s="1"/>
  <c r="AE639" i="92"/>
  <c r="AP639" i="92" s="1"/>
  <c r="AE742" i="92"/>
  <c r="AE686" i="92"/>
  <c r="AE453" i="92"/>
  <c r="AP453" i="92" s="1"/>
  <c r="AE98" i="92"/>
  <c r="BA98" i="92" s="1"/>
  <c r="AE162" i="92"/>
  <c r="AP162" i="92" s="1"/>
  <c r="AE158" i="92"/>
  <c r="AP158" i="92" s="1"/>
  <c r="W633" i="92"/>
  <c r="X109" i="92"/>
  <c r="AE434" i="92"/>
  <c r="U102" i="92"/>
  <c r="AQ102" i="92" s="1"/>
  <c r="W245" i="92"/>
  <c r="AS245" i="92" s="1"/>
  <c r="Z380" i="92"/>
  <c r="AK380" i="92" s="1"/>
  <c r="Z221" i="92"/>
  <c r="AK221" i="92" s="1"/>
  <c r="X118" i="92"/>
  <c r="AI118" i="92" s="1"/>
  <c r="AE178" i="92"/>
  <c r="AP178" i="92" s="1"/>
  <c r="AE674" i="92"/>
  <c r="BA674" i="92" s="1"/>
  <c r="AE499" i="92"/>
  <c r="Z681" i="92"/>
  <c r="AV681" i="92" s="1"/>
  <c r="Y92" i="92"/>
  <c r="AU92" i="92" s="1"/>
  <c r="W291" i="92"/>
  <c r="Z144" i="92"/>
  <c r="X210" i="92"/>
  <c r="Z130" i="92"/>
  <c r="V285" i="92"/>
  <c r="AG285" i="92" s="1"/>
  <c r="V364" i="92"/>
  <c r="AE365" i="92"/>
  <c r="Z94" i="92"/>
  <c r="V244" i="92"/>
  <c r="AE603" i="92"/>
  <c r="AP603" i="92" s="1"/>
  <c r="AE188" i="92"/>
  <c r="BA188" i="92" s="1"/>
  <c r="AE703" i="92"/>
  <c r="BA703" i="92" s="1"/>
  <c r="W93" i="92"/>
  <c r="U172" i="92"/>
  <c r="Z511" i="92"/>
  <c r="AV511" i="92" s="1"/>
  <c r="Z128" i="92"/>
  <c r="AV128" i="92" s="1"/>
  <c r="Z241" i="92"/>
  <c r="AE327" i="92"/>
  <c r="V325" i="92"/>
  <c r="AG325" i="92" s="1"/>
  <c r="W237" i="92"/>
  <c r="AH237" i="92" s="1"/>
  <c r="Z118" i="92"/>
  <c r="AV118" i="92" s="1"/>
  <c r="X365" i="92"/>
  <c r="W269" i="92"/>
  <c r="AS269" i="92" s="1"/>
  <c r="AE538" i="92"/>
  <c r="AE553" i="92"/>
  <c r="AE389" i="92"/>
  <c r="AE551" i="92"/>
  <c r="AE537" i="92"/>
  <c r="AE123" i="92"/>
  <c r="AP123" i="92" s="1"/>
  <c r="AE683" i="92"/>
  <c r="X512" i="92"/>
  <c r="AT512" i="92" s="1"/>
  <c r="Z125" i="92"/>
  <c r="AK125" i="92" s="1"/>
  <c r="X455" i="92"/>
  <c r="AI455" i="92" s="1"/>
  <c r="V180" i="92"/>
  <c r="AG180" i="92" s="1"/>
  <c r="Z339" i="92"/>
  <c r="W319" i="92"/>
  <c r="AH319" i="92" s="1"/>
  <c r="X232" i="92"/>
  <c r="V147" i="92"/>
  <c r="U263" i="92"/>
  <c r="X368" i="92"/>
  <c r="AT368" i="92" s="1"/>
  <c r="Z207" i="92"/>
  <c r="AK207" i="92" s="1"/>
  <c r="X360" i="92"/>
  <c r="AT360" i="92" s="1"/>
  <c r="Y261" i="92"/>
  <c r="X262" i="92"/>
  <c r="AI262" i="92" s="1"/>
  <c r="V94" i="92"/>
  <c r="AG94" i="92" s="1"/>
  <c r="W102" i="92"/>
  <c r="AS102" i="92" s="1"/>
  <c r="Z293" i="92"/>
  <c r="AV293" i="92" s="1"/>
  <c r="Z167" i="92"/>
  <c r="W260" i="92"/>
  <c r="AS260" i="92" s="1"/>
  <c r="X205" i="92"/>
  <c r="AI205" i="92" s="1"/>
  <c r="V284" i="92"/>
  <c r="AR284" i="92" s="1"/>
  <c r="AE532" i="92"/>
  <c r="AP532" i="92" s="1"/>
  <c r="AE156" i="92"/>
  <c r="AP156" i="92" s="1"/>
  <c r="AE655" i="92"/>
  <c r="AE623" i="92"/>
  <c r="BA623" i="92" s="1"/>
  <c r="AE171" i="92"/>
  <c r="BA171" i="92" s="1"/>
  <c r="AE570" i="92"/>
  <c r="AE545" i="92"/>
  <c r="AE114" i="92"/>
  <c r="AP114" i="92" s="1"/>
  <c r="AE651" i="92"/>
  <c r="V537" i="92"/>
  <c r="AG537" i="92" s="1"/>
  <c r="U537" i="92"/>
  <c r="U362" i="92"/>
  <c r="AE328" i="92"/>
  <c r="BA328" i="92" s="1"/>
  <c r="X152" i="92"/>
  <c r="U366" i="92"/>
  <c r="AQ366" i="92" s="1"/>
  <c r="V176" i="92"/>
  <c r="AR176" i="92" s="1"/>
  <c r="U136" i="92"/>
  <c r="AQ136" i="92" s="1"/>
  <c r="W128" i="92"/>
  <c r="X253" i="92"/>
  <c r="W381" i="92"/>
  <c r="AH381" i="92" s="1"/>
  <c r="Y254" i="92"/>
  <c r="AJ254" i="92" s="1"/>
  <c r="U292" i="92"/>
  <c r="AE357" i="92"/>
  <c r="AP357" i="92" s="1"/>
  <c r="V610" i="92"/>
  <c r="AG610" i="92" s="1"/>
  <c r="X106" i="92"/>
  <c r="AI106" i="92" s="1"/>
  <c r="AE316" i="92"/>
  <c r="AP316" i="92" s="1"/>
  <c r="Z246" i="92"/>
  <c r="Z102" i="92"/>
  <c r="AV102" i="92" s="1"/>
  <c r="W252" i="92"/>
  <c r="AS252" i="92" s="1"/>
  <c r="AE385" i="92"/>
  <c r="AE502" i="92"/>
  <c r="AE140" i="92"/>
  <c r="V687" i="92"/>
  <c r="AG687" i="92" s="1"/>
  <c r="AE339" i="92"/>
  <c r="BA339" i="92" s="1"/>
  <c r="Z440" i="92"/>
  <c r="AV440" i="92" s="1"/>
  <c r="Z201" i="92"/>
  <c r="AK201" i="92" s="1"/>
  <c r="Y218" i="92"/>
  <c r="U201" i="92"/>
  <c r="Z376" i="92"/>
  <c r="X174" i="92"/>
  <c r="Z252" i="92"/>
  <c r="AK252" i="92" s="1"/>
  <c r="Z126" i="92"/>
  <c r="AE712" i="92"/>
  <c r="BA712" i="92" s="1"/>
  <c r="AE512" i="92"/>
  <c r="AE578" i="92"/>
  <c r="AE634" i="92"/>
  <c r="AE613" i="92"/>
  <c r="BA613" i="92" s="1"/>
  <c r="AE752" i="92"/>
  <c r="AP752" i="92" s="1"/>
  <c r="Y378" i="92"/>
  <c r="AJ378" i="92" s="1"/>
  <c r="X298" i="92"/>
  <c r="U312" i="92"/>
  <c r="AQ312" i="92" s="1"/>
  <c r="Y170" i="92"/>
  <c r="AJ170" i="92" s="1"/>
  <c r="Y321" i="92"/>
  <c r="AU321" i="92" s="1"/>
  <c r="AE319" i="92"/>
  <c r="Z205" i="92"/>
  <c r="AV205" i="92" s="1"/>
  <c r="X333" i="92"/>
  <c r="Z341" i="92"/>
  <c r="AK341" i="92" s="1"/>
  <c r="W174" i="92"/>
  <c r="U253" i="92"/>
  <c r="W213" i="92"/>
  <c r="AE341" i="92"/>
  <c r="BA341" i="92" s="1"/>
  <c r="AE153" i="92"/>
  <c r="BA153" i="92" s="1"/>
  <c r="AE596" i="92"/>
  <c r="AP596" i="92" s="1"/>
  <c r="AE122" i="92"/>
  <c r="BA122" i="92" s="1"/>
  <c r="AE760" i="92"/>
  <c r="AP760" i="92" s="1"/>
  <c r="AE131" i="92"/>
  <c r="BA131" i="92" s="1"/>
  <c r="AE751" i="92"/>
  <c r="BA751" i="92" s="1"/>
  <c r="W729" i="92"/>
  <c r="AH729" i="92" s="1"/>
  <c r="V259" i="92"/>
  <c r="AR259" i="92" s="1"/>
  <c r="V607" i="92"/>
  <c r="U124" i="92"/>
  <c r="AF124" i="92" s="1"/>
  <c r="V359" i="92"/>
  <c r="AR359" i="92" s="1"/>
  <c r="Y233" i="92"/>
  <c r="V192" i="92"/>
  <c r="AR192" i="92" s="1"/>
  <c r="X312" i="92"/>
  <c r="U144" i="92"/>
  <c r="AF144" i="92" s="1"/>
  <c r="W304" i="92"/>
  <c r="AS304" i="92" s="1"/>
  <c r="Y205" i="92"/>
  <c r="AU205" i="92" s="1"/>
  <c r="W325" i="92"/>
  <c r="AS325" i="92" s="1"/>
  <c r="V135" i="92"/>
  <c r="AG135" i="92" s="1"/>
  <c r="AE292" i="92"/>
  <c r="U356" i="92"/>
  <c r="AF356" i="92" s="1"/>
  <c r="Y237" i="92"/>
  <c r="X103" i="92"/>
  <c r="W204" i="92"/>
  <c r="AS204" i="92" s="1"/>
  <c r="V142" i="92"/>
  <c r="W135" i="92"/>
  <c r="AS135" i="92" s="1"/>
  <c r="U228" i="92"/>
  <c r="AE395" i="92"/>
  <c r="BA395" i="92" s="1"/>
  <c r="AE460" i="92"/>
  <c r="BA460" i="92" s="1"/>
  <c r="AE640" i="92"/>
  <c r="AP640" i="92" s="1"/>
  <c r="AE757" i="92"/>
  <c r="BA757" i="92" s="1"/>
  <c r="AE628" i="92"/>
  <c r="AP628" i="92" s="1"/>
  <c r="AE112" i="92"/>
  <c r="X550" i="92"/>
  <c r="Z149" i="92"/>
  <c r="W497" i="92"/>
  <c r="AH497" i="92" s="1"/>
  <c r="X655" i="92"/>
  <c r="Y207" i="92"/>
  <c r="AJ207" i="92" s="1"/>
  <c r="Y208" i="92"/>
  <c r="AU208" i="92" s="1"/>
  <c r="Z348" i="92"/>
  <c r="AK348" i="92" s="1"/>
  <c r="V167" i="92"/>
  <c r="AG167" i="92" s="1"/>
  <c r="Z381" i="92"/>
  <c r="AV381" i="92" s="1"/>
  <c r="AE102" i="92"/>
  <c r="BA102" i="92" s="1"/>
  <c r="AE441" i="92"/>
  <c r="AP441" i="92" s="1"/>
  <c r="AE487" i="92"/>
  <c r="BA487" i="92" s="1"/>
  <c r="AE743" i="92"/>
  <c r="AE152" i="92"/>
  <c r="V680" i="92"/>
  <c r="U377" i="92"/>
  <c r="V89" i="92"/>
  <c r="AG89" i="92" s="1"/>
  <c r="X178" i="92"/>
  <c r="X200" i="92"/>
  <c r="AI200" i="92" s="1"/>
  <c r="V159" i="92"/>
  <c r="AR159" i="92" s="1"/>
  <c r="Y372" i="92"/>
  <c r="X276" i="92"/>
  <c r="AI276" i="92" s="1"/>
  <c r="AE348" i="92"/>
  <c r="AP348" i="92" s="1"/>
  <c r="AE713" i="92"/>
  <c r="AE627" i="92"/>
  <c r="AP627" i="92" s="1"/>
  <c r="AE595" i="92"/>
  <c r="BA595" i="92" s="1"/>
  <c r="AE439" i="92"/>
  <c r="BA439" i="92" s="1"/>
  <c r="AE411" i="92"/>
  <c r="BA411" i="92" s="1"/>
  <c r="U437" i="92"/>
  <c r="Z631" i="92"/>
  <c r="AK631" i="92" s="1"/>
  <c r="V172" i="92"/>
  <c r="AG172" i="92" s="1"/>
  <c r="W280" i="92"/>
  <c r="AS280" i="92" s="1"/>
  <c r="Z194" i="92"/>
  <c r="AV194" i="92" s="1"/>
  <c r="W202" i="92"/>
  <c r="Y150" i="92"/>
  <c r="AJ150" i="92" s="1"/>
  <c r="U221" i="92"/>
  <c r="AQ221" i="92" s="1"/>
  <c r="V229" i="92"/>
  <c r="W110" i="92"/>
  <c r="X364" i="92"/>
  <c r="AT364" i="92" s="1"/>
  <c r="U198" i="92"/>
  <c r="AE160" i="92"/>
  <c r="BA160" i="92" s="1"/>
  <c r="AE612" i="92"/>
  <c r="BA612" i="92" s="1"/>
  <c r="AE758" i="92"/>
  <c r="AP758" i="92" s="1"/>
  <c r="AE172" i="92"/>
  <c r="AP172" i="92" s="1"/>
  <c r="AE403" i="92"/>
  <c r="AE516" i="92"/>
  <c r="BA516" i="92" s="1"/>
  <c r="Z695" i="92"/>
  <c r="AK695" i="92" s="1"/>
  <c r="X347" i="92"/>
  <c r="U719" i="92"/>
  <c r="AQ719" i="92" s="1"/>
  <c r="Z217" i="92"/>
  <c r="Y128" i="92"/>
  <c r="X162" i="92"/>
  <c r="AT162" i="92" s="1"/>
  <c r="V256" i="92"/>
  <c r="V248" i="92"/>
  <c r="AG248" i="92" s="1"/>
  <c r="Y326" i="92"/>
  <c r="AU326" i="92" s="1"/>
  <c r="X158" i="92"/>
  <c r="AT158" i="92" s="1"/>
  <c r="Y236" i="92"/>
  <c r="Z244" i="92"/>
  <c r="Z174" i="92"/>
  <c r="AV174" i="92" s="1"/>
  <c r="Z238" i="92"/>
  <c r="AK238" i="92" s="1"/>
  <c r="AE643" i="92"/>
  <c r="AE520" i="92"/>
  <c r="AP520" i="92" s="1"/>
  <c r="AE727" i="92"/>
  <c r="AE142" i="92"/>
  <c r="AE494" i="92"/>
  <c r="AP494" i="92" s="1"/>
  <c r="AE559" i="92"/>
  <c r="AE511" i="92"/>
  <c r="BA511" i="92" s="1"/>
  <c r="AE693" i="92"/>
  <c r="AP693" i="92" s="1"/>
  <c r="V746" i="92"/>
  <c r="W543" i="92"/>
  <c r="AS543" i="92" s="1"/>
  <c r="X267" i="92"/>
  <c r="AI267" i="92" s="1"/>
  <c r="U379" i="92"/>
  <c r="AQ379" i="92" s="1"/>
  <c r="X585" i="92"/>
  <c r="X266" i="92"/>
  <c r="V201" i="92"/>
  <c r="AG201" i="92" s="1"/>
  <c r="W190" i="92"/>
  <c r="X150" i="92"/>
  <c r="X348" i="92"/>
  <c r="AT348" i="92" s="1"/>
  <c r="AE139" i="92"/>
  <c r="AP139" i="92" s="1"/>
  <c r="AE521" i="92"/>
  <c r="AP521" i="92" s="1"/>
  <c r="AE478" i="92"/>
  <c r="AP478" i="92" s="1"/>
  <c r="AE528" i="92"/>
  <c r="BA528" i="92" s="1"/>
  <c r="AE625" i="92"/>
  <c r="V219" i="92"/>
  <c r="AR219" i="92" s="1"/>
  <c r="V188" i="92"/>
  <c r="X123" i="92"/>
  <c r="AI123" i="92" s="1"/>
  <c r="AE304" i="92"/>
  <c r="AP304" i="92" s="1"/>
  <c r="AE333" i="92"/>
  <c r="BA333" i="92" s="1"/>
  <c r="X300" i="92"/>
  <c r="AT300" i="92" s="1"/>
  <c r="V357" i="92"/>
  <c r="AG357" i="92" s="1"/>
  <c r="V260" i="92"/>
  <c r="AR260" i="92" s="1"/>
  <c r="V214" i="92"/>
  <c r="AG214" i="92" s="1"/>
  <c r="AE400" i="92"/>
  <c r="BA400" i="92" s="1"/>
  <c r="AE647" i="92"/>
  <c r="AP647" i="92" s="1"/>
  <c r="AE413" i="92"/>
  <c r="BA413" i="92" s="1"/>
  <c r="AE120" i="92"/>
  <c r="X428" i="92"/>
  <c r="X173" i="92"/>
  <c r="AT173" i="92" s="1"/>
  <c r="W257" i="92"/>
  <c r="AS257" i="92" s="1"/>
  <c r="Z176" i="92"/>
  <c r="AV176" i="92" s="1"/>
  <c r="W368" i="92"/>
  <c r="V297" i="92"/>
  <c r="V102" i="92"/>
  <c r="U308" i="92"/>
  <c r="U252" i="92"/>
  <c r="AF252" i="92" s="1"/>
  <c r="W292" i="92"/>
  <c r="AE741" i="92"/>
  <c r="BA741" i="92" s="1"/>
  <c r="AE638" i="92"/>
  <c r="AP638" i="92" s="1"/>
  <c r="AE192" i="92"/>
  <c r="AE515" i="92"/>
  <c r="BA515" i="92" s="1"/>
  <c r="AE473" i="92"/>
  <c r="AP473" i="92" s="1"/>
  <c r="AE698" i="92"/>
  <c r="AP698" i="92" s="1"/>
  <c r="AE96" i="92"/>
  <c r="AP96" i="92" s="1"/>
  <c r="AE454" i="92"/>
  <c r="X116" i="92"/>
  <c r="AT116" i="92" s="1"/>
  <c r="U423" i="92"/>
  <c r="AF423" i="92" s="1"/>
  <c r="V124" i="92"/>
  <c r="AG124" i="92" s="1"/>
  <c r="U101" i="92"/>
  <c r="AF101" i="92" s="1"/>
  <c r="W344" i="92"/>
  <c r="AH344" i="92" s="1"/>
  <c r="V138" i="92"/>
  <c r="Z179" i="92"/>
  <c r="AV179" i="92" s="1"/>
  <c r="V360" i="92"/>
  <c r="AG360" i="92" s="1"/>
  <c r="Z107" i="92"/>
  <c r="AK107" i="92" s="1"/>
  <c r="V200" i="92"/>
  <c r="AG200" i="92" s="1"/>
  <c r="X171" i="92"/>
  <c r="AE270" i="92"/>
  <c r="BA270" i="92" s="1"/>
  <c r="U94" i="92"/>
  <c r="X143" i="92"/>
  <c r="Z278" i="92"/>
  <c r="X110" i="92"/>
  <c r="W357" i="92"/>
  <c r="AH357" i="92" s="1"/>
  <c r="X183" i="92"/>
  <c r="AE624" i="92"/>
  <c r="AE737" i="92"/>
  <c r="AE554" i="92"/>
  <c r="AE593" i="92"/>
  <c r="BA593" i="92" s="1"/>
  <c r="AE428" i="92"/>
  <c r="BA428" i="92" s="1"/>
  <c r="AE755" i="92"/>
  <c r="AP755" i="92" s="1"/>
  <c r="AE678" i="92"/>
  <c r="AP678" i="92" s="1"/>
  <c r="AE166" i="92"/>
  <c r="BA166" i="92" s="1"/>
  <c r="AE669" i="92"/>
  <c r="V705" i="92"/>
  <c r="AR705" i="92" s="1"/>
  <c r="X188" i="92"/>
  <c r="AI188" i="92" s="1"/>
  <c r="V164" i="92"/>
  <c r="X331" i="92"/>
  <c r="AT331" i="92" s="1"/>
  <c r="U343" i="92"/>
  <c r="AE352" i="92"/>
  <c r="AP352" i="92" s="1"/>
  <c r="AE248" i="92"/>
  <c r="BA248" i="92" s="1"/>
  <c r="X139" i="92"/>
  <c r="AI139" i="92" s="1"/>
  <c r="AE240" i="92"/>
  <c r="AP240" i="92" s="1"/>
  <c r="X318" i="92"/>
  <c r="AE380" i="92"/>
  <c r="BA380" i="92" s="1"/>
  <c r="AE220" i="92"/>
  <c r="BA220" i="92" s="1"/>
  <c r="U213" i="92"/>
  <c r="V277" i="92"/>
  <c r="AR277" i="92" s="1"/>
  <c r="X310" i="92"/>
  <c r="Y192" i="92"/>
  <c r="AJ192" i="92" s="1"/>
  <c r="AE204" i="92"/>
  <c r="Z228" i="92"/>
  <c r="X159" i="92"/>
  <c r="AE173" i="92"/>
  <c r="AE507" i="92"/>
  <c r="AE190" i="92"/>
  <c r="AP190" i="92" s="1"/>
  <c r="AE104" i="92"/>
  <c r="AP104" i="92" s="1"/>
  <c r="AE164" i="92"/>
  <c r="AE318" i="92"/>
  <c r="AP318" i="92" s="1"/>
  <c r="Y153" i="92"/>
  <c r="U88" i="92"/>
  <c r="W284" i="92"/>
  <c r="Y118" i="92"/>
  <c r="U285" i="92"/>
  <c r="AQ285" i="92" s="1"/>
  <c r="AE706" i="92"/>
  <c r="AP706" i="92" s="1"/>
  <c r="AE149" i="92"/>
  <c r="AE130" i="92"/>
  <c r="BA130" i="92" s="1"/>
  <c r="AE523" i="92"/>
  <c r="BA523" i="92" s="1"/>
  <c r="U672" i="92"/>
  <c r="AQ672" i="92" s="1"/>
  <c r="Z100" i="92"/>
  <c r="AK100" i="92" s="1"/>
  <c r="Y115" i="92"/>
  <c r="AE287" i="92"/>
  <c r="BA287" i="92" s="1"/>
  <c r="Y113" i="92"/>
  <c r="AU113" i="92" s="1"/>
  <c r="W200" i="92"/>
  <c r="AH200" i="92" s="1"/>
  <c r="W278" i="92"/>
  <c r="AH278" i="92" s="1"/>
  <c r="X332" i="92"/>
  <c r="AI332" i="92" s="1"/>
  <c r="Z206" i="92"/>
  <c r="Z300" i="92"/>
  <c r="AK300" i="92" s="1"/>
  <c r="W95" i="92"/>
  <c r="AS95" i="92" s="1"/>
  <c r="X238" i="92"/>
  <c r="AT238" i="92" s="1"/>
  <c r="W127" i="92"/>
  <c r="W262" i="92"/>
  <c r="AE568" i="92"/>
  <c r="AE549" i="92"/>
  <c r="AE542" i="92"/>
  <c r="AE631" i="92"/>
  <c r="BA631" i="92" s="1"/>
  <c r="AE723" i="92"/>
  <c r="AE762" i="92"/>
  <c r="AP762" i="92" s="1"/>
  <c r="AE746" i="92"/>
  <c r="AP746" i="92" s="1"/>
  <c r="AE759" i="92"/>
  <c r="AE459" i="92"/>
  <c r="BA459" i="92" s="1"/>
  <c r="Y692" i="92"/>
  <c r="V283" i="92"/>
  <c r="AR283" i="92" s="1"/>
  <c r="V378" i="92"/>
  <c r="AG378" i="92" s="1"/>
  <c r="W366" i="92"/>
  <c r="V168" i="92"/>
  <c r="AR168" i="92" s="1"/>
  <c r="U304" i="92"/>
  <c r="AF304" i="92" s="1"/>
  <c r="X129" i="92"/>
  <c r="X186" i="92"/>
  <c r="V289" i="92"/>
  <c r="Y255" i="92"/>
  <c r="AJ255" i="92" s="1"/>
  <c r="W254" i="92"/>
  <c r="AH254" i="92" s="1"/>
  <c r="Z340" i="92"/>
  <c r="AK340" i="92" s="1"/>
  <c r="AE277" i="92"/>
  <c r="Z285" i="92"/>
  <c r="AV285" i="92" s="1"/>
  <c r="V151" i="92"/>
  <c r="AE364" i="92"/>
  <c r="BA364" i="92" s="1"/>
  <c r="Z276" i="92"/>
  <c r="Z213" i="92"/>
  <c r="AV213" i="92" s="1"/>
  <c r="AE679" i="92"/>
  <c r="BA679" i="92" s="1"/>
  <c r="AE688" i="92"/>
  <c r="AE525" i="92"/>
  <c r="BA525" i="92" s="1"/>
  <c r="AE534" i="92"/>
  <c r="AP534" i="92" s="1"/>
  <c r="AE662" i="92"/>
  <c r="AE583" i="92"/>
  <c r="BA583" i="92" s="1"/>
  <c r="W674" i="92"/>
  <c r="X472" i="92"/>
  <c r="Y242" i="92"/>
  <c r="AJ242" i="92" s="1"/>
  <c r="X361" i="92"/>
  <c r="U162" i="92"/>
  <c r="AF162" i="92" s="1"/>
  <c r="Z121" i="92"/>
  <c r="AV121" i="92" s="1"/>
  <c r="Z233" i="92"/>
  <c r="Z281" i="92"/>
  <c r="Z311" i="92"/>
  <c r="Z111" i="92"/>
  <c r="AE246" i="92"/>
  <c r="BA246" i="92" s="1"/>
  <c r="U191" i="92"/>
  <c r="X293" i="92"/>
  <c r="AI293" i="92" s="1"/>
  <c r="W302" i="92"/>
  <c r="Z334" i="92"/>
  <c r="Y212" i="92"/>
  <c r="AE313" i="92"/>
  <c r="Z375" i="92"/>
  <c r="U214" i="92"/>
  <c r="AQ214" i="92" s="1"/>
  <c r="AE444" i="92"/>
  <c r="BA444" i="92" s="1"/>
  <c r="X290" i="92"/>
  <c r="AI290" i="92" s="1"/>
  <c r="W231" i="92"/>
  <c r="AH231" i="92" s="1"/>
  <c r="Z112" i="92"/>
  <c r="V304" i="92"/>
  <c r="Z225" i="92"/>
  <c r="AV225" i="92" s="1"/>
  <c r="X325" i="92"/>
  <c r="AI325" i="92" s="1"/>
  <c r="V221" i="92"/>
  <c r="AR221" i="92" s="1"/>
  <c r="W229" i="92"/>
  <c r="X95" i="92"/>
  <c r="AI95" i="92" s="1"/>
  <c r="W175" i="92"/>
  <c r="AS175" i="92" s="1"/>
  <c r="U325" i="92"/>
  <c r="AE636" i="92"/>
  <c r="AP636" i="92" s="1"/>
  <c r="AE386" i="92"/>
  <c r="AE138" i="92"/>
  <c r="AE629" i="92"/>
  <c r="AP629" i="92" s="1"/>
  <c r="AE574" i="92"/>
  <c r="AP574" i="92" s="1"/>
  <c r="AE491" i="92"/>
  <c r="AP491" i="92" s="1"/>
  <c r="U656" i="92"/>
  <c r="AF656" i="92" s="1"/>
  <c r="W487" i="92"/>
  <c r="AS487" i="92" s="1"/>
  <c r="Y576" i="92"/>
  <c r="AU576" i="92" s="1"/>
  <c r="V288" i="92"/>
  <c r="Y375" i="92"/>
  <c r="W106" i="92"/>
  <c r="Y311" i="92"/>
  <c r="Y98" i="92"/>
  <c r="AJ98" i="92" s="1"/>
  <c r="W247" i="92"/>
  <c r="Z357" i="92"/>
  <c r="AK357" i="92" s="1"/>
  <c r="U238" i="92"/>
  <c r="U268" i="92"/>
  <c r="Z332" i="92"/>
  <c r="AE269" i="92"/>
  <c r="AP269" i="92" s="1"/>
  <c r="Y135" i="92"/>
  <c r="AJ135" i="92" s="1"/>
  <c r="Z236" i="92"/>
  <c r="AK236" i="92" s="1"/>
  <c r="Y110" i="92"/>
  <c r="Y260" i="92"/>
  <c r="AE644" i="92"/>
  <c r="AE620" i="92"/>
  <c r="AE141" i="92"/>
  <c r="AE155" i="92"/>
  <c r="AP155" i="92" s="1"/>
  <c r="AE175" i="92"/>
  <c r="W722" i="92"/>
  <c r="AS722" i="92" s="1"/>
  <c r="U115" i="92"/>
  <c r="AQ115" i="92" s="1"/>
  <c r="AE323" i="92"/>
  <c r="W297" i="92"/>
  <c r="AH297" i="92" s="1"/>
  <c r="V98" i="92"/>
  <c r="Z185" i="92"/>
  <c r="Z369" i="92"/>
  <c r="AV369" i="92" s="1"/>
  <c r="Y177" i="92"/>
  <c r="AJ177" i="92" s="1"/>
  <c r="AE374" i="92"/>
  <c r="BA374" i="92" s="1"/>
  <c r="Y351" i="92"/>
  <c r="U294" i="92"/>
  <c r="X198" i="92"/>
  <c r="AT198" i="92" s="1"/>
  <c r="AE268" i="92"/>
  <c r="BA268" i="92" s="1"/>
  <c r="U205" i="92"/>
  <c r="Y381" i="92"/>
  <c r="Z284" i="92"/>
  <c r="Y229" i="92"/>
  <c r="AJ229" i="92" s="1"/>
  <c r="V252" i="92"/>
  <c r="AG252" i="92" s="1"/>
  <c r="W198" i="92"/>
  <c r="AE420" i="92"/>
  <c r="AE450" i="92"/>
  <c r="AE422" i="92"/>
  <c r="BA422" i="92" s="1"/>
  <c r="AE183" i="92"/>
  <c r="BA183" i="92" s="1"/>
  <c r="AE495" i="92"/>
  <c r="AP495" i="92" s="1"/>
  <c r="AE611" i="92"/>
  <c r="AE481" i="92"/>
  <c r="AP481" i="92" s="1"/>
  <c r="AE563" i="92"/>
  <c r="AE665" i="92"/>
  <c r="AP665" i="92" s="1"/>
  <c r="AE157" i="92"/>
  <c r="BA157" i="92" s="1"/>
  <c r="Y245" i="92"/>
  <c r="AJ245" i="92" s="1"/>
  <c r="AE356" i="92"/>
  <c r="BA356" i="92" s="1"/>
  <c r="AE657" i="92"/>
  <c r="Y258" i="92"/>
  <c r="AJ258" i="92" s="1"/>
  <c r="AE456" i="92"/>
  <c r="BA456" i="92" s="1"/>
  <c r="Y393" i="92"/>
  <c r="AJ393" i="92" s="1"/>
  <c r="U281" i="92"/>
  <c r="AF281" i="92" s="1"/>
  <c r="Z288" i="92"/>
  <c r="X302" i="92"/>
  <c r="Z129" i="92"/>
  <c r="AK129" i="92" s="1"/>
  <c r="Y106" i="92"/>
  <c r="W374" i="92"/>
  <c r="AH374" i="92" s="1"/>
  <c r="AE381" i="92"/>
  <c r="BA381" i="92" s="1"/>
  <c r="U269" i="92"/>
  <c r="W158" i="92"/>
  <c r="AS158" i="92" s="1"/>
  <c r="Z166" i="92"/>
  <c r="AV166" i="92" s="1"/>
  <c r="Y111" i="92"/>
  <c r="U324" i="92"/>
  <c r="AF324" i="92" s="1"/>
  <c r="Y269" i="92"/>
  <c r="AE415" i="92"/>
  <c r="AE105" i="92"/>
  <c r="AP105" i="92" s="1"/>
  <c r="AE721" i="92"/>
  <c r="AE725" i="92"/>
  <c r="AE168" i="92"/>
  <c r="AP168" i="92" s="1"/>
  <c r="AE681" i="92"/>
  <c r="AE91" i="92"/>
  <c r="AP91" i="92" s="1"/>
  <c r="V362" i="92"/>
  <c r="AR362" i="92" s="1"/>
  <c r="V203" i="92"/>
  <c r="AG203" i="92" s="1"/>
  <c r="AE216" i="92"/>
  <c r="AP216" i="92" s="1"/>
  <c r="V326" i="92"/>
  <c r="AE247" i="92"/>
  <c r="AP247" i="92" s="1"/>
  <c r="AE255" i="92"/>
  <c r="AP255" i="92" s="1"/>
  <c r="U184" i="92"/>
  <c r="AQ184" i="92" s="1"/>
  <c r="X301" i="92"/>
  <c r="W183" i="92"/>
  <c r="U212" i="92"/>
  <c r="AF212" i="92" s="1"/>
  <c r="V276" i="92"/>
  <c r="AG276" i="92" s="1"/>
  <c r="AE213" i="92"/>
  <c r="X277" i="92"/>
  <c r="AE278" i="92"/>
  <c r="AP278" i="92" s="1"/>
  <c r="X357" i="92"/>
  <c r="AI357" i="92" s="1"/>
  <c r="Y204" i="92"/>
  <c r="AE154" i="92"/>
  <c r="AP154" i="92" s="1"/>
  <c r="AE135" i="92"/>
  <c r="BA135" i="92" s="1"/>
  <c r="AE619" i="92"/>
  <c r="BA619" i="92" s="1"/>
  <c r="AE730" i="92"/>
  <c r="AP730" i="92" s="1"/>
  <c r="AE548" i="92"/>
  <c r="AP548" i="92" s="1"/>
  <c r="AE392" i="92"/>
  <c r="AP392" i="92" s="1"/>
  <c r="AE761" i="92"/>
  <c r="AE546" i="92"/>
  <c r="BA546" i="92" s="1"/>
  <c r="W608" i="92"/>
  <c r="AS608" i="92" s="1"/>
  <c r="Y554" i="92"/>
  <c r="AJ554" i="92" s="1"/>
  <c r="V234" i="92"/>
  <c r="AG234" i="92" s="1"/>
  <c r="Y232" i="92"/>
  <c r="X97" i="92"/>
  <c r="AI97" i="92" s="1"/>
  <c r="Y281" i="92"/>
  <c r="Z113" i="92"/>
  <c r="AV113" i="92" s="1"/>
  <c r="X265" i="92"/>
  <c r="AT265" i="92" s="1"/>
  <c r="X295" i="92"/>
  <c r="Y214" i="92"/>
  <c r="AU214" i="92" s="1"/>
  <c r="AE308" i="92"/>
  <c r="BA308" i="92" s="1"/>
  <c r="V134" i="92"/>
  <c r="AE373" i="92"/>
  <c r="AE212" i="92"/>
  <c r="AP212" i="92" s="1"/>
  <c r="Y142" i="92"/>
  <c r="AJ142" i="92" s="1"/>
  <c r="Z325" i="92"/>
  <c r="AK325" i="92" s="1"/>
  <c r="X228" i="92"/>
  <c r="AI228" i="92" s="1"/>
  <c r="Y102" i="92"/>
  <c r="AU102" i="92" s="1"/>
  <c r="W349" i="92"/>
  <c r="AS349" i="92" s="1"/>
  <c r="X358" i="92"/>
  <c r="X134" i="92"/>
  <c r="AE133" i="92"/>
  <c r="AE531" i="92"/>
  <c r="AE536" i="92"/>
  <c r="AE652" i="92"/>
  <c r="AE747" i="92"/>
  <c r="V104" i="92"/>
  <c r="AR104" i="92" s="1"/>
  <c r="Z273" i="92"/>
  <c r="Y238" i="92"/>
  <c r="AE682" i="92"/>
  <c r="AE272" i="92"/>
  <c r="V332" i="92"/>
  <c r="AG332" i="92" s="1"/>
  <c r="X314" i="92"/>
  <c r="W350" i="92"/>
  <c r="U150" i="92"/>
  <c r="AQ150" i="92" s="1"/>
  <c r="W94" i="92"/>
  <c r="X102" i="92"/>
  <c r="AI102" i="92" s="1"/>
  <c r="X268" i="92"/>
  <c r="Y213" i="92"/>
  <c r="AU213" i="92" s="1"/>
  <c r="AE732" i="92"/>
  <c r="AE608" i="92"/>
  <c r="AE664" i="92"/>
  <c r="AE616" i="92"/>
  <c r="BA616" i="92" s="1"/>
  <c r="AE637" i="92"/>
  <c r="AE506" i="92"/>
  <c r="AE167" i="92"/>
  <c r="Z503" i="92"/>
  <c r="AK503" i="92" s="1"/>
  <c r="V346" i="92"/>
  <c r="AG346" i="92" s="1"/>
  <c r="Y202" i="92"/>
  <c r="Y196" i="92"/>
  <c r="X184" i="92"/>
  <c r="AI184" i="92" s="1"/>
  <c r="X104" i="92"/>
  <c r="Z289" i="92"/>
  <c r="AV289" i="92" s="1"/>
  <c r="Z168" i="92"/>
  <c r="AV168" i="92" s="1"/>
  <c r="V352" i="92"/>
  <c r="U128" i="92"/>
  <c r="AQ128" i="92" s="1"/>
  <c r="V344" i="92"/>
  <c r="AG344" i="92" s="1"/>
  <c r="W120" i="92"/>
  <c r="AH120" i="92" s="1"/>
  <c r="V245" i="92"/>
  <c r="AR245" i="92" s="1"/>
  <c r="W246" i="92"/>
  <c r="V220" i="92"/>
  <c r="AR220" i="92" s="1"/>
  <c r="V150" i="92"/>
  <c r="AR150" i="92" s="1"/>
  <c r="X221" i="92"/>
  <c r="AE214" i="92"/>
  <c r="BA214" i="92" s="1"/>
  <c r="X356" i="92"/>
  <c r="AE301" i="92"/>
  <c r="AP301" i="92" s="1"/>
  <c r="W119" i="92"/>
  <c r="AH119" i="92" s="1"/>
  <c r="W332" i="92"/>
  <c r="AE696" i="92"/>
  <c r="AP696" i="92" s="1"/>
  <c r="AE490" i="92"/>
  <c r="AE429" i="92"/>
  <c r="AP429" i="92" s="1"/>
  <c r="AE658" i="92"/>
  <c r="BA658" i="92" s="1"/>
  <c r="AE530" i="92"/>
  <c r="AE169" i="92"/>
  <c r="BA169" i="92" s="1"/>
  <c r="AE607" i="92"/>
  <c r="AP607" i="92" s="1"/>
  <c r="W710" i="92"/>
  <c r="AH710" i="92" s="1"/>
  <c r="U608" i="92"/>
  <c r="U141" i="92"/>
  <c r="AF141" i="92" s="1"/>
  <c r="U361" i="92"/>
  <c r="X168" i="92"/>
  <c r="Y327" i="92"/>
  <c r="AJ327" i="92" s="1"/>
  <c r="W359" i="92"/>
  <c r="AS359" i="92" s="1"/>
  <c r="X217" i="92"/>
  <c r="AT217" i="92" s="1"/>
  <c r="X209" i="92"/>
  <c r="AI209" i="92" s="1"/>
  <c r="AE239" i="92"/>
  <c r="BA239" i="92" s="1"/>
  <c r="Z95" i="92"/>
  <c r="Y252" i="92"/>
  <c r="AE317" i="92"/>
  <c r="V246" i="92"/>
  <c r="AR246" i="92" s="1"/>
  <c r="V269" i="92"/>
  <c r="AR269" i="92" s="1"/>
  <c r="U262" i="92"/>
  <c r="AF262" i="92" s="1"/>
  <c r="U293" i="92"/>
  <c r="Z230" i="92"/>
  <c r="AK230" i="92" s="1"/>
  <c r="AE676" i="92"/>
  <c r="AE452" i="92"/>
  <c r="BA452" i="92" s="1"/>
  <c r="AE486" i="92"/>
  <c r="AP486" i="92" s="1"/>
  <c r="AE476" i="92"/>
  <c r="BA476" i="92" s="1"/>
  <c r="AE577" i="92"/>
  <c r="BA577" i="92" s="1"/>
  <c r="AE517" i="92"/>
  <c r="BA517" i="92" s="1"/>
  <c r="AE151" i="92"/>
  <c r="AE544" i="92"/>
  <c r="AE461" i="92"/>
  <c r="BA461" i="92" s="1"/>
  <c r="U160" i="92"/>
  <c r="AQ160" i="92" s="1"/>
  <c r="X372" i="92"/>
  <c r="X264" i="92"/>
  <c r="AT264" i="92" s="1"/>
  <c r="X216" i="92"/>
  <c r="AI216" i="92" s="1"/>
  <c r="Y122" i="92"/>
  <c r="AU122" i="92" s="1"/>
  <c r="AE222" i="92"/>
  <c r="U598" i="92"/>
  <c r="AF598" i="92" s="1"/>
  <c r="U178" i="92"/>
  <c r="Z119" i="92"/>
  <c r="AV119" i="92" s="1"/>
  <c r="U219" i="92"/>
  <c r="W177" i="92"/>
  <c r="AH177" i="92" s="1"/>
  <c r="X225" i="92"/>
  <c r="AI225" i="92" s="1"/>
  <c r="X305" i="92"/>
  <c r="X255" i="92"/>
  <c r="W352" i="92"/>
  <c r="AS352" i="92" s="1"/>
  <c r="Y332" i="92"/>
  <c r="AJ332" i="92" s="1"/>
  <c r="U348" i="92"/>
  <c r="AQ348" i="92" s="1"/>
  <c r="Y364" i="92"/>
  <c r="AJ364" i="92" s="1"/>
  <c r="Y365" i="92"/>
  <c r="AJ365" i="92" s="1"/>
  <c r="X212" i="92"/>
  <c r="AI212" i="92" s="1"/>
  <c r="AE555" i="92"/>
  <c r="BA555" i="92" s="1"/>
  <c r="AE394" i="92"/>
  <c r="AE668" i="92"/>
  <c r="AP668" i="92" s="1"/>
  <c r="AE597" i="92"/>
  <c r="AE399" i="92"/>
  <c r="AE524" i="92"/>
  <c r="BA524" i="92" s="1"/>
  <c r="AE569" i="92"/>
  <c r="BA569" i="92" s="1"/>
  <c r="AE763" i="92"/>
  <c r="V363" i="92"/>
  <c r="AG363" i="92" s="1"/>
  <c r="W607" i="92"/>
  <c r="U399" i="92"/>
  <c r="W322" i="92"/>
  <c r="AS322" i="92" s="1"/>
  <c r="AE310" i="92"/>
  <c r="W217" i="92"/>
  <c r="AS217" i="92" s="1"/>
  <c r="Y294" i="92"/>
  <c r="AE296" i="92"/>
  <c r="BA296" i="92" s="1"/>
  <c r="AE288" i="92"/>
  <c r="AP288" i="92" s="1"/>
  <c r="U190" i="92"/>
  <c r="Z261" i="92"/>
  <c r="AV261" i="92" s="1"/>
  <c r="U183" i="92"/>
  <c r="AQ183" i="92" s="1"/>
  <c r="X254" i="92"/>
  <c r="AT254" i="92" s="1"/>
  <c r="Z158" i="92"/>
  <c r="AV158" i="92" s="1"/>
  <c r="W151" i="92"/>
  <c r="V300" i="92"/>
  <c r="AR300" i="92" s="1"/>
  <c r="U245" i="92"/>
  <c r="AF245" i="92" s="1"/>
  <c r="AE391" i="92"/>
  <c r="AP391" i="92" s="1"/>
  <c r="AE145" i="92"/>
  <c r="AP145" i="92" s="1"/>
  <c r="AE617" i="92"/>
  <c r="AP617" i="92" s="1"/>
  <c r="AE118" i="92"/>
  <c r="AP118" i="92" s="1"/>
  <c r="AE756" i="92"/>
  <c r="AE509" i="92"/>
  <c r="AE648" i="92"/>
  <c r="AP648" i="92" s="1"/>
  <c r="AE720" i="92"/>
  <c r="AP720" i="92" s="1"/>
  <c r="AE437" i="92"/>
  <c r="Z692" i="92"/>
  <c r="W306" i="92"/>
  <c r="U330" i="92"/>
  <c r="AQ330" i="92" s="1"/>
  <c r="Y275" i="92"/>
  <c r="Z294" i="92"/>
  <c r="X88" i="92"/>
  <c r="AT88" i="92" s="1"/>
  <c r="U318" i="92"/>
  <c r="AQ318" i="92" s="1"/>
  <c r="X311" i="92"/>
  <c r="Y162" i="92"/>
  <c r="Y359" i="92"/>
  <c r="X154" i="92"/>
  <c r="U176" i="92"/>
  <c r="U350" i="92"/>
  <c r="AF350" i="92" s="1"/>
  <c r="U380" i="92"/>
  <c r="AQ380" i="92" s="1"/>
  <c r="Z253" i="92"/>
  <c r="AV253" i="92" s="1"/>
  <c r="V183" i="92"/>
  <c r="W276" i="92"/>
  <c r="V213" i="92"/>
  <c r="AG213" i="92" s="1"/>
  <c r="U206" i="92"/>
  <c r="AQ206" i="92" s="1"/>
  <c r="W356" i="92"/>
  <c r="AH356" i="92" s="1"/>
  <c r="U182" i="92"/>
  <c r="X175" i="92"/>
  <c r="AI175" i="92" s="1"/>
  <c r="W380" i="92"/>
  <c r="AE409" i="92"/>
  <c r="BA409" i="92" s="1"/>
  <c r="AE642" i="92"/>
  <c r="AP642" i="92" s="1"/>
  <c r="AE474" i="92"/>
  <c r="AE132" i="92"/>
  <c r="AP132" i="92" s="1"/>
  <c r="AE565" i="92"/>
  <c r="BA565" i="92" s="1"/>
  <c r="AE92" i="92"/>
  <c r="BA92" i="92" s="1"/>
  <c r="W157" i="92"/>
  <c r="AH157" i="92" s="1"/>
  <c r="X288" i="92"/>
  <c r="AE498" i="92"/>
  <c r="BA498" i="92" s="1"/>
  <c r="Y211" i="92"/>
  <c r="AJ211" i="92" s="1"/>
  <c r="AE340" i="92"/>
  <c r="AE421" i="92"/>
  <c r="Y377" i="92"/>
  <c r="AU377" i="92" s="1"/>
  <c r="U301" i="92"/>
  <c r="AE464" i="92"/>
  <c r="BA464" i="92" s="1"/>
  <c r="Z472" i="92"/>
  <c r="AK472" i="92" s="1"/>
  <c r="V122" i="92"/>
  <c r="W146" i="92"/>
  <c r="AH146" i="92" s="1"/>
  <c r="Y178" i="92"/>
  <c r="AJ178" i="92" s="1"/>
  <c r="Y199" i="92"/>
  <c r="AU199" i="92" s="1"/>
  <c r="W296" i="92"/>
  <c r="AH296" i="92" s="1"/>
  <c r="W309" i="92"/>
  <c r="AE276" i="92"/>
  <c r="AP276" i="92" s="1"/>
  <c r="U284" i="92"/>
  <c r="AQ284" i="92" s="1"/>
  <c r="X236" i="92"/>
  <c r="V356" i="92"/>
  <c r="W308" i="92"/>
  <c r="AH308" i="92" s="1"/>
  <c r="V309" i="92"/>
  <c r="X191" i="92"/>
  <c r="U340" i="92"/>
  <c r="AE128" i="92"/>
  <c r="AP128" i="92" s="1"/>
  <c r="AE505" i="92"/>
  <c r="BA505" i="92" s="1"/>
  <c r="AE177" i="92"/>
  <c r="AE179" i="92"/>
  <c r="BA179" i="92" s="1"/>
  <c r="AE610" i="92"/>
  <c r="AE697" i="92"/>
  <c r="AP697" i="92" s="1"/>
  <c r="AE482" i="92"/>
  <c r="AP482" i="92" s="1"/>
  <c r="AE526" i="92"/>
  <c r="AP526" i="92" s="1"/>
  <c r="X644" i="92"/>
  <c r="AI644" i="92" s="1"/>
  <c r="Y140" i="92"/>
  <c r="AU140" i="92" s="1"/>
  <c r="W339" i="92"/>
  <c r="AS339" i="92" s="1"/>
  <c r="Y157" i="92"/>
  <c r="AU157" i="92" s="1"/>
  <c r="AE241" i="92"/>
  <c r="BA241" i="92" s="1"/>
  <c r="U177" i="92"/>
  <c r="U344" i="92"/>
  <c r="U240" i="92"/>
  <c r="AF240" i="92" s="1"/>
  <c r="V374" i="92"/>
  <c r="AG374" i="92" s="1"/>
  <c r="U232" i="92"/>
  <c r="AQ232" i="92" s="1"/>
  <c r="V366" i="92"/>
  <c r="Y198" i="92"/>
  <c r="V119" i="92"/>
  <c r="V191" i="92"/>
  <c r="X284" i="92"/>
  <c r="X94" i="92"/>
  <c r="U244" i="92"/>
  <c r="AQ244" i="92" s="1"/>
  <c r="Y190" i="92"/>
  <c r="AU190" i="92" s="1"/>
  <c r="U317" i="92"/>
  <c r="AF317" i="92" s="1"/>
  <c r="AE161" i="92"/>
  <c r="AP161" i="92" s="1"/>
  <c r="AE406" i="92"/>
  <c r="BA406" i="92" s="1"/>
  <c r="AE417" i="92"/>
  <c r="AE393" i="92"/>
  <c r="AE430" i="92"/>
  <c r="AE467" i="92"/>
  <c r="BA467" i="92" s="1"/>
  <c r="AE424" i="92"/>
  <c r="AP424" i="92" s="1"/>
  <c r="AE159" i="92"/>
  <c r="AE592" i="92"/>
  <c r="AP592" i="92" s="1"/>
  <c r="U650" i="92"/>
  <c r="AQ650" i="92" s="1"/>
  <c r="U687" i="92"/>
  <c r="V487" i="92"/>
  <c r="AG487" i="92" s="1"/>
  <c r="W180" i="92"/>
  <c r="Y352" i="92"/>
  <c r="AJ352" i="92" s="1"/>
  <c r="U353" i="92"/>
  <c r="AQ353" i="92" s="1"/>
  <c r="Z152" i="92"/>
  <c r="W98" i="92"/>
  <c r="AE303" i="92"/>
  <c r="Y90" i="92"/>
  <c r="U112" i="92"/>
  <c r="Y349" i="92"/>
  <c r="AE324" i="92"/>
  <c r="BA324" i="92" s="1"/>
  <c r="Z198" i="92"/>
  <c r="AK198" i="92" s="1"/>
  <c r="X119" i="92"/>
  <c r="W220" i="92"/>
  <c r="AS220" i="92" s="1"/>
  <c r="W150" i="92"/>
  <c r="AH150" i="92" s="1"/>
  <c r="AE302" i="92"/>
  <c r="U118" i="92"/>
  <c r="AF118" i="92" s="1"/>
  <c r="V324" i="92"/>
  <c r="AG324" i="92" s="1"/>
  <c r="AE416" i="92"/>
  <c r="AP416" i="92" s="1"/>
  <c r="AE626" i="92"/>
  <c r="AP626" i="92" s="1"/>
  <c r="AE170" i="92"/>
  <c r="AE107" i="92"/>
  <c r="BA107" i="92" s="1"/>
  <c r="AE733" i="92"/>
  <c r="AP733" i="92" s="1"/>
  <c r="AE193" i="92"/>
  <c r="AE599" i="92"/>
  <c r="Z374" i="92"/>
  <c r="AK374" i="92" s="1"/>
  <c r="AE510" i="92"/>
  <c r="AP510" i="92" s="1"/>
  <c r="V235" i="92"/>
  <c r="AG235" i="92" s="1"/>
  <c r="W208" i="92"/>
  <c r="AE345" i="92"/>
  <c r="AP345" i="92" s="1"/>
  <c r="U108" i="92"/>
  <c r="AQ108" i="92" s="1"/>
  <c r="Z256" i="92"/>
  <c r="X272" i="92"/>
  <c r="AI272" i="92" s="1"/>
  <c r="Y114" i="92"/>
  <c r="AU114" i="92" s="1"/>
  <c r="V198" i="92"/>
  <c r="AR198" i="92" s="1"/>
  <c r="V254" i="92"/>
  <c r="AG254" i="92" s="1"/>
  <c r="W228" i="92"/>
  <c r="Y143" i="92"/>
  <c r="AU143" i="92" s="1"/>
  <c r="AE300" i="92"/>
  <c r="BA300" i="92" s="1"/>
  <c r="AE252" i="92"/>
  <c r="BA252" i="92" s="1"/>
  <c r="AE253" i="92"/>
  <c r="AP253" i="92" s="1"/>
  <c r="Z127" i="92"/>
  <c r="AV127" i="92" s="1"/>
  <c r="AE423" i="92"/>
  <c r="BA423" i="92" s="1"/>
  <c r="AE95" i="92"/>
  <c r="AP95" i="92" s="1"/>
  <c r="AE451" i="92"/>
  <c r="AE656" i="92"/>
  <c r="AP656" i="92" s="1"/>
  <c r="AE571" i="92"/>
  <c r="BA571" i="92" s="1"/>
  <c r="AE576" i="92"/>
  <c r="AE404" i="92"/>
  <c r="BA404" i="92" s="1"/>
  <c r="AE561" i="92"/>
  <c r="BA561" i="92" s="1"/>
  <c r="AE446" i="92"/>
  <c r="BA446" i="92" s="1"/>
  <c r="U517" i="92"/>
  <c r="AQ517" i="92" s="1"/>
  <c r="Y274" i="92"/>
  <c r="Y227" i="92"/>
  <c r="U116" i="92"/>
  <c r="AF116" i="92" s="1"/>
  <c r="W283" i="92"/>
  <c r="AH283" i="92" s="1"/>
  <c r="Y368" i="92"/>
  <c r="V303" i="92"/>
  <c r="AR303" i="92" s="1"/>
  <c r="V272" i="92"/>
  <c r="AR272" i="92" s="1"/>
  <c r="U297" i="92"/>
  <c r="AQ297" i="92" s="1"/>
  <c r="U185" i="92"/>
  <c r="AF185" i="92" s="1"/>
  <c r="W107" i="92"/>
  <c r="AH107" i="92" s="1"/>
  <c r="U310" i="92"/>
  <c r="U372" i="92"/>
  <c r="AQ372" i="92" s="1"/>
  <c r="U142" i="92"/>
  <c r="AQ142" i="92" s="1"/>
  <c r="X127" i="92"/>
  <c r="AT127" i="92" s="1"/>
  <c r="Y228" i="92"/>
  <c r="AJ228" i="92" s="1"/>
  <c r="X230" i="92"/>
  <c r="AT230" i="92" s="1"/>
  <c r="V126" i="92"/>
  <c r="W261" i="92"/>
  <c r="AE609" i="92"/>
  <c r="AE147" i="92"/>
  <c r="BA147" i="92" s="1"/>
  <c r="AE635" i="92"/>
  <c r="AE480" i="92"/>
  <c r="AP480" i="92" s="1"/>
  <c r="AE699" i="92"/>
  <c r="BA699" i="92" s="1"/>
  <c r="AE103" i="92"/>
  <c r="BA103" i="92" s="1"/>
  <c r="AE529" i="92"/>
  <c r="AP529" i="92" s="1"/>
  <c r="AE477" i="92"/>
  <c r="BA477" i="92" s="1"/>
  <c r="AE396" i="92"/>
  <c r="BA396" i="92" s="1"/>
  <c r="U444" i="92"/>
  <c r="U347" i="92"/>
  <c r="V187" i="92"/>
  <c r="AG187" i="92" s="1"/>
  <c r="AE306" i="92"/>
  <c r="BA306" i="92" s="1"/>
  <c r="U113" i="92"/>
  <c r="AF113" i="92" s="1"/>
  <c r="U161" i="92"/>
  <c r="AF161" i="92" s="1"/>
  <c r="X281" i="92"/>
  <c r="AI281" i="92" s="1"/>
  <c r="U247" i="92"/>
  <c r="V293" i="92"/>
  <c r="U365" i="92"/>
  <c r="AF365" i="92" s="1"/>
  <c r="AE238" i="92"/>
  <c r="W134" i="92"/>
  <c r="W373" i="92"/>
  <c r="AS373" i="92" s="1"/>
  <c r="Y246" i="92"/>
  <c r="V222" i="92"/>
  <c r="AG222" i="92" s="1"/>
  <c r="Z365" i="92"/>
  <c r="AV365" i="92" s="1"/>
  <c r="Z268" i="92"/>
  <c r="AK268" i="92" s="1"/>
  <c r="AE163" i="92"/>
  <c r="AP163" i="92" s="1"/>
  <c r="AE539" i="92"/>
  <c r="BA539" i="92" s="1"/>
  <c r="AE469" i="92"/>
  <c r="AP469" i="92" s="1"/>
  <c r="AE567" i="92"/>
  <c r="BA567" i="92" s="1"/>
  <c r="AE580" i="92"/>
  <c r="BA580" i="92" s="1"/>
  <c r="AE115" i="92"/>
  <c r="AP115" i="92" s="1"/>
  <c r="Y302" i="92"/>
  <c r="AU302" i="92" s="1"/>
  <c r="U188" i="92"/>
  <c r="AF188" i="92" s="1"/>
  <c r="Y376" i="92"/>
  <c r="AU376" i="92" s="1"/>
  <c r="AE236" i="92"/>
  <c r="AP236" i="92" s="1"/>
  <c r="AE541" i="92"/>
  <c r="X149" i="92"/>
  <c r="AE332" i="92"/>
  <c r="BA332" i="92" s="1"/>
  <c r="AE646" i="92"/>
  <c r="AP646" i="92" s="1"/>
  <c r="V242" i="92"/>
  <c r="AR242" i="92" s="1"/>
  <c r="X201" i="92"/>
  <c r="W255" i="92"/>
  <c r="AS255" i="92" s="1"/>
  <c r="W360" i="92"/>
  <c r="AH360" i="92" s="1"/>
  <c r="U337" i="92"/>
  <c r="AQ337" i="92" s="1"/>
  <c r="U192" i="92"/>
  <c r="AF192" i="92" s="1"/>
  <c r="W324" i="92"/>
  <c r="Z333" i="92"/>
  <c r="U341" i="92"/>
  <c r="AF341" i="92" s="1"/>
  <c r="Z159" i="92"/>
  <c r="Y230" i="92"/>
  <c r="AU230" i="92" s="1"/>
  <c r="U134" i="92"/>
  <c r="U381" i="92"/>
  <c r="AF381" i="92" s="1"/>
  <c r="AE572" i="92"/>
  <c r="BA572" i="92" s="1"/>
  <c r="AE728" i="92"/>
  <c r="AE675" i="92"/>
  <c r="AP675" i="92" s="1"/>
  <c r="AE90" i="92"/>
  <c r="AP90" i="92" s="1"/>
  <c r="AE680" i="92"/>
  <c r="AP680" i="92" s="1"/>
  <c r="AE108" i="92"/>
  <c r="AE387" i="92"/>
  <c r="AE465" i="92"/>
  <c r="BA465" i="92" s="1"/>
  <c r="AE485" i="92"/>
  <c r="AP485" i="92" s="1"/>
  <c r="Y521" i="92"/>
  <c r="X431" i="92"/>
  <c r="AI431" i="92" s="1"/>
  <c r="U131" i="92"/>
  <c r="AQ131" i="92" s="1"/>
  <c r="V377" i="92"/>
  <c r="Y154" i="92"/>
  <c r="AU154" i="92" s="1"/>
  <c r="V263" i="92"/>
  <c r="AG263" i="92" s="1"/>
  <c r="V114" i="92"/>
  <c r="AR114" i="92" s="1"/>
  <c r="X113" i="92"/>
  <c r="AT113" i="92" s="1"/>
  <c r="X170" i="92"/>
  <c r="Z367" i="92"/>
  <c r="AV367" i="92" s="1"/>
  <c r="Y217" i="92"/>
  <c r="AJ217" i="92" s="1"/>
  <c r="W303" i="92"/>
  <c r="AH303" i="92" s="1"/>
  <c r="Z204" i="92"/>
  <c r="AV204" i="92" s="1"/>
  <c r="X324" i="92"/>
  <c r="W142" i="92"/>
  <c r="AS142" i="92" s="1"/>
  <c r="Y325" i="92"/>
  <c r="AU325" i="92" s="1"/>
  <c r="X292" i="92"/>
  <c r="Z229" i="92"/>
  <c r="Y103" i="92"/>
  <c r="X316" i="92"/>
  <c r="AT316" i="92" s="1"/>
  <c r="X142" i="92"/>
  <c r="AT142" i="92" s="1"/>
  <c r="AE458" i="92"/>
  <c r="AP458" i="92" s="1"/>
  <c r="AE101" i="92"/>
  <c r="AE189" i="92"/>
  <c r="BA189" i="92" s="1"/>
  <c r="AE666" i="92"/>
  <c r="AE442" i="92"/>
  <c r="AE579" i="92"/>
  <c r="AE745" i="92"/>
  <c r="AP745" i="92" s="1"/>
  <c r="Y672" i="92"/>
  <c r="V258" i="92"/>
  <c r="AG258" i="92" s="1"/>
  <c r="Y354" i="92"/>
  <c r="AU354" i="92" s="1"/>
  <c r="V197" i="92"/>
  <c r="AR197" i="92" s="1"/>
  <c r="U267" i="92"/>
  <c r="Y374" i="92"/>
  <c r="AU374" i="92" s="1"/>
  <c r="X337" i="92"/>
  <c r="AE256" i="92"/>
  <c r="U278" i="92"/>
  <c r="AF278" i="92" s="1"/>
  <c r="U288" i="92"/>
  <c r="Z302" i="92"/>
  <c r="Y182" i="92"/>
  <c r="AU182" i="92" s="1"/>
  <c r="W253" i="92"/>
  <c r="U111" i="92"/>
  <c r="AQ111" i="92" s="1"/>
  <c r="Y324" i="92"/>
  <c r="U261" i="92"/>
  <c r="Y127" i="92"/>
  <c r="V340" i="92"/>
  <c r="AR340" i="92" s="1"/>
  <c r="W285" i="92"/>
  <c r="AH285" i="92" s="1"/>
  <c r="Y95" i="92"/>
  <c r="AU95" i="92" s="1"/>
  <c r="Y308" i="92"/>
  <c r="V253" i="92"/>
  <c r="AE581" i="92"/>
  <c r="AE715" i="92"/>
  <c r="AE695" i="92"/>
  <c r="BA695" i="92" s="1"/>
  <c r="AE645" i="92"/>
  <c r="AE489" i="92"/>
  <c r="AP489" i="92" s="1"/>
  <c r="AE540" i="92"/>
  <c r="BA540" i="92" s="1"/>
  <c r="AE113" i="92"/>
  <c r="AE407" i="92"/>
  <c r="BA407" i="92" s="1"/>
  <c r="AE426" i="92"/>
  <c r="AP426" i="92" s="1"/>
  <c r="Z212" i="92"/>
  <c r="X317" i="92"/>
  <c r="AI317" i="92" s="1"/>
  <c r="AE237" i="92"/>
  <c r="BA237" i="92" s="1"/>
  <c r="U120" i="92"/>
  <c r="AF120" i="92" s="1"/>
  <c r="U416" i="92"/>
  <c r="AQ416" i="92" s="1"/>
  <c r="U496" i="92"/>
  <c r="AF496" i="92" s="1"/>
  <c r="X167" i="92"/>
  <c r="AT167" i="92" s="1"/>
  <c r="Z254" i="92"/>
  <c r="Z362" i="92"/>
  <c r="AV362" i="92" s="1"/>
  <c r="AE94" i="92"/>
  <c r="BA94" i="92" s="1"/>
  <c r="AE632" i="92"/>
  <c r="BA632" i="92" s="1"/>
  <c r="W369" i="92"/>
  <c r="AH369" i="92" s="1"/>
  <c r="AE418" i="92"/>
  <c r="BA418" i="92" s="1"/>
  <c r="AE414" i="92"/>
  <c r="V341" i="92"/>
  <c r="AG341" i="92" s="1"/>
  <c r="X380" i="92"/>
  <c r="AI380" i="92" s="1"/>
  <c r="AE484" i="92"/>
  <c r="AE198" i="92"/>
  <c r="AP198" i="92" s="1"/>
  <c r="X135" i="92"/>
  <c r="AI135" i="92" s="1"/>
  <c r="AE604" i="92"/>
  <c r="AP604" i="92" s="1"/>
  <c r="W116" i="92"/>
  <c r="AE483" i="92"/>
  <c r="BA483" i="92" s="1"/>
  <c r="AE125" i="92"/>
  <c r="AE445" i="92"/>
  <c r="BA445" i="92" s="1"/>
  <c r="U135" i="92"/>
  <c r="V261" i="92"/>
  <c r="AG261" i="92" s="1"/>
  <c r="Y316" i="92"/>
  <c r="AJ316" i="92" s="1"/>
  <c r="W230" i="92"/>
  <c r="V95" i="92"/>
  <c r="X237" i="92"/>
  <c r="AT237" i="92" s="1"/>
  <c r="AE229" i="92"/>
  <c r="BA229" i="92" s="1"/>
  <c r="Y340" i="92"/>
  <c r="AU340" i="92" s="1"/>
  <c r="AE254" i="92"/>
  <c r="W256" i="92"/>
  <c r="X89" i="92"/>
  <c r="AE257" i="92"/>
  <c r="BA257" i="92" s="1"/>
  <c r="Z232" i="92"/>
  <c r="U129" i="92"/>
  <c r="X223" i="92"/>
  <c r="X353" i="92"/>
  <c r="AT353" i="92" s="1"/>
  <c r="Z68" i="92"/>
  <c r="Y759" i="92"/>
  <c r="Z688" i="92"/>
  <c r="AE684" i="92"/>
  <c r="AE714" i="92"/>
  <c r="AP714" i="92" s="1"/>
  <c r="AE692" i="92"/>
  <c r="BA692" i="92" s="1"/>
  <c r="AE503" i="92"/>
  <c r="AE518" i="92"/>
  <c r="AP518" i="92" s="1"/>
  <c r="AE111" i="92"/>
  <c r="AE602" i="92"/>
  <c r="AP602" i="92" s="1"/>
  <c r="AE398" i="92"/>
  <c r="BA398" i="92" s="1"/>
  <c r="AE744" i="92"/>
  <c r="U166" i="92"/>
  <c r="AF166" i="92" s="1"/>
  <c r="W340" i="92"/>
  <c r="AH340" i="92" s="1"/>
  <c r="W268" i="92"/>
  <c r="AS268" i="92" s="1"/>
  <c r="W316" i="92"/>
  <c r="AS316" i="92" s="1"/>
  <c r="W118" i="92"/>
  <c r="V118" i="92"/>
  <c r="AG118" i="92" s="1"/>
  <c r="Y166" i="92"/>
  <c r="AJ166" i="92" s="1"/>
  <c r="W335" i="92"/>
  <c r="U358" i="92"/>
  <c r="AF358" i="92" s="1"/>
  <c r="X48" i="92"/>
  <c r="AT48" i="92" s="1"/>
  <c r="W123" i="92"/>
  <c r="AS123" i="92" s="1"/>
  <c r="AE61" i="92"/>
  <c r="BA61" i="92" s="1"/>
  <c r="W46" i="92"/>
  <c r="W78" i="92"/>
  <c r="AS78" i="92" s="1"/>
  <c r="X64" i="92"/>
  <c r="AI64" i="92" s="1"/>
  <c r="U76" i="92"/>
  <c r="AQ76" i="92" s="1"/>
  <c r="U57" i="92"/>
  <c r="AF57" i="92" s="1"/>
  <c r="Z85" i="92"/>
  <c r="AK85" i="92" s="1"/>
  <c r="U53" i="92"/>
  <c r="AF53" i="92" s="1"/>
  <c r="Z42" i="92"/>
  <c r="AV42" i="92" s="1"/>
  <c r="W34" i="92"/>
  <c r="W37" i="92"/>
  <c r="AS37" i="92" s="1"/>
  <c r="X84" i="92"/>
  <c r="AT84" i="92" s="1"/>
  <c r="Y81" i="92"/>
  <c r="AU81" i="92" s="1"/>
  <c r="W42" i="92"/>
  <c r="AH42" i="92" s="1"/>
  <c r="X37" i="92"/>
  <c r="AI37" i="92" s="1"/>
  <c r="V37" i="92"/>
  <c r="AG37" i="92" s="1"/>
  <c r="W40" i="92"/>
  <c r="AS40" i="92" s="1"/>
  <c r="Y65" i="92"/>
  <c r="X27" i="92"/>
  <c r="AI27" i="92" s="1"/>
  <c r="U33" i="92"/>
  <c r="AQ33" i="92" s="1"/>
  <c r="X28" i="92"/>
  <c r="AT28" i="92" s="1"/>
  <c r="Y28" i="92"/>
  <c r="AJ28" i="92" s="1"/>
  <c r="AE165" i="92"/>
  <c r="BA165" i="92" s="1"/>
  <c r="AE722" i="92"/>
  <c r="BA722" i="92" s="1"/>
  <c r="AE471" i="92"/>
  <c r="AP471" i="92" s="1"/>
  <c r="AE654" i="92"/>
  <c r="W341" i="92"/>
  <c r="AH341" i="92" s="1"/>
  <c r="Y158" i="92"/>
  <c r="X220" i="92"/>
  <c r="AI220" i="92" s="1"/>
  <c r="Y373" i="92"/>
  <c r="U62" i="92"/>
  <c r="AF62" i="92" s="1"/>
  <c r="AE372" i="92"/>
  <c r="BA372" i="92" s="1"/>
  <c r="U222" i="92"/>
  <c r="AF222" i="92" s="1"/>
  <c r="Y341" i="92"/>
  <c r="U158" i="92"/>
  <c r="AF158" i="92" s="1"/>
  <c r="V66" i="92"/>
  <c r="X208" i="92"/>
  <c r="W326" i="92"/>
  <c r="AS326" i="92" s="1"/>
  <c r="X98" i="92"/>
  <c r="AT98" i="92" s="1"/>
  <c r="X233" i="92"/>
  <c r="AI233" i="92" s="1"/>
  <c r="W328" i="92"/>
  <c r="AH328" i="92" s="1"/>
  <c r="V165" i="92"/>
  <c r="V250" i="92"/>
  <c r="AG250" i="92" s="1"/>
  <c r="Z512" i="92"/>
  <c r="AE70" i="92"/>
  <c r="BA70" i="92" s="1"/>
  <c r="AE717" i="92"/>
  <c r="BA717" i="92" s="1"/>
  <c r="AE527" i="92"/>
  <c r="AE719" i="92"/>
  <c r="BA719" i="92" s="1"/>
  <c r="AE137" i="92"/>
  <c r="BA137" i="92" s="1"/>
  <c r="AE390" i="92"/>
  <c r="AE127" i="92"/>
  <c r="AI1" i="27"/>
  <c r="X222" i="92"/>
  <c r="AI222" i="92" s="1"/>
  <c r="Y285" i="92"/>
  <c r="AU285" i="92" s="1"/>
  <c r="Y86" i="92"/>
  <c r="U70" i="92"/>
  <c r="AQ70" i="92" s="1"/>
  <c r="Y126" i="92"/>
  <c r="AJ126" i="92" s="1"/>
  <c r="U357" i="92"/>
  <c r="Z349" i="92"/>
  <c r="Z79" i="92"/>
  <c r="AK79" i="92" s="1"/>
  <c r="V145" i="92"/>
  <c r="AR145" i="92" s="1"/>
  <c r="V231" i="92"/>
  <c r="AG231" i="92" s="1"/>
  <c r="V73" i="92"/>
  <c r="AG73" i="92" s="1"/>
  <c r="Z49" i="92"/>
  <c r="AV49" i="92" s="1"/>
  <c r="X51" i="92"/>
  <c r="AI51" i="92" s="1"/>
  <c r="Y87" i="92"/>
  <c r="V342" i="92"/>
  <c r="AG342" i="92" s="1"/>
  <c r="Z82" i="92"/>
  <c r="Y83" i="92"/>
  <c r="AJ83" i="92" s="1"/>
  <c r="V650" i="92"/>
  <c r="AG650" i="92" s="1"/>
  <c r="X75" i="92"/>
  <c r="AI75" i="92" s="1"/>
  <c r="U27" i="92"/>
  <c r="Z50" i="92"/>
  <c r="AK50" i="92" s="1"/>
  <c r="Z45" i="92"/>
  <c r="Z28" i="92"/>
  <c r="AV28" i="92" s="1"/>
  <c r="Y76" i="92"/>
  <c r="V32" i="92"/>
  <c r="AR32" i="92" s="1"/>
  <c r="Z36" i="92"/>
  <c r="AV36" i="92" s="1"/>
  <c r="Y50" i="92"/>
  <c r="X43" i="92"/>
  <c r="AT43" i="92" s="1"/>
  <c r="AE653" i="92"/>
  <c r="AP653" i="92" s="1"/>
  <c r="AE455" i="92"/>
  <c r="AP455" i="92" s="1"/>
  <c r="AE438" i="92"/>
  <c r="AP438" i="92" s="1"/>
  <c r="Z151" i="92"/>
  <c r="Z277" i="92"/>
  <c r="AK277" i="92" s="1"/>
  <c r="U332" i="92"/>
  <c r="AF332" i="92" s="1"/>
  <c r="Z183" i="92"/>
  <c r="AK183" i="92" s="1"/>
  <c r="Z190" i="92"/>
  <c r="AV190" i="92" s="1"/>
  <c r="W182" i="92"/>
  <c r="AH182" i="92" s="1"/>
  <c r="Z308" i="92"/>
  <c r="Y244" i="92"/>
  <c r="AU244" i="92" s="1"/>
  <c r="Y206" i="92"/>
  <c r="V327" i="92"/>
  <c r="AR327" i="92" s="1"/>
  <c r="W258" i="92"/>
  <c r="AH258" i="92" s="1"/>
  <c r="X199" i="92"/>
  <c r="AI199" i="92" s="1"/>
  <c r="Y337" i="92"/>
  <c r="AJ337" i="92" s="1"/>
  <c r="Z192" i="92"/>
  <c r="AK192" i="92" s="1"/>
  <c r="X278" i="92"/>
  <c r="V314" i="92"/>
  <c r="Y131" i="92"/>
  <c r="V553" i="92"/>
  <c r="AR553" i="92" s="1"/>
  <c r="X131" i="92"/>
  <c r="AI131" i="92" s="1"/>
  <c r="Z466" i="92"/>
  <c r="AE735" i="92"/>
  <c r="BA735" i="92" s="1"/>
  <c r="AE479" i="92"/>
  <c r="AP479" i="92" s="1"/>
  <c r="AE77" i="92"/>
  <c r="AE99" i="92"/>
  <c r="AP99" i="92" s="1"/>
  <c r="AE585" i="92"/>
  <c r="AE497" i="92"/>
  <c r="AE700" i="92"/>
  <c r="AP700" i="92" s="1"/>
  <c r="AE513" i="92"/>
  <c r="AP513" i="92" s="1"/>
  <c r="X54" i="92"/>
  <c r="V292" i="92"/>
  <c r="AG292" i="92" s="1"/>
  <c r="Y79" i="92"/>
  <c r="X213" i="92"/>
  <c r="U309" i="92"/>
  <c r="AF309" i="92" s="1"/>
  <c r="V103" i="92"/>
  <c r="U95" i="92"/>
  <c r="Z214" i="92"/>
  <c r="V206" i="92"/>
  <c r="AR206" i="92" s="1"/>
  <c r="Y216" i="92"/>
  <c r="AU216" i="92" s="1"/>
  <c r="U265" i="92"/>
  <c r="W74" i="92"/>
  <c r="AH74" i="92" s="1"/>
  <c r="U60" i="92"/>
  <c r="AE405" i="92"/>
  <c r="AP405" i="92" s="1"/>
  <c r="AE740" i="92"/>
  <c r="BA740" i="92" s="1"/>
  <c r="Y48" i="92"/>
  <c r="Z65" i="92"/>
  <c r="AV65" i="92" s="1"/>
  <c r="X81" i="92"/>
  <c r="AI81" i="92" s="1"/>
  <c r="V81" i="92"/>
  <c r="AR81" i="92" s="1"/>
  <c r="Z180" i="92"/>
  <c r="AK180" i="92" s="1"/>
  <c r="Z77" i="92"/>
  <c r="X77" i="92"/>
  <c r="U68" i="92"/>
  <c r="Y45" i="92"/>
  <c r="X56" i="92"/>
  <c r="AI56" i="92" s="1"/>
  <c r="U64" i="92"/>
  <c r="AF64" i="92" s="1"/>
  <c r="V77" i="92"/>
  <c r="AE594" i="92"/>
  <c r="AE144" i="92"/>
  <c r="AE500" i="92"/>
  <c r="AP500" i="92" s="1"/>
  <c r="AE427" i="92"/>
  <c r="AE191" i="92"/>
  <c r="BA191" i="92" s="1"/>
  <c r="AE185" i="92"/>
  <c r="AP185" i="92" s="1"/>
  <c r="U237" i="92"/>
  <c r="AE262" i="92"/>
  <c r="U63" i="92"/>
  <c r="V238" i="92"/>
  <c r="AR238" i="92" s="1"/>
  <c r="Z342" i="92"/>
  <c r="AV342" i="92" s="1"/>
  <c r="X308" i="92"/>
  <c r="AI308" i="92" s="1"/>
  <c r="U96" i="92"/>
  <c r="AQ96" i="92" s="1"/>
  <c r="Y138" i="92"/>
  <c r="AJ138" i="92" s="1"/>
  <c r="Y82" i="92"/>
  <c r="W97" i="92"/>
  <c r="Y622" i="92"/>
  <c r="AE81" i="92"/>
  <c r="AP81" i="92" s="1"/>
  <c r="X62" i="92"/>
  <c r="AI62" i="92" s="1"/>
  <c r="U169" i="92"/>
  <c r="X67" i="92"/>
  <c r="Z57" i="92"/>
  <c r="AV57" i="92" s="1"/>
  <c r="V85" i="92"/>
  <c r="X52" i="92"/>
  <c r="Y84" i="92"/>
  <c r="AJ84" i="92" s="1"/>
  <c r="U75" i="92"/>
  <c r="AQ75" i="92" s="1"/>
  <c r="X58" i="92"/>
  <c r="X66" i="92"/>
  <c r="AI66" i="92" s="1"/>
  <c r="U83" i="92"/>
  <c r="Z191" i="92"/>
  <c r="AK191" i="92" s="1"/>
  <c r="W365" i="92"/>
  <c r="W372" i="92"/>
  <c r="AH372" i="92" s="1"/>
  <c r="X252" i="92"/>
  <c r="AI252" i="92" s="1"/>
  <c r="W333" i="92"/>
  <c r="AH333" i="92" s="1"/>
  <c r="Y264" i="92"/>
  <c r="AJ264" i="92" s="1"/>
  <c r="Y272" i="92"/>
  <c r="Y186" i="92"/>
  <c r="AU186" i="92" s="1"/>
  <c r="Z318" i="92"/>
  <c r="AV318" i="92" s="1"/>
  <c r="U211" i="92"/>
  <c r="AQ211" i="92" s="1"/>
  <c r="Y663" i="92"/>
  <c r="AJ663" i="92" s="1"/>
  <c r="V275" i="92"/>
  <c r="X580" i="92"/>
  <c r="AI580" i="92" s="1"/>
  <c r="AE514" i="92"/>
  <c r="BA514" i="92" s="1"/>
  <c r="AE436" i="92"/>
  <c r="AE704" i="92"/>
  <c r="AE547" i="92"/>
  <c r="BA547" i="92" s="1"/>
  <c r="AE649" i="92"/>
  <c r="AE244" i="92"/>
  <c r="AP244" i="92" s="1"/>
  <c r="Y270" i="92"/>
  <c r="W184" i="92"/>
  <c r="AH184" i="92" s="1"/>
  <c r="V311" i="92"/>
  <c r="AG311" i="92" s="1"/>
  <c r="U727" i="92"/>
  <c r="Y306" i="92"/>
  <c r="AU306" i="92" s="1"/>
  <c r="U744" i="92"/>
  <c r="AQ744" i="92" s="1"/>
  <c r="Y481" i="92"/>
  <c r="X327" i="92"/>
  <c r="AI327" i="92" s="1"/>
  <c r="U378" i="92"/>
  <c r="AQ378" i="92" s="1"/>
  <c r="Y99" i="92"/>
  <c r="X403" i="92"/>
  <c r="AT403" i="92" s="1"/>
  <c r="X320" i="92"/>
  <c r="AI320" i="92" s="1"/>
  <c r="Z401" i="92"/>
  <c r="X115" i="92"/>
  <c r="W112" i="92"/>
  <c r="AH112" i="92" s="1"/>
  <c r="V511" i="92"/>
  <c r="AG511" i="92" s="1"/>
  <c r="V92" i="92"/>
  <c r="X336" i="92"/>
  <c r="X112" i="92"/>
  <c r="U199" i="92"/>
  <c r="AQ199" i="92" s="1"/>
  <c r="V368" i="92"/>
  <c r="AG368" i="92" s="1"/>
  <c r="X207" i="92"/>
  <c r="Z677" i="92"/>
  <c r="AV677" i="92" s="1"/>
  <c r="V460" i="92"/>
  <c r="Y451" i="92"/>
  <c r="AU451" i="92" s="1"/>
  <c r="U505" i="92"/>
  <c r="AQ505" i="92" s="1"/>
  <c r="U383" i="92"/>
  <c r="V424" i="92"/>
  <c r="AR424" i="92" s="1"/>
  <c r="Y409" i="92"/>
  <c r="AJ409" i="92" s="1"/>
  <c r="V552" i="92"/>
  <c r="AR552" i="92" s="1"/>
  <c r="X378" i="92"/>
  <c r="Y440" i="92"/>
  <c r="AU440" i="92" s="1"/>
  <c r="V725" i="92"/>
  <c r="V715" i="92"/>
  <c r="AG715" i="92" s="1"/>
  <c r="Y429" i="92"/>
  <c r="Y472" i="92"/>
  <c r="Z727" i="92"/>
  <c r="AV727" i="92" s="1"/>
  <c r="Z104" i="92"/>
  <c r="AK104" i="92" s="1"/>
  <c r="V591" i="92"/>
  <c r="Y97" i="92"/>
  <c r="AJ97" i="92" s="1"/>
  <c r="W92" i="92"/>
  <c r="AH92" i="92" s="1"/>
  <c r="Y180" i="92"/>
  <c r="Z355" i="92"/>
  <c r="X282" i="92"/>
  <c r="AI282" i="92" s="1"/>
  <c r="V152" i="92"/>
  <c r="AG152" i="92" s="1"/>
  <c r="V224" i="92"/>
  <c r="X155" i="92"/>
  <c r="AI155" i="92" s="1"/>
  <c r="Y240" i="92"/>
  <c r="U256" i="92"/>
  <c r="Y88" i="92"/>
  <c r="AJ88" i="92" s="1"/>
  <c r="V598" i="92"/>
  <c r="V382" i="92"/>
  <c r="AR382" i="92" s="1"/>
  <c r="V386" i="92"/>
  <c r="AG386" i="92" s="1"/>
  <c r="V648" i="92"/>
  <c r="W666" i="92"/>
  <c r="AS666" i="92" s="1"/>
  <c r="Z625" i="92"/>
  <c r="AV625" i="92" s="1"/>
  <c r="X417" i="92"/>
  <c r="AI417" i="92" s="1"/>
  <c r="Y165" i="92"/>
  <c r="U258" i="92"/>
  <c r="W495" i="92"/>
  <c r="X598" i="92"/>
  <c r="AI598" i="92" s="1"/>
  <c r="U660" i="92"/>
  <c r="X513" i="92"/>
  <c r="Z602" i="92"/>
  <c r="W104" i="92"/>
  <c r="X122" i="92"/>
  <c r="AI122" i="92" s="1"/>
  <c r="X313" i="92"/>
  <c r="AI313" i="92" s="1"/>
  <c r="W294" i="92"/>
  <c r="AH294" i="92" s="1"/>
  <c r="Z554" i="92"/>
  <c r="AV554" i="92" s="1"/>
  <c r="V481" i="92"/>
  <c r="Y569" i="92"/>
  <c r="AJ569" i="92" s="1"/>
  <c r="AE363" i="92"/>
  <c r="U680" i="92"/>
  <c r="AF680" i="92" s="1"/>
  <c r="X92" i="92"/>
  <c r="AT92" i="92" s="1"/>
  <c r="Y743" i="92"/>
  <c r="AU743" i="92" s="1"/>
  <c r="V330" i="92"/>
  <c r="W536" i="92"/>
  <c r="AH536" i="92" s="1"/>
  <c r="V322" i="92"/>
  <c r="AG322" i="92" s="1"/>
  <c r="Y117" i="92"/>
  <c r="AJ117" i="92" s="1"/>
  <c r="V274" i="92"/>
  <c r="AG274" i="92" s="1"/>
  <c r="U121" i="92"/>
  <c r="AQ121" i="92" s="1"/>
  <c r="Z297" i="92"/>
  <c r="AV297" i="92" s="1"/>
  <c r="X137" i="92"/>
  <c r="AT137" i="92" s="1"/>
  <c r="W334" i="92"/>
  <c r="AS334" i="92" s="1"/>
  <c r="Y395" i="92"/>
  <c r="AU395" i="92" s="1"/>
  <c r="Y691" i="92"/>
  <c r="X635" i="92"/>
  <c r="X703" i="92"/>
  <c r="AI703" i="92" s="1"/>
  <c r="W385" i="92"/>
  <c r="X420" i="92"/>
  <c r="AT420" i="92" s="1"/>
  <c r="U520" i="92"/>
  <c r="Z291" i="92"/>
  <c r="W147" i="92"/>
  <c r="AH147" i="92" s="1"/>
  <c r="W109" i="92"/>
  <c r="V526" i="92"/>
  <c r="X731" i="92"/>
  <c r="X397" i="92"/>
  <c r="AI397" i="92" s="1"/>
  <c r="X457" i="92"/>
  <c r="AI457" i="92" s="1"/>
  <c r="AE321" i="92"/>
  <c r="BA321" i="92" s="1"/>
  <c r="Y231" i="92"/>
  <c r="AU231" i="92" s="1"/>
  <c r="W170" i="92"/>
  <c r="AS170" i="92" s="1"/>
  <c r="U311" i="92"/>
  <c r="U186" i="92"/>
  <c r="AF186" i="92" s="1"/>
  <c r="U566" i="92"/>
  <c r="U389" i="92"/>
  <c r="X672" i="92"/>
  <c r="AI672" i="92" s="1"/>
  <c r="Z722" i="92"/>
  <c r="Y415" i="92"/>
  <c r="AU415" i="92" s="1"/>
  <c r="Z616" i="92"/>
  <c r="AK616" i="92" s="1"/>
  <c r="U482" i="92"/>
  <c r="Y745" i="92"/>
  <c r="AJ745" i="92" s="1"/>
  <c r="Z196" i="92"/>
  <c r="X652" i="92"/>
  <c r="AT652" i="92" s="1"/>
  <c r="V445" i="92"/>
  <c r="AR445" i="92" s="1"/>
  <c r="Z570" i="92"/>
  <c r="V578" i="92"/>
  <c r="U688" i="92"/>
  <c r="AF688" i="92" s="1"/>
  <c r="X519" i="92"/>
  <c r="Z88" i="92"/>
  <c r="AK88" i="92" s="1"/>
  <c r="U707" i="92"/>
  <c r="AF707" i="92" s="1"/>
  <c r="Z601" i="92"/>
  <c r="AK601" i="92" s="1"/>
  <c r="AE203" i="92"/>
  <c r="AP203" i="92" s="1"/>
  <c r="Y172" i="92"/>
  <c r="W465" i="92"/>
  <c r="W727" i="92"/>
  <c r="AS727" i="92" s="1"/>
  <c r="Z307" i="92"/>
  <c r="V266" i="92"/>
  <c r="AR266" i="92" s="1"/>
  <c r="Z326" i="92"/>
  <c r="W223" i="92"/>
  <c r="AS223" i="92" s="1"/>
  <c r="U351" i="92"/>
  <c r="X263" i="92"/>
  <c r="AT263" i="92" s="1"/>
  <c r="X105" i="92"/>
  <c r="AT105" i="92" s="1"/>
  <c r="X621" i="92"/>
  <c r="AI621" i="92" s="1"/>
  <c r="X409" i="92"/>
  <c r="Y466" i="92"/>
  <c r="Z704" i="92"/>
  <c r="X117" i="92"/>
  <c r="V399" i="92"/>
  <c r="AR399" i="92" s="1"/>
  <c r="Y671" i="92"/>
  <c r="Z608" i="92"/>
  <c r="AV608" i="92" s="1"/>
  <c r="V139" i="92"/>
  <c r="AR139" i="92" s="1"/>
  <c r="W330" i="92"/>
  <c r="AE337" i="92"/>
  <c r="BA337" i="92" s="1"/>
  <c r="Z361" i="92"/>
  <c r="AK361" i="92" s="1"/>
  <c r="W88" i="92"/>
  <c r="Y345" i="92"/>
  <c r="AJ345" i="92" s="1"/>
  <c r="V136" i="92"/>
  <c r="Z517" i="92"/>
  <c r="X754" i="92"/>
  <c r="AT754" i="92" s="1"/>
  <c r="Z752" i="92"/>
  <c r="U472" i="92"/>
  <c r="AF472" i="92" s="1"/>
  <c r="U637" i="92"/>
  <c r="V538" i="92"/>
  <c r="U712" i="92"/>
  <c r="U759" i="92"/>
  <c r="AF759" i="92" s="1"/>
  <c r="Z719" i="92"/>
  <c r="W227" i="92"/>
  <c r="AS227" i="92" s="1"/>
  <c r="AE355" i="92"/>
  <c r="X147" i="92"/>
  <c r="AI147" i="92" s="1"/>
  <c r="AE338" i="92"/>
  <c r="BA338" i="92" s="1"/>
  <c r="U331" i="92"/>
  <c r="U187" i="92"/>
  <c r="AQ187" i="92" s="1"/>
  <c r="W195" i="92"/>
  <c r="AH195" i="92" s="1"/>
  <c r="U93" i="92"/>
  <c r="AF93" i="92" s="1"/>
  <c r="AE370" i="92"/>
  <c r="AP370" i="92" s="1"/>
  <c r="U149" i="92"/>
  <c r="AE362" i="92"/>
  <c r="BA362" i="92" s="1"/>
  <c r="Y146" i="92"/>
  <c r="W239" i="92"/>
  <c r="Z360" i="92"/>
  <c r="U326" i="92"/>
  <c r="AE376" i="92"/>
  <c r="AE223" i="92"/>
  <c r="AP223" i="92" s="1"/>
  <c r="V106" i="92"/>
  <c r="AR106" i="92" s="1"/>
  <c r="U255" i="92"/>
  <c r="Y130" i="92"/>
  <c r="U327" i="92"/>
  <c r="AQ327" i="92" s="1"/>
  <c r="V632" i="92"/>
  <c r="AR632" i="92" s="1"/>
  <c r="X218" i="92"/>
  <c r="X680" i="92"/>
  <c r="AI680" i="92" s="1"/>
  <c r="Z90" i="92"/>
  <c r="AK90" i="92" s="1"/>
  <c r="Z193" i="92"/>
  <c r="Z177" i="92"/>
  <c r="AV177" i="92" s="1"/>
  <c r="U154" i="92"/>
  <c r="X146" i="92"/>
  <c r="AT146" i="92" s="1"/>
  <c r="X343" i="92"/>
  <c r="AI343" i="92" s="1"/>
  <c r="X151" i="92"/>
  <c r="X245" i="92"/>
  <c r="AI245" i="92" s="1"/>
  <c r="U167" i="92"/>
  <c r="AF167" i="92" s="1"/>
  <c r="V380" i="92"/>
  <c r="Y134" i="92"/>
  <c r="AU134" i="92" s="1"/>
  <c r="X373" i="92"/>
  <c r="AI373" i="92" s="1"/>
  <c r="Y220" i="92"/>
  <c r="AU220" i="92" s="1"/>
  <c r="V349" i="92"/>
  <c r="AG349" i="92" s="1"/>
  <c r="Y222" i="92"/>
  <c r="AJ222" i="92" s="1"/>
  <c r="X204" i="92"/>
  <c r="AE586" i="92"/>
  <c r="AP586" i="92" s="1"/>
  <c r="AE729" i="92"/>
  <c r="AE661" i="92"/>
  <c r="AE587" i="92"/>
  <c r="U243" i="92"/>
  <c r="U89" i="92"/>
  <c r="AF89" i="92" s="1"/>
  <c r="W534" i="92"/>
  <c r="Z448" i="92"/>
  <c r="V91" i="92"/>
  <c r="AG91" i="92" s="1"/>
  <c r="AE377" i="92"/>
  <c r="W96" i="92"/>
  <c r="AH96" i="92" s="1"/>
  <c r="V184" i="92"/>
  <c r="Y144" i="92"/>
  <c r="AU144" i="92" s="1"/>
  <c r="Y271" i="92"/>
  <c r="U750" i="92"/>
  <c r="X506" i="92"/>
  <c r="X696" i="92"/>
  <c r="AI696" i="92" s="1"/>
  <c r="Z173" i="92"/>
  <c r="X521" i="92"/>
  <c r="AT521" i="92" s="1"/>
  <c r="Z495" i="92"/>
  <c r="AK495" i="92" s="1"/>
  <c r="Z101" i="92"/>
  <c r="Y423" i="92"/>
  <c r="AJ423" i="92" s="1"/>
  <c r="V519" i="92"/>
  <c r="AR519" i="92" s="1"/>
  <c r="Z98" i="92"/>
  <c r="AV98" i="92" s="1"/>
  <c r="V241" i="92"/>
  <c r="AG241" i="92" s="1"/>
  <c r="V225" i="92"/>
  <c r="AE271" i="92"/>
  <c r="AP271" i="92" s="1"/>
  <c r="U516" i="92"/>
  <c r="AF516" i="92" s="1"/>
  <c r="V745" i="92"/>
  <c r="AG745" i="92" s="1"/>
  <c r="W647" i="92"/>
  <c r="X575" i="92"/>
  <c r="AI575" i="92" s="1"/>
  <c r="W630" i="92"/>
  <c r="X729" i="92"/>
  <c r="AT729" i="92" s="1"/>
  <c r="Y464" i="92"/>
  <c r="AU464" i="92" s="1"/>
  <c r="Y682" i="92"/>
  <c r="AU682" i="92" s="1"/>
  <c r="W473" i="92"/>
  <c r="AS473" i="92" s="1"/>
  <c r="Z188" i="92"/>
  <c r="AK188" i="92" s="1"/>
  <c r="X416" i="92"/>
  <c r="AI416" i="92" s="1"/>
  <c r="V299" i="92"/>
  <c r="AG299" i="92" s="1"/>
  <c r="X371" i="92"/>
  <c r="AI371" i="92" s="1"/>
  <c r="W282" i="92"/>
  <c r="AH282" i="92" s="1"/>
  <c r="Z275" i="92"/>
  <c r="U123" i="92"/>
  <c r="V339" i="92"/>
  <c r="W131" i="92"/>
  <c r="AH131" i="92" s="1"/>
  <c r="AE369" i="92"/>
  <c r="AP369" i="92" s="1"/>
  <c r="U314" i="92"/>
  <c r="AQ314" i="92" s="1"/>
  <c r="U306" i="92"/>
  <c r="AQ306" i="92" s="1"/>
  <c r="X176" i="92"/>
  <c r="AT176" i="92" s="1"/>
  <c r="W240" i="92"/>
  <c r="X270" i="92"/>
  <c r="V320" i="92"/>
  <c r="W160" i="92"/>
  <c r="Y344" i="92"/>
  <c r="AJ344" i="92" s="1"/>
  <c r="Z366" i="92"/>
  <c r="U352" i="92"/>
  <c r="W199" i="92"/>
  <c r="AH199" i="92" s="1"/>
  <c r="X376" i="92"/>
  <c r="AT376" i="92" s="1"/>
  <c r="Z271" i="92"/>
  <c r="AV271" i="92" s="1"/>
  <c r="Z329" i="92"/>
  <c r="U569" i="92"/>
  <c r="X607" i="92"/>
  <c r="AI607" i="92" s="1"/>
  <c r="W663" i="92"/>
  <c r="Z347" i="92"/>
  <c r="AV347" i="92" s="1"/>
  <c r="AE232" i="92"/>
  <c r="AP232" i="92" s="1"/>
  <c r="U153" i="92"/>
  <c r="Z319" i="92"/>
  <c r="AK319" i="92" s="1"/>
  <c r="Z89" i="92"/>
  <c r="AV89" i="92" s="1"/>
  <c r="W90" i="92"/>
  <c r="AS90" i="92" s="1"/>
  <c r="X351" i="92"/>
  <c r="AI351" i="92" s="1"/>
  <c r="Z287" i="92"/>
  <c r="AK287" i="92" s="1"/>
  <c r="U300" i="92"/>
  <c r="AF300" i="92" s="1"/>
  <c r="X190" i="92"/>
  <c r="AI190" i="92" s="1"/>
  <c r="U103" i="92"/>
  <c r="V316" i="92"/>
  <c r="AG316" i="92" s="1"/>
  <c r="Y380" i="92"/>
  <c r="Y317" i="92"/>
  <c r="AJ317" i="92" s="1"/>
  <c r="U419" i="92"/>
  <c r="AF419" i="92" s="1"/>
  <c r="V334" i="92"/>
  <c r="AG334" i="92" s="1"/>
  <c r="X610" i="92"/>
  <c r="AT610" i="92" s="1"/>
  <c r="W503" i="92"/>
  <c r="AS503" i="92" s="1"/>
  <c r="AE346" i="92"/>
  <c r="AP346" i="92" s="1"/>
  <c r="X743" i="92"/>
  <c r="AI743" i="92" s="1"/>
  <c r="AE299" i="92"/>
  <c r="W196" i="92"/>
  <c r="AS196" i="92" s="1"/>
  <c r="V345" i="92"/>
  <c r="W249" i="92"/>
  <c r="Z286" i="92"/>
  <c r="X187" i="92"/>
  <c r="AI187" i="92" s="1"/>
  <c r="W351" i="92"/>
  <c r="X415" i="92"/>
  <c r="AT415" i="92" s="1"/>
  <c r="Y523" i="92"/>
  <c r="U562" i="92"/>
  <c r="AQ562" i="92" s="1"/>
  <c r="Z243" i="92"/>
  <c r="AV243" i="92" s="1"/>
  <c r="Z133" i="92"/>
  <c r="AK133" i="92" s="1"/>
  <c r="V663" i="92"/>
  <c r="W409" i="92"/>
  <c r="AH409" i="92" s="1"/>
  <c r="Y578" i="92"/>
  <c r="AJ578" i="92" s="1"/>
  <c r="U106" i="92"/>
  <c r="W152" i="92"/>
  <c r="Z755" i="92"/>
  <c r="AV755" i="92" s="1"/>
  <c r="X465" i="92"/>
  <c r="X705" i="92"/>
  <c r="AI705" i="92" s="1"/>
  <c r="Y679" i="92"/>
  <c r="AJ679" i="92" s="1"/>
  <c r="X490" i="92"/>
  <c r="AI490" i="92" s="1"/>
  <c r="Y740" i="92"/>
  <c r="Y467" i="92"/>
  <c r="U626" i="92"/>
  <c r="X385" i="92"/>
  <c r="AT385" i="92" s="1"/>
  <c r="U466" i="92"/>
  <c r="AQ466" i="92" s="1"/>
  <c r="W124" i="92"/>
  <c r="Y575" i="92"/>
  <c r="Y243" i="92"/>
  <c r="AU243" i="92" s="1"/>
  <c r="U307" i="92"/>
  <c r="Y528" i="92"/>
  <c r="AU528" i="92" s="1"/>
  <c r="Z219" i="92"/>
  <c r="Y283" i="92"/>
  <c r="AJ283" i="92" s="1"/>
  <c r="V331" i="92"/>
  <c r="AG331" i="92" s="1"/>
  <c r="W391" i="92"/>
  <c r="Y339" i="92"/>
  <c r="Z258" i="92"/>
  <c r="AV258" i="92" s="1"/>
  <c r="Y195" i="92"/>
  <c r="V112" i="92"/>
  <c r="AG112" i="92" s="1"/>
  <c r="W185" i="92"/>
  <c r="AS185" i="92" s="1"/>
  <c r="W377" i="92"/>
  <c r="AH377" i="92" s="1"/>
  <c r="U264" i="92"/>
  <c r="AF264" i="92" s="1"/>
  <c r="X96" i="92"/>
  <c r="W224" i="92"/>
  <c r="AS224" i="92" s="1"/>
  <c r="Z310" i="92"/>
  <c r="AV310" i="92" s="1"/>
  <c r="Z240" i="92"/>
  <c r="Y136" i="92"/>
  <c r="Y320" i="92"/>
  <c r="AJ320" i="92" s="1"/>
  <c r="Z215" i="92"/>
  <c r="AK215" i="92" s="1"/>
  <c r="W265" i="92"/>
  <c r="AH265" i="92" s="1"/>
  <c r="Z744" i="92"/>
  <c r="AK744" i="92" s="1"/>
  <c r="Y371" i="92"/>
  <c r="Z93" i="92"/>
  <c r="AK93" i="92" s="1"/>
  <c r="W132" i="92"/>
  <c r="AS132" i="92" s="1"/>
  <c r="X120" i="92"/>
  <c r="W287" i="92"/>
  <c r="Z303" i="92"/>
  <c r="W295" i="92"/>
  <c r="AS295" i="92" s="1"/>
  <c r="U231" i="92"/>
  <c r="W244" i="92"/>
  <c r="U126" i="92"/>
  <c r="AF126" i="92" s="1"/>
  <c r="U260" i="92"/>
  <c r="Z324" i="92"/>
  <c r="AK324" i="92" s="1"/>
  <c r="AE261" i="92"/>
  <c r="Z292" i="92"/>
  <c r="AV292" i="92" s="1"/>
  <c r="Z110" i="92"/>
  <c r="AV110" i="92" s="1"/>
  <c r="Y357" i="92"/>
  <c r="AE753" i="92"/>
  <c r="BA753" i="92" s="1"/>
  <c r="AE457" i="92"/>
  <c r="AP457" i="92" s="1"/>
  <c r="AE182" i="92"/>
  <c r="AE641" i="92"/>
  <c r="AE184" i="92"/>
  <c r="Z181" i="92"/>
  <c r="AV181" i="92" s="1"/>
  <c r="V189" i="92"/>
  <c r="AR189" i="92" s="1"/>
  <c r="Z343" i="92"/>
  <c r="AK343" i="92" s="1"/>
  <c r="W650" i="92"/>
  <c r="AH650" i="92" s="1"/>
  <c r="X392" i="92"/>
  <c r="AT392" i="92" s="1"/>
  <c r="Z496" i="92"/>
  <c r="AV496" i="92" s="1"/>
  <c r="Z106" i="92"/>
  <c r="AK106" i="92" s="1"/>
  <c r="V329" i="92"/>
  <c r="AR329" i="92" s="1"/>
  <c r="W289" i="92"/>
  <c r="AS289" i="92" s="1"/>
  <c r="Z270" i="92"/>
  <c r="AK270" i="92" s="1"/>
  <c r="AE286" i="92"/>
  <c r="V239" i="92"/>
  <c r="Z619" i="92"/>
  <c r="AK619" i="92" s="1"/>
  <c r="Y715" i="92"/>
  <c r="AJ715" i="92" s="1"/>
  <c r="U579" i="92"/>
  <c r="AF579" i="92" s="1"/>
  <c r="Z322" i="92"/>
  <c r="AV322" i="92" s="1"/>
  <c r="Z379" i="92"/>
  <c r="AK379" i="92" s="1"/>
  <c r="X355" i="92"/>
  <c r="AT355" i="92" s="1"/>
  <c r="X671" i="92"/>
  <c r="V173" i="92"/>
  <c r="AR173" i="92" s="1"/>
  <c r="X352" i="92"/>
  <c r="AT352" i="92" s="1"/>
  <c r="Z200" i="92"/>
  <c r="AK200" i="92" s="1"/>
  <c r="V280" i="92"/>
  <c r="AG280" i="92" s="1"/>
  <c r="Y241" i="92"/>
  <c r="AJ241" i="92" s="1"/>
  <c r="U665" i="92"/>
  <c r="AQ665" i="92" s="1"/>
  <c r="Z728" i="92"/>
  <c r="AV728" i="92" s="1"/>
  <c r="Z586" i="92"/>
  <c r="AK586" i="92" s="1"/>
  <c r="V101" i="92"/>
  <c r="AR101" i="92" s="1"/>
  <c r="V545" i="92"/>
  <c r="AR545" i="92" s="1"/>
  <c r="U421" i="92"/>
  <c r="V559" i="92"/>
  <c r="AG559" i="92" s="1"/>
  <c r="X523" i="92"/>
  <c r="AT523" i="92" s="1"/>
  <c r="Y664" i="92"/>
  <c r="Z455" i="92"/>
  <c r="AK455" i="92" s="1"/>
  <c r="W370" i="92"/>
  <c r="AS370" i="92" s="1"/>
  <c r="Z759" i="92"/>
  <c r="AK759" i="92" s="1"/>
  <c r="Y132" i="92"/>
  <c r="AJ132" i="92" s="1"/>
  <c r="U567" i="92"/>
  <c r="AQ567" i="92" s="1"/>
  <c r="U251" i="92"/>
  <c r="X666" i="92"/>
  <c r="Z108" i="92"/>
  <c r="U385" i="92"/>
  <c r="AF385" i="92" s="1"/>
  <c r="U180" i="92"/>
  <c r="AF180" i="92" s="1"/>
  <c r="Y504" i="92"/>
  <c r="W471" i="92"/>
  <c r="AH471" i="92" s="1"/>
  <c r="AE283" i="92"/>
  <c r="Z202" i="92"/>
  <c r="AK202" i="92" s="1"/>
  <c r="Y331" i="92"/>
  <c r="V131" i="92"/>
  <c r="V336" i="92"/>
  <c r="AG336" i="92" s="1"/>
  <c r="V358" i="92"/>
  <c r="AG358" i="92" s="1"/>
  <c r="W121" i="92"/>
  <c r="Y305" i="92"/>
  <c r="AU305" i="92" s="1"/>
  <c r="U208" i="92"/>
  <c r="V169" i="92"/>
  <c r="AR169" i="92" s="1"/>
  <c r="Y147" i="92"/>
  <c r="Y185" i="92"/>
  <c r="AJ185" i="92" s="1"/>
  <c r="W264" i="92"/>
  <c r="AH264" i="92" s="1"/>
  <c r="V160" i="92"/>
  <c r="AR160" i="92" s="1"/>
  <c r="Z390" i="92"/>
  <c r="Y568" i="92"/>
  <c r="AU568" i="92" s="1"/>
  <c r="Y156" i="92"/>
  <c r="W139" i="92"/>
  <c r="AS139" i="92" s="1"/>
  <c r="U639" i="92"/>
  <c r="AQ639" i="92" s="1"/>
  <c r="Z195" i="92"/>
  <c r="AK195" i="92" s="1"/>
  <c r="W273" i="92"/>
  <c r="U336" i="92"/>
  <c r="U239" i="92"/>
  <c r="AQ239" i="92" s="1"/>
  <c r="U328" i="92"/>
  <c r="AF328" i="92" s="1"/>
  <c r="U168" i="92"/>
  <c r="X341" i="92"/>
  <c r="AI341" i="92" s="1"/>
  <c r="W318" i="92"/>
  <c r="V365" i="92"/>
  <c r="AG365" i="92" s="1"/>
  <c r="U204" i="92"/>
  <c r="AF204" i="92" s="1"/>
  <c r="V268" i="92"/>
  <c r="AR268" i="92" s="1"/>
  <c r="AE205" i="92"/>
  <c r="Y278" i="92"/>
  <c r="AJ278" i="92" s="1"/>
  <c r="V301" i="92"/>
  <c r="AE573" i="92"/>
  <c r="AP573" i="92" s="1"/>
  <c r="AE180" i="92"/>
  <c r="AP180" i="92" s="1"/>
  <c r="AE710" i="92"/>
  <c r="AE705" i="92"/>
  <c r="BA705" i="92" s="1"/>
  <c r="AE472" i="92"/>
  <c r="BA472" i="92" s="1"/>
  <c r="U97" i="92"/>
  <c r="AF97" i="92" s="1"/>
  <c r="Y459" i="92"/>
  <c r="AJ459" i="92" s="1"/>
  <c r="X153" i="92"/>
  <c r="W464" i="92"/>
  <c r="AH464" i="92" s="1"/>
  <c r="W218" i="92"/>
  <c r="AS218" i="92" s="1"/>
  <c r="Z451" i="92"/>
  <c r="Y455" i="92"/>
  <c r="AJ455" i="92" s="1"/>
  <c r="AE320" i="92"/>
  <c r="AP320" i="92" s="1"/>
  <c r="U217" i="92"/>
  <c r="W178" i="92"/>
  <c r="AS178" i="92" s="1"/>
  <c r="Z249" i="92"/>
  <c r="Y329" i="92"/>
  <c r="V622" i="92"/>
  <c r="Y407" i="92"/>
  <c r="AU407" i="92" s="1"/>
  <c r="X746" i="92"/>
  <c r="V210" i="92"/>
  <c r="AG210" i="92" s="1"/>
  <c r="U338" i="92"/>
  <c r="W211" i="92"/>
  <c r="AH211" i="92" s="1"/>
  <c r="X202" i="92"/>
  <c r="U235" i="92"/>
  <c r="AQ235" i="92" s="1"/>
  <c r="W235" i="92"/>
  <c r="AS235" i="92" s="1"/>
  <c r="X161" i="92"/>
  <c r="AI161" i="92" s="1"/>
  <c r="Z296" i="92"/>
  <c r="AK296" i="92" s="1"/>
  <c r="Z122" i="92"/>
  <c r="Y612" i="92"/>
  <c r="U554" i="92"/>
  <c r="AQ554" i="92" s="1"/>
  <c r="X665" i="92"/>
  <c r="Y536" i="92"/>
  <c r="AJ536" i="92" s="1"/>
  <c r="X235" i="92"/>
  <c r="W173" i="92"/>
  <c r="AS173" i="92" s="1"/>
  <c r="Z438" i="92"/>
  <c r="AV438" i="92" s="1"/>
  <c r="W657" i="92"/>
  <c r="U495" i="92"/>
  <c r="AF495" i="92" s="1"/>
  <c r="U417" i="92"/>
  <c r="AF417" i="92" s="1"/>
  <c r="Y432" i="92"/>
  <c r="W314" i="92"/>
  <c r="AS314" i="92" s="1"/>
  <c r="V672" i="92"/>
  <c r="W546" i="92"/>
  <c r="V735" i="92"/>
  <c r="AR735" i="92" s="1"/>
  <c r="V599" i="92"/>
  <c r="AG599" i="92" s="1"/>
  <c r="V116" i="92"/>
  <c r="Y442" i="92"/>
  <c r="AU442" i="92" s="1"/>
  <c r="Y298" i="92"/>
  <c r="V655" i="92"/>
  <c r="AR655" i="92" s="1"/>
  <c r="AE227" i="92"/>
  <c r="W632" i="92"/>
  <c r="AS632" i="92" s="1"/>
  <c r="AE275" i="92"/>
  <c r="AP275" i="92" s="1"/>
  <c r="X377" i="92"/>
  <c r="U280" i="92"/>
  <c r="AQ280" i="92" s="1"/>
  <c r="X163" i="92"/>
  <c r="AT163" i="92" s="1"/>
  <c r="X249" i="92"/>
  <c r="Z145" i="92"/>
  <c r="AK145" i="92" s="1"/>
  <c r="W91" i="92"/>
  <c r="AH91" i="92" s="1"/>
  <c r="W105" i="92"/>
  <c r="Z345" i="92"/>
  <c r="AV345" i="92" s="1"/>
  <c r="X121" i="92"/>
  <c r="AI121" i="92" s="1"/>
  <c r="V208" i="92"/>
  <c r="AG208" i="92" s="1"/>
  <c r="Y96" i="92"/>
  <c r="AU96" i="92" s="1"/>
  <c r="X500" i="92"/>
  <c r="AI500" i="92" s="1"/>
  <c r="Z331" i="92"/>
  <c r="W290" i="92"/>
  <c r="V415" i="92"/>
  <c r="V93" i="92"/>
  <c r="AG93" i="92" s="1"/>
  <c r="X304" i="92"/>
  <c r="AI304" i="92" s="1"/>
  <c r="AE225" i="92"/>
  <c r="AE201" i="92"/>
  <c r="AP201" i="92" s="1"/>
  <c r="Z350" i="92"/>
  <c r="Z280" i="92"/>
  <c r="AK280" i="92" s="1"/>
  <c r="Z272" i="92"/>
  <c r="U104" i="92"/>
  <c r="AE285" i="92"/>
  <c r="AP285" i="92" s="1"/>
  <c r="W167" i="92"/>
  <c r="AH167" i="92" s="1"/>
  <c r="V372" i="92"/>
  <c r="Z309" i="92"/>
  <c r="AV309" i="92" s="1"/>
  <c r="W238" i="92"/>
  <c r="V212" i="92"/>
  <c r="Z142" i="92"/>
  <c r="U333" i="92"/>
  <c r="W214" i="92"/>
  <c r="AS214" i="92" s="1"/>
  <c r="Y356" i="92"/>
  <c r="AE245" i="92"/>
  <c r="AE618" i="92"/>
  <c r="BA618" i="92" s="1"/>
  <c r="AE408" i="92"/>
  <c r="BA408" i="92" s="1"/>
  <c r="AE687" i="92"/>
  <c r="BA687" i="92" s="1"/>
  <c r="AE117" i="92"/>
  <c r="AE251" i="92"/>
  <c r="AP251" i="92" s="1"/>
  <c r="V99" i="92"/>
  <c r="AG99" i="92" s="1"/>
  <c r="AE359" i="92"/>
  <c r="BA359" i="92" s="1"/>
  <c r="U745" i="92"/>
  <c r="Y360" i="92"/>
  <c r="AU360" i="92" s="1"/>
  <c r="W130" i="92"/>
  <c r="V209" i="92"/>
  <c r="AR209" i="92" s="1"/>
  <c r="Z171" i="92"/>
  <c r="Y507" i="92"/>
  <c r="Y714" i="92"/>
  <c r="AJ714" i="92" s="1"/>
  <c r="Y473" i="92"/>
  <c r="AU473" i="92" s="1"/>
  <c r="Y226" i="92"/>
  <c r="AJ226" i="92" s="1"/>
  <c r="Y100" i="92"/>
  <c r="AU100" i="92" s="1"/>
  <c r="V132" i="92"/>
  <c r="U283" i="92"/>
  <c r="AF283" i="92" s="1"/>
  <c r="W243" i="92"/>
  <c r="Z132" i="92"/>
  <c r="AK132" i="92" s="1"/>
  <c r="Y247" i="92"/>
  <c r="AJ247" i="92" s="1"/>
  <c r="Y287" i="92"/>
  <c r="V185" i="92"/>
  <c r="V312" i="92"/>
  <c r="AG312" i="92" s="1"/>
  <c r="Z742" i="92"/>
  <c r="AK742" i="92" s="1"/>
  <c r="U571" i="92"/>
  <c r="AQ571" i="92" s="1"/>
  <c r="Z761" i="92"/>
  <c r="W449" i="92"/>
  <c r="X132" i="92"/>
  <c r="AI132" i="92" s="1"/>
  <c r="Z582" i="92"/>
  <c r="AK582" i="92" s="1"/>
  <c r="Y761" i="92"/>
  <c r="AU761" i="92" s="1"/>
  <c r="Z649" i="92"/>
  <c r="AK649" i="92" s="1"/>
  <c r="W682" i="92"/>
  <c r="AH682" i="92" s="1"/>
  <c r="Z736" i="92"/>
  <c r="AK736" i="92" s="1"/>
  <c r="U456" i="92"/>
  <c r="AE258" i="92"/>
  <c r="BA258" i="92" s="1"/>
  <c r="X663" i="92"/>
  <c r="AI663" i="92" s="1"/>
  <c r="Z378" i="92"/>
  <c r="AV378" i="92" s="1"/>
  <c r="Y543" i="92"/>
  <c r="X148" i="92"/>
  <c r="AI148" i="92" s="1"/>
  <c r="W671" i="92"/>
  <c r="AH671" i="92" s="1"/>
  <c r="Y362" i="92"/>
  <c r="AJ362" i="92" s="1"/>
  <c r="W735" i="92"/>
  <c r="W535" i="92"/>
  <c r="AS535" i="92" s="1"/>
  <c r="W242" i="92"/>
  <c r="V448" i="92"/>
  <c r="AG448" i="92" s="1"/>
  <c r="W188" i="92"/>
  <c r="Y399" i="92"/>
  <c r="AJ399" i="92" s="1"/>
  <c r="AE219" i="92"/>
  <c r="U224" i="92"/>
  <c r="AQ224" i="92" s="1"/>
  <c r="W345" i="92"/>
  <c r="AE367" i="92"/>
  <c r="AP367" i="92" s="1"/>
  <c r="V194" i="92"/>
  <c r="AR194" i="92" s="1"/>
  <c r="W329" i="92"/>
  <c r="AS329" i="92" s="1"/>
  <c r="AE351" i="92"/>
  <c r="W281" i="92"/>
  <c r="AH281" i="92" s="1"/>
  <c r="AE326" i="92"/>
  <c r="AP326" i="92" s="1"/>
  <c r="U145" i="92"/>
  <c r="X476" i="92"/>
  <c r="AT476" i="92" s="1"/>
  <c r="Z250" i="92"/>
  <c r="W408" i="92"/>
  <c r="AH408" i="92" s="1"/>
  <c r="V227" i="92"/>
  <c r="AR227" i="92" s="1"/>
  <c r="W113" i="92"/>
  <c r="AH113" i="92" s="1"/>
  <c r="X114" i="92"/>
  <c r="AI114" i="92" s="1"/>
  <c r="AE353" i="92"/>
  <c r="Z224" i="92"/>
  <c r="AK224" i="92" s="1"/>
  <c r="Z321" i="92"/>
  <c r="AK321" i="92" s="1"/>
  <c r="Z216" i="92"/>
  <c r="AV216" i="92" s="1"/>
  <c r="U229" i="92"/>
  <c r="AQ229" i="92" s="1"/>
  <c r="Z103" i="92"/>
  <c r="Z260" i="92"/>
  <c r="Y253" i="92"/>
  <c r="AU253" i="92" s="1"/>
  <c r="V175" i="92"/>
  <c r="AR175" i="92" s="1"/>
  <c r="X246" i="92"/>
  <c r="Y277" i="92"/>
  <c r="AU277" i="92" s="1"/>
  <c r="Y151" i="92"/>
  <c r="AU151" i="92" s="1"/>
  <c r="W300" i="92"/>
  <c r="AH300" i="92" s="1"/>
  <c r="X126" i="92"/>
  <c r="AI126" i="92" s="1"/>
  <c r="AE493" i="92"/>
  <c r="AP493" i="92" s="1"/>
  <c r="AE449" i="92"/>
  <c r="BA449" i="92" s="1"/>
  <c r="AE677" i="92"/>
  <c r="BA677" i="92" s="1"/>
  <c r="AE136" i="92"/>
  <c r="BA136" i="92" s="1"/>
  <c r="AE187" i="92"/>
  <c r="AP187" i="92" s="1"/>
  <c r="U200" i="92"/>
  <c r="Z389" i="92"/>
  <c r="AV389" i="92" s="1"/>
  <c r="V497" i="92"/>
  <c r="AR497" i="92" s="1"/>
  <c r="X125" i="92"/>
  <c r="X275" i="92"/>
  <c r="AI275" i="92" s="1"/>
  <c r="V472" i="92"/>
  <c r="AR472" i="92" s="1"/>
  <c r="U367" i="92"/>
  <c r="AF367" i="92" s="1"/>
  <c r="Y335" i="92"/>
  <c r="AU335" i="92" s="1"/>
  <c r="X169" i="92"/>
  <c r="X375" i="92"/>
  <c r="AT375" i="92" s="1"/>
  <c r="Y224" i="92"/>
  <c r="Z550" i="92"/>
  <c r="AV550" i="92" s="1"/>
  <c r="V682" i="92"/>
  <c r="AR682" i="92" s="1"/>
  <c r="U704" i="92"/>
  <c r="AF704" i="92" s="1"/>
  <c r="Z583" i="92"/>
  <c r="Y551" i="92"/>
  <c r="X354" i="92"/>
  <c r="AI354" i="92" s="1"/>
  <c r="Y695" i="92"/>
  <c r="AJ695" i="92" s="1"/>
  <c r="U266" i="92"/>
  <c r="U370" i="92"/>
  <c r="U202" i="92"/>
  <c r="AQ202" i="92" s="1"/>
  <c r="Y318" i="92"/>
  <c r="AE215" i="92"/>
  <c r="BA215" i="92" s="1"/>
  <c r="V255" i="92"/>
  <c r="AG255" i="92" s="1"/>
  <c r="Z758" i="92"/>
  <c r="Z675" i="92"/>
  <c r="AK675" i="92" s="1"/>
  <c r="Y555" i="92"/>
  <c r="Z432" i="92"/>
  <c r="AE202" i="92"/>
  <c r="BA202" i="92" s="1"/>
  <c r="W652" i="92"/>
  <c r="Y443" i="92"/>
  <c r="W640" i="92"/>
  <c r="Z425" i="92"/>
  <c r="AK425" i="92" s="1"/>
  <c r="X440" i="92"/>
  <c r="AT440" i="92" s="1"/>
  <c r="X283" i="92"/>
  <c r="W101" i="92"/>
  <c r="W210" i="92"/>
  <c r="AH210" i="92" s="1"/>
  <c r="Z117" i="92"/>
  <c r="AE242" i="92"/>
  <c r="AP242" i="92" s="1"/>
  <c r="W250" i="92"/>
  <c r="AS250" i="92" s="1"/>
  <c r="V141" i="92"/>
  <c r="V123" i="92"/>
  <c r="AG123" i="92" s="1"/>
  <c r="V157" i="92"/>
  <c r="AG157" i="92" s="1"/>
  <c r="Y463" i="92"/>
  <c r="AU463" i="92" s="1"/>
  <c r="Z116" i="92"/>
  <c r="AK116" i="92" s="1"/>
  <c r="Y209" i="92"/>
  <c r="Z295" i="92"/>
  <c r="AK295" i="92" s="1"/>
  <c r="Z136" i="92"/>
  <c r="AK136" i="92" s="1"/>
  <c r="X279" i="92"/>
  <c r="AI279" i="92" s="1"/>
  <c r="U90" i="92"/>
  <c r="V120" i="92"/>
  <c r="AG120" i="92" s="1"/>
  <c r="U170" i="92"/>
  <c r="AF170" i="92" s="1"/>
  <c r="W311" i="92"/>
  <c r="AS311" i="92" s="1"/>
  <c r="V305" i="92"/>
  <c r="W286" i="92"/>
  <c r="W584" i="92"/>
  <c r="X306" i="92"/>
  <c r="Y631" i="92"/>
  <c r="U329" i="92"/>
  <c r="AQ329" i="92" s="1"/>
  <c r="Y257" i="92"/>
  <c r="Y289" i="92"/>
  <c r="AJ289" i="92" s="1"/>
  <c r="U248" i="92"/>
  <c r="AQ248" i="92" s="1"/>
  <c r="W209" i="92"/>
  <c r="Z105" i="92"/>
  <c r="W201" i="92"/>
  <c r="X214" i="92"/>
  <c r="AT214" i="92" s="1"/>
  <c r="U110" i="92"/>
  <c r="Z301" i="92"/>
  <c r="AK301" i="92" s="1"/>
  <c r="U230" i="92"/>
  <c r="AF230" i="92" s="1"/>
  <c r="W126" i="92"/>
  <c r="U373" i="92"/>
  <c r="Y119" i="92"/>
  <c r="Y276" i="92"/>
  <c r="Y94" i="92"/>
  <c r="AU94" i="92" s="1"/>
  <c r="X326" i="92"/>
  <c r="AT326" i="92" s="1"/>
  <c r="Z316" i="92"/>
  <c r="AE468" i="92"/>
  <c r="AP468" i="92" s="1"/>
  <c r="AE584" i="92"/>
  <c r="AE384" i="92"/>
  <c r="AE589" i="92"/>
  <c r="AE508" i="92"/>
  <c r="AP508" i="92" s="1"/>
  <c r="X182" i="92"/>
  <c r="AI182" i="92" s="1"/>
  <c r="U236" i="92"/>
  <c r="AF236" i="92" s="1"/>
  <c r="W212" i="92"/>
  <c r="Y175" i="92"/>
  <c r="AJ175" i="92" s="1"/>
  <c r="Z245" i="92"/>
  <c r="V182" i="92"/>
  <c r="U364" i="92"/>
  <c r="V236" i="92"/>
  <c r="AR236" i="92" s="1"/>
  <c r="V223" i="92"/>
  <c r="AG223" i="92" s="1"/>
  <c r="X287" i="92"/>
  <c r="V287" i="92"/>
  <c r="AR287" i="92" s="1"/>
  <c r="U209" i="92"/>
  <c r="AF209" i="92" s="1"/>
  <c r="Y250" i="92"/>
  <c r="Z354" i="92"/>
  <c r="W363" i="92"/>
  <c r="X600" i="92"/>
  <c r="AE119" i="92"/>
  <c r="BA119" i="92" s="1"/>
  <c r="AE708" i="92"/>
  <c r="AE673" i="92"/>
  <c r="BA673" i="92" s="1"/>
  <c r="Y174" i="92"/>
  <c r="AU174" i="92" s="1"/>
  <c r="V207" i="92"/>
  <c r="U512" i="92"/>
  <c r="V273" i="92"/>
  <c r="W187" i="92"/>
  <c r="AS187" i="92" s="1"/>
  <c r="Y648" i="92"/>
  <c r="AJ648" i="92" s="1"/>
  <c r="V762" i="92"/>
  <c r="AG762" i="92" s="1"/>
  <c r="W367" i="92"/>
  <c r="AS367" i="92" s="1"/>
  <c r="Z248" i="92"/>
  <c r="AV248" i="92" s="1"/>
  <c r="Y292" i="92"/>
  <c r="AJ292" i="92" s="1"/>
  <c r="V279" i="92"/>
  <c r="W343" i="92"/>
  <c r="AH343" i="92" s="1"/>
  <c r="U146" i="92"/>
  <c r="AF146" i="92" s="1"/>
  <c r="Y367" i="92"/>
  <c r="X303" i="92"/>
  <c r="AI303" i="92" s="1"/>
  <c r="Y219" i="92"/>
  <c r="AU219" i="92" s="1"/>
  <c r="X487" i="92"/>
  <c r="AI487" i="92" s="1"/>
  <c r="Y425" i="92"/>
  <c r="AE126" i="92"/>
  <c r="AE606" i="92"/>
  <c r="AP606" i="92" s="1"/>
  <c r="AE496" i="92"/>
  <c r="Z153" i="92"/>
  <c r="AK153" i="92" s="1"/>
  <c r="X273" i="92"/>
  <c r="AT273" i="92" s="1"/>
  <c r="V491" i="92"/>
  <c r="AE233" i="92"/>
  <c r="AP233" i="92" s="1"/>
  <c r="W165" i="92"/>
  <c r="U436" i="92"/>
  <c r="X439" i="92"/>
  <c r="V177" i="92"/>
  <c r="W271" i="92"/>
  <c r="AS271" i="92" s="1"/>
  <c r="Y343" i="92"/>
  <c r="X339" i="92"/>
  <c r="Y593" i="92"/>
  <c r="AJ593" i="92" s="1"/>
  <c r="X711" i="92"/>
  <c r="AE124" i="92"/>
  <c r="AE488" i="92"/>
  <c r="AE463" i="92"/>
  <c r="BA463" i="92" s="1"/>
  <c r="AE557" i="92"/>
  <c r="AE716" i="92"/>
  <c r="V370" i="92"/>
  <c r="X367" i="92"/>
  <c r="AI367" i="92" s="1"/>
  <c r="Z335" i="92"/>
  <c r="AK335" i="92" s="1"/>
  <c r="Y384" i="92"/>
  <c r="AJ384" i="92" s="1"/>
  <c r="Y149" i="92"/>
  <c r="U534" i="92"/>
  <c r="X128" i="92"/>
  <c r="AI128" i="92" s="1"/>
  <c r="V528" i="92"/>
  <c r="X90" i="92"/>
  <c r="Y288" i="92"/>
  <c r="AU288" i="92" s="1"/>
  <c r="X243" i="92"/>
  <c r="Y210" i="92"/>
  <c r="Y615" i="92"/>
  <c r="AE734" i="92"/>
  <c r="AP734" i="92" s="1"/>
  <c r="AE533" i="92"/>
  <c r="AP533" i="92" s="1"/>
  <c r="AE650" i="92"/>
  <c r="BA650" i="92" s="1"/>
  <c r="X349" i="92"/>
  <c r="AE206" i="92"/>
  <c r="BA206" i="92" s="1"/>
  <c r="X269" i="92"/>
  <c r="AE260" i="92"/>
  <c r="AE230" i="92"/>
  <c r="V237" i="92"/>
  <c r="AR237" i="92" s="1"/>
  <c r="V262" i="92"/>
  <c r="AR262" i="92" s="1"/>
  <c r="U257" i="92"/>
  <c r="Z97" i="92"/>
  <c r="AK97" i="92" s="1"/>
  <c r="V265" i="92"/>
  <c r="AG265" i="92" s="1"/>
  <c r="Z161" i="92"/>
  <c r="AE281" i="92"/>
  <c r="AP281" i="92" s="1"/>
  <c r="Y137" i="92"/>
  <c r="AJ137" i="92" s="1"/>
  <c r="Z431" i="92"/>
  <c r="AV431" i="92" s="1"/>
  <c r="X535" i="92"/>
  <c r="AI535" i="92" s="1"/>
  <c r="V202" i="92"/>
  <c r="AR202" i="92" s="1"/>
  <c r="Y552" i="92"/>
  <c r="AE121" i="92"/>
  <c r="BA121" i="92" s="1"/>
  <c r="AE562" i="92"/>
  <c r="AP562" i="92" s="1"/>
  <c r="AE88" i="92"/>
  <c r="AE106" i="92"/>
  <c r="AE425" i="92"/>
  <c r="W348" i="92"/>
  <c r="AH348" i="92" s="1"/>
  <c r="Y183" i="92"/>
  <c r="AJ183" i="92" s="1"/>
  <c r="U174" i="92"/>
  <c r="Z328" i="92"/>
  <c r="AV328" i="92" s="1"/>
  <c r="X195" i="92"/>
  <c r="Y342" i="92"/>
  <c r="W176" i="92"/>
  <c r="X124" i="92"/>
  <c r="AI124" i="92" s="1"/>
  <c r="V294" i="92"/>
  <c r="AR294" i="92" s="1"/>
  <c r="U313" i="92"/>
  <c r="Y161" i="92"/>
  <c r="AJ161" i="92" s="1"/>
  <c r="Y266" i="92"/>
  <c r="AU266" i="92" s="1"/>
  <c r="W312" i="92"/>
  <c r="Y358" i="92"/>
  <c r="U368" i="92"/>
  <c r="AF368" i="92" s="1"/>
  <c r="Y313" i="92"/>
  <c r="Y712" i="92"/>
  <c r="AU712" i="92" s="1"/>
  <c r="V450" i="92"/>
  <c r="AR450" i="92" s="1"/>
  <c r="AE738" i="92"/>
  <c r="AP738" i="92" s="1"/>
  <c r="AE702" i="92"/>
  <c r="BA702" i="92" s="1"/>
  <c r="AE736" i="92"/>
  <c r="AE435" i="92"/>
  <c r="V111" i="92"/>
  <c r="AR111" i="92" s="1"/>
  <c r="V257" i="92"/>
  <c r="W225" i="92"/>
  <c r="AH225" i="92" s="1"/>
  <c r="Z124" i="92"/>
  <c r="AK124" i="92" s="1"/>
  <c r="W719" i="92"/>
  <c r="AS719" i="92" s="1"/>
  <c r="V298" i="92"/>
  <c r="AR298" i="92" s="1"/>
  <c r="X181" i="92"/>
  <c r="AI181" i="92" s="1"/>
  <c r="Y139" i="92"/>
  <c r="V505" i="92"/>
  <c r="Z218" i="92"/>
  <c r="X334" i="92"/>
  <c r="AT334" i="92" s="1"/>
  <c r="Z231" i="92"/>
  <c r="W241" i="92"/>
  <c r="U354" i="92"/>
  <c r="AF354" i="92" s="1"/>
  <c r="AE298" i="92"/>
  <c r="BA298" i="92" s="1"/>
  <c r="V291" i="92"/>
  <c r="V425" i="92"/>
  <c r="AE397" i="92"/>
  <c r="BA397" i="92" s="1"/>
  <c r="AE591" i="92"/>
  <c r="AE129" i="92"/>
  <c r="BA129" i="92" s="1"/>
  <c r="AE663" i="92"/>
  <c r="W221" i="92"/>
  <c r="AH221" i="92" s="1"/>
  <c r="V190" i="92"/>
  <c r="AR190" i="92" s="1"/>
  <c r="U374" i="92"/>
  <c r="V130" i="92"/>
  <c r="Y265" i="92"/>
  <c r="Z157" i="92"/>
  <c r="AK157" i="92" s="1"/>
  <c r="Y322" i="92"/>
  <c r="AU322" i="92" s="1"/>
  <c r="AE200" i="92"/>
  <c r="AP200" i="92" s="1"/>
  <c r="X322" i="92"/>
  <c r="AI322" i="92" s="1"/>
  <c r="U739" i="92"/>
  <c r="Y495" i="92"/>
  <c r="Y688" i="92"/>
  <c r="AJ688" i="92" s="1"/>
  <c r="U139" i="92"/>
  <c r="AF139" i="92" s="1"/>
  <c r="U305" i="92"/>
  <c r="AQ305" i="92" s="1"/>
  <c r="Y303" i="92"/>
  <c r="AU303" i="92" s="1"/>
  <c r="V83" i="92"/>
  <c r="AG83" i="92" s="1"/>
  <c r="X291" i="92"/>
  <c r="X423" i="92"/>
  <c r="AT423" i="92" s="1"/>
  <c r="Y60" i="92"/>
  <c r="AJ60" i="92" s="1"/>
  <c r="Z456" i="92"/>
  <c r="AV456" i="92" s="1"/>
  <c r="X68" i="92"/>
  <c r="Y448" i="92"/>
  <c r="X258" i="92"/>
  <c r="AI258" i="92" s="1"/>
  <c r="U487" i="92"/>
  <c r="U69" i="92"/>
  <c r="Y163" i="92"/>
  <c r="AU163" i="92" s="1"/>
  <c r="W371" i="92"/>
  <c r="AH371" i="92" s="1"/>
  <c r="X91" i="92"/>
  <c r="AT91" i="92" s="1"/>
  <c r="X543" i="92"/>
  <c r="U545" i="92"/>
  <c r="AF545" i="92" s="1"/>
  <c r="U433" i="92"/>
  <c r="AF433" i="92" s="1"/>
  <c r="Z473" i="92"/>
  <c r="AV473" i="92" s="1"/>
  <c r="U636" i="92"/>
  <c r="X404" i="92"/>
  <c r="Z493" i="92"/>
  <c r="AK493" i="92" s="1"/>
  <c r="V310" i="92"/>
  <c r="AG310" i="92" s="1"/>
  <c r="Z169" i="92"/>
  <c r="AK169" i="92" s="1"/>
  <c r="W83" i="92"/>
  <c r="V264" i="92"/>
  <c r="AR264" i="92" s="1"/>
  <c r="AE334" i="92"/>
  <c r="V193" i="92"/>
  <c r="Z353" i="92"/>
  <c r="V232" i="92"/>
  <c r="AG232" i="92" s="1"/>
  <c r="AE350" i="92"/>
  <c r="AP350" i="92" s="1"/>
  <c r="Y145" i="92"/>
  <c r="W270" i="92"/>
  <c r="AH270" i="92" s="1"/>
  <c r="X330" i="92"/>
  <c r="AT330" i="92" s="1"/>
  <c r="Z392" i="92"/>
  <c r="AK392" i="92" s="1"/>
  <c r="X251" i="92"/>
  <c r="AT251" i="92" s="1"/>
  <c r="AE291" i="92"/>
  <c r="AP291" i="92" s="1"/>
  <c r="V155" i="92"/>
  <c r="AE243" i="92"/>
  <c r="Z147" i="92"/>
  <c r="W624" i="92"/>
  <c r="Y171" i="92"/>
  <c r="AJ171" i="92" s="1"/>
  <c r="W189" i="92"/>
  <c r="X274" i="92"/>
  <c r="V391" i="92"/>
  <c r="AR391" i="92" s="1"/>
  <c r="X745" i="92"/>
  <c r="X531" i="92"/>
  <c r="AT531" i="92" s="1"/>
  <c r="Y588" i="92"/>
  <c r="AU588" i="92" s="1"/>
  <c r="Y89" i="92"/>
  <c r="Z327" i="92"/>
  <c r="AV327" i="92" s="1"/>
  <c r="V296" i="92"/>
  <c r="U272" i="92"/>
  <c r="Z178" i="92"/>
  <c r="AV178" i="92" s="1"/>
  <c r="Y61" i="92"/>
  <c r="V51" i="92"/>
  <c r="AG51" i="92" s="1"/>
  <c r="V761" i="92"/>
  <c r="AG761" i="92" s="1"/>
  <c r="AE371" i="92"/>
  <c r="W117" i="92"/>
  <c r="AH117" i="92" s="1"/>
  <c r="AE290" i="92"/>
  <c r="X80" i="92"/>
  <c r="AT80" i="92" s="1"/>
  <c r="W115" i="92"/>
  <c r="AA36" i="92"/>
  <c r="AL36" i="92" s="1"/>
  <c r="U289" i="92"/>
  <c r="AQ289" i="92" s="1"/>
  <c r="V97" i="92"/>
  <c r="AG97" i="92" s="1"/>
  <c r="AE342" i="92"/>
  <c r="W137" i="92"/>
  <c r="AH137" i="92" s="1"/>
  <c r="U242" i="92"/>
  <c r="AQ242" i="92" s="1"/>
  <c r="Y296" i="92"/>
  <c r="AE266" i="92"/>
  <c r="U165" i="92"/>
  <c r="AQ165" i="92" s="1"/>
  <c r="Z140" i="92"/>
  <c r="AK140" i="92" s="1"/>
  <c r="W568" i="92"/>
  <c r="U227" i="92"/>
  <c r="AQ227" i="92" s="1"/>
  <c r="Y479" i="92"/>
  <c r="AJ479" i="92" s="1"/>
  <c r="V196" i="92"/>
  <c r="X735" i="92"/>
  <c r="W347" i="92"/>
  <c r="AH347" i="92" s="1"/>
  <c r="Z671" i="92"/>
  <c r="AK671" i="92" s="1"/>
  <c r="U282" i="92"/>
  <c r="AQ282" i="92" s="1"/>
  <c r="W181" i="92"/>
  <c r="W266" i="92"/>
  <c r="X384" i="92"/>
  <c r="AT384" i="92" s="1"/>
  <c r="U576" i="92"/>
  <c r="Y655" i="92"/>
  <c r="Y625" i="92"/>
  <c r="AU625" i="92" s="1"/>
  <c r="Z468" i="92"/>
  <c r="V700" i="92"/>
  <c r="V654" i="92"/>
  <c r="AG654" i="92" s="1"/>
  <c r="Z184" i="92"/>
  <c r="Y280" i="92"/>
  <c r="AJ280" i="92" s="1"/>
  <c r="X342" i="92"/>
  <c r="W376" i="92"/>
  <c r="Z80" i="92"/>
  <c r="U360" i="92"/>
  <c r="U56" i="92"/>
  <c r="AF56" i="92" s="1"/>
  <c r="Y160" i="92"/>
  <c r="AJ160" i="92" s="1"/>
  <c r="U376" i="92"/>
  <c r="AF376" i="92" s="1"/>
  <c r="X136" i="92"/>
  <c r="AI136" i="92" s="1"/>
  <c r="X289" i="92"/>
  <c r="U140" i="92"/>
  <c r="AE218" i="92"/>
  <c r="Y53" i="92"/>
  <c r="Z210" i="92"/>
  <c r="AV210" i="92" s="1"/>
  <c r="Z165" i="92"/>
  <c r="U274" i="92"/>
  <c r="Y355" i="92"/>
  <c r="AJ355" i="92" s="1"/>
  <c r="U322" i="92"/>
  <c r="X362" i="92"/>
  <c r="Z141" i="92"/>
  <c r="Z439" i="92"/>
  <c r="Y251" i="92"/>
  <c r="Y617" i="92"/>
  <c r="AJ617" i="92" s="1"/>
  <c r="X576" i="92"/>
  <c r="AT576" i="92" s="1"/>
  <c r="V405" i="92"/>
  <c r="AR405" i="92" s="1"/>
  <c r="Y718" i="92"/>
  <c r="Y328" i="92"/>
  <c r="AE368" i="92"/>
  <c r="U225" i="92"/>
  <c r="U138" i="92"/>
  <c r="AF138" i="92" s="1"/>
  <c r="Z330" i="92"/>
  <c r="AK330" i="92" s="1"/>
  <c r="W53" i="92"/>
  <c r="V45" i="92"/>
  <c r="AG45" i="92" s="1"/>
  <c r="Y379" i="92"/>
  <c r="W48" i="92"/>
  <c r="Z305" i="92"/>
  <c r="W336" i="92"/>
  <c r="V100" i="92"/>
  <c r="AR100" i="92" s="1"/>
  <c r="V60" i="92"/>
  <c r="AG60" i="92" s="1"/>
  <c r="AA44" i="92"/>
  <c r="AW44" i="92" s="1"/>
  <c r="V278" i="92"/>
  <c r="AG278" i="92" s="1"/>
  <c r="U363" i="92"/>
  <c r="U91" i="92"/>
  <c r="U117" i="92"/>
  <c r="AF117" i="92" s="1"/>
  <c r="Y109" i="92"/>
  <c r="Y112" i="92"/>
  <c r="AU112" i="92" s="1"/>
  <c r="AE217" i="92"/>
  <c r="AP217" i="92" s="1"/>
  <c r="Y256" i="92"/>
  <c r="AU256" i="92" s="1"/>
  <c r="X374" i="92"/>
  <c r="AI374" i="92" s="1"/>
  <c r="W378" i="92"/>
  <c r="V711" i="92"/>
  <c r="AG711" i="92" s="1"/>
  <c r="X299" i="92"/>
  <c r="Z75" i="92"/>
  <c r="AK75" i="92" s="1"/>
  <c r="V347" i="92"/>
  <c r="AG347" i="92" s="1"/>
  <c r="U291" i="92"/>
  <c r="AF291" i="92" s="1"/>
  <c r="Y93" i="92"/>
  <c r="Y164" i="92"/>
  <c r="AU164" i="92" s="1"/>
  <c r="U432" i="92"/>
  <c r="W658" i="92"/>
  <c r="W140" i="92"/>
  <c r="AH140" i="92" s="1"/>
  <c r="U440" i="92"/>
  <c r="V656" i="92"/>
  <c r="AR656" i="92" s="1"/>
  <c r="V527" i="92"/>
  <c r="AR527" i="92" s="1"/>
  <c r="Y642" i="92"/>
  <c r="AU642" i="92" s="1"/>
  <c r="W459" i="92"/>
  <c r="AS459" i="92" s="1"/>
  <c r="X581" i="92"/>
  <c r="AT581" i="92" s="1"/>
  <c r="X637" i="92"/>
  <c r="U295" i="92"/>
  <c r="AF295" i="92" s="1"/>
  <c r="W154" i="92"/>
  <c r="AH154" i="92" s="1"/>
  <c r="Y215" i="92"/>
  <c r="AJ215" i="92" s="1"/>
  <c r="Y194" i="92"/>
  <c r="AE207" i="92"/>
  <c r="U114" i="92"/>
  <c r="AQ114" i="92" s="1"/>
  <c r="Z239" i="92"/>
  <c r="U273" i="92"/>
  <c r="AF273" i="92" s="1"/>
  <c r="W279" i="92"/>
  <c r="AH279" i="92" s="1"/>
  <c r="U194" i="92"/>
  <c r="AF194" i="92" s="1"/>
  <c r="Y57" i="92"/>
  <c r="AJ57" i="92" s="1"/>
  <c r="Z163" i="92"/>
  <c r="AK163" i="92" s="1"/>
  <c r="Z299" i="92"/>
  <c r="Y338" i="92"/>
  <c r="AJ338" i="92" s="1"/>
  <c r="Y519" i="92"/>
  <c r="AU519" i="92" s="1"/>
  <c r="AE378" i="92"/>
  <c r="X592" i="92"/>
  <c r="AI592" i="92" s="1"/>
  <c r="Z109" i="92"/>
  <c r="AE196" i="92"/>
  <c r="AP196" i="92" s="1"/>
  <c r="Y108" i="92"/>
  <c r="X551" i="92"/>
  <c r="X156" i="92"/>
  <c r="AI156" i="92" s="1"/>
  <c r="X488" i="92"/>
  <c r="Y181" i="92"/>
  <c r="AU181" i="92" s="1"/>
  <c r="Y447" i="92"/>
  <c r="Z689" i="92"/>
  <c r="V395" i="92"/>
  <c r="AG395" i="92" s="1"/>
  <c r="Y350" i="92"/>
  <c r="AJ350" i="92" s="1"/>
  <c r="Z234" i="92"/>
  <c r="AK234" i="92" s="1"/>
  <c r="Y168" i="92"/>
  <c r="V80" i="92"/>
  <c r="Z53" i="92"/>
  <c r="W679" i="92"/>
  <c r="V52" i="92"/>
  <c r="V107" i="92"/>
  <c r="AR107" i="92" s="1"/>
  <c r="Y121" i="92"/>
  <c r="V88" i="92"/>
  <c r="U99" i="92"/>
  <c r="AF99" i="92" s="1"/>
  <c r="W61" i="92"/>
  <c r="AS61" i="92" s="1"/>
  <c r="Z377" i="92"/>
  <c r="W85" i="92"/>
  <c r="AS85" i="92" s="1"/>
  <c r="AB26" i="92"/>
  <c r="U271" i="92"/>
  <c r="AQ271" i="92" s="1"/>
  <c r="U122" i="92"/>
  <c r="AF122" i="92" s="1"/>
  <c r="X192" i="92"/>
  <c r="Z162" i="92"/>
  <c r="AK162" i="92" s="1"/>
  <c r="X196" i="92"/>
  <c r="AI196" i="92" s="1"/>
  <c r="U210" i="92"/>
  <c r="U109" i="92"/>
  <c r="AE314" i="92"/>
  <c r="U157" i="92"/>
  <c r="AF157" i="92" s="1"/>
  <c r="AE322" i="92"/>
  <c r="X480" i="92"/>
  <c r="AI480" i="92" s="1"/>
  <c r="W267" i="92"/>
  <c r="AS267" i="92" s="1"/>
  <c r="W148" i="92"/>
  <c r="Z703" i="92"/>
  <c r="AV703" i="92" s="1"/>
  <c r="U355" i="92"/>
  <c r="AF355" i="92" s="1"/>
  <c r="Z520" i="92"/>
  <c r="Y496" i="92"/>
  <c r="AU496" i="92" s="1"/>
  <c r="U730" i="92"/>
  <c r="AQ730" i="92" s="1"/>
  <c r="V468" i="92"/>
  <c r="Z485" i="92"/>
  <c r="AK485" i="92" s="1"/>
  <c r="U726" i="92"/>
  <c r="U345" i="92"/>
  <c r="AE273" i="92"/>
  <c r="AP273" i="92" s="1"/>
  <c r="U369" i="92"/>
  <c r="Y319" i="92"/>
  <c r="AU319" i="92" s="1"/>
  <c r="W233" i="92"/>
  <c r="AS233" i="92" s="1"/>
  <c r="V105" i="92"/>
  <c r="Z91" i="92"/>
  <c r="AK91" i="92" s="1"/>
  <c r="W305" i="92"/>
  <c r="Y304" i="92"/>
  <c r="AE210" i="92"/>
  <c r="V109" i="92"/>
  <c r="V84" i="92"/>
  <c r="AG84" i="92" s="1"/>
  <c r="V671" i="92"/>
  <c r="AG671" i="92" s="1"/>
  <c r="U132" i="92"/>
  <c r="U663" i="92"/>
  <c r="AQ663" i="92" s="1"/>
  <c r="V140" i="92"/>
  <c r="AR140" i="92" s="1"/>
  <c r="W744" i="92"/>
  <c r="Y101" i="92"/>
  <c r="X219" i="92"/>
  <c r="AI219" i="92" s="1"/>
  <c r="Y361" i="92"/>
  <c r="AJ361" i="92" s="1"/>
  <c r="W315" i="92"/>
  <c r="AH315" i="92" s="1"/>
  <c r="X99" i="92"/>
  <c r="AI99" i="92" s="1"/>
  <c r="Y577" i="92"/>
  <c r="U752" i="92"/>
  <c r="Z409" i="92"/>
  <c r="AK409" i="92" s="1"/>
  <c r="X421" i="92"/>
  <c r="Y104" i="92"/>
  <c r="V128" i="92"/>
  <c r="AG128" i="92" s="1"/>
  <c r="W193" i="92"/>
  <c r="X45" i="92"/>
  <c r="Z189" i="92"/>
  <c r="AV189" i="92" s="1"/>
  <c r="V82" i="92"/>
  <c r="Z155" i="92"/>
  <c r="V137" i="92"/>
  <c r="U51" i="92"/>
  <c r="AO33" i="92"/>
  <c r="AA34" i="92"/>
  <c r="W588" i="92"/>
  <c r="W734" i="92"/>
  <c r="AS734" i="92" s="1"/>
  <c r="W215" i="92"/>
  <c r="AH215" i="92" s="1"/>
  <c r="W337" i="92"/>
  <c r="V328" i="92"/>
  <c r="V218" i="92"/>
  <c r="AG218" i="92" s="1"/>
  <c r="V226" i="92"/>
  <c r="AR226" i="92" s="1"/>
  <c r="V243" i="92"/>
  <c r="W338" i="92"/>
  <c r="X721" i="92"/>
  <c r="AI721" i="92" s="1"/>
  <c r="V585" i="92"/>
  <c r="Z323" i="92"/>
  <c r="V371" i="92"/>
  <c r="U546" i="92"/>
  <c r="W529" i="92"/>
  <c r="AH529" i="92" s="1"/>
  <c r="X419" i="92"/>
  <c r="U286" i="92"/>
  <c r="AF286" i="92" s="1"/>
  <c r="Y249" i="92"/>
  <c r="AU249" i="92" s="1"/>
  <c r="U233" i="92"/>
  <c r="AE224" i="92"/>
  <c r="AE315" i="92"/>
  <c r="Y133" i="92"/>
  <c r="AU133" i="92" s="1"/>
  <c r="X495" i="92"/>
  <c r="AI495" i="92" s="1"/>
  <c r="U409" i="92"/>
  <c r="AF409" i="92" s="1"/>
  <c r="U207" i="92"/>
  <c r="W179" i="92"/>
  <c r="AH179" i="92" s="1"/>
  <c r="U164" i="92"/>
  <c r="W417" i="92"/>
  <c r="Y439" i="92"/>
  <c r="AJ439" i="92" s="1"/>
  <c r="W400" i="92"/>
  <c r="AS400" i="92" s="1"/>
  <c r="X601" i="92"/>
  <c r="Z344" i="92"/>
  <c r="Y596" i="92"/>
  <c r="AJ596" i="92" s="1"/>
  <c r="U130" i="92"/>
  <c r="V216" i="92"/>
  <c r="AR216" i="92" s="1"/>
  <c r="Y173" i="92"/>
  <c r="W248" i="92"/>
  <c r="V148" i="92"/>
  <c r="AR148" i="92" s="1"/>
  <c r="Z338" i="92"/>
  <c r="AV338" i="92" s="1"/>
  <c r="W695" i="92"/>
  <c r="AH695" i="92" s="1"/>
  <c r="Z148" i="92"/>
  <c r="AK148" i="92" s="1"/>
  <c r="X363" i="92"/>
  <c r="AT363" i="92" s="1"/>
  <c r="U339" i="92"/>
  <c r="Y179" i="92"/>
  <c r="U503" i="92"/>
  <c r="Y383" i="92"/>
  <c r="AJ383" i="92" s="1"/>
  <c r="Z457" i="92"/>
  <c r="AV457" i="92" s="1"/>
  <c r="Z435" i="92"/>
  <c r="V500" i="92"/>
  <c r="AR500" i="92" s="1"/>
  <c r="Z160" i="92"/>
  <c r="AK160" i="92" s="1"/>
  <c r="W358" i="92"/>
  <c r="Y189" i="92"/>
  <c r="AJ189" i="92" s="1"/>
  <c r="Y487" i="92"/>
  <c r="X608" i="92"/>
  <c r="AI608" i="92" s="1"/>
  <c r="Y363" i="92"/>
  <c r="Z123" i="92"/>
  <c r="AK123" i="92" s="1"/>
  <c r="W379" i="92"/>
  <c r="AH379" i="92" s="1"/>
  <c r="V482" i="92"/>
  <c r="Y239" i="92"/>
  <c r="V736" i="92"/>
  <c r="X473" i="92"/>
  <c r="AI473" i="92" s="1"/>
  <c r="Z674" i="92"/>
  <c r="AK674" i="92" s="1"/>
  <c r="W573" i="92"/>
  <c r="AE312" i="92"/>
  <c r="X177" i="92"/>
  <c r="AT177" i="92" s="1"/>
  <c r="AE231" i="92"/>
  <c r="X257" i="92"/>
  <c r="V307" i="92"/>
  <c r="AR307" i="92" s="1"/>
  <c r="U173" i="92"/>
  <c r="AQ173" i="92" s="1"/>
  <c r="U155" i="92"/>
  <c r="AQ155" i="92" s="1"/>
  <c r="Z242" i="92"/>
  <c r="AK242" i="92" s="1"/>
  <c r="W431" i="92"/>
  <c r="AH431" i="92" s="1"/>
  <c r="W631" i="92"/>
  <c r="V536" i="92"/>
  <c r="AG536" i="92" s="1"/>
  <c r="Z754" i="92"/>
  <c r="U463" i="92"/>
  <c r="AQ463" i="92" s="1"/>
  <c r="V199" i="92"/>
  <c r="Z209" i="92"/>
  <c r="Z186" i="92"/>
  <c r="W234" i="92"/>
  <c r="U218" i="92"/>
  <c r="AQ218" i="92" s="1"/>
  <c r="V504" i="92"/>
  <c r="W362" i="92"/>
  <c r="W392" i="92"/>
  <c r="Y546" i="92"/>
  <c r="U480" i="92"/>
  <c r="AQ480" i="92" s="1"/>
  <c r="W259" i="92"/>
  <c r="Z475" i="92"/>
  <c r="V433" i="92"/>
  <c r="AG433" i="92" s="1"/>
  <c r="V251" i="92"/>
  <c r="AG251" i="92" s="1"/>
  <c r="AE274" i="92"/>
  <c r="Z298" i="92"/>
  <c r="AK298" i="92" s="1"/>
  <c r="V731" i="92"/>
  <c r="U402" i="92"/>
  <c r="AF402" i="92" s="1"/>
  <c r="Y491" i="92"/>
  <c r="AJ491" i="92" s="1"/>
  <c r="W462" i="92"/>
  <c r="AH462" i="92" s="1"/>
  <c r="W216" i="92"/>
  <c r="AH216" i="92" s="1"/>
  <c r="AE208" i="92"/>
  <c r="Y176" i="92"/>
  <c r="U321" i="92"/>
  <c r="AF321" i="92" s="1"/>
  <c r="AE249" i="92"/>
  <c r="X338" i="92"/>
  <c r="AT338" i="92" s="1"/>
  <c r="V171" i="92"/>
  <c r="AG171" i="92" s="1"/>
  <c r="U163" i="92"/>
  <c r="X562" i="92"/>
  <c r="AI562" i="92" s="1"/>
  <c r="Z499" i="92"/>
  <c r="AV499" i="92" s="1"/>
  <c r="X370" i="92"/>
  <c r="V630" i="92"/>
  <c r="Y756" i="92"/>
  <c r="AJ756" i="92" s="1"/>
  <c r="Z352" i="92"/>
  <c r="AK352" i="92" s="1"/>
  <c r="U334" i="92"/>
  <c r="AF334" i="92" s="1"/>
  <c r="W353" i="92"/>
  <c r="Y203" i="92"/>
  <c r="AU203" i="92" s="1"/>
  <c r="W155" i="92"/>
  <c r="U607" i="92"/>
  <c r="Z363" i="92"/>
  <c r="AE330" i="92"/>
  <c r="W416" i="92"/>
  <c r="AH416" i="92" s="1"/>
  <c r="Z712" i="92"/>
  <c r="W490" i="92"/>
  <c r="V593" i="92"/>
  <c r="AG593" i="92" s="1"/>
  <c r="Y698" i="92"/>
  <c r="Y566" i="92"/>
  <c r="AE264" i="92"/>
  <c r="X240" i="92"/>
  <c r="Z351" i="92"/>
  <c r="AE361" i="92"/>
  <c r="X346" i="92"/>
  <c r="AI346" i="92" s="1"/>
  <c r="Z282" i="92"/>
  <c r="AV282" i="92" s="1"/>
  <c r="Y188" i="92"/>
  <c r="AJ188" i="92" s="1"/>
  <c r="X172" i="92"/>
  <c r="Z705" i="92"/>
  <c r="AE382" i="92"/>
  <c r="U572" i="92"/>
  <c r="AQ572" i="92" s="1"/>
  <c r="X328" i="92"/>
  <c r="V683" i="92"/>
  <c r="V571" i="92"/>
  <c r="AR571" i="92" s="1"/>
  <c r="Z279" i="92"/>
  <c r="AK279" i="92" s="1"/>
  <c r="X241" i="92"/>
  <c r="W511" i="92"/>
  <c r="AS511" i="92" s="1"/>
  <c r="Y315" i="92"/>
  <c r="Z274" i="92"/>
  <c r="AV274" i="92" s="1"/>
  <c r="Z481" i="92"/>
  <c r="AV481" i="92" s="1"/>
  <c r="Z416" i="92"/>
  <c r="X164" i="92"/>
  <c r="AI164" i="92" s="1"/>
  <c r="X226" i="92"/>
  <c r="AT226" i="92" s="1"/>
  <c r="V411" i="92"/>
  <c r="Y657" i="92"/>
  <c r="AU657" i="92" s="1"/>
  <c r="Y730" i="92"/>
  <c r="U621" i="92"/>
  <c r="W321" i="92"/>
  <c r="AH321" i="92" s="1"/>
  <c r="V376" i="92"/>
  <c r="AG376" i="92" s="1"/>
  <c r="X296" i="92"/>
  <c r="AI296" i="92" s="1"/>
  <c r="U152" i="92"/>
  <c r="AF152" i="92" s="1"/>
  <c r="Y282" i="92"/>
  <c r="W164" i="92"/>
  <c r="Y235" i="92"/>
  <c r="W275" i="92"/>
  <c r="AS275" i="92" s="1"/>
  <c r="Y562" i="92"/>
  <c r="AJ562" i="92" s="1"/>
  <c r="V702" i="92"/>
  <c r="AG702" i="92" s="1"/>
  <c r="V249" i="92"/>
  <c r="AR249" i="92" s="1"/>
  <c r="Y752" i="92"/>
  <c r="Z661" i="92"/>
  <c r="V319" i="92"/>
  <c r="W163" i="92"/>
  <c r="U655" i="92"/>
  <c r="U371" i="92"/>
  <c r="AQ371" i="92" s="1"/>
  <c r="V163" i="92"/>
  <c r="AR163" i="92" s="1"/>
  <c r="Y370" i="92"/>
  <c r="AJ370" i="92" s="1"/>
  <c r="X615" i="92"/>
  <c r="V267" i="92"/>
  <c r="Z633" i="92"/>
  <c r="V584" i="92"/>
  <c r="U451" i="92"/>
  <c r="AF451" i="92" s="1"/>
  <c r="Z358" i="92"/>
  <c r="X130" i="92"/>
  <c r="V271" i="92"/>
  <c r="AG271" i="92" s="1"/>
  <c r="V156" i="92"/>
  <c r="AR156" i="92" s="1"/>
  <c r="AE379" i="92"/>
  <c r="U156" i="92"/>
  <c r="Y148" i="92"/>
  <c r="W593" i="92"/>
  <c r="U502" i="92"/>
  <c r="V144" i="92"/>
  <c r="V361" i="92"/>
  <c r="AR361" i="92" s="1"/>
  <c r="U736" i="92"/>
  <c r="X256" i="92"/>
  <c r="Z92" i="92"/>
  <c r="X227" i="92"/>
  <c r="AI227" i="92" s="1"/>
  <c r="Y505" i="92"/>
  <c r="AU505" i="92" s="1"/>
  <c r="Z737" i="92"/>
  <c r="AV737" i="92" s="1"/>
  <c r="U585" i="92"/>
  <c r="X442" i="92"/>
  <c r="AI442" i="92" s="1"/>
  <c r="Z683" i="92"/>
  <c r="AV683" i="92" s="1"/>
  <c r="X396" i="92"/>
  <c r="Y669" i="92"/>
  <c r="AU669" i="92" s="1"/>
  <c r="AC25" i="92"/>
  <c r="AC43" i="92"/>
  <c r="AY43" i="92" s="1"/>
  <c r="V181" i="92"/>
  <c r="AR181" i="92" s="1"/>
  <c r="U147" i="92"/>
  <c r="AE235" i="92"/>
  <c r="AP235" i="92" s="1"/>
  <c r="V543" i="92"/>
  <c r="AR543" i="92" s="1"/>
  <c r="V385" i="92"/>
  <c r="AG385" i="92" s="1"/>
  <c r="U551" i="92"/>
  <c r="Y107" i="92"/>
  <c r="AE259" i="92"/>
  <c r="BA259" i="92" s="1"/>
  <c r="V384" i="92"/>
  <c r="AR384" i="92" s="1"/>
  <c r="Y307" i="92"/>
  <c r="V498" i="92"/>
  <c r="AG498" i="92" s="1"/>
  <c r="U720" i="92"/>
  <c r="Z592" i="92"/>
  <c r="Z538" i="92"/>
  <c r="AK538" i="92" s="1"/>
  <c r="W547" i="92"/>
  <c r="AH547" i="92" s="1"/>
  <c r="Z502" i="92"/>
  <c r="AK502" i="92" s="1"/>
  <c r="Y438" i="92"/>
  <c r="AU438" i="92" s="1"/>
  <c r="W272" i="92"/>
  <c r="AH272" i="92" s="1"/>
  <c r="Y152" i="92"/>
  <c r="AJ152" i="92" s="1"/>
  <c r="Z58" i="92"/>
  <c r="W192" i="92"/>
  <c r="V162" i="92"/>
  <c r="U287" i="92"/>
  <c r="X74" i="92"/>
  <c r="AT74" i="92" s="1"/>
  <c r="X144" i="92"/>
  <c r="Z114" i="92"/>
  <c r="W274" i="92"/>
  <c r="AS274" i="92" s="1"/>
  <c r="U181" i="92"/>
  <c r="Y125" i="92"/>
  <c r="Y330" i="92"/>
  <c r="Z399" i="92"/>
  <c r="X527" i="92"/>
  <c r="AI527" i="92" s="1"/>
  <c r="V479" i="92"/>
  <c r="AG479" i="92" s="1"/>
  <c r="Z227" i="92"/>
  <c r="AK227" i="92" s="1"/>
  <c r="V439" i="92"/>
  <c r="AR439" i="92" s="1"/>
  <c r="V354" i="92"/>
  <c r="X133" i="92"/>
  <c r="Z156" i="92"/>
  <c r="W504" i="92"/>
  <c r="AS504" i="92" s="1"/>
  <c r="V561" i="92"/>
  <c r="AG561" i="92" s="1"/>
  <c r="W418" i="92"/>
  <c r="AH418" i="92" s="1"/>
  <c r="V410" i="92"/>
  <c r="AG410" i="92" s="1"/>
  <c r="V684" i="92"/>
  <c r="AR684" i="92" s="1"/>
  <c r="U414" i="92"/>
  <c r="V161" i="92"/>
  <c r="W342" i="92"/>
  <c r="AH342" i="92" s="1"/>
  <c r="W320" i="92"/>
  <c r="U72" i="92"/>
  <c r="AF72" i="92" s="1"/>
  <c r="V170" i="92"/>
  <c r="AR170" i="92" s="1"/>
  <c r="X231" i="92"/>
  <c r="AI231" i="92" s="1"/>
  <c r="Z146" i="92"/>
  <c r="AV146" i="92" s="1"/>
  <c r="W327" i="92"/>
  <c r="AS327" i="92" s="1"/>
  <c r="AE305" i="92"/>
  <c r="Z61" i="92"/>
  <c r="X323" i="92"/>
  <c r="AE282" i="92"/>
  <c r="Y480" i="92"/>
  <c r="AU480" i="92" s="1"/>
  <c r="X259" i="92"/>
  <c r="Z226" i="92"/>
  <c r="AE307" i="92"/>
  <c r="Y291" i="92"/>
  <c r="AU291" i="92" s="1"/>
  <c r="U346" i="92"/>
  <c r="V679" i="92"/>
  <c r="V485" i="92"/>
  <c r="AG485" i="92" s="1"/>
  <c r="U758" i="92"/>
  <c r="AQ758" i="92" s="1"/>
  <c r="W89" i="92"/>
  <c r="X319" i="92"/>
  <c r="AT319" i="92" s="1"/>
  <c r="W99" i="92"/>
  <c r="U631" i="92"/>
  <c r="AF631" i="92" s="1"/>
  <c r="W171" i="92"/>
  <c r="W69" i="92"/>
  <c r="Z371" i="92"/>
  <c r="X552" i="92"/>
  <c r="Z569" i="92"/>
  <c r="AK569" i="92" s="1"/>
  <c r="Z393" i="92"/>
  <c r="Z697" i="92"/>
  <c r="AK697" i="92" s="1"/>
  <c r="U716" i="92"/>
  <c r="X470" i="92"/>
  <c r="V542" i="92"/>
  <c r="X698" i="92"/>
  <c r="AI698" i="92" s="1"/>
  <c r="AB30" i="92"/>
  <c r="V96" i="92"/>
  <c r="AR96" i="92" s="1"/>
  <c r="X242" i="92"/>
  <c r="AE197" i="92"/>
  <c r="U196" i="92"/>
  <c r="AE354" i="92"/>
  <c r="W700" i="92"/>
  <c r="AH700" i="92" s="1"/>
  <c r="V696" i="92"/>
  <c r="AR696" i="92" s="1"/>
  <c r="V396" i="92"/>
  <c r="AG396" i="92" s="1"/>
  <c r="V436" i="92"/>
  <c r="AR436" i="92" s="1"/>
  <c r="Z630" i="92"/>
  <c r="W600" i="92"/>
  <c r="U632" i="92"/>
  <c r="Z255" i="92"/>
  <c r="Z170" i="92"/>
  <c r="AV170" i="92" s="1"/>
  <c r="X760" i="92"/>
  <c r="U148" i="92"/>
  <c r="X633" i="92"/>
  <c r="AI633" i="92" s="1"/>
  <c r="Z266" i="92"/>
  <c r="AV266" i="92" s="1"/>
  <c r="Y347" i="92"/>
  <c r="V615" i="92"/>
  <c r="W355" i="92"/>
  <c r="W615" i="92"/>
  <c r="U290" i="92"/>
  <c r="X379" i="92"/>
  <c r="AI379" i="92" s="1"/>
  <c r="V117" i="92"/>
  <c r="Z553" i="92"/>
  <c r="V569" i="92"/>
  <c r="V551" i="92"/>
  <c r="AG551" i="92" s="1"/>
  <c r="X675" i="92"/>
  <c r="W714" i="92"/>
  <c r="AH714" i="92" s="1"/>
  <c r="V413" i="92"/>
  <c r="AG413" i="92" s="1"/>
  <c r="Y477" i="92"/>
  <c r="Z223" i="92"/>
  <c r="AK223" i="92" s="1"/>
  <c r="Z138" i="92"/>
  <c r="AK138" i="92" s="1"/>
  <c r="X271" i="92"/>
  <c r="W186" i="92"/>
  <c r="AS186" i="92" s="1"/>
  <c r="V113" i="92"/>
  <c r="V281" i="92"/>
  <c r="Y201" i="92"/>
  <c r="AU201" i="92" s="1"/>
  <c r="AE375" i="92"/>
  <c r="AP375" i="92" s="1"/>
  <c r="X297" i="92"/>
  <c r="AT297" i="92" s="1"/>
  <c r="U84" i="92"/>
  <c r="AF84" i="92" s="1"/>
  <c r="W456" i="92"/>
  <c r="W156" i="92"/>
  <c r="V575" i="92"/>
  <c r="X140" i="92"/>
  <c r="AI140" i="92" s="1"/>
  <c r="V408" i="92"/>
  <c r="U488" i="92"/>
  <c r="AF488" i="92" s="1"/>
  <c r="Y623" i="92"/>
  <c r="Y369" i="92"/>
  <c r="AU369" i="92" s="1"/>
  <c r="X100" i="92"/>
  <c r="W448" i="92"/>
  <c r="AS448" i="92" s="1"/>
  <c r="W125" i="92"/>
  <c r="V625" i="92"/>
  <c r="AR625" i="92" s="1"/>
  <c r="W639" i="92"/>
  <c r="AH639" i="92" s="1"/>
  <c r="V512" i="92"/>
  <c r="V737" i="92"/>
  <c r="X572" i="92"/>
  <c r="AT572" i="92" s="1"/>
  <c r="V302" i="92"/>
  <c r="Z336" i="92"/>
  <c r="Z96" i="92"/>
  <c r="Z66" i="92"/>
  <c r="AK66" i="92" s="1"/>
  <c r="AE311" i="92"/>
  <c r="BA311" i="92" s="1"/>
  <c r="X345" i="92"/>
  <c r="Z265" i="92"/>
  <c r="AV265" i="92" s="1"/>
  <c r="Y73" i="92"/>
  <c r="X107" i="92"/>
  <c r="V568" i="92"/>
  <c r="AG568" i="92" s="1"/>
  <c r="Y69" i="92"/>
  <c r="U125" i="92"/>
  <c r="AQ125" i="92" s="1"/>
  <c r="V338" i="92"/>
  <c r="AG338" i="92" s="1"/>
  <c r="V53" i="92"/>
  <c r="X157" i="92"/>
  <c r="AT157" i="92" s="1"/>
  <c r="W219" i="92"/>
  <c r="AH219" i="92" s="1"/>
  <c r="X704" i="92"/>
  <c r="Y727" i="92"/>
  <c r="AJ727" i="92" s="1"/>
  <c r="Z547" i="92"/>
  <c r="AV547" i="92" s="1"/>
  <c r="Y169" i="92"/>
  <c r="AU169" i="92" s="1"/>
  <c r="V233" i="92"/>
  <c r="AR233" i="92" s="1"/>
  <c r="U223" i="92"/>
  <c r="Z44" i="92"/>
  <c r="AK44" i="92" s="1"/>
  <c r="X61" i="92"/>
  <c r="U471" i="92"/>
  <c r="U37" i="92"/>
  <c r="AE267" i="92"/>
  <c r="U578" i="92"/>
  <c r="AQ578" i="92" s="1"/>
  <c r="U728" i="92"/>
  <c r="V548" i="92"/>
  <c r="W427" i="92"/>
  <c r="AH427" i="92" s="1"/>
  <c r="V638" i="92"/>
  <c r="X481" i="92"/>
  <c r="W407" i="92"/>
  <c r="AA29" i="92"/>
  <c r="AL29" i="92" s="1"/>
  <c r="AA32" i="92"/>
  <c r="W310" i="92"/>
  <c r="V108" i="92"/>
  <c r="AR108" i="92" s="1"/>
  <c r="V592" i="92"/>
  <c r="X101" i="92"/>
  <c r="AT101" i="92" s="1"/>
  <c r="Y707" i="92"/>
  <c r="AU707" i="92" s="1"/>
  <c r="V394" i="92"/>
  <c r="Y721" i="92"/>
  <c r="Y635" i="92"/>
  <c r="Z571" i="92"/>
  <c r="Z576" i="92"/>
  <c r="AV576" i="92" s="1"/>
  <c r="V707" i="92"/>
  <c r="Z453" i="92"/>
  <c r="Y690" i="92"/>
  <c r="Z636" i="92"/>
  <c r="U470" i="92"/>
  <c r="AQ470" i="92" s="1"/>
  <c r="U335" i="92"/>
  <c r="U137" i="92"/>
  <c r="Y297" i="92"/>
  <c r="AJ297" i="92" s="1"/>
  <c r="W232" i="92"/>
  <c r="V350" i="92"/>
  <c r="U216" i="92"/>
  <c r="Z313" i="92"/>
  <c r="V129" i="92"/>
  <c r="AE195" i="92"/>
  <c r="AP195" i="92" s="1"/>
  <c r="Z251" i="92"/>
  <c r="W423" i="92"/>
  <c r="AS423" i="92" s="1"/>
  <c r="Y259" i="92"/>
  <c r="AJ259" i="92" s="1"/>
  <c r="W299" i="92"/>
  <c r="Z632" i="92"/>
  <c r="AK632" i="92" s="1"/>
  <c r="W307" i="92"/>
  <c r="U299" i="92"/>
  <c r="AF299" i="92" s="1"/>
  <c r="V306" i="92"/>
  <c r="AR306" i="92" s="1"/>
  <c r="W149" i="92"/>
  <c r="AH149" i="92" s="1"/>
  <c r="Z115" i="92"/>
  <c r="AV115" i="92" s="1"/>
  <c r="V211" i="92"/>
  <c r="Z559" i="92"/>
  <c r="Y697" i="92"/>
  <c r="AU697" i="92" s="1"/>
  <c r="Z595" i="92"/>
  <c r="Y706" i="92"/>
  <c r="AJ706" i="92" s="1"/>
  <c r="X691" i="92"/>
  <c r="V718" i="92"/>
  <c r="V146" i="92"/>
  <c r="AG146" i="92" s="1"/>
  <c r="U279" i="92"/>
  <c r="AF279" i="92" s="1"/>
  <c r="X194" i="92"/>
  <c r="X185" i="92"/>
  <c r="AT185" i="92" s="1"/>
  <c r="U302" i="92"/>
  <c r="W161" i="92"/>
  <c r="AH161" i="92" s="1"/>
  <c r="Y286" i="92"/>
  <c r="AJ286" i="92" s="1"/>
  <c r="U92" i="92"/>
  <c r="Y290" i="92"/>
  <c r="AJ290" i="92" s="1"/>
  <c r="X197" i="92"/>
  <c r="AI197" i="92" s="1"/>
  <c r="X307" i="92"/>
  <c r="AT307" i="92" s="1"/>
  <c r="U226" i="92"/>
  <c r="AQ226" i="92" s="1"/>
  <c r="U407" i="92"/>
  <c r="Z84" i="92"/>
  <c r="AK84" i="92" s="1"/>
  <c r="Z370" i="92"/>
  <c r="Y511" i="92"/>
  <c r="W361" i="92"/>
  <c r="AH361" i="92" s="1"/>
  <c r="Z535" i="92"/>
  <c r="X399" i="92"/>
  <c r="W620" i="92"/>
  <c r="V90" i="92"/>
  <c r="Z120" i="92"/>
  <c r="AV120" i="92" s="1"/>
  <c r="Z264" i="92"/>
  <c r="V727" i="92"/>
  <c r="W346" i="92"/>
  <c r="AS346" i="92" s="1"/>
  <c r="Z751" i="92"/>
  <c r="Z197" i="92"/>
  <c r="V459" i="92"/>
  <c r="AG459" i="92" s="1"/>
  <c r="U384" i="92"/>
  <c r="AF384" i="92" s="1"/>
  <c r="U738" i="92"/>
  <c r="AF738" i="92" s="1"/>
  <c r="V611" i="92"/>
  <c r="Z413" i="92"/>
  <c r="W579" i="92"/>
  <c r="AC42" i="92"/>
  <c r="AB34" i="92"/>
  <c r="AA26" i="92"/>
  <c r="Y515" i="92"/>
  <c r="U515" i="92"/>
  <c r="Y533" i="92"/>
  <c r="AU533" i="92" s="1"/>
  <c r="V667" i="92"/>
  <c r="AR667" i="92" s="1"/>
  <c r="Z446" i="92"/>
  <c r="AK446" i="92" s="1"/>
  <c r="X761" i="92"/>
  <c r="X723" i="92"/>
  <c r="AI723" i="92" s="1"/>
  <c r="AE280" i="92"/>
  <c r="AP280" i="92" s="1"/>
  <c r="Y200" i="92"/>
  <c r="AE250" i="92"/>
  <c r="AP250" i="92" s="1"/>
  <c r="V647" i="92"/>
  <c r="AG647" i="92" s="1"/>
  <c r="X679" i="92"/>
  <c r="AI679" i="92" s="1"/>
  <c r="X203" i="92"/>
  <c r="AT203" i="92" s="1"/>
  <c r="W743" i="92"/>
  <c r="Y687" i="92"/>
  <c r="AE347" i="92"/>
  <c r="V59" i="92"/>
  <c r="X559" i="92"/>
  <c r="AT559" i="92" s="1"/>
  <c r="U100" i="92"/>
  <c r="AQ100" i="92" s="1"/>
  <c r="Y503" i="92"/>
  <c r="V441" i="92"/>
  <c r="AR441" i="92" s="1"/>
  <c r="X609" i="92"/>
  <c r="AT609" i="92" s="1"/>
  <c r="Z443" i="92"/>
  <c r="AV443" i="92" s="1"/>
  <c r="X667" i="92"/>
  <c r="AT667" i="92" s="1"/>
  <c r="Y120" i="92"/>
  <c r="Z83" i="92"/>
  <c r="AK83" i="92" s="1"/>
  <c r="Y129" i="92"/>
  <c r="AJ129" i="92" s="1"/>
  <c r="X335" i="92"/>
  <c r="AI335" i="92" s="1"/>
  <c r="W100" i="92"/>
  <c r="AH100" i="92" s="1"/>
  <c r="W331" i="92"/>
  <c r="V282" i="92"/>
  <c r="AE234" i="92"/>
  <c r="AP234" i="92" s="1"/>
  <c r="X649" i="92"/>
  <c r="AI649" i="92" s="1"/>
  <c r="W599" i="92"/>
  <c r="X759" i="92"/>
  <c r="X447" i="92"/>
  <c r="AT447" i="92" s="1"/>
  <c r="U511" i="92"/>
  <c r="AQ511" i="92" s="1"/>
  <c r="Z513" i="92"/>
  <c r="AK513" i="92" s="1"/>
  <c r="W606" i="92"/>
  <c r="U615" i="92"/>
  <c r="U400" i="92"/>
  <c r="Z721" i="92"/>
  <c r="AK721" i="92" s="1"/>
  <c r="W538" i="92"/>
  <c r="AH538" i="92" s="1"/>
  <c r="Z610" i="92"/>
  <c r="AV610" i="92" s="1"/>
  <c r="W467" i="92"/>
  <c r="AH467" i="92" s="1"/>
  <c r="W684" i="92"/>
  <c r="W716" i="92"/>
  <c r="Y724" i="92"/>
  <c r="AU724" i="92" s="1"/>
  <c r="Z478" i="92"/>
  <c r="U508" i="92"/>
  <c r="AF508" i="92" s="1"/>
  <c r="W748" i="92"/>
  <c r="AS748" i="92" s="1"/>
  <c r="V398" i="92"/>
  <c r="AG398" i="92" s="1"/>
  <c r="W730" i="92"/>
  <c r="AH730" i="92" s="1"/>
  <c r="Z577" i="92"/>
  <c r="U479" i="92"/>
  <c r="AF479" i="92" s="1"/>
  <c r="U682" i="92"/>
  <c r="U643" i="92"/>
  <c r="W760" i="92"/>
  <c r="W759" i="92"/>
  <c r="U543" i="92"/>
  <c r="Y559" i="92"/>
  <c r="AU559" i="92" s="1"/>
  <c r="U259" i="92"/>
  <c r="X568" i="92"/>
  <c r="X664" i="92"/>
  <c r="Y591" i="92"/>
  <c r="W762" i="92"/>
  <c r="AH762" i="92" s="1"/>
  <c r="W724" i="92"/>
  <c r="V295" i="92"/>
  <c r="X350" i="92"/>
  <c r="AI350" i="92" s="1"/>
  <c r="X138" i="92"/>
  <c r="Y248" i="92"/>
  <c r="AJ248" i="92" s="1"/>
  <c r="W169" i="92"/>
  <c r="AS169" i="92" s="1"/>
  <c r="V323" i="92"/>
  <c r="AR323" i="92" s="1"/>
  <c r="W354" i="92"/>
  <c r="AH354" i="92" s="1"/>
  <c r="Y624" i="92"/>
  <c r="AU624" i="92" s="1"/>
  <c r="Z131" i="92"/>
  <c r="AK131" i="92" s="1"/>
  <c r="X369" i="92"/>
  <c r="AT369" i="92" s="1"/>
  <c r="Z599" i="92"/>
  <c r="Z487" i="92"/>
  <c r="AV487" i="92" s="1"/>
  <c r="V621" i="92"/>
  <c r="AG621" i="92" s="1"/>
  <c r="Y456" i="92"/>
  <c r="W394" i="92"/>
  <c r="Z647" i="92"/>
  <c r="AK647" i="92" s="1"/>
  <c r="X595" i="92"/>
  <c r="AI595" i="92" s="1"/>
  <c r="U723" i="92"/>
  <c r="AF723" i="92" s="1"/>
  <c r="Z756" i="92"/>
  <c r="V516" i="92"/>
  <c r="AG516" i="92" s="1"/>
  <c r="X645" i="92"/>
  <c r="U629" i="92"/>
  <c r="Y708" i="92"/>
  <c r="AJ708" i="92" s="1"/>
  <c r="W707" i="92"/>
  <c r="AH707" i="92" s="1"/>
  <c r="W755" i="92"/>
  <c r="AH755" i="92" s="1"/>
  <c r="W661" i="92"/>
  <c r="AH661" i="92" s="1"/>
  <c r="Z760" i="92"/>
  <c r="U410" i="92"/>
  <c r="U605" i="92"/>
  <c r="AF605" i="92" s="1"/>
  <c r="Y627" i="92"/>
  <c r="X661" i="92"/>
  <c r="AT661" i="92" s="1"/>
  <c r="AO251" i="92"/>
  <c r="U592" i="92"/>
  <c r="AQ592" i="92" s="1"/>
  <c r="Y600" i="92"/>
  <c r="V636" i="92"/>
  <c r="AE343" i="92"/>
  <c r="AE265" i="92"/>
  <c r="X215" i="92"/>
  <c r="V367" i="92"/>
  <c r="AR367" i="92" s="1"/>
  <c r="AE289" i="92"/>
  <c r="AP289" i="92" s="1"/>
  <c r="AE295" i="92"/>
  <c r="BA295" i="92" s="1"/>
  <c r="V215" i="92"/>
  <c r="AG215" i="92" s="1"/>
  <c r="Z312" i="92"/>
  <c r="W226" i="92"/>
  <c r="V567" i="92"/>
  <c r="AG567" i="92" s="1"/>
  <c r="Y267" i="92"/>
  <c r="U408" i="92"/>
  <c r="AF408" i="92" s="1"/>
  <c r="W251" i="92"/>
  <c r="AH251" i="92" s="1"/>
  <c r="U315" i="92"/>
  <c r="AQ315" i="92" s="1"/>
  <c r="Y314" i="92"/>
  <c r="AU314" i="92" s="1"/>
  <c r="X93" i="92"/>
  <c r="Z306" i="92"/>
  <c r="W383" i="92"/>
  <c r="AH383" i="92" s="1"/>
  <c r="W323" i="92"/>
  <c r="W554" i="92"/>
  <c r="AH554" i="92" s="1"/>
  <c r="V495" i="92"/>
  <c r="AR495" i="92" s="1"/>
  <c r="Z528" i="92"/>
  <c r="AK528" i="92" s="1"/>
  <c r="U387" i="92"/>
  <c r="AF387" i="92" s="1"/>
  <c r="W702" i="92"/>
  <c r="AH702" i="92" s="1"/>
  <c r="W313" i="92"/>
  <c r="AS313" i="92" s="1"/>
  <c r="X344" i="92"/>
  <c r="W145" i="92"/>
  <c r="Z69" i="92"/>
  <c r="AK69" i="92" s="1"/>
  <c r="U77" i="92"/>
  <c r="Z259" i="92"/>
  <c r="AV259" i="92" s="1"/>
  <c r="U171" i="92"/>
  <c r="V416" i="92"/>
  <c r="AG416" i="92" s="1"/>
  <c r="U250" i="92"/>
  <c r="Y123" i="92"/>
  <c r="AU123" i="92" s="1"/>
  <c r="Z480" i="92"/>
  <c r="W402" i="92"/>
  <c r="AH402" i="92" s="1"/>
  <c r="Y449" i="92"/>
  <c r="U696" i="92"/>
  <c r="AQ696" i="92" s="1"/>
  <c r="X479" i="92"/>
  <c r="AI479" i="92" s="1"/>
  <c r="W680" i="92"/>
  <c r="X515" i="92"/>
  <c r="X744" i="92"/>
  <c r="W619" i="92"/>
  <c r="W580" i="92"/>
  <c r="AH580" i="92" s="1"/>
  <c r="X670" i="92"/>
  <c r="Y518" i="92"/>
  <c r="AU518" i="92" s="1"/>
  <c r="U677" i="92"/>
  <c r="AQ677" i="92" s="1"/>
  <c r="U699" i="92"/>
  <c r="Z644" i="92"/>
  <c r="AV644" i="92" s="1"/>
  <c r="X422" i="92"/>
  <c r="X719" i="92"/>
  <c r="W434" i="92"/>
  <c r="AH434" i="92" s="1"/>
  <c r="W629" i="92"/>
  <c r="V616" i="92"/>
  <c r="AR616" i="92" s="1"/>
  <c r="U641" i="92"/>
  <c r="AQ641" i="92" s="1"/>
  <c r="U674" i="92"/>
  <c r="V618" i="92"/>
  <c r="W493" i="92"/>
  <c r="Z445" i="92"/>
  <c r="X454" i="92"/>
  <c r="AI454" i="92" s="1"/>
  <c r="Y670" i="92"/>
  <c r="Y739" i="92"/>
  <c r="U693" i="92"/>
  <c r="AF693" i="92" s="1"/>
  <c r="Z725" i="92"/>
  <c r="U657" i="92"/>
  <c r="U386" i="92"/>
  <c r="W489" i="92"/>
  <c r="W501" i="92"/>
  <c r="U446" i="92"/>
  <c r="V675" i="92"/>
  <c r="Y636" i="92"/>
  <c r="AU636" i="92" s="1"/>
  <c r="X571" i="92"/>
  <c r="AI571" i="92" s="1"/>
  <c r="X485" i="92"/>
  <c r="Z436" i="92"/>
  <c r="U570" i="92"/>
  <c r="W706" i="92"/>
  <c r="AS706" i="92" s="1"/>
  <c r="V588" i="92"/>
  <c r="AG588" i="92" s="1"/>
  <c r="X602" i="92"/>
  <c r="AI602" i="92" s="1"/>
  <c r="V600" i="92"/>
  <c r="AG600" i="92" s="1"/>
  <c r="U560" i="92"/>
  <c r="W393" i="92"/>
  <c r="U447" i="92"/>
  <c r="AQ447" i="92" s="1"/>
  <c r="W439" i="92"/>
  <c r="U760" i="92"/>
  <c r="V544" i="92"/>
  <c r="AR544" i="92" s="1"/>
  <c r="Z716" i="92"/>
  <c r="Z641" i="92"/>
  <c r="AK641" i="92" s="1"/>
  <c r="V480" i="92"/>
  <c r="X639" i="92"/>
  <c r="V695" i="92"/>
  <c r="W108" i="92"/>
  <c r="W424" i="92"/>
  <c r="AH424" i="92" s="1"/>
  <c r="U52" i="92"/>
  <c r="AF52" i="92" s="1"/>
  <c r="X567" i="92"/>
  <c r="AT567" i="92" s="1"/>
  <c r="V68" i="92"/>
  <c r="AG68" i="92" s="1"/>
  <c r="Z315" i="92"/>
  <c r="U323" i="92"/>
  <c r="V179" i="92"/>
  <c r="AG179" i="92" s="1"/>
  <c r="V125" i="92"/>
  <c r="AE226" i="92"/>
  <c r="BA226" i="92" s="1"/>
  <c r="U711" i="92"/>
  <c r="V379" i="92"/>
  <c r="AR379" i="92" s="1"/>
  <c r="V313" i="92"/>
  <c r="AR313" i="92" s="1"/>
  <c r="AE329" i="92"/>
  <c r="Y295" i="92"/>
  <c r="AE297" i="92"/>
  <c r="BA297" i="92" s="1"/>
  <c r="W375" i="92"/>
  <c r="Z257" i="92"/>
  <c r="AK257" i="92" s="1"/>
  <c r="Y279" i="92"/>
  <c r="X329" i="92"/>
  <c r="AI329" i="92" s="1"/>
  <c r="Y105" i="92"/>
  <c r="AJ105" i="92" s="1"/>
  <c r="W604" i="92"/>
  <c r="Y762" i="92"/>
  <c r="X650" i="92"/>
  <c r="AI650" i="92" s="1"/>
  <c r="U529" i="92"/>
  <c r="U616" i="92"/>
  <c r="W751" i="92"/>
  <c r="AS751" i="92" s="1"/>
  <c r="W703" i="92"/>
  <c r="AH703" i="92" s="1"/>
  <c r="W480" i="92"/>
  <c r="AH480" i="92" s="1"/>
  <c r="Y403" i="92"/>
  <c r="Z714" i="92"/>
  <c r="X545" i="92"/>
  <c r="AT545" i="92" s="1"/>
  <c r="X528" i="92"/>
  <c r="Z465" i="92"/>
  <c r="AK465" i="92" s="1"/>
  <c r="Z624" i="92"/>
  <c r="AV624" i="92" s="1"/>
  <c r="Z497" i="92"/>
  <c r="AV497" i="92" s="1"/>
  <c r="U553" i="92"/>
  <c r="AF553" i="92" s="1"/>
  <c r="Z408" i="92"/>
  <c r="V429" i="92"/>
  <c r="W602" i="92"/>
  <c r="Y647" i="92"/>
  <c r="X536" i="92"/>
  <c r="AI536" i="92" s="1"/>
  <c r="W141" i="92"/>
  <c r="W298" i="92"/>
  <c r="AS298" i="92" s="1"/>
  <c r="V149" i="92"/>
  <c r="AG149" i="92" s="1"/>
  <c r="Z314" i="92"/>
  <c r="X165" i="92"/>
  <c r="AT165" i="92" s="1"/>
  <c r="X751" i="92"/>
  <c r="AI751" i="92" s="1"/>
  <c r="W203" i="92"/>
  <c r="Y465" i="92"/>
  <c r="AU465" i="92" s="1"/>
  <c r="Z211" i="92"/>
  <c r="Y51" i="92"/>
  <c r="AU51" i="92" s="1"/>
  <c r="V315" i="92"/>
  <c r="AR315" i="92" s="1"/>
  <c r="U107" i="92"/>
  <c r="AQ107" i="92" s="1"/>
  <c r="Y141" i="92"/>
  <c r="AJ141" i="92" s="1"/>
  <c r="Y616" i="92"/>
  <c r="Z164" i="92"/>
  <c r="AE194" i="92"/>
  <c r="AE279" i="92"/>
  <c r="BA279" i="92" s="1"/>
  <c r="Y184" i="92"/>
  <c r="AU184" i="92" s="1"/>
  <c r="V178" i="92"/>
  <c r="AG178" i="92" s="1"/>
  <c r="W263" i="92"/>
  <c r="Z74" i="92"/>
  <c r="W168" i="92"/>
  <c r="AS168" i="92" s="1"/>
  <c r="V154" i="92"/>
  <c r="V351" i="92"/>
  <c r="AG351" i="92" s="1"/>
  <c r="V741" i="92"/>
  <c r="X739" i="92"/>
  <c r="AI739" i="92" s="1"/>
  <c r="X514" i="92"/>
  <c r="AT514" i="92" s="1"/>
  <c r="X756" i="92"/>
  <c r="X617" i="92"/>
  <c r="U513" i="92"/>
  <c r="U594" i="92"/>
  <c r="X387" i="92"/>
  <c r="AI387" i="92" s="1"/>
  <c r="V133" i="92"/>
  <c r="AR133" i="92" s="1"/>
  <c r="Y234" i="92"/>
  <c r="AU234" i="92" s="1"/>
  <c r="X141" i="92"/>
  <c r="AI141" i="92" s="1"/>
  <c r="Y187" i="92"/>
  <c r="V660" i="92"/>
  <c r="U390" i="92"/>
  <c r="AQ390" i="92" s="1"/>
  <c r="U548" i="92"/>
  <c r="Z419" i="92"/>
  <c r="AK419" i="92" s="1"/>
  <c r="X503" i="92"/>
  <c r="AI503" i="92" s="1"/>
  <c r="Z430" i="92"/>
  <c r="AK430" i="92" s="1"/>
  <c r="Y437" i="92"/>
  <c r="AJ437" i="92" s="1"/>
  <c r="W413" i="92"/>
  <c r="AH413" i="92" s="1"/>
  <c r="Y434" i="92"/>
  <c r="AJ434" i="92" s="1"/>
  <c r="V754" i="92"/>
  <c r="AR754" i="92" s="1"/>
  <c r="X625" i="92"/>
  <c r="W425" i="92"/>
  <c r="AS425" i="92" s="1"/>
  <c r="Y702" i="92"/>
  <c r="V582" i="92"/>
  <c r="AG582" i="92" s="1"/>
  <c r="V388" i="92"/>
  <c r="AG388" i="92" s="1"/>
  <c r="V403" i="92"/>
  <c r="Y592" i="92"/>
  <c r="AU592" i="92" s="1"/>
  <c r="Y632" i="92"/>
  <c r="AU632" i="92" s="1"/>
  <c r="Z654" i="92"/>
  <c r="U662" i="92"/>
  <c r="X497" i="92"/>
  <c r="AI497" i="92" s="1"/>
  <c r="U619" i="92"/>
  <c r="AF619" i="92" s="1"/>
  <c r="X636" i="92"/>
  <c r="Z579" i="92"/>
  <c r="AK579" i="92" s="1"/>
  <c r="Y579" i="92"/>
  <c r="X701" i="92"/>
  <c r="W726" i="92"/>
  <c r="AS726" i="92" s="1"/>
  <c r="U694" i="92"/>
  <c r="V541" i="92"/>
  <c r="AR541" i="92" s="1"/>
  <c r="V637" i="92"/>
  <c r="AG637" i="92" s="1"/>
  <c r="W637" i="92"/>
  <c r="AS637" i="92" s="1"/>
  <c r="W746" i="92"/>
  <c r="Y397" i="92"/>
  <c r="X540" i="92"/>
  <c r="AI540" i="92" s="1"/>
  <c r="Y611" i="92"/>
  <c r="V627" i="92"/>
  <c r="AG627" i="92" s="1"/>
  <c r="U468" i="92"/>
  <c r="AF468" i="92" s="1"/>
  <c r="U449" i="92"/>
  <c r="AF449" i="92" s="1"/>
  <c r="W571" i="92"/>
  <c r="AS571" i="92" s="1"/>
  <c r="X569" i="92"/>
  <c r="Z423" i="92"/>
  <c r="Y537" i="92"/>
  <c r="AJ537" i="92" s="1"/>
  <c r="Z618" i="92"/>
  <c r="W569" i="92"/>
  <c r="V520" i="92"/>
  <c r="AR520" i="92" s="1"/>
  <c r="W670" i="92"/>
  <c r="AS670" i="92" s="1"/>
  <c r="Z459" i="92"/>
  <c r="X656" i="92"/>
  <c r="X505" i="92"/>
  <c r="X624" i="92"/>
  <c r="AI624" i="92" s="1"/>
  <c r="Y323" i="92"/>
  <c r="U59" i="92"/>
  <c r="Z283" i="92"/>
  <c r="U195" i="92"/>
  <c r="V423" i="92"/>
  <c r="AG423" i="92" s="1"/>
  <c r="W655" i="92"/>
  <c r="U735" i="92"/>
  <c r="Z203" i="92"/>
  <c r="AK203" i="92" s="1"/>
  <c r="Y535" i="92"/>
  <c r="AU535" i="92" s="1"/>
  <c r="W455" i="92"/>
  <c r="AS455" i="92" s="1"/>
  <c r="X234" i="92"/>
  <c r="U320" i="92"/>
  <c r="AF320" i="92" s="1"/>
  <c r="X160" i="92"/>
  <c r="AI160" i="92" s="1"/>
  <c r="W288" i="92"/>
  <c r="X366" i="92"/>
  <c r="Z304" i="92"/>
  <c r="W474" i="92"/>
  <c r="X561" i="92"/>
  <c r="W472" i="92"/>
  <c r="Z463" i="92"/>
  <c r="AK463" i="92" s="1"/>
  <c r="Y513" i="92"/>
  <c r="AJ513" i="92" s="1"/>
  <c r="Z464" i="92"/>
  <c r="AK464" i="92" s="1"/>
  <c r="X632" i="92"/>
  <c r="W728" i="92"/>
  <c r="Z447" i="92"/>
  <c r="X659" i="92"/>
  <c r="AI659" i="92" s="1"/>
  <c r="U610" i="92"/>
  <c r="Z659" i="92"/>
  <c r="AK659" i="92" s="1"/>
  <c r="X577" i="92"/>
  <c r="AI577" i="92" s="1"/>
  <c r="AE211" i="92"/>
  <c r="V617" i="92"/>
  <c r="X180" i="92"/>
  <c r="V67" i="92"/>
  <c r="AG67" i="92" s="1"/>
  <c r="Y299" i="92"/>
  <c r="AU299" i="92" s="1"/>
  <c r="V61" i="92"/>
  <c r="AR61" i="92" s="1"/>
  <c r="Z290" i="92"/>
  <c r="AV290" i="92" s="1"/>
  <c r="U133" i="92"/>
  <c r="AF133" i="92" s="1"/>
  <c r="V290" i="92"/>
  <c r="AG290" i="92" s="1"/>
  <c r="U583" i="92"/>
  <c r="Y346" i="92"/>
  <c r="AJ346" i="92" s="1"/>
  <c r="Y665" i="92"/>
  <c r="W172" i="92"/>
  <c r="W197" i="92"/>
  <c r="V115" i="92"/>
  <c r="AR115" i="92" s="1"/>
  <c r="Z208" i="92"/>
  <c r="X294" i="92"/>
  <c r="U105" i="92"/>
  <c r="Z187" i="92"/>
  <c r="AV187" i="92" s="1"/>
  <c r="U193" i="92"/>
  <c r="W153" i="92"/>
  <c r="AH153" i="92" s="1"/>
  <c r="AE294" i="92"/>
  <c r="X224" i="92"/>
  <c r="AI224" i="92" s="1"/>
  <c r="Y749" i="92"/>
  <c r="AJ749" i="92" s="1"/>
  <c r="U611" i="92"/>
  <c r="AF611" i="92" s="1"/>
  <c r="V555" i="92"/>
  <c r="AG555" i="92" s="1"/>
  <c r="Z738" i="92"/>
  <c r="AK738" i="92" s="1"/>
  <c r="V489" i="92"/>
  <c r="V657" i="92"/>
  <c r="AG657" i="92" s="1"/>
  <c r="W696" i="92"/>
  <c r="U498" i="92"/>
  <c r="W528" i="92"/>
  <c r="U203" i="92"/>
  <c r="W552" i="92"/>
  <c r="AH552" i="92" s="1"/>
  <c r="X108" i="92"/>
  <c r="AT108" i="92" s="1"/>
  <c r="V719" i="92"/>
  <c r="Z679" i="92"/>
  <c r="AK679" i="92" s="1"/>
  <c r="Y197" i="92"/>
  <c r="W575" i="92"/>
  <c r="AS575" i="92" s="1"/>
  <c r="U441" i="92"/>
  <c r="AF441" i="92" s="1"/>
  <c r="X748" i="92"/>
  <c r="AI748" i="92" s="1"/>
  <c r="Z646" i="92"/>
  <c r="V677" i="92"/>
  <c r="X280" i="92"/>
  <c r="Y223" i="92"/>
  <c r="AU223" i="92" s="1"/>
  <c r="Y353" i="92"/>
  <c r="AJ353" i="92" s="1"/>
  <c r="Z154" i="92"/>
  <c r="AV154" i="92" s="1"/>
  <c r="W66" i="92"/>
  <c r="AH66" i="92" s="1"/>
  <c r="Y400" i="92"/>
  <c r="U527" i="92"/>
  <c r="U189" i="92"/>
  <c r="AF189" i="92" s="1"/>
  <c r="Z267" i="92"/>
  <c r="V355" i="92"/>
  <c r="AR355" i="92" s="1"/>
  <c r="Y116" i="92"/>
  <c r="AU116" i="92" s="1"/>
  <c r="Z172" i="92"/>
  <c r="AK172" i="92" s="1"/>
  <c r="Y608" i="92"/>
  <c r="AU608" i="92" s="1"/>
  <c r="Z748" i="92"/>
  <c r="W609" i="92"/>
  <c r="W591" i="92"/>
  <c r="AS591" i="92" s="1"/>
  <c r="W482" i="92"/>
  <c r="Z561" i="92"/>
  <c r="Y585" i="92"/>
  <c r="AU585" i="92" s="1"/>
  <c r="W635" i="92"/>
  <c r="AS635" i="92" s="1"/>
  <c r="X483" i="92"/>
  <c r="AI483" i="92" s="1"/>
  <c r="U509" i="92"/>
  <c r="X692" i="92"/>
  <c r="Y506" i="92"/>
  <c r="AU506" i="92" s="1"/>
  <c r="V589" i="92"/>
  <c r="U654" i="92"/>
  <c r="AQ654" i="92" s="1"/>
  <c r="Y573" i="92"/>
  <c r="AJ573" i="92" s="1"/>
  <c r="Y656" i="92"/>
  <c r="AU656" i="92" s="1"/>
  <c r="Z388" i="92"/>
  <c r="AK388" i="92" s="1"/>
  <c r="V432" i="92"/>
  <c r="Y388" i="92"/>
  <c r="Y652" i="92"/>
  <c r="Z516" i="92"/>
  <c r="U581" i="92"/>
  <c r="AF581" i="92" s="1"/>
  <c r="X714" i="92"/>
  <c r="AI714" i="92" s="1"/>
  <c r="V421" i="92"/>
  <c r="X502" i="92"/>
  <c r="AI502" i="92" s="1"/>
  <c r="V757" i="92"/>
  <c r="U544" i="92"/>
  <c r="Z731" i="92"/>
  <c r="Y720" i="92"/>
  <c r="X437" i="92"/>
  <c r="AI437" i="92" s="1"/>
  <c r="AA153" i="92"/>
  <c r="AL153" i="92" s="1"/>
  <c r="X450" i="92"/>
  <c r="AI450" i="92" s="1"/>
  <c r="Z498" i="92"/>
  <c r="W420" i="92"/>
  <c r="Z403" i="92"/>
  <c r="U627" i="92"/>
  <c r="Y509" i="92"/>
  <c r="U652" i="92"/>
  <c r="AF652" i="92" s="1"/>
  <c r="Y660" i="92"/>
  <c r="U645" i="92"/>
  <c r="W717" i="92"/>
  <c r="AS717" i="92" s="1"/>
  <c r="V685" i="92"/>
  <c r="W382" i="92"/>
  <c r="Z410" i="92"/>
  <c r="V446" i="92"/>
  <c r="U501" i="92"/>
  <c r="AF501" i="92" s="1"/>
  <c r="W603" i="92"/>
  <c r="AS603" i="92" s="1"/>
  <c r="Z417" i="92"/>
  <c r="AK417" i="92" s="1"/>
  <c r="W693" i="92"/>
  <c r="W613" i="92"/>
  <c r="W567" i="92"/>
  <c r="W559" i="92"/>
  <c r="X458" i="92"/>
  <c r="Z666" i="92"/>
  <c r="AV666" i="92" s="1"/>
  <c r="V698" i="92"/>
  <c r="AR698" i="92" s="1"/>
  <c r="Y435" i="92"/>
  <c r="AU435" i="92" s="1"/>
  <c r="W485" i="92"/>
  <c r="AH485" i="92" s="1"/>
  <c r="V546" i="92"/>
  <c r="W592" i="92"/>
  <c r="Y419" i="92"/>
  <c r="W397" i="92"/>
  <c r="Z730" i="92"/>
  <c r="AK730" i="92" s="1"/>
  <c r="AO40" i="92"/>
  <c r="AZ36" i="92"/>
  <c r="AC32" i="92"/>
  <c r="AB36" i="92"/>
  <c r="AM36" i="92" s="1"/>
  <c r="X611" i="92"/>
  <c r="Z467" i="92"/>
  <c r="AV467" i="92" s="1"/>
  <c r="U518" i="92"/>
  <c r="AF518" i="92" s="1"/>
  <c r="U568" i="92"/>
  <c r="U507" i="92"/>
  <c r="AQ507" i="92" s="1"/>
  <c r="Y597" i="92"/>
  <c r="AU597" i="92" s="1"/>
  <c r="V759" i="92"/>
  <c r="V437" i="92"/>
  <c r="AC44" i="92"/>
  <c r="AA39" i="92"/>
  <c r="AC37" i="92"/>
  <c r="AY37" i="92" s="1"/>
  <c r="AB37" i="92"/>
  <c r="AM37" i="92" s="1"/>
  <c r="AC38" i="92"/>
  <c r="V728" i="92"/>
  <c r="AR728" i="92" s="1"/>
  <c r="V547" i="92"/>
  <c r="V642" i="92"/>
  <c r="Y444" i="92"/>
  <c r="AU444" i="92" s="1"/>
  <c r="Z660" i="92"/>
  <c r="U523" i="92"/>
  <c r="AF523" i="92" s="1"/>
  <c r="U675" i="92"/>
  <c r="Z518" i="92"/>
  <c r="AK518" i="92" s="1"/>
  <c r="Y662" i="92"/>
  <c r="AJ662" i="92" s="1"/>
  <c r="Y534" i="92"/>
  <c r="X582" i="92"/>
  <c r="U685" i="92"/>
  <c r="W445" i="92"/>
  <c r="X707" i="92"/>
  <c r="AI707" i="92" s="1"/>
  <c r="Z420" i="92"/>
  <c r="AV420" i="92" s="1"/>
  <c r="V716" i="92"/>
  <c r="AR716" i="92" s="1"/>
  <c r="V686" i="92"/>
  <c r="AR686" i="92" s="1"/>
  <c r="X606" i="92"/>
  <c r="AI606" i="92" s="1"/>
  <c r="W446" i="92"/>
  <c r="AS446" i="92" s="1"/>
  <c r="U521" i="92"/>
  <c r="AF521" i="92" s="1"/>
  <c r="X401" i="92"/>
  <c r="V400" i="92"/>
  <c r="AG400" i="92" s="1"/>
  <c r="U465" i="92"/>
  <c r="V603" i="92"/>
  <c r="AR603" i="92" s="1"/>
  <c r="U412" i="92"/>
  <c r="AF412" i="92" s="1"/>
  <c r="W414" i="92"/>
  <c r="V752" i="92"/>
  <c r="X411" i="92"/>
  <c r="Y556" i="92"/>
  <c r="AU556" i="92" s="1"/>
  <c r="V558" i="92"/>
  <c r="AG558" i="92" s="1"/>
  <c r="V444" i="92"/>
  <c r="AG444" i="92" s="1"/>
  <c r="AB38" i="92"/>
  <c r="AX38" i="92" s="1"/>
  <c r="AO39" i="92"/>
  <c r="AC30" i="92"/>
  <c r="AC21" i="92"/>
  <c r="AA33" i="92"/>
  <c r="Z732" i="92"/>
  <c r="X685" i="92"/>
  <c r="AT685" i="92" s="1"/>
  <c r="V534" i="92"/>
  <c r="AG534" i="92" s="1"/>
  <c r="Y641" i="92"/>
  <c r="AJ641" i="92" s="1"/>
  <c r="Y412" i="92"/>
  <c r="AU412" i="92" s="1"/>
  <c r="U740" i="92"/>
  <c r="AF740" i="92" s="1"/>
  <c r="Y571" i="92"/>
  <c r="Y742" i="92"/>
  <c r="Y673" i="92"/>
  <c r="Z391" i="92"/>
  <c r="AK391" i="92" s="1"/>
  <c r="X630" i="92"/>
  <c r="V721" i="92"/>
  <c r="AR721" i="92" s="1"/>
  <c r="Y607" i="92"/>
  <c r="AJ607" i="92" s="1"/>
  <c r="U538" i="92"/>
  <c r="U746" i="92"/>
  <c r="U493" i="92"/>
  <c r="U582" i="92"/>
  <c r="W502" i="92"/>
  <c r="Z706" i="92"/>
  <c r="X492" i="92"/>
  <c r="AI492" i="92" s="1"/>
  <c r="W644" i="92"/>
  <c r="AH644" i="92" s="1"/>
  <c r="U625" i="92"/>
  <c r="X574" i="92"/>
  <c r="AT574" i="92" s="1"/>
  <c r="AO43" i="92"/>
  <c r="AZ27" i="92"/>
  <c r="AA22" i="92"/>
  <c r="AW22" i="92" s="1"/>
  <c r="AB33" i="92"/>
  <c r="U403" i="92"/>
  <c r="Y700" i="92"/>
  <c r="Z622" i="92"/>
  <c r="W463" i="92"/>
  <c r="Z450" i="92"/>
  <c r="Z395" i="92"/>
  <c r="Y547" i="92"/>
  <c r="X443" i="92"/>
  <c r="Z406" i="92"/>
  <c r="AK406" i="92" s="1"/>
  <c r="V499" i="92"/>
  <c r="AR499" i="92" s="1"/>
  <c r="X736" i="92"/>
  <c r="U443" i="92"/>
  <c r="Y441" i="92"/>
  <c r="AJ441" i="92" s="1"/>
  <c r="X402" i="92"/>
  <c r="W675" i="92"/>
  <c r="AS675" i="92" s="1"/>
  <c r="Z589" i="92"/>
  <c r="AK589" i="92" s="1"/>
  <c r="Z578" i="92"/>
  <c r="Y516" i="92"/>
  <c r="W643" i="92"/>
  <c r="AS643" i="92" s="1"/>
  <c r="V456" i="92"/>
  <c r="X494" i="92"/>
  <c r="U448" i="92"/>
  <c r="V740" i="92"/>
  <c r="AG740" i="92" s="1"/>
  <c r="X425" i="92"/>
  <c r="AT425" i="92" s="1"/>
  <c r="Z514" i="92"/>
  <c r="V722" i="92"/>
  <c r="AG722" i="92" s="1"/>
  <c r="Y681" i="92"/>
  <c r="Z607" i="92"/>
  <c r="AV607" i="92" s="1"/>
  <c r="W576" i="92"/>
  <c r="U602" i="92"/>
  <c r="AF602" i="92" s="1"/>
  <c r="W505" i="92"/>
  <c r="AS505" i="92" s="1"/>
  <c r="X623" i="92"/>
  <c r="V583" i="92"/>
  <c r="AR583" i="92" s="1"/>
  <c r="V467" i="92"/>
  <c r="U705" i="92"/>
  <c r="U424" i="92"/>
  <c r="AF424" i="92" s="1"/>
  <c r="Z620" i="92"/>
  <c r="W642" i="92"/>
  <c r="AS642" i="92" s="1"/>
  <c r="W617" i="92"/>
  <c r="AH617" i="92" s="1"/>
  <c r="Y544" i="92"/>
  <c r="Y488" i="92"/>
  <c r="V639" i="92"/>
  <c r="AR639" i="92" s="1"/>
  <c r="Y722" i="92"/>
  <c r="V458" i="92"/>
  <c r="AG458" i="92" s="1"/>
  <c r="Y424" i="92"/>
  <c r="V712" i="92"/>
  <c r="AG712" i="92" s="1"/>
  <c r="X393" i="92"/>
  <c r="AT393" i="92" s="1"/>
  <c r="U401" i="92"/>
  <c r="AF401" i="92" s="1"/>
  <c r="U457" i="92"/>
  <c r="V640" i="92"/>
  <c r="AG640" i="92" s="1"/>
  <c r="V720" i="92"/>
  <c r="Y431" i="92"/>
  <c r="AJ431" i="92" s="1"/>
  <c r="U617" i="92"/>
  <c r="AF617" i="92" s="1"/>
  <c r="Y640" i="92"/>
  <c r="AJ640" i="92" s="1"/>
  <c r="Z470" i="92"/>
  <c r="W532" i="92"/>
  <c r="W499" i="92"/>
  <c r="Y711" i="92"/>
  <c r="X641" i="92"/>
  <c r="U703" i="92"/>
  <c r="V463" i="92"/>
  <c r="AR463" i="92" s="1"/>
  <c r="AA225" i="92"/>
  <c r="V392" i="92"/>
  <c r="AR392" i="92" s="1"/>
  <c r="V517" i="92"/>
  <c r="U476" i="92"/>
  <c r="Z665" i="92"/>
  <c r="V734" i="92"/>
  <c r="W758" i="92"/>
  <c r="Y460" i="92"/>
  <c r="W451" i="92"/>
  <c r="Z506" i="92"/>
  <c r="AV506" i="92" s="1"/>
  <c r="Z479" i="92"/>
  <c r="V681" i="92"/>
  <c r="AG681" i="92" s="1"/>
  <c r="V562" i="92"/>
  <c r="AG562" i="92" s="1"/>
  <c r="W745" i="92"/>
  <c r="V631" i="92"/>
  <c r="AG631" i="92" s="1"/>
  <c r="W577" i="92"/>
  <c r="AS577" i="92" s="1"/>
  <c r="W436" i="92"/>
  <c r="AS436" i="92" s="1"/>
  <c r="W586" i="92"/>
  <c r="AS586" i="92" s="1"/>
  <c r="X647" i="92"/>
  <c r="X631" i="92"/>
  <c r="Y637" i="92"/>
  <c r="X612" i="92"/>
  <c r="Y666" i="92"/>
  <c r="AU666" i="92" s="1"/>
  <c r="U519" i="92"/>
  <c r="Y723" i="92"/>
  <c r="AU723" i="92" s="1"/>
  <c r="W610" i="92"/>
  <c r="AS610" i="92" s="1"/>
  <c r="W507" i="92"/>
  <c r="AS507" i="92" s="1"/>
  <c r="V626" i="92"/>
  <c r="U722" i="92"/>
  <c r="AQ722" i="92" s="1"/>
  <c r="U729" i="92"/>
  <c r="AQ729" i="92" s="1"/>
  <c r="U714" i="92"/>
  <c r="AF714" i="92" s="1"/>
  <c r="U715" i="92"/>
  <c r="W523" i="92"/>
  <c r="AS523" i="92" s="1"/>
  <c r="V659" i="92"/>
  <c r="AG659" i="92" s="1"/>
  <c r="U596" i="92"/>
  <c r="X435" i="92"/>
  <c r="Z563" i="92"/>
  <c r="Z726" i="92"/>
  <c r="AK726" i="92" s="1"/>
  <c r="V462" i="92"/>
  <c r="Z662" i="92"/>
  <c r="X725" i="92"/>
  <c r="X741" i="92"/>
  <c r="AT741" i="92" s="1"/>
  <c r="U646" i="92"/>
  <c r="W438" i="92"/>
  <c r="AH438" i="92" s="1"/>
  <c r="X734" i="92"/>
  <c r="AI734" i="92" s="1"/>
  <c r="X532" i="92"/>
  <c r="AI532" i="92" s="1"/>
  <c r="Y699" i="92"/>
  <c r="AU699" i="92" s="1"/>
  <c r="U612" i="92"/>
  <c r="AF612" i="92" s="1"/>
  <c r="Y413" i="92"/>
  <c r="Y461" i="92"/>
  <c r="AJ461" i="92" s="1"/>
  <c r="Y755" i="92"/>
  <c r="Y582" i="92"/>
  <c r="V726" i="92"/>
  <c r="AR726" i="92" s="1"/>
  <c r="U597" i="92"/>
  <c r="U741" i="92"/>
  <c r="AF741" i="92" s="1"/>
  <c r="U590" i="92"/>
  <c r="X530" i="92"/>
  <c r="AT530" i="92" s="1"/>
  <c r="W711" i="92"/>
  <c r="AS711" i="92" s="1"/>
  <c r="Z441" i="92"/>
  <c r="V664" i="92"/>
  <c r="X689" i="92"/>
  <c r="W442" i="92"/>
  <c r="U506" i="92"/>
  <c r="AF506" i="92" s="1"/>
  <c r="X547" i="92"/>
  <c r="X566" i="92"/>
  <c r="AI566" i="92" s="1"/>
  <c r="U691" i="92"/>
  <c r="AQ691" i="92" s="1"/>
  <c r="X534" i="92"/>
  <c r="Z621" i="92"/>
  <c r="X424" i="92"/>
  <c r="AT424" i="92" s="1"/>
  <c r="Y385" i="92"/>
  <c r="V464" i="92"/>
  <c r="AG464" i="92" s="1"/>
  <c r="Z745" i="92"/>
  <c r="Y410" i="92"/>
  <c r="AJ410" i="92" s="1"/>
  <c r="U420" i="92"/>
  <c r="AQ420" i="92" s="1"/>
  <c r="V756" i="92"/>
  <c r="AR756" i="92" s="1"/>
  <c r="V693" i="92"/>
  <c r="Z629" i="92"/>
  <c r="AV629" i="92" s="1"/>
  <c r="Y735" i="92"/>
  <c r="AJ735" i="92" s="1"/>
  <c r="X546" i="92"/>
  <c r="AI546" i="92" s="1"/>
  <c r="X604" i="92"/>
  <c r="AT604" i="92" s="1"/>
  <c r="V688" i="92"/>
  <c r="AR688" i="92" s="1"/>
  <c r="AZ34" i="92"/>
  <c r="AO25" i="92"/>
  <c r="AA31" i="92"/>
  <c r="AB21" i="92"/>
  <c r="AC27" i="92"/>
  <c r="AN27" i="92" s="1"/>
  <c r="AC28" i="92"/>
  <c r="U587" i="92"/>
  <c r="Y436" i="92"/>
  <c r="AJ436" i="92" s="1"/>
  <c r="Y604" i="92"/>
  <c r="U755" i="92"/>
  <c r="AQ755" i="92" s="1"/>
  <c r="X642" i="92"/>
  <c r="AI642" i="92" s="1"/>
  <c r="W403" i="92"/>
  <c r="X507" i="92"/>
  <c r="W621" i="92"/>
  <c r="U635" i="92"/>
  <c r="X541" i="92"/>
  <c r="Y476" i="92"/>
  <c r="Y701" i="92"/>
  <c r="AJ701" i="92" s="1"/>
  <c r="Z588" i="92"/>
  <c r="Z541" i="92"/>
  <c r="AK541" i="92" s="1"/>
  <c r="W701" i="92"/>
  <c r="AS701" i="92" s="1"/>
  <c r="Z558" i="92"/>
  <c r="AK558" i="92" s="1"/>
  <c r="U589" i="92"/>
  <c r="W440" i="92"/>
  <c r="X383" i="92"/>
  <c r="W737" i="92"/>
  <c r="AS737" i="92" s="1"/>
  <c r="Y574" i="92"/>
  <c r="Z523" i="92"/>
  <c r="AK523" i="92" s="1"/>
  <c r="U413" i="92"/>
  <c r="AQ413" i="92" s="1"/>
  <c r="X524" i="92"/>
  <c r="W668" i="92"/>
  <c r="AS668" i="92" s="1"/>
  <c r="U395" i="92"/>
  <c r="W469" i="92"/>
  <c r="V502" i="92"/>
  <c r="AG502" i="92" s="1"/>
  <c r="U478" i="92"/>
  <c r="W406" i="92"/>
  <c r="Z733" i="92"/>
  <c r="AV733" i="92" s="1"/>
  <c r="Y748" i="92"/>
  <c r="V673" i="92"/>
  <c r="AR673" i="92" s="1"/>
  <c r="Z433" i="92"/>
  <c r="AK433" i="92" s="1"/>
  <c r="X407" i="92"/>
  <c r="Y583" i="92"/>
  <c r="AU583" i="92" s="1"/>
  <c r="Z634" i="92"/>
  <c r="Z491" i="92"/>
  <c r="AV491" i="92" s="1"/>
  <c r="Z387" i="92"/>
  <c r="AK387" i="92" s="1"/>
  <c r="Z477" i="92"/>
  <c r="X762" i="92"/>
  <c r="AT762" i="92" s="1"/>
  <c r="X749" i="92"/>
  <c r="Z462" i="92"/>
  <c r="W662" i="92"/>
  <c r="AH662" i="92" s="1"/>
  <c r="V729" i="92"/>
  <c r="AR729" i="92" s="1"/>
  <c r="Z552" i="92"/>
  <c r="AV552" i="92" s="1"/>
  <c r="X626" i="92"/>
  <c r="AT626" i="92" s="1"/>
  <c r="Y538" i="92"/>
  <c r="X706" i="92"/>
  <c r="Z699" i="92"/>
  <c r="Z540" i="92"/>
  <c r="AV540" i="92" s="1"/>
  <c r="Y494" i="92"/>
  <c r="AJ494" i="92" s="1"/>
  <c r="V758" i="92"/>
  <c r="AR758" i="92" s="1"/>
  <c r="Z411" i="92"/>
  <c r="AK411" i="92" s="1"/>
  <c r="V452" i="92"/>
  <c r="AG452" i="92" s="1"/>
  <c r="X587" i="92"/>
  <c r="AA28" i="92"/>
  <c r="AA37" i="92"/>
  <c r="AC29" i="92"/>
  <c r="AN29" i="92" s="1"/>
  <c r="AC39" i="92"/>
  <c r="AN39" i="92" s="1"/>
  <c r="AC34" i="92"/>
  <c r="AY34" i="92" s="1"/>
  <c r="AB32" i="92"/>
  <c r="AB35" i="92"/>
  <c r="V549" i="92"/>
  <c r="AA101" i="92"/>
  <c r="U603" i="92"/>
  <c r="AF603" i="92" s="1"/>
  <c r="Y402" i="92"/>
  <c r="U530" i="92"/>
  <c r="W673" i="92"/>
  <c r="AH673" i="92" s="1"/>
  <c r="W443" i="92"/>
  <c r="AH443" i="92" s="1"/>
  <c r="U396" i="92"/>
  <c r="U706" i="92"/>
  <c r="AQ706" i="92" s="1"/>
  <c r="Z627" i="92"/>
  <c r="X565" i="92"/>
  <c r="AT565" i="92" s="1"/>
  <c r="W556" i="92"/>
  <c r="AH556" i="92" s="1"/>
  <c r="W388" i="92"/>
  <c r="AH388" i="92" s="1"/>
  <c r="Z739" i="92"/>
  <c r="AK739" i="92" s="1"/>
  <c r="W572" i="92"/>
  <c r="W405" i="92"/>
  <c r="V614" i="92"/>
  <c r="AG614" i="92" s="1"/>
  <c r="Z710" i="92"/>
  <c r="V703" i="92"/>
  <c r="AG703" i="92" s="1"/>
  <c r="U557" i="92"/>
  <c r="AF557" i="92" s="1"/>
  <c r="Y668" i="92"/>
  <c r="AJ668" i="92" s="1"/>
  <c r="X590" i="92"/>
  <c r="AT590" i="92" s="1"/>
  <c r="Z676" i="92"/>
  <c r="AV676" i="92" s="1"/>
  <c r="W553" i="92"/>
  <c r="V483" i="92"/>
  <c r="X539" i="92"/>
  <c r="U460" i="92"/>
  <c r="AF460" i="92" s="1"/>
  <c r="W548" i="92"/>
  <c r="AS548" i="92" s="1"/>
  <c r="X716" i="92"/>
  <c r="AT716" i="92" s="1"/>
  <c r="W709" i="92"/>
  <c r="AS709" i="92" s="1"/>
  <c r="U653" i="92"/>
  <c r="Y405" i="92"/>
  <c r="Z614" i="92"/>
  <c r="AK614" i="92" s="1"/>
  <c r="Z694" i="92"/>
  <c r="AK694" i="92" s="1"/>
  <c r="Z669" i="92"/>
  <c r="AK669" i="92" s="1"/>
  <c r="U481" i="92"/>
  <c r="AQ481" i="92" s="1"/>
  <c r="W634" i="92"/>
  <c r="AH634" i="92" s="1"/>
  <c r="X657" i="92"/>
  <c r="AT657" i="92" s="1"/>
  <c r="X537" i="92"/>
  <c r="AI537" i="92" s="1"/>
  <c r="W450" i="92"/>
  <c r="AS450" i="92" s="1"/>
  <c r="U388" i="92"/>
  <c r="AF388" i="92" s="1"/>
  <c r="Y570" i="92"/>
  <c r="X651" i="92"/>
  <c r="AI651" i="92" s="1"/>
  <c r="X430" i="92"/>
  <c r="AI430" i="92" s="1"/>
  <c r="Z638" i="92"/>
  <c r="AK638" i="92" s="1"/>
  <c r="Z670" i="92"/>
  <c r="AV670" i="92" s="1"/>
  <c r="U430" i="92"/>
  <c r="X578" i="92"/>
  <c r="V449" i="92"/>
  <c r="W514" i="92"/>
  <c r="W475" i="92"/>
  <c r="AH475" i="92" s="1"/>
  <c r="W458" i="92"/>
  <c r="Y564" i="92"/>
  <c r="AJ564" i="92" s="1"/>
  <c r="Y501" i="92"/>
  <c r="V709" i="92"/>
  <c r="AR709" i="92" s="1"/>
  <c r="V554" i="92"/>
  <c r="V674" i="92"/>
  <c r="AR674" i="92" s="1"/>
  <c r="W390" i="92"/>
  <c r="Z534" i="92"/>
  <c r="AV534" i="92" s="1"/>
  <c r="V412" i="92"/>
  <c r="AR412" i="92" s="1"/>
  <c r="AO42" i="92"/>
  <c r="AZ22" i="92"/>
  <c r="AA30" i="92"/>
  <c r="AO23" i="92"/>
  <c r="AB31" i="92"/>
  <c r="AC35" i="92"/>
  <c r="AA21" i="92"/>
  <c r="AC33" i="92"/>
  <c r="Y710" i="92"/>
  <c r="AU710" i="92" s="1"/>
  <c r="Y499" i="92"/>
  <c r="Z635" i="92"/>
  <c r="W419" i="92"/>
  <c r="AS419" i="92" s="1"/>
  <c r="Y587" i="92"/>
  <c r="W611" i="92"/>
  <c r="AH611" i="92" s="1"/>
  <c r="W531" i="92"/>
  <c r="AS531" i="92" s="1"/>
  <c r="X693" i="92"/>
  <c r="X517" i="92"/>
  <c r="Z597" i="92"/>
  <c r="AK597" i="92" s="1"/>
  <c r="W421" i="92"/>
  <c r="W750" i="92"/>
  <c r="V518" i="92"/>
  <c r="W653" i="92"/>
  <c r="AH653" i="92" s="1"/>
  <c r="U686" i="92"/>
  <c r="X742" i="92"/>
  <c r="W539" i="92"/>
  <c r="W551" i="92"/>
  <c r="V496" i="92"/>
  <c r="AG496" i="92" s="1"/>
  <c r="Z385" i="92"/>
  <c r="AK385" i="92" s="1"/>
  <c r="Y408" i="92"/>
  <c r="W399" i="92"/>
  <c r="AH399" i="92" s="1"/>
  <c r="U425" i="92"/>
  <c r="W410" i="92"/>
  <c r="AH410" i="92" s="1"/>
  <c r="W612" i="92"/>
  <c r="AS612" i="92" s="1"/>
  <c r="Y713" i="92"/>
  <c r="Y420" i="92"/>
  <c r="Z747" i="92"/>
  <c r="AK747" i="92" s="1"/>
  <c r="V676" i="92"/>
  <c r="Y732" i="92"/>
  <c r="AJ732" i="92" s="1"/>
  <c r="U659" i="92"/>
  <c r="AF659" i="92" s="1"/>
  <c r="W558" i="92"/>
  <c r="AS558" i="92" s="1"/>
  <c r="V454" i="92"/>
  <c r="AG454" i="92" s="1"/>
  <c r="Y421" i="92"/>
  <c r="AU421" i="92" s="1"/>
  <c r="U453" i="92"/>
  <c r="AQ453" i="92" s="1"/>
  <c r="Y392" i="92"/>
  <c r="V529" i="92"/>
  <c r="AG529" i="92" s="1"/>
  <c r="W712" i="92"/>
  <c r="Y527" i="92"/>
  <c r="AJ527" i="92" s="1"/>
  <c r="V523" i="92"/>
  <c r="AG523" i="92" s="1"/>
  <c r="Z626" i="92"/>
  <c r="AK626" i="92" s="1"/>
  <c r="Z562" i="92"/>
  <c r="AV562" i="92" s="1"/>
  <c r="Y626" i="92"/>
  <c r="W477" i="92"/>
  <c r="AH477" i="92" s="1"/>
  <c r="Y572" i="92"/>
  <c r="V453" i="92"/>
  <c r="AR453" i="92" s="1"/>
  <c r="U438" i="92"/>
  <c r="U549" i="92"/>
  <c r="X493" i="92"/>
  <c r="AT493" i="92" s="1"/>
  <c r="AE383" i="92"/>
  <c r="U483" i="92"/>
  <c r="Y754" i="92"/>
  <c r="AJ754" i="92" s="1"/>
  <c r="X548" i="92"/>
  <c r="U404" i="92"/>
  <c r="AF404" i="92" s="1"/>
  <c r="X560" i="92"/>
  <c r="Z444" i="92"/>
  <c r="AV444" i="92" s="1"/>
  <c r="AO147" i="92"/>
  <c r="W605" i="92"/>
  <c r="W689" i="92"/>
  <c r="W683" i="92"/>
  <c r="AS683" i="92" s="1"/>
  <c r="V492" i="92"/>
  <c r="Z461" i="92"/>
  <c r="Z701" i="92"/>
  <c r="V604" i="92"/>
  <c r="AG604" i="92" s="1"/>
  <c r="W557" i="92"/>
  <c r="AS557" i="92" s="1"/>
  <c r="V524" i="92"/>
  <c r="W509" i="92"/>
  <c r="AH509" i="92" s="1"/>
  <c r="X605" i="92"/>
  <c r="Y526" i="92"/>
  <c r="Y726" i="92"/>
  <c r="AJ726" i="92" s="1"/>
  <c r="W398" i="92"/>
  <c r="AH398" i="92" s="1"/>
  <c r="Z383" i="92"/>
  <c r="AV383" i="92" s="1"/>
  <c r="W757" i="92"/>
  <c r="U718" i="92"/>
  <c r="Y502" i="92"/>
  <c r="Z575" i="92"/>
  <c r="AV575" i="92" s="1"/>
  <c r="Z384" i="92"/>
  <c r="Z544" i="92"/>
  <c r="AK544" i="92" s="1"/>
  <c r="U743" i="92"/>
  <c r="U751" i="92"/>
  <c r="AF751" i="92" s="1"/>
  <c r="X593" i="92"/>
  <c r="AT593" i="92" s="1"/>
  <c r="Z551" i="92"/>
  <c r="V601" i="92"/>
  <c r="AR601" i="92" s="1"/>
  <c r="V706" i="92"/>
  <c r="AR706" i="92" s="1"/>
  <c r="U588" i="92"/>
  <c r="V404" i="92"/>
  <c r="AR404" i="92" s="1"/>
  <c r="V753" i="92"/>
  <c r="Y428" i="92"/>
  <c r="AJ428" i="92" s="1"/>
  <c r="X444" i="92"/>
  <c r="AT444" i="92" s="1"/>
  <c r="W651" i="92"/>
  <c r="V699" i="92"/>
  <c r="Y390" i="92"/>
  <c r="U717" i="92"/>
  <c r="W725" i="92"/>
  <c r="AH725" i="92" s="1"/>
  <c r="Z573" i="92"/>
  <c r="AK573" i="92" s="1"/>
  <c r="W433" i="92"/>
  <c r="AH433" i="92" s="1"/>
  <c r="Z655" i="92"/>
  <c r="AK655" i="92" s="1"/>
  <c r="Z639" i="92"/>
  <c r="U489" i="92"/>
  <c r="Z397" i="92"/>
  <c r="Y498" i="92"/>
  <c r="Y545" i="92"/>
  <c r="AJ545" i="92" s="1"/>
  <c r="V713" i="92"/>
  <c r="AR713" i="92" s="1"/>
  <c r="U541" i="92"/>
  <c r="AF541" i="92" s="1"/>
  <c r="Y651" i="92"/>
  <c r="AJ651" i="92" s="1"/>
  <c r="Y747" i="92"/>
  <c r="Z702" i="92"/>
  <c r="AK702" i="92" s="1"/>
  <c r="V596" i="92"/>
  <c r="W545" i="92"/>
  <c r="Z449" i="92"/>
  <c r="AK449" i="92" s="1"/>
  <c r="W563" i="92"/>
  <c r="U737" i="92"/>
  <c r="X501" i="92"/>
  <c r="AI501" i="92" s="1"/>
  <c r="Z526" i="92"/>
  <c r="AK526" i="92" s="1"/>
  <c r="Z418" i="92"/>
  <c r="X475" i="92"/>
  <c r="AC106" i="92"/>
  <c r="X724" i="92"/>
  <c r="X549" i="92"/>
  <c r="W699" i="92"/>
  <c r="AS699" i="92" s="1"/>
  <c r="Z452" i="92"/>
  <c r="AK452" i="92" s="1"/>
  <c r="X597" i="92"/>
  <c r="X525" i="92"/>
  <c r="W636" i="92"/>
  <c r="U731" i="92"/>
  <c r="AQ731" i="92" s="1"/>
  <c r="Y678" i="92"/>
  <c r="AU678" i="92" s="1"/>
  <c r="Y430" i="92"/>
  <c r="Y558" i="92"/>
  <c r="AJ558" i="92" s="1"/>
  <c r="U398" i="92"/>
  <c r="AF398" i="92" s="1"/>
  <c r="Z414" i="92"/>
  <c r="X740" i="92"/>
  <c r="AT740" i="92" s="1"/>
  <c r="W622" i="92"/>
  <c r="AS622" i="92" s="1"/>
  <c r="W479" i="92"/>
  <c r="V751" i="92"/>
  <c r="AR751" i="92" s="1"/>
  <c r="W522" i="92"/>
  <c r="X584" i="92"/>
  <c r="AI584" i="92" s="1"/>
  <c r="Y560" i="92"/>
  <c r="AU560" i="92" s="1"/>
  <c r="V576" i="92"/>
  <c r="V521" i="92"/>
  <c r="Z656" i="92"/>
  <c r="AK656" i="92" s="1"/>
  <c r="W753" i="92"/>
  <c r="V602" i="92"/>
  <c r="AR602" i="92" s="1"/>
  <c r="Z483" i="92"/>
  <c r="AK483" i="92" s="1"/>
  <c r="U555" i="92"/>
  <c r="V635" i="92"/>
  <c r="AG635" i="92" s="1"/>
  <c r="W460" i="92"/>
  <c r="U429" i="92"/>
  <c r="AF429" i="92" s="1"/>
  <c r="X460" i="92"/>
  <c r="AT460" i="92" s="1"/>
  <c r="V397" i="92"/>
  <c r="V644" i="92"/>
  <c r="AG644" i="92" s="1"/>
  <c r="V557" i="92"/>
  <c r="AG557" i="92" s="1"/>
  <c r="Y686" i="92"/>
  <c r="AU686" i="92" s="1"/>
  <c r="V440" i="92"/>
  <c r="AG440" i="92" s="1"/>
  <c r="X681" i="92"/>
  <c r="V442" i="92"/>
  <c r="Z615" i="92"/>
  <c r="AV615" i="92" s="1"/>
  <c r="W665" i="92"/>
  <c r="AH665" i="92" s="1"/>
  <c r="Z594" i="92"/>
  <c r="AV594" i="92" s="1"/>
  <c r="X394" i="92"/>
  <c r="AI394" i="92" s="1"/>
  <c r="W515" i="92"/>
  <c r="AH515" i="92" s="1"/>
  <c r="W667" i="92"/>
  <c r="AH667" i="92" s="1"/>
  <c r="U732" i="92"/>
  <c r="X413" i="92"/>
  <c r="X405" i="92"/>
  <c r="W654" i="92"/>
  <c r="AH654" i="92" s="1"/>
  <c r="Y470" i="92"/>
  <c r="AJ470" i="92" s="1"/>
  <c r="X448" i="92"/>
  <c r="Y584" i="92"/>
  <c r="AJ584" i="92" s="1"/>
  <c r="W570" i="92"/>
  <c r="AS570" i="92" s="1"/>
  <c r="Y522" i="92"/>
  <c r="AU522" i="92" s="1"/>
  <c r="V540" i="92"/>
  <c r="U734" i="92"/>
  <c r="W520" i="92"/>
  <c r="AZ141" i="92"/>
  <c r="W739" i="92"/>
  <c r="AS739" i="92" s="1"/>
  <c r="W691" i="92"/>
  <c r="AH691" i="92" s="1"/>
  <c r="W731" i="92"/>
  <c r="AH731" i="92" s="1"/>
  <c r="U678" i="92"/>
  <c r="U633" i="92"/>
  <c r="AQ633" i="92" s="1"/>
  <c r="Z596" i="92"/>
  <c r="AK596" i="92" s="1"/>
  <c r="X660" i="92"/>
  <c r="Y614" i="92"/>
  <c r="AJ614" i="92" s="1"/>
  <c r="X708" i="92"/>
  <c r="AT708" i="92" s="1"/>
  <c r="W542" i="92"/>
  <c r="Z609" i="92"/>
  <c r="X683" i="92"/>
  <c r="W517" i="92"/>
  <c r="V624" i="92"/>
  <c r="Z490" i="92"/>
  <c r="Z606" i="92"/>
  <c r="AK606" i="92" s="1"/>
  <c r="AO421" i="92"/>
  <c r="V447" i="92"/>
  <c r="AG447" i="92" s="1"/>
  <c r="U577" i="92"/>
  <c r="Y674" i="92"/>
  <c r="Z735" i="92"/>
  <c r="AV735" i="92" s="1"/>
  <c r="V417" i="92"/>
  <c r="X697" i="92"/>
  <c r="W721" i="92"/>
  <c r="AS721" i="92" s="1"/>
  <c r="Z530" i="92"/>
  <c r="AV530" i="92" s="1"/>
  <c r="X586" i="92"/>
  <c r="AI586" i="92" s="1"/>
  <c r="U547" i="92"/>
  <c r="AF547" i="92" s="1"/>
  <c r="U475" i="92"/>
  <c r="U609" i="92"/>
  <c r="AQ609" i="92" s="1"/>
  <c r="V748" i="92"/>
  <c r="W508" i="92"/>
  <c r="Y396" i="92"/>
  <c r="AU396" i="92" s="1"/>
  <c r="Z429" i="92"/>
  <c r="AK429" i="92" s="1"/>
  <c r="V565" i="92"/>
  <c r="AR565" i="92" s="1"/>
  <c r="V755" i="92"/>
  <c r="W555" i="92"/>
  <c r="Y659" i="92"/>
  <c r="U757" i="92"/>
  <c r="W430" i="92"/>
  <c r="AH430" i="92" s="1"/>
  <c r="U606" i="92"/>
  <c r="AQ606" i="92" s="1"/>
  <c r="Z382" i="92"/>
  <c r="AV382" i="92" s="1"/>
  <c r="U574" i="92"/>
  <c r="AF574" i="92" s="1"/>
  <c r="Y414" i="92"/>
  <c r="X710" i="92"/>
  <c r="Y733" i="92"/>
  <c r="AU733" i="92" s="1"/>
  <c r="U561" i="92"/>
  <c r="Z505" i="92"/>
  <c r="V623" i="92"/>
  <c r="AR623" i="92" s="1"/>
  <c r="W561" i="92"/>
  <c r="AH561" i="92" s="1"/>
  <c r="W616" i="92"/>
  <c r="AH616" i="92" s="1"/>
  <c r="X491" i="92"/>
  <c r="AT491" i="92" s="1"/>
  <c r="Z664" i="92"/>
  <c r="AV664" i="92" s="1"/>
  <c r="U679" i="92"/>
  <c r="X538" i="92"/>
  <c r="X658" i="92"/>
  <c r="AI658" i="92" s="1"/>
  <c r="Y418" i="92"/>
  <c r="AU418" i="92" s="1"/>
  <c r="X554" i="92"/>
  <c r="W395" i="92"/>
  <c r="AH395" i="92" s="1"/>
  <c r="X763" i="92"/>
  <c r="U698" i="92"/>
  <c r="V402" i="92"/>
  <c r="AR402" i="92" s="1"/>
  <c r="X436" i="92"/>
  <c r="U565" i="92"/>
  <c r="AF565" i="92" s="1"/>
  <c r="W738" i="92"/>
  <c r="AH738" i="92" s="1"/>
  <c r="U499" i="92"/>
  <c r="AQ499" i="92" s="1"/>
  <c r="U676" i="92"/>
  <c r="AF676" i="92" s="1"/>
  <c r="Y563" i="92"/>
  <c r="Z598" i="92"/>
  <c r="AV598" i="92" s="1"/>
  <c r="Z581" i="92"/>
  <c r="X406" i="92"/>
  <c r="AT406" i="92" s="1"/>
  <c r="W677" i="92"/>
  <c r="AH677" i="92" s="1"/>
  <c r="X733" i="92"/>
  <c r="AT733" i="92" s="1"/>
  <c r="V744" i="92"/>
  <c r="AG744" i="92" s="1"/>
  <c r="U528" i="92"/>
  <c r="AQ528" i="92" s="1"/>
  <c r="X640" i="92"/>
  <c r="X720" i="92"/>
  <c r="U458" i="92"/>
  <c r="Z763" i="92"/>
  <c r="V634" i="92"/>
  <c r="AG634" i="92" s="1"/>
  <c r="Z611" i="92"/>
  <c r="U668" i="92"/>
  <c r="AF668" i="92" s="1"/>
  <c r="W589" i="92"/>
  <c r="AH589" i="92" s="1"/>
  <c r="U700" i="92"/>
  <c r="AF700" i="92" s="1"/>
  <c r="Z501" i="92"/>
  <c r="AK501" i="92" s="1"/>
  <c r="W598" i="92"/>
  <c r="AS598" i="92" s="1"/>
  <c r="U599" i="92"/>
  <c r="W704" i="92"/>
  <c r="AH704" i="92" s="1"/>
  <c r="Y760" i="92"/>
  <c r="U753" i="92"/>
  <c r="AF753" i="92" s="1"/>
  <c r="U661" i="92"/>
  <c r="AF661" i="92" s="1"/>
  <c r="W687" i="92"/>
  <c r="U450" i="92"/>
  <c r="X678" i="92"/>
  <c r="AT678" i="92" s="1"/>
  <c r="AA702" i="92"/>
  <c r="AL702" i="92" s="1"/>
  <c r="AO704" i="92"/>
  <c r="AA38" i="92"/>
  <c r="AL38" i="92" s="1"/>
  <c r="AC36" i="92"/>
  <c r="AC23" i="92"/>
  <c r="AY23" i="92" s="1"/>
  <c r="AB25" i="92"/>
  <c r="AA35" i="92"/>
  <c r="X522" i="92"/>
  <c r="AT522" i="92" s="1"/>
  <c r="W656" i="92"/>
  <c r="AH656" i="92" s="1"/>
  <c r="AO684" i="92"/>
  <c r="X591" i="92"/>
  <c r="AT591" i="92" s="1"/>
  <c r="V556" i="92"/>
  <c r="Y744" i="92"/>
  <c r="W705" i="92"/>
  <c r="AH705" i="92" s="1"/>
  <c r="U624" i="92"/>
  <c r="AF624" i="92" s="1"/>
  <c r="U681" i="92"/>
  <c r="AF681" i="92" s="1"/>
  <c r="X715" i="92"/>
  <c r="X713" i="92"/>
  <c r="AI713" i="92" s="1"/>
  <c r="W723" i="92"/>
  <c r="W435" i="92"/>
  <c r="AS435" i="92" s="1"/>
  <c r="V587" i="92"/>
  <c r="Z474" i="92"/>
  <c r="V763" i="92"/>
  <c r="U485" i="92"/>
  <c r="AF485" i="92" s="1"/>
  <c r="X563" i="92"/>
  <c r="AT563" i="92" s="1"/>
  <c r="Z396" i="92"/>
  <c r="AK396" i="92" s="1"/>
  <c r="V475" i="92"/>
  <c r="AG475" i="92" s="1"/>
  <c r="Z484" i="92"/>
  <c r="Y675" i="92"/>
  <c r="Z708" i="92"/>
  <c r="Y750" i="92"/>
  <c r="U725" i="92"/>
  <c r="AF725" i="92" s="1"/>
  <c r="Y471" i="92"/>
  <c r="W669" i="92"/>
  <c r="AH669" i="92" s="1"/>
  <c r="Z486" i="92"/>
  <c r="AV486" i="92" s="1"/>
  <c r="X677" i="92"/>
  <c r="Z574" i="92"/>
  <c r="X694" i="92"/>
  <c r="AT694" i="92" s="1"/>
  <c r="X616" i="92"/>
  <c r="V560" i="92"/>
  <c r="AG560" i="92" s="1"/>
  <c r="W441" i="92"/>
  <c r="AH441" i="92" s="1"/>
  <c r="V471" i="92"/>
  <c r="AR471" i="92" s="1"/>
  <c r="Z488" i="92"/>
  <c r="X463" i="92"/>
  <c r="Y529" i="92"/>
  <c r="Z489" i="92"/>
  <c r="W618" i="92"/>
  <c r="X452" i="92"/>
  <c r="AI452" i="92" s="1"/>
  <c r="W492" i="92"/>
  <c r="AS492" i="92" s="1"/>
  <c r="V426" i="92"/>
  <c r="AR426" i="92" s="1"/>
  <c r="Y541" i="92"/>
  <c r="AJ541" i="92" s="1"/>
  <c r="X498" i="92"/>
  <c r="X516" i="92"/>
  <c r="X459" i="92"/>
  <c r="AI459" i="92" s="1"/>
  <c r="Y716" i="92"/>
  <c r="Y532" i="92"/>
  <c r="AU532" i="92" s="1"/>
  <c r="U452" i="92"/>
  <c r="U539" i="92"/>
  <c r="AQ539" i="92" s="1"/>
  <c r="V747" i="92"/>
  <c r="AR747" i="92" s="1"/>
  <c r="X747" i="92"/>
  <c r="AI747" i="92" s="1"/>
  <c r="V469" i="92"/>
  <c r="V431" i="92"/>
  <c r="X700" i="92"/>
  <c r="Y734" i="92"/>
  <c r="Z693" i="92"/>
  <c r="X603" i="92"/>
  <c r="AI603" i="92" s="1"/>
  <c r="V563" i="92"/>
  <c r="AG563" i="92" s="1"/>
  <c r="Z682" i="92"/>
  <c r="W437" i="92"/>
  <c r="U467" i="92"/>
  <c r="Y602" i="92"/>
  <c r="W562" i="92"/>
  <c r="AH562" i="92" s="1"/>
  <c r="X755" i="92"/>
  <c r="AT755" i="92" s="1"/>
  <c r="V420" i="92"/>
  <c r="AR420" i="92" s="1"/>
  <c r="Z555" i="92"/>
  <c r="AK555" i="92" s="1"/>
  <c r="Z428" i="92"/>
  <c r="V701" i="92"/>
  <c r="U573" i="92"/>
  <c r="U575" i="92"/>
  <c r="W521" i="92"/>
  <c r="AH521" i="92" s="1"/>
  <c r="Y530" i="92"/>
  <c r="Y539" i="92"/>
  <c r="AU539" i="92" s="1"/>
  <c r="X382" i="92"/>
  <c r="AI382" i="92" s="1"/>
  <c r="Y639" i="92"/>
  <c r="AJ639" i="92" s="1"/>
  <c r="X453" i="92"/>
  <c r="X429" i="92"/>
  <c r="AI429" i="92" s="1"/>
  <c r="AA502" i="92"/>
  <c r="AZ469" i="92"/>
  <c r="AC31" i="92"/>
  <c r="AC22" i="92"/>
  <c r="AB39" i="92"/>
  <c r="AX39" i="92" s="1"/>
  <c r="AC26" i="92"/>
  <c r="AC41" i="92"/>
  <c r="AY41" i="92" s="1"/>
  <c r="Y737" i="92"/>
  <c r="V522" i="92"/>
  <c r="AG522" i="92" s="1"/>
  <c r="V661" i="92"/>
  <c r="AR661" i="92" s="1"/>
  <c r="U418" i="92"/>
  <c r="AQ418" i="92" s="1"/>
  <c r="V573" i="92"/>
  <c r="AG573" i="92" s="1"/>
  <c r="V438" i="92"/>
  <c r="AR438" i="92" s="1"/>
  <c r="AZ454" i="92"/>
  <c r="AA612" i="92"/>
  <c r="X556" i="92"/>
  <c r="AI556" i="92" s="1"/>
  <c r="X467" i="92"/>
  <c r="Z509" i="92"/>
  <c r="AV509" i="92" s="1"/>
  <c r="Y548" i="92"/>
  <c r="AJ548" i="92" s="1"/>
  <c r="V533" i="92"/>
  <c r="AR533" i="92" s="1"/>
  <c r="Y445" i="92"/>
  <c r="Z645" i="92"/>
  <c r="V389" i="92"/>
  <c r="Y580" i="92"/>
  <c r="Z533" i="92"/>
  <c r="W519" i="92"/>
  <c r="AH519" i="92" s="1"/>
  <c r="Z668" i="92"/>
  <c r="AV668" i="92" s="1"/>
  <c r="U461" i="92"/>
  <c r="AF461" i="92" s="1"/>
  <c r="Z532" i="92"/>
  <c r="AV532" i="92" s="1"/>
  <c r="Z437" i="92"/>
  <c r="Y758" i="92"/>
  <c r="AJ758" i="92" s="1"/>
  <c r="Y751" i="92"/>
  <c r="AJ751" i="92" s="1"/>
  <c r="W625" i="92"/>
  <c r="Y401" i="92"/>
  <c r="AJ401" i="92" s="1"/>
  <c r="X529" i="92"/>
  <c r="AT529" i="92" s="1"/>
  <c r="Y753" i="92"/>
  <c r="AJ753" i="92" s="1"/>
  <c r="Y457" i="92"/>
  <c r="AU457" i="92" s="1"/>
  <c r="Z657" i="92"/>
  <c r="Z424" i="92"/>
  <c r="Z482" i="92"/>
  <c r="U522" i="92"/>
  <c r="AF522" i="92" s="1"/>
  <c r="X474" i="92"/>
  <c r="AI474" i="92" s="1"/>
  <c r="Y633" i="92"/>
  <c r="AJ633" i="92" s="1"/>
  <c r="V493" i="92"/>
  <c r="AR493" i="92" s="1"/>
  <c r="W537" i="92"/>
  <c r="AH537" i="92" s="1"/>
  <c r="W483" i="92"/>
  <c r="U673" i="92"/>
  <c r="Z673" i="92"/>
  <c r="Z707" i="92"/>
  <c r="Y557" i="92"/>
  <c r="AJ557" i="92" s="1"/>
  <c r="X508" i="92"/>
  <c r="AI508" i="92" s="1"/>
  <c r="V501" i="92"/>
  <c r="AG501" i="92" s="1"/>
  <c r="W659" i="92"/>
  <c r="AS659" i="92" s="1"/>
  <c r="W453" i="92"/>
  <c r="Z723" i="92"/>
  <c r="X438" i="92"/>
  <c r="X654" i="92"/>
  <c r="Z686" i="92"/>
  <c r="AV686" i="92" s="1"/>
  <c r="Z504" i="92"/>
  <c r="AK504" i="92" s="1"/>
  <c r="V566" i="92"/>
  <c r="AR566" i="92" s="1"/>
  <c r="U671" i="92"/>
  <c r="AF671" i="92" s="1"/>
  <c r="Y586" i="92"/>
  <c r="X489" i="92"/>
  <c r="AI489" i="92" s="1"/>
  <c r="Z545" i="92"/>
  <c r="Y643" i="92"/>
  <c r="U683" i="92"/>
  <c r="AF683" i="92" s="1"/>
  <c r="W713" i="92"/>
  <c r="Z405" i="92"/>
  <c r="AK405" i="92" s="1"/>
  <c r="X510" i="92"/>
  <c r="AT510" i="92" s="1"/>
  <c r="X628" i="92"/>
  <c r="U492" i="92"/>
  <c r="W718" i="92"/>
  <c r="AH718" i="92" s="1"/>
  <c r="Y693" i="92"/>
  <c r="Y531" i="92"/>
  <c r="Z743" i="92"/>
  <c r="AV743" i="92" s="1"/>
  <c r="Y634" i="92"/>
  <c r="AJ634" i="92" s="1"/>
  <c r="W452" i="92"/>
  <c r="AH452" i="92" s="1"/>
  <c r="Y717" i="92"/>
  <c r="AU717" i="92" s="1"/>
  <c r="W386" i="92"/>
  <c r="AS386" i="92" s="1"/>
  <c r="U748" i="92"/>
  <c r="W581" i="92"/>
  <c r="AH581" i="92" s="1"/>
  <c r="AA358" i="92"/>
  <c r="AA257" i="92"/>
  <c r="AL257" i="92" s="1"/>
  <c r="U504" i="92"/>
  <c r="AF504" i="92" s="1"/>
  <c r="X712" i="92"/>
  <c r="AT712" i="92" s="1"/>
  <c r="Z696" i="92"/>
  <c r="W720" i="92"/>
  <c r="X466" i="92"/>
  <c r="U747" i="92"/>
  <c r="X730" i="92"/>
  <c r="AI730" i="92" s="1"/>
  <c r="Y683" i="92"/>
  <c r="AU683" i="92" s="1"/>
  <c r="Z684" i="92"/>
  <c r="AK684" i="92" s="1"/>
  <c r="X427" i="92"/>
  <c r="AT427" i="92" s="1"/>
  <c r="X477" i="92"/>
  <c r="W454" i="92"/>
  <c r="W763" i="92"/>
  <c r="Z508" i="92"/>
  <c r="Z718" i="92"/>
  <c r="AK718" i="92" s="1"/>
  <c r="V629" i="92"/>
  <c r="AG629" i="92" s="1"/>
  <c r="V708" i="92"/>
  <c r="AG708" i="92" s="1"/>
  <c r="U382" i="92"/>
  <c r="AF382" i="92" s="1"/>
  <c r="W590" i="92"/>
  <c r="X653" i="92"/>
  <c r="AT653" i="92" s="1"/>
  <c r="Y478" i="92"/>
  <c r="Y646" i="92"/>
  <c r="X414" i="92"/>
  <c r="AT414" i="92" s="1"/>
  <c r="Z623" i="92"/>
  <c r="W429" i="92"/>
  <c r="AS429" i="92" s="1"/>
  <c r="X688" i="92"/>
  <c r="Z640" i="92"/>
  <c r="Y561" i="92"/>
  <c r="Z713" i="92"/>
  <c r="AV713" i="92" s="1"/>
  <c r="V641" i="92"/>
  <c r="X456" i="92"/>
  <c r="Y601" i="92"/>
  <c r="V689" i="92"/>
  <c r="AG689" i="92" s="1"/>
  <c r="U640" i="92"/>
  <c r="AF640" i="92" s="1"/>
  <c r="W596" i="92"/>
  <c r="AH596" i="92" s="1"/>
  <c r="W498" i="92"/>
  <c r="AS498" i="92" s="1"/>
  <c r="Z642" i="92"/>
  <c r="AV642" i="92" s="1"/>
  <c r="V665" i="92"/>
  <c r="V506" i="92"/>
  <c r="AG506" i="92" s="1"/>
  <c r="W627" i="92"/>
  <c r="AS627" i="92" s="1"/>
  <c r="U434" i="92"/>
  <c r="Z476" i="92"/>
  <c r="AK476" i="92" s="1"/>
  <c r="U708" i="92"/>
  <c r="W444" i="92"/>
  <c r="X468" i="92"/>
  <c r="AI468" i="92" s="1"/>
  <c r="Z572" i="92"/>
  <c r="Z524" i="92"/>
  <c r="AV524" i="92" s="1"/>
  <c r="X620" i="92"/>
  <c r="AT620" i="92" s="1"/>
  <c r="Z741" i="92"/>
  <c r="Y550" i="92"/>
  <c r="AJ550" i="92" s="1"/>
  <c r="W518" i="92"/>
  <c r="AS518" i="92" s="1"/>
  <c r="V470" i="92"/>
  <c r="V414" i="92"/>
  <c r="Y618" i="92"/>
  <c r="Y719" i="92"/>
  <c r="AJ719" i="92" s="1"/>
  <c r="Y689" i="92"/>
  <c r="AU689" i="92" s="1"/>
  <c r="V427" i="92"/>
  <c r="AR427" i="92" s="1"/>
  <c r="Y426" i="92"/>
  <c r="AU426" i="92" s="1"/>
  <c r="Z729" i="92"/>
  <c r="U690" i="92"/>
  <c r="V738" i="92"/>
  <c r="Y389" i="92"/>
  <c r="AJ389" i="92" s="1"/>
  <c r="V612" i="92"/>
  <c r="AR612" i="92" s="1"/>
  <c r="Z469" i="92"/>
  <c r="AK469" i="92" s="1"/>
  <c r="Z398" i="92"/>
  <c r="AK398" i="92" s="1"/>
  <c r="Y630" i="92"/>
  <c r="AJ630" i="92" s="1"/>
  <c r="W688" i="92"/>
  <c r="Z471" i="92"/>
  <c r="U721" i="92"/>
  <c r="AF721" i="92" s="1"/>
  <c r="X558" i="92"/>
  <c r="AT558" i="92" s="1"/>
  <c r="V574" i="92"/>
  <c r="AG574" i="92" s="1"/>
  <c r="Y603" i="92"/>
  <c r="AU603" i="92" s="1"/>
  <c r="X461" i="92"/>
  <c r="AI461" i="92" s="1"/>
  <c r="AA688" i="92"/>
  <c r="AL688" i="92" s="1"/>
  <c r="AB41" i="92"/>
  <c r="AB40" i="92"/>
  <c r="AX40" i="92" s="1"/>
  <c r="AA41" i="92"/>
  <c r="AL41" i="92" s="1"/>
  <c r="AA24" i="92"/>
  <c r="AL24" i="92" s="1"/>
  <c r="AB28" i="92"/>
  <c r="AC684" i="92"/>
  <c r="AN684" i="92" s="1"/>
  <c r="AZ735" i="92"/>
  <c r="V717" i="92"/>
  <c r="V733" i="92"/>
  <c r="Z494" i="92"/>
  <c r="AK494" i="92" s="1"/>
  <c r="Z685" i="92"/>
  <c r="AV685" i="92" s="1"/>
  <c r="Y416" i="92"/>
  <c r="AU416" i="92" s="1"/>
  <c r="V488" i="92"/>
  <c r="X511" i="92"/>
  <c r="AI511" i="92" s="1"/>
  <c r="X687" i="92"/>
  <c r="U559" i="92"/>
  <c r="Z386" i="92"/>
  <c r="AV386" i="92" s="1"/>
  <c r="W697" i="92"/>
  <c r="AH697" i="92" s="1"/>
  <c r="U593" i="92"/>
  <c r="AF593" i="92" s="1"/>
  <c r="V473" i="92"/>
  <c r="AG473" i="92" s="1"/>
  <c r="W587" i="92"/>
  <c r="U713" i="92"/>
  <c r="V724" i="92"/>
  <c r="Z593" i="92"/>
  <c r="X570" i="92"/>
  <c r="W595" i="92"/>
  <c r="AS595" i="92" s="1"/>
  <c r="Z515" i="92"/>
  <c r="AV515" i="92" s="1"/>
  <c r="U484" i="92"/>
  <c r="AQ484" i="92" s="1"/>
  <c r="X596" i="92"/>
  <c r="X557" i="92"/>
  <c r="W628" i="92"/>
  <c r="AS628" i="92" s="1"/>
  <c r="Z715" i="92"/>
  <c r="Z651" i="92"/>
  <c r="AK651" i="92" s="1"/>
  <c r="Y590" i="92"/>
  <c r="AU590" i="92" s="1"/>
  <c r="V494" i="92"/>
  <c r="AG494" i="92" s="1"/>
  <c r="V550" i="92"/>
  <c r="AR550" i="92" s="1"/>
  <c r="U415" i="92"/>
  <c r="Z740" i="92"/>
  <c r="Y729" i="92"/>
  <c r="W583" i="92"/>
  <c r="W736" i="92"/>
  <c r="AH736" i="92" s="1"/>
  <c r="V457" i="92"/>
  <c r="AG457" i="92" s="1"/>
  <c r="Z522" i="92"/>
  <c r="AK522" i="92" s="1"/>
  <c r="Y490" i="92"/>
  <c r="AU490" i="92" s="1"/>
  <c r="U634" i="92"/>
  <c r="X389" i="92"/>
  <c r="Y620" i="92"/>
  <c r="AU620" i="92" s="1"/>
  <c r="Y462" i="92"/>
  <c r="AU462" i="92" s="1"/>
  <c r="V704" i="92"/>
  <c r="AR704" i="92" s="1"/>
  <c r="Y658" i="92"/>
  <c r="AJ658" i="92" s="1"/>
  <c r="W626" i="92"/>
  <c r="AH626" i="92" s="1"/>
  <c r="X757" i="92"/>
  <c r="AT757" i="92" s="1"/>
  <c r="V525" i="92"/>
  <c r="W447" i="92"/>
  <c r="AA580" i="92"/>
  <c r="AA654" i="92"/>
  <c r="AA100" i="92"/>
  <c r="AC526" i="92"/>
  <c r="AZ430" i="92"/>
  <c r="AO173" i="92"/>
  <c r="AC212" i="92"/>
  <c r="W678" i="92"/>
  <c r="U620" i="92"/>
  <c r="AQ620" i="92" s="1"/>
  <c r="Y485" i="92"/>
  <c r="U742" i="92"/>
  <c r="AQ742" i="92" s="1"/>
  <c r="Y486" i="92"/>
  <c r="AU486" i="92" s="1"/>
  <c r="Z672" i="92"/>
  <c r="AK672" i="92" s="1"/>
  <c r="X499" i="92"/>
  <c r="AT499" i="92" s="1"/>
  <c r="Y704" i="92"/>
  <c r="AU704" i="92" s="1"/>
  <c r="X520" i="92"/>
  <c r="AT520" i="92" s="1"/>
  <c r="Z680" i="92"/>
  <c r="Y703" i="92"/>
  <c r="AJ703" i="92" s="1"/>
  <c r="U473" i="92"/>
  <c r="AF473" i="92" s="1"/>
  <c r="Y763" i="92"/>
  <c r="AU763" i="92" s="1"/>
  <c r="Y619" i="92"/>
  <c r="AJ619" i="92" s="1"/>
  <c r="V466" i="92"/>
  <c r="AR466" i="92" s="1"/>
  <c r="W698" i="92"/>
  <c r="Y458" i="92"/>
  <c r="U595" i="92"/>
  <c r="AQ595" i="92" s="1"/>
  <c r="X395" i="92"/>
  <c r="X412" i="92"/>
  <c r="AI412" i="92" s="1"/>
  <c r="W541" i="92"/>
  <c r="AH541" i="92" s="1"/>
  <c r="Z700" i="92"/>
  <c r="AK700" i="92" s="1"/>
  <c r="U411" i="92"/>
  <c r="AQ411" i="92" s="1"/>
  <c r="V509" i="92"/>
  <c r="X484" i="92"/>
  <c r="AI484" i="92" s="1"/>
  <c r="Z691" i="92"/>
  <c r="Z564" i="92"/>
  <c r="AK564" i="92" s="1"/>
  <c r="Z749" i="92"/>
  <c r="AK749" i="92" s="1"/>
  <c r="U397" i="92"/>
  <c r="AF397" i="92" s="1"/>
  <c r="Y653" i="92"/>
  <c r="V742" i="92"/>
  <c r="AG742" i="92" s="1"/>
  <c r="U426" i="92"/>
  <c r="AF426" i="92" s="1"/>
  <c r="X504" i="92"/>
  <c r="AI504" i="92" s="1"/>
  <c r="U664" i="92"/>
  <c r="W426" i="92"/>
  <c r="Z658" i="92"/>
  <c r="AK658" i="92" s="1"/>
  <c r="U762" i="92"/>
  <c r="AQ762" i="92" s="1"/>
  <c r="U394" i="92"/>
  <c r="AF394" i="92" s="1"/>
  <c r="W468" i="92"/>
  <c r="AH468" i="92" s="1"/>
  <c r="W574" i="92"/>
  <c r="Y422" i="92"/>
  <c r="W648" i="92"/>
  <c r="AH648" i="92" s="1"/>
  <c r="Z546" i="92"/>
  <c r="Y684" i="92"/>
  <c r="AJ684" i="92" s="1"/>
  <c r="V628" i="92"/>
  <c r="AG628" i="92" s="1"/>
  <c r="W550" i="92"/>
  <c r="AH550" i="92" s="1"/>
  <c r="AZ468" i="92"/>
  <c r="AZ420" i="92"/>
  <c r="AA588" i="92"/>
  <c r="AW588" i="92" s="1"/>
  <c r="AA468" i="92"/>
  <c r="AL468" i="92" s="1"/>
  <c r="AB451" i="92"/>
  <c r="X732" i="92"/>
  <c r="AT732" i="92" s="1"/>
  <c r="X533" i="92"/>
  <c r="AT533" i="92" s="1"/>
  <c r="W742" i="92"/>
  <c r="U494" i="92"/>
  <c r="V597" i="92"/>
  <c r="Y741" i="92"/>
  <c r="AU741" i="92" s="1"/>
  <c r="U459" i="92"/>
  <c r="AF459" i="92" s="1"/>
  <c r="Z585" i="92"/>
  <c r="AV585" i="92" s="1"/>
  <c r="V577" i="92"/>
  <c r="AG577" i="92" s="1"/>
  <c r="V535" i="92"/>
  <c r="Y427" i="92"/>
  <c r="W496" i="92"/>
  <c r="Z591" i="92"/>
  <c r="V443" i="92"/>
  <c r="AR443" i="92" s="1"/>
  <c r="X722" i="92"/>
  <c r="AI722" i="92" s="1"/>
  <c r="X737" i="92"/>
  <c r="AI737" i="92" s="1"/>
  <c r="V490" i="92"/>
  <c r="AR490" i="92" s="1"/>
  <c r="U689" i="92"/>
  <c r="AF689" i="92" s="1"/>
  <c r="Y474" i="92"/>
  <c r="W506" i="92"/>
  <c r="AS506" i="92" s="1"/>
  <c r="Z404" i="92"/>
  <c r="W389" i="92"/>
  <c r="AH389" i="92" s="1"/>
  <c r="W516" i="92"/>
  <c r="AH516" i="92" s="1"/>
  <c r="Z580" i="92"/>
  <c r="AK580" i="92" s="1"/>
  <c r="V515" i="92"/>
  <c r="AR515" i="92" s="1"/>
  <c r="Y517" i="92"/>
  <c r="X573" i="92"/>
  <c r="V532" i="92"/>
  <c r="AG532" i="92" s="1"/>
  <c r="X758" i="92"/>
  <c r="AT758" i="92" s="1"/>
  <c r="V653" i="92"/>
  <c r="AR653" i="92" s="1"/>
  <c r="X622" i="92"/>
  <c r="AI622" i="92" s="1"/>
  <c r="Z565" i="92"/>
  <c r="AK565" i="92" s="1"/>
  <c r="W544" i="92"/>
  <c r="AH544" i="92" s="1"/>
  <c r="W623" i="92"/>
  <c r="Y394" i="92"/>
  <c r="AJ394" i="92" s="1"/>
  <c r="X432" i="92"/>
  <c r="AI432" i="92" s="1"/>
  <c r="U651" i="92"/>
  <c r="AF651" i="92" s="1"/>
  <c r="V690" i="92"/>
  <c r="AG690" i="92" s="1"/>
  <c r="Y667" i="92"/>
  <c r="AJ667" i="92" s="1"/>
  <c r="Z412" i="92"/>
  <c r="AK412" i="92" s="1"/>
  <c r="Z678" i="92"/>
  <c r="AK678" i="92" s="1"/>
  <c r="W646" i="92"/>
  <c r="U584" i="92"/>
  <c r="AQ584" i="92" s="1"/>
  <c r="U604" i="92"/>
  <c r="AF604" i="92" s="1"/>
  <c r="Z724" i="92"/>
  <c r="Z652" i="92"/>
  <c r="AK652" i="92" s="1"/>
  <c r="X750" i="92"/>
  <c r="AI750" i="92" s="1"/>
  <c r="AZ662" i="92"/>
  <c r="AZ179" i="92"/>
  <c r="AA462" i="92"/>
  <c r="AL462" i="92" s="1"/>
  <c r="AZ712" i="92"/>
  <c r="AZ320" i="92"/>
  <c r="AA658" i="92"/>
  <c r="Z717" i="92"/>
  <c r="AV717" i="92" s="1"/>
  <c r="U638" i="92"/>
  <c r="V662" i="92"/>
  <c r="U536" i="92"/>
  <c r="AQ536" i="92" s="1"/>
  <c r="Y520" i="92"/>
  <c r="Z507" i="92"/>
  <c r="X674" i="92"/>
  <c r="AT674" i="92" s="1"/>
  <c r="Z521" i="92"/>
  <c r="AK521" i="92" s="1"/>
  <c r="U649" i="92"/>
  <c r="AF649" i="92" s="1"/>
  <c r="U393" i="92"/>
  <c r="AQ393" i="92" s="1"/>
  <c r="Z560" i="92"/>
  <c r="AK560" i="92" s="1"/>
  <c r="W594" i="92"/>
  <c r="AS594" i="92" s="1"/>
  <c r="V572" i="92"/>
  <c r="Y475" i="92"/>
  <c r="Z603" i="92"/>
  <c r="AK603" i="92" s="1"/>
  <c r="U754" i="92"/>
  <c r="AF754" i="92" s="1"/>
  <c r="W761" i="92"/>
  <c r="AS761" i="92" s="1"/>
  <c r="W466" i="92"/>
  <c r="AH466" i="92" s="1"/>
  <c r="Y500" i="92"/>
  <c r="X446" i="92"/>
  <c r="Z500" i="92"/>
  <c r="AV500" i="92" s="1"/>
  <c r="Y581" i="92"/>
  <c r="U477" i="92"/>
  <c r="AQ477" i="92" s="1"/>
  <c r="X588" i="92"/>
  <c r="Y469" i="92"/>
  <c r="Z637" i="92"/>
  <c r="AV637" i="92" s="1"/>
  <c r="X718" i="92"/>
  <c r="W685" i="92"/>
  <c r="AH685" i="92" s="1"/>
  <c r="X462" i="92"/>
  <c r="AT462" i="92" s="1"/>
  <c r="Z422" i="92"/>
  <c r="U532" i="92"/>
  <c r="AF532" i="92" s="1"/>
  <c r="X599" i="92"/>
  <c r="AT599" i="92" s="1"/>
  <c r="V407" i="92"/>
  <c r="Z746" i="92"/>
  <c r="AK746" i="92" s="1"/>
  <c r="Y411" i="92"/>
  <c r="Y514" i="92"/>
  <c r="U531" i="92"/>
  <c r="AF531" i="92" s="1"/>
  <c r="X629" i="92"/>
  <c r="X662" i="92"/>
  <c r="AI662" i="92" s="1"/>
  <c r="V608" i="92"/>
  <c r="AG608" i="92" s="1"/>
  <c r="W560" i="92"/>
  <c r="Y595" i="92"/>
  <c r="AU595" i="92" s="1"/>
  <c r="U405" i="92"/>
  <c r="AQ405" i="92" s="1"/>
  <c r="W512" i="92"/>
  <c r="W478" i="92"/>
  <c r="AS478" i="92" s="1"/>
  <c r="AO590" i="92"/>
  <c r="AO740" i="92"/>
  <c r="AZ616" i="92"/>
  <c r="AO325" i="92"/>
  <c r="AC502" i="92"/>
  <c r="AA124" i="92"/>
  <c r="AC95" i="92"/>
  <c r="AB380" i="92"/>
  <c r="AM380" i="92" s="1"/>
  <c r="Z587" i="92"/>
  <c r="Y484" i="92"/>
  <c r="AU484" i="92" s="1"/>
  <c r="W525" i="92"/>
  <c r="AH525" i="92" s="1"/>
  <c r="Y589" i="92"/>
  <c r="AU589" i="92" s="1"/>
  <c r="V390" i="92"/>
  <c r="V749" i="92"/>
  <c r="AR749" i="92" s="1"/>
  <c r="U710" i="92"/>
  <c r="W384" i="92"/>
  <c r="AS384" i="92" s="1"/>
  <c r="X589" i="92"/>
  <c r="U552" i="92"/>
  <c r="AQ552" i="92" s="1"/>
  <c r="Y391" i="92"/>
  <c r="AJ391" i="92" s="1"/>
  <c r="U431" i="92"/>
  <c r="Z536" i="92"/>
  <c r="AV536" i="92" s="1"/>
  <c r="X648" i="92"/>
  <c r="AI648" i="92" s="1"/>
  <c r="Y450" i="92"/>
  <c r="AU450" i="92" s="1"/>
  <c r="X434" i="92"/>
  <c r="AT434" i="92" s="1"/>
  <c r="W481" i="92"/>
  <c r="AS481" i="92" s="1"/>
  <c r="Y696" i="92"/>
  <c r="W412" i="92"/>
  <c r="AS412" i="92" s="1"/>
  <c r="W530" i="92"/>
  <c r="U658" i="92"/>
  <c r="AQ658" i="92" s="1"/>
  <c r="X619" i="92"/>
  <c r="AT619" i="92" s="1"/>
  <c r="X451" i="92"/>
  <c r="AT451" i="92" s="1"/>
  <c r="X398" i="92"/>
  <c r="AI398" i="92" s="1"/>
  <c r="Z604" i="92"/>
  <c r="Y525" i="92"/>
  <c r="Y549" i="92"/>
  <c r="AU549" i="92" s="1"/>
  <c r="V645" i="92"/>
  <c r="AG645" i="92" s="1"/>
  <c r="X638" i="92"/>
  <c r="V760" i="92"/>
  <c r="AG760" i="92" s="1"/>
  <c r="W513" i="92"/>
  <c r="AH513" i="92" s="1"/>
  <c r="W681" i="92"/>
  <c r="AS681" i="92" s="1"/>
  <c r="U618" i="92"/>
  <c r="X668" i="92"/>
  <c r="AT668" i="92" s="1"/>
  <c r="V691" i="92"/>
  <c r="AG691" i="92" s="1"/>
  <c r="V476" i="92"/>
  <c r="U428" i="92"/>
  <c r="V670" i="92"/>
  <c r="AG670" i="92" s="1"/>
  <c r="V613" i="92"/>
  <c r="V694" i="92"/>
  <c r="AG694" i="92" s="1"/>
  <c r="AO327" i="92"/>
  <c r="AC646" i="92"/>
  <c r="AA684" i="92"/>
  <c r="AL684" i="92" s="1"/>
  <c r="AO386" i="92"/>
  <c r="AZ464" i="92"/>
  <c r="AO295" i="92"/>
  <c r="AO412" i="92"/>
  <c r="AO692" i="92"/>
  <c r="AA616" i="92"/>
  <c r="AZ746" i="92"/>
  <c r="AO120" i="92"/>
  <c r="AC556" i="92"/>
  <c r="AC24" i="92"/>
  <c r="AN24" i="92" s="1"/>
  <c r="AA42" i="92"/>
  <c r="AW42" i="92" s="1"/>
  <c r="AA43" i="92"/>
  <c r="AW43" i="92" s="1"/>
  <c r="AA25" i="92"/>
  <c r="AB43" i="92"/>
  <c r="AX43" i="92" s="1"/>
  <c r="U684" i="92"/>
  <c r="AF684" i="92" s="1"/>
  <c r="W415" i="92"/>
  <c r="U749" i="92"/>
  <c r="Z542" i="92"/>
  <c r="AK542" i="92" s="1"/>
  <c r="Z617" i="92"/>
  <c r="AK617" i="92" s="1"/>
  <c r="W752" i="92"/>
  <c r="AS752" i="92" s="1"/>
  <c r="U391" i="92"/>
  <c r="U439" i="92"/>
  <c r="U648" i="92"/>
  <c r="AF648" i="92" s="1"/>
  <c r="Y417" i="92"/>
  <c r="V401" i="92"/>
  <c r="AG401" i="92" s="1"/>
  <c r="U623" i="92"/>
  <c r="Y705" i="92"/>
  <c r="AU705" i="92" s="1"/>
  <c r="X410" i="92"/>
  <c r="AT410" i="92" s="1"/>
  <c r="X418" i="92"/>
  <c r="Y452" i="92"/>
  <c r="W660" i="92"/>
  <c r="AS660" i="92" s="1"/>
  <c r="V586" i="92"/>
  <c r="AR586" i="92" s="1"/>
  <c r="V730" i="92"/>
  <c r="AG730" i="92" s="1"/>
  <c r="Z549" i="92"/>
  <c r="AK549" i="92" s="1"/>
  <c r="Z525" i="92"/>
  <c r="AV525" i="92" s="1"/>
  <c r="U526" i="92"/>
  <c r="AQ526" i="92" s="1"/>
  <c r="W582" i="92"/>
  <c r="AS582" i="92" s="1"/>
  <c r="X390" i="92"/>
  <c r="X433" i="92"/>
  <c r="AI433" i="92" s="1"/>
  <c r="U474" i="92"/>
  <c r="V595" i="92"/>
  <c r="AR595" i="92" s="1"/>
  <c r="Y492" i="92"/>
  <c r="AU492" i="92" s="1"/>
  <c r="Y650" i="92"/>
  <c r="AJ650" i="92" s="1"/>
  <c r="U644" i="92"/>
  <c r="AQ644" i="92" s="1"/>
  <c r="Z460" i="92"/>
  <c r="V580" i="92"/>
  <c r="V669" i="92"/>
  <c r="U540" i="92"/>
  <c r="AA390" i="92"/>
  <c r="AL390" i="92" s="1"/>
  <c r="AO612" i="92"/>
  <c r="AZ654" i="92"/>
  <c r="AO378" i="92"/>
  <c r="AA241" i="92"/>
  <c r="AO235" i="92"/>
  <c r="AA461" i="92"/>
  <c r="AA500" i="92"/>
  <c r="AA419" i="92"/>
  <c r="AW419" i="92" s="1"/>
  <c r="AA202" i="92"/>
  <c r="AA608" i="92"/>
  <c r="AW608" i="92" s="1"/>
  <c r="AO68" i="92"/>
  <c r="Y404" i="92"/>
  <c r="W461" i="92"/>
  <c r="AH461" i="92" s="1"/>
  <c r="W422" i="92"/>
  <c r="AH422" i="92" s="1"/>
  <c r="X614" i="92"/>
  <c r="AT614" i="92" s="1"/>
  <c r="U733" i="92"/>
  <c r="AQ733" i="92" s="1"/>
  <c r="U669" i="92"/>
  <c r="AQ669" i="92" s="1"/>
  <c r="U558" i="92"/>
  <c r="X613" i="92"/>
  <c r="AI613" i="92" s="1"/>
  <c r="V478" i="92"/>
  <c r="X753" i="92"/>
  <c r="AI753" i="92" s="1"/>
  <c r="Y553" i="92"/>
  <c r="AU553" i="92" s="1"/>
  <c r="V393" i="92"/>
  <c r="AG393" i="92" s="1"/>
  <c r="U392" i="92"/>
  <c r="AF392" i="92" s="1"/>
  <c r="X408" i="92"/>
  <c r="X583" i="92"/>
  <c r="U497" i="92"/>
  <c r="AF497" i="92" s="1"/>
  <c r="X728" i="92"/>
  <c r="AI728" i="92" s="1"/>
  <c r="X634" i="92"/>
  <c r="AT634" i="92" s="1"/>
  <c r="V451" i="92"/>
  <c r="AG451" i="92" s="1"/>
  <c r="Z539" i="92"/>
  <c r="AK539" i="92" s="1"/>
  <c r="V539" i="92"/>
  <c r="AR539" i="92" s="1"/>
  <c r="W676" i="92"/>
  <c r="X699" i="92"/>
  <c r="AI699" i="92" s="1"/>
  <c r="Y493" i="92"/>
  <c r="AJ493" i="92" s="1"/>
  <c r="Z653" i="92"/>
  <c r="AV653" i="92" s="1"/>
  <c r="U756" i="92"/>
  <c r="AF756" i="92" s="1"/>
  <c r="U524" i="92"/>
  <c r="Z584" i="92"/>
  <c r="AK584" i="92" s="1"/>
  <c r="Y728" i="92"/>
  <c r="AJ728" i="92" s="1"/>
  <c r="W601" i="92"/>
  <c r="AS601" i="92" s="1"/>
  <c r="Z687" i="92"/>
  <c r="Z667" i="92"/>
  <c r="Z434" i="92"/>
  <c r="Y387" i="92"/>
  <c r="AJ387" i="92" s="1"/>
  <c r="V477" i="92"/>
  <c r="AG477" i="92" s="1"/>
  <c r="U670" i="92"/>
  <c r="Y398" i="92"/>
  <c r="AJ398" i="92" s="1"/>
  <c r="U580" i="92"/>
  <c r="U535" i="92"/>
  <c r="AQ535" i="92" s="1"/>
  <c r="AO207" i="92"/>
  <c r="AZ690" i="92"/>
  <c r="AZ462" i="92"/>
  <c r="AC494" i="92"/>
  <c r="AN494" i="92" s="1"/>
  <c r="AA717" i="92"/>
  <c r="AL717" i="92" s="1"/>
  <c r="AA620" i="92"/>
  <c r="AL620" i="92" s="1"/>
  <c r="AC678" i="92"/>
  <c r="AC302" i="92"/>
  <c r="AY302" i="92" s="1"/>
  <c r="AO478" i="92"/>
  <c r="AC254" i="92"/>
  <c r="AB652" i="92"/>
  <c r="AM652" i="92" s="1"/>
  <c r="AA539" i="92"/>
  <c r="AB27" i="92"/>
  <c r="AM27" i="92" s="1"/>
  <c r="AB29" i="92"/>
  <c r="AB24" i="92"/>
  <c r="AB44" i="92"/>
  <c r="Y606" i="92"/>
  <c r="Y661" i="92"/>
  <c r="AJ661" i="92" s="1"/>
  <c r="W749" i="92"/>
  <c r="AS749" i="92" s="1"/>
  <c r="U702" i="92"/>
  <c r="Z757" i="92"/>
  <c r="W664" i="92"/>
  <c r="AS664" i="92" s="1"/>
  <c r="V649" i="92"/>
  <c r="W649" i="92"/>
  <c r="AH649" i="92" s="1"/>
  <c r="W585" i="92"/>
  <c r="V658" i="92"/>
  <c r="AG658" i="92" s="1"/>
  <c r="U600" i="92"/>
  <c r="AQ600" i="92" s="1"/>
  <c r="X496" i="92"/>
  <c r="Z537" i="92"/>
  <c r="V594" i="92"/>
  <c r="AG594" i="92" s="1"/>
  <c r="V714" i="92"/>
  <c r="W401" i="92"/>
  <c r="AH401" i="92" s="1"/>
  <c r="Z426" i="92"/>
  <c r="AK426" i="92" s="1"/>
  <c r="U697" i="92"/>
  <c r="W540" i="92"/>
  <c r="AS540" i="92" s="1"/>
  <c r="W533" i="92"/>
  <c r="U556" i="92"/>
  <c r="W486" i="92"/>
  <c r="AH486" i="92" s="1"/>
  <c r="W732" i="92"/>
  <c r="AS732" i="92" s="1"/>
  <c r="Y677" i="92"/>
  <c r="X426" i="92"/>
  <c r="X464" i="92"/>
  <c r="AT464" i="92" s="1"/>
  <c r="Y736" i="92"/>
  <c r="AU736" i="92" s="1"/>
  <c r="X482" i="92"/>
  <c r="V514" i="92"/>
  <c r="Z628" i="92"/>
  <c r="W564" i="92"/>
  <c r="AS564" i="92" s="1"/>
  <c r="Z556" i="92"/>
  <c r="AK556" i="92" s="1"/>
  <c r="Y709" i="92"/>
  <c r="AU709" i="92" s="1"/>
  <c r="U486" i="92"/>
  <c r="AF486" i="92" s="1"/>
  <c r="Y510" i="92"/>
  <c r="AU510" i="92" s="1"/>
  <c r="AC97" i="92"/>
  <c r="AC756" i="92"/>
  <c r="AA652" i="92"/>
  <c r="AO629" i="92"/>
  <c r="AO504" i="92"/>
  <c r="AZ727" i="92"/>
  <c r="AA697" i="92"/>
  <c r="AW697" i="92" s="1"/>
  <c r="AO385" i="92"/>
  <c r="AA209" i="92"/>
  <c r="AB239" i="92"/>
  <c r="AX239" i="92" s="1"/>
  <c r="X579" i="92"/>
  <c r="W754" i="92"/>
  <c r="AS754" i="92" s="1"/>
  <c r="V570" i="92"/>
  <c r="U442" i="92"/>
  <c r="V435" i="92"/>
  <c r="Z427" i="92"/>
  <c r="AV427" i="92" s="1"/>
  <c r="V530" i="92"/>
  <c r="AR530" i="92" s="1"/>
  <c r="V507" i="92"/>
  <c r="Y680" i="92"/>
  <c r="AJ680" i="92" s="1"/>
  <c r="X618" i="92"/>
  <c r="AT618" i="92" s="1"/>
  <c r="Z557" i="92"/>
  <c r="V564" i="92"/>
  <c r="AG564" i="92" s="1"/>
  <c r="V419" i="92"/>
  <c r="AG419" i="92" s="1"/>
  <c r="V579" i="92"/>
  <c r="AG579" i="92" s="1"/>
  <c r="AA645" i="92"/>
  <c r="AW645" i="92" s="1"/>
  <c r="AC484" i="92"/>
  <c r="AB331" i="92"/>
  <c r="AB101" i="92"/>
  <c r="AB102" i="92"/>
  <c r="AB76" i="92"/>
  <c r="AB614" i="92"/>
  <c r="AX614" i="92" s="1"/>
  <c r="AB457" i="92"/>
  <c r="AB378" i="92"/>
  <c r="AB637" i="92"/>
  <c r="AB407" i="92"/>
  <c r="AC117" i="92"/>
  <c r="AC639" i="92"/>
  <c r="AC53" i="92"/>
  <c r="AN53" i="92" s="1"/>
  <c r="AC584" i="92"/>
  <c r="AN584" i="92" s="1"/>
  <c r="AC201" i="92"/>
  <c r="AC713" i="92"/>
  <c r="AY713" i="92" s="1"/>
  <c r="AC274" i="92"/>
  <c r="AC339" i="92"/>
  <c r="AA91" i="92"/>
  <c r="AC403" i="92"/>
  <c r="AC169" i="92"/>
  <c r="AN169" i="92" s="1"/>
  <c r="AC685" i="92"/>
  <c r="AN685" i="92" s="1"/>
  <c r="AB71" i="92"/>
  <c r="AB403" i="92"/>
  <c r="AB183" i="92"/>
  <c r="AB185" i="92"/>
  <c r="AB158" i="92"/>
  <c r="AX158" i="92" s="1"/>
  <c r="AB686" i="92"/>
  <c r="AB592" i="92"/>
  <c r="AB522" i="92"/>
  <c r="AX522" i="92" s="1"/>
  <c r="AB733" i="92"/>
  <c r="AB423" i="92"/>
  <c r="AM423" i="92" s="1"/>
  <c r="AC126" i="92"/>
  <c r="AC647" i="92"/>
  <c r="AC63" i="92"/>
  <c r="AC592" i="92"/>
  <c r="AC137" i="92"/>
  <c r="AN137" i="92" s="1"/>
  <c r="AC657" i="92"/>
  <c r="AN657" i="92" s="1"/>
  <c r="AC148" i="92"/>
  <c r="AC666" i="92"/>
  <c r="AN666" i="92" s="1"/>
  <c r="AC219" i="92"/>
  <c r="AB279" i="92"/>
  <c r="AC437" i="92"/>
  <c r="AB746" i="92"/>
  <c r="AM746" i="92" s="1"/>
  <c r="AA423" i="92"/>
  <c r="AO174" i="92"/>
  <c r="AA243" i="92"/>
  <c r="AA760" i="92"/>
  <c r="AL760" i="92" s="1"/>
  <c r="AB144" i="92"/>
  <c r="AB137" i="92"/>
  <c r="AB667" i="92"/>
  <c r="AX667" i="92" s="1"/>
  <c r="AB460" i="92"/>
  <c r="AB461" i="92"/>
  <c r="AB502" i="92"/>
  <c r="AX502" i="92" s="1"/>
  <c r="AB206" i="92"/>
  <c r="AB410" i="92"/>
  <c r="AX410" i="92" s="1"/>
  <c r="AB658" i="92"/>
  <c r="AB311" i="92"/>
  <c r="AC62" i="92"/>
  <c r="AY62" i="92" s="1"/>
  <c r="AC591" i="92"/>
  <c r="AB466" i="92"/>
  <c r="AC472" i="92"/>
  <c r="AN472" i="92" s="1"/>
  <c r="AB736" i="92"/>
  <c r="AC537" i="92"/>
  <c r="AY537" i="92" s="1"/>
  <c r="AB737" i="92"/>
  <c r="AC546" i="92"/>
  <c r="AC85" i="92"/>
  <c r="AC611" i="92"/>
  <c r="AC317" i="92"/>
  <c r="AA134" i="92"/>
  <c r="AW134" i="92" s="1"/>
  <c r="AB216" i="92"/>
  <c r="AB291" i="92"/>
  <c r="AX291" i="92" s="1"/>
  <c r="AB54" i="92"/>
  <c r="AB55" i="92"/>
  <c r="AB574" i="92"/>
  <c r="AM574" i="92" s="1"/>
  <c r="AB505" i="92"/>
  <c r="AB554" i="92"/>
  <c r="AM554" i="92" s="1"/>
  <c r="AB754" i="92"/>
  <c r="AX754" i="92" s="1"/>
  <c r="AB455" i="92"/>
  <c r="AC144" i="92"/>
  <c r="AY144" i="92" s="1"/>
  <c r="AC663" i="92"/>
  <c r="AB759" i="92"/>
  <c r="AC544" i="92"/>
  <c r="AY544" i="92" s="1"/>
  <c r="AC82" i="92"/>
  <c r="AY82" i="92" s="1"/>
  <c r="AC609" i="92"/>
  <c r="AC166" i="92"/>
  <c r="AN166" i="92" s="1"/>
  <c r="AA54" i="92"/>
  <c r="AB218" i="92"/>
  <c r="AM218" i="92" s="1"/>
  <c r="AB531" i="92"/>
  <c r="AB324" i="92"/>
  <c r="AB325" i="92"/>
  <c r="AB302" i="92"/>
  <c r="AB68" i="92"/>
  <c r="AB762" i="92"/>
  <c r="AX762" i="92" s="1"/>
  <c r="AB711" i="92"/>
  <c r="AB368" i="92"/>
  <c r="AM368" i="92" s="1"/>
  <c r="AB642" i="92"/>
  <c r="AC263" i="92"/>
  <c r="AA80" i="92"/>
  <c r="AC208" i="92"/>
  <c r="AC720" i="92"/>
  <c r="AC273" i="92"/>
  <c r="AN273" i="92" s="1"/>
  <c r="AC282" i="92"/>
  <c r="AC347" i="92"/>
  <c r="AY347" i="92" s="1"/>
  <c r="AC565" i="92"/>
  <c r="AC532" i="92"/>
  <c r="AA551" i="92"/>
  <c r="AO302" i="92"/>
  <c r="AA376" i="92"/>
  <c r="AL376" i="92" s="1"/>
  <c r="AZ127" i="92"/>
  <c r="AB272" i="92"/>
  <c r="AB283" i="92"/>
  <c r="AX283" i="92" s="1"/>
  <c r="AB45" i="92"/>
  <c r="AB94" i="92"/>
  <c r="AB630" i="92"/>
  <c r="AM630" i="92" s="1"/>
  <c r="AB489" i="92"/>
  <c r="AB636" i="92"/>
  <c r="AB252" i="92"/>
  <c r="AX252" i="92" s="1"/>
  <c r="AB564" i="92"/>
  <c r="AC207" i="92"/>
  <c r="AN207" i="92" s="1"/>
  <c r="AC719" i="92"/>
  <c r="AC72" i="92"/>
  <c r="AC600" i="92"/>
  <c r="AC146" i="92"/>
  <c r="AC665" i="92"/>
  <c r="AC157" i="92"/>
  <c r="AN157" i="92" s="1"/>
  <c r="AC674" i="92"/>
  <c r="AC227" i="92"/>
  <c r="AB322" i="92"/>
  <c r="AC445" i="92"/>
  <c r="AC308" i="92"/>
  <c r="AB90" i="92"/>
  <c r="AB419" i="92"/>
  <c r="AM419" i="92" s="1"/>
  <c r="AB202" i="92"/>
  <c r="AB203" i="92"/>
  <c r="AB177" i="92"/>
  <c r="AX177" i="92" s="1"/>
  <c r="AB702" i="92"/>
  <c r="AB698" i="92"/>
  <c r="AB732" i="92"/>
  <c r="AB400" i="92"/>
  <c r="AB664" i="92"/>
  <c r="AC279" i="92"/>
  <c r="AN279" i="92" s="1"/>
  <c r="AC154" i="92"/>
  <c r="AC672" i="92"/>
  <c r="AN672" i="92" s="1"/>
  <c r="AC225" i="92"/>
  <c r="AC737" i="92"/>
  <c r="AC298" i="92"/>
  <c r="AA51" i="92"/>
  <c r="AB136" i="92"/>
  <c r="AB127" i="92"/>
  <c r="AX127" i="92" s="1"/>
  <c r="AB659" i="92"/>
  <c r="AB452" i="92"/>
  <c r="AB453" i="92"/>
  <c r="AB430" i="92"/>
  <c r="AB214" i="92"/>
  <c r="AC131" i="92"/>
  <c r="AB303" i="92"/>
  <c r="AB607" i="92"/>
  <c r="AX607" i="92" s="1"/>
  <c r="AC391" i="92"/>
  <c r="AA208" i="92"/>
  <c r="AW208" i="92" s="1"/>
  <c r="AC336" i="92"/>
  <c r="AN336" i="92" s="1"/>
  <c r="AA89" i="92"/>
  <c r="AC401" i="92"/>
  <c r="AN401" i="92" s="1"/>
  <c r="AA154" i="92"/>
  <c r="AC410" i="92"/>
  <c r="AN410" i="92" s="1"/>
  <c r="AB440" i="92"/>
  <c r="AX440" i="92" s="1"/>
  <c r="AC475" i="92"/>
  <c r="AC178" i="92"/>
  <c r="AC693" i="92"/>
  <c r="AA145" i="92"/>
  <c r="AA679" i="92"/>
  <c r="AW679" i="92" s="1"/>
  <c r="AC342" i="92"/>
  <c r="AY342" i="92" s="1"/>
  <c r="AA504" i="92"/>
  <c r="AC113" i="92"/>
  <c r="AN113" i="92" s="1"/>
  <c r="AB81" i="92"/>
  <c r="AB411" i="92"/>
  <c r="AX411" i="92" s="1"/>
  <c r="AB193" i="92"/>
  <c r="AB194" i="92"/>
  <c r="AB241" i="92"/>
  <c r="AB758" i="92"/>
  <c r="AM758" i="92" s="1"/>
  <c r="AB688" i="92"/>
  <c r="AX688" i="92" s="1"/>
  <c r="AB106" i="92"/>
  <c r="AX106" i="92" s="1"/>
  <c r="AB512" i="92"/>
  <c r="AB738" i="92"/>
  <c r="AC335" i="92"/>
  <c r="AA88" i="92"/>
  <c r="AC216" i="92"/>
  <c r="AC728" i="92"/>
  <c r="AC281" i="92"/>
  <c r="AC290" i="92"/>
  <c r="AY290" i="92" s="1"/>
  <c r="AC355" i="92"/>
  <c r="AC573" i="92"/>
  <c r="AN573" i="92" s="1"/>
  <c r="AB236" i="92"/>
  <c r="AB547" i="92"/>
  <c r="AB340" i="92"/>
  <c r="AB341" i="92"/>
  <c r="AB318" i="92"/>
  <c r="AB159" i="92"/>
  <c r="AX159" i="92" s="1"/>
  <c r="AC147" i="92"/>
  <c r="AB335" i="92"/>
  <c r="AM335" i="92" s="1"/>
  <c r="AB628" i="92"/>
  <c r="AC57" i="92"/>
  <c r="AC407" i="92"/>
  <c r="AY407" i="92" s="1"/>
  <c r="AA160" i="92"/>
  <c r="AW160" i="92" s="1"/>
  <c r="AC288" i="92"/>
  <c r="AC353" i="92"/>
  <c r="AB264" i="92"/>
  <c r="AB274" i="92"/>
  <c r="AB581" i="92"/>
  <c r="AB558" i="92"/>
  <c r="AB345" i="92"/>
  <c r="AX345" i="92" s="1"/>
  <c r="AB263" i="92"/>
  <c r="AB559" i="92"/>
  <c r="AB49" i="92"/>
  <c r="AX49" i="92" s="1"/>
  <c r="AB672" i="92"/>
  <c r="AC519" i="92"/>
  <c r="AN519" i="92" s="1"/>
  <c r="AB424" i="92"/>
  <c r="AC464" i="92"/>
  <c r="AB705" i="92"/>
  <c r="AM705" i="92" s="1"/>
  <c r="AC529" i="92"/>
  <c r="AB708" i="92"/>
  <c r="AC538" i="92"/>
  <c r="AN538" i="92" s="1"/>
  <c r="AC76" i="92"/>
  <c r="AC603" i="92"/>
  <c r="AC309" i="92"/>
  <c r="AA62" i="92"/>
  <c r="AA295" i="92"/>
  <c r="AO46" i="92"/>
  <c r="AA45" i="92"/>
  <c r="AA632" i="92"/>
  <c r="AW632" i="92" s="1"/>
  <c r="AC636" i="92"/>
  <c r="AB227" i="92"/>
  <c r="AX227" i="92" s="1"/>
  <c r="AB539" i="92"/>
  <c r="AB332" i="92"/>
  <c r="AB333" i="92"/>
  <c r="AB374" i="92"/>
  <c r="AB150" i="92"/>
  <c r="AC139" i="92"/>
  <c r="AN139" i="92" s="1"/>
  <c r="AB447" i="92"/>
  <c r="AB703" i="92"/>
  <c r="AB418" i="92"/>
  <c r="AX418" i="92" s="1"/>
  <c r="AC463" i="92"/>
  <c r="AA216" i="92"/>
  <c r="AW216" i="92" s="1"/>
  <c r="AC344" i="92"/>
  <c r="AA97" i="92"/>
  <c r="AC409" i="92"/>
  <c r="AN409" i="92" s="1"/>
  <c r="AA162" i="92"/>
  <c r="AC418" i="92"/>
  <c r="AN418" i="92" s="1"/>
  <c r="AB482" i="92"/>
  <c r="AC483" i="92"/>
  <c r="AC188" i="92"/>
  <c r="AN188" i="92" s="1"/>
  <c r="AC701" i="92"/>
  <c r="AB88" i="92"/>
  <c r="AB146" i="92"/>
  <c r="AX146" i="92" s="1"/>
  <c r="AB675" i="92"/>
  <c r="AB468" i="92"/>
  <c r="AX468" i="92" s="1"/>
  <c r="AB469" i="92"/>
  <c r="AB446" i="92"/>
  <c r="AB243" i="92"/>
  <c r="AB298" i="92"/>
  <c r="AX298" i="92" s="1"/>
  <c r="AB584" i="92"/>
  <c r="AB124" i="92"/>
  <c r="AM124" i="92" s="1"/>
  <c r="AB727" i="92"/>
  <c r="AC535" i="92"/>
  <c r="AB51" i="92"/>
  <c r="AC416" i="92"/>
  <c r="AB514" i="92"/>
  <c r="AC481" i="92"/>
  <c r="AB520" i="92"/>
  <c r="AC554" i="92"/>
  <c r="AN554" i="92" s="1"/>
  <c r="AB249" i="92"/>
  <c r="AB133" i="92"/>
  <c r="AM133" i="92" s="1"/>
  <c r="AB480" i="92"/>
  <c r="AA72" i="92"/>
  <c r="AC54" i="92"/>
  <c r="AN54" i="92" s="1"/>
  <c r="AC530" i="92"/>
  <c r="AY530" i="92" s="1"/>
  <c r="AB225" i="92"/>
  <c r="AM225" i="92" s="1"/>
  <c r="AB200" i="92"/>
  <c r="AX200" i="92" s="1"/>
  <c r="AB723" i="92"/>
  <c r="AB258" i="92"/>
  <c r="AB750" i="92"/>
  <c r="AB625" i="92"/>
  <c r="AB551" i="92"/>
  <c r="AC583" i="92"/>
  <c r="AN583" i="92" s="1"/>
  <c r="AC528" i="92"/>
  <c r="AC593" i="92"/>
  <c r="AN593" i="92" s="1"/>
  <c r="AC474" i="92"/>
  <c r="AC411" i="92"/>
  <c r="AY411" i="92" s="1"/>
  <c r="AC501" i="92"/>
  <c r="AA487" i="92"/>
  <c r="AA312" i="92"/>
  <c r="AB208" i="92"/>
  <c r="AB731" i="92"/>
  <c r="AB397" i="92"/>
  <c r="AX397" i="92" s="1"/>
  <c r="AB223" i="92"/>
  <c r="AB570" i="92"/>
  <c r="AX570" i="92" s="1"/>
  <c r="AB697" i="92"/>
  <c r="AA280" i="92"/>
  <c r="AB472" i="92"/>
  <c r="AX472" i="92" s="1"/>
  <c r="AA98" i="92"/>
  <c r="AW98" i="92" s="1"/>
  <c r="AB633" i="92"/>
  <c r="AB219" i="92"/>
  <c r="AX219" i="92" s="1"/>
  <c r="AB532" i="92"/>
  <c r="AB382" i="92"/>
  <c r="AM382" i="92" s="1"/>
  <c r="AB61" i="92"/>
  <c r="AB713" i="92"/>
  <c r="AC471" i="92"/>
  <c r="AN471" i="92" s="1"/>
  <c r="AC224" i="92"/>
  <c r="AC156" i="92"/>
  <c r="AC93" i="92"/>
  <c r="AN93" i="92" s="1"/>
  <c r="AB89" i="92"/>
  <c r="AC491" i="92"/>
  <c r="AY491" i="92" s="1"/>
  <c r="AC197" i="92"/>
  <c r="AC709" i="92"/>
  <c r="AB245" i="92"/>
  <c r="AM245" i="92" s="1"/>
  <c r="AB555" i="92"/>
  <c r="AM555" i="92" s="1"/>
  <c r="AB348" i="92"/>
  <c r="AB349" i="92"/>
  <c r="AX349" i="92" s="1"/>
  <c r="AB326" i="92"/>
  <c r="AB169" i="92"/>
  <c r="AM169" i="92" s="1"/>
  <c r="AC91" i="92"/>
  <c r="AB179" i="92"/>
  <c r="AB544" i="92"/>
  <c r="AX544" i="92" s="1"/>
  <c r="AB760" i="92"/>
  <c r="AC351" i="92"/>
  <c r="AN351" i="92" s="1"/>
  <c r="AA104" i="92"/>
  <c r="AW104" i="92" s="1"/>
  <c r="AC296" i="92"/>
  <c r="AA49" i="92"/>
  <c r="AL49" i="92" s="1"/>
  <c r="AC425" i="92"/>
  <c r="AB188" i="92"/>
  <c r="AC434" i="92"/>
  <c r="AN434" i="92" s="1"/>
  <c r="AB567" i="92"/>
  <c r="AC499" i="92"/>
  <c r="AC205" i="92"/>
  <c r="AN205" i="92" s="1"/>
  <c r="AC717" i="92"/>
  <c r="AA178" i="92"/>
  <c r="AL178" i="92" s="1"/>
  <c r="AB91" i="92"/>
  <c r="AB627" i="92"/>
  <c r="AB420" i="92"/>
  <c r="AB421" i="92"/>
  <c r="AM421" i="92" s="1"/>
  <c r="AB398" i="92"/>
  <c r="AX398" i="92" s="1"/>
  <c r="AB191" i="92"/>
  <c r="AX191" i="92" s="1"/>
  <c r="AB381" i="92"/>
  <c r="AB666" i="92"/>
  <c r="AM666" i="92" s="1"/>
  <c r="AB681" i="92"/>
  <c r="AA200" i="92"/>
  <c r="AC329" i="92"/>
  <c r="AN329" i="92" s="1"/>
  <c r="AC658" i="92"/>
  <c r="AY658" i="92" s="1"/>
  <c r="AC96" i="92"/>
  <c r="AB50" i="92"/>
  <c r="AX50" i="92" s="1"/>
  <c r="AB389" i="92"/>
  <c r="AB141" i="92"/>
  <c r="AB69" i="92"/>
  <c r="AB728" i="92"/>
  <c r="AC711" i="92"/>
  <c r="AC656" i="92"/>
  <c r="AC721" i="92"/>
  <c r="AC602" i="92"/>
  <c r="AN602" i="92" s="1"/>
  <c r="AC539" i="92"/>
  <c r="AC629" i="92"/>
  <c r="AY629" i="92" s="1"/>
  <c r="AA615" i="92"/>
  <c r="AA440" i="92"/>
  <c r="AB58" i="92"/>
  <c r="AB525" i="92"/>
  <c r="AX525" i="92" s="1"/>
  <c r="AB361" i="92"/>
  <c r="AX361" i="92" s="1"/>
  <c r="AB744" i="92"/>
  <c r="AX744" i="92" s="1"/>
  <c r="AC135" i="92"/>
  <c r="AB729" i="92"/>
  <c r="AC73" i="92"/>
  <c r="AB481" i="92"/>
  <c r="AA107" i="92"/>
  <c r="AW107" i="92" s="1"/>
  <c r="AC564" i="92"/>
  <c r="AB355" i="92"/>
  <c r="AB130" i="92"/>
  <c r="AX130" i="92" s="1"/>
  <c r="AB510" i="92"/>
  <c r="AB426" i="92"/>
  <c r="AX426" i="92" s="1"/>
  <c r="AB327" i="92"/>
  <c r="AC599" i="92"/>
  <c r="AC352" i="92"/>
  <c r="AY352" i="92" s="1"/>
  <c r="AC289" i="92"/>
  <c r="AY289" i="92" s="1"/>
  <c r="AC234" i="92"/>
  <c r="AB529" i="92"/>
  <c r="AX529" i="92" s="1"/>
  <c r="AC555" i="92"/>
  <c r="AC261" i="92"/>
  <c r="AA78" i="92"/>
  <c r="AB82" i="92"/>
  <c r="AB619" i="92"/>
  <c r="AX619" i="92" s="1"/>
  <c r="AB412" i="92"/>
  <c r="AM412" i="92" s="1"/>
  <c r="AB413" i="92"/>
  <c r="AM413" i="92" s="1"/>
  <c r="AB390" i="92"/>
  <c r="AX390" i="92" s="1"/>
  <c r="AB242" i="92"/>
  <c r="AC155" i="92"/>
  <c r="AN155" i="92" s="1"/>
  <c r="AB351" i="92"/>
  <c r="AB639" i="92"/>
  <c r="AC415" i="92"/>
  <c r="AN415" i="92" s="1"/>
  <c r="AA168" i="92"/>
  <c r="AL168" i="92" s="1"/>
  <c r="AC360" i="92"/>
  <c r="AB162" i="92"/>
  <c r="AX162" i="92" s="1"/>
  <c r="AC489" i="92"/>
  <c r="AB562" i="92"/>
  <c r="AM562" i="92" s="1"/>
  <c r="AC498" i="92"/>
  <c r="AC563" i="92"/>
  <c r="AC269" i="92"/>
  <c r="AB164" i="92"/>
  <c r="AB691" i="92"/>
  <c r="AB484" i="92"/>
  <c r="AX484" i="92" s="1"/>
  <c r="AB485" i="92"/>
  <c r="AB462" i="92"/>
  <c r="AM462" i="92" s="1"/>
  <c r="AB459" i="92"/>
  <c r="AB509" i="92"/>
  <c r="AC59" i="92"/>
  <c r="AN59" i="92" s="1"/>
  <c r="AB632" i="92"/>
  <c r="AB385" i="92"/>
  <c r="AC457" i="92"/>
  <c r="AN457" i="92" s="1"/>
  <c r="AC237" i="92"/>
  <c r="AB145" i="92"/>
  <c r="AX145" i="92" s="1"/>
  <c r="AB110" i="92"/>
  <c r="AB517" i="92"/>
  <c r="AB170" i="92"/>
  <c r="AB431" i="92"/>
  <c r="AA144" i="92"/>
  <c r="AC730" i="92"/>
  <c r="AN730" i="92" s="1"/>
  <c r="AC667" i="92"/>
  <c r="AC757" i="92"/>
  <c r="AY757" i="92" s="1"/>
  <c r="AA743" i="92"/>
  <c r="AA568" i="92"/>
  <c r="AB154" i="92"/>
  <c r="AB119" i="92"/>
  <c r="AB167" i="92"/>
  <c r="AB602" i="92"/>
  <c r="AX602" i="92" s="1"/>
  <c r="AB384" i="92"/>
  <c r="AC271" i="92"/>
  <c r="AN271" i="92" s="1"/>
  <c r="AC145" i="92"/>
  <c r="AC217" i="92"/>
  <c r="AC84" i="92"/>
  <c r="AB740" i="92"/>
  <c r="AC114" i="92"/>
  <c r="AB483" i="92"/>
  <c r="AB276" i="92"/>
  <c r="AB638" i="92"/>
  <c r="AB647" i="92"/>
  <c r="AB577" i="92"/>
  <c r="AC727" i="92"/>
  <c r="AC480" i="92"/>
  <c r="AC417" i="92"/>
  <c r="AC362" i="92"/>
  <c r="AN362" i="92" s="1"/>
  <c r="AC94" i="92"/>
  <c r="AC619" i="92"/>
  <c r="AC325" i="92"/>
  <c r="AB155" i="92"/>
  <c r="AB683" i="92"/>
  <c r="AM683" i="92" s="1"/>
  <c r="AB476" i="92"/>
  <c r="AB477" i="92"/>
  <c r="AB454" i="92"/>
  <c r="AX454" i="92" s="1"/>
  <c r="AB262" i="92"/>
  <c r="AB98" i="92"/>
  <c r="AX98" i="92" s="1"/>
  <c r="AB479" i="92"/>
  <c r="AB724" i="92"/>
  <c r="AB504" i="92"/>
  <c r="AX504" i="92" s="1"/>
  <c r="AC479" i="92"/>
  <c r="AA232" i="92"/>
  <c r="AC424" i="92"/>
  <c r="AN424" i="92" s="1"/>
  <c r="AB561" i="92"/>
  <c r="AC553" i="92"/>
  <c r="AN553" i="92" s="1"/>
  <c r="AC562" i="92"/>
  <c r="AC103" i="92"/>
  <c r="AY103" i="92" s="1"/>
  <c r="AC627" i="92"/>
  <c r="AC333" i="92"/>
  <c r="AA86" i="92"/>
  <c r="AB104" i="92"/>
  <c r="AX104" i="92" s="1"/>
  <c r="AB237" i="92"/>
  <c r="AB755" i="92"/>
  <c r="AX755" i="92" s="1"/>
  <c r="AB548" i="92"/>
  <c r="AB549" i="92"/>
  <c r="AB526" i="92"/>
  <c r="AM526" i="92" s="1"/>
  <c r="AB409" i="92"/>
  <c r="AB330" i="92"/>
  <c r="AM330" i="92" s="1"/>
  <c r="AB605" i="92"/>
  <c r="AX605" i="92" s="1"/>
  <c r="AB197" i="92"/>
  <c r="AC162" i="92"/>
  <c r="AC679" i="92"/>
  <c r="AC560" i="92"/>
  <c r="AC101" i="92"/>
  <c r="AC625" i="92"/>
  <c r="AC111" i="92"/>
  <c r="AC634" i="92"/>
  <c r="AN634" i="92" s="1"/>
  <c r="AC185" i="92"/>
  <c r="AC699" i="92"/>
  <c r="AB48" i="92"/>
  <c r="AB571" i="92"/>
  <c r="AB364" i="92"/>
  <c r="AB587" i="92"/>
  <c r="AB222" i="92"/>
  <c r="AC187" i="92"/>
  <c r="AN187" i="92" s="1"/>
  <c r="AC200" i="92"/>
  <c r="AC585" i="92"/>
  <c r="AB401" i="92"/>
  <c r="AC365" i="92"/>
  <c r="AB53" i="92"/>
  <c r="AX53" i="92" s="1"/>
  <c r="AB257" i="92"/>
  <c r="AB85" i="92"/>
  <c r="AB473" i="92"/>
  <c r="AX473" i="92" s="1"/>
  <c r="AB648" i="92"/>
  <c r="AB376" i="92"/>
  <c r="AA272" i="92"/>
  <c r="AB433" i="92"/>
  <c r="AA90" i="92"/>
  <c r="AB608" i="92"/>
  <c r="AX608" i="92" s="1"/>
  <c r="AA126" i="92"/>
  <c r="AL126" i="92" s="1"/>
  <c r="AO110" i="92"/>
  <c r="AA696" i="92"/>
  <c r="AB63" i="92"/>
  <c r="AX63" i="92" s="1"/>
  <c r="AB266" i="92"/>
  <c r="AB310" i="92"/>
  <c r="AC75" i="92"/>
  <c r="AB617" i="92"/>
  <c r="AC399" i="92"/>
  <c r="AC280" i="92"/>
  <c r="AN280" i="92" s="1"/>
  <c r="AC345" i="92"/>
  <c r="AC226" i="92"/>
  <c r="AC158" i="92"/>
  <c r="AC253" i="92"/>
  <c r="AB611" i="92"/>
  <c r="AX611" i="92" s="1"/>
  <c r="AB405" i="92"/>
  <c r="AB86" i="92"/>
  <c r="AB142" i="92"/>
  <c r="AX142" i="92" s="1"/>
  <c r="AB749" i="92"/>
  <c r="AC608" i="92"/>
  <c r="AY608" i="92" s="1"/>
  <c r="AC545" i="92"/>
  <c r="AC426" i="92"/>
  <c r="AC167" i="92"/>
  <c r="AN167" i="92" s="1"/>
  <c r="AC683" i="92"/>
  <c r="AC389" i="92"/>
  <c r="AB96" i="92"/>
  <c r="AX96" i="92" s="1"/>
  <c r="AB228" i="92"/>
  <c r="AB747" i="92"/>
  <c r="AB540" i="92"/>
  <c r="AB541" i="92"/>
  <c r="AM541" i="92" s="1"/>
  <c r="AB518" i="92"/>
  <c r="AX518" i="92" s="1"/>
  <c r="AB393" i="92"/>
  <c r="AB314" i="92"/>
  <c r="AB594" i="92"/>
  <c r="AX594" i="92" s="1"/>
  <c r="AB161" i="92"/>
  <c r="AB757" i="92"/>
  <c r="AC543" i="92"/>
  <c r="AN543" i="92" s="1"/>
  <c r="AB153" i="92"/>
  <c r="AC488" i="92"/>
  <c r="AC92" i="92"/>
  <c r="AN92" i="92" s="1"/>
  <c r="AC617" i="92"/>
  <c r="AC102" i="92"/>
  <c r="AN102" i="92" s="1"/>
  <c r="AC626" i="92"/>
  <c r="AC176" i="92"/>
  <c r="AY176" i="92" s="1"/>
  <c r="AC691" i="92"/>
  <c r="AC397" i="92"/>
  <c r="AA150" i="92"/>
  <c r="AB168" i="92"/>
  <c r="AB307" i="92"/>
  <c r="AB74" i="92"/>
  <c r="AX74" i="92" s="1"/>
  <c r="AB75" i="92"/>
  <c r="AB46" i="92"/>
  <c r="AM46" i="92" s="1"/>
  <c r="AB590" i="92"/>
  <c r="AB537" i="92"/>
  <c r="AB458" i="92"/>
  <c r="AX458" i="92" s="1"/>
  <c r="AB690" i="92"/>
  <c r="AB359" i="92"/>
  <c r="AC231" i="92"/>
  <c r="AN231" i="92" s="1"/>
  <c r="AC743" i="92"/>
  <c r="AC100" i="92"/>
  <c r="AC624" i="92"/>
  <c r="AC174" i="92"/>
  <c r="AC689" i="92"/>
  <c r="AN689" i="92" s="1"/>
  <c r="AC184" i="92"/>
  <c r="AC698" i="92"/>
  <c r="AC251" i="92"/>
  <c r="AN251" i="92" s="1"/>
  <c r="AB450" i="92"/>
  <c r="AB64" i="92"/>
  <c r="AB715" i="92"/>
  <c r="AB358" i="92"/>
  <c r="AB615" i="92"/>
  <c r="AX615" i="92" s="1"/>
  <c r="AB641" i="92"/>
  <c r="AC328" i="92"/>
  <c r="AA146" i="92"/>
  <c r="AW146" i="92" s="1"/>
  <c r="AC66" i="92"/>
  <c r="AC493" i="92"/>
  <c r="AN493" i="92" s="1"/>
  <c r="AB201" i="92"/>
  <c r="AB388" i="92"/>
  <c r="AB231" i="92"/>
  <c r="AB677" i="92"/>
  <c r="AB217" i="92"/>
  <c r="AC52" i="92"/>
  <c r="AN52" i="92" s="1"/>
  <c r="AB704" i="92"/>
  <c r="AC64" i="92"/>
  <c r="AY64" i="92" s="1"/>
  <c r="AB434" i="92"/>
  <c r="AA99" i="92"/>
  <c r="AC276" i="92"/>
  <c r="AY276" i="92" s="1"/>
  <c r="AZ238" i="92"/>
  <c r="AZ63" i="92"/>
  <c r="AB210" i="92"/>
  <c r="AX210" i="92" s="1"/>
  <c r="AB396" i="92"/>
  <c r="AB438" i="92"/>
  <c r="AX438" i="92" s="1"/>
  <c r="AB282" i="92"/>
  <c r="AB87" i="92"/>
  <c r="AC527" i="92"/>
  <c r="AC408" i="92"/>
  <c r="AC473" i="92"/>
  <c r="AY473" i="92" s="1"/>
  <c r="AC354" i="92"/>
  <c r="AY354" i="92" s="1"/>
  <c r="AC291" i="92"/>
  <c r="AC381" i="92"/>
  <c r="AN381" i="92" s="1"/>
  <c r="AB152" i="92"/>
  <c r="AB739" i="92"/>
  <c r="AB533" i="92"/>
  <c r="AX533" i="92" s="1"/>
  <c r="AB233" i="92"/>
  <c r="AB463" i="92"/>
  <c r="AB465" i="92"/>
  <c r="AX465" i="92" s="1"/>
  <c r="AA96" i="92"/>
  <c r="AC736" i="92"/>
  <c r="AN736" i="92" s="1"/>
  <c r="AC673" i="92"/>
  <c r="AC490" i="92"/>
  <c r="AC235" i="92"/>
  <c r="AB369" i="92"/>
  <c r="AX369" i="92" s="1"/>
  <c r="AC453" i="92"/>
  <c r="AB160" i="92"/>
  <c r="AX160" i="92" s="1"/>
  <c r="AB299" i="92"/>
  <c r="AB65" i="92"/>
  <c r="AM65" i="92" s="1"/>
  <c r="AB66" i="92"/>
  <c r="AB582" i="92"/>
  <c r="AB521" i="92"/>
  <c r="AX521" i="92" s="1"/>
  <c r="AB442" i="92"/>
  <c r="AB680" i="92"/>
  <c r="AB343" i="92"/>
  <c r="AX343" i="92" s="1"/>
  <c r="AC80" i="92"/>
  <c r="AC607" i="92"/>
  <c r="AB552" i="92"/>
  <c r="AC552" i="92"/>
  <c r="AC165" i="92"/>
  <c r="AC681" i="92"/>
  <c r="AY681" i="92" s="1"/>
  <c r="AC175" i="92"/>
  <c r="AC690" i="92"/>
  <c r="AN690" i="92" s="1"/>
  <c r="AC243" i="92"/>
  <c r="AB408" i="92"/>
  <c r="AM408" i="92" s="1"/>
  <c r="AB192" i="92"/>
  <c r="AB247" i="92"/>
  <c r="AB486" i="92"/>
  <c r="AC255" i="92"/>
  <c r="AC456" i="92"/>
  <c r="AB682" i="92"/>
  <c r="AX682" i="92" s="1"/>
  <c r="AC211" i="92"/>
  <c r="AC621" i="92"/>
  <c r="AY621" i="92" s="1"/>
  <c r="AB339" i="92"/>
  <c r="AB516" i="92"/>
  <c r="AB366" i="92"/>
  <c r="AX366" i="92" s="1"/>
  <c r="AC67" i="92"/>
  <c r="AB496" i="92"/>
  <c r="AC199" i="92"/>
  <c r="AN199" i="92" s="1"/>
  <c r="AC136" i="92"/>
  <c r="AC209" i="92"/>
  <c r="AN209" i="92" s="1"/>
  <c r="AC74" i="92"/>
  <c r="AB714" i="92"/>
  <c r="AC105" i="92"/>
  <c r="AC758" i="92"/>
  <c r="AY758" i="92" s="1"/>
  <c r="AC70" i="92"/>
  <c r="AO191" i="92"/>
  <c r="AB347" i="92"/>
  <c r="AB524" i="92"/>
  <c r="AX524" i="92" s="1"/>
  <c r="AB566" i="92"/>
  <c r="AB538" i="92"/>
  <c r="AB439" i="92"/>
  <c r="AC655" i="92"/>
  <c r="AC536" i="92"/>
  <c r="AC601" i="92"/>
  <c r="AN601" i="92" s="1"/>
  <c r="AC482" i="92"/>
  <c r="AC419" i="92"/>
  <c r="AC509" i="92"/>
  <c r="AB280" i="92"/>
  <c r="AB129" i="92"/>
  <c r="AB377" i="92"/>
  <c r="AB669" i="92"/>
  <c r="AM669" i="92" s="1"/>
  <c r="AC71" i="92"/>
  <c r="AN71" i="92" s="1"/>
  <c r="AA224" i="92"/>
  <c r="AC618" i="92"/>
  <c r="AC299" i="92"/>
  <c r="AB663" i="92"/>
  <c r="AC517" i="92"/>
  <c r="AY517" i="92" s="1"/>
  <c r="AB224" i="92"/>
  <c r="AB363" i="92"/>
  <c r="AB138" i="92"/>
  <c r="AX138" i="92" s="1"/>
  <c r="AB139" i="92"/>
  <c r="AB113" i="92"/>
  <c r="AM113" i="92" s="1"/>
  <c r="AB646" i="92"/>
  <c r="AB624" i="92"/>
  <c r="AB569" i="92"/>
  <c r="AB471" i="92"/>
  <c r="AC153" i="92"/>
  <c r="AC671" i="92"/>
  <c r="AN671" i="92" s="1"/>
  <c r="AC90" i="92"/>
  <c r="AC616" i="92"/>
  <c r="AY616" i="92" s="1"/>
  <c r="AC233" i="92"/>
  <c r="AC745" i="92"/>
  <c r="AC242" i="92"/>
  <c r="AY242" i="92" s="1"/>
  <c r="AC754" i="92"/>
  <c r="AC307" i="92"/>
  <c r="AY307" i="92" s="1"/>
  <c r="AB693" i="92"/>
  <c r="AX693" i="92" s="1"/>
  <c r="AC525" i="92"/>
  <c r="AC372" i="92"/>
  <c r="AY372" i="92" s="1"/>
  <c r="AB435" i="92"/>
  <c r="AB220" i="92"/>
  <c r="AB221" i="92"/>
  <c r="AM221" i="92" s="1"/>
  <c r="AB195" i="92"/>
  <c r="AB718" i="92"/>
  <c r="AB720" i="92"/>
  <c r="AX720" i="92" s="1"/>
  <c r="AB668" i="92"/>
  <c r="AB304" i="92"/>
  <c r="AB600" i="92"/>
  <c r="AX600" i="92" s="1"/>
  <c r="AC359" i="92"/>
  <c r="AA112" i="92"/>
  <c r="AC240" i="92"/>
  <c r="AN240" i="92" s="1"/>
  <c r="AC752" i="92"/>
  <c r="AC305" i="92"/>
  <c r="AN305" i="92" s="1"/>
  <c r="AA58" i="92"/>
  <c r="AC314" i="92"/>
  <c r="AA67" i="92"/>
  <c r="AC379" i="92"/>
  <c r="AC69" i="92"/>
  <c r="AB240" i="92"/>
  <c r="AM240" i="92" s="1"/>
  <c r="AB246" i="92"/>
  <c r="AM246" i="92" s="1"/>
  <c r="AB135" i="92"/>
  <c r="AX135" i="92" s="1"/>
  <c r="AB508" i="92"/>
  <c r="AB132" i="92"/>
  <c r="AM132" i="92" s="1"/>
  <c r="AB180" i="92"/>
  <c r="AC511" i="92"/>
  <c r="AB386" i="92"/>
  <c r="AM386" i="92" s="1"/>
  <c r="AC402" i="92"/>
  <c r="AC595" i="92"/>
  <c r="AN595" i="92" s="1"/>
  <c r="AB72" i="92"/>
  <c r="AX72" i="92" s="1"/>
  <c r="AB595" i="92"/>
  <c r="AB111" i="92"/>
  <c r="AM111" i="92" s="1"/>
  <c r="AB622" i="92"/>
  <c r="AB394" i="92"/>
  <c r="AB295" i="92"/>
  <c r="AC455" i="92"/>
  <c r="AC400" i="92"/>
  <c r="AC465" i="92"/>
  <c r="AN465" i="92" s="1"/>
  <c r="AC346" i="92"/>
  <c r="AC283" i="92"/>
  <c r="AN283" i="92" s="1"/>
  <c r="AC373" i="92"/>
  <c r="AA359" i="92"/>
  <c r="AA170" i="92"/>
  <c r="AB80" i="92"/>
  <c r="AB603" i="92"/>
  <c r="AB267" i="92"/>
  <c r="AX267" i="92" s="1"/>
  <c r="AB77" i="92"/>
  <c r="AB319" i="92"/>
  <c r="AM319" i="92" s="1"/>
  <c r="AC49" i="92"/>
  <c r="AA152" i="92"/>
  <c r="AC738" i="92"/>
  <c r="AC675" i="92"/>
  <c r="AA70" i="92"/>
  <c r="AB73" i="92"/>
  <c r="AX73" i="92" s="1"/>
  <c r="AB404" i="92"/>
  <c r="AB250" i="92"/>
  <c r="AM250" i="92" s="1"/>
  <c r="AC83" i="92"/>
  <c r="AB528" i="92"/>
  <c r="AC343" i="92"/>
  <c r="AC81" i="92"/>
  <c r="AB761" i="92"/>
  <c r="AB79" i="92"/>
  <c r="AX79" i="92" s="1"/>
  <c r="AC746" i="92"/>
  <c r="AC427" i="92"/>
  <c r="AC124" i="92"/>
  <c r="AC645" i="92"/>
  <c r="AB172" i="92"/>
  <c r="AB491" i="92"/>
  <c r="AB284" i="92"/>
  <c r="AB285" i="92"/>
  <c r="AX285" i="92" s="1"/>
  <c r="AB259" i="92"/>
  <c r="AX259" i="92" s="1"/>
  <c r="AB95" i="92"/>
  <c r="AX95" i="92" s="1"/>
  <c r="AB743" i="92"/>
  <c r="AB416" i="92"/>
  <c r="AB674" i="92"/>
  <c r="AC287" i="92"/>
  <c r="AC232" i="92"/>
  <c r="AC744" i="92"/>
  <c r="AN744" i="92" s="1"/>
  <c r="AC361" i="92"/>
  <c r="AA114" i="92"/>
  <c r="AC370" i="92"/>
  <c r="AB189" i="92"/>
  <c r="AC435" i="92"/>
  <c r="AN435" i="92" s="1"/>
  <c r="AC133" i="92"/>
  <c r="AC653" i="92"/>
  <c r="AN653" i="92" s="1"/>
  <c r="AA63" i="92"/>
  <c r="AW63" i="92" s="1"/>
  <c r="AB181" i="92"/>
  <c r="AX181" i="92" s="1"/>
  <c r="AB563" i="92"/>
  <c r="AB356" i="92"/>
  <c r="AB357" i="92"/>
  <c r="AB334" i="92"/>
  <c r="AX334" i="92" s="1"/>
  <c r="AB105" i="92"/>
  <c r="AC99" i="92"/>
  <c r="AB215" i="92"/>
  <c r="AX215" i="92" s="1"/>
  <c r="AB560" i="92"/>
  <c r="AB151" i="92"/>
  <c r="AC487" i="92"/>
  <c r="AA240" i="92"/>
  <c r="AC368" i="92"/>
  <c r="AB254" i="92"/>
  <c r="AC433" i="92"/>
  <c r="AB261" i="92"/>
  <c r="AX261" i="92" s="1"/>
  <c r="AC442" i="92"/>
  <c r="AB599" i="92"/>
  <c r="AM599" i="92" s="1"/>
  <c r="AC507" i="92"/>
  <c r="AC213" i="92"/>
  <c r="AC749" i="92"/>
  <c r="AC327" i="92"/>
  <c r="AB694" i="92"/>
  <c r="AC610" i="92"/>
  <c r="AN610" i="92" s="1"/>
  <c r="AB163" i="92"/>
  <c r="AB513" i="92"/>
  <c r="AM513" i="92" s="1"/>
  <c r="AC581" i="92"/>
  <c r="AB710" i="92"/>
  <c r="AC223" i="92"/>
  <c r="AC306" i="92"/>
  <c r="AC104" i="92"/>
  <c r="AB147" i="92"/>
  <c r="AX147" i="92" s="1"/>
  <c r="AB178" i="92"/>
  <c r="AB367" i="92"/>
  <c r="AM367" i="92" s="1"/>
  <c r="AB546" i="92"/>
  <c r="AB253" i="92"/>
  <c r="AA57" i="92"/>
  <c r="AA122" i="92"/>
  <c r="AB271" i="92"/>
  <c r="AC142" i="92"/>
  <c r="AN142" i="92" s="1"/>
  <c r="AB190" i="92"/>
  <c r="AB635" i="92"/>
  <c r="AM635" i="92" s="1"/>
  <c r="AB492" i="92"/>
  <c r="AB493" i="92"/>
  <c r="AB470" i="92"/>
  <c r="AB60" i="92"/>
  <c r="AC171" i="92"/>
  <c r="AB511" i="92"/>
  <c r="AX511" i="92" s="1"/>
  <c r="AB745" i="92"/>
  <c r="AC98" i="92"/>
  <c r="AN98" i="92" s="1"/>
  <c r="AC623" i="92"/>
  <c r="AB618" i="92"/>
  <c r="AC504" i="92"/>
  <c r="AC569" i="92"/>
  <c r="AC45" i="92"/>
  <c r="AY45" i="92" s="1"/>
  <c r="AC578" i="92"/>
  <c r="AN578" i="92" s="1"/>
  <c r="AC194" i="92"/>
  <c r="AB497" i="92"/>
  <c r="AC477" i="92"/>
  <c r="AC177" i="92"/>
  <c r="AB373" i="92"/>
  <c r="AC191" i="92"/>
  <c r="AY191" i="92" s="1"/>
  <c r="AC725" i="92"/>
  <c r="AA511" i="92"/>
  <c r="AW511" i="92" s="1"/>
  <c r="AB498" i="92"/>
  <c r="AX498" i="92" s="1"/>
  <c r="AA480" i="92"/>
  <c r="AW480" i="92" s="1"/>
  <c r="AC604" i="92"/>
  <c r="AA577" i="92"/>
  <c r="AB665" i="92"/>
  <c r="AA490" i="92"/>
  <c r="AZ241" i="92"/>
  <c r="AA427" i="92"/>
  <c r="AW427" i="92" s="1"/>
  <c r="AZ178" i="92"/>
  <c r="AC710" i="92"/>
  <c r="AA597" i="92"/>
  <c r="AO505" i="92"/>
  <c r="AA277" i="92"/>
  <c r="AZ634" i="92"/>
  <c r="AA636" i="92"/>
  <c r="AB109" i="92"/>
  <c r="AB706" i="92"/>
  <c r="AC586" i="92"/>
  <c r="AA214" i="92"/>
  <c r="AW214" i="92" s="1"/>
  <c r="AO54" i="92"/>
  <c r="AA188" i="92"/>
  <c r="AW188" i="92" s="1"/>
  <c r="AA262" i="92"/>
  <c r="AW262" i="92" s="1"/>
  <c r="AA626" i="92"/>
  <c r="AL626" i="92" s="1"/>
  <c r="AC47" i="92"/>
  <c r="AB415" i="92"/>
  <c r="AB467" i="92"/>
  <c r="AC272" i="92"/>
  <c r="AY272" i="92" s="1"/>
  <c r="AC245" i="92"/>
  <c r="AN245" i="92" s="1"/>
  <c r="AB721" i="92"/>
  <c r="AX721" i="92" s="1"/>
  <c r="AB275" i="92"/>
  <c r="AB709" i="92"/>
  <c r="AM709" i="92" s="1"/>
  <c r="AC735" i="92"/>
  <c r="AA59" i="92"/>
  <c r="AC628" i="92"/>
  <c r="AB292" i="92"/>
  <c r="AB281" i="92"/>
  <c r="AB495" i="92"/>
  <c r="AX495" i="92" s="1"/>
  <c r="AC89" i="92"/>
  <c r="AB588" i="92"/>
  <c r="AX588" i="92" s="1"/>
  <c r="AB591" i="92"/>
  <c r="AB597" i="92"/>
  <c r="AC277" i="92"/>
  <c r="AY277" i="92" s="1"/>
  <c r="AB699" i="92"/>
  <c r="AB556" i="92"/>
  <c r="AB557" i="92"/>
  <c r="AX557" i="92" s="1"/>
  <c r="AB534" i="92"/>
  <c r="AB297" i="92"/>
  <c r="AX297" i="92" s="1"/>
  <c r="AB171" i="92"/>
  <c r="AB616" i="92"/>
  <c r="AB234" i="92"/>
  <c r="AM234" i="92" s="1"/>
  <c r="AC172" i="92"/>
  <c r="AC687" i="92"/>
  <c r="AY687" i="92" s="1"/>
  <c r="AC568" i="92"/>
  <c r="AN568" i="92" s="1"/>
  <c r="AC110" i="92"/>
  <c r="AC633" i="92"/>
  <c r="AC120" i="92"/>
  <c r="AC642" i="92"/>
  <c r="AC259" i="92"/>
  <c r="AB748" i="92"/>
  <c r="AC541" i="92"/>
  <c r="AC436" i="92"/>
  <c r="AN436" i="92" s="1"/>
  <c r="AB286" i="92"/>
  <c r="AC704" i="92"/>
  <c r="AY704" i="92" s="1"/>
  <c r="AA118" i="92"/>
  <c r="AA583" i="92"/>
  <c r="AC246" i="92"/>
  <c r="AA552" i="92"/>
  <c r="AL552" i="92" s="1"/>
  <c r="AA69" i="92"/>
  <c r="AL69" i="92" s="1"/>
  <c r="AA641" i="92"/>
  <c r="AW641" i="92" s="1"/>
  <c r="AC286" i="92"/>
  <c r="AA554" i="92"/>
  <c r="AW554" i="92" s="1"/>
  <c r="AO305" i="92"/>
  <c r="AA491" i="92"/>
  <c r="AO242" i="92"/>
  <c r="AA116" i="92"/>
  <c r="AA661" i="92"/>
  <c r="AL661" i="92" s="1"/>
  <c r="AC366" i="92"/>
  <c r="AN366" i="92" s="1"/>
  <c r="AO569" i="92"/>
  <c r="AA534" i="92"/>
  <c r="AL534" i="92" s="1"/>
  <c r="AO698" i="92"/>
  <c r="AO527" i="92"/>
  <c r="AB643" i="92"/>
  <c r="AM643" i="92" s="1"/>
  <c r="AC523" i="92"/>
  <c r="AA303" i="92"/>
  <c r="AW303" i="92" s="1"/>
  <c r="AA270" i="92"/>
  <c r="AL270" i="92" s="1"/>
  <c r="AA329" i="92"/>
  <c r="AO144" i="92"/>
  <c r="AA163" i="92"/>
  <c r="AA690" i="92"/>
  <c r="AC324" i="92"/>
  <c r="AY324" i="92" s="1"/>
  <c r="AA499" i="92"/>
  <c r="AZ250" i="92"/>
  <c r="AA129" i="92"/>
  <c r="AA669" i="92"/>
  <c r="AC582" i="92"/>
  <c r="AO577" i="92"/>
  <c r="AA223" i="92"/>
  <c r="AB653" i="92"/>
  <c r="AX653" i="92" s="1"/>
  <c r="AC547" i="92"/>
  <c r="AB78" i="92"/>
  <c r="AX78" i="92" s="1"/>
  <c r="AB99" i="92"/>
  <c r="AB148" i="92"/>
  <c r="AB634" i="92"/>
  <c r="AB70" i="92"/>
  <c r="AC295" i="92"/>
  <c r="AY295" i="92" s="1"/>
  <c r="AC112" i="92"/>
  <c r="AN112" i="92" s="1"/>
  <c r="AC341" i="92"/>
  <c r="AB100" i="92"/>
  <c r="AX100" i="92" s="1"/>
  <c r="AB763" i="92"/>
  <c r="AB84" i="92"/>
  <c r="AB57" i="92"/>
  <c r="AB598" i="92"/>
  <c r="AB425" i="92"/>
  <c r="AB346" i="92"/>
  <c r="AX346" i="92" s="1"/>
  <c r="AB701" i="92"/>
  <c r="AB375" i="92"/>
  <c r="AX375" i="92" s="1"/>
  <c r="AC239" i="92"/>
  <c r="AC751" i="92"/>
  <c r="AC109" i="92"/>
  <c r="AC632" i="92"/>
  <c r="AC183" i="92"/>
  <c r="AY183" i="92" s="1"/>
  <c r="AC697" i="92"/>
  <c r="AN697" i="92" s="1"/>
  <c r="AC193" i="92"/>
  <c r="AN193" i="92" s="1"/>
  <c r="AC706" i="92"/>
  <c r="AC323" i="92"/>
  <c r="AC78" i="92"/>
  <c r="AC605" i="92"/>
  <c r="AC692" i="92"/>
  <c r="AB441" i="92"/>
  <c r="AC119" i="92"/>
  <c r="AC244" i="92"/>
  <c r="AA655" i="92"/>
  <c r="AC534" i="92"/>
  <c r="AA624" i="92"/>
  <c r="AA180" i="92"/>
  <c r="AA705" i="92"/>
  <c r="AC542" i="92"/>
  <c r="AA618" i="92"/>
  <c r="AW618" i="92" s="1"/>
  <c r="AC292" i="92"/>
  <c r="AA555" i="92"/>
  <c r="AW555" i="92" s="1"/>
  <c r="AA203" i="92"/>
  <c r="AA725" i="92"/>
  <c r="AA275" i="92"/>
  <c r="AO633" i="92"/>
  <c r="AO762" i="92"/>
  <c r="AZ363" i="92"/>
  <c r="AB436" i="92"/>
  <c r="AC567" i="92"/>
  <c r="AC87" i="92"/>
  <c r="AA375" i="92"/>
  <c r="AZ198" i="92"/>
  <c r="AA344" i="92"/>
  <c r="AW344" i="92" s="1"/>
  <c r="AA393" i="92"/>
  <c r="AO208" i="92"/>
  <c r="AA236" i="92"/>
  <c r="AA754" i="92"/>
  <c r="AC580" i="92"/>
  <c r="AA563" i="92"/>
  <c r="AW563" i="92" s="1"/>
  <c r="AO314" i="92"/>
  <c r="AA212" i="92"/>
  <c r="AA733" i="92"/>
  <c r="AA308" i="92"/>
  <c r="AZ61" i="92"/>
  <c r="AO335" i="92"/>
  <c r="AO416" i="92"/>
  <c r="AB414" i="92"/>
  <c r="AA256" i="92"/>
  <c r="AW256" i="92" s="1"/>
  <c r="AC533" i="92"/>
  <c r="AA527" i="92"/>
  <c r="AB751" i="92"/>
  <c r="AA496" i="92"/>
  <c r="AC412" i="92"/>
  <c r="AA529" i="92"/>
  <c r="AW529" i="92" s="1"/>
  <c r="AA314" i="92"/>
  <c r="AL314" i="92" s="1"/>
  <c r="AZ65" i="92"/>
  <c r="AC383" i="92"/>
  <c r="AC337" i="92"/>
  <c r="AN337" i="92" s="1"/>
  <c r="AC598" i="92"/>
  <c r="AB103" i="92"/>
  <c r="AB427" i="92"/>
  <c r="AX427" i="92" s="1"/>
  <c r="AB657" i="92"/>
  <c r="AC164" i="92"/>
  <c r="AC371" i="92"/>
  <c r="AB232" i="92"/>
  <c r="AB293" i="92"/>
  <c r="AM293" i="92" s="1"/>
  <c r="AB432" i="92"/>
  <c r="AM432" i="92" s="1"/>
  <c r="AC423" i="92"/>
  <c r="AC173" i="92"/>
  <c r="AN173" i="92" s="1"/>
  <c r="AC241" i="92"/>
  <c r="AC250" i="92"/>
  <c r="AC315" i="92"/>
  <c r="AB112" i="92"/>
  <c r="AB173" i="92"/>
  <c r="AX173" i="92" s="1"/>
  <c r="AB83" i="92"/>
  <c r="AB157" i="92"/>
  <c r="AB131" i="92"/>
  <c r="AX131" i="92" s="1"/>
  <c r="AB662" i="92"/>
  <c r="AB553" i="92"/>
  <c r="AB474" i="92"/>
  <c r="AB107" i="92"/>
  <c r="AB503" i="92"/>
  <c r="AX503" i="92" s="1"/>
  <c r="AC303" i="92"/>
  <c r="AA56" i="92"/>
  <c r="AC182" i="92"/>
  <c r="AN182" i="92" s="1"/>
  <c r="AC696" i="92"/>
  <c r="AC249" i="92"/>
  <c r="AC761" i="92"/>
  <c r="AC258" i="92"/>
  <c r="AA75" i="92"/>
  <c r="AC387" i="92"/>
  <c r="AY387" i="92" s="1"/>
  <c r="AC151" i="92"/>
  <c r="AC669" i="92"/>
  <c r="AN669" i="92" s="1"/>
  <c r="AA105" i="92"/>
  <c r="AC179" i="92"/>
  <c r="AC641" i="92"/>
  <c r="AC739" i="92"/>
  <c r="AA727" i="92"/>
  <c r="AA704" i="92"/>
  <c r="AL704" i="92" s="1"/>
  <c r="AA253" i="92"/>
  <c r="AL253" i="92" s="1"/>
  <c r="AZ72" i="92"/>
  <c r="AA149" i="92"/>
  <c r="AL149" i="92" s="1"/>
  <c r="AA682" i="92"/>
  <c r="AL682" i="92" s="1"/>
  <c r="AC548" i="92"/>
  <c r="AA619" i="92"/>
  <c r="AC50" i="92"/>
  <c r="AY50" i="92" s="1"/>
  <c r="AA276" i="92"/>
  <c r="AA532" i="92"/>
  <c r="AZ697" i="92"/>
  <c r="AO671" i="92"/>
  <c r="AB609" i="92"/>
  <c r="AB437" i="92"/>
  <c r="AA192" i="92"/>
  <c r="AC485" i="92"/>
  <c r="AA447" i="92"/>
  <c r="AW447" i="92" s="1"/>
  <c r="AA416" i="92"/>
  <c r="AA457" i="92"/>
  <c r="AA306" i="92"/>
  <c r="AO57" i="92"/>
  <c r="AA627" i="92"/>
  <c r="AC712" i="92"/>
  <c r="AN712" i="92" s="1"/>
  <c r="AB494" i="92"/>
  <c r="AC380" i="92"/>
  <c r="AY380" i="92" s="1"/>
  <c r="AC664" i="92"/>
  <c r="AC637" i="92"/>
  <c r="AB613" i="92"/>
  <c r="AA106" i="92"/>
  <c r="AL106" i="92" s="1"/>
  <c r="AB211" i="92"/>
  <c r="AC680" i="92"/>
  <c r="AN680" i="92" s="1"/>
  <c r="AC60" i="92"/>
  <c r="AB122" i="92"/>
  <c r="AX122" i="92" s="1"/>
  <c r="AC163" i="92"/>
  <c r="AB649" i="92"/>
  <c r="AC551" i="92"/>
  <c r="AN551" i="92" s="1"/>
  <c r="AC304" i="92"/>
  <c r="AC369" i="92"/>
  <c r="AC378" i="92"/>
  <c r="AN378" i="92" s="1"/>
  <c r="AC443" i="92"/>
  <c r="AB176" i="92"/>
  <c r="AM176" i="92" s="1"/>
  <c r="AB315" i="92"/>
  <c r="AB156" i="92"/>
  <c r="AB230" i="92"/>
  <c r="AB204" i="92"/>
  <c r="AB726" i="92"/>
  <c r="AB645" i="92"/>
  <c r="AX645" i="92" s="1"/>
  <c r="AB593" i="92"/>
  <c r="AB320" i="92"/>
  <c r="AM320" i="92" s="1"/>
  <c r="AB610" i="92"/>
  <c r="AC367" i="92"/>
  <c r="AA120" i="92"/>
  <c r="AL120" i="92" s="1"/>
  <c r="AC248" i="92"/>
  <c r="AN248" i="92" s="1"/>
  <c r="AC760" i="92"/>
  <c r="AC313" i="92"/>
  <c r="AN313" i="92" s="1"/>
  <c r="AA66" i="92"/>
  <c r="AC322" i="92"/>
  <c r="AY322" i="92" s="1"/>
  <c r="AB312" i="92"/>
  <c r="AC451" i="92"/>
  <c r="AC221" i="92"/>
  <c r="AY221" i="92" s="1"/>
  <c r="AC733" i="92"/>
  <c r="AN733" i="92" s="1"/>
  <c r="AA196" i="92"/>
  <c r="AL196" i="92" s="1"/>
  <c r="AB464" i="92"/>
  <c r="AX464" i="92" s="1"/>
  <c r="AC522" i="92"/>
  <c r="AA205" i="92"/>
  <c r="AA179" i="92"/>
  <c r="AA321" i="92"/>
  <c r="AL321" i="92" s="1"/>
  <c r="AO136" i="92"/>
  <c r="AA227" i="92"/>
  <c r="AA746" i="92"/>
  <c r="AW746" i="92" s="1"/>
  <c r="AA151" i="92"/>
  <c r="AA683" i="92"/>
  <c r="AW683" i="92" s="1"/>
  <c r="AC326" i="92"/>
  <c r="AA341" i="92"/>
  <c r="AO92" i="92"/>
  <c r="AO761" i="92"/>
  <c r="AZ375" i="92"/>
  <c r="AO85" i="92"/>
  <c r="AA213" i="92"/>
  <c r="AB350" i="92"/>
  <c r="AC256" i="92"/>
  <c r="AC741" i="92"/>
  <c r="AN741" i="92" s="1"/>
  <c r="AA519" i="92"/>
  <c r="AW519" i="92" s="1"/>
  <c r="AB640" i="92"/>
  <c r="AA488" i="92"/>
  <c r="AW488" i="92" s="1"/>
  <c r="AC348" i="92"/>
  <c r="AA521" i="92"/>
  <c r="AL521" i="92" s="1"/>
  <c r="AZ336" i="92"/>
  <c r="AA370" i="92"/>
  <c r="AZ121" i="92"/>
  <c r="AA164" i="92"/>
  <c r="AW164" i="92" s="1"/>
  <c r="AA691" i="92"/>
  <c r="AC358" i="92"/>
  <c r="AN358" i="92" s="1"/>
  <c r="AA349" i="92"/>
  <c r="AZ100" i="92"/>
  <c r="AC138" i="92"/>
  <c r="AC195" i="92"/>
  <c r="AC218" i="92"/>
  <c r="AB475" i="92"/>
  <c r="AX475" i="92" s="1"/>
  <c r="AB270" i="92"/>
  <c r="AC682" i="92"/>
  <c r="AY682" i="92" s="1"/>
  <c r="AB212" i="92"/>
  <c r="AB288" i="92"/>
  <c r="AC297" i="92"/>
  <c r="AC461" i="92"/>
  <c r="AB108" i="92"/>
  <c r="AB268" i="92"/>
  <c r="AX268" i="92" s="1"/>
  <c r="AB134" i="92"/>
  <c r="AB735" i="92"/>
  <c r="AC615" i="92"/>
  <c r="AC432" i="92"/>
  <c r="AC497" i="92"/>
  <c r="AN497" i="92" s="1"/>
  <c r="AC506" i="92"/>
  <c r="AC571" i="92"/>
  <c r="AB379" i="92"/>
  <c r="AX379" i="92" s="1"/>
  <c r="AB229" i="92"/>
  <c r="AB301" i="92"/>
  <c r="AM301" i="92" s="1"/>
  <c r="AB277" i="92"/>
  <c r="AB730" i="92"/>
  <c r="AB679" i="92"/>
  <c r="AB448" i="92"/>
  <c r="AM448" i="92" s="1"/>
  <c r="AB696" i="92"/>
  <c r="AC431" i="92"/>
  <c r="AN431" i="92" s="1"/>
  <c r="AA184" i="92"/>
  <c r="AC312" i="92"/>
  <c r="AY312" i="92" s="1"/>
  <c r="AA65" i="92"/>
  <c r="AC377" i="92"/>
  <c r="AA130" i="92"/>
  <c r="AC386" i="92"/>
  <c r="AB629" i="92"/>
  <c r="AC515" i="92"/>
  <c r="AN515" i="92" s="1"/>
  <c r="AC285" i="92"/>
  <c r="AB621" i="92"/>
  <c r="AX621" i="92" s="1"/>
  <c r="AB655" i="92"/>
  <c r="AA287" i="92"/>
  <c r="AO118" i="92"/>
  <c r="AA261" i="92"/>
  <c r="AZ159" i="92"/>
  <c r="AA385" i="92"/>
  <c r="AW385" i="92" s="1"/>
  <c r="AA298" i="92"/>
  <c r="AW298" i="92" s="1"/>
  <c r="AA228" i="92"/>
  <c r="AA747" i="92"/>
  <c r="AL747" i="92" s="1"/>
  <c r="AB449" i="92"/>
  <c r="AA405" i="92"/>
  <c r="AZ719" i="92"/>
  <c r="AO442" i="92"/>
  <c r="AO531" i="92"/>
  <c r="AA478" i="92"/>
  <c r="AL478" i="92" s="1"/>
  <c r="AB568" i="92"/>
  <c r="AM568" i="92" s="1"/>
  <c r="AC192" i="92"/>
  <c r="AN192" i="92" s="1"/>
  <c r="AA142" i="92"/>
  <c r="AA591" i="92"/>
  <c r="AC278" i="92"/>
  <c r="AA560" i="92"/>
  <c r="AC668" i="92"/>
  <c r="AA585" i="92"/>
  <c r="AL585" i="92" s="1"/>
  <c r="AA434" i="92"/>
  <c r="AO185" i="92"/>
  <c r="AA237" i="92"/>
  <c r="AA755" i="92"/>
  <c r="AB601" i="92"/>
  <c r="AA413" i="92"/>
  <c r="AZ164" i="92"/>
  <c r="AZ277" i="92"/>
  <c r="AA268" i="92"/>
  <c r="AL268" i="92" s="1"/>
  <c r="AO450" i="92"/>
  <c r="AZ539" i="92"/>
  <c r="AA510" i="92"/>
  <c r="AB207" i="92"/>
  <c r="AC129" i="92"/>
  <c r="AA85" i="92"/>
  <c r="AA751" i="92"/>
  <c r="AL751" i="92" s="1"/>
  <c r="AA87" i="92"/>
  <c r="AW87" i="92" s="1"/>
  <c r="AA720" i="92"/>
  <c r="AA198" i="92"/>
  <c r="AA721" i="92"/>
  <c r="AC350" i="92"/>
  <c r="AA506" i="92"/>
  <c r="AO257" i="92"/>
  <c r="AA315" i="92"/>
  <c r="AB742" i="92"/>
  <c r="AX742" i="92" s="1"/>
  <c r="AC467" i="92"/>
  <c r="AC149" i="92"/>
  <c r="AN149" i="92" s="1"/>
  <c r="AB121" i="92"/>
  <c r="AC48" i="92"/>
  <c r="AB186" i="92"/>
  <c r="AB499" i="92"/>
  <c r="AB753" i="92"/>
  <c r="AB685" i="92"/>
  <c r="AX685" i="92" s="1"/>
  <c r="AA176" i="92"/>
  <c r="AC688" i="92"/>
  <c r="AN688" i="92" s="1"/>
  <c r="AC753" i="92"/>
  <c r="AC762" i="92"/>
  <c r="AB719" i="92"/>
  <c r="AB117" i="92"/>
  <c r="AB507" i="92"/>
  <c r="AM507" i="92" s="1"/>
  <c r="AB428" i="92"/>
  <c r="AX428" i="92" s="1"/>
  <c r="AB429" i="92"/>
  <c r="AB406" i="92"/>
  <c r="AB187" i="92"/>
  <c r="AC107" i="92"/>
  <c r="AB383" i="92"/>
  <c r="AB660" i="92"/>
  <c r="AX660" i="92" s="1"/>
  <c r="AB586" i="92"/>
  <c r="AC559" i="92"/>
  <c r="AN559" i="92" s="1"/>
  <c r="AB296" i="92"/>
  <c r="AC440" i="92"/>
  <c r="AB620" i="92"/>
  <c r="AC505" i="92"/>
  <c r="AB623" i="92"/>
  <c r="AC514" i="92"/>
  <c r="AC121" i="92"/>
  <c r="AC643" i="92"/>
  <c r="AN643" i="92" s="1"/>
  <c r="AC413" i="92"/>
  <c r="AB321" i="92"/>
  <c r="AM321" i="92" s="1"/>
  <c r="AB372" i="92"/>
  <c r="AA128" i="92"/>
  <c r="AC469" i="92"/>
  <c r="AN469" i="92" s="1"/>
  <c r="AA439" i="92"/>
  <c r="AA408" i="92"/>
  <c r="AW408" i="92" s="1"/>
  <c r="AC316" i="92"/>
  <c r="AA513" i="92"/>
  <c r="AW513" i="92" s="1"/>
  <c r="AZ328" i="92"/>
  <c r="AA426" i="92"/>
  <c r="AZ177" i="92"/>
  <c r="AA363" i="92"/>
  <c r="AC460" i="92"/>
  <c r="AN460" i="92" s="1"/>
  <c r="AA533" i="92"/>
  <c r="AO284" i="92"/>
  <c r="AO441" i="92"/>
  <c r="AC398" i="92"/>
  <c r="AZ570" i="92"/>
  <c r="AA380" i="92"/>
  <c r="AZ659" i="92"/>
  <c r="AB585" i="92"/>
  <c r="AM585" i="92" s="1"/>
  <c r="AC55" i="92"/>
  <c r="AA735" i="92"/>
  <c r="AL735" i="92" s="1"/>
  <c r="AA68" i="92"/>
  <c r="AA712" i="92"/>
  <c r="AA189" i="92"/>
  <c r="AA713" i="92"/>
  <c r="AC574" i="92"/>
  <c r="AA562" i="92"/>
  <c r="AW562" i="92" s="1"/>
  <c r="AA371" i="92"/>
  <c r="AC492" i="92"/>
  <c r="AA541" i="92"/>
  <c r="AO292" i="92"/>
  <c r="AZ449" i="92"/>
  <c r="AC590" i="92"/>
  <c r="AN590" i="92" s="1"/>
  <c r="AZ578" i="92"/>
  <c r="AA412" i="92"/>
  <c r="AL412" i="92" s="1"/>
  <c r="AO667" i="92"/>
  <c r="AB707" i="92"/>
  <c r="AB671" i="92"/>
  <c r="AX671" i="92" s="1"/>
  <c r="AC56" i="92"/>
  <c r="AA311" i="92"/>
  <c r="AO134" i="92"/>
  <c r="AA279" i="92"/>
  <c r="AA337" i="92"/>
  <c r="AO88" i="92"/>
  <c r="AA52" i="92"/>
  <c r="AW52" i="92" s="1"/>
  <c r="AA634" i="92"/>
  <c r="AC86" i="92"/>
  <c r="AA443" i="92"/>
  <c r="AW443" i="92" s="1"/>
  <c r="AB371" i="92"/>
  <c r="AC496" i="92"/>
  <c r="AB305" i="92"/>
  <c r="AA299" i="92"/>
  <c r="AZ480" i="92"/>
  <c r="AA285" i="92"/>
  <c r="AW285" i="92" s="1"/>
  <c r="AO513" i="92"/>
  <c r="AB501" i="92"/>
  <c r="AC650" i="92"/>
  <c r="AA599" i="92"/>
  <c r="AA352" i="92"/>
  <c r="AA109" i="92"/>
  <c r="AO216" i="92"/>
  <c r="AA570" i="92"/>
  <c r="AA53" i="92"/>
  <c r="AA763" i="92"/>
  <c r="AW763" i="92" s="1"/>
  <c r="AB716" i="92"/>
  <c r="AA421" i="92"/>
  <c r="AO299" i="92"/>
  <c r="AA430" i="92"/>
  <c r="AW430" i="92" s="1"/>
  <c r="AO744" i="92"/>
  <c r="AZ547" i="92"/>
  <c r="AA542" i="92"/>
  <c r="AZ700" i="92"/>
  <c r="AB527" i="92"/>
  <c r="AM527" i="92" s="1"/>
  <c r="AC202" i="92"/>
  <c r="AA119" i="92"/>
  <c r="AW119" i="92" s="1"/>
  <c r="AA759" i="92"/>
  <c r="AA108" i="92"/>
  <c r="AA728" i="92"/>
  <c r="AA207" i="92"/>
  <c r="AA729" i="92"/>
  <c r="AL729" i="92" s="1"/>
  <c r="AC382" i="92"/>
  <c r="AA514" i="92"/>
  <c r="AO329" i="92"/>
  <c r="AA387" i="92"/>
  <c r="AO202" i="92"/>
  <c r="AA230" i="92"/>
  <c r="AA749" i="92"/>
  <c r="AA372" i="92"/>
  <c r="AL372" i="92" s="1"/>
  <c r="AO657" i="92"/>
  <c r="AO125" i="92"/>
  <c r="AO439" i="92"/>
  <c r="AC622" i="92"/>
  <c r="AB196" i="92"/>
  <c r="AB344" i="92"/>
  <c r="AB631" i="92"/>
  <c r="AM631" i="92" s="1"/>
  <c r="AA623" i="92"/>
  <c r="AW623" i="92" s="1"/>
  <c r="AC694" i="92"/>
  <c r="AA664" i="92"/>
  <c r="AW664" i="92" s="1"/>
  <c r="AA135" i="92"/>
  <c r="AA673" i="92"/>
  <c r="AC152" i="92"/>
  <c r="AA458" i="92"/>
  <c r="AO273" i="92"/>
  <c r="AA331" i="92"/>
  <c r="AO146" i="92"/>
  <c r="AC588" i="92"/>
  <c r="AN588" i="92" s="1"/>
  <c r="AA565" i="92"/>
  <c r="AZ316" i="92"/>
  <c r="AO473" i="92"/>
  <c r="AA117" i="92"/>
  <c r="AO602" i="92"/>
  <c r="AA508" i="92"/>
  <c r="AO755" i="92"/>
  <c r="AB387" i="92"/>
  <c r="AX387" i="92" s="1"/>
  <c r="AB290" i="92"/>
  <c r="AB116" i="92"/>
  <c r="AA335" i="92"/>
  <c r="AA384" i="92"/>
  <c r="AB115" i="92"/>
  <c r="AX115" i="92" s="1"/>
  <c r="AA489" i="92"/>
  <c r="AZ240" i="92"/>
  <c r="AA273" i="92"/>
  <c r="AC363" i="92"/>
  <c r="AN363" i="92" s="1"/>
  <c r="AA50" i="92"/>
  <c r="AB654" i="92"/>
  <c r="AB251" i="92"/>
  <c r="AA102" i="92"/>
  <c r="AO50" i="92"/>
  <c r="AC705" i="92"/>
  <c r="AN705" i="92" s="1"/>
  <c r="AA92" i="92"/>
  <c r="AA307" i="92"/>
  <c r="AA477" i="92"/>
  <c r="AZ706" i="92"/>
  <c r="AO603" i="92"/>
  <c r="AB47" i="92"/>
  <c r="AC587" i="92"/>
  <c r="AN587" i="92" s="1"/>
  <c r="AA671" i="92"/>
  <c r="AA424" i="92"/>
  <c r="AA271" i="92"/>
  <c r="AA698" i="92"/>
  <c r="AA173" i="92"/>
  <c r="AZ66" i="92"/>
  <c r="AC268" i="92"/>
  <c r="AN268" i="92" s="1"/>
  <c r="AA485" i="92"/>
  <c r="AZ236" i="92"/>
  <c r="AO392" i="92"/>
  <c r="AA174" i="92"/>
  <c r="AL174" i="92" s="1"/>
  <c r="AO611" i="92"/>
  <c r="AB56" i="92"/>
  <c r="AX56" i="92" s="1"/>
  <c r="AB756" i="92"/>
  <c r="AC714" i="92"/>
  <c r="AY714" i="92" s="1"/>
  <c r="AA242" i="92"/>
  <c r="AA206" i="92"/>
  <c r="AW206" i="92" s="1"/>
  <c r="AA281" i="92"/>
  <c r="AW281" i="92" s="1"/>
  <c r="AC638" i="92"/>
  <c r="AN638" i="92" s="1"/>
  <c r="AA578" i="92"/>
  <c r="AW578" i="92" s="1"/>
  <c r="AC122" i="92"/>
  <c r="AA451" i="92"/>
  <c r="AL451" i="92" s="1"/>
  <c r="AO266" i="92"/>
  <c r="AA301" i="92"/>
  <c r="AZ52" i="92"/>
  <c r="AA628" i="92"/>
  <c r="AZ721" i="92"/>
  <c r="AZ319" i="92"/>
  <c r="AC686" i="92"/>
  <c r="AO427" i="92"/>
  <c r="AA318" i="92"/>
  <c r="AB490" i="92"/>
  <c r="AC385" i="92"/>
  <c r="AY385" i="92" s="1"/>
  <c r="AC500" i="92"/>
  <c r="AA695" i="92"/>
  <c r="AW695" i="92" s="1"/>
  <c r="AA121" i="92"/>
  <c r="AW121" i="92" s="1"/>
  <c r="AA736" i="92"/>
  <c r="AA217" i="92"/>
  <c r="AL217" i="92" s="1"/>
  <c r="AA737" i="92"/>
  <c r="AC414" i="92"/>
  <c r="AA522" i="92"/>
  <c r="AW522" i="92" s="1"/>
  <c r="AB198" i="92"/>
  <c r="AA395" i="92"/>
  <c r="AZ210" i="92"/>
  <c r="AA629" i="92"/>
  <c r="AO380" i="92"/>
  <c r="AO537" i="92"/>
  <c r="AA406" i="92"/>
  <c r="AO666" i="92"/>
  <c r="AZ239" i="92"/>
  <c r="AA558" i="92"/>
  <c r="AB165" i="92"/>
  <c r="AX165" i="92" s="1"/>
  <c r="AC311" i="92"/>
  <c r="AC357" i="92"/>
  <c r="AN357" i="92" s="1"/>
  <c r="AA407" i="92"/>
  <c r="AL407" i="92" s="1"/>
  <c r="AA456" i="92"/>
  <c r="AL456" i="92" s="1"/>
  <c r="AC220" i="92"/>
  <c r="AA553" i="92"/>
  <c r="AO304" i="92"/>
  <c r="AA338" i="92"/>
  <c r="AC561" i="92"/>
  <c r="AB443" i="92"/>
  <c r="AB572" i="92"/>
  <c r="AC441" i="92"/>
  <c r="AY441" i="92" s="1"/>
  <c r="AA336" i="92"/>
  <c r="AC204" i="92"/>
  <c r="AO506" i="92"/>
  <c r="AC340" i="92"/>
  <c r="AA649" i="92"/>
  <c r="AL649" i="92" s="1"/>
  <c r="AA435" i="92"/>
  <c r="AA605" i="92"/>
  <c r="AO528" i="92"/>
  <c r="AO711" i="92"/>
  <c r="AZ731" i="92"/>
  <c r="AB656" i="92"/>
  <c r="AX656" i="92" s="1"/>
  <c r="AC160" i="92"/>
  <c r="AN160" i="92" s="1"/>
  <c r="AO62" i="92"/>
  <c r="AA576" i="92"/>
  <c r="AA401" i="92"/>
  <c r="AC79" i="92"/>
  <c r="AA762" i="92"/>
  <c r="AA246" i="92"/>
  <c r="AO130" i="92"/>
  <c r="AC524" i="92"/>
  <c r="AA549" i="92"/>
  <c r="AZ300" i="92"/>
  <c r="AC715" i="92"/>
  <c r="AN715" i="92" s="1"/>
  <c r="AO586" i="92"/>
  <c r="AA444" i="92"/>
  <c r="AZ675" i="92"/>
  <c r="AB255" i="92"/>
  <c r="AM255" i="92" s="1"/>
  <c r="AC181" i="92"/>
  <c r="AC130" i="92"/>
  <c r="AA319" i="92"/>
  <c r="AW319" i="92" s="1"/>
  <c r="AA288" i="92"/>
  <c r="AZ111" i="92"/>
  <c r="AA345" i="92"/>
  <c r="AZ96" i="92"/>
  <c r="AA71" i="92"/>
  <c r="AA642" i="92"/>
  <c r="AC388" i="92"/>
  <c r="AA515" i="92"/>
  <c r="AB226" i="92"/>
  <c r="AM226" i="92" s="1"/>
  <c r="AA365" i="92"/>
  <c r="AW365" i="92" s="1"/>
  <c r="AZ123" i="92"/>
  <c r="AZ495" i="92"/>
  <c r="AZ391" i="92"/>
  <c r="AZ491" i="92"/>
  <c r="AB120" i="92"/>
  <c r="AB626" i="92"/>
  <c r="AX626" i="92" s="1"/>
  <c r="AA74" i="92"/>
  <c r="AA132" i="92"/>
  <c r="AL132" i="92" s="1"/>
  <c r="AZ78" i="92"/>
  <c r="AA215" i="92"/>
  <c r="AO47" i="92"/>
  <c r="AA289" i="92"/>
  <c r="AL289" i="92" s="1"/>
  <c r="AC670" i="92"/>
  <c r="AA586" i="92"/>
  <c r="AW586" i="92" s="1"/>
  <c r="AC159" i="92"/>
  <c r="AA459" i="92"/>
  <c r="AW459" i="92" s="1"/>
  <c r="AO274" i="92"/>
  <c r="AA166" i="92"/>
  <c r="AA693" i="92"/>
  <c r="AL693" i="92" s="1"/>
  <c r="AA115" i="92"/>
  <c r="AA662" i="92"/>
  <c r="AW662" i="92" s="1"/>
  <c r="AZ367" i="92"/>
  <c r="AO568" i="92"/>
  <c r="AB166" i="92"/>
  <c r="AC512" i="92"/>
  <c r="AC613" i="92"/>
  <c r="AA479" i="92"/>
  <c r="AL479" i="92" s="1"/>
  <c r="AC143" i="92"/>
  <c r="AN143" i="92" s="1"/>
  <c r="AA528" i="92"/>
  <c r="AC508" i="92"/>
  <c r="AA617" i="92"/>
  <c r="AB125" i="92"/>
  <c r="AA402" i="92"/>
  <c r="AO153" i="92"/>
  <c r="AA201" i="92"/>
  <c r="AA723" i="92"/>
  <c r="AW723" i="92" s="1"/>
  <c r="AC486" i="92"/>
  <c r="AA381" i="92"/>
  <c r="AW381" i="92" s="1"/>
  <c r="AO196" i="92"/>
  <c r="AO275" i="92"/>
  <c r="AO482" i="92"/>
  <c r="AC430" i="92"/>
  <c r="AO571" i="92"/>
  <c r="AB238" i="92"/>
  <c r="AB391" i="92"/>
  <c r="AM391" i="92" s="1"/>
  <c r="AA83" i="92"/>
  <c r="AA169" i="92"/>
  <c r="AB300" i="92"/>
  <c r="AB235" i="92"/>
  <c r="AB306" i="92"/>
  <c r="AM306" i="92" s="1"/>
  <c r="AB579" i="92"/>
  <c r="AX579" i="92" s="1"/>
  <c r="AB661" i="92"/>
  <c r="AA469" i="92"/>
  <c r="AL469" i="92" s="1"/>
  <c r="AA55" i="92"/>
  <c r="AO58" i="92"/>
  <c r="AA310" i="92"/>
  <c r="AZ253" i="92"/>
  <c r="AO575" i="92"/>
  <c r="AB399" i="92"/>
  <c r="AX399" i="92" s="1"/>
  <c r="AA158" i="92"/>
  <c r="AO206" i="92"/>
  <c r="AA648" i="92"/>
  <c r="AA465" i="92"/>
  <c r="AC606" i="92"/>
  <c r="AN606" i="92" s="1"/>
  <c r="AO129" i="92"/>
  <c r="AA379" i="92"/>
  <c r="AO194" i="92"/>
  <c r="AC755" i="92"/>
  <c r="AA613" i="92"/>
  <c r="AA342" i="92"/>
  <c r="AO650" i="92"/>
  <c r="AA700" i="92"/>
  <c r="AO739" i="92"/>
  <c r="AZ377" i="92"/>
  <c r="AB565" i="92"/>
  <c r="AM565" i="92" s="1"/>
  <c r="AC695" i="92"/>
  <c r="AC651" i="92"/>
  <c r="AY651" i="92" s="1"/>
  <c r="AA391" i="92"/>
  <c r="AZ214" i="92"/>
  <c r="AA360" i="92"/>
  <c r="AL360" i="92" s="1"/>
  <c r="AO183" i="92"/>
  <c r="AA409" i="92"/>
  <c r="AO160" i="92"/>
  <c r="AA181" i="92"/>
  <c r="AA706" i="92"/>
  <c r="AC644" i="92"/>
  <c r="AA579" i="92"/>
  <c r="AC161" i="92"/>
  <c r="AA429" i="92"/>
  <c r="AW429" i="92" s="1"/>
  <c r="AA622" i="92"/>
  <c r="AB456" i="92"/>
  <c r="AM456" i="92" s="1"/>
  <c r="AO555" i="92"/>
  <c r="AB52" i="92"/>
  <c r="AM52" i="92" s="1"/>
  <c r="AC266" i="92"/>
  <c r="AN266" i="92" s="1"/>
  <c r="AA251" i="92"/>
  <c r="AO150" i="92"/>
  <c r="AA296" i="92"/>
  <c r="AA353" i="92"/>
  <c r="AL353" i="92" s="1"/>
  <c r="AO104" i="92"/>
  <c r="AA93" i="92"/>
  <c r="AA650" i="92"/>
  <c r="AW650" i="92" s="1"/>
  <c r="AC420" i="92"/>
  <c r="AA523" i="92"/>
  <c r="AB417" i="92"/>
  <c r="AX417" i="92" s="1"/>
  <c r="AA239" i="92"/>
  <c r="AA757" i="92"/>
  <c r="AW757" i="92" s="1"/>
  <c r="AA404" i="92"/>
  <c r="AZ665" i="92"/>
  <c r="AO157" i="92"/>
  <c r="AO435" i="92"/>
  <c r="AC734" i="92"/>
  <c r="AB67" i="92"/>
  <c r="AB650" i="92"/>
  <c r="AA46" i="92"/>
  <c r="AA559" i="92"/>
  <c r="AC438" i="92"/>
  <c r="AN438" i="92" s="1"/>
  <c r="AA600" i="92"/>
  <c r="AA148" i="92"/>
  <c r="AW148" i="92" s="1"/>
  <c r="AA681" i="92"/>
  <c r="AW681" i="92" s="1"/>
  <c r="AC189" i="92"/>
  <c r="AA466" i="92"/>
  <c r="AZ217" i="92"/>
  <c r="AA274" i="92"/>
  <c r="AW274" i="92" s="1"/>
  <c r="AB692" i="92"/>
  <c r="AX692" i="92" s="1"/>
  <c r="AC589" i="92"/>
  <c r="AB583" i="92"/>
  <c r="AC570" i="92"/>
  <c r="AB365" i="92"/>
  <c r="AC495" i="92"/>
  <c r="AC450" i="92"/>
  <c r="AC503" i="92"/>
  <c r="AN503" i="92" s="1"/>
  <c r="AA449" i="92"/>
  <c r="AW449" i="92" s="1"/>
  <c r="AO595" i="92"/>
  <c r="AA663" i="92"/>
  <c r="AC318" i="92"/>
  <c r="AO228" i="92"/>
  <c r="AA566" i="92"/>
  <c r="AA127" i="92"/>
  <c r="AC206" i="92"/>
  <c r="AN206" i="92" s="1"/>
  <c r="AC108" i="92"/>
  <c r="AC404" i="92"/>
  <c r="AZ278" i="92"/>
  <c r="AA593" i="92"/>
  <c r="AA172" i="92"/>
  <c r="AZ193" i="92"/>
  <c r="AA507" i="92"/>
  <c r="AO258" i="92"/>
  <c r="AA141" i="92"/>
  <c r="AW141" i="92" s="1"/>
  <c r="AA677" i="92"/>
  <c r="AW677" i="92" s="1"/>
  <c r="AC708" i="92"/>
  <c r="AZ585" i="92"/>
  <c r="AA598" i="92"/>
  <c r="AW598" i="92" s="1"/>
  <c r="AZ714" i="92"/>
  <c r="AO195" i="92"/>
  <c r="AO623" i="92"/>
  <c r="AB478" i="92"/>
  <c r="AB338" i="92"/>
  <c r="AC229" i="92"/>
  <c r="AA463" i="92"/>
  <c r="AW463" i="92" s="1"/>
  <c r="AZ286" i="92"/>
  <c r="AA432" i="92"/>
  <c r="AC150" i="92"/>
  <c r="AN150" i="92" s="1"/>
  <c r="AA473" i="92"/>
  <c r="AO224" i="92"/>
  <c r="AA254" i="92"/>
  <c r="AA76" i="92"/>
  <c r="AA643" i="92"/>
  <c r="AL643" i="92" s="1"/>
  <c r="AC422" i="92"/>
  <c r="AA493" i="92"/>
  <c r="AW493" i="92" s="1"/>
  <c r="AZ624" i="92"/>
  <c r="AA211" i="92"/>
  <c r="AZ619" i="92"/>
  <c r="AB323" i="92"/>
  <c r="AC247" i="92"/>
  <c r="AN247" i="92" s="1"/>
  <c r="AC203" i="92"/>
  <c r="AA327" i="92"/>
  <c r="AO222" i="92"/>
  <c r="AA368" i="92"/>
  <c r="AO199" i="92"/>
  <c r="AA417" i="92"/>
  <c r="AW417" i="92" s="1"/>
  <c r="AO168" i="92"/>
  <c r="AA190" i="92"/>
  <c r="AW190" i="92" s="1"/>
  <c r="AA714" i="92"/>
  <c r="AC676" i="92"/>
  <c r="AN676" i="92" s="1"/>
  <c r="AA587" i="92"/>
  <c r="AC198" i="92"/>
  <c r="AA309" i="92"/>
  <c r="AZ60" i="92"/>
  <c r="AA660" i="92"/>
  <c r="AZ729" i="92"/>
  <c r="AA156" i="92"/>
  <c r="AZ499" i="92"/>
  <c r="AA350" i="92"/>
  <c r="AB606" i="92"/>
  <c r="AX606" i="92" s="1"/>
  <c r="AC449" i="92"/>
  <c r="AY449" i="92" s="1"/>
  <c r="AC68" i="92"/>
  <c r="AN68" i="92" s="1"/>
  <c r="AA631" i="92"/>
  <c r="AW631" i="92" s="1"/>
  <c r="AC718" i="92"/>
  <c r="AA672" i="92"/>
  <c r="AW672" i="92" s="1"/>
  <c r="AA226" i="92"/>
  <c r="AA745" i="92"/>
  <c r="AC729" i="92"/>
  <c r="AN729" i="92" s="1"/>
  <c r="AC215" i="92"/>
  <c r="AB487" i="92"/>
  <c r="AX487" i="92" s="1"/>
  <c r="AB342" i="92"/>
  <c r="AX342" i="92" s="1"/>
  <c r="AA248" i="92"/>
  <c r="AC46" i="92"/>
  <c r="AY46" i="92" s="1"/>
  <c r="AC459" i="92"/>
  <c r="AZ264" i="92"/>
  <c r="AZ220" i="92"/>
  <c r="AA734" i="92"/>
  <c r="AW734" i="92" s="1"/>
  <c r="AC566" i="92"/>
  <c r="AC88" i="92"/>
  <c r="AN88" i="92" s="1"/>
  <c r="AZ279" i="92"/>
  <c r="AA668" i="92"/>
  <c r="AW668" i="92" s="1"/>
  <c r="AA250" i="92"/>
  <c r="AC631" i="92"/>
  <c r="AY631" i="92" s="1"/>
  <c r="AA233" i="92"/>
  <c r="AC310" i="92"/>
  <c r="AZ175" i="92"/>
  <c r="AA657" i="92"/>
  <c r="AA245" i="92"/>
  <c r="AL245" i="92" s="1"/>
  <c r="AA571" i="92"/>
  <c r="AZ322" i="92"/>
  <c r="AA221" i="92"/>
  <c r="AA741" i="92"/>
  <c r="AA340" i="92"/>
  <c r="AW340" i="92" s="1"/>
  <c r="AO93" i="92"/>
  <c r="AZ472" i="92"/>
  <c r="AO508" i="92"/>
  <c r="AB123" i="92"/>
  <c r="AX123" i="92" s="1"/>
  <c r="AC384" i="92"/>
  <c r="AN384" i="92" s="1"/>
  <c r="AC549" i="92"/>
  <c r="AA535" i="92"/>
  <c r="AA512" i="92"/>
  <c r="AC444" i="92"/>
  <c r="AA537" i="92"/>
  <c r="AZ288" i="92"/>
  <c r="AA322" i="92"/>
  <c r="AL322" i="92" s="1"/>
  <c r="AZ137" i="92"/>
  <c r="AA182" i="92"/>
  <c r="AA707" i="92"/>
  <c r="AW707" i="92" s="1"/>
  <c r="AC300" i="92"/>
  <c r="AA557" i="92"/>
  <c r="AO308" i="92"/>
  <c r="AO465" i="92"/>
  <c r="AO594" i="92"/>
  <c r="AA476" i="92"/>
  <c r="AW476" i="92" s="1"/>
  <c r="AZ683" i="92"/>
  <c r="AB92" i="92"/>
  <c r="AM92" i="92" s="1"/>
  <c r="AC759" i="92"/>
  <c r="AC293" i="92"/>
  <c r="AA399" i="92"/>
  <c r="AO294" i="92"/>
  <c r="AA448" i="92"/>
  <c r="AC186" i="92"/>
  <c r="AY186" i="92" s="1"/>
  <c r="AA481" i="92"/>
  <c r="AZ232" i="92"/>
  <c r="AA263" i="92"/>
  <c r="AA95" i="92"/>
  <c r="AL95" i="92" s="1"/>
  <c r="AA651" i="92"/>
  <c r="AC454" i="92"/>
  <c r="AA373" i="92"/>
  <c r="AW373" i="92" s="1"/>
  <c r="AZ124" i="92"/>
  <c r="AZ543" i="92"/>
  <c r="AO440" i="92"/>
  <c r="AZ563" i="92"/>
  <c r="AA606" i="92"/>
  <c r="AB604" i="92"/>
  <c r="AX604" i="92" s="1"/>
  <c r="AA138" i="92"/>
  <c r="AC596" i="92"/>
  <c r="AA703" i="92"/>
  <c r="AA133" i="92"/>
  <c r="AA744" i="92"/>
  <c r="AL744" i="92" s="1"/>
  <c r="AA297" i="92"/>
  <c r="AO48" i="92"/>
  <c r="AC702" i="92"/>
  <c r="AY702" i="92" s="1"/>
  <c r="AA594" i="92"/>
  <c r="AB402" i="92"/>
  <c r="AX402" i="92" s="1"/>
  <c r="AA403" i="92"/>
  <c r="AC620" i="92"/>
  <c r="AY620" i="92" s="1"/>
  <c r="AA573" i="92"/>
  <c r="AO388" i="92"/>
  <c r="AO545" i="92"/>
  <c r="AA438" i="92"/>
  <c r="AZ674" i="92"/>
  <c r="AO362" i="92"/>
  <c r="AB670" i="92"/>
  <c r="AC405" i="92"/>
  <c r="AN405" i="92" s="1"/>
  <c r="AA415" i="92"/>
  <c r="AZ246" i="92"/>
  <c r="AA392" i="92"/>
  <c r="AW392" i="92" s="1"/>
  <c r="AB360" i="92"/>
  <c r="AA433" i="92"/>
  <c r="AB114" i="92"/>
  <c r="AC376" i="92"/>
  <c r="AC349" i="92"/>
  <c r="AO113" i="92"/>
  <c r="AB269" i="92"/>
  <c r="AX269" i="92" s="1"/>
  <c r="AC732" i="92"/>
  <c r="AN732" i="92" s="1"/>
  <c r="AZ411" i="92"/>
  <c r="AB500" i="92"/>
  <c r="AC257" i="92"/>
  <c r="AA455" i="92"/>
  <c r="AW455" i="92" s="1"/>
  <c r="AA197" i="92"/>
  <c r="AC700" i="92"/>
  <c r="AN700" i="92" s="1"/>
  <c r="AZ152" i="92"/>
  <c r="AA442" i="92"/>
  <c r="AW442" i="92" s="1"/>
  <c r="AC612" i="92"/>
  <c r="AY612" i="92" s="1"/>
  <c r="AA699" i="92"/>
  <c r="AC390" i="92"/>
  <c r="AA357" i="92"/>
  <c r="AW357" i="92" s="1"/>
  <c r="AZ91" i="92"/>
  <c r="AZ447" i="92"/>
  <c r="AO483" i="92"/>
  <c r="AA286" i="92"/>
  <c r="AW286" i="92" s="1"/>
  <c r="AO636" i="92"/>
  <c r="AB362" i="92"/>
  <c r="AC321" i="92"/>
  <c r="AC468" i="92"/>
  <c r="AN468" i="92" s="1"/>
  <c r="AA687" i="92"/>
  <c r="AC662" i="92"/>
  <c r="AA656" i="92"/>
  <c r="AA123" i="92"/>
  <c r="AA665" i="92"/>
  <c r="AW665" i="92" s="1"/>
  <c r="AC116" i="92"/>
  <c r="AA450" i="92"/>
  <c r="AL450" i="92" s="1"/>
  <c r="AA323" i="92"/>
  <c r="AZ138" i="92"/>
  <c r="AA155" i="92"/>
  <c r="AW155" i="92" s="1"/>
  <c r="AA685" i="92"/>
  <c r="AZ593" i="92"/>
  <c r="AA630" i="92"/>
  <c r="AW630" i="92" s="1"/>
  <c r="AO722" i="92"/>
  <c r="AO219" i="92"/>
  <c r="AB542" i="92"/>
  <c r="AC448" i="92"/>
  <c r="AA543" i="92"/>
  <c r="AL543" i="92" s="1"/>
  <c r="AC406" i="92"/>
  <c r="AN406" i="92" s="1"/>
  <c r="AA592" i="92"/>
  <c r="AC742" i="92"/>
  <c r="AN742" i="92" s="1"/>
  <c r="AA609" i="92"/>
  <c r="AW609" i="92" s="1"/>
  <c r="AA394" i="92"/>
  <c r="AL394" i="92" s="1"/>
  <c r="AA265" i="92"/>
  <c r="AO82" i="92"/>
  <c r="AC332" i="92"/>
  <c r="AA501" i="92"/>
  <c r="AW501" i="92" s="1"/>
  <c r="AZ680" i="92"/>
  <c r="AO538" i="92"/>
  <c r="AA247" i="92"/>
  <c r="AL247" i="92" s="1"/>
  <c r="AZ691" i="92"/>
  <c r="AB126" i="92"/>
  <c r="AB260" i="92"/>
  <c r="AX260" i="92" s="1"/>
  <c r="AC267" i="92"/>
  <c r="AY267" i="92" s="1"/>
  <c r="AA260" i="92"/>
  <c r="AO158" i="92"/>
  <c r="AA304" i="92"/>
  <c r="AW304" i="92" s="1"/>
  <c r="AZ135" i="92"/>
  <c r="AA425" i="92"/>
  <c r="AW425" i="92" s="1"/>
  <c r="AA199" i="92"/>
  <c r="AA722" i="92"/>
  <c r="AC452" i="92"/>
  <c r="AA531" i="92"/>
  <c r="AL531" i="92" s="1"/>
  <c r="AA175" i="92"/>
  <c r="AA701" i="92"/>
  <c r="AW701" i="92" s="1"/>
  <c r="AA436" i="92"/>
  <c r="AW436" i="92" s="1"/>
  <c r="AO673" i="92"/>
  <c r="AO535" i="92"/>
  <c r="AO376" i="92"/>
  <c r="AB248" i="92"/>
  <c r="AC51" i="92"/>
  <c r="AC513" i="92"/>
  <c r="AN513" i="92" s="1"/>
  <c r="AA94" i="92"/>
  <c r="AA567" i="92"/>
  <c r="AC180" i="92"/>
  <c r="AY180" i="92" s="1"/>
  <c r="AA536" i="92"/>
  <c r="AC540" i="92"/>
  <c r="AN540" i="92" s="1"/>
  <c r="AA561" i="92"/>
  <c r="AO384" i="92"/>
  <c r="AZ713" i="92"/>
  <c r="AA73" i="92"/>
  <c r="AA601" i="92"/>
  <c r="AA621" i="92"/>
  <c r="AA520" i="92"/>
  <c r="AA715" i="92"/>
  <c r="AC170" i="92"/>
  <c r="AO55" i="92"/>
  <c r="AA659" i="92"/>
  <c r="AL659" i="92" s="1"/>
  <c r="AA60" i="92"/>
  <c r="AW60" i="92" s="1"/>
  <c r="AZ610" i="92"/>
  <c r="AO443" i="92"/>
  <c r="AB140" i="92"/>
  <c r="AX140" i="92" s="1"/>
  <c r="AB353" i="92"/>
  <c r="AA343" i="92"/>
  <c r="AL343" i="92" s="1"/>
  <c r="AC470" i="92"/>
  <c r="AA752" i="92"/>
  <c r="AA369" i="92"/>
  <c r="AZ248" i="92"/>
  <c r="AA282" i="92"/>
  <c r="AW282" i="92" s="1"/>
  <c r="AC726" i="92"/>
  <c r="AN726" i="92" s="1"/>
  <c r="AA603" i="92"/>
  <c r="AB695" i="92"/>
  <c r="AA258" i="92"/>
  <c r="AW258" i="92" s="1"/>
  <c r="AA724" i="92"/>
  <c r="AW724" i="92" s="1"/>
  <c r="AZ745" i="92"/>
  <c r="AO355" i="92"/>
  <c r="AA494" i="92"/>
  <c r="AW494" i="92" s="1"/>
  <c r="AB515" i="92"/>
  <c r="AB519" i="92"/>
  <c r="AC458" i="92"/>
  <c r="AA187" i="92"/>
  <c r="AW187" i="92" s="1"/>
  <c r="AA159" i="92"/>
  <c r="AZ79" i="92"/>
  <c r="AA313" i="92"/>
  <c r="AW313" i="92" s="1"/>
  <c r="AC747" i="92"/>
  <c r="AN747" i="92" s="1"/>
  <c r="AA610" i="92"/>
  <c r="AL610" i="92" s="1"/>
  <c r="AA333" i="92"/>
  <c r="AZ69" i="92"/>
  <c r="AA718" i="92"/>
  <c r="AO461" i="92"/>
  <c r="AZ672" i="92"/>
  <c r="AA748" i="92"/>
  <c r="AW748" i="92" s="1"/>
  <c r="AZ689" i="92"/>
  <c r="AZ484" i="92"/>
  <c r="AA77" i="92"/>
  <c r="AO597" i="92"/>
  <c r="AA454" i="92"/>
  <c r="AZ678" i="92"/>
  <c r="AC748" i="92"/>
  <c r="AO366" i="92"/>
  <c r="AO492" i="92"/>
  <c r="AA140" i="92"/>
  <c r="AO605" i="92"/>
  <c r="AA486" i="92"/>
  <c r="AW486" i="92" s="1"/>
  <c r="AO686" i="92"/>
  <c r="AZ271" i="92"/>
  <c r="AO679" i="92"/>
  <c r="AO428" i="92"/>
  <c r="AA259" i="92"/>
  <c r="AW259" i="92" s="1"/>
  <c r="AZ694" i="92"/>
  <c r="AO293" i="92"/>
  <c r="AZ432" i="92"/>
  <c r="AB725" i="92"/>
  <c r="AM725" i="92" s="1"/>
  <c r="AA294" i="92"/>
  <c r="AO330" i="92"/>
  <c r="AC134" i="92"/>
  <c r="AN134" i="92" s="1"/>
  <c r="AO452" i="92"/>
  <c r="AC238" i="92"/>
  <c r="AC635" i="92"/>
  <c r="AN635" i="92" s="1"/>
  <c r="AC579" i="92"/>
  <c r="AA378" i="92"/>
  <c r="AO301" i="92"/>
  <c r="AB488" i="92"/>
  <c r="AO372" i="92"/>
  <c r="AB93" i="92"/>
  <c r="AC476" i="92"/>
  <c r="AN476" i="92" s="1"/>
  <c r="AC58" i="92"/>
  <c r="AY58" i="92" s="1"/>
  <c r="AA361" i="92"/>
  <c r="AO281" i="92"/>
  <c r="AA249" i="92"/>
  <c r="AZ324" i="92"/>
  <c r="AZ738" i="92"/>
  <c r="AB97" i="92"/>
  <c r="AC394" i="92"/>
  <c r="AY394" i="92" s="1"/>
  <c r="AA495" i="92"/>
  <c r="AW495" i="92" s="1"/>
  <c r="AC740" i="92"/>
  <c r="AO71" i="92"/>
  <c r="AA497" i="92"/>
  <c r="AW497" i="92" s="1"/>
  <c r="AZ312" i="92"/>
  <c r="AA346" i="92"/>
  <c r="AA125" i="92"/>
  <c r="AW125" i="92" s="1"/>
  <c r="AA667" i="92"/>
  <c r="AC262" i="92"/>
  <c r="AA325" i="92"/>
  <c r="AW325" i="92" s="1"/>
  <c r="AO213" i="92"/>
  <c r="AO639" i="92"/>
  <c r="AZ552" i="92"/>
  <c r="AO515" i="92"/>
  <c r="AB308" i="92"/>
  <c r="AX308" i="92" s="1"/>
  <c r="AC439" i="92"/>
  <c r="AN439" i="92" s="1"/>
  <c r="AB354" i="92"/>
  <c r="AM354" i="92" s="1"/>
  <c r="AA278" i="92"/>
  <c r="AO102" i="92"/>
  <c r="AA252" i="92"/>
  <c r="AZ151" i="92"/>
  <c r="AA377" i="92"/>
  <c r="AL377" i="92" s="1"/>
  <c r="AO128" i="92"/>
  <c r="AA137" i="92"/>
  <c r="AW137" i="92" s="1"/>
  <c r="AA674" i="92"/>
  <c r="AW674" i="92" s="1"/>
  <c r="AA238" i="92"/>
  <c r="AL238" i="92" s="1"/>
  <c r="AO525" i="92"/>
  <c r="AA143" i="92"/>
  <c r="AO606" i="92"/>
  <c r="AO229" i="92"/>
  <c r="AZ556" i="92"/>
  <c r="AA388" i="92"/>
  <c r="AW388" i="92" s="1"/>
  <c r="AA710" i="92"/>
  <c r="AW710" i="92" s="1"/>
  <c r="AO415" i="92"/>
  <c r="AA547" i="92"/>
  <c r="AW547" i="92" s="1"/>
  <c r="AA686" i="92"/>
  <c r="AW686" i="92" s="1"/>
  <c r="AA420" i="92"/>
  <c r="AL420" i="92" s="1"/>
  <c r="AO669" i="92"/>
  <c r="AA742" i="92"/>
  <c r="AO471" i="92"/>
  <c r="AZ169" i="92"/>
  <c r="AZ434" i="92"/>
  <c r="AZ500" i="92"/>
  <c r="AA183" i="92"/>
  <c r="AW183" i="92" s="1"/>
  <c r="AO613" i="92"/>
  <c r="AA518" i="92"/>
  <c r="AO233" i="92"/>
  <c r="AO498" i="92"/>
  <c r="AO516" i="92"/>
  <c r="AA220" i="92"/>
  <c r="AW220" i="92" s="1"/>
  <c r="AO621" i="92"/>
  <c r="AA550" i="92"/>
  <c r="AW550" i="92" s="1"/>
  <c r="AZ702" i="92"/>
  <c r="AZ562" i="92"/>
  <c r="AO524" i="92"/>
  <c r="AB589" i="92"/>
  <c r="AB182" i="92"/>
  <c r="AX182" i="92" s="1"/>
  <c r="AC356" i="92"/>
  <c r="AY356" i="92" s="1"/>
  <c r="AA607" i="92"/>
  <c r="AL607" i="92" s="1"/>
  <c r="AA545" i="92"/>
  <c r="AL545" i="92" s="1"/>
  <c r="AB184" i="92"/>
  <c r="AO112" i="92"/>
  <c r="AC196" i="92"/>
  <c r="AN196" i="92" s="1"/>
  <c r="AA317" i="92"/>
  <c r="AA165" i="92"/>
  <c r="AA334" i="92"/>
  <c r="AO635" i="92"/>
  <c r="AB689" i="92"/>
  <c r="AC331" i="92"/>
  <c r="AN331" i="92" s="1"/>
  <c r="AA639" i="92"/>
  <c r="AA147" i="92"/>
  <c r="AZ143" i="92"/>
  <c r="AA625" i="92"/>
  <c r="AB370" i="92"/>
  <c r="AA410" i="92"/>
  <c r="AZ161" i="92"/>
  <c r="AA210" i="92"/>
  <c r="AW210" i="92" s="1"/>
  <c r="AA731" i="92"/>
  <c r="AC518" i="92"/>
  <c r="AY518" i="92" s="1"/>
  <c r="AA389" i="92"/>
  <c r="AO354" i="92"/>
  <c r="AO382" i="92"/>
  <c r="AZ490" i="92"/>
  <c r="AC614" i="92"/>
  <c r="AN614" i="92" s="1"/>
  <c r="AB309" i="92"/>
  <c r="AX309" i="92" s="1"/>
  <c r="AA64" i="92"/>
  <c r="AC395" i="92"/>
  <c r="AA351" i="92"/>
  <c r="AO182" i="92"/>
  <c r="AA328" i="92"/>
  <c r="AB530" i="92"/>
  <c r="AX530" i="92" s="1"/>
  <c r="AA441" i="92"/>
  <c r="AZ192" i="92"/>
  <c r="AA218" i="92"/>
  <c r="AA738" i="92"/>
  <c r="AO625" i="92"/>
  <c r="AO404" i="92"/>
  <c r="AC750" i="92"/>
  <c r="AO589" i="92"/>
  <c r="AA422" i="92"/>
  <c r="AZ670" i="92"/>
  <c r="AC516" i="92"/>
  <c r="AO628" i="92"/>
  <c r="AA644" i="92"/>
  <c r="AL644" i="92" s="1"/>
  <c r="AO725" i="92"/>
  <c r="AZ205" i="92"/>
  <c r="AC61" i="92"/>
  <c r="AO170" i="92"/>
  <c r="AO394" i="92"/>
  <c r="AA676" i="92"/>
  <c r="AW676" i="92" s="1"/>
  <c r="AO733" i="92"/>
  <c r="AZ227" i="92"/>
  <c r="AA195" i="92"/>
  <c r="AW195" i="92" s="1"/>
  <c r="AA611" i="92"/>
  <c r="AO600" i="92"/>
  <c r="AA452" i="92"/>
  <c r="AO677" i="92"/>
  <c r="AO247" i="92"/>
  <c r="AA398" i="92"/>
  <c r="AA139" i="92"/>
  <c r="AW139" i="92" s="1"/>
  <c r="AC731" i="92"/>
  <c r="AO588" i="92"/>
  <c r="AA484" i="92"/>
  <c r="AO45" i="92"/>
  <c r="AO559" i="92"/>
  <c r="AA219" i="92"/>
  <c r="AW219" i="92" s="1"/>
  <c r="AA348" i="92"/>
  <c r="AW348" i="92" s="1"/>
  <c r="AA516" i="92"/>
  <c r="AW516" i="92" s="1"/>
  <c r="AO757" i="92"/>
  <c r="AA291" i="92"/>
  <c r="AW291" i="92" s="1"/>
  <c r="AA498" i="92"/>
  <c r="AW498" i="92" s="1"/>
  <c r="AC320" i="92"/>
  <c r="AA635" i="92"/>
  <c r="AW635" i="92" s="1"/>
  <c r="AA386" i="92"/>
  <c r="AL386" i="92" s="1"/>
  <c r="AB644" i="92"/>
  <c r="AA437" i="92"/>
  <c r="AB712" i="92"/>
  <c r="AX712" i="92" s="1"/>
  <c r="AC446" i="92"/>
  <c r="AC707" i="92"/>
  <c r="AN707" i="92" s="1"/>
  <c r="AZ218" i="92"/>
  <c r="AA445" i="92"/>
  <c r="AL445" i="92" s="1"/>
  <c r="AA692" i="92"/>
  <c r="AA167" i="92"/>
  <c r="AO488" i="92"/>
  <c r="AO699" i="92"/>
  <c r="AB143" i="92"/>
  <c r="AB536" i="92"/>
  <c r="AX536" i="92" s="1"/>
  <c r="AA711" i="92"/>
  <c r="AW711" i="92" s="1"/>
  <c r="AA234" i="92"/>
  <c r="AW234" i="92" s="1"/>
  <c r="AC252" i="92"/>
  <c r="AA689" i="92"/>
  <c r="AC222" i="92"/>
  <c r="AA474" i="92"/>
  <c r="AO225" i="92"/>
  <c r="AA283" i="92"/>
  <c r="AW283" i="92" s="1"/>
  <c r="AC132" i="92"/>
  <c r="AY132" i="92" s="1"/>
  <c r="AA453" i="92"/>
  <c r="AW453" i="92" s="1"/>
  <c r="AZ268" i="92"/>
  <c r="AB289" i="92"/>
  <c r="AO554" i="92"/>
  <c r="AA316" i="92"/>
  <c r="AO643" i="92"/>
  <c r="AB213" i="92"/>
  <c r="AC118" i="92"/>
  <c r="AY118" i="92" s="1"/>
  <c r="AC421" i="92"/>
  <c r="AN421" i="92" s="1"/>
  <c r="AA431" i="92"/>
  <c r="AO254" i="92"/>
  <c r="AA400" i="92"/>
  <c r="AW400" i="92" s="1"/>
  <c r="AC284" i="92"/>
  <c r="AA505" i="92"/>
  <c r="AW505" i="92" s="1"/>
  <c r="AA290" i="92"/>
  <c r="AA758" i="92"/>
  <c r="AW758" i="92" s="1"/>
  <c r="AA356" i="92"/>
  <c r="AZ653" i="92"/>
  <c r="AA678" i="92"/>
  <c r="AZ351" i="92"/>
  <c r="AA483" i="92"/>
  <c r="AO303" i="92"/>
  <c r="AO315" i="92"/>
  <c r="AO350" i="92"/>
  <c r="AO448" i="92"/>
  <c r="AC428" i="92"/>
  <c r="AN428" i="92" s="1"/>
  <c r="AO716" i="92"/>
  <c r="AO171" i="92"/>
  <c r="AO361" i="92"/>
  <c r="AO496" i="92"/>
  <c r="AO234" i="92"/>
  <c r="AO459" i="92"/>
  <c r="AZ652" i="92"/>
  <c r="AA708" i="92"/>
  <c r="AW708" i="92" s="1"/>
  <c r="AZ370" i="92"/>
  <c r="AZ536" i="92"/>
  <c r="AA675" i="92"/>
  <c r="AZ523" i="92"/>
  <c r="AO660" i="92"/>
  <c r="AA740" i="92"/>
  <c r="AW740" i="92" s="1"/>
  <c r="AO749" i="92"/>
  <c r="AO269" i="92"/>
  <c r="AA590" i="92"/>
  <c r="AA739" i="92"/>
  <c r="AL739" i="92" s="1"/>
  <c r="AZ668" i="92"/>
  <c r="AO245" i="92"/>
  <c r="AO389" i="92"/>
  <c r="AA48" i="92"/>
  <c r="AW48" i="92" s="1"/>
  <c r="AA367" i="92"/>
  <c r="AA383" i="92"/>
  <c r="AC125" i="92"/>
  <c r="AC462" i="92"/>
  <c r="AC374" i="92"/>
  <c r="AN374" i="92" s="1"/>
  <c r="AC597" i="92"/>
  <c r="AN597" i="92" s="1"/>
  <c r="AC330" i="92"/>
  <c r="AA111" i="92"/>
  <c r="AA113" i="92"/>
  <c r="AB578" i="92"/>
  <c r="AX578" i="92" s="1"/>
  <c r="AA509" i="92"/>
  <c r="AZ187" i="92"/>
  <c r="AA694" i="92"/>
  <c r="AL694" i="92" s="1"/>
  <c r="AA284" i="92"/>
  <c r="AA750" i="92"/>
  <c r="AW750" i="92" s="1"/>
  <c r="AB612" i="92"/>
  <c r="AC661" i="92"/>
  <c r="AA320" i="92"/>
  <c r="AW320" i="92" s="1"/>
  <c r="AA753" i="92"/>
  <c r="AC478" i="92"/>
  <c r="AN478" i="92" s="1"/>
  <c r="AA538" i="92"/>
  <c r="AA347" i="92"/>
  <c r="AW347" i="92" s="1"/>
  <c r="AZ98" i="92"/>
  <c r="AC396" i="92"/>
  <c r="AA517" i="92"/>
  <c r="AW517" i="92" s="1"/>
  <c r="AO489" i="92"/>
  <c r="AA204" i="92"/>
  <c r="AO618" i="92"/>
  <c r="AA572" i="92"/>
  <c r="AZ707" i="92"/>
  <c r="AB734" i="92"/>
  <c r="AM734" i="92" s="1"/>
  <c r="AC640" i="92"/>
  <c r="AN640" i="92" s="1"/>
  <c r="AC677" i="92"/>
  <c r="AN677" i="92" s="1"/>
  <c r="AA503" i="92"/>
  <c r="AB328" i="92"/>
  <c r="AX328" i="92" s="1"/>
  <c r="AA472" i="92"/>
  <c r="AC236" i="92"/>
  <c r="AN236" i="92" s="1"/>
  <c r="AC630" i="92"/>
  <c r="AN630" i="92" s="1"/>
  <c r="AA293" i="92"/>
  <c r="AW293" i="92" s="1"/>
  <c r="AA584" i="92"/>
  <c r="AW584" i="92" s="1"/>
  <c r="AA255" i="92"/>
  <c r="AL255" i="92" s="1"/>
  <c r="AA374" i="92"/>
  <c r="AL374" i="92" s="1"/>
  <c r="AA330" i="92"/>
  <c r="AA157" i="92"/>
  <c r="AA530" i="92"/>
  <c r="AA339" i="92"/>
  <c r="AC230" i="92"/>
  <c r="AN230" i="92" s="1"/>
  <c r="AA637" i="92"/>
  <c r="AW637" i="92" s="1"/>
  <c r="AZ417" i="92"/>
  <c r="AZ345" i="92"/>
  <c r="AA540" i="92"/>
  <c r="AB199" i="92"/>
  <c r="AM199" i="92" s="1"/>
  <c r="AC375" i="92"/>
  <c r="AN375" i="92" s="1"/>
  <c r="AC141" i="92"/>
  <c r="AN141" i="92" s="1"/>
  <c r="AO94" i="92"/>
  <c r="AA464" i="92"/>
  <c r="AA161" i="92"/>
  <c r="AW161" i="92" s="1"/>
  <c r="AO56" i="92"/>
  <c r="AC724" i="92"/>
  <c r="AA602" i="92"/>
  <c r="AL602" i="92" s="1"/>
  <c r="AB575" i="92"/>
  <c r="AA411" i="92"/>
  <c r="AO162" i="92"/>
  <c r="AC652" i="92"/>
  <c r="AA581" i="92"/>
  <c r="AW581" i="92" s="1"/>
  <c r="AA470" i="92"/>
  <c r="AO682" i="92"/>
  <c r="AZ67" i="92"/>
  <c r="AZ431" i="92"/>
  <c r="AB313" i="92"/>
  <c r="AX313" i="92" s="1"/>
  <c r="AA110" i="92"/>
  <c r="AW110" i="92" s="1"/>
  <c r="AA575" i="92"/>
  <c r="AC214" i="92"/>
  <c r="AA544" i="92"/>
  <c r="AA47" i="92"/>
  <c r="AA633" i="92"/>
  <c r="AB545" i="92"/>
  <c r="AX545" i="92" s="1"/>
  <c r="AA418" i="92"/>
  <c r="AC260" i="92"/>
  <c r="AY260" i="92" s="1"/>
  <c r="AZ99" i="92"/>
  <c r="AO620" i="92"/>
  <c r="AZ107" i="92"/>
  <c r="AO742" i="92"/>
  <c r="AZ339" i="92"/>
  <c r="AZ400" i="92"/>
  <c r="AC168" i="92"/>
  <c r="AN168" i="92" s="1"/>
  <c r="AO101" i="92"/>
  <c r="AO703" i="92"/>
  <c r="AO486" i="92"/>
  <c r="AA266" i="92"/>
  <c r="AL266" i="92" s="1"/>
  <c r="AO84" i="92"/>
  <c r="AZ743" i="92"/>
  <c r="AO413" i="92"/>
  <c r="AO494" i="92"/>
  <c r="AA300" i="92"/>
  <c r="AW300" i="92" s="1"/>
  <c r="AA525" i="92"/>
  <c r="AA574" i="92"/>
  <c r="AW574" i="92" s="1"/>
  <c r="AO349" i="92"/>
  <c r="AC558" i="92"/>
  <c r="AA332" i="92"/>
  <c r="AW332" i="92" s="1"/>
  <c r="AA589" i="92"/>
  <c r="AW589" i="92" s="1"/>
  <c r="AA638" i="92"/>
  <c r="AW638" i="92" s="1"/>
  <c r="AZ463" i="92"/>
  <c r="AA302" i="92"/>
  <c r="AW302" i="92" s="1"/>
  <c r="AA364" i="92"/>
  <c r="AA653" i="92"/>
  <c r="AA670" i="92"/>
  <c r="AZ519" i="92"/>
  <c r="U692" i="92"/>
  <c r="AQ692" i="92" s="1"/>
  <c r="V692" i="92"/>
  <c r="Y644" i="92"/>
  <c r="AU644" i="92" s="1"/>
  <c r="V668" i="92"/>
  <c r="Y508" i="92"/>
  <c r="V422" i="92"/>
  <c r="AG422" i="92" s="1"/>
  <c r="W614" i="92"/>
  <c r="AH614" i="92" s="1"/>
  <c r="Y638" i="92"/>
  <c r="AU638" i="92" s="1"/>
  <c r="Y725" i="92"/>
  <c r="AJ725" i="92" s="1"/>
  <c r="U622" i="92"/>
  <c r="W733" i="92"/>
  <c r="AH733" i="92" s="1"/>
  <c r="Y598" i="92"/>
  <c r="AU598" i="92" s="1"/>
  <c r="U455" i="92"/>
  <c r="AQ455" i="92" s="1"/>
  <c r="U490" i="92"/>
  <c r="AF490" i="92" s="1"/>
  <c r="V409" i="92"/>
  <c r="V513" i="92"/>
  <c r="AG513" i="92" s="1"/>
  <c r="X471" i="92"/>
  <c r="AI471" i="92" s="1"/>
  <c r="X553" i="92"/>
  <c r="X673" i="92"/>
  <c r="AI673" i="92" s="1"/>
  <c r="Z698" i="92"/>
  <c r="AK698" i="92" s="1"/>
  <c r="V723" i="92"/>
  <c r="Y731" i="92"/>
  <c r="AU731" i="92" s="1"/>
  <c r="W396" i="92"/>
  <c r="AH396" i="92" s="1"/>
  <c r="Z753" i="92"/>
  <c r="AK753" i="92" s="1"/>
  <c r="U761" i="92"/>
  <c r="AF761" i="92" s="1"/>
  <c r="W578" i="92"/>
  <c r="Y524" i="92"/>
  <c r="AU524" i="92" s="1"/>
  <c r="Z421" i="92"/>
  <c r="AK421" i="92" s="1"/>
  <c r="V620" i="92"/>
  <c r="Z643" i="92"/>
  <c r="AV643" i="92" s="1"/>
  <c r="W756" i="92"/>
  <c r="AS756" i="92" s="1"/>
  <c r="W708" i="92"/>
  <c r="AH708" i="92" s="1"/>
  <c r="V461" i="92"/>
  <c r="AR461" i="92" s="1"/>
  <c r="W638" i="92"/>
  <c r="W692" i="92"/>
  <c r="AS692" i="92" s="1"/>
  <c r="Z590" i="92"/>
  <c r="AK590" i="92" s="1"/>
  <c r="Z612" i="92"/>
  <c r="AV612" i="92" s="1"/>
  <c r="X441" i="92"/>
  <c r="AI441" i="92" s="1"/>
  <c r="V678" i="92"/>
  <c r="AG678" i="92" s="1"/>
  <c r="V510" i="92"/>
  <c r="AR510" i="92" s="1"/>
  <c r="V710" i="92"/>
  <c r="AR710" i="92" s="1"/>
  <c r="AZ750" i="92"/>
  <c r="AA646" i="92"/>
  <c r="AW646" i="92" s="1"/>
  <c r="AZ645" i="92"/>
  <c r="AA324" i="92"/>
  <c r="AZ540" i="92"/>
  <c r="AO561" i="92"/>
  <c r="AA428" i="92"/>
  <c r="AO526" i="92"/>
  <c r="AO584" i="92"/>
  <c r="AO445" i="92"/>
  <c r="AA366" i="92"/>
  <c r="AZ340" i="92"/>
  <c r="AA396" i="92"/>
  <c r="AZ518" i="92"/>
  <c r="AZ693" i="92"/>
  <c r="AA231" i="92"/>
  <c r="AZ115" i="92"/>
  <c r="AO503" i="92"/>
  <c r="AO197" i="92"/>
  <c r="AO203" i="92"/>
  <c r="AO148" i="92"/>
  <c r="AA222" i="92"/>
  <c r="AW222" i="92" s="1"/>
  <c r="AZ341" i="92"/>
  <c r="AA524" i="92"/>
  <c r="AL524" i="92" s="1"/>
  <c r="AO533" i="92"/>
  <c r="AA414" i="92"/>
  <c r="AL414" i="92" s="1"/>
  <c r="AZ414" i="92"/>
  <c r="AO663" i="92"/>
  <c r="AZ105" i="92"/>
  <c r="AA761" i="92"/>
  <c r="AW761" i="92" s="1"/>
  <c r="AC763" i="92"/>
  <c r="AN763" i="92" s="1"/>
  <c r="AC577" i="92"/>
  <c r="AN577" i="92" s="1"/>
  <c r="AZ583" i="92"/>
  <c r="AA709" i="92"/>
  <c r="AA475" i="92"/>
  <c r="AL475" i="92" s="1"/>
  <c r="AZ184" i="92"/>
  <c r="AO166" i="92"/>
  <c r="AO261" i="92"/>
  <c r="AC364" i="92"/>
  <c r="AO86" i="92"/>
  <c r="AA471" i="92"/>
  <c r="AW471" i="92" s="1"/>
  <c r="AA596" i="92"/>
  <c r="W500" i="92"/>
  <c r="AH500" i="92" s="1"/>
  <c r="Z548" i="92"/>
  <c r="AK548" i="92" s="1"/>
  <c r="W686" i="92"/>
  <c r="AS686" i="92" s="1"/>
  <c r="V619" i="92"/>
  <c r="U445" i="92"/>
  <c r="AQ445" i="92" s="1"/>
  <c r="V581" i="92"/>
  <c r="AR581" i="92" s="1"/>
  <c r="W387" i="92"/>
  <c r="AS387" i="92" s="1"/>
  <c r="U613" i="92"/>
  <c r="Z543" i="92"/>
  <c r="AK543" i="92" s="1"/>
  <c r="U454" i="92"/>
  <c r="AF454" i="92" s="1"/>
  <c r="Z510" i="92"/>
  <c r="AK510" i="92" s="1"/>
  <c r="V605" i="92"/>
  <c r="X526" i="92"/>
  <c r="AT526" i="92" s="1"/>
  <c r="Y621" i="92"/>
  <c r="AJ621" i="92" s="1"/>
  <c r="U630" i="92"/>
  <c r="X449" i="92"/>
  <c r="AI449" i="92" s="1"/>
  <c r="V503" i="92"/>
  <c r="AR503" i="92" s="1"/>
  <c r="Z762" i="92"/>
  <c r="AK762" i="92" s="1"/>
  <c r="Y746" i="92"/>
  <c r="AJ746" i="92" s="1"/>
  <c r="W672" i="92"/>
  <c r="Z711" i="92"/>
  <c r="AK711" i="92" s="1"/>
  <c r="U464" i="92"/>
  <c r="AF464" i="92" s="1"/>
  <c r="U586" i="92"/>
  <c r="Y483" i="92"/>
  <c r="AJ483" i="92" s="1"/>
  <c r="W457" i="92"/>
  <c r="AH457" i="92" s="1"/>
  <c r="Z394" i="92"/>
  <c r="AK394" i="92" s="1"/>
  <c r="W411" i="92"/>
  <c r="AH411" i="92" s="1"/>
  <c r="X752" i="92"/>
  <c r="W404" i="92"/>
  <c r="AS404" i="92" s="1"/>
  <c r="W549" i="92"/>
  <c r="AS549" i="92" s="1"/>
  <c r="X445" i="92"/>
  <c r="AI445" i="92" s="1"/>
  <c r="U491" i="92"/>
  <c r="AF491" i="92" s="1"/>
  <c r="W715" i="92"/>
  <c r="AS715" i="92" s="1"/>
  <c r="Z605" i="92"/>
  <c r="AV605" i="92" s="1"/>
  <c r="W484" i="92"/>
  <c r="AS484" i="92" s="1"/>
  <c r="Y605" i="92"/>
  <c r="Y654" i="92"/>
  <c r="AU654" i="92" s="1"/>
  <c r="U701" i="92"/>
  <c r="U510" i="92"/>
  <c r="Y694" i="92"/>
  <c r="AJ694" i="92" s="1"/>
  <c r="U406" i="92"/>
  <c r="AF406" i="92" s="1"/>
  <c r="Y565" i="92"/>
  <c r="AJ565" i="92" s="1"/>
  <c r="W741" i="92"/>
  <c r="AS741" i="92" s="1"/>
  <c r="V606" i="92"/>
  <c r="AA716" i="92"/>
  <c r="AW716" i="92" s="1"/>
  <c r="AA84" i="92"/>
  <c r="AO517" i="92"/>
  <c r="AZ560" i="92"/>
  <c r="AZ395" i="92"/>
  <c r="AA267" i="92"/>
  <c r="AW267" i="92" s="1"/>
  <c r="AO398" i="92"/>
  <c r="AZ748" i="92"/>
  <c r="AA131" i="92"/>
  <c r="AA194" i="92"/>
  <c r="AO640" i="92"/>
  <c r="AZ565" i="92"/>
  <c r="AO368" i="92"/>
  <c r="AZ429" i="92"/>
  <c r="AO365" i="92"/>
  <c r="AZ438" i="92"/>
  <c r="AC334" i="92"/>
  <c r="AN334" i="92" s="1"/>
  <c r="AO51" i="92"/>
  <c r="AZ759" i="92"/>
  <c r="AZ337" i="92"/>
  <c r="AZ326" i="92"/>
  <c r="AA397" i="92"/>
  <c r="AZ231" i="92"/>
  <c r="AZ548" i="92"/>
  <c r="AA546" i="92"/>
  <c r="AA569" i="92"/>
  <c r="AW569" i="92" s="1"/>
  <c r="AB336" i="92"/>
  <c r="AM336" i="92" s="1"/>
  <c r="AA185" i="92"/>
  <c r="AC228" i="92"/>
  <c r="AA305" i="92"/>
  <c r="AA269" i="92"/>
  <c r="AW269" i="92" s="1"/>
  <c r="AO117" i="92"/>
  <c r="AC723" i="92"/>
  <c r="X564" i="92"/>
  <c r="AI564" i="92" s="1"/>
  <c r="X627" i="92"/>
  <c r="AT627" i="92" s="1"/>
  <c r="U427" i="92"/>
  <c r="AQ427" i="92" s="1"/>
  <c r="V428" i="92"/>
  <c r="AR428" i="92" s="1"/>
  <c r="U469" i="92"/>
  <c r="AF469" i="92" s="1"/>
  <c r="U763" i="92"/>
  <c r="V652" i="92"/>
  <c r="AR652" i="92" s="1"/>
  <c r="W597" i="92"/>
  <c r="AS597" i="92" s="1"/>
  <c r="U628" i="92"/>
  <c r="W470" i="92"/>
  <c r="AH470" i="92" s="1"/>
  <c r="X478" i="92"/>
  <c r="AI478" i="92" s="1"/>
  <c r="X686" i="92"/>
  <c r="AT686" i="92" s="1"/>
  <c r="U462" i="92"/>
  <c r="AF462" i="92" s="1"/>
  <c r="W565" i="92"/>
  <c r="AH565" i="92" s="1"/>
  <c r="U542" i="92"/>
  <c r="AF542" i="92" s="1"/>
  <c r="Z568" i="92"/>
  <c r="AK568" i="92" s="1"/>
  <c r="Z663" i="92"/>
  <c r="U514" i="92"/>
  <c r="AQ514" i="92" s="1"/>
  <c r="U601" i="92"/>
  <c r="AF601" i="92" s="1"/>
  <c r="W690" i="92"/>
  <c r="AH690" i="92" s="1"/>
  <c r="W527" i="92"/>
  <c r="AS527" i="92" s="1"/>
  <c r="V609" i="92"/>
  <c r="AG609" i="92" s="1"/>
  <c r="V739" i="92"/>
  <c r="AG739" i="92" s="1"/>
  <c r="Z690" i="92"/>
  <c r="AV690" i="92" s="1"/>
  <c r="Z402" i="92"/>
  <c r="V666" i="92"/>
  <c r="AR666" i="92" s="1"/>
  <c r="X690" i="92"/>
  <c r="AI690" i="92" s="1"/>
  <c r="V697" i="92"/>
  <c r="AR697" i="92" s="1"/>
  <c r="V643" i="92"/>
  <c r="AG643" i="92" s="1"/>
  <c r="U533" i="92"/>
  <c r="V732" i="92"/>
  <c r="AR732" i="92" s="1"/>
  <c r="Z531" i="92"/>
  <c r="AV531" i="92" s="1"/>
  <c r="Y540" i="92"/>
  <c r="AJ540" i="92" s="1"/>
  <c r="X509" i="92"/>
  <c r="AT509" i="92" s="1"/>
  <c r="W428" i="92"/>
  <c r="AS428" i="92" s="1"/>
  <c r="Z613" i="92"/>
  <c r="AV613" i="92" s="1"/>
  <c r="V646" i="92"/>
  <c r="AR646" i="92" s="1"/>
  <c r="X709" i="92"/>
  <c r="X518" i="92"/>
  <c r="AI518" i="92" s="1"/>
  <c r="Z734" i="92"/>
  <c r="AK734" i="92" s="1"/>
  <c r="Y406" i="92"/>
  <c r="X646" i="92"/>
  <c r="AI646" i="92" s="1"/>
  <c r="Y685" i="92"/>
  <c r="AJ685" i="92" s="1"/>
  <c r="X542" i="92"/>
  <c r="AT542" i="92" s="1"/>
  <c r="AA460" i="92"/>
  <c r="AW460" i="92" s="1"/>
  <c r="AO632" i="92"/>
  <c r="AO453" i="92"/>
  <c r="AA526" i="92"/>
  <c r="AZ285" i="92"/>
  <c r="AB273" i="92"/>
  <c r="AZ211" i="92"/>
  <c r="AZ311" i="92"/>
  <c r="AO676" i="92"/>
  <c r="AZ651" i="92"/>
  <c r="AC294" i="92"/>
  <c r="AA582" i="92"/>
  <c r="AW582" i="92" s="1"/>
  <c r="AO501" i="92"/>
  <c r="AO221" i="92"/>
  <c r="AO212" i="92"/>
  <c r="AC270" i="92"/>
  <c r="AN270" i="92" s="1"/>
  <c r="AA556" i="92"/>
  <c r="AL556" i="92" s="1"/>
  <c r="AO541" i="92"/>
  <c r="AA446" i="92"/>
  <c r="AO550" i="92"/>
  <c r="AO106" i="92"/>
  <c r="AO687" i="92"/>
  <c r="AA382" i="92"/>
  <c r="AA482" i="92"/>
  <c r="AA244" i="92"/>
  <c r="AA719" i="92"/>
  <c r="AL719" i="92" s="1"/>
  <c r="AC115" i="92"/>
  <c r="AN115" i="92" s="1"/>
  <c r="AA726" i="92"/>
  <c r="AW726" i="92" s="1"/>
  <c r="AA79" i="92"/>
  <c r="AW79" i="92" s="1"/>
  <c r="AA235" i="92"/>
  <c r="AW235" i="92" s="1"/>
  <c r="AC660" i="92"/>
  <c r="AZ418" i="92"/>
  <c r="AA595" i="92"/>
  <c r="AL595" i="92" s="1"/>
  <c r="AA732" i="92"/>
  <c r="AC77" i="92"/>
  <c r="AN77" i="92" s="1"/>
  <c r="AA362" i="92"/>
  <c r="AW362" i="92" s="1"/>
  <c r="X469" i="92"/>
  <c r="AI469" i="92" s="1"/>
  <c r="V484" i="92"/>
  <c r="AG484" i="92" s="1"/>
  <c r="X555" i="92"/>
  <c r="AI555" i="92" s="1"/>
  <c r="U667" i="92"/>
  <c r="AF667" i="92" s="1"/>
  <c r="Y628" i="92"/>
  <c r="AJ628" i="92" s="1"/>
  <c r="Z492" i="92"/>
  <c r="AV492" i="92" s="1"/>
  <c r="V508" i="92"/>
  <c r="AG508" i="92" s="1"/>
  <c r="U550" i="92"/>
  <c r="Y645" i="92"/>
  <c r="AJ645" i="92" s="1"/>
  <c r="Z454" i="92"/>
  <c r="U422" i="92"/>
  <c r="U614" i="92"/>
  <c r="AQ614" i="92" s="1"/>
  <c r="V430" i="92"/>
  <c r="AR430" i="92" s="1"/>
  <c r="W694" i="92"/>
  <c r="AH694" i="92" s="1"/>
  <c r="X486" i="92"/>
  <c r="AT486" i="92" s="1"/>
  <c r="Y386" i="92"/>
  <c r="AJ386" i="92" s="1"/>
  <c r="X544" i="92"/>
  <c r="AT544" i="92" s="1"/>
  <c r="W488" i="92"/>
  <c r="U642" i="92"/>
  <c r="Z529" i="92"/>
  <c r="AV529" i="92" s="1"/>
  <c r="X386" i="92"/>
  <c r="AI386" i="92" s="1"/>
  <c r="Y433" i="92"/>
  <c r="AU433" i="92" s="1"/>
  <c r="V474" i="92"/>
  <c r="AG474" i="92" s="1"/>
  <c r="X594" i="92"/>
  <c r="V531" i="92"/>
  <c r="AR531" i="92" s="1"/>
  <c r="Y594" i="92"/>
  <c r="U500" i="92"/>
  <c r="U563" i="92"/>
  <c r="AQ563" i="92" s="1"/>
  <c r="U724" i="92"/>
  <c r="AF724" i="92" s="1"/>
  <c r="W524" i="92"/>
  <c r="AS524" i="92" s="1"/>
  <c r="W740" i="92"/>
  <c r="AH740" i="92" s="1"/>
  <c r="U435" i="92"/>
  <c r="AF435" i="92" s="1"/>
  <c r="W747" i="92"/>
  <c r="AH747" i="92" s="1"/>
  <c r="V387" i="92"/>
  <c r="AG387" i="92" s="1"/>
  <c r="W476" i="92"/>
  <c r="AS476" i="92" s="1"/>
  <c r="X684" i="92"/>
  <c r="AI684" i="92" s="1"/>
  <c r="Y542" i="92"/>
  <c r="AU542" i="92" s="1"/>
  <c r="Y613" i="92"/>
  <c r="AJ613" i="92" s="1"/>
  <c r="Y382" i="92"/>
  <c r="AU382" i="92" s="1"/>
  <c r="X726" i="92"/>
  <c r="AT726" i="92" s="1"/>
  <c r="V406" i="92"/>
  <c r="AG406" i="92" s="1"/>
  <c r="W526" i="92"/>
  <c r="AH526" i="92" s="1"/>
  <c r="Y629" i="92"/>
  <c r="W510" i="92"/>
  <c r="AH510" i="92" s="1"/>
  <c r="AA193" i="92"/>
  <c r="AO470" i="92"/>
  <c r="AO53" i="92"/>
  <c r="AZ607" i="92"/>
  <c r="AA177" i="92"/>
  <c r="AW177" i="92" s="1"/>
  <c r="AA355" i="92"/>
  <c r="AO655" i="92"/>
  <c r="AZ109" i="92"/>
  <c r="AA548" i="92"/>
  <c r="AW548" i="92" s="1"/>
  <c r="AA604" i="92"/>
  <c r="AW604" i="92" s="1"/>
  <c r="AB687" i="92"/>
  <c r="AM687" i="92" s="1"/>
  <c r="AA326" i="92"/>
  <c r="AW326" i="92" s="1"/>
  <c r="AZ437" i="92"/>
  <c r="AA61" i="92"/>
  <c r="AL61" i="92" s="1"/>
  <c r="AO510" i="92"/>
  <c r="AO298" i="92"/>
  <c r="AO456" i="92"/>
  <c r="AC550" i="92"/>
  <c r="AO477" i="92"/>
  <c r="AZ753" i="92"/>
  <c r="AZ422" i="92"/>
  <c r="AA492" i="92"/>
  <c r="AL492" i="92" s="1"/>
  <c r="AO479" i="92"/>
  <c r="AA354" i="92"/>
  <c r="AA171" i="92"/>
  <c r="AA647" i="92"/>
  <c r="AO664" i="92"/>
  <c r="AO290" i="92"/>
  <c r="AA730" i="92"/>
  <c r="AW730" i="92" s="1"/>
  <c r="AC576" i="92"/>
  <c r="AO609" i="92"/>
  <c r="AA467" i="92"/>
  <c r="AA191" i="92"/>
  <c r="AW191" i="92" s="1"/>
  <c r="AZ658" i="92"/>
  <c r="AA640" i="92"/>
  <c r="AL640" i="92" s="1"/>
  <c r="X676" i="92"/>
  <c r="AT676" i="92" s="1"/>
  <c r="Y468" i="92"/>
  <c r="AU468" i="92" s="1"/>
  <c r="U525" i="92"/>
  <c r="V590" i="92"/>
  <c r="AR590" i="92" s="1"/>
  <c r="W645" i="92"/>
  <c r="AS645" i="92" s="1"/>
  <c r="U709" i="92"/>
  <c r="AF709" i="92" s="1"/>
  <c r="U647" i="92"/>
  <c r="AF647" i="92" s="1"/>
  <c r="V743" i="92"/>
  <c r="Y757" i="92"/>
  <c r="AJ757" i="92" s="1"/>
  <c r="Y567" i="92"/>
  <c r="AJ567" i="92" s="1"/>
  <c r="Y446" i="92"/>
  <c r="V633" i="92"/>
  <c r="AG633" i="92" s="1"/>
  <c r="Y649" i="92"/>
  <c r="AU649" i="92" s="1"/>
  <c r="Z720" i="92"/>
  <c r="AK720" i="92" s="1"/>
  <c r="W641" i="92"/>
  <c r="AS641" i="92" s="1"/>
  <c r="V465" i="92"/>
  <c r="Y512" i="92"/>
  <c r="AU512" i="92" s="1"/>
  <c r="Y497" i="92"/>
  <c r="V418" i="92"/>
  <c r="Y610" i="92"/>
  <c r="AJ610" i="92" s="1"/>
  <c r="X738" i="92"/>
  <c r="AI738" i="92" s="1"/>
  <c r="Y482" i="92"/>
  <c r="AU482" i="92" s="1"/>
  <c r="X682" i="92"/>
  <c r="AI682" i="92" s="1"/>
  <c r="Y738" i="92"/>
  <c r="AJ738" i="92" s="1"/>
  <c r="Y676" i="92"/>
  <c r="AJ676" i="92" s="1"/>
  <c r="W491" i="92"/>
  <c r="AS491" i="92" s="1"/>
  <c r="U564" i="92"/>
  <c r="V651" i="92"/>
  <c r="AG651" i="92" s="1"/>
  <c r="X643" i="92"/>
  <c r="X702" i="92"/>
  <c r="X388" i="92"/>
  <c r="AT388" i="92" s="1"/>
  <c r="Z709" i="92"/>
  <c r="V486" i="92"/>
  <c r="Z750" i="92"/>
  <c r="X717" i="92"/>
  <c r="AI717" i="92" s="1"/>
  <c r="Z566" i="92"/>
  <c r="AK566" i="92" s="1"/>
  <c r="X669" i="92"/>
  <c r="AI669" i="92" s="1"/>
  <c r="W494" i="92"/>
  <c r="AS494" i="92" s="1"/>
  <c r="V750" i="92"/>
  <c r="AR750" i="92" s="1"/>
  <c r="Y454" i="92"/>
  <c r="AO736" i="92"/>
  <c r="AO406" i="92"/>
  <c r="AZ287" i="92"/>
  <c r="AZ756" i="92"/>
  <c r="AO715" i="92"/>
  <c r="AZ407" i="92"/>
  <c r="AO734" i="92"/>
  <c r="AA614" i="92"/>
  <c r="AW614" i="92" s="1"/>
  <c r="AZ637" i="92"/>
  <c r="AA292" i="92"/>
  <c r="AL292" i="92" s="1"/>
  <c r="AO532" i="92"/>
  <c r="AO626" i="92"/>
  <c r="AO381" i="92"/>
  <c r="AO718" i="92"/>
  <c r="AC654" i="92"/>
  <c r="AN654" i="92" s="1"/>
  <c r="AZ369" i="92"/>
  <c r="AZ433" i="92"/>
  <c r="AA103" i="92"/>
  <c r="AW103" i="92" s="1"/>
  <c r="AO83" i="92"/>
  <c r="AZ165" i="92"/>
  <c r="AZ622" i="92"/>
  <c r="AO338" i="92"/>
  <c r="AA756" i="92"/>
  <c r="AA186" i="92"/>
  <c r="AO758" i="92"/>
  <c r="AA229" i="92"/>
  <c r="AO397" i="92"/>
  <c r="AZ754" i="92"/>
  <c r="AC510" i="92"/>
  <c r="AN510" i="92" s="1"/>
  <c r="AC572" i="92"/>
  <c r="AN572" i="92" s="1"/>
  <c r="AC716" i="92"/>
  <c r="AN716" i="92" s="1"/>
  <c r="AO617" i="92"/>
  <c r="AZ226" i="92"/>
  <c r="AA666" i="92"/>
  <c r="AW666" i="92" s="1"/>
  <c r="AA680" i="92"/>
  <c r="AW680" i="92" s="1"/>
  <c r="AZ145" i="92"/>
  <c r="AB741" i="92"/>
  <c r="AX741" i="92" s="1"/>
  <c r="AA564" i="92"/>
  <c r="AW564" i="92" s="1"/>
  <c r="AB62" i="92"/>
  <c r="AC557" i="92"/>
  <c r="AB576" i="92"/>
  <c r="AC275" i="92"/>
  <c r="AN275" i="92" s="1"/>
  <c r="AC722" i="92"/>
  <c r="AN722" i="92" s="1"/>
  <c r="AC210" i="92"/>
  <c r="AN210" i="92" s="1"/>
  <c r="AC649" i="92"/>
  <c r="AC128" i="92"/>
  <c r="AN128" i="92" s="1"/>
  <c r="AC520" i="92"/>
  <c r="AB673" i="92"/>
  <c r="AX673" i="92" s="1"/>
  <c r="AC575" i="92"/>
  <c r="AN575" i="92" s="1"/>
  <c r="AC40" i="92"/>
  <c r="AN40" i="92" s="1"/>
  <c r="AB278" i="92"/>
  <c r="AM278" i="92" s="1"/>
  <c r="AB543" i="92"/>
  <c r="AX543" i="92" s="1"/>
  <c r="AB244" i="92"/>
  <c r="AX244" i="92" s="1"/>
  <c r="AB329" i="92"/>
  <c r="AB550" i="92"/>
  <c r="AM550" i="92" s="1"/>
  <c r="AB573" i="92"/>
  <c r="AB23" i="92"/>
  <c r="AB22" i="92"/>
  <c r="AX22" i="92" s="1"/>
  <c r="AB265" i="92"/>
  <c r="AX265" i="92" s="1"/>
  <c r="AB256" i="92"/>
  <c r="AX256" i="92" s="1"/>
  <c r="AC429" i="92"/>
  <c r="AN429" i="92" s="1"/>
  <c r="AC659" i="92"/>
  <c r="AC140" i="92"/>
  <c r="AN140" i="92" s="1"/>
  <c r="AC594" i="92"/>
  <c r="AY594" i="92" s="1"/>
  <c r="AC65" i="92"/>
  <c r="AC521" i="92"/>
  <c r="AN521" i="92" s="1"/>
  <c r="AB676" i="92"/>
  <c r="AX676" i="92" s="1"/>
  <c r="AC392" i="92"/>
  <c r="AY392" i="92" s="1"/>
  <c r="AA264" i="92"/>
  <c r="AW264" i="92" s="1"/>
  <c r="AC447" i="92"/>
  <c r="AB337" i="92"/>
  <c r="AB596" i="92"/>
  <c r="AM596" i="92" s="1"/>
  <c r="AB287" i="92"/>
  <c r="AC123" i="92"/>
  <c r="AN123" i="92" s="1"/>
  <c r="AB205" i="92"/>
  <c r="AB422" i="92"/>
  <c r="AX422" i="92" s="1"/>
  <c r="AB445" i="92"/>
  <c r="AX445" i="92" s="1"/>
  <c r="AB444" i="92"/>
  <c r="AB651" i="92"/>
  <c r="AB118" i="92"/>
  <c r="AB128" i="92"/>
  <c r="AC301" i="92"/>
  <c r="AN301" i="92" s="1"/>
  <c r="AC531" i="92"/>
  <c r="AN531" i="92" s="1"/>
  <c r="AB684" i="92"/>
  <c r="AM684" i="92" s="1"/>
  <c r="AC466" i="92"/>
  <c r="AN466" i="92" s="1"/>
  <c r="AB392" i="92"/>
  <c r="AC393" i="92"/>
  <c r="AA81" i="92"/>
  <c r="AL81" i="92" s="1"/>
  <c r="AC264" i="92"/>
  <c r="AA136" i="92"/>
  <c r="AW136" i="92" s="1"/>
  <c r="AC319" i="92"/>
  <c r="AB717" i="92"/>
  <c r="AX717" i="92" s="1"/>
  <c r="AB352" i="92"/>
  <c r="AX352" i="92" s="1"/>
  <c r="AB700" i="92"/>
  <c r="AM700" i="92" s="1"/>
  <c r="AB752" i="92"/>
  <c r="AX752" i="92" s="1"/>
  <c r="AB59" i="92"/>
  <c r="AB294" i="92"/>
  <c r="AM294" i="92" s="1"/>
  <c r="AB317" i="92"/>
  <c r="AX317" i="92" s="1"/>
  <c r="AB316" i="92"/>
  <c r="AM316" i="92" s="1"/>
  <c r="AB523" i="92"/>
  <c r="AM523" i="92" s="1"/>
  <c r="AB209" i="92"/>
  <c r="AX209" i="92" s="1"/>
  <c r="AC338" i="92"/>
  <c r="AA82" i="92"/>
  <c r="AC265" i="92"/>
  <c r="AC648" i="92"/>
  <c r="AN648" i="92" s="1"/>
  <c r="AC127" i="92"/>
  <c r="AN127" i="92" s="1"/>
  <c r="AC703" i="92"/>
  <c r="AN703" i="92" s="1"/>
  <c r="AC190" i="92"/>
  <c r="AN190" i="92" s="1"/>
  <c r="AB535" i="92"/>
  <c r="AX535" i="92" s="1"/>
  <c r="AB722" i="92"/>
  <c r="AB506" i="92"/>
  <c r="AX506" i="92" s="1"/>
  <c r="AB580" i="92"/>
  <c r="AM580" i="92" s="1"/>
  <c r="AB678" i="92"/>
  <c r="AB149" i="92"/>
  <c r="AX149" i="92" s="1"/>
  <c r="AB175" i="92"/>
  <c r="AB174" i="92"/>
  <c r="AX174" i="92" s="1"/>
  <c r="AB395" i="92"/>
  <c r="AX395" i="92" s="1"/>
  <c r="AN7" i="92"/>
  <c r="AY7" i="92"/>
  <c r="AX19" i="92"/>
  <c r="AL6" i="92"/>
  <c r="AW6" i="92"/>
  <c r="AX5" i="92"/>
  <c r="AM5" i="92"/>
  <c r="AW5" i="92"/>
  <c r="AL5" i="92"/>
  <c r="AN19" i="92"/>
  <c r="AY19" i="92"/>
  <c r="AY18" i="92"/>
  <c r="AN18" i="92"/>
  <c r="AN4" i="92"/>
  <c r="AM7" i="92"/>
  <c r="AX7" i="92"/>
  <c r="AM14" i="92"/>
  <c r="AY5" i="92"/>
  <c r="AN5" i="92"/>
  <c r="AW27" i="92"/>
  <c r="AL27" i="92"/>
  <c r="AJ124" i="92"/>
  <c r="AU124" i="92"/>
  <c r="AT305" i="92"/>
  <c r="AI305" i="92"/>
  <c r="AR33" i="92"/>
  <c r="AS231" i="92"/>
  <c r="AT109" i="92"/>
  <c r="AI109" i="92"/>
  <c r="BA755" i="92"/>
  <c r="AF39" i="92"/>
  <c r="AH166" i="92"/>
  <c r="AS166" i="92"/>
  <c r="AJ7" i="92"/>
  <c r="AU7" i="92"/>
  <c r="AI162" i="92"/>
  <c r="AR28" i="92"/>
  <c r="AF221" i="92"/>
  <c r="AV16" i="92"/>
  <c r="AP93" i="92"/>
  <c r="AQ87" i="92"/>
  <c r="AI286" i="92"/>
  <c r="AT286" i="92"/>
  <c r="AR15" i="92"/>
  <c r="AG10" i="92"/>
  <c r="AJ40" i="92"/>
  <c r="AU40" i="92"/>
  <c r="AG104" i="92"/>
  <c r="AS72" i="92"/>
  <c r="AH72" i="92"/>
  <c r="AO13" i="92"/>
  <c r="AF16" i="92"/>
  <c r="AS119" i="92"/>
  <c r="AI230" i="92"/>
  <c r="AV34" i="92"/>
  <c r="AK34" i="92"/>
  <c r="AP555" i="92"/>
  <c r="AH43" i="92"/>
  <c r="AF214" i="92"/>
  <c r="AS206" i="92"/>
  <c r="AJ113" i="92"/>
  <c r="AI298" i="92"/>
  <c r="AT298" i="92"/>
  <c r="AQ197" i="92"/>
  <c r="AI288" i="92"/>
  <c r="AT288" i="92"/>
  <c r="AV31" i="92"/>
  <c r="AV519" i="92"/>
  <c r="AR5" i="92"/>
  <c r="AT136" i="92"/>
  <c r="AP558" i="92"/>
  <c r="AP718" i="92"/>
  <c r="AH175" i="92"/>
  <c r="AI310" i="92"/>
  <c r="AT310" i="92"/>
  <c r="AT49" i="92"/>
  <c r="AI655" i="92"/>
  <c r="AT655" i="92"/>
  <c r="AP45" i="92"/>
  <c r="BA45" i="92"/>
  <c r="AI63" i="92"/>
  <c r="AT63" i="92"/>
  <c r="AH144" i="92"/>
  <c r="AS144" i="92"/>
  <c r="AT82" i="92"/>
  <c r="AI82" i="92"/>
  <c r="AS93" i="92"/>
  <c r="AH93" i="92"/>
  <c r="AF12" i="92"/>
  <c r="AQ12" i="92"/>
  <c r="AV37" i="92"/>
  <c r="AK37" i="92"/>
  <c r="AV163" i="92"/>
  <c r="AV19" i="92"/>
  <c r="AK19" i="92"/>
  <c r="AR252" i="92"/>
  <c r="AH349" i="92"/>
  <c r="AI217" i="92"/>
  <c r="AF349" i="92"/>
  <c r="AT60" i="92"/>
  <c r="BA91" i="92"/>
  <c r="AI8" i="92"/>
  <c r="AP631" i="92"/>
  <c r="AH174" i="92"/>
  <c r="AS174" i="92"/>
  <c r="AK194" i="92"/>
  <c r="AR337" i="92"/>
  <c r="AP59" i="92"/>
  <c r="BA59" i="92"/>
  <c r="AI7" i="92"/>
  <c r="AV62" i="92"/>
  <c r="AK62" i="92"/>
  <c r="AH19" i="92"/>
  <c r="AS19" i="92"/>
  <c r="BA31" i="92"/>
  <c r="AR38" i="92"/>
  <c r="AP33" i="92"/>
  <c r="BA33" i="92"/>
  <c r="BA80" i="92"/>
  <c r="AJ366" i="92"/>
  <c r="AU366" i="92"/>
  <c r="AK600" i="92"/>
  <c r="AV600" i="92"/>
  <c r="AT183" i="92"/>
  <c r="AI183" i="92"/>
  <c r="AI57" i="92"/>
  <c r="AT57" i="92"/>
  <c r="AI232" i="92"/>
  <c r="AT232" i="92"/>
  <c r="AJ91" i="92"/>
  <c r="AU91" i="92"/>
  <c r="AS302" i="92"/>
  <c r="AH302" i="92"/>
  <c r="AK346" i="92"/>
  <c r="AV346" i="92"/>
  <c r="AQ666" i="92"/>
  <c r="AK527" i="92"/>
  <c r="BA8" i="92"/>
  <c r="BA148" i="92"/>
  <c r="AQ9" i="92"/>
  <c r="AF9" i="92"/>
  <c r="AH459" i="92"/>
  <c r="AH32" i="92"/>
  <c r="AS32" i="92"/>
  <c r="AP567" i="92"/>
  <c r="BA58" i="92"/>
  <c r="AV364" i="92"/>
  <c r="AJ182" i="92"/>
  <c r="AJ351" i="92"/>
  <c r="AU351" i="92"/>
  <c r="AK369" i="92"/>
  <c r="BA720" i="92"/>
  <c r="AS247" i="92"/>
  <c r="AH247" i="92"/>
  <c r="AZ6" i="92"/>
  <c r="AP220" i="92"/>
  <c r="AT47" i="92"/>
  <c r="AS128" i="92"/>
  <c r="AH128" i="92"/>
  <c r="BA448" i="92"/>
  <c r="BA150" i="92"/>
  <c r="BA7" i="92"/>
  <c r="BA432" i="92"/>
  <c r="AI16" i="92"/>
  <c r="AT16" i="92"/>
  <c r="AU293" i="92"/>
  <c r="AJ293" i="92"/>
  <c r="AV300" i="92"/>
  <c r="AK135" i="92"/>
  <c r="AV135" i="92"/>
  <c r="AT118" i="92"/>
  <c r="AG19" i="92"/>
  <c r="AR19" i="92"/>
  <c r="AZ19" i="92"/>
  <c r="AO19" i="92"/>
  <c r="AK12" i="92"/>
  <c r="AV12" i="92"/>
  <c r="AI5" i="92"/>
  <c r="AK36" i="92"/>
  <c r="AR60" i="92"/>
  <c r="AQ262" i="92"/>
  <c r="AT33" i="92"/>
  <c r="AI33" i="92"/>
  <c r="BA269" i="92"/>
  <c r="AR276" i="92"/>
  <c r="AT184" i="92"/>
  <c r="AF517" i="92"/>
  <c r="AF38" i="92"/>
  <c r="AR12" i="92"/>
  <c r="AG12" i="92"/>
  <c r="BA56" i="92"/>
  <c r="AT205" i="92"/>
  <c r="AR373" i="92"/>
  <c r="AT149" i="92"/>
  <c r="AI149" i="92"/>
  <c r="AP612" i="92"/>
  <c r="AP160" i="92"/>
  <c r="AH127" i="92"/>
  <c r="AS127" i="92"/>
  <c r="AK237" i="92"/>
  <c r="AV237" i="92"/>
  <c r="AP356" i="92"/>
  <c r="AK205" i="92"/>
  <c r="AJ122" i="92"/>
  <c r="AK126" i="92"/>
  <c r="AV126" i="92"/>
  <c r="AU6" i="92"/>
  <c r="AJ6" i="92"/>
  <c r="AV376" i="92"/>
  <c r="AK376" i="92"/>
  <c r="AJ32" i="92"/>
  <c r="AU32" i="92"/>
  <c r="AT359" i="92"/>
  <c r="AI359" i="92"/>
  <c r="AH111" i="92"/>
  <c r="AS111" i="92"/>
  <c r="AR610" i="92"/>
  <c r="AT62" i="92"/>
  <c r="AS44" i="92"/>
  <c r="AH24" i="92"/>
  <c r="AS24" i="92"/>
  <c r="AG76" i="92"/>
  <c r="AJ496" i="92"/>
  <c r="AI741" i="92"/>
  <c r="AH380" i="92"/>
  <c r="AS380" i="92"/>
  <c r="AT228" i="92"/>
  <c r="AV325" i="92"/>
  <c r="AJ110" i="92"/>
  <c r="AU110" i="92"/>
  <c r="AJ325" i="92"/>
  <c r="AF128" i="92"/>
  <c r="AI113" i="92"/>
  <c r="AP404" i="92"/>
  <c r="AJ8" i="92"/>
  <c r="AU8" i="92"/>
  <c r="AV129" i="92"/>
  <c r="AI331" i="92"/>
  <c r="AF254" i="92"/>
  <c r="AG228" i="92"/>
  <c r="AH325" i="92"/>
  <c r="AH9" i="92"/>
  <c r="AS9" i="92"/>
  <c r="BA72" i="92"/>
  <c r="BA596" i="92"/>
  <c r="AP82" i="92"/>
  <c r="BA82" i="92"/>
  <c r="AU348" i="92"/>
  <c r="AV86" i="92"/>
  <c r="AV374" i="92"/>
  <c r="AU262" i="92"/>
  <c r="AJ262" i="92"/>
  <c r="AV100" i="92"/>
  <c r="AK139" i="92"/>
  <c r="AP599" i="92"/>
  <c r="BA599" i="92"/>
  <c r="AG65" i="92"/>
  <c r="AP102" i="92"/>
  <c r="AS190" i="92"/>
  <c r="AH190" i="92"/>
  <c r="AQ143" i="92"/>
  <c r="AQ358" i="92"/>
  <c r="AJ77" i="92"/>
  <c r="AU77" i="92"/>
  <c r="AT23" i="92"/>
  <c r="AI23" i="92"/>
  <c r="AF327" i="92"/>
  <c r="AJ9" i="92"/>
  <c r="AU9" i="92"/>
  <c r="BA217" i="92"/>
  <c r="BA752" i="92" l="1"/>
  <c r="AP444" i="92"/>
  <c r="BA71" i="92"/>
  <c r="AS29" i="92"/>
  <c r="AI13" i="92"/>
  <c r="AH39" i="92"/>
  <c r="AQ350" i="92"/>
  <c r="AQ671" i="92"/>
  <c r="AP561" i="92"/>
  <c r="AQ158" i="92"/>
  <c r="AG221" i="92"/>
  <c r="AK158" i="92"/>
  <c r="AT272" i="92"/>
  <c r="AJ164" i="92"/>
  <c r="BA627" i="92"/>
  <c r="AR318" i="92"/>
  <c r="AF719" i="92"/>
  <c r="AU364" i="92"/>
  <c r="AP214" i="92"/>
  <c r="AS84" i="92"/>
  <c r="AR14" i="92"/>
  <c r="AQ319" i="92"/>
  <c r="AP658" i="92"/>
  <c r="AV221" i="92"/>
  <c r="BA603" i="92"/>
  <c r="BA162" i="92"/>
  <c r="AJ480" i="92"/>
  <c r="AI300" i="92"/>
  <c r="AP246" i="92"/>
  <c r="AV180" i="92"/>
  <c r="AQ118" i="92"/>
  <c r="AJ319" i="92"/>
  <c r="AU264" i="92"/>
  <c r="BA89" i="92"/>
  <c r="AQ278" i="92"/>
  <c r="AI403" i="92"/>
  <c r="AJ230" i="92"/>
  <c r="AP174" i="92"/>
  <c r="AG74" i="92"/>
  <c r="AV452" i="92"/>
  <c r="AP546" i="92"/>
  <c r="AP565" i="92"/>
  <c r="AK381" i="92"/>
  <c r="AR89" i="92"/>
  <c r="AU242" i="92"/>
  <c r="BA253" i="92"/>
  <c r="AG565" i="92"/>
  <c r="BA478" i="92"/>
  <c r="AP679" i="92"/>
  <c r="AH701" i="92"/>
  <c r="AJ310" i="92"/>
  <c r="AH748" i="92"/>
  <c r="AM8" i="92"/>
  <c r="AL14" i="92"/>
  <c r="AK285" i="92"/>
  <c r="AV29" i="92"/>
  <c r="AK176" i="92"/>
  <c r="AV238" i="92"/>
  <c r="BA216" i="92"/>
  <c r="BA443" i="92"/>
  <c r="AP38" i="92"/>
  <c r="AK9" i="92"/>
  <c r="BA95" i="92"/>
  <c r="BA626" i="92"/>
  <c r="AP460" i="92"/>
  <c r="AP650" i="92"/>
  <c r="AK253" i="92"/>
  <c r="AK118" i="92"/>
  <c r="AP103" i="92"/>
  <c r="AV472" i="92"/>
  <c r="AP619" i="92"/>
  <c r="AP339" i="92"/>
  <c r="AK728" i="92"/>
  <c r="AP749" i="92"/>
  <c r="AK121" i="92"/>
  <c r="AV198" i="92"/>
  <c r="AV48" i="92"/>
  <c r="AU132" i="92"/>
  <c r="AP73" i="92"/>
  <c r="AI21" i="92"/>
  <c r="AJ27" i="92"/>
  <c r="AK6" i="92"/>
  <c r="AT76" i="92"/>
  <c r="AJ21" i="92"/>
  <c r="AU63" i="92"/>
  <c r="AR29" i="92"/>
  <c r="AW19" i="92"/>
  <c r="AJ5" i="92"/>
  <c r="AI30" i="92"/>
  <c r="AM42" i="92"/>
  <c r="AJ288" i="92"/>
  <c r="AI83" i="92"/>
  <c r="AH38" i="92"/>
  <c r="AF115" i="92"/>
  <c r="AF44" i="92"/>
  <c r="AQ215" i="92"/>
  <c r="AQ656" i="92"/>
  <c r="AQ423" i="92"/>
  <c r="AF318" i="92"/>
  <c r="AF246" i="92"/>
  <c r="AQ356" i="92"/>
  <c r="AF29" i="92"/>
  <c r="AF232" i="92"/>
  <c r="AU12" i="92"/>
  <c r="AU54" i="92"/>
  <c r="AJ191" i="92"/>
  <c r="AT598" i="92"/>
  <c r="AJ553" i="92"/>
  <c r="AK8" i="92"/>
  <c r="AV46" i="92"/>
  <c r="AH16" i="92"/>
  <c r="AZ18" i="92"/>
  <c r="BA25" i="92"/>
  <c r="AK261" i="92"/>
  <c r="AJ305" i="92"/>
  <c r="AI512" i="92"/>
  <c r="AI29" i="92"/>
  <c r="AU66" i="92"/>
  <c r="AK681" i="92"/>
  <c r="AS87" i="92"/>
  <c r="AS133" i="92"/>
  <c r="AH293" i="92"/>
  <c r="AS86" i="92"/>
  <c r="AS536" i="92"/>
  <c r="AF17" i="92"/>
  <c r="AQ6" i="92"/>
  <c r="AQ332" i="92"/>
  <c r="AF284" i="92"/>
  <c r="AF277" i="92"/>
  <c r="AQ304" i="92"/>
  <c r="AQ98" i="92"/>
  <c r="AF150" i="92"/>
  <c r="AQ245" i="92"/>
  <c r="AJ20" i="92"/>
  <c r="AV63" i="92"/>
  <c r="AS182" i="92"/>
  <c r="AT81" i="92"/>
  <c r="AS360" i="92"/>
  <c r="AQ409" i="92"/>
  <c r="AS315" i="92"/>
  <c r="AU461" i="92"/>
  <c r="AH586" i="92"/>
  <c r="AF420" i="92"/>
  <c r="AF730" i="92"/>
  <c r="AK42" i="92"/>
  <c r="AO462" i="92"/>
  <c r="AJ15" i="92"/>
  <c r="AV52" i="92"/>
  <c r="AV59" i="92"/>
  <c r="AU715" i="92"/>
  <c r="AS297" i="92"/>
  <c r="AJ360" i="92"/>
  <c r="AJ216" i="92"/>
  <c r="AS281" i="92"/>
  <c r="AK359" i="92"/>
  <c r="AJ174" i="92"/>
  <c r="AT380" i="92"/>
  <c r="AT148" i="92"/>
  <c r="AI695" i="92"/>
  <c r="AU409" i="92"/>
  <c r="BA479" i="92"/>
  <c r="AV55" i="92"/>
  <c r="AO5" i="92"/>
  <c r="AT32" i="92"/>
  <c r="AJ85" i="92"/>
  <c r="AI73" i="92"/>
  <c r="AV22" i="92"/>
  <c r="AT696" i="92"/>
  <c r="AJ34" i="92"/>
  <c r="BA653" i="92"/>
  <c r="AJ243" i="92"/>
  <c r="AK567" i="92"/>
  <c r="AV18" i="92"/>
  <c r="AJ100" i="92"/>
  <c r="AP121" i="92"/>
  <c r="AV72" i="92"/>
  <c r="AJ374" i="92"/>
  <c r="BA74" i="92"/>
  <c r="AJ37" i="92"/>
  <c r="AQ417" i="92"/>
  <c r="AF31" i="92"/>
  <c r="AQ167" i="92"/>
  <c r="AF66" i="92"/>
  <c r="AQ688" i="92"/>
  <c r="AQ85" i="92"/>
  <c r="AQ30" i="92"/>
  <c r="AF26" i="92"/>
  <c r="AV137" i="92"/>
  <c r="AI353" i="92"/>
  <c r="AU167" i="92"/>
  <c r="AS147" i="92"/>
  <c r="AP61" i="92"/>
  <c r="AT276" i="92"/>
  <c r="AU58" i="92"/>
  <c r="AU42" i="92"/>
  <c r="BA518" i="92"/>
  <c r="AH170" i="92"/>
  <c r="AK318" i="92"/>
  <c r="AZ7" i="92"/>
  <c r="AH40" i="92"/>
  <c r="AQ328" i="92"/>
  <c r="AS73" i="92"/>
  <c r="AM16" i="92"/>
  <c r="AT642" i="92"/>
  <c r="AH352" i="92"/>
  <c r="AT11" i="92"/>
  <c r="AJ683" i="92"/>
  <c r="AK27" i="92"/>
  <c r="AJ395" i="92"/>
  <c r="AV201" i="92"/>
  <c r="AV50" i="92"/>
  <c r="AK328" i="92"/>
  <c r="AS328" i="92"/>
  <c r="AQ281" i="92"/>
  <c r="AI176" i="92"/>
  <c r="AJ208" i="92"/>
  <c r="AI87" i="92"/>
  <c r="AK554" i="92"/>
  <c r="AH227" i="92"/>
  <c r="AQ209" i="92"/>
  <c r="AU56" i="92"/>
  <c r="AK73" i="92"/>
  <c r="AS471" i="92"/>
  <c r="AZ10" i="92"/>
  <c r="AG55" i="92"/>
  <c r="AF78" i="92"/>
  <c r="AK309" i="92"/>
  <c r="AK4" i="92"/>
  <c r="AF102" i="92"/>
  <c r="AT85" i="92"/>
  <c r="AV76" i="92"/>
  <c r="AH503" i="92"/>
  <c r="AI754" i="92"/>
  <c r="AV192" i="92"/>
  <c r="AI55" i="92"/>
  <c r="AI198" i="92"/>
  <c r="AU459" i="92"/>
  <c r="AU126" i="92"/>
  <c r="AP26" i="92"/>
  <c r="AZ11" i="92"/>
  <c r="AR40" i="92"/>
  <c r="AU292" i="92"/>
  <c r="AI392" i="92"/>
  <c r="AK57" i="92"/>
  <c r="BA185" i="92"/>
  <c r="AT10" i="92"/>
  <c r="BA223" i="92"/>
  <c r="AU22" i="92"/>
  <c r="AU138" i="92"/>
  <c r="AT487" i="92"/>
  <c r="AV191" i="92"/>
  <c r="AU59" i="92"/>
  <c r="AH627" i="92"/>
  <c r="AV104" i="92"/>
  <c r="AI565" i="92"/>
  <c r="AT275" i="92"/>
  <c r="AU175" i="92"/>
  <c r="AT102" i="92"/>
  <c r="AV542" i="92"/>
  <c r="AQ230" i="92"/>
  <c r="AI6" i="92"/>
  <c r="AH158" i="92"/>
  <c r="AI352" i="92"/>
  <c r="AT367" i="92"/>
  <c r="AV70" i="92"/>
  <c r="AU18" i="92"/>
  <c r="AJ568" i="92"/>
  <c r="AQ144" i="92"/>
  <c r="AS199" i="92"/>
  <c r="AI17" i="92"/>
  <c r="AP445" i="92"/>
  <c r="AV616" i="92"/>
  <c r="AT51" i="92"/>
  <c r="AS211" i="92"/>
  <c r="AH41" i="92"/>
  <c r="AT9" i="92"/>
  <c r="AT41" i="92"/>
  <c r="AX6" i="92"/>
  <c r="AJ340" i="92"/>
  <c r="AH316" i="92"/>
  <c r="AJ709" i="92"/>
  <c r="AS738" i="92"/>
  <c r="AV619" i="92"/>
  <c r="AI729" i="92"/>
  <c r="AU278" i="92"/>
  <c r="AJ143" i="92"/>
  <c r="AF73" i="92"/>
  <c r="AV90" i="92"/>
  <c r="AS729" i="92"/>
  <c r="AQ126" i="92"/>
  <c r="AF554" i="92"/>
  <c r="AS49" i="92"/>
  <c r="AF202" i="92"/>
  <c r="BA457" i="92"/>
  <c r="AL11" i="27"/>
  <c r="AR91" i="92"/>
  <c r="AG139" i="92"/>
  <c r="AG20" i="92"/>
  <c r="AR312" i="92"/>
  <c r="AR152" i="92"/>
  <c r="AR11" i="92"/>
  <c r="AF744" i="92"/>
  <c r="AQ175" i="92"/>
  <c r="AF18" i="92"/>
  <c r="AQ222" i="92"/>
  <c r="AF67" i="92"/>
  <c r="AF22" i="92"/>
  <c r="AQ7" i="92"/>
  <c r="AI384" i="92"/>
  <c r="AK683" i="92"/>
  <c r="AI137" i="92"/>
  <c r="AF297" i="92"/>
  <c r="AF314" i="92"/>
  <c r="AF353" i="92"/>
  <c r="AJ95" i="92"/>
  <c r="AH734" i="92"/>
  <c r="AS117" i="92"/>
  <c r="AJ140" i="92"/>
  <c r="AH267" i="92"/>
  <c r="AK327" i="92"/>
  <c r="AP359" i="92"/>
  <c r="AF114" i="92"/>
  <c r="AU355" i="92"/>
  <c r="AS179" i="92"/>
  <c r="AQ113" i="92"/>
  <c r="AF107" i="92"/>
  <c r="AJ249" i="92"/>
  <c r="AT156" i="92"/>
  <c r="AT258" i="92"/>
  <c r="AV162" i="92"/>
  <c r="AV485" i="92"/>
  <c r="AH329" i="92"/>
  <c r="AQ99" i="92"/>
  <c r="AR120" i="92"/>
  <c r="AP418" i="92"/>
  <c r="AR363" i="92"/>
  <c r="AP517" i="92"/>
  <c r="AJ303" i="92"/>
  <c r="AU479" i="92"/>
  <c r="AU280" i="92"/>
  <c r="AH373" i="92"/>
  <c r="AT748" i="92"/>
  <c r="AP717" i="92"/>
  <c r="AU171" i="92"/>
  <c r="AS137" i="92"/>
  <c r="BA424" i="92"/>
  <c r="AU338" i="92"/>
  <c r="AV287" i="92"/>
  <c r="AJ190" i="92"/>
  <c r="AQ433" i="92"/>
  <c r="AV91" i="92"/>
  <c r="AK342" i="92"/>
  <c r="AQ192" i="92"/>
  <c r="AT721" i="92"/>
  <c r="AQ166" i="92"/>
  <c r="BA104" i="92"/>
  <c r="BA481" i="92"/>
  <c r="AP189" i="92"/>
  <c r="AI330" i="92"/>
  <c r="AP705" i="92"/>
  <c r="AQ693" i="92"/>
  <c r="AV43" i="92"/>
  <c r="AH295" i="92"/>
  <c r="AT250" i="92"/>
  <c r="AV148" i="92"/>
  <c r="AK146" i="92"/>
  <c r="AS77" i="92"/>
  <c r="AK7" i="92"/>
  <c r="AK297" i="92"/>
  <c r="AT442" i="92"/>
  <c r="AU749" i="92"/>
  <c r="AT351" i="92"/>
  <c r="AR336" i="92"/>
  <c r="AH346" i="92"/>
  <c r="AW20" i="92"/>
  <c r="AF218" i="92"/>
  <c r="AV270" i="92"/>
  <c r="AI369" i="92"/>
  <c r="AS661" i="92"/>
  <c r="AQ89" i="92"/>
  <c r="AJ559" i="92"/>
  <c r="AF5" i="92"/>
  <c r="AS216" i="92"/>
  <c r="AO9" i="92"/>
  <c r="AO15" i="92"/>
  <c r="AW15" i="92"/>
  <c r="AH54" i="92"/>
  <c r="AP32" i="92"/>
  <c r="AG71" i="92"/>
  <c r="AK338" i="92"/>
  <c r="AV140" i="92"/>
  <c r="AS251" i="92"/>
  <c r="AZ251" i="92"/>
  <c r="AL524" i="27"/>
  <c r="AT495" i="92"/>
  <c r="AU562" i="92"/>
  <c r="AJ585" i="92"/>
  <c r="AU57" i="92"/>
  <c r="AK670" i="92"/>
  <c r="AQ676" i="92"/>
  <c r="AZ147" i="92"/>
  <c r="AH603" i="92"/>
  <c r="AV555" i="92"/>
  <c r="AK624" i="92"/>
  <c r="AO22" i="92"/>
  <c r="AT503" i="92"/>
  <c r="AS418" i="92"/>
  <c r="AJ457" i="92"/>
  <c r="AQ52" i="92"/>
  <c r="AV655" i="92"/>
  <c r="AK532" i="92"/>
  <c r="AS321" i="92"/>
  <c r="AH570" i="92"/>
  <c r="AK486" i="92"/>
  <c r="AR51" i="92"/>
  <c r="AI599" i="92"/>
  <c r="AQ574" i="92"/>
  <c r="AG170" i="92"/>
  <c r="AK210" i="92"/>
  <c r="AI593" i="92"/>
  <c r="AG530" i="92"/>
  <c r="AI657" i="92"/>
  <c r="AH751" i="92"/>
  <c r="AI590" i="92"/>
  <c r="AK733" i="92"/>
  <c r="AV93" i="92"/>
  <c r="AH178" i="92"/>
  <c r="AS210" i="92"/>
  <c r="AH727" i="92"/>
  <c r="AR241" i="92"/>
  <c r="AK248" i="92"/>
  <c r="BA468" i="92"/>
  <c r="AT322" i="92"/>
  <c r="AJ266" i="92"/>
  <c r="AT490" i="92"/>
  <c r="AU289" i="92"/>
  <c r="AT114" i="92"/>
  <c r="AT621" i="92"/>
  <c r="AT187" i="92"/>
  <c r="AS282" i="92"/>
  <c r="AK310" i="92"/>
  <c r="AU399" i="92"/>
  <c r="AS409" i="92"/>
  <c r="AJ442" i="92"/>
  <c r="AJ253" i="92"/>
  <c r="AV549" i="92"/>
  <c r="AV649" i="92"/>
  <c r="AV116" i="92"/>
  <c r="AQ354" i="92"/>
  <c r="AT190" i="92"/>
  <c r="AK258" i="92"/>
  <c r="AJ96" i="92"/>
  <c r="AU593" i="92"/>
  <c r="AI163" i="92"/>
  <c r="AS541" i="92"/>
  <c r="AT622" i="92"/>
  <c r="AS221" i="92"/>
  <c r="AH311" i="92"/>
  <c r="AK727" i="92"/>
  <c r="AQ8" i="92"/>
  <c r="AF248" i="92"/>
  <c r="AQ179" i="92"/>
  <c r="AQ64" i="92"/>
  <c r="AT20" i="92"/>
  <c r="AH10" i="92"/>
  <c r="AJ35" i="92"/>
  <c r="AI22" i="92"/>
  <c r="AJ75" i="92"/>
  <c r="AG348" i="92"/>
  <c r="BA344" i="92"/>
  <c r="AQ24" i="92"/>
  <c r="AV99" i="92"/>
  <c r="BA44" i="92"/>
  <c r="AH67" i="92"/>
  <c r="AU453" i="92"/>
  <c r="AQ80" i="92"/>
  <c r="AJ4" i="92"/>
  <c r="AU26" i="92"/>
  <c r="AX11" i="92"/>
  <c r="AQ49" i="92"/>
  <c r="AK81" i="92"/>
  <c r="AH4" i="92"/>
  <c r="AT79" i="92"/>
  <c r="AI381" i="92"/>
  <c r="AI72" i="92"/>
  <c r="BA691" i="92"/>
  <c r="AZ8" i="92"/>
  <c r="AS71" i="92"/>
  <c r="BA22" i="92"/>
  <c r="AG140" i="92"/>
  <c r="AS58" i="92"/>
  <c r="AS317" i="92"/>
  <c r="AO20" i="92"/>
  <c r="AG35" i="92"/>
  <c r="AS56" i="92"/>
  <c r="AR58" i="92"/>
  <c r="AI26" i="92"/>
  <c r="AI59" i="92"/>
  <c r="AM10" i="92"/>
  <c r="BA53" i="92"/>
  <c r="BA83" i="92"/>
  <c r="AO432" i="92"/>
  <c r="AH487" i="92"/>
  <c r="AH207" i="92"/>
  <c r="AR83" i="92"/>
  <c r="AT209" i="92"/>
  <c r="AH61" i="92"/>
  <c r="AS200" i="92"/>
  <c r="AT199" i="92"/>
  <c r="AT75" i="92"/>
  <c r="AI237" i="92"/>
  <c r="AI581" i="92"/>
  <c r="AT66" i="92"/>
  <c r="AV183" i="92"/>
  <c r="AK440" i="92"/>
  <c r="AH102" i="92"/>
  <c r="AK473" i="92"/>
  <c r="AK506" i="92"/>
  <c r="AQ553" i="92"/>
  <c r="AJ636" i="92"/>
  <c r="BA533" i="92"/>
  <c r="AV455" i="92"/>
  <c r="AS427" i="92"/>
  <c r="AS369" i="92"/>
  <c r="AV446" i="92"/>
  <c r="AV44" i="92"/>
  <c r="AU370" i="92"/>
  <c r="AU88" i="92"/>
  <c r="AT562" i="92"/>
  <c r="AR498" i="92"/>
  <c r="AS480" i="92"/>
  <c r="AQ723" i="92"/>
  <c r="AJ203" i="92"/>
  <c r="AK282" i="92"/>
  <c r="AS361" i="92"/>
  <c r="AV641" i="92"/>
  <c r="AL47" i="27"/>
  <c r="AS467" i="92"/>
  <c r="AI375" i="92"/>
  <c r="AT457" i="92"/>
  <c r="AV388" i="92"/>
  <c r="AU513" i="92"/>
  <c r="AG632" i="92"/>
  <c r="AT577" i="92"/>
  <c r="AS379" i="92"/>
  <c r="AI297" i="92"/>
  <c r="AH274" i="92"/>
  <c r="AF641" i="92"/>
  <c r="AU437" i="92"/>
  <c r="AU662" i="92"/>
  <c r="AK389" i="92"/>
  <c r="AJ712" i="92"/>
  <c r="AJ597" i="92"/>
  <c r="AT479" i="92"/>
  <c r="AU105" i="92"/>
  <c r="AU607" i="92"/>
  <c r="AQ385" i="92"/>
  <c r="AS485" i="92"/>
  <c r="AQ120" i="92"/>
  <c r="AF511" i="92"/>
  <c r="AT122" i="92"/>
  <c r="AZ39" i="92"/>
  <c r="AK115" i="92"/>
  <c r="AT502" i="92"/>
  <c r="AH571" i="92"/>
  <c r="AO36" i="92"/>
  <c r="AU297" i="92"/>
  <c r="AS100" i="92"/>
  <c r="AT633" i="92"/>
  <c r="AT160" i="92"/>
  <c r="AI355" i="92"/>
  <c r="AK265" i="92"/>
  <c r="AJ314" i="92"/>
  <c r="AT483" i="92"/>
  <c r="AG361" i="92"/>
  <c r="AK110" i="92"/>
  <c r="AI177" i="92"/>
  <c r="AR423" i="92"/>
  <c r="AU152" i="92"/>
  <c r="AU49" i="92"/>
  <c r="AT38" i="92"/>
  <c r="AL7" i="92"/>
  <c r="AK23" i="92"/>
  <c r="AI247" i="92"/>
  <c r="AI35" i="92"/>
  <c r="AV40" i="92"/>
  <c r="BA39" i="92"/>
  <c r="AQ14" i="92"/>
  <c r="AY17" i="92"/>
  <c r="AH30" i="92"/>
  <c r="AQ72" i="92"/>
  <c r="AJ505" i="92"/>
  <c r="AF526" i="92"/>
  <c r="AH749" i="92"/>
  <c r="AG463" i="92"/>
  <c r="AF125" i="92"/>
  <c r="AQ275" i="92"/>
  <c r="AI685" i="92"/>
  <c r="AH577" i="92"/>
  <c r="BA250" i="92"/>
  <c r="AO179" i="92"/>
  <c r="AQ612" i="92"/>
  <c r="AV746" i="92"/>
  <c r="AL144" i="27"/>
  <c r="AL222" i="27"/>
  <c r="AL274" i="27"/>
  <c r="AL561" i="27"/>
  <c r="AL99" i="27"/>
  <c r="AL20" i="27"/>
  <c r="AL8" i="27"/>
  <c r="AL85" i="27"/>
  <c r="AL345" i="27"/>
  <c r="AL240" i="27"/>
  <c r="AL515" i="27"/>
  <c r="AL166" i="27"/>
  <c r="AL301" i="27"/>
  <c r="AL205" i="27"/>
  <c r="AL544" i="27"/>
  <c r="AL497" i="27"/>
  <c r="AK222" i="92"/>
  <c r="AJ25" i="92"/>
  <c r="AV13" i="92"/>
  <c r="AF183" i="92"/>
  <c r="AQ32" i="92"/>
  <c r="AT50" i="92"/>
  <c r="AU178" i="92"/>
  <c r="AJ704" i="92"/>
  <c r="AS215" i="92"/>
  <c r="AK78" i="92"/>
  <c r="AI12" i="92"/>
  <c r="BA90" i="92"/>
  <c r="AG242" i="92"/>
  <c r="AS27" i="92"/>
  <c r="AG259" i="92"/>
  <c r="AG709" i="92"/>
  <c r="AH518" i="92"/>
  <c r="AV597" i="92"/>
  <c r="AV247" i="92"/>
  <c r="AP15" i="92"/>
  <c r="AP466" i="92"/>
  <c r="AF45" i="92"/>
  <c r="AI285" i="92"/>
  <c r="AU639" i="92"/>
  <c r="AV39" i="92"/>
  <c r="AT31" i="92"/>
  <c r="BA63" i="92"/>
  <c r="AH582" i="92"/>
  <c r="AQ35" i="92"/>
  <c r="AP55" i="92"/>
  <c r="AR4" i="92"/>
  <c r="AJ52" i="92"/>
  <c r="AG49" i="92"/>
  <c r="BA78" i="92"/>
  <c r="AR293" i="92"/>
  <c r="AG293" i="92"/>
  <c r="AG309" i="92"/>
  <c r="AR309" i="92"/>
  <c r="AJ193" i="92"/>
  <c r="AU193" i="92"/>
  <c r="BA13" i="92"/>
  <c r="AP13" i="92"/>
  <c r="AY10" i="92"/>
  <c r="AX15" i="92"/>
  <c r="AK216" i="92"/>
  <c r="AV15" i="92"/>
  <c r="AN9" i="92"/>
  <c r="AH557" i="92"/>
  <c r="AT164" i="92"/>
  <c r="AV387" i="92"/>
  <c r="AJ560" i="92"/>
  <c r="AI319" i="92"/>
  <c r="AS79" i="92"/>
  <c r="AP685" i="92"/>
  <c r="AJ608" i="92"/>
  <c r="AV223" i="92"/>
  <c r="AS452" i="92"/>
  <c r="AH505" i="92"/>
  <c r="AK189" i="92"/>
  <c r="AT501" i="92"/>
  <c r="AK33" i="92"/>
  <c r="BA132" i="92"/>
  <c r="AJ445" i="92"/>
  <c r="AU445" i="92"/>
  <c r="AS723" i="92"/>
  <c r="AH723" i="92"/>
  <c r="AK470" i="92"/>
  <c r="AV470" i="92"/>
  <c r="AI443" i="92"/>
  <c r="AT443" i="92"/>
  <c r="AS693" i="92"/>
  <c r="AH693" i="92"/>
  <c r="AV208" i="92"/>
  <c r="AK208" i="92"/>
  <c r="AG415" i="92"/>
  <c r="AR415" i="92"/>
  <c r="AR131" i="92"/>
  <c r="AG131" i="92"/>
  <c r="AK320" i="92"/>
  <c r="AF20" i="92"/>
  <c r="AO16" i="92"/>
  <c r="AH757" i="92"/>
  <c r="AS757" i="92"/>
  <c r="AT517" i="92"/>
  <c r="AI517" i="92"/>
  <c r="AU501" i="92"/>
  <c r="AJ501" i="92"/>
  <c r="AS528" i="92"/>
  <c r="AH528" i="92"/>
  <c r="AT636" i="92"/>
  <c r="AI636" i="92"/>
  <c r="AF171" i="92"/>
  <c r="AQ171" i="92"/>
  <c r="AS579" i="92"/>
  <c r="AH579" i="92"/>
  <c r="AR737" i="92"/>
  <c r="AG737" i="92"/>
  <c r="AR117" i="92"/>
  <c r="AG117" i="92"/>
  <c r="AS644" i="92"/>
  <c r="AF663" i="92"/>
  <c r="AF76" i="92"/>
  <c r="AR39" i="92"/>
  <c r="AS617" i="92"/>
  <c r="AI157" i="92"/>
  <c r="AI444" i="92"/>
  <c r="AR13" i="92"/>
  <c r="AH659" i="92"/>
  <c r="AV739" i="92"/>
  <c r="AT141" i="92"/>
  <c r="AI4" i="92"/>
  <c r="AR18" i="92"/>
  <c r="AQ42" i="92"/>
  <c r="AS731" i="92"/>
  <c r="AU596" i="92"/>
  <c r="AH8" i="92"/>
  <c r="AS8" i="92"/>
  <c r="AK113" i="92"/>
  <c r="AJ23" i="92"/>
  <c r="AV648" i="92"/>
  <c r="AF638" i="92"/>
  <c r="AQ638" i="92"/>
  <c r="AT688" i="92"/>
  <c r="AI688" i="92"/>
  <c r="AK488" i="92"/>
  <c r="AV488" i="92"/>
  <c r="AV609" i="92"/>
  <c r="AK609" i="92"/>
  <c r="AH539" i="92"/>
  <c r="AS539" i="92"/>
  <c r="AT507" i="92"/>
  <c r="AI507" i="92"/>
  <c r="AX33" i="92"/>
  <c r="AM33" i="92"/>
  <c r="AV498" i="92"/>
  <c r="AK498" i="92"/>
  <c r="AV459" i="92"/>
  <c r="AK459" i="92"/>
  <c r="AU600" i="92"/>
  <c r="AJ600" i="92"/>
  <c r="AU623" i="92"/>
  <c r="AJ623" i="92"/>
  <c r="AV393" i="92"/>
  <c r="AK393" i="92"/>
  <c r="AV226" i="92"/>
  <c r="AK226" i="92"/>
  <c r="AS631" i="92"/>
  <c r="AH631" i="92"/>
  <c r="AJ577" i="92"/>
  <c r="AU577" i="92"/>
  <c r="AJ168" i="92"/>
  <c r="AU168" i="92"/>
  <c r="AI493" i="92"/>
  <c r="AH717" i="92"/>
  <c r="AS730" i="92"/>
  <c r="AJ412" i="92"/>
  <c r="AQ441" i="92"/>
  <c r="AT350" i="92"/>
  <c r="AH423" i="92"/>
  <c r="AQ412" i="92"/>
  <c r="AS673" i="92"/>
  <c r="AK576" i="92"/>
  <c r="AT296" i="92"/>
  <c r="AF528" i="92"/>
  <c r="AS35" i="92"/>
  <c r="AP547" i="92"/>
  <c r="AP308" i="92"/>
  <c r="AT374" i="92"/>
  <c r="BA693" i="92"/>
  <c r="AP505" i="92"/>
  <c r="AV143" i="92"/>
  <c r="AI563" i="92"/>
  <c r="AT394" i="92"/>
  <c r="AH548" i="92"/>
  <c r="AS408" i="92"/>
  <c r="AH255" i="92"/>
  <c r="AS47" i="92"/>
  <c r="AS258" i="92"/>
  <c r="AS80" i="92"/>
  <c r="AS64" i="92"/>
  <c r="AH269" i="92"/>
  <c r="AS589" i="92"/>
  <c r="AH28" i="92"/>
  <c r="AS278" i="92"/>
  <c r="AS296" i="92"/>
  <c r="AH20" i="92"/>
  <c r="AH76" i="92"/>
  <c r="AS26" i="92"/>
  <c r="AH45" i="92"/>
  <c r="AH15" i="92"/>
  <c r="AS25" i="92"/>
  <c r="AH57" i="92"/>
  <c r="AH68" i="92"/>
  <c r="AH14" i="92"/>
  <c r="AS31" i="92"/>
  <c r="AS36" i="92"/>
  <c r="AH400" i="92"/>
  <c r="AH666" i="92"/>
  <c r="AS303" i="92"/>
  <c r="AH135" i="92"/>
  <c r="AS377" i="92"/>
  <c r="AH598" i="92"/>
  <c r="AU754" i="92"/>
  <c r="AH507" i="92"/>
  <c r="AK128" i="92"/>
  <c r="AV361" i="92"/>
  <c r="AV20" i="92"/>
  <c r="AG286" i="92"/>
  <c r="AT36" i="92"/>
  <c r="AJ16" i="92"/>
  <c r="AP52" i="92"/>
  <c r="AG22" i="92"/>
  <c r="AY13" i="92"/>
  <c r="AU727" i="92"/>
  <c r="AJ74" i="92"/>
  <c r="AT71" i="92"/>
  <c r="AH245" i="92"/>
  <c r="AK442" i="92"/>
  <c r="AG150" i="92"/>
  <c r="AI42" i="92"/>
  <c r="AT40" i="92"/>
  <c r="AJ36" i="92"/>
  <c r="AY16" i="92"/>
  <c r="AH235" i="92"/>
  <c r="AK415" i="92"/>
  <c r="AQ41" i="92"/>
  <c r="AQ21" i="92"/>
  <c r="AG21" i="92"/>
  <c r="AT315" i="92"/>
  <c r="AJ92" i="92"/>
  <c r="AI25" i="92"/>
  <c r="AP157" i="92"/>
  <c r="BA566" i="92"/>
  <c r="AP62" i="92"/>
  <c r="BA659" i="92"/>
  <c r="AP16" i="92"/>
  <c r="BA48" i="92"/>
  <c r="AX17" i="92"/>
  <c r="BA348" i="92"/>
  <c r="AU241" i="92"/>
  <c r="AH168" i="92"/>
  <c r="BA19" i="92"/>
  <c r="AK5" i="92"/>
  <c r="BA35" i="92"/>
  <c r="BA601" i="92"/>
  <c r="AG25" i="92"/>
  <c r="AP60" i="92"/>
  <c r="AQ55" i="92"/>
  <c r="AU62" i="92"/>
  <c r="AT309" i="92"/>
  <c r="AS13" i="92"/>
  <c r="AP475" i="92"/>
  <c r="AP30" i="92"/>
  <c r="AS5" i="92"/>
  <c r="AH301" i="92"/>
  <c r="AP413" i="92"/>
  <c r="AU70" i="92"/>
  <c r="AP701" i="92"/>
  <c r="AV337" i="92"/>
  <c r="AU80" i="92"/>
  <c r="AK263" i="92"/>
  <c r="AT727" i="92"/>
  <c r="BA453" i="92"/>
  <c r="BA85" i="92"/>
  <c r="AT86" i="92"/>
  <c r="AP199" i="92"/>
  <c r="AJ273" i="92"/>
  <c r="BA309" i="92"/>
  <c r="AN11" i="92"/>
  <c r="AX4" i="92"/>
  <c r="AM9" i="92"/>
  <c r="AQ342" i="92"/>
  <c r="AK38" i="92"/>
  <c r="AK182" i="92"/>
  <c r="AR172" i="92"/>
  <c r="AT267" i="92"/>
  <c r="AH17" i="92"/>
  <c r="AV56" i="92"/>
  <c r="AT14" i="92"/>
  <c r="AF623" i="92"/>
  <c r="AQ623" i="92"/>
  <c r="AQ618" i="92"/>
  <c r="AF618" i="92"/>
  <c r="AJ760" i="92"/>
  <c r="AU760" i="92"/>
  <c r="AO512" i="92"/>
  <c r="AZ512" i="92"/>
  <c r="AI448" i="92"/>
  <c r="AT448" i="92"/>
  <c r="AI549" i="92"/>
  <c r="AT549" i="92"/>
  <c r="AQ743" i="92"/>
  <c r="AF743" i="92"/>
  <c r="AT547" i="92"/>
  <c r="AI547" i="92"/>
  <c r="AK620" i="92"/>
  <c r="AV620" i="92"/>
  <c r="AU197" i="92"/>
  <c r="AJ197" i="92"/>
  <c r="AQ610" i="92"/>
  <c r="AF610" i="92"/>
  <c r="AR741" i="92"/>
  <c r="AG741" i="92"/>
  <c r="AH724" i="92"/>
  <c r="AS724" i="92"/>
  <c r="AW32" i="92"/>
  <c r="AL32" i="92"/>
  <c r="AS573" i="92"/>
  <c r="AH573" i="92"/>
  <c r="AW34" i="92"/>
  <c r="AL34" i="92"/>
  <c r="AJ108" i="92"/>
  <c r="AU108" i="92"/>
  <c r="AJ343" i="92"/>
  <c r="AU343" i="92"/>
  <c r="AT287" i="92"/>
  <c r="AI287" i="92"/>
  <c r="AU287" i="92"/>
  <c r="AJ287" i="92"/>
  <c r="AS657" i="92"/>
  <c r="AH657" i="92"/>
  <c r="AK366" i="92"/>
  <c r="AV366" i="92"/>
  <c r="AS534" i="92"/>
  <c r="AH534" i="92"/>
  <c r="AF326" i="92"/>
  <c r="AQ326" i="92"/>
  <c r="AJ172" i="92"/>
  <c r="AU172" i="92"/>
  <c r="AQ520" i="92"/>
  <c r="AF520" i="92"/>
  <c r="AV355" i="92"/>
  <c r="AK355" i="92"/>
  <c r="AQ727" i="92"/>
  <c r="AF727" i="92"/>
  <c r="AP427" i="92"/>
  <c r="BA427" i="92"/>
  <c r="AJ86" i="92"/>
  <c r="AU86" i="92"/>
  <c r="AP430" i="92"/>
  <c r="BA430" i="92"/>
  <c r="AF54" i="92"/>
  <c r="AQ54" i="92"/>
  <c r="AJ492" i="92"/>
  <c r="AF427" i="92"/>
  <c r="AZ482" i="92"/>
  <c r="AZ612" i="92"/>
  <c r="AO653" i="92"/>
  <c r="AS538" i="92"/>
  <c r="AU286" i="92"/>
  <c r="AG527" i="92"/>
  <c r="AR157" i="92"/>
  <c r="AP595" i="92"/>
  <c r="BA154" i="92"/>
  <c r="BA64" i="92"/>
  <c r="AI755" i="92"/>
  <c r="AK420" i="92"/>
  <c r="AI708" i="92"/>
  <c r="AI620" i="92"/>
  <c r="AV330" i="92"/>
  <c r="AJ743" i="92"/>
  <c r="AT430" i="92"/>
  <c r="AV343" i="92"/>
  <c r="AG72" i="92"/>
  <c r="AK378" i="92"/>
  <c r="AP692" i="92"/>
  <c r="AV582" i="92"/>
  <c r="BA513" i="92"/>
  <c r="AI127" i="92"/>
  <c r="BA495" i="92"/>
  <c r="BA65" i="92"/>
  <c r="AI264" i="92"/>
  <c r="AR435" i="92"/>
  <c r="AG435" i="92"/>
  <c r="AT588" i="92"/>
  <c r="AI588" i="92"/>
  <c r="AH522" i="92"/>
  <c r="AS522" i="92"/>
  <c r="AF438" i="92"/>
  <c r="AQ438" i="92"/>
  <c r="AV588" i="92"/>
  <c r="AK588" i="92"/>
  <c r="AQ590" i="92"/>
  <c r="AF590" i="92"/>
  <c r="AK395" i="92"/>
  <c r="AV395" i="92"/>
  <c r="AF465" i="92"/>
  <c r="AQ465" i="92"/>
  <c r="AS472" i="92"/>
  <c r="AH472" i="92"/>
  <c r="AV211" i="92"/>
  <c r="AK211" i="92"/>
  <c r="AJ449" i="92"/>
  <c r="AU449" i="92"/>
  <c r="AH759" i="92"/>
  <c r="AS759" i="92"/>
  <c r="AI759" i="92"/>
  <c r="AT759" i="92"/>
  <c r="AI691" i="92"/>
  <c r="AT691" i="92"/>
  <c r="AQ728" i="92"/>
  <c r="AF728" i="92"/>
  <c r="AP361" i="92"/>
  <c r="BA361" i="92"/>
  <c r="AV186" i="92"/>
  <c r="AK186" i="92"/>
  <c r="AI601" i="92"/>
  <c r="AT601" i="92"/>
  <c r="AH193" i="92"/>
  <c r="AS193" i="92"/>
  <c r="AP322" i="92"/>
  <c r="BA322" i="92"/>
  <c r="AS568" i="92"/>
  <c r="AH568" i="92"/>
  <c r="AT543" i="92"/>
  <c r="AI543" i="92"/>
  <c r="AG528" i="92"/>
  <c r="AR528" i="92"/>
  <c r="AJ224" i="92"/>
  <c r="AU224" i="92"/>
  <c r="AU356" i="92"/>
  <c r="AJ356" i="92"/>
  <c r="AT377" i="92"/>
  <c r="AI377" i="92"/>
  <c r="AF336" i="92"/>
  <c r="AQ336" i="92"/>
  <c r="AT671" i="92"/>
  <c r="AI671" i="92"/>
  <c r="AI151" i="92"/>
  <c r="AT151" i="92"/>
  <c r="AI112" i="92"/>
  <c r="AT112" i="92"/>
  <c r="AV214" i="92"/>
  <c r="AK214" i="92"/>
  <c r="AJ50" i="92"/>
  <c r="AU50" i="92"/>
  <c r="BA414" i="92"/>
  <c r="AP414" i="92"/>
  <c r="AF134" i="92"/>
  <c r="AQ134" i="92"/>
  <c r="AK294" i="92"/>
  <c r="AV294" i="92"/>
  <c r="BA530" i="92"/>
  <c r="AP530" i="92"/>
  <c r="AP652" i="92"/>
  <c r="BA652" i="92"/>
  <c r="AJ115" i="92"/>
  <c r="AU115" i="92"/>
  <c r="AQ343" i="92"/>
  <c r="AF343" i="92"/>
  <c r="AV217" i="92"/>
  <c r="AK217" i="92"/>
  <c r="AI333" i="92"/>
  <c r="AT333" i="92"/>
  <c r="AV339" i="92"/>
  <c r="AK339" i="92"/>
  <c r="AT248" i="92"/>
  <c r="AI248" i="92"/>
  <c r="AK150" i="92"/>
  <c r="AV150" i="92"/>
  <c r="AP146" i="92"/>
  <c r="BA146" i="92"/>
  <c r="AH82" i="92"/>
  <c r="AS82" i="92"/>
  <c r="AQ82" i="92"/>
  <c r="AF82" i="92"/>
  <c r="AN6" i="92"/>
  <c r="AY6" i="92"/>
  <c r="AV469" i="92"/>
  <c r="AI529" i="92"/>
  <c r="AS556" i="92"/>
  <c r="AU491" i="92"/>
  <c r="BA195" i="92"/>
  <c r="AQ25" i="92"/>
  <c r="AT320" i="92"/>
  <c r="AP472" i="92"/>
  <c r="AT308" i="92"/>
  <c r="AS340" i="92"/>
  <c r="BA27" i="92"/>
  <c r="AT78" i="92"/>
  <c r="AS191" i="92"/>
  <c r="BA358" i="92"/>
  <c r="AU527" i="92"/>
  <c r="AF481" i="92"/>
  <c r="AK481" i="92"/>
  <c r="AP188" i="92"/>
  <c r="AP539" i="92"/>
  <c r="AV41" i="92"/>
  <c r="AU617" i="92"/>
  <c r="AT303" i="92"/>
  <c r="AU135" i="92"/>
  <c r="AU177" i="92"/>
  <c r="AK127" i="92"/>
  <c r="AH531" i="92"/>
  <c r="AJ624" i="92"/>
  <c r="AV242" i="92"/>
  <c r="AQ759" i="92"/>
  <c r="BA6" i="92"/>
  <c r="AU327" i="92"/>
  <c r="AS639" i="92"/>
  <c r="AK235" i="92"/>
  <c r="AQ139" i="92"/>
  <c r="AP321" i="92"/>
  <c r="AK604" i="92"/>
  <c r="AV604" i="92"/>
  <c r="AO497" i="92"/>
  <c r="AZ497" i="92"/>
  <c r="AV623" i="92"/>
  <c r="AK623" i="92"/>
  <c r="AS713" i="92"/>
  <c r="AH713" i="92"/>
  <c r="AJ471" i="92"/>
  <c r="AU471" i="92"/>
  <c r="AV611" i="92"/>
  <c r="AK611" i="92"/>
  <c r="AF425" i="92"/>
  <c r="AQ425" i="92"/>
  <c r="AO29" i="92"/>
  <c r="AZ29" i="92"/>
  <c r="AV662" i="92"/>
  <c r="AK662" i="92"/>
  <c r="AI402" i="92"/>
  <c r="AT402" i="92"/>
  <c r="AI630" i="92"/>
  <c r="AT630" i="92"/>
  <c r="AF675" i="92"/>
  <c r="AQ675" i="92"/>
  <c r="AV283" i="92"/>
  <c r="AK283" i="92"/>
  <c r="AU702" i="92"/>
  <c r="AJ702" i="92"/>
  <c r="AU279" i="92"/>
  <c r="AJ279" i="92"/>
  <c r="AU670" i="92"/>
  <c r="AJ670" i="92"/>
  <c r="AG408" i="92"/>
  <c r="AR408" i="92"/>
  <c r="AO37" i="92"/>
  <c r="AZ37" i="92"/>
  <c r="AU194" i="92"/>
  <c r="AJ194" i="92"/>
  <c r="AS181" i="92"/>
  <c r="AH181" i="92"/>
  <c r="AU145" i="92"/>
  <c r="AJ145" i="92"/>
  <c r="AQ313" i="92"/>
  <c r="AF313" i="92"/>
  <c r="AJ555" i="92"/>
  <c r="AU555" i="92"/>
  <c r="AK103" i="92"/>
  <c r="AV103" i="92"/>
  <c r="AK122" i="92"/>
  <c r="AV122" i="92"/>
  <c r="AJ671" i="92"/>
  <c r="AU671" i="92"/>
  <c r="AQ383" i="92"/>
  <c r="AF383" i="92"/>
  <c r="AQ169" i="92"/>
  <c r="AF169" i="92"/>
  <c r="AH180" i="92"/>
  <c r="AS180" i="92"/>
  <c r="AQ301" i="92"/>
  <c r="AF301" i="92"/>
  <c r="AP509" i="92"/>
  <c r="BA509" i="92"/>
  <c r="AP657" i="92"/>
  <c r="BA657" i="92"/>
  <c r="AT361" i="92"/>
  <c r="AI361" i="92"/>
  <c r="AF213" i="92"/>
  <c r="AQ213" i="92"/>
  <c r="AP454" i="92"/>
  <c r="BA454" i="92"/>
  <c r="AI266" i="92"/>
  <c r="AT266" i="92"/>
  <c r="AS202" i="92"/>
  <c r="AH202" i="92"/>
  <c r="AK149" i="92"/>
  <c r="AV149" i="92"/>
  <c r="AK400" i="92"/>
  <c r="AV400" i="92"/>
  <c r="AU312" i="92"/>
  <c r="AJ312" i="92"/>
  <c r="AV373" i="92"/>
  <c r="AK373" i="92"/>
  <c r="AU333" i="92"/>
  <c r="AJ333" i="92"/>
  <c r="AG70" i="92"/>
  <c r="AR70" i="92"/>
  <c r="AQ71" i="92"/>
  <c r="AF71" i="92"/>
  <c r="AP67" i="92"/>
  <c r="BA67" i="92"/>
  <c r="AF65" i="92"/>
  <c r="AQ65" i="92"/>
  <c r="AT18" i="92"/>
  <c r="AI18" i="92"/>
  <c r="AU658" i="92"/>
  <c r="AT722" i="92"/>
  <c r="AP279" i="92"/>
  <c r="BA289" i="92"/>
  <c r="AJ322" i="92"/>
  <c r="AT304" i="92"/>
  <c r="AU222" i="92"/>
  <c r="AQ303" i="92"/>
  <c r="AZ327" i="92"/>
  <c r="AP92" i="92"/>
  <c r="AH595" i="92"/>
  <c r="AV573" i="92"/>
  <c r="AS707" i="92"/>
  <c r="AK737" i="92"/>
  <c r="AG306" i="92"/>
  <c r="AT705" i="92"/>
  <c r="BA410" i="92"/>
  <c r="AF79" i="92"/>
  <c r="AP94" i="92"/>
  <c r="AK14" i="92"/>
  <c r="AU633" i="92"/>
  <c r="AI173" i="92"/>
  <c r="BA236" i="92"/>
  <c r="AJ114" i="92"/>
  <c r="AJ473" i="92"/>
  <c r="AG268" i="92"/>
  <c r="AP165" i="92"/>
  <c r="BA158" i="92"/>
  <c r="AS177" i="92"/>
  <c r="AJ396" i="92"/>
  <c r="AO27" i="92"/>
  <c r="AQ180" i="92"/>
  <c r="AP129" i="92"/>
  <c r="BA114" i="92"/>
  <c r="BA480" i="92"/>
  <c r="AT313" i="92"/>
  <c r="AH95" i="92"/>
  <c r="AU19" i="92"/>
  <c r="AP569" i="92"/>
  <c r="AR78" i="92"/>
  <c r="AI326" i="92"/>
  <c r="AT70" i="92"/>
  <c r="AZ209" i="92"/>
  <c r="AO209" i="92"/>
  <c r="AI589" i="92"/>
  <c r="AT589" i="92"/>
  <c r="AU530" i="92"/>
  <c r="AJ530" i="92"/>
  <c r="AL21" i="92"/>
  <c r="AW21" i="92"/>
  <c r="AJ574" i="92"/>
  <c r="AU574" i="92"/>
  <c r="AK745" i="92"/>
  <c r="AV745" i="92"/>
  <c r="AF519" i="92"/>
  <c r="AQ519" i="92"/>
  <c r="AH576" i="92"/>
  <c r="AS576" i="92"/>
  <c r="BA294" i="92"/>
  <c r="AP294" i="92"/>
  <c r="AI234" i="92"/>
  <c r="AT234" i="92"/>
  <c r="AF446" i="92"/>
  <c r="AQ446" i="92"/>
  <c r="AQ77" i="92"/>
  <c r="AF77" i="92"/>
  <c r="AG611" i="92"/>
  <c r="AR611" i="92"/>
  <c r="AU363" i="92"/>
  <c r="AJ363" i="92"/>
  <c r="AR243" i="92"/>
  <c r="AG243" i="92"/>
  <c r="AJ121" i="92"/>
  <c r="AU121" i="92"/>
  <c r="AV231" i="92"/>
  <c r="AK231" i="92"/>
  <c r="AF257" i="92"/>
  <c r="AQ257" i="92"/>
  <c r="BA708" i="92"/>
  <c r="AP708" i="92"/>
  <c r="AQ110" i="92"/>
  <c r="AF110" i="92"/>
  <c r="AQ231" i="92"/>
  <c r="AF231" i="92"/>
  <c r="AH124" i="92"/>
  <c r="AS124" i="92"/>
  <c r="AS663" i="92"/>
  <c r="AH663" i="92"/>
  <c r="AQ750" i="92"/>
  <c r="AF750" i="92"/>
  <c r="AK722" i="92"/>
  <c r="AV722" i="92"/>
  <c r="AR598" i="92"/>
  <c r="AG598" i="92"/>
  <c r="AP436" i="92"/>
  <c r="BA436" i="92"/>
  <c r="AJ48" i="92"/>
  <c r="AU48" i="92"/>
  <c r="AP645" i="92"/>
  <c r="BA645" i="92"/>
  <c r="AI324" i="92"/>
  <c r="AT324" i="92"/>
  <c r="AJ349" i="92"/>
  <c r="AU349" i="92"/>
  <c r="AQ340" i="92"/>
  <c r="AF340" i="92"/>
  <c r="AH151" i="92"/>
  <c r="AS151" i="92"/>
  <c r="AT356" i="92"/>
  <c r="AI356" i="92"/>
  <c r="AT314" i="92"/>
  <c r="AI314" i="92"/>
  <c r="AI295" i="92"/>
  <c r="AT295" i="92"/>
  <c r="AJ269" i="92"/>
  <c r="AU269" i="92"/>
  <c r="AK284" i="92"/>
  <c r="AV284" i="92"/>
  <c r="AJ311" i="92"/>
  <c r="AU311" i="92"/>
  <c r="AF191" i="92"/>
  <c r="AQ191" i="92"/>
  <c r="AH366" i="92"/>
  <c r="AS366" i="92"/>
  <c r="BA507" i="92"/>
  <c r="AP507" i="92"/>
  <c r="AT110" i="92"/>
  <c r="AI110" i="92"/>
  <c r="AV244" i="92"/>
  <c r="AK244" i="92"/>
  <c r="AT178" i="92"/>
  <c r="AI178" i="92"/>
  <c r="AI174" i="92"/>
  <c r="AT174" i="92"/>
  <c r="BA551" i="92"/>
  <c r="AP551" i="92"/>
  <c r="AP504" i="92"/>
  <c r="BA504" i="92"/>
  <c r="AK134" i="92"/>
  <c r="AV134" i="92"/>
  <c r="AS138" i="92"/>
  <c r="AH138" i="92"/>
  <c r="BA689" i="92"/>
  <c r="AP689" i="92"/>
  <c r="AS236" i="92"/>
  <c r="AH236" i="92"/>
  <c r="AJ55" i="92"/>
  <c r="AU55" i="92"/>
  <c r="AJ44" i="92"/>
  <c r="AU44" i="92"/>
  <c r="AU24" i="92"/>
  <c r="AJ24" i="92"/>
  <c r="AK743" i="92"/>
  <c r="AI604" i="92"/>
  <c r="AQ557" i="92"/>
  <c r="AR761" i="92"/>
  <c r="AZ153" i="92"/>
  <c r="AV169" i="92"/>
  <c r="AZ12" i="92"/>
  <c r="AO288" i="92"/>
  <c r="AZ301" i="92"/>
  <c r="AQ236" i="92"/>
  <c r="AP122" i="92"/>
  <c r="AU365" i="92"/>
  <c r="AQ240" i="92"/>
  <c r="AT211" i="92"/>
  <c r="AU667" i="92"/>
  <c r="AP528" i="92"/>
  <c r="AP750" i="92"/>
  <c r="AS159" i="92"/>
  <c r="AH739" i="92"/>
  <c r="BA320" i="92"/>
  <c r="AT317" i="92"/>
  <c r="AT497" i="92"/>
  <c r="AU160" i="92"/>
  <c r="AV586" i="92"/>
  <c r="AI48" i="92"/>
  <c r="AQ468" i="92"/>
  <c r="AQ334" i="92"/>
  <c r="AQ122" i="92"/>
  <c r="AH233" i="92"/>
  <c r="AU183" i="92"/>
  <c r="BA458" i="92"/>
  <c r="BA526" i="92"/>
  <c r="AP476" i="92"/>
  <c r="AT426" i="92"/>
  <c r="AI426" i="92"/>
  <c r="AV587" i="92"/>
  <c r="AK587" i="92"/>
  <c r="AJ601" i="92"/>
  <c r="AU601" i="92"/>
  <c r="AI715" i="92"/>
  <c r="AT715" i="92"/>
  <c r="AI560" i="92"/>
  <c r="AT560" i="92"/>
  <c r="AF686" i="92"/>
  <c r="AQ686" i="92"/>
  <c r="AH458" i="92"/>
  <c r="AS458" i="92"/>
  <c r="AJ402" i="92"/>
  <c r="AU402" i="92"/>
  <c r="AQ478" i="92"/>
  <c r="AF478" i="92"/>
  <c r="AJ460" i="92"/>
  <c r="AU460" i="92"/>
  <c r="AF448" i="92"/>
  <c r="AQ448" i="92"/>
  <c r="AV706" i="92"/>
  <c r="AK706" i="92"/>
  <c r="AO41" i="92"/>
  <c r="AZ41" i="92"/>
  <c r="AJ660" i="92"/>
  <c r="AU660" i="92"/>
  <c r="AH197" i="92"/>
  <c r="AS197" i="92"/>
  <c r="AI670" i="92"/>
  <c r="AT670" i="92"/>
  <c r="AV370" i="92"/>
  <c r="AK370" i="92"/>
  <c r="AJ635" i="92"/>
  <c r="AU635" i="92"/>
  <c r="AF290" i="92"/>
  <c r="AQ290" i="92"/>
  <c r="AT552" i="92"/>
  <c r="AI552" i="92"/>
  <c r="AF502" i="92"/>
  <c r="AQ502" i="92"/>
  <c r="AK712" i="92"/>
  <c r="AV712" i="92"/>
  <c r="AT419" i="92"/>
  <c r="AI419" i="92"/>
  <c r="AK147" i="92"/>
  <c r="AV147" i="92"/>
  <c r="BA716" i="92"/>
  <c r="AP716" i="92"/>
  <c r="AQ266" i="92"/>
  <c r="AF266" i="92"/>
  <c r="AP286" i="92"/>
  <c r="BA286" i="92"/>
  <c r="AI96" i="92"/>
  <c r="AT96" i="92"/>
  <c r="AS249" i="92"/>
  <c r="AH249" i="92"/>
  <c r="AK570" i="92"/>
  <c r="AV570" i="92"/>
  <c r="AJ429" i="92"/>
  <c r="AU429" i="92"/>
  <c r="AJ272" i="92"/>
  <c r="AU272" i="92"/>
  <c r="AJ45" i="92"/>
  <c r="AU45" i="92"/>
  <c r="BA527" i="92"/>
  <c r="AP527" i="92"/>
  <c r="AQ129" i="92"/>
  <c r="AF129" i="92"/>
  <c r="BA387" i="92"/>
  <c r="AP387" i="92"/>
  <c r="AI94" i="92"/>
  <c r="AT94" i="92"/>
  <c r="AU202" i="92"/>
  <c r="AJ202" i="92"/>
  <c r="AH183" i="92"/>
  <c r="AS183" i="92"/>
  <c r="AU106" i="92"/>
  <c r="AJ106" i="92"/>
  <c r="AH229" i="92"/>
  <c r="AS229" i="92"/>
  <c r="BA688" i="92"/>
  <c r="AP688" i="92"/>
  <c r="AJ118" i="92"/>
  <c r="AU118" i="92"/>
  <c r="AS292" i="92"/>
  <c r="AH292" i="92"/>
  <c r="BA559" i="92"/>
  <c r="AP559" i="92"/>
  <c r="AF228" i="92"/>
  <c r="AQ228" i="92"/>
  <c r="BA140" i="92"/>
  <c r="AP140" i="92"/>
  <c r="AU261" i="92"/>
  <c r="AJ261" i="92"/>
  <c r="AT210" i="92"/>
  <c r="AI210" i="92"/>
  <c r="BA633" i="92"/>
  <c r="AP633" i="92"/>
  <c r="AP401" i="92"/>
  <c r="BA401" i="92"/>
  <c r="AK262" i="92"/>
  <c r="AV262" i="92"/>
  <c r="AT145" i="92"/>
  <c r="AI145" i="92"/>
  <c r="AF375" i="92"/>
  <c r="AQ375" i="92"/>
  <c r="AP440" i="92"/>
  <c r="BA440" i="92"/>
  <c r="AH50" i="92"/>
  <c r="AS50" i="92"/>
  <c r="AZ538" i="92"/>
  <c r="AU548" i="92"/>
  <c r="AV647" i="92"/>
  <c r="AG133" i="92"/>
  <c r="AR647" i="92"/>
  <c r="AK457" i="92"/>
  <c r="AT37" i="92"/>
  <c r="AT121" i="92"/>
  <c r="AQ40" i="92"/>
  <c r="AT126" i="92"/>
  <c r="AF371" i="92"/>
  <c r="AT575" i="92"/>
  <c r="AF329" i="92"/>
  <c r="AT750" i="92"/>
  <c r="AJ116" i="92"/>
  <c r="AV133" i="92"/>
  <c r="AQ62" i="92"/>
  <c r="AS516" i="92"/>
  <c r="AQ291" i="92"/>
  <c r="AG160" i="92"/>
  <c r="BA574" i="92"/>
  <c r="AP311" i="92"/>
  <c r="AS167" i="92"/>
  <c r="AI273" i="92"/>
  <c r="AG227" i="92"/>
  <c r="AV340" i="92"/>
  <c r="AH370" i="92"/>
  <c r="AV85" i="92"/>
  <c r="AU606" i="92"/>
  <c r="AJ606" i="92"/>
  <c r="AV693" i="92"/>
  <c r="AK693" i="92"/>
  <c r="AH563" i="92"/>
  <c r="AS563" i="92"/>
  <c r="AK701" i="92"/>
  <c r="AV701" i="92"/>
  <c r="AV634" i="92"/>
  <c r="AK634" i="92"/>
  <c r="AF715" i="92"/>
  <c r="AQ715" i="92"/>
  <c r="AJ424" i="92"/>
  <c r="AU424" i="92"/>
  <c r="AQ568" i="92"/>
  <c r="AF568" i="92"/>
  <c r="AH696" i="92"/>
  <c r="AS696" i="92"/>
  <c r="AS141" i="92"/>
  <c r="AH141" i="92"/>
  <c r="AQ711" i="92"/>
  <c r="AF711" i="92"/>
  <c r="AS629" i="92"/>
  <c r="AH629" i="92"/>
  <c r="AK264" i="92"/>
  <c r="AV264" i="92"/>
  <c r="AF335" i="92"/>
  <c r="AQ335" i="92"/>
  <c r="AT760" i="92"/>
  <c r="AI760" i="92"/>
  <c r="AI144" i="92"/>
  <c r="AT144" i="92"/>
  <c r="AV358" i="92"/>
  <c r="AK358" i="92"/>
  <c r="AI328" i="92"/>
  <c r="AT328" i="92"/>
  <c r="AH259" i="92"/>
  <c r="AS259" i="92"/>
  <c r="AV165" i="92"/>
  <c r="AK165" i="92"/>
  <c r="AI68" i="92"/>
  <c r="AT68" i="92"/>
  <c r="AT283" i="92"/>
  <c r="AI283" i="92"/>
  <c r="AU357" i="92"/>
  <c r="AJ357" i="92"/>
  <c r="AH391" i="92"/>
  <c r="AS391" i="92"/>
  <c r="AI218" i="92"/>
  <c r="AT218" i="92"/>
  <c r="AR136" i="92"/>
  <c r="AG136" i="92"/>
  <c r="AQ258" i="92"/>
  <c r="AF258" i="92"/>
  <c r="AV466" i="92"/>
  <c r="AK466" i="92"/>
  <c r="AF288" i="92"/>
  <c r="AQ288" i="92"/>
  <c r="BA238" i="92"/>
  <c r="AP238" i="92"/>
  <c r="AH309" i="92"/>
  <c r="AS309" i="92"/>
  <c r="AF182" i="92"/>
  <c r="AQ182" i="92"/>
  <c r="AU294" i="92"/>
  <c r="AJ294" i="92"/>
  <c r="AP608" i="92"/>
  <c r="BA608" i="92"/>
  <c r="AP175" i="92"/>
  <c r="BA175" i="92"/>
  <c r="BA723" i="92"/>
  <c r="AP723" i="92"/>
  <c r="BA605" i="92"/>
  <c r="AP605" i="92"/>
  <c r="AQ270" i="92"/>
  <c r="AF270" i="92"/>
  <c r="AJ43" i="92"/>
  <c r="AU43" i="92"/>
  <c r="AU78" i="92"/>
  <c r="AJ78" i="92"/>
  <c r="AO4" i="92"/>
  <c r="AZ4" i="92"/>
  <c r="AN20" i="92"/>
  <c r="AY20" i="92"/>
  <c r="AJ201" i="92"/>
  <c r="AG450" i="92"/>
  <c r="AP68" i="92"/>
  <c r="AH608" i="92"/>
  <c r="AI263" i="92"/>
  <c r="AS195" i="92"/>
  <c r="AS697" i="92"/>
  <c r="AJ533" i="92"/>
  <c r="AV744" i="92"/>
  <c r="AI98" i="92"/>
  <c r="AI340" i="92"/>
  <c r="AJ590" i="92"/>
  <c r="AQ617" i="92"/>
  <c r="AJ588" i="92"/>
  <c r="AF47" i="92"/>
  <c r="AH114" i="92"/>
  <c r="AU353" i="92"/>
  <c r="AP483" i="92"/>
  <c r="AR299" i="92"/>
  <c r="AM18" i="92"/>
  <c r="AX18" i="92"/>
  <c r="AI44" i="92"/>
  <c r="AT44" i="92"/>
  <c r="AW8" i="92"/>
  <c r="AL8" i="92"/>
  <c r="AP12" i="92"/>
  <c r="BA12" i="92"/>
  <c r="AK17" i="92"/>
  <c r="AV17" i="92"/>
  <c r="AO14" i="92"/>
  <c r="AQ4" i="92"/>
  <c r="AH7" i="92"/>
  <c r="AQ19" i="92"/>
  <c r="AF234" i="92"/>
  <c r="AH123" i="92"/>
  <c r="AJ29" i="92"/>
  <c r="AQ162" i="92"/>
  <c r="AG384" i="92"/>
  <c r="AR344" i="92"/>
  <c r="AG181" i="92"/>
  <c r="AR26" i="92"/>
  <c r="AG713" i="92"/>
  <c r="AR338" i="92"/>
  <c r="AR444" i="92"/>
  <c r="AR358" i="92"/>
  <c r="AR27" i="92"/>
  <c r="AG758" i="92"/>
  <c r="AR121" i="92"/>
  <c r="AR654" i="92"/>
  <c r="AL63" i="27" s="1"/>
  <c r="AR97" i="92"/>
  <c r="AR7" i="92"/>
  <c r="AR360" i="92"/>
  <c r="AR324" i="92"/>
  <c r="AR628" i="92"/>
  <c r="AG176" i="92"/>
  <c r="AR210" i="92"/>
  <c r="AG202" i="92"/>
  <c r="AG284" i="92"/>
  <c r="AG246" i="92"/>
  <c r="AR73" i="92"/>
  <c r="AG340" i="92"/>
  <c r="AR47" i="92"/>
  <c r="AR187" i="92"/>
  <c r="AG729" i="92"/>
  <c r="AR135" i="92"/>
  <c r="AG412" i="92"/>
  <c r="AR171" i="92"/>
  <c r="AG495" i="92"/>
  <c r="AR30" i="92"/>
  <c r="AR357" i="92"/>
  <c r="AR325" i="92"/>
  <c r="AR629" i="92"/>
  <c r="AR419" i="92"/>
  <c r="AR334" i="92"/>
  <c r="AR762" i="92"/>
  <c r="AR588" i="92"/>
  <c r="AR599" i="92"/>
  <c r="AR369" i="92"/>
  <c r="AG623" i="92"/>
  <c r="AG541" i="92"/>
  <c r="AG520" i="92"/>
  <c r="AR448" i="92"/>
  <c r="AR671" i="92"/>
  <c r="AG303" i="92"/>
  <c r="AR258" i="92"/>
  <c r="AG61" i="92"/>
  <c r="AG362" i="92"/>
  <c r="AR451" i="92"/>
  <c r="AR343" i="92"/>
  <c r="AG359" i="92"/>
  <c r="AR263" i="92"/>
  <c r="AG497" i="92"/>
  <c r="AG519" i="92"/>
  <c r="AT106" i="92"/>
  <c r="AR63" i="92"/>
  <c r="AV47" i="92"/>
  <c r="AS357" i="92"/>
  <c r="AH205" i="92"/>
  <c r="AF15" i="92"/>
  <c r="AJ306" i="92"/>
  <c r="BA760" i="92"/>
  <c r="AT95" i="92"/>
  <c r="BA758" i="92"/>
  <c r="AU258" i="92"/>
  <c r="AQ488" i="92"/>
  <c r="AK10" i="92"/>
  <c r="AW13" i="92"/>
  <c r="AU72" i="92"/>
  <c r="AV368" i="92"/>
  <c r="AU41" i="92"/>
  <c r="AP79" i="92"/>
  <c r="AH722" i="92"/>
  <c r="AJ11" i="92"/>
  <c r="AF241" i="92"/>
  <c r="AF393" i="92"/>
  <c r="AZ692" i="92"/>
  <c r="AY602" i="92"/>
  <c r="AZ504" i="92"/>
  <c r="AH412" i="92"/>
  <c r="AQ392" i="92"/>
  <c r="AF484" i="92"/>
  <c r="AU728" i="92"/>
  <c r="AU630" i="92"/>
  <c r="AI732" i="92"/>
  <c r="AH637" i="92"/>
  <c r="AI514" i="92"/>
  <c r="AU651" i="92"/>
  <c r="AH711" i="92"/>
  <c r="AM39" i="92"/>
  <c r="AJ736" i="92"/>
  <c r="AU391" i="92"/>
  <c r="AU550" i="92"/>
  <c r="AU398" i="92"/>
  <c r="AZ174" i="92"/>
  <c r="AF733" i="92"/>
  <c r="AH612" i="92"/>
  <c r="AF413" i="92"/>
  <c r="AJ710" i="92"/>
  <c r="AX652" i="92"/>
  <c r="AH752" i="92"/>
  <c r="AJ549" i="92"/>
  <c r="AF600" i="92"/>
  <c r="AZ173" i="92"/>
  <c r="AL557" i="27" s="1"/>
  <c r="AS525" i="92"/>
  <c r="AJ490" i="92"/>
  <c r="AJ416" i="92"/>
  <c r="AF644" i="92"/>
  <c r="AQ661" i="92"/>
  <c r="AI427" i="92"/>
  <c r="AQ398" i="92"/>
  <c r="AK637" i="92"/>
  <c r="AI626" i="92"/>
  <c r="AF691" i="92"/>
  <c r="AH709" i="92"/>
  <c r="AI591" i="92"/>
  <c r="AI203" i="92"/>
  <c r="AV476" i="92"/>
  <c r="AQ133" i="92"/>
  <c r="AQ387" i="92"/>
  <c r="AV678" i="92"/>
  <c r="AS667" i="92"/>
  <c r="AF677" i="92"/>
  <c r="AN34" i="92"/>
  <c r="AH610" i="92"/>
  <c r="AI757" i="92"/>
  <c r="AS537" i="92"/>
  <c r="AO468" i="92"/>
  <c r="AV626" i="92"/>
  <c r="AS66" i="92"/>
  <c r="AW38" i="92"/>
  <c r="AY27" i="92"/>
  <c r="AM721" i="92"/>
  <c r="AZ439" i="92"/>
  <c r="AS468" i="92"/>
  <c r="AR691" i="92"/>
  <c r="AF411" i="92"/>
  <c r="AJ510" i="92"/>
  <c r="AJ595" i="92"/>
  <c r="AR473" i="92"/>
  <c r="AU290" i="92"/>
  <c r="AZ110" i="92"/>
  <c r="AH540" i="92"/>
  <c r="AS616" i="92"/>
  <c r="AZ378" i="92"/>
  <c r="AI510" i="92"/>
  <c r="AW24" i="92"/>
  <c r="AU38" i="92"/>
  <c r="AT216" i="92"/>
  <c r="AT290" i="92"/>
  <c r="AS33" i="92"/>
  <c r="AT69" i="92"/>
  <c r="BA276" i="92"/>
  <c r="AT212" i="92"/>
  <c r="AG64" i="92"/>
  <c r="AR41" i="92"/>
  <c r="AF96" i="92"/>
  <c r="AV11" i="92"/>
  <c r="AK49" i="92"/>
  <c r="AG6" i="92"/>
  <c r="AS81" i="92"/>
  <c r="AO17" i="92"/>
  <c r="AI88" i="92"/>
  <c r="AG42" i="92"/>
  <c r="AM12" i="92"/>
  <c r="AW4" i="92"/>
  <c r="AP51" i="92"/>
  <c r="AJ354" i="92"/>
  <c r="AR36" i="92"/>
  <c r="AT15" i="92"/>
  <c r="AP402" i="92"/>
  <c r="BA469" i="92"/>
  <c r="AQ86" i="92"/>
  <c r="BA352" i="92"/>
  <c r="BA178" i="92"/>
  <c r="AQ11" i="92"/>
  <c r="AP14" i="92"/>
  <c r="AV26" i="92"/>
  <c r="AW10" i="92"/>
  <c r="AL18" i="92"/>
  <c r="AL16" i="92"/>
  <c r="AI238" i="92"/>
  <c r="AS294" i="92"/>
  <c r="AF48" i="92"/>
  <c r="AF70" i="92"/>
  <c r="AK190" i="92"/>
  <c r="AP17" i="92"/>
  <c r="AU98" i="92"/>
  <c r="AT206" i="92"/>
  <c r="AP237" i="92"/>
  <c r="AR56" i="92"/>
  <c r="AS319" i="92"/>
  <c r="AQ43" i="92"/>
  <c r="AV64" i="92"/>
  <c r="BA412" i="92"/>
  <c r="AK71" i="92"/>
  <c r="AM13" i="92"/>
  <c r="AY14" i="92"/>
  <c r="AS18" i="92"/>
  <c r="AH75" i="92"/>
  <c r="AP464" i="92"/>
  <c r="AP446" i="92"/>
  <c r="AU229" i="92"/>
  <c r="AF285" i="92"/>
  <c r="AH566" i="92"/>
  <c r="AT193" i="92"/>
  <c r="AJ489" i="92"/>
  <c r="AU150" i="92"/>
  <c r="AI19" i="92"/>
  <c r="AV341" i="92"/>
  <c r="AJ300" i="92"/>
  <c r="AW23" i="92"/>
  <c r="AW12" i="92"/>
  <c r="AT225" i="92"/>
  <c r="AT644" i="92"/>
  <c r="AS11" i="92"/>
  <c r="AU228" i="92"/>
  <c r="AS497" i="92"/>
  <c r="BA42" i="92"/>
  <c r="AS63" i="92"/>
  <c r="BA671" i="92"/>
  <c r="BA441" i="92"/>
  <c r="AJ599" i="92"/>
  <c r="AP556" i="92"/>
  <c r="AU71" i="92"/>
  <c r="AU14" i="92"/>
  <c r="AJ186" i="92"/>
  <c r="AP135" i="92"/>
  <c r="AV252" i="92"/>
  <c r="AV25" i="92"/>
  <c r="AT293" i="92"/>
  <c r="AS237" i="92"/>
  <c r="BA667" i="92"/>
  <c r="AT65" i="92"/>
  <c r="AP423" i="92"/>
  <c r="AF36" i="92"/>
  <c r="BA360" i="92"/>
  <c r="AF23" i="92"/>
  <c r="AF127" i="92"/>
  <c r="AU47" i="92"/>
  <c r="AK30" i="92"/>
  <c r="AF136" i="92"/>
  <c r="BA678" i="92"/>
  <c r="AT262" i="92"/>
  <c r="AJ214" i="92"/>
  <c r="AF244" i="92"/>
  <c r="AQ34" i="92"/>
  <c r="AP577" i="92"/>
  <c r="BA233" i="92"/>
  <c r="BA485" i="92"/>
  <c r="BA232" i="92"/>
  <c r="BA471" i="92"/>
  <c r="BA639" i="92"/>
  <c r="AP336" i="92"/>
  <c r="AP447" i="92"/>
  <c r="AP702" i="92"/>
  <c r="AP731" i="92"/>
  <c r="AP456" i="92"/>
  <c r="BA370" i="92"/>
  <c r="AP618" i="92"/>
  <c r="AP202" i="92"/>
  <c r="AP540" i="92"/>
  <c r="BA201" i="92"/>
  <c r="BA316" i="92"/>
  <c r="BA100" i="92"/>
  <c r="AP181" i="92"/>
  <c r="BA123" i="92"/>
  <c r="BA706" i="92"/>
  <c r="AP137" i="92"/>
  <c r="AP50" i="92"/>
  <c r="AP381" i="92"/>
  <c r="BA638" i="92"/>
  <c r="BA288" i="92"/>
  <c r="AP206" i="92"/>
  <c r="BA156" i="92"/>
  <c r="AP487" i="92"/>
  <c r="AP166" i="92"/>
  <c r="AP131" i="92"/>
  <c r="AP20" i="92"/>
  <c r="BA172" i="92"/>
  <c r="BA534" i="92"/>
  <c r="BA607" i="92"/>
  <c r="AP449" i="92"/>
  <c r="AP572" i="92"/>
  <c r="BA235" i="92"/>
  <c r="AP674" i="92"/>
  <c r="BA746" i="92"/>
  <c r="BA105" i="92"/>
  <c r="BA586" i="92"/>
  <c r="BA470" i="92"/>
  <c r="AP616" i="92"/>
  <c r="AP411" i="92"/>
  <c r="AP248" i="92"/>
  <c r="AP600" i="92"/>
  <c r="AP462" i="92"/>
  <c r="BA86" i="92"/>
  <c r="AP41" i="92"/>
  <c r="AP552" i="92"/>
  <c r="BA186" i="92"/>
  <c r="BA66" i="92"/>
  <c r="AP28" i="92"/>
  <c r="BA46" i="92"/>
  <c r="BA754" i="92"/>
  <c r="AP57" i="92"/>
  <c r="AP221" i="92"/>
  <c r="AP169" i="92"/>
  <c r="BA582" i="92"/>
  <c r="AP439" i="92"/>
  <c r="AP741" i="92"/>
  <c r="AP21" i="92"/>
  <c r="BA598" i="92"/>
  <c r="BA491" i="92"/>
  <c r="BA762" i="92"/>
  <c r="BA532" i="92"/>
  <c r="AP287" i="92"/>
  <c r="AP465" i="92"/>
  <c r="AP69" i="92"/>
  <c r="AP4" i="92"/>
  <c r="BA492" i="92"/>
  <c r="BA614" i="92"/>
  <c r="AP325" i="92"/>
  <c r="AP229" i="92"/>
  <c r="BA647" i="92"/>
  <c r="AP515" i="92"/>
  <c r="AP191" i="92"/>
  <c r="AP24" i="92"/>
  <c r="AP75" i="92"/>
  <c r="BA642" i="92"/>
  <c r="BA43" i="92"/>
  <c r="AP11" i="92"/>
  <c r="BA656" i="92"/>
  <c r="BA670" i="92"/>
  <c r="AP477" i="92"/>
  <c r="BA244" i="92"/>
  <c r="BA36" i="92"/>
  <c r="AP29" i="92"/>
  <c r="BA37" i="92"/>
  <c r="BA318" i="92"/>
  <c r="BA665" i="92"/>
  <c r="AP130" i="92"/>
  <c r="BA99" i="92"/>
  <c r="AP364" i="92"/>
  <c r="BA621" i="92"/>
  <c r="BA548" i="92"/>
  <c r="BA247" i="92"/>
  <c r="AP54" i="92"/>
  <c r="AP623" i="92"/>
  <c r="BA116" i="92"/>
  <c r="AP622" i="92"/>
  <c r="BA636" i="92"/>
  <c r="AP23" i="92"/>
  <c r="AP407" i="92"/>
  <c r="AP47" i="92"/>
  <c r="BA646" i="92"/>
  <c r="BA49" i="92"/>
  <c r="AP331" i="92"/>
  <c r="BA690" i="92"/>
  <c r="AR342" i="92"/>
  <c r="AR143" i="92"/>
  <c r="AG434" i="92"/>
  <c r="AR110" i="92"/>
  <c r="AR222" i="92"/>
  <c r="AG186" i="92"/>
  <c r="AR248" i="92"/>
  <c r="AR24" i="92"/>
  <c r="AR62" i="92"/>
  <c r="AG705" i="92"/>
  <c r="AR23" i="92"/>
  <c r="AR69" i="92"/>
  <c r="AH425" i="92"/>
  <c r="AV296" i="92"/>
  <c r="AT182" i="92"/>
  <c r="AU688" i="92"/>
  <c r="AL441" i="27" s="1"/>
  <c r="AH455" i="92"/>
  <c r="AT437" i="92"/>
  <c r="AQ738" i="92"/>
  <c r="AP119" i="92"/>
  <c r="AV465" i="92"/>
  <c r="AV603" i="92"/>
  <c r="AS580" i="92"/>
  <c r="AQ508" i="92"/>
  <c r="AT536" i="92"/>
  <c r="AL235" i="27" s="1"/>
  <c r="AK120" i="92"/>
  <c r="AT140" i="92"/>
  <c r="AS714" i="92"/>
  <c r="AH271" i="92"/>
  <c r="AU695" i="92"/>
  <c r="AF480" i="92"/>
  <c r="AT343" i="92"/>
  <c r="AJ94" i="92"/>
  <c r="AJ112" i="92"/>
  <c r="AF572" i="92"/>
  <c r="AH275" i="92"/>
  <c r="AF466" i="92"/>
  <c r="AV257" i="92"/>
  <c r="AU345" i="92"/>
  <c r="AS265" i="92"/>
  <c r="AF505" i="92"/>
  <c r="AK509" i="92"/>
  <c r="AM343" i="92"/>
  <c r="AG405" i="92"/>
  <c r="AG245" i="92"/>
  <c r="AR577" i="92"/>
  <c r="AR454" i="92"/>
  <c r="AG466" i="92"/>
  <c r="AG436" i="92"/>
  <c r="AG264" i="92"/>
  <c r="AG197" i="92"/>
  <c r="AR271" i="92"/>
  <c r="AR235" i="92"/>
  <c r="AG490" i="92"/>
  <c r="AR149" i="92"/>
  <c r="AG313" i="92"/>
  <c r="AR146" i="92"/>
  <c r="AG298" i="92"/>
  <c r="AG321" i="92"/>
  <c r="AG392" i="92"/>
  <c r="AG684" i="92"/>
  <c r="AR44" i="92"/>
  <c r="AR214" i="92"/>
  <c r="AG747" i="92"/>
  <c r="AR537" i="92"/>
  <c r="AG315" i="92"/>
  <c r="AG438" i="92"/>
  <c r="AG500" i="92"/>
  <c r="AR292" i="92"/>
  <c r="AG441" i="92"/>
  <c r="AR45" i="92"/>
  <c r="AG219" i="92"/>
  <c r="AR215" i="92"/>
  <c r="AR386" i="92"/>
  <c r="AG682" i="92"/>
  <c r="AG50" i="92"/>
  <c r="AG550" i="92"/>
  <c r="AR447" i="92"/>
  <c r="AR600" i="92"/>
  <c r="AR68" i="92"/>
  <c r="AR178" i="92"/>
  <c r="AG539" i="92"/>
  <c r="AG96" i="92"/>
  <c r="AG439" i="92"/>
  <c r="AG31" i="92"/>
  <c r="AR593" i="92"/>
  <c r="AR285" i="92"/>
  <c r="AG86" i="92"/>
  <c r="AR278" i="92"/>
  <c r="AR200" i="92"/>
  <c r="AR388" i="92"/>
  <c r="AG571" i="92"/>
  <c r="AG686" i="92"/>
  <c r="AR265" i="92"/>
  <c r="AG192" i="92"/>
  <c r="AR563" i="92"/>
  <c r="AL538" i="27" s="1"/>
  <c r="AG249" i="92"/>
  <c r="AR368" i="92"/>
  <c r="AR452" i="92"/>
  <c r="AR659" i="92"/>
  <c r="AG545" i="92"/>
  <c r="AR94" i="92"/>
  <c r="AR254" i="92"/>
  <c r="AR635" i="92"/>
  <c r="AG159" i="92"/>
  <c r="AR234" i="92"/>
  <c r="AG515" i="92"/>
  <c r="AG108" i="92"/>
  <c r="AR433" i="92"/>
  <c r="AG728" i="92"/>
  <c r="AT213" i="92"/>
  <c r="AI213" i="92"/>
  <c r="AK349" i="92"/>
  <c r="AV349" i="92"/>
  <c r="BA442" i="92"/>
  <c r="AP442" i="92"/>
  <c r="AJ198" i="92"/>
  <c r="AU198" i="92"/>
  <c r="AH276" i="92"/>
  <c r="AS276" i="92"/>
  <c r="AP506" i="92"/>
  <c r="BA506" i="92"/>
  <c r="AP420" i="92"/>
  <c r="BA420" i="92"/>
  <c r="AU212" i="92"/>
  <c r="AJ212" i="92"/>
  <c r="AP686" i="92"/>
  <c r="BA686" i="92"/>
  <c r="BA335" i="92"/>
  <c r="AP335" i="92"/>
  <c r="AG383" i="92"/>
  <c r="AR383" i="92"/>
  <c r="AG217" i="92"/>
  <c r="AR217" i="92"/>
  <c r="AI260" i="92"/>
  <c r="AT260" i="92"/>
  <c r="AU434" i="92"/>
  <c r="AT663" i="92"/>
  <c r="BA369" i="92"/>
  <c r="BA602" i="92"/>
  <c r="AT131" i="92"/>
  <c r="AT233" i="92"/>
  <c r="AP341" i="92"/>
  <c r="BA96" i="92"/>
  <c r="AH217" i="92"/>
  <c r="AH220" i="92"/>
  <c r="AQ652" i="92"/>
  <c r="AU28" i="92"/>
  <c r="AS42" i="92"/>
  <c r="AS157" i="92"/>
  <c r="AS254" i="92"/>
  <c r="BA629" i="92"/>
  <c r="BA592" i="92"/>
  <c r="AQ159" i="92"/>
  <c r="AT123" i="92"/>
  <c r="AP613" i="92"/>
  <c r="AJ576" i="92"/>
  <c r="AS356" i="92"/>
  <c r="BA739" i="92"/>
  <c r="AI239" i="92"/>
  <c r="AV356" i="92"/>
  <c r="AR308" i="92"/>
  <c r="AQ124" i="92"/>
  <c r="AR558" i="92"/>
  <c r="AO570" i="92"/>
  <c r="AU215" i="92"/>
  <c r="AK438" i="92"/>
  <c r="AR123" i="92"/>
  <c r="AS225" i="92"/>
  <c r="BA345" i="92"/>
  <c r="AV502" i="92"/>
  <c r="AJ163" i="92"/>
  <c r="AV153" i="92"/>
  <c r="AJ285" i="92"/>
  <c r="AK511" i="92"/>
  <c r="AP583" i="92"/>
  <c r="BA738" i="92"/>
  <c r="AR223" i="92"/>
  <c r="AU701" i="92"/>
  <c r="AT282" i="92"/>
  <c r="AZ33" i="92"/>
  <c r="AH543" i="92"/>
  <c r="AF111" i="92"/>
  <c r="AQ186" i="92"/>
  <c r="AF337" i="92"/>
  <c r="AT97" i="92"/>
  <c r="AP740" i="92"/>
  <c r="BA301" i="92"/>
  <c r="AV107" i="92"/>
  <c r="AP209" i="92"/>
  <c r="AP183" i="92"/>
  <c r="AT53" i="92"/>
  <c r="AH59" i="92"/>
  <c r="AU423" i="92"/>
  <c r="AH257" i="92"/>
  <c r="AS364" i="92"/>
  <c r="AT223" i="92"/>
  <c r="AI223" i="92"/>
  <c r="AK302" i="92"/>
  <c r="AV302" i="92"/>
  <c r="AU196" i="92"/>
  <c r="AJ196" i="92"/>
  <c r="BA611" i="92"/>
  <c r="AP611" i="92"/>
  <c r="AP625" i="92"/>
  <c r="BA625" i="92"/>
  <c r="BA292" i="92"/>
  <c r="AP292" i="92"/>
  <c r="AU233" i="92"/>
  <c r="AJ233" i="92"/>
  <c r="AV130" i="92"/>
  <c r="AK130" i="92"/>
  <c r="AH633" i="92"/>
  <c r="AS633" i="92"/>
  <c r="BA263" i="92"/>
  <c r="AP263" i="92"/>
  <c r="AK199" i="92"/>
  <c r="AV199" i="92"/>
  <c r="AG166" i="92"/>
  <c r="AR166" i="92"/>
  <c r="AK407" i="92"/>
  <c r="AV407" i="92"/>
  <c r="AI166" i="92"/>
  <c r="AT166" i="92"/>
  <c r="AI391" i="92"/>
  <c r="AT391" i="92"/>
  <c r="AH222" i="92"/>
  <c r="AS222" i="92"/>
  <c r="AJ309" i="92"/>
  <c r="AU309" i="92"/>
  <c r="AV87" i="92"/>
  <c r="AK87" i="92"/>
  <c r="AH62" i="92"/>
  <c r="AS62" i="92"/>
  <c r="BA501" i="92"/>
  <c r="AP501" i="92"/>
  <c r="AK24" i="92"/>
  <c r="AV24" i="92"/>
  <c r="AG16" i="92"/>
  <c r="AR16" i="92"/>
  <c r="AQ741" i="92"/>
  <c r="AI661" i="92"/>
  <c r="AF578" i="92"/>
  <c r="AQ57" i="92"/>
  <c r="AV631" i="92"/>
  <c r="AK289" i="92"/>
  <c r="AP107" i="92"/>
  <c r="AU663" i="92"/>
  <c r="AK293" i="92"/>
  <c r="BA161" i="92"/>
  <c r="AV675" i="92"/>
  <c r="AU170" i="92"/>
  <c r="AH162" i="92"/>
  <c r="AU268" i="92"/>
  <c r="AK179" i="92"/>
  <c r="BA494" i="92"/>
  <c r="AF515" i="92"/>
  <c r="AQ515" i="92"/>
  <c r="AH615" i="92"/>
  <c r="AS615" i="92"/>
  <c r="AJ275" i="92"/>
  <c r="AU275" i="92"/>
  <c r="BA317" i="92"/>
  <c r="AP317" i="92"/>
  <c r="AP173" i="92"/>
  <c r="BA173" i="92"/>
  <c r="AK278" i="92"/>
  <c r="AV278" i="92"/>
  <c r="AT585" i="92"/>
  <c r="AI585" i="92"/>
  <c r="AJ236" i="92"/>
  <c r="AU236" i="92"/>
  <c r="AT550" i="92"/>
  <c r="AI550" i="92"/>
  <c r="BA502" i="92"/>
  <c r="AP502" i="92"/>
  <c r="AP389" i="92"/>
  <c r="BA389" i="92"/>
  <c r="AP327" i="92"/>
  <c r="BA327" i="92"/>
  <c r="AK144" i="92"/>
  <c r="AV144" i="92"/>
  <c r="AF591" i="92"/>
  <c r="AQ591" i="92"/>
  <c r="AG204" i="92"/>
  <c r="AR204" i="92"/>
  <c r="AS277" i="92"/>
  <c r="AH277" i="92"/>
  <c r="AJ33" i="92"/>
  <c r="AU33" i="92"/>
  <c r="AI24" i="92"/>
  <c r="AT24" i="92"/>
  <c r="AU17" i="92"/>
  <c r="AJ17" i="92"/>
  <c r="AH37" i="92"/>
  <c r="AH719" i="92"/>
  <c r="AP687" i="92"/>
  <c r="AP516" i="92"/>
  <c r="AQ101" i="92"/>
  <c r="AP525" i="92"/>
  <c r="AV51" i="92"/>
  <c r="AH65" i="92"/>
  <c r="AU254" i="92"/>
  <c r="AJ157" i="92"/>
  <c r="AP306" i="92"/>
  <c r="AK534" i="92"/>
  <c r="AQ53" i="92"/>
  <c r="BA139" i="92"/>
  <c r="AR317" i="92"/>
  <c r="BA357" i="92"/>
  <c r="AG220" i="92"/>
  <c r="BA145" i="92"/>
  <c r="BA163" i="92"/>
  <c r="BA115" i="92"/>
  <c r="AF249" i="92"/>
  <c r="AJ326" i="92"/>
  <c r="BA198" i="92"/>
  <c r="AF380" i="92"/>
  <c r="AK102" i="92"/>
  <c r="AT200" i="92"/>
  <c r="AP270" i="92"/>
  <c r="AI142" i="92"/>
  <c r="AF706" i="92"/>
  <c r="AV125" i="92"/>
  <c r="AF366" i="92"/>
  <c r="AH142" i="92"/>
  <c r="AF695" i="92"/>
  <c r="AI348" i="92"/>
  <c r="AI360" i="92"/>
  <c r="AH51" i="92"/>
  <c r="AP84" i="92"/>
  <c r="BA482" i="92"/>
  <c r="AW40" i="92"/>
  <c r="AO391" i="92"/>
  <c r="AG289" i="92"/>
  <c r="AR289" i="92"/>
  <c r="AR102" i="92"/>
  <c r="AG102" i="92"/>
  <c r="AP578" i="92"/>
  <c r="BA578" i="92"/>
  <c r="AK167" i="92"/>
  <c r="AV167" i="92"/>
  <c r="AV94" i="92"/>
  <c r="AK94" i="92"/>
  <c r="AG240" i="92"/>
  <c r="AR240" i="92"/>
  <c r="AP388" i="92"/>
  <c r="BA388" i="92"/>
  <c r="BA543" i="92"/>
  <c r="AP543" i="92"/>
  <c r="AG127" i="92"/>
  <c r="AR127" i="92"/>
  <c r="AK54" i="92"/>
  <c r="AV54" i="92"/>
  <c r="AJ10" i="92"/>
  <c r="AU10" i="92"/>
  <c r="AF13" i="92"/>
  <c r="AQ13" i="92"/>
  <c r="AQ748" i="92"/>
  <c r="AF748" i="92"/>
  <c r="AI689" i="92"/>
  <c r="AT689" i="92"/>
  <c r="AF615" i="92"/>
  <c r="AQ615" i="92"/>
  <c r="AH679" i="92"/>
  <c r="AS679" i="92"/>
  <c r="AV474" i="92"/>
  <c r="AK474" i="92"/>
  <c r="AI605" i="92"/>
  <c r="AT605" i="92"/>
  <c r="AK304" i="92"/>
  <c r="AV304" i="92"/>
  <c r="AG695" i="92"/>
  <c r="AR695" i="92"/>
  <c r="AJ330" i="92"/>
  <c r="AU330" i="92"/>
  <c r="AH164" i="92"/>
  <c r="AS164" i="92"/>
  <c r="BA264" i="92"/>
  <c r="AP264" i="92"/>
  <c r="AS392" i="92"/>
  <c r="AH392" i="92"/>
  <c r="AU447" i="92"/>
  <c r="AJ447" i="92"/>
  <c r="AK141" i="92"/>
  <c r="AV141" i="92"/>
  <c r="AG130" i="92"/>
  <c r="AR130" i="92"/>
  <c r="AP230" i="92"/>
  <c r="BA230" i="92"/>
  <c r="AS345" i="92"/>
  <c r="AH345" i="92"/>
  <c r="AP117" i="92"/>
  <c r="BA117" i="92"/>
  <c r="BA261" i="92"/>
  <c r="AP261" i="92"/>
  <c r="AQ626" i="92"/>
  <c r="AF626" i="92"/>
  <c r="AU380" i="92"/>
  <c r="AJ380" i="92"/>
  <c r="AG184" i="92"/>
  <c r="AR184" i="92"/>
  <c r="AJ270" i="92"/>
  <c r="AU270" i="92"/>
  <c r="AU131" i="92"/>
  <c r="AJ131" i="92"/>
  <c r="AF247" i="92"/>
  <c r="AQ247" i="92"/>
  <c r="BA474" i="92"/>
  <c r="AP474" i="92"/>
  <c r="AV95" i="92"/>
  <c r="AK95" i="92"/>
  <c r="AP620" i="92"/>
  <c r="BA620" i="92"/>
  <c r="AP549" i="92"/>
  <c r="BA549" i="92"/>
  <c r="AJ153" i="92"/>
  <c r="AU153" i="92"/>
  <c r="AF94" i="92"/>
  <c r="AQ94" i="92"/>
  <c r="AQ707" i="92"/>
  <c r="AH473" i="92"/>
  <c r="AU137" i="92"/>
  <c r="AP571" i="92"/>
  <c r="AT64" i="92"/>
  <c r="AJ302" i="92"/>
  <c r="AF108" i="92"/>
  <c r="AV738" i="92"/>
  <c r="AJ657" i="92"/>
  <c r="AV538" i="92"/>
  <c r="AT332" i="92"/>
  <c r="AS477" i="92"/>
  <c r="AV482" i="92"/>
  <c r="AK482" i="92"/>
  <c r="AS636" i="92"/>
  <c r="AH636" i="92"/>
  <c r="AU742" i="92"/>
  <c r="AJ742" i="92"/>
  <c r="AI701" i="92"/>
  <c r="AT701" i="92"/>
  <c r="AH493" i="92"/>
  <c r="AS493" i="92"/>
  <c r="AQ551" i="92"/>
  <c r="AF551" i="92"/>
  <c r="AS417" i="92"/>
  <c r="AH417" i="92"/>
  <c r="AP106" i="92"/>
  <c r="BA106" i="92"/>
  <c r="AR273" i="92"/>
  <c r="AG273" i="92"/>
  <c r="AS584" i="92"/>
  <c r="AH584" i="92"/>
  <c r="AG339" i="92"/>
  <c r="AR339" i="92"/>
  <c r="AV326" i="92"/>
  <c r="AK326" i="92"/>
  <c r="AG66" i="92"/>
  <c r="AR66" i="92"/>
  <c r="AK688" i="92"/>
  <c r="AV688" i="92"/>
  <c r="BA581" i="92"/>
  <c r="AP581" i="92"/>
  <c r="AP340" i="92"/>
  <c r="BA340" i="92"/>
  <c r="AP682" i="92"/>
  <c r="BA682" i="92"/>
  <c r="BA450" i="92"/>
  <c r="AP450" i="92"/>
  <c r="AH674" i="92"/>
  <c r="AS674" i="92"/>
  <c r="AK228" i="92"/>
  <c r="AV228" i="92"/>
  <c r="AR213" i="92"/>
  <c r="AT432" i="92"/>
  <c r="AF33" i="92"/>
  <c r="AT135" i="92"/>
  <c r="AP241" i="92"/>
  <c r="AP406" i="92"/>
  <c r="AI108" i="92"/>
  <c r="AR551" i="92"/>
  <c r="AU316" i="92"/>
  <c r="AQ141" i="92"/>
  <c r="BA212" i="92"/>
  <c r="AR640" i="92"/>
  <c r="AR274" i="92"/>
  <c r="AI476" i="92"/>
  <c r="AU158" i="92"/>
  <c r="AJ158" i="92"/>
  <c r="AT89" i="92"/>
  <c r="AI89" i="92"/>
  <c r="AI337" i="92"/>
  <c r="AT337" i="92"/>
  <c r="AP490" i="92"/>
  <c r="BA490" i="92"/>
  <c r="BA167" i="92"/>
  <c r="AP167" i="92"/>
  <c r="AJ281" i="92"/>
  <c r="AU281" i="92"/>
  <c r="BA386" i="92"/>
  <c r="AP386" i="92"/>
  <c r="AP554" i="92"/>
  <c r="BA554" i="92"/>
  <c r="AF378" i="92"/>
  <c r="AV321" i="92"/>
  <c r="AF131" i="92"/>
  <c r="AH185" i="92"/>
  <c r="AS308" i="92"/>
  <c r="AR621" i="92"/>
  <c r="AK322" i="92"/>
  <c r="AV495" i="92"/>
  <c r="BA733" i="92"/>
  <c r="AT540" i="92"/>
  <c r="AR179" i="92"/>
  <c r="AQ321" i="92"/>
  <c r="AF463" i="92"/>
  <c r="AI84" i="92"/>
  <c r="AF639" i="92"/>
  <c r="AK168" i="92"/>
  <c r="AQ494" i="92"/>
  <c r="AF494" i="92"/>
  <c r="AJ580" i="92"/>
  <c r="AU580" i="92"/>
  <c r="AK581" i="92"/>
  <c r="AV581" i="92"/>
  <c r="AU659" i="92"/>
  <c r="AJ659" i="92"/>
  <c r="AF395" i="92"/>
  <c r="AQ395" i="92"/>
  <c r="AG467" i="92"/>
  <c r="AR467" i="92"/>
  <c r="AP347" i="92"/>
  <c r="BA347" i="92"/>
  <c r="AK156" i="92"/>
  <c r="AV156" i="92"/>
  <c r="AK92" i="92"/>
  <c r="AV92" i="92"/>
  <c r="AI421" i="92"/>
  <c r="AT421" i="92"/>
  <c r="AU615" i="92"/>
  <c r="AJ615" i="92"/>
  <c r="AT439" i="92"/>
  <c r="AI439" i="92"/>
  <c r="AJ551" i="92"/>
  <c r="AU551" i="92"/>
  <c r="AV171" i="92"/>
  <c r="AK171" i="92"/>
  <c r="AR622" i="92"/>
  <c r="AG622" i="92"/>
  <c r="AF60" i="92"/>
  <c r="AQ60" i="92"/>
  <c r="AJ324" i="92"/>
  <c r="AU324" i="92"/>
  <c r="BA609" i="92"/>
  <c r="AP609" i="92"/>
  <c r="AJ359" i="92"/>
  <c r="AU359" i="92"/>
  <c r="AS306" i="92"/>
  <c r="AH306" i="92"/>
  <c r="AP597" i="92"/>
  <c r="BA597" i="92"/>
  <c r="AI268" i="92"/>
  <c r="AT268" i="92"/>
  <c r="BA133" i="92"/>
  <c r="AP133" i="92"/>
  <c r="AK288" i="92"/>
  <c r="AV288" i="92"/>
  <c r="AR98" i="92"/>
  <c r="AG98" i="92"/>
  <c r="AF268" i="92"/>
  <c r="AQ268" i="92"/>
  <c r="BA313" i="92"/>
  <c r="AP313" i="92"/>
  <c r="AK276" i="92"/>
  <c r="AV276" i="92"/>
  <c r="AJ692" i="92"/>
  <c r="AU692" i="92"/>
  <c r="AI185" i="92"/>
  <c r="BA273" i="92"/>
  <c r="AR568" i="92"/>
  <c r="AJ335" i="92"/>
  <c r="BA180" i="92"/>
  <c r="AJ440" i="92"/>
  <c r="AU84" i="92"/>
  <c r="AS279" i="92"/>
  <c r="AG111" i="92"/>
  <c r="AV79" i="92"/>
  <c r="AP398" i="92"/>
  <c r="AJ724" i="92"/>
  <c r="AQ355" i="92"/>
  <c r="BA473" i="92"/>
  <c r="AQ309" i="92"/>
  <c r="AQ341" i="92"/>
  <c r="AV673" i="92"/>
  <c r="AK673" i="92"/>
  <c r="AF467" i="92"/>
  <c r="AQ467" i="92"/>
  <c r="AU390" i="92"/>
  <c r="AJ390" i="92"/>
  <c r="AK563" i="92"/>
  <c r="AV563" i="92"/>
  <c r="AT611" i="92"/>
  <c r="AI611" i="92"/>
  <c r="AT180" i="92"/>
  <c r="AI180" i="92"/>
  <c r="AF346" i="92"/>
  <c r="AQ346" i="92"/>
  <c r="BA210" i="92"/>
  <c r="AP210" i="92"/>
  <c r="BA488" i="92"/>
  <c r="AP488" i="92"/>
  <c r="BA589" i="92"/>
  <c r="AP589" i="92"/>
  <c r="AF620" i="92"/>
  <c r="AR459" i="92"/>
  <c r="AI423" i="92"/>
  <c r="AR255" i="92"/>
  <c r="AK713" i="92"/>
  <c r="AI460" i="92"/>
  <c r="AR562" i="92"/>
  <c r="AH169" i="92"/>
  <c r="AG329" i="92"/>
  <c r="AT373" i="92"/>
  <c r="AQ116" i="92"/>
  <c r="AH591" i="92"/>
  <c r="AS343" i="92"/>
  <c r="BA617" i="92"/>
  <c r="AJ123" i="92"/>
  <c r="AQ516" i="92"/>
  <c r="AS344" i="92"/>
  <c r="AP300" i="92"/>
  <c r="AP268" i="92"/>
  <c r="AK225" i="92"/>
  <c r="AH218" i="92"/>
  <c r="AI523" i="92"/>
  <c r="AR724" i="92"/>
  <c r="AG724" i="92"/>
  <c r="AH728" i="92"/>
  <c r="AS728" i="92"/>
  <c r="AF513" i="92"/>
  <c r="AQ513" i="92"/>
  <c r="AV436" i="92"/>
  <c r="AK436" i="92"/>
  <c r="AT645" i="92"/>
  <c r="AI645" i="92"/>
  <c r="AS407" i="92"/>
  <c r="AH407" i="92"/>
  <c r="AI470" i="92"/>
  <c r="AT470" i="92"/>
  <c r="AR630" i="92"/>
  <c r="AG630" i="92"/>
  <c r="AF109" i="92"/>
  <c r="AQ109" i="92"/>
  <c r="AK305" i="92"/>
  <c r="AV305" i="92"/>
  <c r="AF364" i="92"/>
  <c r="AQ364" i="92"/>
  <c r="BA299" i="92"/>
  <c r="AP299" i="92"/>
  <c r="AK329" i="92"/>
  <c r="AV329" i="92"/>
  <c r="AI731" i="92"/>
  <c r="AT731" i="92"/>
  <c r="AP363" i="92"/>
  <c r="BA363" i="92"/>
  <c r="AU240" i="92"/>
  <c r="AJ240" i="92"/>
  <c r="AG460" i="92"/>
  <c r="AR460" i="92"/>
  <c r="AF63" i="92"/>
  <c r="AQ63" i="92"/>
  <c r="AK512" i="92"/>
  <c r="AV512" i="92"/>
  <c r="AJ103" i="92"/>
  <c r="AU103" i="92"/>
  <c r="AV747" i="92"/>
  <c r="AV203" i="92"/>
  <c r="AV136" i="92"/>
  <c r="AJ277" i="92"/>
  <c r="AT252" i="92"/>
  <c r="AU97" i="92"/>
  <c r="AH186" i="92"/>
  <c r="AK625" i="92"/>
  <c r="AU320" i="92"/>
  <c r="AS150" i="92"/>
  <c r="AQ721" i="92"/>
  <c r="AP396" i="92"/>
  <c r="AH628" i="92"/>
  <c r="BA255" i="92"/>
  <c r="AG672" i="92"/>
  <c r="AR672" i="92"/>
  <c r="AH643" i="92"/>
  <c r="AS91" i="92"/>
  <c r="AU332" i="92"/>
  <c r="BA392" i="92"/>
  <c r="AS383" i="92"/>
  <c r="AT703" i="92"/>
  <c r="AH250" i="92"/>
  <c r="BA291" i="92"/>
  <c r="AP338" i="92"/>
  <c r="BA187" i="92"/>
  <c r="AP523" i="92"/>
  <c r="AK365" i="92"/>
  <c r="AT188" i="92"/>
  <c r="BA168" i="92"/>
  <c r="AF650" i="92"/>
  <c r="AP560" i="92"/>
  <c r="AF316" i="92"/>
  <c r="AI491" i="92"/>
  <c r="AQ700" i="92"/>
  <c r="AJ321" i="92"/>
  <c r="AI368" i="92"/>
  <c r="AP171" i="92"/>
  <c r="AP328" i="92"/>
  <c r="AV348" i="92"/>
  <c r="AH204" i="92"/>
  <c r="AV695" i="92"/>
  <c r="BA628" i="92"/>
  <c r="AH252" i="92"/>
  <c r="AR205" i="92"/>
  <c r="AI229" i="92"/>
  <c r="BA110" i="92"/>
  <c r="BA304" i="92"/>
  <c r="AI364" i="92"/>
  <c r="AT478" i="92"/>
  <c r="AO745" i="92"/>
  <c r="AO560" i="92"/>
  <c r="AH22" i="92"/>
  <c r="AS22" i="92"/>
  <c r="AP34" i="92"/>
  <c r="BA34" i="92"/>
  <c r="AF10" i="92"/>
  <c r="AQ10" i="92"/>
  <c r="AJ13" i="92"/>
  <c r="AU13" i="92"/>
  <c r="AM20" i="92"/>
  <c r="AX20" i="92"/>
  <c r="AJ31" i="92"/>
  <c r="AU31" i="92"/>
  <c r="AP40" i="92"/>
  <c r="BA40" i="92"/>
  <c r="AG17" i="92"/>
  <c r="AR17" i="92"/>
  <c r="AQ28" i="92"/>
  <c r="AF28" i="92"/>
  <c r="AI39" i="92"/>
  <c r="AT39" i="92"/>
  <c r="AJ30" i="92"/>
  <c r="AU30" i="92"/>
  <c r="AP10" i="92"/>
  <c r="BA10" i="92"/>
  <c r="AV32" i="92"/>
  <c r="AK32" i="92"/>
  <c r="AQ333" i="92"/>
  <c r="AF333" i="92"/>
  <c r="AS546" i="92"/>
  <c r="AH546" i="92"/>
  <c r="AK101" i="92"/>
  <c r="AV101" i="92"/>
  <c r="AS239" i="92"/>
  <c r="AH239" i="92"/>
  <c r="AH385" i="92"/>
  <c r="AS385" i="92"/>
  <c r="AR92" i="92"/>
  <c r="AG92" i="92"/>
  <c r="BA684" i="92"/>
  <c r="AP684" i="92"/>
  <c r="AK254" i="92"/>
  <c r="AV254" i="92"/>
  <c r="BA576" i="92"/>
  <c r="AP576" i="92"/>
  <c r="AJ90" i="92"/>
  <c r="AU90" i="92"/>
  <c r="AI221" i="92"/>
  <c r="AT221" i="92"/>
  <c r="AP681" i="92"/>
  <c r="BA681" i="92"/>
  <c r="AV185" i="92"/>
  <c r="AK185" i="92"/>
  <c r="AI472" i="92"/>
  <c r="AT472" i="92"/>
  <c r="AF88" i="92"/>
  <c r="AQ88" i="92"/>
  <c r="AF308" i="92"/>
  <c r="AQ308" i="92"/>
  <c r="AQ198" i="92"/>
  <c r="AF198" i="92"/>
  <c r="AQ377" i="92"/>
  <c r="AF377" i="92"/>
  <c r="AG142" i="92"/>
  <c r="AR142" i="92"/>
  <c r="BA319" i="92"/>
  <c r="AP319" i="92"/>
  <c r="AF292" i="92"/>
  <c r="AQ292" i="92"/>
  <c r="AV241" i="92"/>
  <c r="AK241" i="92"/>
  <c r="AQ296" i="92"/>
  <c r="AF296" i="92"/>
  <c r="AP550" i="92"/>
  <c r="BA550" i="92"/>
  <c r="AH129" i="92"/>
  <c r="AS129" i="92"/>
  <c r="BA87" i="92"/>
  <c r="AP87" i="92"/>
  <c r="AP76" i="92"/>
  <c r="BA76" i="92"/>
  <c r="AJ67" i="92"/>
  <c r="AU67" i="92"/>
  <c r="AK67" i="92"/>
  <c r="AV67" i="92"/>
  <c r="AH55" i="92"/>
  <c r="AS55" i="92"/>
  <c r="AH280" i="92"/>
  <c r="BA521" i="92"/>
  <c r="AP380" i="92"/>
  <c r="AH223" i="92"/>
  <c r="AU283" i="92"/>
  <c r="AF165" i="92"/>
  <c r="AV425" i="92"/>
  <c r="AT279" i="92"/>
  <c r="AG145" i="92"/>
  <c r="AV503" i="92"/>
  <c r="AF184" i="92"/>
  <c r="AH196" i="92"/>
  <c r="AV317" i="92"/>
  <c r="AP147" i="92"/>
  <c r="AT580" i="92"/>
  <c r="AU155" i="92"/>
  <c r="AP593" i="92"/>
  <c r="AQ360" i="92"/>
  <c r="AF360" i="92"/>
  <c r="AU61" i="92"/>
  <c r="AJ61" i="92"/>
  <c r="AV218" i="92"/>
  <c r="AK218" i="92"/>
  <c r="AU313" i="92"/>
  <c r="AJ313" i="92"/>
  <c r="AT600" i="92"/>
  <c r="AI600" i="92"/>
  <c r="AT306" i="92"/>
  <c r="AI306" i="92"/>
  <c r="AK758" i="92"/>
  <c r="AV758" i="92"/>
  <c r="AF104" i="92"/>
  <c r="AQ104" i="92"/>
  <c r="AP710" i="92"/>
  <c r="BA710" i="92"/>
  <c r="AV108" i="92"/>
  <c r="AK108" i="92"/>
  <c r="AQ243" i="92"/>
  <c r="AF243" i="92"/>
  <c r="AG538" i="92"/>
  <c r="AR538" i="92"/>
  <c r="AQ389" i="92"/>
  <c r="AF389" i="92"/>
  <c r="AI77" i="92"/>
  <c r="AT77" i="92"/>
  <c r="AT208" i="92"/>
  <c r="AI208" i="92"/>
  <c r="BA744" i="92"/>
  <c r="AP744" i="92"/>
  <c r="AS230" i="92"/>
  <c r="AH230" i="92"/>
  <c r="AP715" i="92"/>
  <c r="BA715" i="92"/>
  <c r="AK256" i="92"/>
  <c r="AV256" i="92"/>
  <c r="BA417" i="92"/>
  <c r="AP417" i="92"/>
  <c r="AT154" i="92"/>
  <c r="AI154" i="92"/>
  <c r="BA310" i="92"/>
  <c r="AP310" i="92"/>
  <c r="BA713" i="92"/>
  <c r="AP713" i="92"/>
  <c r="AP112" i="92"/>
  <c r="BA112" i="92"/>
  <c r="BA634" i="92"/>
  <c r="AP634" i="92"/>
  <c r="AT152" i="92"/>
  <c r="AI152" i="92"/>
  <c r="AP553" i="92"/>
  <c r="BA553" i="92"/>
  <c r="AS291" i="92"/>
  <c r="AH291" i="92"/>
  <c r="AP433" i="92"/>
  <c r="BA433" i="92"/>
  <c r="AJ334" i="92"/>
  <c r="AU334" i="92"/>
  <c r="AU46" i="92"/>
  <c r="AJ46" i="92"/>
  <c r="AH70" i="92"/>
  <c r="AS70" i="92"/>
  <c r="AV601" i="92"/>
  <c r="AT325" i="92"/>
  <c r="AP257" i="92"/>
  <c r="BA694" i="92"/>
  <c r="AQ58" i="92"/>
  <c r="BA726" i="92"/>
  <c r="AI316" i="92"/>
  <c r="AP5" i="92"/>
  <c r="AP709" i="92"/>
  <c r="AP98" i="92"/>
  <c r="AF372" i="92"/>
  <c r="AV21" i="92"/>
  <c r="AS371" i="92"/>
  <c r="AK755" i="92"/>
  <c r="AI28" i="92"/>
  <c r="AH90" i="92"/>
  <c r="AT189" i="92"/>
  <c r="AK269" i="92"/>
  <c r="AJ213" i="92"/>
  <c r="AF562" i="92"/>
  <c r="AV215" i="92"/>
  <c r="AV175" i="92"/>
  <c r="AP252" i="92"/>
  <c r="AS333" i="92"/>
  <c r="BA508" i="92"/>
  <c r="AJ144" i="92"/>
  <c r="AF121" i="92"/>
  <c r="AV188" i="92"/>
  <c r="BA367" i="92"/>
  <c r="AU221" i="92"/>
  <c r="AG43" i="92"/>
  <c r="AT455" i="92"/>
  <c r="AL25" i="27" s="1"/>
  <c r="BA9" i="92"/>
  <c r="AW36" i="92"/>
  <c r="AH426" i="92"/>
  <c r="AS426" i="92"/>
  <c r="AH482" i="92"/>
  <c r="AS482" i="92"/>
  <c r="AF534" i="92"/>
  <c r="AQ534" i="92"/>
  <c r="AH201" i="92"/>
  <c r="AS201" i="92"/>
  <c r="AG141" i="92"/>
  <c r="AR141" i="92"/>
  <c r="AI169" i="92"/>
  <c r="AT169" i="92"/>
  <c r="AJ664" i="92"/>
  <c r="AU664" i="92"/>
  <c r="AQ569" i="92"/>
  <c r="AF569" i="92"/>
  <c r="AQ331" i="92"/>
  <c r="AF331" i="92"/>
  <c r="AT117" i="92"/>
  <c r="AI117" i="92"/>
  <c r="AG725" i="92"/>
  <c r="AR725" i="92"/>
  <c r="AG103" i="92"/>
  <c r="AR103" i="92"/>
  <c r="AG377" i="92"/>
  <c r="AR377" i="92"/>
  <c r="AP421" i="92"/>
  <c r="BA421" i="92"/>
  <c r="AP272" i="92"/>
  <c r="BA272" i="92"/>
  <c r="AP141" i="92"/>
  <c r="BA141" i="92"/>
  <c r="AV375" i="92"/>
  <c r="AK375" i="92"/>
  <c r="AF201" i="92"/>
  <c r="AQ201" i="92"/>
  <c r="AP284" i="92"/>
  <c r="BA284" i="92"/>
  <c r="AK35" i="92"/>
  <c r="AV35" i="92"/>
  <c r="AH60" i="92"/>
  <c r="AS60" i="92"/>
  <c r="AU68" i="92"/>
  <c r="AJ68" i="92"/>
  <c r="AH23" i="92"/>
  <c r="AS23" i="92"/>
  <c r="AW17" i="92"/>
  <c r="AL17" i="92"/>
  <c r="AH535" i="92"/>
  <c r="AS184" i="92"/>
  <c r="AJ301" i="92"/>
  <c r="AK431" i="92"/>
  <c r="AR167" i="92"/>
  <c r="BA680" i="92"/>
  <c r="AT357" i="92"/>
  <c r="AV671" i="92"/>
  <c r="AT397" i="92"/>
  <c r="AJ451" i="92"/>
  <c r="AP258" i="92"/>
  <c r="AV132" i="92"/>
  <c r="AR745" i="92"/>
  <c r="AU317" i="92"/>
  <c r="AP70" i="92"/>
  <c r="AG79" i="92"/>
  <c r="AU225" i="92"/>
  <c r="AQ680" i="92"/>
  <c r="AT124" i="92"/>
  <c r="AG236" i="92"/>
  <c r="AH103" i="92"/>
  <c r="AS52" i="92"/>
  <c r="AV207" i="92"/>
  <c r="AR48" i="92"/>
  <c r="AK181" i="92"/>
  <c r="AP452" i="92"/>
  <c r="AN8" i="92"/>
  <c r="AG155" i="92"/>
  <c r="AR155" i="92"/>
  <c r="AG257" i="92"/>
  <c r="AR257" i="92"/>
  <c r="AV451" i="92"/>
  <c r="AK451" i="92"/>
  <c r="AS160" i="92"/>
  <c r="AH160" i="92"/>
  <c r="AQ261" i="92"/>
  <c r="AF261" i="92"/>
  <c r="AQ444" i="92"/>
  <c r="AF444" i="92"/>
  <c r="AQ687" i="92"/>
  <c r="AF687" i="92"/>
  <c r="AR352" i="92"/>
  <c r="AG352" i="92"/>
  <c r="AP761" i="92"/>
  <c r="BA761" i="92"/>
  <c r="AK332" i="92"/>
  <c r="AV332" i="92"/>
  <c r="AP138" i="92"/>
  <c r="BA138" i="92"/>
  <c r="AV206" i="92"/>
  <c r="AK206" i="92"/>
  <c r="AT159" i="92"/>
  <c r="AI159" i="92"/>
  <c r="AG164" i="92"/>
  <c r="AR164" i="92"/>
  <c r="AT143" i="92"/>
  <c r="AI143" i="92"/>
  <c r="AP120" i="92"/>
  <c r="BA120" i="92"/>
  <c r="AI347" i="92"/>
  <c r="AT347" i="92"/>
  <c r="AP385" i="92"/>
  <c r="BA385" i="92"/>
  <c r="AR244" i="92"/>
  <c r="AG244" i="92"/>
  <c r="AF151" i="92"/>
  <c r="AQ151" i="92"/>
  <c r="AO26" i="92"/>
  <c r="AZ26" i="92"/>
  <c r="AQ50" i="92"/>
  <c r="AF50" i="92"/>
  <c r="AQ46" i="92"/>
  <c r="AF46" i="92"/>
  <c r="AH12" i="92"/>
  <c r="AS12" i="92"/>
  <c r="AN12" i="92"/>
  <c r="AY12" i="92"/>
  <c r="AV434" i="92"/>
  <c r="AK434" i="92"/>
  <c r="AI548" i="92"/>
  <c r="AT548" i="92"/>
  <c r="AU265" i="92"/>
  <c r="AJ265" i="92"/>
  <c r="AR177" i="92"/>
  <c r="AG177" i="92"/>
  <c r="AG8" i="92"/>
  <c r="AR8" i="92"/>
  <c r="AF672" i="92"/>
  <c r="AH136" i="92"/>
  <c r="AS547" i="92"/>
  <c r="AJ220" i="92"/>
  <c r="AT321" i="92"/>
  <c r="BA698" i="92"/>
  <c r="AV493" i="92"/>
  <c r="AG9" i="92"/>
  <c r="AJ205" i="92"/>
  <c r="AF330" i="92"/>
  <c r="AG238" i="92"/>
  <c r="AL9" i="92"/>
  <c r="AS21" i="92"/>
  <c r="BA734" i="92"/>
  <c r="AH122" i="92"/>
  <c r="AH260" i="92"/>
  <c r="AR232" i="92"/>
  <c r="AU83" i="92"/>
  <c r="AF160" i="92"/>
  <c r="AV380" i="92"/>
  <c r="AF61" i="92"/>
  <c r="AU64" i="92"/>
  <c r="AG46" i="92"/>
  <c r="AP18" i="92"/>
  <c r="AG57" i="92"/>
  <c r="AI34" i="92"/>
  <c r="AS283" i="92"/>
  <c r="BA118" i="92"/>
  <c r="AV268" i="92"/>
  <c r="AH173" i="92"/>
  <c r="AS131" i="92"/>
  <c r="AV277" i="92"/>
  <c r="AI158" i="92"/>
  <c r="AG32" i="92"/>
  <c r="AS92" i="92"/>
  <c r="AJ81" i="92"/>
  <c r="AQ74" i="92"/>
  <c r="AQ119" i="92"/>
  <c r="AR375" i="92"/>
  <c r="AP333" i="92"/>
  <c r="AP724" i="92"/>
  <c r="BA672" i="92"/>
  <c r="AJ199" i="92"/>
  <c r="BA251" i="92"/>
  <c r="AK292" i="92"/>
  <c r="BA697" i="92"/>
  <c r="AW11" i="92"/>
  <c r="AY15" i="92"/>
  <c r="AR52" i="92"/>
  <c r="AG52" i="92"/>
  <c r="AV468" i="92"/>
  <c r="AK468" i="92"/>
  <c r="AI745" i="92"/>
  <c r="AT745" i="92"/>
  <c r="AU276" i="92"/>
  <c r="AJ276" i="92"/>
  <c r="AF200" i="92"/>
  <c r="AQ200" i="92"/>
  <c r="AV250" i="92"/>
  <c r="AK250" i="92"/>
  <c r="AU507" i="92"/>
  <c r="AJ507" i="92"/>
  <c r="AS105" i="92"/>
  <c r="AH105" i="92"/>
  <c r="AH88" i="92"/>
  <c r="AS88" i="92"/>
  <c r="AJ99" i="92"/>
  <c r="AU99" i="92"/>
  <c r="AP256" i="92"/>
  <c r="BA256" i="92"/>
  <c r="AI201" i="92"/>
  <c r="AT201" i="92"/>
  <c r="AP193" i="92"/>
  <c r="BA193" i="92"/>
  <c r="AG191" i="92"/>
  <c r="AR191" i="92"/>
  <c r="AI302" i="92"/>
  <c r="AT302" i="92"/>
  <c r="AQ205" i="92"/>
  <c r="AF205" i="92"/>
  <c r="AK111" i="92"/>
  <c r="AV111" i="92"/>
  <c r="AR138" i="92"/>
  <c r="AG138" i="92"/>
  <c r="BA570" i="92"/>
  <c r="AP570" i="92"/>
  <c r="AU39" i="92"/>
  <c r="AJ39" i="92"/>
  <c r="AT161" i="92"/>
  <c r="AV60" i="92"/>
  <c r="AU245" i="92"/>
  <c r="BA575" i="92"/>
  <c r="BA429" i="92"/>
  <c r="AG283" i="92"/>
  <c r="AQ188" i="92"/>
  <c r="AI254" i="92"/>
  <c r="AG553" i="92"/>
  <c r="AG327" i="92"/>
  <c r="AP153" i="92"/>
  <c r="AI261" i="92"/>
  <c r="BA366" i="92"/>
  <c r="BA405" i="92"/>
  <c r="AR34" i="92"/>
  <c r="BA81" i="92"/>
  <c r="AT222" i="92"/>
  <c r="BA748" i="92"/>
  <c r="AF206" i="92"/>
  <c r="AT354" i="92"/>
  <c r="AI146" i="92"/>
  <c r="AJ151" i="92"/>
  <c r="AU336" i="92"/>
  <c r="AP463" i="92"/>
  <c r="AI652" i="92"/>
  <c r="AS6" i="92"/>
  <c r="BA745" i="92"/>
  <c r="AU185" i="92"/>
  <c r="AK213" i="92"/>
  <c r="AV88" i="92"/>
  <c r="AQ273" i="92"/>
  <c r="AV295" i="92"/>
  <c r="AH139" i="92"/>
  <c r="AT341" i="92"/>
  <c r="AR496" i="92"/>
  <c r="AP362" i="92"/>
  <c r="AF453" i="92"/>
  <c r="AV501" i="92"/>
  <c r="AS509" i="92"/>
  <c r="AT699" i="92"/>
  <c r="AH498" i="92"/>
  <c r="AH450" i="92"/>
  <c r="AH446" i="92"/>
  <c r="AG266" i="92"/>
  <c r="AO34" i="92"/>
  <c r="AG601" i="92"/>
  <c r="AP215" i="92"/>
  <c r="AI740" i="92"/>
  <c r="AT155" i="92"/>
  <c r="AP337" i="92"/>
  <c r="AI520" i="92"/>
  <c r="AI165" i="92"/>
  <c r="AU745" i="92"/>
  <c r="AT147" i="92"/>
  <c r="AF658" i="92"/>
  <c r="AS112" i="92"/>
  <c r="AV280" i="92"/>
  <c r="AI521" i="92"/>
  <c r="AU141" i="92"/>
  <c r="AL325" i="27"/>
  <c r="AL335" i="27"/>
  <c r="AL107" i="27"/>
  <c r="AL75" i="27"/>
  <c r="AL343" i="27"/>
  <c r="AL384" i="27"/>
  <c r="AL200" i="27"/>
  <c r="AL207" i="27"/>
  <c r="AL82" i="27"/>
  <c r="AL238" i="27"/>
  <c r="AL438" i="27"/>
  <c r="AL307" i="27"/>
  <c r="AL385" i="27"/>
  <c r="AQ541" i="92"/>
  <c r="AV449" i="92"/>
  <c r="AZ158" i="92"/>
  <c r="AQ506" i="92"/>
  <c r="AT662" i="92"/>
  <c r="AV391" i="92"/>
  <c r="AJ666" i="92"/>
  <c r="AZ302" i="92"/>
  <c r="AJ223" i="92"/>
  <c r="AU719" i="92"/>
  <c r="AR477" i="92"/>
  <c r="AZ515" i="92"/>
  <c r="AO109" i="92"/>
  <c r="AO756" i="92"/>
  <c r="AO264" i="92"/>
  <c r="AF584" i="92"/>
  <c r="AO367" i="92"/>
  <c r="AI653" i="92"/>
  <c r="AQ429" i="92"/>
  <c r="AI762" i="92"/>
  <c r="AZ318" i="92"/>
  <c r="AO318" i="92"/>
  <c r="AM141" i="92"/>
  <c r="AX141" i="92"/>
  <c r="AF556" i="92"/>
  <c r="AQ556" i="92"/>
  <c r="AZ582" i="92"/>
  <c r="AO582" i="92"/>
  <c r="AU514" i="92"/>
  <c r="AJ514" i="92"/>
  <c r="AI389" i="92"/>
  <c r="AT389" i="92"/>
  <c r="AU744" i="92"/>
  <c r="AJ744" i="92"/>
  <c r="AS517" i="92"/>
  <c r="AH517" i="92"/>
  <c r="AK418" i="92"/>
  <c r="AV418" i="92"/>
  <c r="AJ420" i="92"/>
  <c r="AU420" i="92"/>
  <c r="AH553" i="92"/>
  <c r="AS553" i="92"/>
  <c r="AG693" i="92"/>
  <c r="AR693" i="92"/>
  <c r="AK403" i="92"/>
  <c r="AV403" i="92"/>
  <c r="AJ388" i="92"/>
  <c r="AU388" i="92"/>
  <c r="AK646" i="92"/>
  <c r="AV646" i="92"/>
  <c r="AQ105" i="92"/>
  <c r="AF105" i="92"/>
  <c r="AI366" i="92"/>
  <c r="AT366" i="92"/>
  <c r="AT617" i="92"/>
  <c r="AI617" i="92"/>
  <c r="AJ295" i="92"/>
  <c r="AU295" i="92"/>
  <c r="AI485" i="92"/>
  <c r="AT485" i="92"/>
  <c r="AK306" i="92"/>
  <c r="AV306" i="92"/>
  <c r="AX34" i="92"/>
  <c r="AM34" i="92"/>
  <c r="AR350" i="92"/>
  <c r="AG350" i="92"/>
  <c r="AT481" i="92"/>
  <c r="AI481" i="92"/>
  <c r="AG302" i="92"/>
  <c r="AR302" i="92"/>
  <c r="AT271" i="92"/>
  <c r="AI271" i="92"/>
  <c r="AH600" i="92"/>
  <c r="AS600" i="92"/>
  <c r="AT133" i="92"/>
  <c r="AI133" i="92"/>
  <c r="AT396" i="92"/>
  <c r="AI396" i="92"/>
  <c r="BA379" i="92"/>
  <c r="AP379" i="92"/>
  <c r="AJ566" i="92"/>
  <c r="AU566" i="92"/>
  <c r="AI370" i="92"/>
  <c r="AT370" i="92"/>
  <c r="BA274" i="92"/>
  <c r="AP274" i="92"/>
  <c r="AT257" i="92"/>
  <c r="AI257" i="92"/>
  <c r="AP224" i="92"/>
  <c r="BA224" i="92"/>
  <c r="AK155" i="92"/>
  <c r="AV155" i="92"/>
  <c r="AU304" i="92"/>
  <c r="AJ304" i="92"/>
  <c r="AV377" i="92"/>
  <c r="AK377" i="92"/>
  <c r="BA378" i="92"/>
  <c r="AP378" i="92"/>
  <c r="AI274" i="92"/>
  <c r="AT274" i="92"/>
  <c r="AQ636" i="92"/>
  <c r="AF636" i="92"/>
  <c r="AJ495" i="92"/>
  <c r="AU495" i="92"/>
  <c r="BA435" i="92"/>
  <c r="AP435" i="92"/>
  <c r="AU342" i="92"/>
  <c r="AJ342" i="92"/>
  <c r="AP260" i="92"/>
  <c r="BA260" i="92"/>
  <c r="BA124" i="92"/>
  <c r="AP124" i="92"/>
  <c r="AQ512" i="92"/>
  <c r="AF512" i="92"/>
  <c r="AF373" i="92"/>
  <c r="AQ373" i="92"/>
  <c r="AK487" i="92"/>
  <c r="AK443" i="92"/>
  <c r="AO746" i="92"/>
  <c r="AR555" i="92"/>
  <c r="BA242" i="92"/>
  <c r="AZ760" i="92"/>
  <c r="AO760" i="92"/>
  <c r="AF428" i="92"/>
  <c r="AQ428" i="92"/>
  <c r="AZ493" i="92"/>
  <c r="AO493" i="92"/>
  <c r="AG470" i="92"/>
  <c r="AR470" i="92"/>
  <c r="AQ492" i="92"/>
  <c r="AF492" i="92"/>
  <c r="AK424" i="92"/>
  <c r="AV424" i="92"/>
  <c r="AI453" i="92"/>
  <c r="AT453" i="92"/>
  <c r="AK574" i="92"/>
  <c r="AV574" i="92"/>
  <c r="AI710" i="92"/>
  <c r="AT710" i="92"/>
  <c r="AR699" i="92"/>
  <c r="AG699" i="92"/>
  <c r="AR554" i="92"/>
  <c r="AG554" i="92"/>
  <c r="AH405" i="92"/>
  <c r="AS405" i="92"/>
  <c r="AQ587" i="92"/>
  <c r="AF587" i="92"/>
  <c r="AK621" i="92"/>
  <c r="AV621" i="92"/>
  <c r="AR626" i="92"/>
  <c r="AG626" i="92"/>
  <c r="AG752" i="92"/>
  <c r="AR752" i="92"/>
  <c r="AS192" i="92"/>
  <c r="AH192" i="92"/>
  <c r="AU680" i="92"/>
  <c r="AK536" i="92"/>
  <c r="AH668" i="92"/>
  <c r="AK703" i="92"/>
  <c r="AU384" i="92"/>
  <c r="AG499" i="92"/>
  <c r="AR516" i="92"/>
  <c r="AG583" i="92"/>
  <c r="AQ631" i="92"/>
  <c r="AI251" i="92"/>
  <c r="AR711" i="92"/>
  <c r="AH313" i="92"/>
  <c r="AT723" i="92"/>
  <c r="AV409" i="92"/>
  <c r="AY227" i="92"/>
  <c r="AN227" i="92"/>
  <c r="AT579" i="92"/>
  <c r="AI579" i="92"/>
  <c r="AK757" i="92"/>
  <c r="AV757" i="92"/>
  <c r="AK687" i="92"/>
  <c r="AV687" i="92"/>
  <c r="AF439" i="92"/>
  <c r="AQ439" i="92"/>
  <c r="AN502" i="92"/>
  <c r="AY502" i="92"/>
  <c r="AI573" i="92"/>
  <c r="AT573" i="92"/>
  <c r="AJ422" i="92"/>
  <c r="AU422" i="92"/>
  <c r="AJ458" i="92"/>
  <c r="AU458" i="92"/>
  <c r="AV471" i="92"/>
  <c r="AK471" i="92"/>
  <c r="AR389" i="92"/>
  <c r="AG389" i="92"/>
  <c r="AS437" i="92"/>
  <c r="AH437" i="92"/>
  <c r="AU675" i="92"/>
  <c r="AJ675" i="92"/>
  <c r="AF450" i="92"/>
  <c r="AQ450" i="92"/>
  <c r="AJ674" i="92"/>
  <c r="AU674" i="92"/>
  <c r="AG442" i="92"/>
  <c r="AR442" i="92"/>
  <c r="AT525" i="92"/>
  <c r="AI525" i="92"/>
  <c r="AF489" i="92"/>
  <c r="AQ489" i="92"/>
  <c r="AS689" i="92"/>
  <c r="AH689" i="92"/>
  <c r="AT706" i="92"/>
  <c r="AI706" i="92"/>
  <c r="AQ589" i="92"/>
  <c r="AF589" i="92"/>
  <c r="AR664" i="92"/>
  <c r="AG664" i="92"/>
  <c r="AI435" i="92"/>
  <c r="AT435" i="92"/>
  <c r="AF476" i="92"/>
  <c r="AQ476" i="92"/>
  <c r="AU488" i="92"/>
  <c r="AJ488" i="92"/>
  <c r="AJ516" i="92"/>
  <c r="AU516" i="92"/>
  <c r="AQ746" i="92"/>
  <c r="AF746" i="92"/>
  <c r="AI582" i="92"/>
  <c r="AT582" i="92"/>
  <c r="AS592" i="92"/>
  <c r="AH592" i="92"/>
  <c r="AQ544" i="92"/>
  <c r="AF544" i="92"/>
  <c r="AQ527" i="92"/>
  <c r="AF527" i="92"/>
  <c r="AQ583" i="92"/>
  <c r="AF583" i="92"/>
  <c r="AF735" i="92"/>
  <c r="AQ735" i="92"/>
  <c r="AJ397" i="92"/>
  <c r="AU397" i="92"/>
  <c r="AG660" i="92"/>
  <c r="AR660" i="92"/>
  <c r="AU762" i="92"/>
  <c r="AJ762" i="92"/>
  <c r="AH393" i="92"/>
  <c r="AS393" i="92"/>
  <c r="AG282" i="92"/>
  <c r="AR282" i="92"/>
  <c r="AJ687" i="92"/>
  <c r="AU687" i="92"/>
  <c r="AI399" i="92"/>
  <c r="AT399" i="92"/>
  <c r="AH299" i="92"/>
  <c r="AS299" i="92"/>
  <c r="AF471" i="92"/>
  <c r="AQ471" i="92"/>
  <c r="AS456" i="92"/>
  <c r="AH456" i="92"/>
  <c r="BA305" i="92"/>
  <c r="AP305" i="92"/>
  <c r="AV592" i="92"/>
  <c r="AK592" i="92"/>
  <c r="AJ282" i="92"/>
  <c r="AU282" i="92"/>
  <c r="AS362" i="92"/>
  <c r="AH362" i="92"/>
  <c r="AJ239" i="92"/>
  <c r="AU239" i="92"/>
  <c r="AH358" i="92"/>
  <c r="AS358" i="92"/>
  <c r="AK323" i="92"/>
  <c r="AV323" i="92"/>
  <c r="AS744" i="92"/>
  <c r="AH744" i="92"/>
  <c r="AQ210" i="92"/>
  <c r="AF210" i="92"/>
  <c r="AI362" i="92"/>
  <c r="AT362" i="92"/>
  <c r="AJ655" i="92"/>
  <c r="AU655" i="92"/>
  <c r="AU296" i="92"/>
  <c r="AJ296" i="92"/>
  <c r="AF374" i="92"/>
  <c r="AQ374" i="92"/>
  <c r="AU358" i="92"/>
  <c r="AJ358" i="92"/>
  <c r="BA126" i="92"/>
  <c r="AP126" i="92"/>
  <c r="BA384" i="92"/>
  <c r="AP384" i="92"/>
  <c r="AH209" i="92"/>
  <c r="AS209" i="92"/>
  <c r="AS552" i="92"/>
  <c r="BA281" i="92"/>
  <c r="AG216" i="92"/>
  <c r="AT511" i="92"/>
  <c r="AZ572" i="92"/>
  <c r="AO572" i="92"/>
  <c r="AG514" i="92"/>
  <c r="AR514" i="92"/>
  <c r="AV537" i="92"/>
  <c r="AK537" i="92"/>
  <c r="AF558" i="92"/>
  <c r="AQ558" i="92"/>
  <c r="AJ452" i="92"/>
  <c r="AU452" i="92"/>
  <c r="AH512" i="92"/>
  <c r="AS512" i="92"/>
  <c r="AH447" i="92"/>
  <c r="AS447" i="92"/>
  <c r="AQ713" i="92"/>
  <c r="AF713" i="92"/>
  <c r="AQ690" i="92"/>
  <c r="AF690" i="92"/>
  <c r="AF673" i="92"/>
  <c r="AQ673" i="92"/>
  <c r="AL612" i="92"/>
  <c r="AW612" i="92"/>
  <c r="AG469" i="92"/>
  <c r="AR469" i="92"/>
  <c r="AG587" i="92"/>
  <c r="AR587" i="92"/>
  <c r="AH555" i="92"/>
  <c r="AS555" i="92"/>
  <c r="AG540" i="92"/>
  <c r="AR540" i="92"/>
  <c r="AR521" i="92"/>
  <c r="AG521" i="92"/>
  <c r="AF483" i="92"/>
  <c r="AQ483" i="92"/>
  <c r="AS421" i="92"/>
  <c r="AH421" i="92"/>
  <c r="AT578" i="92"/>
  <c r="AI578" i="92"/>
  <c r="AX35" i="92"/>
  <c r="AM35" i="92"/>
  <c r="AZ21" i="92"/>
  <c r="AO21" i="92"/>
  <c r="AJ582" i="92"/>
  <c r="AU582" i="92"/>
  <c r="AG437" i="92"/>
  <c r="AR437" i="92"/>
  <c r="AH382" i="92"/>
  <c r="AS382" i="92"/>
  <c r="AT692" i="92"/>
  <c r="AI692" i="92"/>
  <c r="AR617" i="92"/>
  <c r="AG617" i="92"/>
  <c r="AI505" i="92"/>
  <c r="AT505" i="92"/>
  <c r="AJ579" i="92"/>
  <c r="AU579" i="92"/>
  <c r="AK714" i="92"/>
  <c r="AV714" i="92"/>
  <c r="AI639" i="92"/>
  <c r="AT639" i="92"/>
  <c r="AQ657" i="92"/>
  <c r="AF657" i="92"/>
  <c r="AF250" i="92"/>
  <c r="AQ250" i="92"/>
  <c r="BA343" i="92"/>
  <c r="AP343" i="92"/>
  <c r="AT568" i="92"/>
  <c r="AI568" i="92"/>
  <c r="AI194" i="92"/>
  <c r="AT194" i="92"/>
  <c r="AV453" i="92"/>
  <c r="AK453" i="92"/>
  <c r="AI704" i="92"/>
  <c r="AT704" i="92"/>
  <c r="AT100" i="92"/>
  <c r="AI100" i="92"/>
  <c r="AJ347" i="92"/>
  <c r="AU347" i="92"/>
  <c r="AF716" i="92"/>
  <c r="AQ716" i="92"/>
  <c r="AR161" i="92"/>
  <c r="AG161" i="92"/>
  <c r="AG267" i="92"/>
  <c r="AR267" i="92"/>
  <c r="AT172" i="92"/>
  <c r="AI172" i="92"/>
  <c r="AS337" i="92"/>
  <c r="AH337" i="92"/>
  <c r="AH658" i="92"/>
  <c r="AS658" i="92"/>
  <c r="AH48" i="92"/>
  <c r="AS48" i="92"/>
  <c r="AJ328" i="92"/>
  <c r="AU328" i="92"/>
  <c r="AF140" i="92"/>
  <c r="AQ140" i="92"/>
  <c r="AS376" i="92"/>
  <c r="AH376" i="92"/>
  <c r="AI735" i="92"/>
  <c r="AT735" i="92"/>
  <c r="AQ272" i="92"/>
  <c r="AF272" i="92"/>
  <c r="AG193" i="92"/>
  <c r="AR193" i="92"/>
  <c r="AI291" i="92"/>
  <c r="AT291" i="92"/>
  <c r="AJ139" i="92"/>
  <c r="AU139" i="92"/>
  <c r="AG279" i="92"/>
  <c r="AR279" i="92"/>
  <c r="AK354" i="92"/>
  <c r="AV354" i="92"/>
  <c r="AV583" i="92"/>
  <c r="AK583" i="92"/>
  <c r="AI574" i="92"/>
  <c r="AV702" i="92"/>
  <c r="AR681" i="92"/>
  <c r="AI307" i="92"/>
  <c r="AR385" i="92"/>
  <c r="AI101" i="92"/>
  <c r="AT504" i="92"/>
  <c r="AQ479" i="92"/>
  <c r="AI583" i="92"/>
  <c r="AT583" i="92"/>
  <c r="AI446" i="92"/>
  <c r="AT446" i="92"/>
  <c r="AZ358" i="92"/>
  <c r="AO358" i="92"/>
  <c r="AH678" i="92"/>
  <c r="AS678" i="92"/>
  <c r="AH454" i="92"/>
  <c r="AS454" i="92"/>
  <c r="AV723" i="92"/>
  <c r="AK723" i="92"/>
  <c r="AJ529" i="92"/>
  <c r="AU529" i="92"/>
  <c r="AI720" i="92"/>
  <c r="AT720" i="92"/>
  <c r="AF475" i="92"/>
  <c r="AQ475" i="92"/>
  <c r="AT413" i="92"/>
  <c r="AI413" i="92"/>
  <c r="AJ502" i="92"/>
  <c r="AU502" i="92"/>
  <c r="AU626" i="92"/>
  <c r="AJ626" i="92"/>
  <c r="AV635" i="92"/>
  <c r="AK635" i="92"/>
  <c r="AU405" i="92"/>
  <c r="AJ405" i="92"/>
  <c r="AQ635" i="92"/>
  <c r="AF635" i="92"/>
  <c r="AI631" i="92"/>
  <c r="AT631" i="92"/>
  <c r="AS499" i="92"/>
  <c r="AH499" i="92"/>
  <c r="AK514" i="92"/>
  <c r="AV514" i="92"/>
  <c r="AU700" i="92"/>
  <c r="AJ700" i="92"/>
  <c r="AU571" i="92"/>
  <c r="AJ571" i="92"/>
  <c r="AR642" i="92"/>
  <c r="AG642" i="92"/>
  <c r="AS567" i="92"/>
  <c r="AH567" i="92"/>
  <c r="AH609" i="92"/>
  <c r="AS609" i="92"/>
  <c r="AT632" i="92"/>
  <c r="AI632" i="92"/>
  <c r="AK423" i="92"/>
  <c r="AV423" i="92"/>
  <c r="AK74" i="92"/>
  <c r="AV74" i="92"/>
  <c r="AG429" i="92"/>
  <c r="AR429" i="92"/>
  <c r="AQ323" i="92"/>
  <c r="AF323" i="92"/>
  <c r="AG618" i="92"/>
  <c r="AR618" i="92"/>
  <c r="AI515" i="92"/>
  <c r="AT515" i="92"/>
  <c r="AH226" i="92"/>
  <c r="AS226" i="92"/>
  <c r="AQ410" i="92"/>
  <c r="AF410" i="92"/>
  <c r="AH716" i="92"/>
  <c r="AS716" i="92"/>
  <c r="AH606" i="92"/>
  <c r="AS606" i="92"/>
  <c r="AK197" i="92"/>
  <c r="AV197" i="92"/>
  <c r="AK559" i="92"/>
  <c r="AV559" i="92"/>
  <c r="AI107" i="92"/>
  <c r="AT107" i="92"/>
  <c r="AR569" i="92"/>
  <c r="AG569" i="92"/>
  <c r="AP197" i="92"/>
  <c r="BA197" i="92"/>
  <c r="AJ125" i="92"/>
  <c r="AU125" i="92"/>
  <c r="AT256" i="92"/>
  <c r="AI256" i="92"/>
  <c r="AK661" i="92"/>
  <c r="AV661" i="92"/>
  <c r="AI241" i="92"/>
  <c r="AT241" i="92"/>
  <c r="AQ607" i="92"/>
  <c r="AF607" i="92"/>
  <c r="AU176" i="92"/>
  <c r="AJ176" i="92"/>
  <c r="AV754" i="92"/>
  <c r="AK754" i="92"/>
  <c r="AF339" i="92"/>
  <c r="AQ339" i="92"/>
  <c r="AF345" i="92"/>
  <c r="AQ345" i="92"/>
  <c r="AV53" i="92"/>
  <c r="AK53" i="92"/>
  <c r="AI637" i="92"/>
  <c r="AT637" i="92"/>
  <c r="AQ91" i="92"/>
  <c r="AF91" i="92"/>
  <c r="AF69" i="92"/>
  <c r="AQ69" i="92"/>
  <c r="AG291" i="92"/>
  <c r="AR291" i="92"/>
  <c r="AP88" i="92"/>
  <c r="BA88" i="92"/>
  <c r="AU210" i="92"/>
  <c r="AJ210" i="92"/>
  <c r="AF436" i="92"/>
  <c r="AQ436" i="92"/>
  <c r="AG182" i="92"/>
  <c r="AR182" i="92"/>
  <c r="AH286" i="92"/>
  <c r="AS286" i="92"/>
  <c r="AJ443" i="92"/>
  <c r="AU443" i="92"/>
  <c r="AJ592" i="92"/>
  <c r="AF633" i="92"/>
  <c r="AH594" i="92"/>
  <c r="AJ181" i="92"/>
  <c r="AK644" i="92"/>
  <c r="AU117" i="92"/>
  <c r="AJ528" i="92"/>
  <c r="AU536" i="92"/>
  <c r="AK28" i="92"/>
  <c r="AK677" i="92"/>
  <c r="AK271" i="92"/>
  <c r="AU569" i="92"/>
  <c r="AG169" i="92"/>
  <c r="AK177" i="92"/>
  <c r="AV202" i="92"/>
  <c r="AV224" i="92"/>
  <c r="AF571" i="92"/>
  <c r="AJ682" i="92"/>
  <c r="AT270" i="92"/>
  <c r="AI270" i="92"/>
  <c r="AQ123" i="92"/>
  <c r="AF123" i="92"/>
  <c r="BA661" i="92"/>
  <c r="AP661" i="92"/>
  <c r="AQ255" i="92"/>
  <c r="AF255" i="92"/>
  <c r="AU466" i="92"/>
  <c r="AJ466" i="92"/>
  <c r="AR526" i="92"/>
  <c r="AG526" i="92"/>
  <c r="AI635" i="92"/>
  <c r="AT635" i="92"/>
  <c r="AI513" i="92"/>
  <c r="AT513" i="92"/>
  <c r="AG591" i="92"/>
  <c r="AR591" i="92"/>
  <c r="AI378" i="92"/>
  <c r="AT378" i="92"/>
  <c r="AT52" i="92"/>
  <c r="AI52" i="92"/>
  <c r="AH97" i="92"/>
  <c r="AS97" i="92"/>
  <c r="AP262" i="92"/>
  <c r="BA262" i="92"/>
  <c r="AO31" i="92"/>
  <c r="AZ31" i="92"/>
  <c r="AL170" i="27" s="1"/>
  <c r="AG314" i="92"/>
  <c r="AR314" i="92"/>
  <c r="BA127" i="92"/>
  <c r="AP127" i="92"/>
  <c r="AU759" i="92"/>
  <c r="AJ759" i="92"/>
  <c r="AH256" i="92"/>
  <c r="AS256" i="92"/>
  <c r="AR253" i="92"/>
  <c r="AG253" i="92"/>
  <c r="AV229" i="92"/>
  <c r="AK229" i="92"/>
  <c r="AK333" i="92"/>
  <c r="AV333" i="92"/>
  <c r="AS261" i="92"/>
  <c r="AH261" i="92"/>
  <c r="AU227" i="92"/>
  <c r="AJ227" i="92"/>
  <c r="AH98" i="92"/>
  <c r="AS98" i="92"/>
  <c r="AR356" i="92"/>
  <c r="AG356" i="92"/>
  <c r="AU162" i="92"/>
  <c r="AJ162" i="92"/>
  <c r="AV692" i="92"/>
  <c r="AK692" i="92"/>
  <c r="AF399" i="92"/>
  <c r="AQ399" i="92"/>
  <c r="BA544" i="92"/>
  <c r="AP544" i="92"/>
  <c r="AF608" i="92"/>
  <c r="AQ608" i="92"/>
  <c r="AU238" i="92"/>
  <c r="AJ238" i="92"/>
  <c r="AI134" i="92"/>
  <c r="AT134" i="92"/>
  <c r="BA373" i="92"/>
  <c r="AP373" i="92"/>
  <c r="AI277" i="92"/>
  <c r="AT277" i="92"/>
  <c r="BA725" i="92"/>
  <c r="AP725" i="92"/>
  <c r="AP644" i="92"/>
  <c r="BA644" i="92"/>
  <c r="AF238" i="92"/>
  <c r="AQ238" i="92"/>
  <c r="AR304" i="92"/>
  <c r="AG304" i="92"/>
  <c r="AV281" i="92"/>
  <c r="AK281" i="92"/>
  <c r="AI186" i="92"/>
  <c r="AT186" i="92"/>
  <c r="AP568" i="92"/>
  <c r="BA568" i="92"/>
  <c r="AP204" i="92"/>
  <c r="BA204" i="92"/>
  <c r="AP737" i="92"/>
  <c r="BA737" i="92"/>
  <c r="AR297" i="92"/>
  <c r="AG297" i="92"/>
  <c r="AH110" i="92"/>
  <c r="AS110" i="92"/>
  <c r="BA152" i="92"/>
  <c r="AP152" i="92"/>
  <c r="AT103" i="92"/>
  <c r="AI103" i="92"/>
  <c r="AS213" i="92"/>
  <c r="AH213" i="92"/>
  <c r="BA512" i="92"/>
  <c r="AP512" i="92"/>
  <c r="AQ362" i="92"/>
  <c r="AF362" i="92"/>
  <c r="AQ263" i="92"/>
  <c r="AF263" i="92"/>
  <c r="BA365" i="92"/>
  <c r="AP365" i="92"/>
  <c r="AR230" i="92"/>
  <c r="AG230" i="92"/>
  <c r="AP535" i="92"/>
  <c r="BA535" i="92"/>
  <c r="AP134" i="92"/>
  <c r="BA134" i="92"/>
  <c r="AP419" i="92"/>
  <c r="BA419" i="92"/>
  <c r="AF276" i="92"/>
  <c r="AQ276" i="92"/>
  <c r="AP109" i="92"/>
  <c r="BA109" i="92"/>
  <c r="BA431" i="92"/>
  <c r="AP431" i="92"/>
  <c r="AR153" i="92"/>
  <c r="AG153" i="92"/>
  <c r="AP176" i="92"/>
  <c r="BA176" i="92"/>
  <c r="AT246" i="92"/>
  <c r="AI246" i="92"/>
  <c r="AF145" i="92"/>
  <c r="AQ145" i="92"/>
  <c r="AG212" i="92"/>
  <c r="AR212" i="92"/>
  <c r="AK331" i="92"/>
  <c r="AV331" i="92"/>
  <c r="AU329" i="92"/>
  <c r="AJ329" i="92"/>
  <c r="AF251" i="92"/>
  <c r="AQ251" i="92"/>
  <c r="AP641" i="92"/>
  <c r="BA641" i="92"/>
  <c r="AT120" i="92"/>
  <c r="AI120" i="92"/>
  <c r="AJ136" i="92"/>
  <c r="AU136" i="92"/>
  <c r="AU467" i="92"/>
  <c r="AJ467" i="92"/>
  <c r="AF106" i="92"/>
  <c r="AQ106" i="92"/>
  <c r="BA438" i="92"/>
  <c r="AV106" i="92"/>
  <c r="AV736" i="92"/>
  <c r="AU362" i="92"/>
  <c r="AU211" i="92"/>
  <c r="BA675" i="92"/>
  <c r="AF224" i="92"/>
  <c r="AQ598" i="92"/>
  <c r="AT281" i="92"/>
  <c r="AS74" i="92"/>
  <c r="AP660" i="92"/>
  <c r="AT27" i="92"/>
  <c r="AT327" i="92"/>
  <c r="AR112" i="92"/>
  <c r="AG655" i="92"/>
  <c r="AQ472" i="92"/>
  <c r="AV145" i="92"/>
  <c r="AZ574" i="92"/>
  <c r="AO574" i="92"/>
  <c r="AV319" i="92"/>
  <c r="AQ367" i="92"/>
  <c r="AP136" i="92"/>
  <c r="AR316" i="92"/>
  <c r="AP179" i="92"/>
  <c r="AQ283" i="92"/>
  <c r="AH314" i="92"/>
  <c r="BA573" i="92"/>
  <c r="AS341" i="92"/>
  <c r="AT431" i="92"/>
  <c r="AS146" i="92"/>
  <c r="BA696" i="92"/>
  <c r="AV324" i="92"/>
  <c r="BA240" i="92"/>
  <c r="AS464" i="92"/>
  <c r="AJ244" i="92"/>
  <c r="AQ579" i="92"/>
  <c r="AF235" i="92"/>
  <c r="AP459" i="92"/>
  <c r="AP239" i="92"/>
  <c r="BA271" i="92"/>
  <c r="AR118" i="92"/>
  <c r="AP757" i="92"/>
  <c r="AR280" i="92"/>
  <c r="BA668" i="92"/>
  <c r="AQ496" i="92"/>
  <c r="AV230" i="92"/>
  <c r="AS381" i="92"/>
  <c r="AT743" i="92"/>
  <c r="AG209" i="92"/>
  <c r="AS107" i="92"/>
  <c r="AS96" i="92"/>
  <c r="AK367" i="92"/>
  <c r="AS372" i="92"/>
  <c r="AR261" i="92"/>
  <c r="AH78" i="92"/>
  <c r="BA520" i="92"/>
  <c r="AI415" i="92"/>
  <c r="AJ134" i="92"/>
  <c r="AP564" i="92"/>
  <c r="BA564" i="92"/>
  <c r="AR54" i="92"/>
  <c r="AG54" i="92"/>
  <c r="AQ81" i="92"/>
  <c r="AI46" i="92"/>
  <c r="AG75" i="92"/>
  <c r="AZ600" i="92"/>
  <c r="AZ435" i="92"/>
  <c r="AZ86" i="92"/>
  <c r="AN621" i="92"/>
  <c r="AO312" i="92"/>
  <c r="AX335" i="92"/>
  <c r="AZ502" i="92"/>
  <c r="AO502" i="92"/>
  <c r="AV660" i="92"/>
  <c r="AK660" i="92"/>
  <c r="BA425" i="92"/>
  <c r="AP425" i="92"/>
  <c r="AP496" i="92"/>
  <c r="BA496" i="92"/>
  <c r="AH449" i="92"/>
  <c r="AS449" i="92"/>
  <c r="AK303" i="92"/>
  <c r="AV303" i="92"/>
  <c r="AS104" i="92"/>
  <c r="AH104" i="92"/>
  <c r="AF256" i="92"/>
  <c r="AQ256" i="92"/>
  <c r="AP144" i="92"/>
  <c r="BA144" i="92"/>
  <c r="BA497" i="92"/>
  <c r="AP497" i="92"/>
  <c r="AH335" i="92"/>
  <c r="AS335" i="92"/>
  <c r="AV159" i="92"/>
  <c r="AK159" i="92"/>
  <c r="BA302" i="92"/>
  <c r="AP302" i="92"/>
  <c r="AF177" i="92"/>
  <c r="AQ177" i="92"/>
  <c r="BA399" i="92"/>
  <c r="AP399" i="92"/>
  <c r="AJ252" i="92"/>
  <c r="AU252" i="92"/>
  <c r="AQ361" i="92"/>
  <c r="AF361" i="92"/>
  <c r="BA531" i="92"/>
  <c r="AP531" i="92"/>
  <c r="AJ111" i="92"/>
  <c r="AU111" i="92"/>
  <c r="AJ375" i="92"/>
  <c r="AU375" i="92"/>
  <c r="BA542" i="92"/>
  <c r="AP542" i="92"/>
  <c r="BA142" i="92"/>
  <c r="AP142" i="92"/>
  <c r="AR607" i="92"/>
  <c r="AG607" i="92"/>
  <c r="AG483" i="92"/>
  <c r="AR483" i="92"/>
  <c r="AU637" i="92"/>
  <c r="AJ637" i="92"/>
  <c r="AH559" i="92"/>
  <c r="AS559" i="92"/>
  <c r="AU616" i="92"/>
  <c r="AJ616" i="92"/>
  <c r="BA265" i="92"/>
  <c r="AP265" i="92"/>
  <c r="AF37" i="92"/>
  <c r="AQ37" i="92"/>
  <c r="AW655" i="92"/>
  <c r="AL655" i="92"/>
  <c r="AX151" i="92"/>
  <c r="AM151" i="92"/>
  <c r="AM563" i="92"/>
  <c r="AX563" i="92"/>
  <c r="AL114" i="92"/>
  <c r="AW114" i="92"/>
  <c r="AY618" i="92"/>
  <c r="AN618" i="92"/>
  <c r="AM64" i="92"/>
  <c r="AX64" i="92"/>
  <c r="AM757" i="92"/>
  <c r="AX757" i="92"/>
  <c r="AN261" i="92"/>
  <c r="AY261" i="92"/>
  <c r="AX729" i="92"/>
  <c r="AM729" i="92"/>
  <c r="AM258" i="92"/>
  <c r="AX258" i="92"/>
  <c r="AN535" i="92"/>
  <c r="AY535" i="92"/>
  <c r="AY603" i="92"/>
  <c r="AN603" i="92"/>
  <c r="AM738" i="92"/>
  <c r="AX738" i="92"/>
  <c r="AX452" i="92"/>
  <c r="AM452" i="92"/>
  <c r="AZ75" i="92"/>
  <c r="AO75" i="92"/>
  <c r="AT390" i="92"/>
  <c r="AI390" i="92"/>
  <c r="AT638" i="92"/>
  <c r="AI638" i="92"/>
  <c r="AG390" i="92"/>
  <c r="AR390" i="92"/>
  <c r="AU474" i="92"/>
  <c r="AJ474" i="92"/>
  <c r="AJ427" i="92"/>
  <c r="AU427" i="92"/>
  <c r="AV740" i="92"/>
  <c r="AK740" i="92"/>
  <c r="AI557" i="92"/>
  <c r="AT557" i="92"/>
  <c r="AG701" i="92"/>
  <c r="AR701" i="92"/>
  <c r="AT516" i="92"/>
  <c r="AI516" i="92"/>
  <c r="AF698" i="92"/>
  <c r="AQ698" i="92"/>
  <c r="AZ44" i="92"/>
  <c r="AO44" i="92"/>
  <c r="AG668" i="92"/>
  <c r="AR668" i="92"/>
  <c r="AO265" i="92"/>
  <c r="AZ265" i="92"/>
  <c r="AO751" i="92"/>
  <c r="AZ751" i="92"/>
  <c r="AZ475" i="92"/>
  <c r="AO475" i="92"/>
  <c r="AO250" i="92"/>
  <c r="AV667" i="92"/>
  <c r="AK667" i="92"/>
  <c r="AO420" i="92"/>
  <c r="AL198" i="92"/>
  <c r="AW198" i="92"/>
  <c r="AH506" i="92"/>
  <c r="AZ427" i="92"/>
  <c r="AO96" i="92"/>
  <c r="AO464" i="92"/>
  <c r="AZ537" i="92"/>
  <c r="AT417" i="92"/>
  <c r="AL187" i="27" s="1"/>
  <c r="BA426" i="92"/>
  <c r="AS685" i="92"/>
  <c r="BA604" i="92"/>
  <c r="AU346" i="92"/>
  <c r="AU60" i="92"/>
  <c r="AF75" i="92"/>
  <c r="AH386" i="92"/>
  <c r="AH289" i="92"/>
  <c r="AO363" i="92"/>
  <c r="AP397" i="92"/>
  <c r="AX423" i="92"/>
  <c r="AR670" i="92"/>
  <c r="AR365" i="92"/>
  <c r="AV195" i="92"/>
  <c r="AJ407" i="92"/>
  <c r="AH187" i="92"/>
  <c r="AN144" i="92"/>
  <c r="AI462" i="92"/>
  <c r="AZ206" i="92"/>
  <c r="AS486" i="92"/>
  <c r="AQ146" i="92"/>
  <c r="AH478" i="92"/>
  <c r="AO637" i="92"/>
  <c r="AF665" i="92"/>
  <c r="AR760" i="92"/>
  <c r="AZ386" i="92"/>
  <c r="AG237" i="92"/>
  <c r="AT489" i="92"/>
  <c r="AQ624" i="92"/>
  <c r="AV379" i="92"/>
  <c r="AT220" i="92"/>
  <c r="AF348" i="92"/>
  <c r="AU758" i="92"/>
  <c r="AH632" i="92"/>
  <c r="AU142" i="92"/>
  <c r="AP422" i="92"/>
  <c r="AK598" i="92"/>
  <c r="AU255" i="92"/>
  <c r="AF379" i="92"/>
  <c r="AI385" i="92"/>
  <c r="AK119" i="92"/>
  <c r="AL442" i="92"/>
  <c r="AX113" i="92"/>
  <c r="AK500" i="92"/>
  <c r="AM570" i="92"/>
  <c r="AX319" i="92"/>
  <c r="AN616" i="92"/>
  <c r="AV80" i="92"/>
  <c r="AK80" i="92"/>
  <c r="AV353" i="92"/>
  <c r="AK353" i="92"/>
  <c r="AF178" i="92"/>
  <c r="AQ178" i="92"/>
  <c r="AI318" i="92"/>
  <c r="AT318" i="92"/>
  <c r="AF396" i="92"/>
  <c r="AQ396" i="92"/>
  <c r="AQ457" i="92"/>
  <c r="AF457" i="92"/>
  <c r="AY21" i="92"/>
  <c r="AN21" i="92"/>
  <c r="AG411" i="92"/>
  <c r="AR411" i="92"/>
  <c r="AU189" i="92"/>
  <c r="AR511" i="92"/>
  <c r="AG391" i="92"/>
  <c r="AK89" i="92"/>
  <c r="AU248" i="92"/>
  <c r="AS347" i="92"/>
  <c r="AR559" i="92"/>
  <c r="AI80" i="92"/>
  <c r="AJ291" i="92"/>
  <c r="AU217" i="92"/>
  <c r="AH304" i="92"/>
  <c r="AK166" i="92"/>
  <c r="BA278" i="92"/>
  <c r="AX36" i="92"/>
  <c r="AS438" i="92"/>
  <c r="AR462" i="92"/>
  <c r="AG462" i="92"/>
  <c r="AR250" i="92"/>
  <c r="AK690" i="92"/>
  <c r="AO624" i="92"/>
  <c r="AO286" i="92"/>
  <c r="AF27" i="92"/>
  <c r="AQ27" i="92"/>
  <c r="AP101" i="92"/>
  <c r="BA101" i="92"/>
  <c r="BA541" i="92"/>
  <c r="AP541" i="92"/>
  <c r="AH350" i="92"/>
  <c r="AS350" i="92"/>
  <c r="BA747" i="92"/>
  <c r="AP747" i="92"/>
  <c r="BA415" i="92"/>
  <c r="AP415" i="92"/>
  <c r="BA277" i="92"/>
  <c r="AP277" i="92"/>
  <c r="AU337" i="92"/>
  <c r="AK65" i="92"/>
  <c r="AP632" i="92"/>
  <c r="AH268" i="92"/>
  <c r="AP467" i="92"/>
  <c r="AZ202" i="92"/>
  <c r="AS120" i="92"/>
  <c r="AT382" i="92"/>
  <c r="AS466" i="92"/>
  <c r="AI499" i="92"/>
  <c r="AQ382" i="92"/>
  <c r="AS285" i="92"/>
  <c r="AY736" i="92"/>
  <c r="AN290" i="92"/>
  <c r="AM162" i="92"/>
  <c r="AX382" i="92"/>
  <c r="AM239" i="92"/>
  <c r="AW684" i="92"/>
  <c r="AM177" i="92"/>
  <c r="AI54" i="92"/>
  <c r="AT54" i="92"/>
  <c r="AT56" i="92"/>
  <c r="AO729" i="92"/>
  <c r="AO232" i="92"/>
  <c r="AS462" i="92"/>
  <c r="AI610" i="92"/>
  <c r="AZ284" i="92"/>
  <c r="BA416" i="92"/>
  <c r="AP719" i="92"/>
  <c r="AZ213" i="92"/>
  <c r="AJ102" i="92"/>
  <c r="BA510" i="92"/>
  <c r="AU554" i="92"/>
  <c r="AS374" i="92"/>
  <c r="AP374" i="92"/>
  <c r="AT586" i="92"/>
  <c r="BA190" i="92"/>
  <c r="AR687" i="92"/>
  <c r="AI410" i="92"/>
  <c r="AI425" i="92"/>
  <c r="AR475" i="92"/>
  <c r="AI712" i="92"/>
  <c r="AS395" i="92"/>
  <c r="AW178" i="92"/>
  <c r="AL43" i="92"/>
  <c r="AX462" i="92"/>
  <c r="AL419" i="92"/>
  <c r="AV759" i="92"/>
  <c r="AP735" i="92"/>
  <c r="BA648" i="92"/>
  <c r="AP722" i="92"/>
  <c r="AP324" i="92"/>
  <c r="AP372" i="92"/>
  <c r="AK174" i="92"/>
  <c r="AP511" i="92"/>
  <c r="AO616" i="92"/>
  <c r="AJ426" i="92"/>
  <c r="BA293" i="92"/>
  <c r="AP703" i="92"/>
  <c r="AV650" i="92"/>
  <c r="AV220" i="92"/>
  <c r="AX367" i="92"/>
  <c r="AN46" i="92"/>
  <c r="AW717" i="92"/>
  <c r="AV463" i="92"/>
  <c r="AQ495" i="92"/>
  <c r="AO431" i="92"/>
  <c r="AO100" i="92"/>
  <c r="AS544" i="92"/>
  <c r="AQ212" i="92"/>
  <c r="AU541" i="92"/>
  <c r="AR440" i="92"/>
  <c r="AP395" i="92"/>
  <c r="AQ640" i="92"/>
  <c r="AI116" i="92"/>
  <c r="AV236" i="92"/>
  <c r="AR742" i="92"/>
  <c r="AV589" i="92"/>
  <c r="AI393" i="92"/>
  <c r="AU378" i="92"/>
  <c r="AM227" i="92"/>
  <c r="AW760" i="92"/>
  <c r="AY209" i="92"/>
  <c r="AW327" i="92"/>
  <c r="AL327" i="92"/>
  <c r="AN496" i="92"/>
  <c r="AY496" i="92"/>
  <c r="AZ103" i="92"/>
  <c r="AO103" i="92"/>
  <c r="AM747" i="92"/>
  <c r="AX747" i="92"/>
  <c r="AN619" i="92"/>
  <c r="AY619" i="92"/>
  <c r="AX638" i="92"/>
  <c r="AM638" i="92"/>
  <c r="AM703" i="92"/>
  <c r="AX703" i="92"/>
  <c r="AX274" i="92"/>
  <c r="AM274" i="92"/>
  <c r="AN178" i="92"/>
  <c r="AY178" i="92"/>
  <c r="AX403" i="92"/>
  <c r="AM403" i="92"/>
  <c r="AX378" i="92"/>
  <c r="AM378" i="92"/>
  <c r="AR580" i="92"/>
  <c r="AG580" i="92"/>
  <c r="AH742" i="92"/>
  <c r="AS742" i="92"/>
  <c r="AS444" i="92"/>
  <c r="AH444" i="92"/>
  <c r="AU561" i="92"/>
  <c r="AJ561" i="92"/>
  <c r="AS720" i="92"/>
  <c r="AH720" i="92"/>
  <c r="AZ329" i="92"/>
  <c r="BA128" i="92"/>
  <c r="AP296" i="92"/>
  <c r="AT175" i="92"/>
  <c r="AY676" i="92"/>
  <c r="AY142" i="92"/>
  <c r="AW94" i="92"/>
  <c r="AL94" i="92"/>
  <c r="AN119" i="92"/>
  <c r="AY119" i="92"/>
  <c r="AX483" i="92"/>
  <c r="AM483" i="92"/>
  <c r="AN353" i="92"/>
  <c r="AY353" i="92"/>
  <c r="AZ93" i="92"/>
  <c r="AM621" i="92"/>
  <c r="AH404" i="92"/>
  <c r="AZ150" i="92"/>
  <c r="AX320" i="92"/>
  <c r="AW451" i="92"/>
  <c r="AW469" i="92"/>
  <c r="AY149" i="92"/>
  <c r="AL256" i="92"/>
  <c r="AZ673" i="92"/>
  <c r="AO738" i="92"/>
  <c r="AU757" i="92"/>
  <c r="AT484" i="92"/>
  <c r="AF536" i="92"/>
  <c r="AK664" i="92"/>
  <c r="AM43" i="92"/>
  <c r="AX250" i="92"/>
  <c r="AN322" i="92"/>
  <c r="AL208" i="92"/>
  <c r="AY155" i="92"/>
  <c r="AX513" i="92"/>
  <c r="AM78" i="92"/>
  <c r="AX391" i="92"/>
  <c r="AM100" i="92"/>
  <c r="AY666" i="92"/>
  <c r="AN372" i="92"/>
  <c r="AY381" i="92"/>
  <c r="AW314" i="92"/>
  <c r="AY672" i="92"/>
  <c r="AO759" i="92"/>
  <c r="AZ489" i="92"/>
  <c r="AO236" i="92"/>
  <c r="AZ160" i="92"/>
  <c r="AW521" i="92"/>
  <c r="AN704" i="92"/>
  <c r="AY688" i="92"/>
  <c r="AO279" i="92"/>
  <c r="AN411" i="92"/>
  <c r="AN491" i="92"/>
  <c r="AY573" i="92"/>
  <c r="AX301" i="92"/>
  <c r="AW626" i="92"/>
  <c r="AM98" i="92"/>
  <c r="AY684" i="92"/>
  <c r="AY418" i="92"/>
  <c r="AN713" i="92"/>
  <c r="AL480" i="92"/>
  <c r="AM410" i="92"/>
  <c r="AW534" i="92"/>
  <c r="AW620" i="92"/>
  <c r="AX709" i="92"/>
  <c r="AX368" i="92"/>
  <c r="AW682" i="92"/>
  <c r="AZ62" i="92"/>
  <c r="AO123" i="92"/>
  <c r="AF535" i="92"/>
  <c r="AZ613" i="92"/>
  <c r="AO674" i="92"/>
  <c r="AO719" i="92"/>
  <c r="AN629" i="92"/>
  <c r="AX169" i="92"/>
  <c r="AL608" i="92"/>
  <c r="AM411" i="92"/>
  <c r="AX133" i="92"/>
  <c r="AY553" i="92"/>
  <c r="AW462" i="92"/>
  <c r="AM468" i="92"/>
  <c r="AW735" i="92"/>
  <c r="AL672" i="92"/>
  <c r="AN537" i="92"/>
  <c r="AW245" i="92"/>
  <c r="AM145" i="92"/>
  <c r="AM283" i="92"/>
  <c r="AO565" i="92"/>
  <c r="AZ380" i="92"/>
  <c r="AO539" i="92"/>
  <c r="AZ671" i="92"/>
  <c r="AW49" i="92"/>
  <c r="AX562" i="92"/>
  <c r="AN757" i="92"/>
  <c r="AX65" i="92"/>
  <c r="AY519" i="92"/>
  <c r="AX565" i="92"/>
  <c r="AM291" i="92"/>
  <c r="AM402" i="92"/>
  <c r="AM375" i="92"/>
  <c r="AY207" i="92"/>
  <c r="AS565" i="92"/>
  <c r="AL183" i="92"/>
  <c r="AZ625" i="92"/>
  <c r="AZ679" i="92"/>
  <c r="AO414" i="92"/>
  <c r="AU738" i="92"/>
  <c r="AV651" i="92"/>
  <c r="AO341" i="92"/>
  <c r="AZ528" i="92"/>
  <c r="AK524" i="92"/>
  <c r="AK594" i="92"/>
  <c r="AZ235" i="92"/>
  <c r="AN338" i="92"/>
  <c r="AY338" i="92"/>
  <c r="AY447" i="92"/>
  <c r="AN447" i="92"/>
  <c r="AU446" i="92"/>
  <c r="AJ446" i="92"/>
  <c r="AO615" i="92"/>
  <c r="AZ615" i="92"/>
  <c r="AQ422" i="92"/>
  <c r="AF422" i="92"/>
  <c r="AW526" i="92"/>
  <c r="AL526" i="92"/>
  <c r="AF628" i="92"/>
  <c r="AQ628" i="92"/>
  <c r="AZ267" i="92"/>
  <c r="AO267" i="92"/>
  <c r="AF630" i="92"/>
  <c r="AQ630" i="92"/>
  <c r="AW324" i="92"/>
  <c r="AL324" i="92"/>
  <c r="AN214" i="92"/>
  <c r="AY214" i="92"/>
  <c r="AZ188" i="92"/>
  <c r="AO188" i="92"/>
  <c r="AZ476" i="92"/>
  <c r="AO476" i="92"/>
  <c r="AO291" i="92"/>
  <c r="AZ291" i="92"/>
  <c r="AZ728" i="92"/>
  <c r="AO728" i="92"/>
  <c r="AW133" i="92"/>
  <c r="AL133" i="92"/>
  <c r="AY293" i="92"/>
  <c r="AN293" i="92"/>
  <c r="AO346" i="92"/>
  <c r="AZ346" i="92"/>
  <c r="AW350" i="92"/>
  <c r="AL350" i="92"/>
  <c r="AO310" i="92"/>
  <c r="AZ310" i="92"/>
  <c r="AX582" i="92"/>
  <c r="AM582" i="92"/>
  <c r="AX388" i="92"/>
  <c r="AM388" i="92"/>
  <c r="AX153" i="92"/>
  <c r="AM153" i="92"/>
  <c r="AY365" i="92"/>
  <c r="AN365" i="92"/>
  <c r="AX155" i="92"/>
  <c r="AM155" i="92"/>
  <c r="AN563" i="92"/>
  <c r="AY563" i="92"/>
  <c r="AL440" i="92"/>
  <c r="AW440" i="92"/>
  <c r="AM713" i="92"/>
  <c r="AX713" i="92"/>
  <c r="AN416" i="92"/>
  <c r="AY416" i="92"/>
  <c r="AY464" i="92"/>
  <c r="AN464" i="92"/>
  <c r="AW145" i="92"/>
  <c r="AL145" i="92"/>
  <c r="AY445" i="92"/>
  <c r="AN445" i="92"/>
  <c r="AN263" i="92"/>
  <c r="AY263" i="92"/>
  <c r="AX311" i="92"/>
  <c r="AM311" i="92"/>
  <c r="AN339" i="92"/>
  <c r="AY339" i="92"/>
  <c r="AZ720" i="92"/>
  <c r="AO720" i="92"/>
  <c r="AI629" i="92"/>
  <c r="AT629" i="92"/>
  <c r="AV546" i="92"/>
  <c r="AK546" i="92"/>
  <c r="AG717" i="92"/>
  <c r="AR717" i="92"/>
  <c r="AG665" i="92"/>
  <c r="AR665" i="92"/>
  <c r="AJ643" i="92"/>
  <c r="AU643" i="92"/>
  <c r="AT467" i="92"/>
  <c r="AI467" i="92"/>
  <c r="AJ716" i="92"/>
  <c r="AU716" i="92"/>
  <c r="AZ581" i="92"/>
  <c r="AO581" i="92"/>
  <c r="AF561" i="92"/>
  <c r="AQ561" i="92"/>
  <c r="AV490" i="92"/>
  <c r="AK490" i="92"/>
  <c r="AF717" i="92"/>
  <c r="AQ717" i="92"/>
  <c r="AS390" i="92"/>
  <c r="AH390" i="92"/>
  <c r="AW101" i="92"/>
  <c r="AL101" i="92"/>
  <c r="AI383" i="92"/>
  <c r="AT383" i="92"/>
  <c r="AJ385" i="92"/>
  <c r="AU385" i="92"/>
  <c r="AI612" i="92"/>
  <c r="AT612" i="92"/>
  <c r="AQ705" i="92"/>
  <c r="AF705" i="92"/>
  <c r="AO35" i="92"/>
  <c r="AZ35" i="92"/>
  <c r="AI401" i="92"/>
  <c r="AT401" i="92"/>
  <c r="AI458" i="92"/>
  <c r="AT458" i="92"/>
  <c r="AK267" i="92"/>
  <c r="AV267" i="92"/>
  <c r="AJ665" i="92"/>
  <c r="AU665" i="92"/>
  <c r="AI528" i="92"/>
  <c r="AT528" i="92"/>
  <c r="AH248" i="92"/>
  <c r="AS248" i="92"/>
  <c r="AQ651" i="92"/>
  <c r="AO370" i="92"/>
  <c r="AS665" i="92"/>
  <c r="AS654" i="92"/>
  <c r="AO712" i="92"/>
  <c r="AG323" i="92"/>
  <c r="AT532" i="92"/>
  <c r="AN651" i="92"/>
  <c r="AM444" i="92"/>
  <c r="AX444" i="92"/>
  <c r="AO181" i="92"/>
  <c r="AZ181" i="92"/>
  <c r="AF564" i="92"/>
  <c r="AQ564" i="92"/>
  <c r="AZ724" i="92"/>
  <c r="AO724" i="92"/>
  <c r="AF510" i="92"/>
  <c r="AQ510" i="92"/>
  <c r="AL709" i="92"/>
  <c r="AW709" i="92"/>
  <c r="AR620" i="92"/>
  <c r="AG620" i="92"/>
  <c r="AZ408" i="92"/>
  <c r="AO408" i="92"/>
  <c r="AN724" i="92"/>
  <c r="AY724" i="92"/>
  <c r="AW284" i="92"/>
  <c r="AL284" i="92"/>
  <c r="AL431" i="92"/>
  <c r="AW431" i="92"/>
  <c r="AW625" i="92"/>
  <c r="AL625" i="92"/>
  <c r="AL742" i="92"/>
  <c r="AW742" i="92"/>
  <c r="AW252" i="92"/>
  <c r="AL252" i="92"/>
  <c r="AZ97" i="92"/>
  <c r="AO97" i="92"/>
  <c r="AO549" i="92"/>
  <c r="AZ549" i="92"/>
  <c r="AO76" i="92"/>
  <c r="AZ76" i="92"/>
  <c r="AL323" i="92"/>
  <c r="AW323" i="92"/>
  <c r="AN189" i="92"/>
  <c r="AY189" i="92"/>
  <c r="AO466" i="92"/>
  <c r="AZ466" i="92"/>
  <c r="AW166" i="92"/>
  <c r="AL166" i="92"/>
  <c r="AO457" i="92"/>
  <c r="AZ457" i="92"/>
  <c r="AN414" i="92"/>
  <c r="AY414" i="92"/>
  <c r="AO576" i="92"/>
  <c r="AZ576" i="92"/>
  <c r="AZ230" i="92"/>
  <c r="AO230" i="92"/>
  <c r="AW749" i="92"/>
  <c r="AL749" i="92"/>
  <c r="AZ190" i="92"/>
  <c r="AO190" i="92"/>
  <c r="AW712" i="92"/>
  <c r="AL712" i="92"/>
  <c r="AN762" i="92"/>
  <c r="AY762" i="92"/>
  <c r="AL560" i="92"/>
  <c r="AW560" i="92"/>
  <c r="AY432" i="92"/>
  <c r="AN432" i="92"/>
  <c r="AN256" i="92"/>
  <c r="AY256" i="92"/>
  <c r="AX156" i="92"/>
  <c r="AM156" i="92"/>
  <c r="AW619" i="92"/>
  <c r="AL619" i="92"/>
  <c r="AX232" i="92"/>
  <c r="AM232" i="92"/>
  <c r="AN567" i="92"/>
  <c r="AY567" i="92"/>
  <c r="AM84" i="92"/>
  <c r="AX84" i="92"/>
  <c r="AW583" i="92"/>
  <c r="AL583" i="92"/>
  <c r="AZ348" i="92"/>
  <c r="AO348" i="92"/>
  <c r="AN213" i="92"/>
  <c r="AY213" i="92"/>
  <c r="AX189" i="92"/>
  <c r="AM189" i="92"/>
  <c r="AW359" i="92"/>
  <c r="AL359" i="92"/>
  <c r="AN745" i="92"/>
  <c r="AY745" i="92"/>
  <c r="AX538" i="92"/>
  <c r="AM538" i="92"/>
  <c r="AY490" i="92"/>
  <c r="AN490" i="92"/>
  <c r="AN174" i="92"/>
  <c r="AY174" i="92"/>
  <c r="AN253" i="92"/>
  <c r="AY253" i="92"/>
  <c r="AM571" i="92"/>
  <c r="AX571" i="92"/>
  <c r="AM577" i="92"/>
  <c r="AX577" i="92"/>
  <c r="AX639" i="92"/>
  <c r="AM639" i="92"/>
  <c r="AW200" i="92"/>
  <c r="AL200" i="92"/>
  <c r="AL280" i="92"/>
  <c r="AW280" i="92"/>
  <c r="AN483" i="92"/>
  <c r="AY483" i="92"/>
  <c r="AN57" i="92"/>
  <c r="AY57" i="92"/>
  <c r="AX430" i="92"/>
  <c r="AM430" i="92"/>
  <c r="AY72" i="92"/>
  <c r="AN72" i="92"/>
  <c r="AX55" i="92"/>
  <c r="AM55" i="92"/>
  <c r="AN647" i="92"/>
  <c r="AY647" i="92"/>
  <c r="AG570" i="92"/>
  <c r="AR570" i="92"/>
  <c r="AG649" i="92"/>
  <c r="AR649" i="92"/>
  <c r="AO709" i="92"/>
  <c r="AZ709" i="92"/>
  <c r="AV422" i="92"/>
  <c r="AK422" i="92"/>
  <c r="AK724" i="92"/>
  <c r="AV724" i="92"/>
  <c r="AR597" i="92"/>
  <c r="AG597" i="92"/>
  <c r="AT395" i="92"/>
  <c r="AI395" i="92"/>
  <c r="AV715" i="92"/>
  <c r="AK715" i="92"/>
  <c r="AK572" i="92"/>
  <c r="AV572" i="92"/>
  <c r="AQ747" i="92"/>
  <c r="AF747" i="92"/>
  <c r="AF575" i="92"/>
  <c r="AQ575" i="92"/>
  <c r="AJ750" i="92"/>
  <c r="AU750" i="92"/>
  <c r="AG748" i="92"/>
  <c r="AR748" i="92"/>
  <c r="AS520" i="92"/>
  <c r="AH520" i="92"/>
  <c r="AH753" i="92"/>
  <c r="AS753" i="92"/>
  <c r="AQ588" i="92"/>
  <c r="AF588" i="92"/>
  <c r="AG676" i="92"/>
  <c r="AR676" i="92"/>
  <c r="AL37" i="92"/>
  <c r="AW37" i="92"/>
  <c r="AU476" i="92"/>
  <c r="AJ476" i="92"/>
  <c r="AI641" i="92"/>
  <c r="AT641" i="92"/>
  <c r="AH463" i="92"/>
  <c r="AS463" i="92"/>
  <c r="AR446" i="92"/>
  <c r="AG446" i="92"/>
  <c r="AI280" i="92"/>
  <c r="AT280" i="92"/>
  <c r="AK447" i="92"/>
  <c r="AV447" i="92"/>
  <c r="AG154" i="92"/>
  <c r="AR154" i="92"/>
  <c r="AQ522" i="92"/>
  <c r="AI558" i="92"/>
  <c r="AH504" i="92"/>
  <c r="AS154" i="92"/>
  <c r="AK653" i="92"/>
  <c r="AF731" i="92"/>
  <c r="AZ620" i="92"/>
  <c r="AR67" i="92"/>
  <c r="AF173" i="92"/>
  <c r="AZ197" i="92"/>
  <c r="AO484" i="92"/>
  <c r="AR529" i="92"/>
  <c r="AO585" i="92"/>
  <c r="AK540" i="92"/>
  <c r="AZ535" i="92"/>
  <c r="AX541" i="92"/>
  <c r="AM722" i="92"/>
  <c r="AX722" i="92"/>
  <c r="AF525" i="92"/>
  <c r="AQ525" i="92"/>
  <c r="AJ629" i="92"/>
  <c r="AU629" i="92"/>
  <c r="AN660" i="92"/>
  <c r="AY660" i="92"/>
  <c r="AO592" i="92"/>
  <c r="AZ592" i="92"/>
  <c r="AQ586" i="92"/>
  <c r="AF586" i="92"/>
  <c r="AR723" i="92"/>
  <c r="AG723" i="92"/>
  <c r="AZ553" i="92"/>
  <c r="AO553" i="92"/>
  <c r="AL367" i="92"/>
  <c r="AW367" i="92"/>
  <c r="AZ139" i="92"/>
  <c r="AO139" i="92"/>
  <c r="AW167" i="92"/>
  <c r="AL167" i="92"/>
  <c r="AO644" i="92"/>
  <c r="AZ644" i="92"/>
  <c r="AN395" i="92"/>
  <c r="AY395" i="92"/>
  <c r="AZ297" i="92"/>
  <c r="AO297" i="92"/>
  <c r="AO661" i="92"/>
  <c r="AZ661" i="92"/>
  <c r="AO627" i="92"/>
  <c r="AZ627" i="92"/>
  <c r="AL140" i="92"/>
  <c r="AW140" i="92"/>
  <c r="AO747" i="92"/>
  <c r="AZ747" i="92"/>
  <c r="AN452" i="92"/>
  <c r="AY452" i="92"/>
  <c r="AO360" i="92"/>
  <c r="AZ360" i="92"/>
  <c r="AX670" i="92"/>
  <c r="AM670" i="92"/>
  <c r="AW557" i="92"/>
  <c r="AL557" i="92"/>
  <c r="AW745" i="92"/>
  <c r="AL745" i="92"/>
  <c r="AL368" i="92"/>
  <c r="AW368" i="92"/>
  <c r="AO186" i="92"/>
  <c r="AZ186" i="92"/>
  <c r="AX67" i="92"/>
  <c r="AM67" i="92"/>
  <c r="AW465" i="92"/>
  <c r="AL465" i="92"/>
  <c r="AM125" i="92"/>
  <c r="AX125" i="92"/>
  <c r="AZ402" i="92"/>
  <c r="AO402" i="92"/>
  <c r="AW401" i="92"/>
  <c r="AL401" i="92"/>
  <c r="AW406" i="92"/>
  <c r="AL406" i="92"/>
  <c r="AZ70" i="92"/>
  <c r="AO70" i="92"/>
  <c r="AM654" i="92"/>
  <c r="AX654" i="92"/>
  <c r="AX344" i="92"/>
  <c r="AM344" i="92"/>
  <c r="AN398" i="92"/>
  <c r="AY398" i="92"/>
  <c r="AN107" i="92"/>
  <c r="AY107" i="92"/>
  <c r="AL413" i="92"/>
  <c r="AW413" i="92"/>
  <c r="AN377" i="92"/>
  <c r="AY377" i="92"/>
  <c r="AW341" i="92"/>
  <c r="AL341" i="92"/>
  <c r="AM649" i="92"/>
  <c r="AX649" i="92"/>
  <c r="AN739" i="92"/>
  <c r="AY739" i="92"/>
  <c r="AO641" i="92"/>
  <c r="AZ641" i="92"/>
  <c r="AN78" i="92"/>
  <c r="AY78" i="92"/>
  <c r="AW329" i="92"/>
  <c r="AL329" i="92"/>
  <c r="AY642" i="92"/>
  <c r="AN642" i="92"/>
  <c r="AN586" i="92"/>
  <c r="AY586" i="92"/>
  <c r="AX253" i="92"/>
  <c r="AM253" i="92"/>
  <c r="AM416" i="92"/>
  <c r="AX416" i="92"/>
  <c r="AN511" i="92"/>
  <c r="AY511" i="92"/>
  <c r="AM220" i="92"/>
  <c r="AX220" i="92"/>
  <c r="AX714" i="92"/>
  <c r="AM714" i="92"/>
  <c r="AX739" i="92"/>
  <c r="AM739" i="92"/>
  <c r="AX537" i="92"/>
  <c r="AM537" i="92"/>
  <c r="AX310" i="92"/>
  <c r="AM310" i="92"/>
  <c r="AL568" i="92"/>
  <c r="AW568" i="92"/>
  <c r="AN599" i="92"/>
  <c r="AY599" i="92"/>
  <c r="AX188" i="92"/>
  <c r="AM188" i="92"/>
  <c r="AX625" i="92"/>
  <c r="AM625" i="92"/>
  <c r="AW62" i="92"/>
  <c r="AL62" i="92"/>
  <c r="AL88" i="92"/>
  <c r="AW88" i="92"/>
  <c r="AX94" i="92"/>
  <c r="AM94" i="92"/>
  <c r="AV557" i="92"/>
  <c r="AK557" i="92"/>
  <c r="AN756" i="92"/>
  <c r="AY756" i="92"/>
  <c r="AO558" i="92"/>
  <c r="AZ558" i="92"/>
  <c r="AJ404" i="92"/>
  <c r="AU404" i="92"/>
  <c r="AH415" i="92"/>
  <c r="AS415" i="92"/>
  <c r="AO732" i="92"/>
  <c r="AZ732" i="92"/>
  <c r="AZ726" i="92"/>
  <c r="AO726" i="92"/>
  <c r="AK507" i="92"/>
  <c r="AV507" i="92"/>
  <c r="AK591" i="92"/>
  <c r="AV591" i="92"/>
  <c r="AZ283" i="92"/>
  <c r="AO283" i="92"/>
  <c r="AU485" i="92"/>
  <c r="AJ485" i="92"/>
  <c r="AF559" i="92"/>
  <c r="AQ559" i="92"/>
  <c r="AU618" i="92"/>
  <c r="AJ618" i="92"/>
  <c r="AS625" i="92"/>
  <c r="AH625" i="92"/>
  <c r="AI700" i="92"/>
  <c r="AT700" i="92"/>
  <c r="AG763" i="92"/>
  <c r="AR763" i="92"/>
  <c r="AK763" i="92"/>
  <c r="AV763" i="92"/>
  <c r="AG417" i="92"/>
  <c r="AR417" i="92"/>
  <c r="AG397" i="92"/>
  <c r="AR397" i="92"/>
  <c r="AS545" i="92"/>
  <c r="AH545" i="92"/>
  <c r="AG492" i="92"/>
  <c r="AR492" i="92"/>
  <c r="AG518" i="92"/>
  <c r="AR518" i="92"/>
  <c r="AJ570" i="92"/>
  <c r="AU570" i="92"/>
  <c r="AJ604" i="92"/>
  <c r="AU604" i="92"/>
  <c r="AJ722" i="92"/>
  <c r="AU722" i="92"/>
  <c r="AQ582" i="92"/>
  <c r="AF582" i="92"/>
  <c r="AF193" i="92"/>
  <c r="AQ193" i="92"/>
  <c r="AU323" i="92"/>
  <c r="AJ323" i="92"/>
  <c r="AI625" i="92"/>
  <c r="AT625" i="92"/>
  <c r="AJ647" i="92"/>
  <c r="AU647" i="92"/>
  <c r="AS108" i="92"/>
  <c r="AH108" i="92"/>
  <c r="AK445" i="92"/>
  <c r="AV445" i="92"/>
  <c r="AH145" i="92"/>
  <c r="AS145" i="92"/>
  <c r="AJ627" i="92"/>
  <c r="AU627" i="92"/>
  <c r="AJ591" i="92"/>
  <c r="AU591" i="92"/>
  <c r="AF400" i="92"/>
  <c r="AQ400" i="92"/>
  <c r="AG59" i="92"/>
  <c r="AR59" i="92"/>
  <c r="AR90" i="92"/>
  <c r="AG90" i="92"/>
  <c r="AH307" i="92"/>
  <c r="AS307" i="92"/>
  <c r="AZ30" i="92"/>
  <c r="AO30" i="92"/>
  <c r="AV96" i="92"/>
  <c r="AK96" i="92"/>
  <c r="AG113" i="92"/>
  <c r="AR113" i="92"/>
  <c r="AV255" i="92"/>
  <c r="AK255" i="92"/>
  <c r="AG679" i="92"/>
  <c r="AR679" i="92"/>
  <c r="AJ148" i="92"/>
  <c r="AU148" i="92"/>
  <c r="AJ235" i="92"/>
  <c r="AU235" i="92"/>
  <c r="AP249" i="92"/>
  <c r="BA249" i="92"/>
  <c r="AG199" i="92"/>
  <c r="AR199" i="92"/>
  <c r="AU104" i="92"/>
  <c r="AJ104" i="92"/>
  <c r="AK520" i="92"/>
  <c r="AV520" i="92"/>
  <c r="AX26" i="92"/>
  <c r="AM26" i="92"/>
  <c r="AK689" i="92"/>
  <c r="AV689" i="92"/>
  <c r="AK109" i="92"/>
  <c r="AV109" i="92"/>
  <c r="AF225" i="92"/>
  <c r="AQ225" i="92"/>
  <c r="AJ53" i="92"/>
  <c r="AU53" i="92"/>
  <c r="AV564" i="92"/>
  <c r="AJ133" i="92"/>
  <c r="AG586" i="92"/>
  <c r="AK467" i="92"/>
  <c r="AW414" i="92"/>
  <c r="AY659" i="92"/>
  <c r="AN659" i="92"/>
  <c r="AO379" i="92"/>
  <c r="AZ379" i="92"/>
  <c r="AQ500" i="92"/>
  <c r="AF500" i="92"/>
  <c r="AW382" i="92"/>
  <c r="AL382" i="92"/>
  <c r="AK663" i="92"/>
  <c r="AV663" i="92"/>
  <c r="AZ74" i="92"/>
  <c r="AO74" i="92"/>
  <c r="AO243" i="92"/>
  <c r="AZ243" i="92"/>
  <c r="AL364" i="92"/>
  <c r="AW364" i="92"/>
  <c r="AZ399" i="92"/>
  <c r="AO399" i="92"/>
  <c r="AX716" i="92"/>
  <c r="AM716" i="92"/>
  <c r="AW426" i="92"/>
  <c r="AL426" i="92"/>
  <c r="AN48" i="92"/>
  <c r="AY48" i="92"/>
  <c r="AO648" i="92"/>
  <c r="AZ648" i="92"/>
  <c r="AX730" i="92"/>
  <c r="AM730" i="92"/>
  <c r="AW370" i="92"/>
  <c r="AL370" i="92"/>
  <c r="AY451" i="92"/>
  <c r="AN451" i="92"/>
  <c r="AO272" i="92"/>
  <c r="AZ272" i="92"/>
  <c r="AX112" i="92"/>
  <c r="AM112" i="92"/>
  <c r="AW203" i="92"/>
  <c r="AL203" i="92"/>
  <c r="AW669" i="92"/>
  <c r="AL669" i="92"/>
  <c r="AW491" i="92"/>
  <c r="AL491" i="92"/>
  <c r="AX415" i="92"/>
  <c r="AM415" i="92"/>
  <c r="AX618" i="92"/>
  <c r="AM618" i="92"/>
  <c r="AX493" i="92"/>
  <c r="AM493" i="92"/>
  <c r="AM357" i="92"/>
  <c r="AX357" i="92"/>
  <c r="AW152" i="92"/>
  <c r="AL152" i="92"/>
  <c r="AN359" i="92"/>
  <c r="AY359" i="92"/>
  <c r="AM280" i="92"/>
  <c r="AX280" i="92"/>
  <c r="AY552" i="92"/>
  <c r="AN552" i="92"/>
  <c r="AM358" i="92"/>
  <c r="AX358" i="92"/>
  <c r="AY426" i="92"/>
  <c r="AN426" i="92"/>
  <c r="AX549" i="92"/>
  <c r="AM549" i="92"/>
  <c r="AM517" i="92"/>
  <c r="AX517" i="92"/>
  <c r="AX481" i="92"/>
  <c r="AM481" i="92"/>
  <c r="AX179" i="92"/>
  <c r="AM179" i="92"/>
  <c r="AX446" i="92"/>
  <c r="AM446" i="92"/>
  <c r="AX558" i="92"/>
  <c r="AM558" i="92"/>
  <c r="AW89" i="92"/>
  <c r="AL89" i="92"/>
  <c r="AN532" i="92"/>
  <c r="AY532" i="92"/>
  <c r="AY546" i="92"/>
  <c r="AN546" i="92"/>
  <c r="AX185" i="92"/>
  <c r="AM185" i="92"/>
  <c r="AF540" i="92"/>
  <c r="AQ540" i="92"/>
  <c r="AO474" i="92"/>
  <c r="AZ474" i="92"/>
  <c r="AF710" i="92"/>
  <c r="AQ710" i="92"/>
  <c r="AJ475" i="92"/>
  <c r="AU475" i="92"/>
  <c r="AV404" i="92"/>
  <c r="AK404" i="92"/>
  <c r="AK593" i="92"/>
  <c r="AV593" i="92"/>
  <c r="AG641" i="92"/>
  <c r="AR641" i="92"/>
  <c r="AU693" i="92"/>
  <c r="AJ693" i="92"/>
  <c r="AK533" i="92"/>
  <c r="AV533" i="92"/>
  <c r="AU602" i="92"/>
  <c r="AJ602" i="92"/>
  <c r="AT436" i="92"/>
  <c r="AI436" i="92"/>
  <c r="AI660" i="92"/>
  <c r="AT660" i="92"/>
  <c r="AS479" i="92"/>
  <c r="AH479" i="92"/>
  <c r="AK384" i="92"/>
  <c r="AV384" i="92"/>
  <c r="AU408" i="92"/>
  <c r="AJ408" i="92"/>
  <c r="AS514" i="92"/>
  <c r="AH514" i="92"/>
  <c r="AK627" i="92"/>
  <c r="AV627" i="92"/>
  <c r="AH469" i="92"/>
  <c r="AS469" i="92"/>
  <c r="AH442" i="92"/>
  <c r="AS442" i="92"/>
  <c r="AS745" i="92"/>
  <c r="AH745" i="92"/>
  <c r="AU681" i="92"/>
  <c r="AJ681" i="92"/>
  <c r="AH397" i="92"/>
  <c r="AS397" i="92"/>
  <c r="AK516" i="92"/>
  <c r="AV516" i="92"/>
  <c r="AV618" i="92"/>
  <c r="AK618" i="92"/>
  <c r="AQ594" i="92"/>
  <c r="AF594" i="92"/>
  <c r="AQ529" i="92"/>
  <c r="AF529" i="92"/>
  <c r="AF570" i="92"/>
  <c r="AQ570" i="92"/>
  <c r="AH619" i="92"/>
  <c r="AS619" i="92"/>
  <c r="AI215" i="92"/>
  <c r="AT215" i="92"/>
  <c r="AJ456" i="92"/>
  <c r="AU456" i="92"/>
  <c r="AK478" i="92"/>
  <c r="AV478" i="92"/>
  <c r="AJ200" i="92"/>
  <c r="AU200" i="92"/>
  <c r="AF407" i="92"/>
  <c r="AQ407" i="92"/>
  <c r="AV313" i="92"/>
  <c r="AK313" i="92"/>
  <c r="BA267" i="92"/>
  <c r="AP267" i="92"/>
  <c r="AR575" i="92"/>
  <c r="AG575" i="92"/>
  <c r="AP354" i="92"/>
  <c r="BA354" i="92"/>
  <c r="AJ107" i="92"/>
  <c r="AU107" i="92"/>
  <c r="AG584" i="92"/>
  <c r="AR584" i="92"/>
  <c r="AP382" i="92"/>
  <c r="BA382" i="92"/>
  <c r="AF51" i="92"/>
  <c r="AQ51" i="92"/>
  <c r="AT219" i="92"/>
  <c r="AS581" i="92"/>
  <c r="AR522" i="92"/>
  <c r="AU389" i="92"/>
  <c r="AV694" i="92"/>
  <c r="AZ58" i="92"/>
  <c r="AX329" i="92"/>
  <c r="AM329" i="92"/>
  <c r="AW186" i="92"/>
  <c r="AL186" i="92"/>
  <c r="AG418" i="92"/>
  <c r="AR418" i="92"/>
  <c r="AO347" i="92"/>
  <c r="AZ347" i="92"/>
  <c r="AJ406" i="92"/>
  <c r="AU406" i="92"/>
  <c r="AO215" i="92"/>
  <c r="AZ215" i="92"/>
  <c r="AL84" i="92"/>
  <c r="AW84" i="92"/>
  <c r="AO333" i="92"/>
  <c r="AZ333" i="92"/>
  <c r="AL472" i="92"/>
  <c r="AW472" i="92"/>
  <c r="AW689" i="92"/>
  <c r="AL689" i="92"/>
  <c r="AX644" i="92"/>
  <c r="AM644" i="92"/>
  <c r="AW452" i="92"/>
  <c r="AL452" i="92"/>
  <c r="AL738" i="92"/>
  <c r="AW738" i="92"/>
  <c r="AO352" i="92"/>
  <c r="AZ352" i="92"/>
  <c r="AO608" i="92"/>
  <c r="AZ608" i="92"/>
  <c r="AM97" i="92"/>
  <c r="AX97" i="92"/>
  <c r="AN458" i="92"/>
  <c r="AY458" i="92"/>
  <c r="AO260" i="92"/>
  <c r="AZ260" i="92"/>
  <c r="AZ409" i="92"/>
  <c r="AO409" i="92"/>
  <c r="AL687" i="92"/>
  <c r="AW687" i="92"/>
  <c r="AN376" i="92"/>
  <c r="AY376" i="92"/>
  <c r="AO81" i="92"/>
  <c r="AZ81" i="92"/>
  <c r="AZ73" i="92"/>
  <c r="AO73" i="92"/>
  <c r="AW593" i="92"/>
  <c r="AL593" i="92"/>
  <c r="AL239" i="92"/>
  <c r="AW239" i="92"/>
  <c r="AW706" i="92"/>
  <c r="AL706" i="92"/>
  <c r="AW169" i="92"/>
  <c r="AL169" i="92"/>
  <c r="AX166" i="92"/>
  <c r="AM166" i="92"/>
  <c r="AL642" i="92"/>
  <c r="AW642" i="92"/>
  <c r="AL605" i="92"/>
  <c r="AW605" i="92"/>
  <c r="AX490" i="92"/>
  <c r="AM490" i="92"/>
  <c r="AZ344" i="92"/>
  <c r="AO344" i="92"/>
  <c r="AL117" i="92"/>
  <c r="AW117" i="92"/>
  <c r="AL207" i="92"/>
  <c r="AW207" i="92"/>
  <c r="AN650" i="92"/>
  <c r="AY650" i="92"/>
  <c r="AN492" i="92"/>
  <c r="AY492" i="92"/>
  <c r="AW128" i="92"/>
  <c r="AL128" i="92"/>
  <c r="AX207" i="92"/>
  <c r="AM207" i="92"/>
  <c r="AW287" i="92"/>
  <c r="AL287" i="92"/>
  <c r="AZ390" i="92"/>
  <c r="AO390" i="92"/>
  <c r="AN367" i="92"/>
  <c r="AY367" i="92"/>
  <c r="AX609" i="92"/>
  <c r="AM609" i="92"/>
  <c r="AN383" i="92"/>
  <c r="AY383" i="92"/>
  <c r="AN751" i="92"/>
  <c r="AY751" i="92"/>
  <c r="AZ131" i="92"/>
  <c r="AO131" i="92"/>
  <c r="AM597" i="92"/>
  <c r="AX597" i="92"/>
  <c r="AN177" i="92"/>
  <c r="AY177" i="92"/>
  <c r="AW240" i="92"/>
  <c r="AL240" i="92"/>
  <c r="AX528" i="92"/>
  <c r="AM528" i="92"/>
  <c r="AN379" i="92"/>
  <c r="AY379" i="92"/>
  <c r="AM663" i="92"/>
  <c r="AX663" i="92"/>
  <c r="AM247" i="92"/>
  <c r="AX247" i="92"/>
  <c r="AW99" i="92"/>
  <c r="AL99" i="92"/>
  <c r="AN560" i="92"/>
  <c r="AY560" i="92"/>
  <c r="AY217" i="92"/>
  <c r="AN217" i="92"/>
  <c r="AX82" i="92"/>
  <c r="AM82" i="92"/>
  <c r="AM627" i="92"/>
  <c r="AX627" i="92"/>
  <c r="AW487" i="92"/>
  <c r="AL487" i="92"/>
  <c r="AN463" i="92"/>
  <c r="AY463" i="92"/>
  <c r="AX547" i="92"/>
  <c r="AM547" i="92"/>
  <c r="AN737" i="92"/>
  <c r="AY737" i="92"/>
  <c r="AX759" i="92"/>
  <c r="AM759" i="92"/>
  <c r="AM279" i="92"/>
  <c r="AX279" i="92"/>
  <c r="AX331" i="92"/>
  <c r="AM331" i="92"/>
  <c r="AR714" i="92"/>
  <c r="AG714" i="92"/>
  <c r="AF474" i="92"/>
  <c r="AQ474" i="92"/>
  <c r="AJ581" i="92"/>
  <c r="AU581" i="92"/>
  <c r="AH583" i="92"/>
  <c r="AS583" i="92"/>
  <c r="AV508" i="92"/>
  <c r="AK508" i="92"/>
  <c r="AK707" i="92"/>
  <c r="AV707" i="92"/>
  <c r="AW502" i="92"/>
  <c r="AL502" i="92"/>
  <c r="AI616" i="92"/>
  <c r="AT616" i="92"/>
  <c r="AL35" i="92"/>
  <c r="AW35" i="92"/>
  <c r="AT538" i="92"/>
  <c r="AI538" i="92"/>
  <c r="AY106" i="92"/>
  <c r="AN106" i="92"/>
  <c r="AJ526" i="92"/>
  <c r="AU526" i="92"/>
  <c r="AU572" i="92"/>
  <c r="AJ572" i="92"/>
  <c r="AX31" i="92"/>
  <c r="AM31" i="92"/>
  <c r="AV710" i="92"/>
  <c r="AK710" i="92"/>
  <c r="AI407" i="92"/>
  <c r="AT407" i="92"/>
  <c r="AZ32" i="92"/>
  <c r="AO32" i="92"/>
  <c r="AF597" i="92"/>
  <c r="AQ597" i="92"/>
  <c r="AR734" i="92"/>
  <c r="AG734" i="92"/>
  <c r="AR456" i="92"/>
  <c r="AG456" i="92"/>
  <c r="AJ673" i="92"/>
  <c r="AU673" i="92"/>
  <c r="AS445" i="92"/>
  <c r="AH445" i="92"/>
  <c r="AJ720" i="92"/>
  <c r="AU720" i="92"/>
  <c r="AR719" i="92"/>
  <c r="AG719" i="92"/>
  <c r="AK654" i="92"/>
  <c r="AV654" i="92"/>
  <c r="AK164" i="92"/>
  <c r="AV164" i="92"/>
  <c r="AH375" i="92"/>
  <c r="AS375" i="92"/>
  <c r="AS439" i="92"/>
  <c r="AH439" i="92"/>
  <c r="AT719" i="92"/>
  <c r="AI719" i="92"/>
  <c r="AS323" i="92"/>
  <c r="AH323" i="92"/>
  <c r="AQ629" i="92"/>
  <c r="AF629" i="92"/>
  <c r="AF643" i="92"/>
  <c r="AQ643" i="92"/>
  <c r="AJ120" i="92"/>
  <c r="AU120" i="92"/>
  <c r="AU515" i="92"/>
  <c r="AJ515" i="92"/>
  <c r="AV595" i="92"/>
  <c r="AK595" i="92"/>
  <c r="AR394" i="92"/>
  <c r="AG394" i="92"/>
  <c r="AJ69" i="92"/>
  <c r="AU69" i="92"/>
  <c r="AI675" i="92"/>
  <c r="AT675" i="92"/>
  <c r="AR542" i="92"/>
  <c r="AG542" i="92"/>
  <c r="AI323" i="92"/>
  <c r="AT323" i="92"/>
  <c r="AK399" i="92"/>
  <c r="AV399" i="92"/>
  <c r="AJ730" i="92"/>
  <c r="AU730" i="92"/>
  <c r="AT240" i="92"/>
  <c r="AI240" i="92"/>
  <c r="AJ546" i="92"/>
  <c r="AU546" i="92"/>
  <c r="AF369" i="92"/>
  <c r="AQ369" i="92"/>
  <c r="AT649" i="92"/>
  <c r="AU703" i="92"/>
  <c r="AT473" i="92"/>
  <c r="AJ462" i="92"/>
  <c r="AI758" i="92"/>
  <c r="AV75" i="92"/>
  <c r="AZ88" i="92"/>
  <c r="AU735" i="92"/>
  <c r="AJ556" i="92"/>
  <c r="AR218" i="92"/>
  <c r="AV726" i="92"/>
  <c r="AN103" i="92"/>
  <c r="AM392" i="92"/>
  <c r="AX392" i="92"/>
  <c r="AO647" i="92"/>
  <c r="AZ647" i="92"/>
  <c r="AN576" i="92"/>
  <c r="AY576" i="92"/>
  <c r="AW355" i="92"/>
  <c r="AL355" i="92"/>
  <c r="AQ642" i="92"/>
  <c r="AF642" i="92"/>
  <c r="AN294" i="92"/>
  <c r="AY294" i="92"/>
  <c r="AV402" i="92"/>
  <c r="AK402" i="92"/>
  <c r="AO614" i="92"/>
  <c r="AZ614" i="92"/>
  <c r="AJ508" i="92"/>
  <c r="AU508" i="92"/>
  <c r="AO405" i="92"/>
  <c r="AZ405" i="92"/>
  <c r="AW540" i="92"/>
  <c r="AL540" i="92"/>
  <c r="AZ289" i="92"/>
  <c r="AO289" i="92"/>
  <c r="AL590" i="92"/>
  <c r="AW590" i="92"/>
  <c r="AO425" i="92"/>
  <c r="AZ425" i="92"/>
  <c r="AZ685" i="92"/>
  <c r="AO685" i="92"/>
  <c r="AZ631" i="92"/>
  <c r="AO631" i="92"/>
  <c r="AO204" i="92"/>
  <c r="AZ204" i="92"/>
  <c r="AO511" i="92"/>
  <c r="AZ511" i="92"/>
  <c r="AO426" i="92"/>
  <c r="AZ426" i="92"/>
  <c r="AO163" i="92"/>
  <c r="AZ163" i="92"/>
  <c r="AW294" i="92"/>
  <c r="AL294" i="92"/>
  <c r="AW333" i="92"/>
  <c r="AL333" i="92"/>
  <c r="AW752" i="92"/>
  <c r="AL752" i="92"/>
  <c r="AW536" i="92"/>
  <c r="AL536" i="92"/>
  <c r="AW260" i="92"/>
  <c r="AL260" i="92"/>
  <c r="AO520" i="92"/>
  <c r="AZ520" i="92"/>
  <c r="AZ393" i="92"/>
  <c r="AO393" i="92"/>
  <c r="AZ514" i="92"/>
  <c r="AO514" i="92"/>
  <c r="AO154" i="92"/>
  <c r="AZ154" i="92"/>
  <c r="AO410" i="92"/>
  <c r="AZ410" i="92"/>
  <c r="AN444" i="92"/>
  <c r="AY444" i="92"/>
  <c r="AL571" i="92"/>
  <c r="AW571" i="92"/>
  <c r="AL250" i="92"/>
  <c r="AW250" i="92"/>
  <c r="AN198" i="92"/>
  <c r="AY198" i="92"/>
  <c r="AO530" i="92"/>
  <c r="AZ530" i="92"/>
  <c r="AN229" i="92"/>
  <c r="AY229" i="92"/>
  <c r="AX365" i="92"/>
  <c r="AM365" i="92"/>
  <c r="AZ119" i="92"/>
  <c r="AO119" i="92"/>
  <c r="AO521" i="92"/>
  <c r="AZ521" i="92"/>
  <c r="AO343" i="92"/>
  <c r="AZ343" i="92"/>
  <c r="AW215" i="92"/>
  <c r="AL215" i="92"/>
  <c r="AY130" i="92"/>
  <c r="AN130" i="92"/>
  <c r="AX572" i="92"/>
  <c r="AM572" i="92"/>
  <c r="AW301" i="92"/>
  <c r="AL301" i="92"/>
  <c r="AO705" i="92"/>
  <c r="AZ705" i="92"/>
  <c r="AW458" i="92"/>
  <c r="AL458" i="92"/>
  <c r="AW542" i="92"/>
  <c r="AL542" i="92"/>
  <c r="AM707" i="92"/>
  <c r="AX707" i="92"/>
  <c r="AY505" i="92"/>
  <c r="AN505" i="92"/>
  <c r="AY350" i="92"/>
  <c r="AN350" i="92"/>
  <c r="AW228" i="92"/>
  <c r="AL228" i="92"/>
  <c r="AM288" i="92"/>
  <c r="AX288" i="92"/>
  <c r="AZ87" i="92"/>
  <c r="AO87" i="92"/>
  <c r="AN637" i="92"/>
  <c r="AY637" i="92"/>
  <c r="AM107" i="92"/>
  <c r="AX107" i="92"/>
  <c r="AW527" i="92"/>
  <c r="AL527" i="92"/>
  <c r="AW624" i="92"/>
  <c r="AL624" i="92"/>
  <c r="AM148" i="92"/>
  <c r="AX148" i="92"/>
  <c r="AM616" i="92"/>
  <c r="AX616" i="92"/>
  <c r="AW577" i="92"/>
  <c r="AL577" i="92"/>
  <c r="AX710" i="92"/>
  <c r="AM710" i="92"/>
  <c r="AN645" i="92"/>
  <c r="AY645" i="92"/>
  <c r="AX394" i="92"/>
  <c r="AM394" i="92"/>
  <c r="AX624" i="92"/>
  <c r="AM624" i="92"/>
  <c r="AX516" i="92"/>
  <c r="AM516" i="92"/>
  <c r="AX87" i="92"/>
  <c r="AM87" i="92"/>
  <c r="AN397" i="92"/>
  <c r="AY397" i="92"/>
  <c r="AM433" i="92"/>
  <c r="AX433" i="92"/>
  <c r="AX724" i="92"/>
  <c r="AM724" i="92"/>
  <c r="AM509" i="92"/>
  <c r="AX509" i="92"/>
  <c r="AX728" i="92"/>
  <c r="AM728" i="92"/>
  <c r="AN709" i="92"/>
  <c r="AY709" i="92"/>
  <c r="AW72" i="92"/>
  <c r="AL72" i="92"/>
  <c r="AM332" i="92"/>
  <c r="AX332" i="92"/>
  <c r="AX194" i="92"/>
  <c r="AM194" i="92"/>
  <c r="AX698" i="92"/>
  <c r="AM698" i="92"/>
  <c r="AM324" i="92"/>
  <c r="AX324" i="92"/>
  <c r="AM137" i="92"/>
  <c r="AX137" i="92"/>
  <c r="AM407" i="92"/>
  <c r="AX407" i="92"/>
  <c r="AZ309" i="92"/>
  <c r="AO309" i="92"/>
  <c r="AX24" i="92"/>
  <c r="AM24" i="92"/>
  <c r="AR478" i="92"/>
  <c r="AG478" i="92"/>
  <c r="AU417" i="92"/>
  <c r="AJ417" i="92"/>
  <c r="AG613" i="92"/>
  <c r="AR613" i="92"/>
  <c r="AN95" i="92"/>
  <c r="AY95" i="92"/>
  <c r="AW654" i="92"/>
  <c r="AL654" i="92"/>
  <c r="AJ646" i="92"/>
  <c r="AU646" i="92"/>
  <c r="AI654" i="92"/>
  <c r="AT654" i="92"/>
  <c r="AH618" i="92"/>
  <c r="AS618" i="92"/>
  <c r="AF599" i="92"/>
  <c r="AQ599" i="92"/>
  <c r="AQ757" i="92"/>
  <c r="AF757" i="92"/>
  <c r="AU498" i="92"/>
  <c r="AJ498" i="92"/>
  <c r="AJ587" i="92"/>
  <c r="AU587" i="92"/>
  <c r="AI539" i="92"/>
  <c r="AT539" i="92"/>
  <c r="AK462" i="92"/>
  <c r="AV462" i="92"/>
  <c r="AG720" i="92"/>
  <c r="AR720" i="92"/>
  <c r="AF443" i="92"/>
  <c r="AQ443" i="92"/>
  <c r="AV732" i="92"/>
  <c r="AK732" i="92"/>
  <c r="AW39" i="92"/>
  <c r="AL39" i="92"/>
  <c r="AU509" i="92"/>
  <c r="AJ509" i="92"/>
  <c r="AR589" i="92"/>
  <c r="AG589" i="92"/>
  <c r="AG489" i="92"/>
  <c r="AR489" i="92"/>
  <c r="AH474" i="92"/>
  <c r="AS474" i="92"/>
  <c r="AJ611" i="92"/>
  <c r="AU611" i="92"/>
  <c r="AF548" i="92"/>
  <c r="AQ548" i="92"/>
  <c r="AS203" i="92"/>
  <c r="AH203" i="92"/>
  <c r="AR125" i="92"/>
  <c r="AG125" i="92"/>
  <c r="AS489" i="92"/>
  <c r="AH489" i="92"/>
  <c r="AV480" i="92"/>
  <c r="AK480" i="92"/>
  <c r="AU267" i="92"/>
  <c r="AJ267" i="92"/>
  <c r="AQ302" i="92"/>
  <c r="AF302" i="92"/>
  <c r="AK636" i="92"/>
  <c r="AV636" i="92"/>
  <c r="AS125" i="92"/>
  <c r="AH125" i="92"/>
  <c r="AH355" i="92"/>
  <c r="AS355" i="92"/>
  <c r="AH69" i="92"/>
  <c r="AS69" i="92"/>
  <c r="AH320" i="92"/>
  <c r="AS320" i="92"/>
  <c r="AQ287" i="92"/>
  <c r="AF287" i="92"/>
  <c r="AN25" i="92"/>
  <c r="AY25" i="92"/>
  <c r="AH163" i="92"/>
  <c r="AS163" i="92"/>
  <c r="AJ315" i="92"/>
  <c r="AU315" i="92"/>
  <c r="AP330" i="92"/>
  <c r="BA330" i="92"/>
  <c r="AR731" i="92"/>
  <c r="AG731" i="92"/>
  <c r="AJ487" i="92"/>
  <c r="AU487" i="92"/>
  <c r="AQ503" i="92"/>
  <c r="AF503" i="92"/>
  <c r="AF546" i="92"/>
  <c r="AQ546" i="92"/>
  <c r="AG109" i="92"/>
  <c r="AR109" i="92"/>
  <c r="BA314" i="92"/>
  <c r="AP314" i="92"/>
  <c r="AF440" i="92"/>
  <c r="AQ440" i="92"/>
  <c r="AJ109" i="92"/>
  <c r="AU109" i="92"/>
  <c r="AH336" i="92"/>
  <c r="AS336" i="92"/>
  <c r="AV439" i="92"/>
  <c r="AK439" i="92"/>
  <c r="AJ450" i="92"/>
  <c r="AH726" i="92"/>
  <c r="AT227" i="92"/>
  <c r="AK547" i="92"/>
  <c r="AF729" i="92"/>
  <c r="AU439" i="92"/>
  <c r="AU756" i="92"/>
  <c r="AZ479" i="92"/>
  <c r="AF455" i="92"/>
  <c r="AK612" i="92"/>
  <c r="AQ194" i="92"/>
  <c r="AN258" i="92"/>
  <c r="AY258" i="92"/>
  <c r="AL236" i="92"/>
  <c r="AW236" i="92"/>
  <c r="AW59" i="92"/>
  <c r="AL59" i="92"/>
  <c r="AZ38" i="92"/>
  <c r="AO38" i="92"/>
  <c r="AU540" i="92"/>
  <c r="AJ535" i="92"/>
  <c r="AZ618" i="92"/>
  <c r="AQ384" i="92"/>
  <c r="AI406" i="92"/>
  <c r="AO66" i="92"/>
  <c r="AV753" i="92"/>
  <c r="AZ212" i="92"/>
  <c r="AO145" i="92"/>
  <c r="AS272" i="92"/>
  <c r="AZ224" i="92"/>
  <c r="AZ170" i="92"/>
  <c r="AY357" i="92"/>
  <c r="AN380" i="92"/>
  <c r="AL148" i="92"/>
  <c r="AM297" i="92"/>
  <c r="AL554" i="92"/>
  <c r="AL707" i="92"/>
  <c r="AX176" i="92"/>
  <c r="AX408" i="92"/>
  <c r="AI506" i="92"/>
  <c r="AT506" i="92"/>
  <c r="BA503" i="92"/>
  <c r="AP503" i="92"/>
  <c r="AP125" i="92"/>
  <c r="BA125" i="92"/>
  <c r="AS134" i="92"/>
  <c r="AH134" i="92"/>
  <c r="BA763" i="92"/>
  <c r="AP763" i="92"/>
  <c r="BA664" i="92"/>
  <c r="AP664" i="92"/>
  <c r="AU128" i="92"/>
  <c r="AJ128" i="92"/>
  <c r="AP651" i="92"/>
  <c r="BA651" i="92"/>
  <c r="AP537" i="92"/>
  <c r="BA537" i="92"/>
  <c r="AQ545" i="92"/>
  <c r="AZ744" i="92"/>
  <c r="AU352" i="92"/>
  <c r="AH359" i="92"/>
  <c r="AW343" i="92"/>
  <c r="AX255" i="92"/>
  <c r="AL459" i="92"/>
  <c r="AW412" i="92"/>
  <c r="AM524" i="92"/>
  <c r="AO670" i="92"/>
  <c r="AZ366" i="92"/>
  <c r="AQ381" i="92"/>
  <c r="AO91" i="92"/>
  <c r="AX132" i="92"/>
  <c r="AL683" i="92"/>
  <c r="AM588" i="92"/>
  <c r="AN312" i="92"/>
  <c r="AN714" i="92"/>
  <c r="AY493" i="92"/>
  <c r="AM755" i="92"/>
  <c r="AN176" i="92"/>
  <c r="AX321" i="92"/>
  <c r="AX111" i="92"/>
  <c r="AM63" i="92"/>
  <c r="AW270" i="92"/>
  <c r="AN608" i="92"/>
  <c r="AL555" i="92"/>
  <c r="AX725" i="92"/>
  <c r="AY98" i="92"/>
  <c r="AM95" i="92"/>
  <c r="AX599" i="92"/>
  <c r="AG486" i="92"/>
  <c r="AR486" i="92"/>
  <c r="AM515" i="92"/>
  <c r="AX515" i="92"/>
  <c r="AW601" i="92"/>
  <c r="AL601" i="92"/>
  <c r="AL567" i="92"/>
  <c r="AW567" i="92"/>
  <c r="AW433" i="92"/>
  <c r="AL433" i="92"/>
  <c r="AY596" i="92"/>
  <c r="AN596" i="92"/>
  <c r="AZ155" i="92"/>
  <c r="AO155" i="92"/>
  <c r="AL535" i="92"/>
  <c r="AW535" i="92"/>
  <c r="AZ401" i="92"/>
  <c r="AO401" i="92"/>
  <c r="AM478" i="92"/>
  <c r="AX478" i="92"/>
  <c r="AY404" i="92"/>
  <c r="AN404" i="92"/>
  <c r="AL663" i="92"/>
  <c r="AW663" i="92"/>
  <c r="AX583" i="92"/>
  <c r="AM583" i="92"/>
  <c r="AL523" i="92"/>
  <c r="AW523" i="92"/>
  <c r="AL613" i="92"/>
  <c r="AW613" i="92"/>
  <c r="AN508" i="92"/>
  <c r="AY508" i="92"/>
  <c r="AL549" i="92"/>
  <c r="AW549" i="92"/>
  <c r="AY561" i="92"/>
  <c r="AN561" i="92"/>
  <c r="AW424" i="92"/>
  <c r="AL424" i="92"/>
  <c r="AL307" i="92"/>
  <c r="AW307" i="92"/>
  <c r="AX116" i="92"/>
  <c r="AM116" i="92"/>
  <c r="AL673" i="92"/>
  <c r="AW673" i="92"/>
  <c r="AY622" i="92"/>
  <c r="AN622" i="92"/>
  <c r="AL108" i="92"/>
  <c r="AW108" i="92"/>
  <c r="AW371" i="92"/>
  <c r="AL371" i="92"/>
  <c r="AN440" i="92"/>
  <c r="AY440" i="92"/>
  <c r="AX406" i="92"/>
  <c r="AM406" i="92"/>
  <c r="AL755" i="92"/>
  <c r="AW755" i="92"/>
  <c r="AW591" i="92"/>
  <c r="AL591" i="92"/>
  <c r="AM735" i="92"/>
  <c r="AX735" i="92"/>
  <c r="AW213" i="92"/>
  <c r="AL213" i="92"/>
  <c r="AW205" i="92"/>
  <c r="AL205" i="92"/>
  <c r="AW416" i="92"/>
  <c r="AL416" i="92"/>
  <c r="AY179" i="92"/>
  <c r="AN179" i="92"/>
  <c r="AX553" i="92"/>
  <c r="AM553" i="92"/>
  <c r="AN250" i="92"/>
  <c r="AY250" i="92"/>
  <c r="AY164" i="92"/>
  <c r="AN164" i="92"/>
  <c r="AL733" i="92"/>
  <c r="AW733" i="92"/>
  <c r="AL393" i="92"/>
  <c r="AW393" i="92"/>
  <c r="AY706" i="92"/>
  <c r="AN706" i="92"/>
  <c r="AY633" i="92"/>
  <c r="AN633" i="92"/>
  <c r="AM109" i="92"/>
  <c r="AX109" i="92"/>
  <c r="AN710" i="92"/>
  <c r="AY710" i="92"/>
  <c r="AM497" i="92"/>
  <c r="AX497" i="92"/>
  <c r="AY427" i="92"/>
  <c r="AN427" i="92"/>
  <c r="AN314" i="92"/>
  <c r="AY314" i="92"/>
  <c r="AM304" i="92"/>
  <c r="AX304" i="92"/>
  <c r="AY419" i="92"/>
  <c r="AN419" i="92"/>
  <c r="AY607" i="92"/>
  <c r="AN607" i="92"/>
  <c r="AN100" i="92"/>
  <c r="AY100" i="92"/>
  <c r="AN226" i="92"/>
  <c r="AY226" i="92"/>
  <c r="AM376" i="92"/>
  <c r="AX376" i="92"/>
  <c r="AY585" i="92"/>
  <c r="AN585" i="92"/>
  <c r="AY699" i="92"/>
  <c r="AN699" i="92"/>
  <c r="AN162" i="92"/>
  <c r="AY162" i="92"/>
  <c r="AF227" i="92"/>
  <c r="AP699" i="92"/>
  <c r="BA489" i="92"/>
  <c r="AZ428" i="92"/>
  <c r="AZ338" i="92"/>
  <c r="AO316" i="92"/>
  <c r="AO556" i="92"/>
  <c r="AZ722" i="92"/>
  <c r="AI43" i="92"/>
  <c r="AY271" i="92"/>
  <c r="AL298" i="92"/>
  <c r="AM122" i="92"/>
  <c r="AW649" i="92"/>
  <c r="AW132" i="92"/>
  <c r="AX46" i="92"/>
  <c r="AX635" i="92"/>
  <c r="AN64" i="92"/>
  <c r="AM426" i="92"/>
  <c r="AY283" i="92"/>
  <c r="AM438" i="92"/>
  <c r="AL677" i="92"/>
  <c r="AW238" i="92"/>
  <c r="AU394" i="92"/>
  <c r="AN41" i="92"/>
  <c r="AN23" i="92"/>
  <c r="AY128" i="92"/>
  <c r="AX666" i="92"/>
  <c r="AX27" i="92"/>
  <c r="AX218" i="92"/>
  <c r="AN347" i="92"/>
  <c r="AW292" i="92"/>
  <c r="AZ387" i="92"/>
  <c r="AO387" i="92"/>
  <c r="AQ550" i="92"/>
  <c r="AF550" i="92"/>
  <c r="AZ223" i="92"/>
  <c r="AO223" i="92"/>
  <c r="AQ533" i="92"/>
  <c r="AF533" i="92"/>
  <c r="AL546" i="92"/>
  <c r="AW546" i="92"/>
  <c r="AJ605" i="92"/>
  <c r="AU605" i="92"/>
  <c r="AR605" i="92"/>
  <c r="AG605" i="92"/>
  <c r="AL231" i="92"/>
  <c r="AW231" i="92"/>
  <c r="AI553" i="92"/>
  <c r="AT553" i="92"/>
  <c r="AL753" i="92"/>
  <c r="AW753" i="92"/>
  <c r="AZ201" i="92"/>
  <c r="AO201" i="92"/>
  <c r="AL422" i="92"/>
  <c r="AW422" i="92"/>
  <c r="AO542" i="92"/>
  <c r="AZ542" i="92"/>
  <c r="AN116" i="92"/>
  <c r="AY116" i="92"/>
  <c r="AL438" i="92"/>
  <c r="AW438" i="92"/>
  <c r="AN549" i="92"/>
  <c r="AY549" i="92"/>
  <c r="AZ356" i="92"/>
  <c r="AO356" i="92"/>
  <c r="AZ244" i="92"/>
  <c r="AO244" i="92"/>
  <c r="AW251" i="92"/>
  <c r="AL251" i="92"/>
  <c r="AX238" i="92"/>
  <c r="AM238" i="92"/>
  <c r="AW74" i="92"/>
  <c r="AL74" i="92"/>
  <c r="AY524" i="92"/>
  <c r="AN524" i="92"/>
  <c r="AL736" i="92"/>
  <c r="AW736" i="92"/>
  <c r="AW671" i="92"/>
  <c r="AL671" i="92"/>
  <c r="AZ357" i="92"/>
  <c r="AO357" i="92"/>
  <c r="AZ642" i="92"/>
  <c r="AO642" i="92"/>
  <c r="AW533" i="92"/>
  <c r="AL533" i="92"/>
  <c r="AW176" i="92"/>
  <c r="AL176" i="92"/>
  <c r="AO200" i="92"/>
  <c r="AZ200" i="92"/>
  <c r="AW349" i="92"/>
  <c r="AL349" i="92"/>
  <c r="AN443" i="92"/>
  <c r="AY443" i="92"/>
  <c r="AY696" i="92"/>
  <c r="AN696" i="92"/>
  <c r="AO323" i="92"/>
  <c r="AZ323" i="92"/>
  <c r="AY89" i="92"/>
  <c r="AN89" i="92"/>
  <c r="AM190" i="92"/>
  <c r="AX190" i="92"/>
  <c r="AW58" i="92"/>
  <c r="AL58" i="92"/>
  <c r="AX347" i="92"/>
  <c r="AM347" i="92"/>
  <c r="AY291" i="92"/>
  <c r="AN291" i="92"/>
  <c r="AY626" i="92"/>
  <c r="AN626" i="92"/>
  <c r="AY200" i="92"/>
  <c r="AN200" i="92"/>
  <c r="AX384" i="92"/>
  <c r="AM384" i="92"/>
  <c r="AX510" i="92"/>
  <c r="AM510" i="92"/>
  <c r="AN296" i="92"/>
  <c r="AY296" i="92"/>
  <c r="AX727" i="92"/>
  <c r="AM727" i="92"/>
  <c r="AN76" i="92"/>
  <c r="AY76" i="92"/>
  <c r="AM512" i="92"/>
  <c r="AX512" i="92"/>
  <c r="AN674" i="92"/>
  <c r="AY674" i="92"/>
  <c r="AL54" i="92"/>
  <c r="AW54" i="92"/>
  <c r="AX733" i="92"/>
  <c r="AM733" i="92"/>
  <c r="AO485" i="92"/>
  <c r="AZ485" i="92"/>
  <c r="AO544" i="92"/>
  <c r="AZ544" i="92"/>
  <c r="AH530" i="92"/>
  <c r="AS530" i="92"/>
  <c r="AF634" i="92"/>
  <c r="AQ634" i="92"/>
  <c r="AO331" i="92"/>
  <c r="AZ331" i="92"/>
  <c r="AH590" i="92"/>
  <c r="AS590" i="92"/>
  <c r="AH483" i="92"/>
  <c r="AS483" i="92"/>
  <c r="AY26" i="92"/>
  <c r="AN26" i="92"/>
  <c r="AI463" i="92"/>
  <c r="AT463" i="92"/>
  <c r="AL43" i="27" s="1"/>
  <c r="AJ563" i="92"/>
  <c r="AU563" i="92"/>
  <c r="AF678" i="92"/>
  <c r="AQ678" i="92"/>
  <c r="AK414" i="92"/>
  <c r="AV414" i="92"/>
  <c r="AR524" i="92"/>
  <c r="AG524" i="92"/>
  <c r="AS551" i="92"/>
  <c r="AH551" i="92"/>
  <c r="AJ755" i="92"/>
  <c r="AU755" i="92"/>
  <c r="AV479" i="92"/>
  <c r="AK479" i="92"/>
  <c r="AI623" i="92"/>
  <c r="AT623" i="92"/>
  <c r="AN30" i="92"/>
  <c r="AY30" i="92"/>
  <c r="AG547" i="92"/>
  <c r="AR547" i="92"/>
  <c r="AH613" i="92"/>
  <c r="AS613" i="92"/>
  <c r="AK748" i="92"/>
  <c r="AV748" i="92"/>
  <c r="AI294" i="92"/>
  <c r="AT294" i="92"/>
  <c r="AH604" i="92"/>
  <c r="AS604" i="92"/>
  <c r="AV751" i="92"/>
  <c r="AK751" i="92"/>
  <c r="AS232" i="92"/>
  <c r="AH232" i="92"/>
  <c r="AU73" i="92"/>
  <c r="AJ73" i="92"/>
  <c r="AV553" i="92"/>
  <c r="AK553" i="92"/>
  <c r="AH99" i="92"/>
  <c r="AS99" i="92"/>
  <c r="AQ181" i="92"/>
  <c r="AF181" i="92"/>
  <c r="AP208" i="92"/>
  <c r="BA208" i="92"/>
  <c r="AR482" i="92"/>
  <c r="AG482" i="92"/>
  <c r="AF164" i="92"/>
  <c r="AQ164" i="92"/>
  <c r="AH148" i="92"/>
  <c r="AS148" i="92"/>
  <c r="AG80" i="92"/>
  <c r="AR80" i="92"/>
  <c r="AF363" i="92"/>
  <c r="AQ363" i="92"/>
  <c r="AQ576" i="92"/>
  <c r="AF576" i="92"/>
  <c r="AI269" i="92"/>
  <c r="AT269" i="92"/>
  <c r="AT202" i="92"/>
  <c r="AI202" i="92"/>
  <c r="AQ168" i="92"/>
  <c r="AF168" i="92"/>
  <c r="AJ740" i="92"/>
  <c r="AU740" i="92"/>
  <c r="AJ82" i="92"/>
  <c r="AU82" i="92"/>
  <c r="AJ79" i="92"/>
  <c r="AU79" i="92"/>
  <c r="AF357" i="92"/>
  <c r="AQ357" i="92"/>
  <c r="AJ341" i="92"/>
  <c r="AU341" i="92"/>
  <c r="AH46" i="92"/>
  <c r="AS46" i="92"/>
  <c r="BA111" i="92"/>
  <c r="AP111" i="92"/>
  <c r="AP254" i="92"/>
  <c r="BA254" i="92"/>
  <c r="BA484" i="92"/>
  <c r="AP484" i="92"/>
  <c r="BA113" i="92"/>
  <c r="AP113" i="92"/>
  <c r="AP666" i="92"/>
  <c r="BA666" i="92"/>
  <c r="BA728" i="92"/>
  <c r="AP728" i="92"/>
  <c r="AH324" i="92"/>
  <c r="AS324" i="92"/>
  <c r="AJ274" i="92"/>
  <c r="AU274" i="92"/>
  <c r="AH208" i="92"/>
  <c r="AS208" i="92"/>
  <c r="AK152" i="92"/>
  <c r="AV152" i="92"/>
  <c r="AI311" i="92"/>
  <c r="AT311" i="92"/>
  <c r="AF190" i="92"/>
  <c r="AQ190" i="92"/>
  <c r="AP222" i="92"/>
  <c r="BA222" i="92"/>
  <c r="AH246" i="92"/>
  <c r="AS246" i="92"/>
  <c r="AV273" i="92"/>
  <c r="AK273" i="92"/>
  <c r="AQ269" i="92"/>
  <c r="AF269" i="92"/>
  <c r="AH198" i="92"/>
  <c r="AS198" i="92"/>
  <c r="AV112" i="92"/>
  <c r="AK112" i="92"/>
  <c r="AP662" i="92"/>
  <c r="BA662" i="92"/>
  <c r="AS262" i="92"/>
  <c r="AH262" i="92"/>
  <c r="AP624" i="92"/>
  <c r="BA624" i="92"/>
  <c r="BA192" i="92"/>
  <c r="AP192" i="92"/>
  <c r="AG229" i="92"/>
  <c r="AR229" i="92"/>
  <c r="AR645" i="92"/>
  <c r="AZ621" i="92"/>
  <c r="AO683" i="92"/>
  <c r="AT606" i="92"/>
  <c r="AS443" i="92"/>
  <c r="AZ51" i="92"/>
  <c r="AQ84" i="92"/>
  <c r="AK496" i="92"/>
  <c r="AO750" i="92"/>
  <c r="AG81" i="92"/>
  <c r="AP332" i="92"/>
  <c r="AF416" i="92"/>
  <c r="AP409" i="92"/>
  <c r="AV560" i="92"/>
  <c r="AO652" i="92"/>
  <c r="AR251" i="92"/>
  <c r="AK266" i="92"/>
  <c r="AQ185" i="92"/>
  <c r="AQ689" i="92"/>
  <c r="AO377" i="92"/>
  <c r="AV160" i="92"/>
  <c r="AV279" i="92"/>
  <c r="AQ704" i="92"/>
  <c r="AZ325" i="92"/>
  <c r="BA391" i="92"/>
  <c r="AO178" i="92"/>
  <c r="AO218" i="92"/>
  <c r="AZ149" i="92"/>
  <c r="AO149" i="92"/>
  <c r="AT594" i="92"/>
  <c r="AI594" i="92"/>
  <c r="AZ710" i="92"/>
  <c r="AO710" i="92"/>
  <c r="AO688" i="92"/>
  <c r="AZ688" i="92"/>
  <c r="AH672" i="92"/>
  <c r="AS672" i="92"/>
  <c r="AF622" i="92"/>
  <c r="AQ622" i="92"/>
  <c r="AZ133" i="92"/>
  <c r="AO133" i="92"/>
  <c r="AO551" i="92"/>
  <c r="AZ551" i="92"/>
  <c r="AW483" i="92"/>
  <c r="AL483" i="92"/>
  <c r="AO419" i="92"/>
  <c r="AZ419" i="92"/>
  <c r="AO579" i="92"/>
  <c r="AZ579" i="92"/>
  <c r="AO140" i="92"/>
  <c r="AZ140" i="92"/>
  <c r="AO436" i="92"/>
  <c r="AZ436" i="92"/>
  <c r="AW603" i="92"/>
  <c r="AL603" i="92"/>
  <c r="AO176" i="92"/>
  <c r="AZ176" i="92"/>
  <c r="AM362" i="92"/>
  <c r="AX362" i="92"/>
  <c r="AW714" i="92"/>
  <c r="AL714" i="92"/>
  <c r="AO444" i="92"/>
  <c r="AZ444" i="92"/>
  <c r="AZ487" i="92"/>
  <c r="AO487" i="92"/>
  <c r="AW528" i="92"/>
  <c r="AL528" i="92"/>
  <c r="AL345" i="92"/>
  <c r="AW345" i="92"/>
  <c r="AL338" i="92"/>
  <c r="AW338" i="92"/>
  <c r="AY686" i="92"/>
  <c r="AN686" i="92"/>
  <c r="AW92" i="92"/>
  <c r="AL92" i="92"/>
  <c r="AW387" i="92"/>
  <c r="AL387" i="92"/>
  <c r="AY316" i="92"/>
  <c r="AN316" i="92"/>
  <c r="AO696" i="92"/>
  <c r="AZ696" i="92"/>
  <c r="AX229" i="92"/>
  <c r="AM229" i="92"/>
  <c r="AY522" i="92"/>
  <c r="AN522" i="92"/>
  <c r="AZ270" i="92"/>
  <c r="AO270" i="92"/>
  <c r="AO280" i="92"/>
  <c r="AZ280" i="92"/>
  <c r="AM701" i="92"/>
  <c r="AX701" i="92"/>
  <c r="AO723" i="92"/>
  <c r="AZ723" i="92"/>
  <c r="AM595" i="92"/>
  <c r="AX595" i="92"/>
  <c r="AM139" i="92"/>
  <c r="AX139" i="92"/>
  <c r="AM299" i="92"/>
  <c r="AX299" i="92"/>
  <c r="AM450" i="92"/>
  <c r="AX450" i="92"/>
  <c r="AN345" i="92"/>
  <c r="AY345" i="92"/>
  <c r="AM237" i="92"/>
  <c r="AX237" i="92"/>
  <c r="AX485" i="92"/>
  <c r="AM485" i="92"/>
  <c r="AM723" i="92"/>
  <c r="AX723" i="92"/>
  <c r="AX672" i="92"/>
  <c r="AM672" i="92"/>
  <c r="AN475" i="92"/>
  <c r="AY475" i="92"/>
  <c r="AX564" i="92"/>
  <c r="AM564" i="92"/>
  <c r="AM455" i="92"/>
  <c r="AX455" i="92"/>
  <c r="AN148" i="92"/>
  <c r="AY148" i="92"/>
  <c r="AG507" i="92"/>
  <c r="AR507" i="92"/>
  <c r="AL539" i="92"/>
  <c r="AW539" i="92"/>
  <c r="AW202" i="92"/>
  <c r="AL202" i="92"/>
  <c r="AW25" i="92"/>
  <c r="AL25" i="92"/>
  <c r="AU500" i="92"/>
  <c r="AJ500" i="92"/>
  <c r="AU517" i="92"/>
  <c r="AJ517" i="92"/>
  <c r="AQ415" i="92"/>
  <c r="AF415" i="92"/>
  <c r="AH688" i="92"/>
  <c r="AS688" i="92"/>
  <c r="AI477" i="92"/>
  <c r="AT477" i="92"/>
  <c r="AK437" i="92"/>
  <c r="AV437" i="92"/>
  <c r="AG755" i="92"/>
  <c r="AR755" i="92"/>
  <c r="AU713" i="92"/>
  <c r="AJ713" i="92"/>
  <c r="AI587" i="92"/>
  <c r="AT587" i="92"/>
  <c r="AY28" i="92"/>
  <c r="AN28" i="92"/>
  <c r="AH414" i="92"/>
  <c r="AS414" i="92"/>
  <c r="AY32" i="92"/>
  <c r="AN32" i="92"/>
  <c r="AR432" i="92"/>
  <c r="AG432" i="92"/>
  <c r="AI656" i="92"/>
  <c r="AT656" i="92"/>
  <c r="AV756" i="92"/>
  <c r="AK756" i="92"/>
  <c r="AK577" i="92"/>
  <c r="AV577" i="92"/>
  <c r="AN42" i="92"/>
  <c r="AY42" i="92"/>
  <c r="AR707" i="92"/>
  <c r="AG707" i="92"/>
  <c r="AR354" i="92"/>
  <c r="AG354" i="92"/>
  <c r="AT711" i="92"/>
  <c r="AI711" i="92"/>
  <c r="AI249" i="92"/>
  <c r="AT249" i="92"/>
  <c r="AQ260" i="92"/>
  <c r="AF260" i="92"/>
  <c r="AF307" i="92"/>
  <c r="AQ307" i="92"/>
  <c r="AQ103" i="92"/>
  <c r="AF103" i="92"/>
  <c r="AH240" i="92"/>
  <c r="AS240" i="92"/>
  <c r="AG225" i="92"/>
  <c r="AR225" i="92"/>
  <c r="AH330" i="92"/>
  <c r="AS330" i="92"/>
  <c r="AQ482" i="92"/>
  <c r="AF482" i="92"/>
  <c r="AS109" i="92"/>
  <c r="AH109" i="92"/>
  <c r="AG224" i="92"/>
  <c r="AR224" i="92"/>
  <c r="AI207" i="92"/>
  <c r="AT207" i="92"/>
  <c r="BA649" i="92"/>
  <c r="AP649" i="92"/>
  <c r="AR85" i="92"/>
  <c r="AG85" i="92"/>
  <c r="AQ237" i="92"/>
  <c r="AF237" i="92"/>
  <c r="AQ265" i="92"/>
  <c r="AF265" i="92"/>
  <c r="AI278" i="92"/>
  <c r="AT278" i="92"/>
  <c r="AV45" i="92"/>
  <c r="AK45" i="92"/>
  <c r="BA390" i="92"/>
  <c r="AP390" i="92"/>
  <c r="AP654" i="92"/>
  <c r="BA654" i="92"/>
  <c r="AH34" i="92"/>
  <c r="AS34" i="92"/>
  <c r="AH118" i="92"/>
  <c r="AS118" i="92"/>
  <c r="AK68" i="92"/>
  <c r="AV68" i="92"/>
  <c r="AF135" i="92"/>
  <c r="AQ135" i="92"/>
  <c r="AS253" i="92"/>
  <c r="AH253" i="92"/>
  <c r="AF267" i="92"/>
  <c r="AQ267" i="92"/>
  <c r="AJ521" i="92"/>
  <c r="AU521" i="92"/>
  <c r="AJ246" i="92"/>
  <c r="AU246" i="92"/>
  <c r="BA451" i="92"/>
  <c r="AP451" i="92"/>
  <c r="AT119" i="92"/>
  <c r="AI119" i="92"/>
  <c r="AP159" i="92"/>
  <c r="BA159" i="92"/>
  <c r="AR366" i="92"/>
  <c r="AG366" i="92"/>
  <c r="AI236" i="92"/>
  <c r="AT236" i="92"/>
  <c r="AP437" i="92"/>
  <c r="BA437" i="92"/>
  <c r="AH607" i="92"/>
  <c r="AS607" i="92"/>
  <c r="AI255" i="92"/>
  <c r="AT255" i="92"/>
  <c r="AQ293" i="92"/>
  <c r="AF293" i="92"/>
  <c r="AH332" i="92"/>
  <c r="AS332" i="92"/>
  <c r="BA637" i="92"/>
  <c r="AP637" i="92"/>
  <c r="AT358" i="92"/>
  <c r="AI358" i="92"/>
  <c r="AU232" i="92"/>
  <c r="AJ232" i="92"/>
  <c r="AR326" i="92"/>
  <c r="AG326" i="92"/>
  <c r="AF294" i="92"/>
  <c r="AQ294" i="92"/>
  <c r="AJ260" i="92"/>
  <c r="AU260" i="92"/>
  <c r="AF325" i="92"/>
  <c r="AQ325" i="92"/>
  <c r="AK233" i="92"/>
  <c r="AV233" i="92"/>
  <c r="AG151" i="92"/>
  <c r="AR151" i="92"/>
  <c r="BA164" i="92"/>
  <c r="AP164" i="92"/>
  <c r="BA669" i="92"/>
  <c r="AP669" i="92"/>
  <c r="AI171" i="92"/>
  <c r="AT171" i="92"/>
  <c r="AP643" i="92"/>
  <c r="BA643" i="92"/>
  <c r="AP403" i="92"/>
  <c r="BA403" i="92"/>
  <c r="AJ372" i="92"/>
  <c r="AU372" i="92"/>
  <c r="AH601" i="92"/>
  <c r="AJ589" i="92"/>
  <c r="AO622" i="92"/>
  <c r="AU188" i="92"/>
  <c r="AV138" i="92"/>
  <c r="AF242" i="92"/>
  <c r="AV742" i="92"/>
  <c r="AF211" i="92"/>
  <c r="AR124" i="92"/>
  <c r="BA730" i="92"/>
  <c r="AV697" i="92"/>
  <c r="AQ401" i="92"/>
  <c r="AI609" i="92"/>
  <c r="AO124" i="92"/>
  <c r="AS682" i="92"/>
  <c r="AO578" i="92"/>
  <c r="AG543" i="92"/>
  <c r="AR465" i="92"/>
  <c r="AG465" i="92"/>
  <c r="AO424" i="92"/>
  <c r="AZ424" i="92"/>
  <c r="AO656" i="92"/>
  <c r="AZ656" i="92"/>
  <c r="AT709" i="92"/>
  <c r="AI709" i="92"/>
  <c r="AZ546" i="92"/>
  <c r="AO546" i="92"/>
  <c r="AS578" i="92"/>
  <c r="AH578" i="92"/>
  <c r="AL464" i="92"/>
  <c r="AW464" i="92"/>
  <c r="AO256" i="92"/>
  <c r="AZ256" i="92"/>
  <c r="AN731" i="92"/>
  <c r="AY731" i="92"/>
  <c r="AW731" i="92"/>
  <c r="AL731" i="92"/>
  <c r="AZ564" i="92"/>
  <c r="AO564" i="92"/>
  <c r="AO591" i="92"/>
  <c r="AZ591" i="92"/>
  <c r="AY748" i="92"/>
  <c r="AN748" i="92"/>
  <c r="AL73" i="92"/>
  <c r="AW73" i="92"/>
  <c r="AO249" i="92"/>
  <c r="AZ249" i="92"/>
  <c r="AW481" i="92"/>
  <c r="AL481" i="92"/>
  <c r="AZ649" i="92"/>
  <c r="AO649" i="92"/>
  <c r="AO334" i="92"/>
  <c r="AZ334" i="92"/>
  <c r="AL600" i="92"/>
  <c r="AW600" i="92"/>
  <c r="AO180" i="92"/>
  <c r="AZ180" i="92"/>
  <c r="AL158" i="92"/>
  <c r="AW158" i="92"/>
  <c r="AN159" i="92"/>
  <c r="AY159" i="92"/>
  <c r="AM756" i="92"/>
  <c r="AX756" i="92"/>
  <c r="AX290" i="92"/>
  <c r="AM290" i="92"/>
  <c r="AO458" i="92"/>
  <c r="AZ458" i="92"/>
  <c r="AO313" i="92"/>
  <c r="AZ313" i="92"/>
  <c r="AN413" i="92"/>
  <c r="AY413" i="92"/>
  <c r="AY467" i="92"/>
  <c r="AN467" i="92"/>
  <c r="AZ255" i="92"/>
  <c r="AO255" i="92"/>
  <c r="AX134" i="92"/>
  <c r="AM134" i="92"/>
  <c r="AW66" i="92"/>
  <c r="AL66" i="92"/>
  <c r="AZ259" i="92"/>
  <c r="AO259" i="92"/>
  <c r="AM657" i="92"/>
  <c r="AX657" i="92"/>
  <c r="AO126" i="92"/>
  <c r="AZ126" i="92"/>
  <c r="AX534" i="92"/>
  <c r="AM534" i="92"/>
  <c r="AY442" i="92"/>
  <c r="AN442" i="92"/>
  <c r="AY346" i="92"/>
  <c r="AN346" i="92"/>
  <c r="AW224" i="92"/>
  <c r="AL224" i="92"/>
  <c r="AY80" i="92"/>
  <c r="AN80" i="92"/>
  <c r="AN743" i="92"/>
  <c r="AY743" i="92"/>
  <c r="AW696" i="92"/>
  <c r="AL696" i="92"/>
  <c r="AX262" i="92"/>
  <c r="AM262" i="92"/>
  <c r="AY489" i="92"/>
  <c r="AN489" i="92"/>
  <c r="AY539" i="92"/>
  <c r="AN539" i="92"/>
  <c r="AX89" i="92"/>
  <c r="AM89" i="92"/>
  <c r="AX249" i="92"/>
  <c r="AM249" i="92"/>
  <c r="AY636" i="92"/>
  <c r="AN636" i="92"/>
  <c r="AN391" i="92"/>
  <c r="AY391" i="92"/>
  <c r="AF702" i="92"/>
  <c r="AQ702" i="92"/>
  <c r="AQ391" i="92"/>
  <c r="AF391" i="92"/>
  <c r="AQ431" i="92"/>
  <c r="AF431" i="92"/>
  <c r="AR662" i="92"/>
  <c r="AG662" i="92"/>
  <c r="AG535" i="92"/>
  <c r="AR535" i="92"/>
  <c r="AH698" i="92"/>
  <c r="AS698" i="92"/>
  <c r="AI596" i="92"/>
  <c r="AT596" i="92"/>
  <c r="AK696" i="92"/>
  <c r="AV696" i="92"/>
  <c r="AV657" i="92"/>
  <c r="AK657" i="92"/>
  <c r="AV428" i="92"/>
  <c r="AK428" i="92"/>
  <c r="AI640" i="92"/>
  <c r="AT640" i="92"/>
  <c r="AI681" i="92"/>
  <c r="AT681" i="92"/>
  <c r="AV639" i="92"/>
  <c r="AK639" i="92"/>
  <c r="AL30" i="92"/>
  <c r="AW30" i="92"/>
  <c r="AS572" i="92"/>
  <c r="AH572" i="92"/>
  <c r="AK477" i="92"/>
  <c r="AV477" i="92"/>
  <c r="AO509" i="92"/>
  <c r="AZ509" i="92"/>
  <c r="AF646" i="92"/>
  <c r="AQ646" i="92"/>
  <c r="AR517" i="92"/>
  <c r="AG517" i="92"/>
  <c r="AK578" i="92"/>
  <c r="AV578" i="92"/>
  <c r="AF538" i="92"/>
  <c r="AQ538" i="92"/>
  <c r="AG759" i="92"/>
  <c r="AR759" i="92"/>
  <c r="AH420" i="92"/>
  <c r="AS420" i="92"/>
  <c r="AF203" i="92"/>
  <c r="AQ203" i="92"/>
  <c r="AS288" i="92"/>
  <c r="AH288" i="92"/>
  <c r="AT756" i="92"/>
  <c r="AI756" i="92"/>
  <c r="AK314" i="92"/>
  <c r="AV314" i="92"/>
  <c r="AK315" i="92"/>
  <c r="AV315" i="92"/>
  <c r="AK725" i="92"/>
  <c r="AV725" i="92"/>
  <c r="AT93" i="92"/>
  <c r="AI93" i="92"/>
  <c r="AV599" i="92"/>
  <c r="AK599" i="92"/>
  <c r="AF259" i="92"/>
  <c r="AQ259" i="92"/>
  <c r="AH743" i="92"/>
  <c r="AS743" i="92"/>
  <c r="AG211" i="92"/>
  <c r="AR211" i="92"/>
  <c r="AV630" i="92"/>
  <c r="AK630" i="92"/>
  <c r="BA307" i="92"/>
  <c r="AP307" i="92"/>
  <c r="AK58" i="92"/>
  <c r="AV58" i="92"/>
  <c r="AJ752" i="92"/>
  <c r="AU752" i="92"/>
  <c r="AU698" i="92"/>
  <c r="AJ698" i="92"/>
  <c r="AR504" i="92"/>
  <c r="AG504" i="92"/>
  <c r="AP231" i="92"/>
  <c r="BA231" i="92"/>
  <c r="AJ718" i="92"/>
  <c r="AU718" i="92"/>
  <c r="AT289" i="92"/>
  <c r="AI289" i="92"/>
  <c r="AG296" i="92"/>
  <c r="AR296" i="92"/>
  <c r="AP334" i="92"/>
  <c r="BA334" i="92"/>
  <c r="AI195" i="92"/>
  <c r="AT195" i="92"/>
  <c r="AK161" i="92"/>
  <c r="AV161" i="92"/>
  <c r="AH165" i="92"/>
  <c r="AS165" i="92"/>
  <c r="AU250" i="92"/>
  <c r="AJ250" i="92"/>
  <c r="AG305" i="92"/>
  <c r="AR305" i="92"/>
  <c r="AU318" i="92"/>
  <c r="AJ318" i="92"/>
  <c r="AS238" i="92"/>
  <c r="AH238" i="92"/>
  <c r="AU432" i="92"/>
  <c r="AJ432" i="92"/>
  <c r="AT153" i="92"/>
  <c r="AI153" i="92"/>
  <c r="AP182" i="92"/>
  <c r="BA182" i="92"/>
  <c r="AJ195" i="92"/>
  <c r="AU195" i="92"/>
  <c r="AG380" i="92"/>
  <c r="AR380" i="92"/>
  <c r="AF149" i="92"/>
  <c r="AQ149" i="92"/>
  <c r="AK307" i="92"/>
  <c r="AV307" i="92"/>
  <c r="AQ311" i="92"/>
  <c r="AF311" i="92"/>
  <c r="AU691" i="92"/>
  <c r="AJ691" i="92"/>
  <c r="AG481" i="92"/>
  <c r="AR481" i="92"/>
  <c r="AU481" i="92"/>
  <c r="AJ481" i="92"/>
  <c r="AS365" i="92"/>
  <c r="AH365" i="92"/>
  <c r="BA77" i="92"/>
  <c r="AP77" i="92"/>
  <c r="AK308" i="92"/>
  <c r="AV308" i="92"/>
  <c r="AJ87" i="92"/>
  <c r="AU87" i="92"/>
  <c r="AG165" i="92"/>
  <c r="AR165" i="92"/>
  <c r="AJ65" i="92"/>
  <c r="AU65" i="92"/>
  <c r="AU308" i="92"/>
  <c r="AJ308" i="92"/>
  <c r="AI292" i="92"/>
  <c r="AT292" i="92"/>
  <c r="AT170" i="92"/>
  <c r="AI170" i="92"/>
  <c r="AR126" i="92"/>
  <c r="AG126" i="92"/>
  <c r="AH228" i="92"/>
  <c r="AS228" i="92"/>
  <c r="BA170" i="92"/>
  <c r="AP170" i="92"/>
  <c r="AP177" i="92"/>
  <c r="BA177" i="92"/>
  <c r="AR122" i="92"/>
  <c r="AG122" i="92"/>
  <c r="AG183" i="92"/>
  <c r="AR183" i="92"/>
  <c r="BA394" i="92"/>
  <c r="AP394" i="92"/>
  <c r="BA151" i="92"/>
  <c r="AP151" i="92"/>
  <c r="AT104" i="92"/>
  <c r="AI104" i="92"/>
  <c r="AH94" i="92"/>
  <c r="AS94" i="92"/>
  <c r="AG134" i="92"/>
  <c r="AR134" i="92"/>
  <c r="BA213" i="92"/>
  <c r="AP213" i="92"/>
  <c r="BA721" i="92"/>
  <c r="AP721" i="92"/>
  <c r="AP563" i="92"/>
  <c r="BA563" i="92"/>
  <c r="AP323" i="92"/>
  <c r="BA323" i="92"/>
  <c r="AK334" i="92"/>
  <c r="AV334" i="92"/>
  <c r="BA759" i="92"/>
  <c r="AP759" i="92"/>
  <c r="BA149" i="92"/>
  <c r="AP149" i="92"/>
  <c r="AI150" i="92"/>
  <c r="AT150" i="92"/>
  <c r="AG256" i="92"/>
  <c r="AR256" i="92"/>
  <c r="AQ437" i="92"/>
  <c r="AF437" i="92"/>
  <c r="AP743" i="92"/>
  <c r="BA743" i="92"/>
  <c r="AF405" i="92"/>
  <c r="AZ595" i="92"/>
  <c r="AV406" i="92"/>
  <c r="AZ734" i="92"/>
  <c r="AT139" i="92"/>
  <c r="AH132" i="92"/>
  <c r="AP677" i="92"/>
  <c r="AP498" i="92"/>
  <c r="AU259" i="92"/>
  <c r="AV513" i="92"/>
  <c r="AV357" i="92"/>
  <c r="AJ454" i="92"/>
  <c r="AU454" i="92"/>
  <c r="AF763" i="92"/>
  <c r="AQ763" i="92"/>
  <c r="AR606" i="92"/>
  <c r="AG606" i="92"/>
  <c r="AG619" i="92"/>
  <c r="AR619" i="92"/>
  <c r="AZ359" i="92"/>
  <c r="AO359" i="92"/>
  <c r="AY652" i="92"/>
  <c r="AN652" i="92"/>
  <c r="AZ332" i="92"/>
  <c r="AO332" i="92"/>
  <c r="AO317" i="92"/>
  <c r="AZ317" i="92"/>
  <c r="AN61" i="92"/>
  <c r="AY61" i="92"/>
  <c r="AX353" i="92"/>
  <c r="AM353" i="92"/>
  <c r="AM126" i="92"/>
  <c r="AX126" i="92"/>
  <c r="AO108" i="92"/>
  <c r="AZ108" i="92"/>
  <c r="AW594" i="92"/>
  <c r="AL594" i="92"/>
  <c r="AL182" i="92"/>
  <c r="AW182" i="92"/>
  <c r="AL248" i="92"/>
  <c r="AW248" i="92"/>
  <c r="AY203" i="92"/>
  <c r="AN203" i="92"/>
  <c r="AY108" i="92"/>
  <c r="AN108" i="92"/>
  <c r="AY420" i="92"/>
  <c r="AN420" i="92"/>
  <c r="AX661" i="92"/>
  <c r="AM661" i="92"/>
  <c r="AW759" i="92"/>
  <c r="AL759" i="92"/>
  <c r="AX371" i="92"/>
  <c r="AM371" i="92"/>
  <c r="AY55" i="92"/>
  <c r="AN55" i="92"/>
  <c r="AX429" i="92"/>
  <c r="AM429" i="92"/>
  <c r="AW142" i="92"/>
  <c r="AL142" i="92"/>
  <c r="AX270" i="92"/>
  <c r="AM270" i="92"/>
  <c r="AX593" i="92"/>
  <c r="AM593" i="92"/>
  <c r="AW105" i="92"/>
  <c r="AL105" i="92"/>
  <c r="AL212" i="92"/>
  <c r="AW212" i="92"/>
  <c r="AX745" i="92"/>
  <c r="AM745" i="92"/>
  <c r="AM163" i="92"/>
  <c r="AX163" i="92"/>
  <c r="AM404" i="92"/>
  <c r="AX404" i="92"/>
  <c r="AY90" i="92"/>
  <c r="AN90" i="92"/>
  <c r="AY243" i="92"/>
  <c r="AN243" i="92"/>
  <c r="AX396" i="92"/>
  <c r="AM396" i="92"/>
  <c r="AX228" i="92"/>
  <c r="AM228" i="92"/>
  <c r="AX197" i="92"/>
  <c r="AM197" i="92"/>
  <c r="AY667" i="92"/>
  <c r="AN667" i="92"/>
  <c r="AN717" i="92"/>
  <c r="AY717" i="92"/>
  <c r="AY474" i="92"/>
  <c r="AN474" i="92"/>
  <c r="AM264" i="92"/>
  <c r="AX264" i="92"/>
  <c r="AX81" i="92"/>
  <c r="AM81" i="92"/>
  <c r="AN154" i="92"/>
  <c r="AY154" i="92"/>
  <c r="AN282" i="92"/>
  <c r="AY282" i="92"/>
  <c r="AM206" i="92"/>
  <c r="AX206" i="92"/>
  <c r="AX457" i="92"/>
  <c r="AM457" i="92"/>
  <c r="AT482" i="92"/>
  <c r="AI482" i="92"/>
  <c r="AQ580" i="92"/>
  <c r="AF580" i="92"/>
  <c r="AW241" i="92"/>
  <c r="AL241" i="92"/>
  <c r="AO573" i="92"/>
  <c r="AZ573" i="92"/>
  <c r="AG488" i="92"/>
  <c r="AR488" i="92"/>
  <c r="AF708" i="92"/>
  <c r="AQ708" i="92"/>
  <c r="AI628" i="92"/>
  <c r="AT628" i="92"/>
  <c r="AV645" i="92"/>
  <c r="AK645" i="92"/>
  <c r="AK682" i="92"/>
  <c r="AV682" i="92"/>
  <c r="AT677" i="92"/>
  <c r="AI677" i="92"/>
  <c r="AH687" i="92"/>
  <c r="AS687" i="92"/>
  <c r="AJ747" i="92"/>
  <c r="AU747" i="92"/>
  <c r="AH605" i="92"/>
  <c r="AS605" i="92"/>
  <c r="AU499" i="92"/>
  <c r="AJ499" i="92"/>
  <c r="AI524" i="92"/>
  <c r="AT524" i="92"/>
  <c r="AI534" i="92"/>
  <c r="AT534" i="92"/>
  <c r="AU544" i="92"/>
  <c r="AJ544" i="92"/>
  <c r="AS655" i="92"/>
  <c r="AH655" i="92"/>
  <c r="AG403" i="92"/>
  <c r="AR403" i="92"/>
  <c r="AK408" i="92"/>
  <c r="AV408" i="92"/>
  <c r="AI761" i="92"/>
  <c r="AT761" i="92"/>
  <c r="AF414" i="92"/>
  <c r="AQ414" i="92"/>
  <c r="AS155" i="92"/>
  <c r="AH155" i="92"/>
  <c r="AQ130" i="92"/>
  <c r="AF130" i="92"/>
  <c r="AG82" i="92"/>
  <c r="AR82" i="92"/>
  <c r="AI488" i="92"/>
  <c r="AT488" i="92"/>
  <c r="AR132" i="92"/>
  <c r="AG132" i="92"/>
  <c r="AK350" i="92"/>
  <c r="AV350" i="92"/>
  <c r="AK249" i="92"/>
  <c r="AV249" i="92"/>
  <c r="AQ208" i="92"/>
  <c r="AF208" i="92"/>
  <c r="AQ153" i="92"/>
  <c r="AF153" i="92"/>
  <c r="AP377" i="92"/>
  <c r="BA377" i="92"/>
  <c r="AT519" i="92"/>
  <c r="AI519" i="92"/>
  <c r="AI129" i="92"/>
  <c r="AT129" i="92"/>
  <c r="AI726" i="92"/>
  <c r="AV526" i="92"/>
  <c r="AV558" i="92"/>
  <c r="AS702" i="92"/>
  <c r="AR536" i="92"/>
  <c r="AT181" i="92"/>
  <c r="AG190" i="92"/>
  <c r="BA562" i="92"/>
  <c r="AH327" i="92"/>
  <c r="AP408" i="92"/>
  <c r="AU393" i="92"/>
  <c r="AQ161" i="92"/>
  <c r="AZ569" i="92"/>
  <c r="AG156" i="92"/>
  <c r="AJ464" i="92"/>
  <c r="AG106" i="92"/>
  <c r="AP400" i="92"/>
  <c r="AQ152" i="92"/>
  <c r="AG552" i="92"/>
  <c r="BA529" i="92"/>
  <c r="AO454" i="92"/>
  <c r="AM175" i="92"/>
  <c r="AX175" i="92"/>
  <c r="AX205" i="92"/>
  <c r="AM205" i="92"/>
  <c r="AO481" i="92"/>
  <c r="AZ481" i="92"/>
  <c r="AK709" i="92"/>
  <c r="AV709" i="92"/>
  <c r="AZ77" i="92"/>
  <c r="AO77" i="92"/>
  <c r="AM296" i="92"/>
  <c r="AX296" i="92"/>
  <c r="AL237" i="92"/>
  <c r="AW237" i="92"/>
  <c r="AL184" i="92"/>
  <c r="AW184" i="92"/>
  <c r="AW151" i="92"/>
  <c r="AL151" i="92"/>
  <c r="AX494" i="92"/>
  <c r="AM494" i="92"/>
  <c r="AY241" i="92"/>
  <c r="AN241" i="92"/>
  <c r="AO167" i="92"/>
  <c r="AZ167" i="92"/>
  <c r="AY341" i="92"/>
  <c r="AN341" i="92"/>
  <c r="AN286" i="92"/>
  <c r="AY286" i="92"/>
  <c r="AM275" i="92"/>
  <c r="AX275" i="92"/>
  <c r="AY194" i="92"/>
  <c r="AN194" i="92"/>
  <c r="AM560" i="92"/>
  <c r="AX560" i="92"/>
  <c r="AM77" i="92"/>
  <c r="AX77" i="92"/>
  <c r="AY525" i="92"/>
  <c r="AN525" i="92"/>
  <c r="AN136" i="92"/>
  <c r="AY136" i="92"/>
  <c r="AX704" i="92"/>
  <c r="AM704" i="92"/>
  <c r="AM161" i="92"/>
  <c r="AX161" i="92"/>
  <c r="AY185" i="92"/>
  <c r="AN185" i="92"/>
  <c r="AX276" i="92"/>
  <c r="AM276" i="92"/>
  <c r="AM242" i="92"/>
  <c r="AX242" i="92"/>
  <c r="AX381" i="92"/>
  <c r="AM381" i="92"/>
  <c r="AX532" i="92"/>
  <c r="AM532" i="92"/>
  <c r="AW162" i="92"/>
  <c r="AL162" i="92"/>
  <c r="AN355" i="92"/>
  <c r="AY355" i="92"/>
  <c r="AM203" i="92"/>
  <c r="AX203" i="92"/>
  <c r="AM711" i="92"/>
  <c r="AX711" i="92"/>
  <c r="AL243" i="92"/>
  <c r="AW243" i="92"/>
  <c r="AN484" i="92"/>
  <c r="AY484" i="92"/>
  <c r="AH533" i="92"/>
  <c r="AS533" i="92"/>
  <c r="AH676" i="92"/>
  <c r="AS676" i="92"/>
  <c r="AT418" i="92"/>
  <c r="AI418" i="92"/>
  <c r="AI718" i="92"/>
  <c r="AT718" i="92"/>
  <c r="AO460" i="92"/>
  <c r="AZ460" i="92"/>
  <c r="AZ646" i="92"/>
  <c r="AO646" i="92"/>
  <c r="AY212" i="92"/>
  <c r="AN212" i="92"/>
  <c r="AK729" i="92"/>
  <c r="AV729" i="92"/>
  <c r="AI763" i="92"/>
  <c r="AT763" i="92"/>
  <c r="AT683" i="92"/>
  <c r="AI683" i="92"/>
  <c r="AS460" i="92"/>
  <c r="AH460" i="92"/>
  <c r="AH651" i="92"/>
  <c r="AS651" i="92"/>
  <c r="AF430" i="92"/>
  <c r="AQ430" i="92"/>
  <c r="AX32" i="92"/>
  <c r="AM32" i="92"/>
  <c r="AS621" i="92"/>
  <c r="AH621" i="92"/>
  <c r="AV441" i="92"/>
  <c r="AK441" i="92"/>
  <c r="AT647" i="92"/>
  <c r="AI647" i="92"/>
  <c r="AS532" i="92"/>
  <c r="AH532" i="92"/>
  <c r="AG757" i="92"/>
  <c r="AR757" i="92"/>
  <c r="AI569" i="92"/>
  <c r="AT569" i="92"/>
  <c r="AU187" i="92"/>
  <c r="AJ187" i="92"/>
  <c r="AU403" i="92"/>
  <c r="AJ403" i="92"/>
  <c r="AR480" i="92"/>
  <c r="AG480" i="92"/>
  <c r="AF674" i="92"/>
  <c r="AQ674" i="92"/>
  <c r="AS680" i="92"/>
  <c r="AH680" i="92"/>
  <c r="AV312" i="92"/>
  <c r="AK312" i="92"/>
  <c r="AI138" i="92"/>
  <c r="AT138" i="92"/>
  <c r="AH331" i="92"/>
  <c r="AS331" i="92"/>
  <c r="AV535" i="92"/>
  <c r="AK535" i="92"/>
  <c r="AG638" i="92"/>
  <c r="AR638" i="92"/>
  <c r="AI242" i="92"/>
  <c r="AT242" i="92"/>
  <c r="AF233" i="92"/>
  <c r="AQ233" i="92"/>
  <c r="AH305" i="92"/>
  <c r="AS305" i="92"/>
  <c r="AH378" i="92"/>
  <c r="AS378" i="92"/>
  <c r="AQ322" i="92"/>
  <c r="AF322" i="92"/>
  <c r="AG196" i="92"/>
  <c r="AR196" i="92"/>
  <c r="AH189" i="92"/>
  <c r="AS189" i="92"/>
  <c r="AK245" i="92"/>
  <c r="AV245" i="92"/>
  <c r="AJ209" i="92"/>
  <c r="AU209" i="92"/>
  <c r="AH652" i="92"/>
  <c r="AS652" i="92"/>
  <c r="AJ298" i="92"/>
  <c r="AU298" i="92"/>
  <c r="AK173" i="92"/>
  <c r="AV173" i="92"/>
  <c r="AK193" i="92"/>
  <c r="AV193" i="92"/>
  <c r="AT409" i="92"/>
  <c r="AI409" i="92"/>
  <c r="AT115" i="92"/>
  <c r="AI115" i="92"/>
  <c r="AG77" i="92"/>
  <c r="AR77" i="92"/>
  <c r="AG188" i="92"/>
  <c r="AR188" i="92"/>
  <c r="AU386" i="92"/>
  <c r="AG756" i="92"/>
  <c r="AV579" i="92"/>
  <c r="BA346" i="92"/>
  <c r="AR322" i="92"/>
  <c r="AG175" i="92"/>
  <c r="AR609" i="92"/>
  <c r="AZ584" i="92"/>
  <c r="AQ740" i="92"/>
  <c r="AK676" i="92"/>
  <c r="BA326" i="92"/>
  <c r="AJ717" i="92"/>
  <c r="AQ426" i="92"/>
  <c r="AS596" i="92"/>
  <c r="AS219" i="92"/>
  <c r="AP580" i="92"/>
  <c r="AR416" i="92"/>
  <c r="AJ421" i="92"/>
  <c r="AS413" i="92"/>
  <c r="AR743" i="92"/>
  <c r="AG743" i="92"/>
  <c r="AZ604" i="92"/>
  <c r="AO604" i="92"/>
  <c r="AZ534" i="92"/>
  <c r="AO534" i="92"/>
  <c r="AG692" i="92"/>
  <c r="AR692" i="92"/>
  <c r="AL418" i="92"/>
  <c r="AW418" i="92"/>
  <c r="AX213" i="92"/>
  <c r="AM213" i="92"/>
  <c r="AO596" i="92"/>
  <c r="AZ596" i="92"/>
  <c r="AL441" i="92"/>
  <c r="AW441" i="92"/>
  <c r="AZ90" i="92"/>
  <c r="AO90" i="92"/>
  <c r="AY238" i="92"/>
  <c r="AN238" i="92"/>
  <c r="AZ451" i="92"/>
  <c r="AO451" i="92"/>
  <c r="AW592" i="92"/>
  <c r="AL592" i="92"/>
  <c r="AL197" i="92"/>
  <c r="AW197" i="92"/>
  <c r="AL138" i="92"/>
  <c r="AW138" i="92"/>
  <c r="AL657" i="92"/>
  <c r="AW657" i="92"/>
  <c r="AN755" i="92"/>
  <c r="AY755" i="92"/>
  <c r="AY486" i="92"/>
  <c r="AN486" i="92"/>
  <c r="AZ116" i="92"/>
  <c r="AO116" i="92"/>
  <c r="AY340" i="92"/>
  <c r="AN340" i="92"/>
  <c r="AW629" i="92"/>
  <c r="AL629" i="92"/>
  <c r="AW485" i="92"/>
  <c r="AL485" i="92"/>
  <c r="AL565" i="92"/>
  <c r="AW565" i="92"/>
  <c r="AW570" i="92"/>
  <c r="AL570" i="92"/>
  <c r="AL720" i="92"/>
  <c r="AW720" i="92"/>
  <c r="AN285" i="92"/>
  <c r="AY285" i="92"/>
  <c r="AY348" i="92"/>
  <c r="AN348" i="92"/>
  <c r="AN60" i="92"/>
  <c r="AY60" i="92"/>
  <c r="AM662" i="92"/>
  <c r="AX662" i="92"/>
  <c r="AY292" i="92"/>
  <c r="AN292" i="92"/>
  <c r="AN547" i="92"/>
  <c r="AY547" i="92"/>
  <c r="AM286" i="92"/>
  <c r="AX286" i="92"/>
  <c r="AN361" i="92"/>
  <c r="AY361" i="92"/>
  <c r="AX508" i="92"/>
  <c r="AM508" i="92"/>
  <c r="AN482" i="92"/>
  <c r="AY482" i="92"/>
  <c r="AW96" i="92"/>
  <c r="AL96" i="92"/>
  <c r="AX75" i="92"/>
  <c r="AM75" i="92"/>
  <c r="AM648" i="92"/>
  <c r="AX648" i="92"/>
  <c r="AN94" i="92"/>
  <c r="AY94" i="92"/>
  <c r="AN555" i="92"/>
  <c r="AY555" i="92"/>
  <c r="AX389" i="92"/>
  <c r="AM389" i="92"/>
  <c r="AX223" i="92"/>
  <c r="AM223" i="92"/>
  <c r="AM447" i="92"/>
  <c r="AX447" i="92"/>
  <c r="AM736" i="92"/>
  <c r="AX736" i="92"/>
  <c r="AY201" i="92"/>
  <c r="AN201" i="92"/>
  <c r="AT496" i="92"/>
  <c r="AI496" i="92"/>
  <c r="AT408" i="92"/>
  <c r="AI408" i="92"/>
  <c r="AL616" i="92"/>
  <c r="AW616" i="92"/>
  <c r="AH646" i="92"/>
  <c r="AS646" i="92"/>
  <c r="AH574" i="92"/>
  <c r="AS574" i="92"/>
  <c r="AG525" i="92"/>
  <c r="AR525" i="92"/>
  <c r="AX28" i="92"/>
  <c r="AM28" i="92"/>
  <c r="AV640" i="92"/>
  <c r="AK640" i="92"/>
  <c r="AH453" i="92"/>
  <c r="AS453" i="92"/>
  <c r="AT498" i="92"/>
  <c r="AI498" i="92"/>
  <c r="AR556" i="92"/>
  <c r="AG556" i="92"/>
  <c r="AF577" i="92"/>
  <c r="AQ577" i="92"/>
  <c r="AR576" i="92"/>
  <c r="AG576" i="92"/>
  <c r="AK551" i="92"/>
  <c r="AV551" i="92"/>
  <c r="AU538" i="92"/>
  <c r="AJ538" i="92"/>
  <c r="AF403" i="92"/>
  <c r="AQ403" i="92"/>
  <c r="AG546" i="92"/>
  <c r="AR546" i="92"/>
  <c r="AF509" i="92"/>
  <c r="AQ509" i="92"/>
  <c r="AV760" i="92"/>
  <c r="AK760" i="92"/>
  <c r="AS684" i="92"/>
  <c r="AH684" i="92"/>
  <c r="AI61" i="92"/>
  <c r="AT61" i="92"/>
  <c r="AQ736" i="92"/>
  <c r="AF736" i="92"/>
  <c r="AQ752" i="92"/>
  <c r="AF752" i="92"/>
  <c r="AF432" i="92"/>
  <c r="AQ432" i="92"/>
  <c r="AF739" i="92"/>
  <c r="AQ739" i="92"/>
  <c r="AS312" i="92"/>
  <c r="AH312" i="92"/>
  <c r="AI243" i="92"/>
  <c r="AT243" i="92"/>
  <c r="AJ425" i="92"/>
  <c r="AU425" i="92"/>
  <c r="AP584" i="92"/>
  <c r="BA584" i="92"/>
  <c r="AV117" i="92"/>
  <c r="AK117" i="92"/>
  <c r="BA219" i="92"/>
  <c r="AP219" i="92"/>
  <c r="AH130" i="92"/>
  <c r="AS130" i="92"/>
  <c r="AI665" i="92"/>
  <c r="AT665" i="92"/>
  <c r="AJ156" i="92"/>
  <c r="AU156" i="92"/>
  <c r="AF421" i="92"/>
  <c r="AQ421" i="92"/>
  <c r="AV240" i="92"/>
  <c r="AK240" i="92"/>
  <c r="AK752" i="92"/>
  <c r="AV752" i="92"/>
  <c r="AR648" i="92"/>
  <c r="AG648" i="92"/>
  <c r="AR746" i="92"/>
  <c r="AG746" i="92"/>
  <c r="AF669" i="92"/>
  <c r="AJ522" i="92"/>
  <c r="AT571" i="92"/>
  <c r="AR290" i="92"/>
  <c r="AG472" i="92"/>
  <c r="AT537" i="92"/>
  <c r="AI376" i="92"/>
  <c r="BA455" i="92"/>
  <c r="AQ317" i="92"/>
  <c r="AT747" i="92"/>
  <c r="AK562" i="92"/>
  <c r="AI363" i="92"/>
  <c r="AJ519" i="92"/>
  <c r="AV200" i="92"/>
  <c r="AV335" i="92"/>
  <c r="AK499" i="92"/>
  <c r="AU192" i="92"/>
  <c r="AY319" i="92"/>
  <c r="AN319" i="92"/>
  <c r="AZ681" i="92"/>
  <c r="AO681" i="92"/>
  <c r="AI752" i="92"/>
  <c r="AT752" i="92"/>
  <c r="AN364" i="92"/>
  <c r="AY364" i="92"/>
  <c r="AH638" i="92"/>
  <c r="AS638" i="92"/>
  <c r="AZ423" i="92"/>
  <c r="AO423" i="92"/>
  <c r="AW509" i="92"/>
  <c r="AL509" i="92"/>
  <c r="AL611" i="92"/>
  <c r="AW611" i="92"/>
  <c r="AW639" i="92"/>
  <c r="AL639" i="92"/>
  <c r="AO237" i="92"/>
  <c r="AZ237" i="92"/>
  <c r="AX93" i="92"/>
  <c r="AM93" i="92"/>
  <c r="AO64" i="92"/>
  <c r="AZ64" i="92"/>
  <c r="AO89" i="92"/>
  <c r="AZ89" i="92"/>
  <c r="AN332" i="92"/>
  <c r="AY332" i="92"/>
  <c r="AX360" i="92"/>
  <c r="AM360" i="92"/>
  <c r="AY718" i="92"/>
  <c r="AN718" i="92"/>
  <c r="AL473" i="92"/>
  <c r="AW473" i="92"/>
  <c r="AN589" i="92"/>
  <c r="AY589" i="92"/>
  <c r="AL409" i="92"/>
  <c r="AW409" i="92"/>
  <c r="AZ730" i="92"/>
  <c r="AO730" i="92"/>
  <c r="AZ263" i="92"/>
  <c r="AO263" i="92"/>
  <c r="AN311" i="92"/>
  <c r="AY311" i="92"/>
  <c r="AY122" i="92"/>
  <c r="AN122" i="92"/>
  <c r="AL273" i="92"/>
  <c r="AW273" i="92"/>
  <c r="AW135" i="92"/>
  <c r="AL135" i="92"/>
  <c r="AW279" i="92"/>
  <c r="AL279" i="92"/>
  <c r="AO467" i="92"/>
  <c r="AZ467" i="92"/>
  <c r="AX414" i="92"/>
  <c r="AM414" i="92"/>
  <c r="AN244" i="92"/>
  <c r="AY244" i="92"/>
  <c r="AW499" i="92"/>
  <c r="AL499" i="92"/>
  <c r="AY110" i="92"/>
  <c r="AN110" i="92"/>
  <c r="AO80" i="92"/>
  <c r="AZ80" i="92"/>
  <c r="AX178" i="92"/>
  <c r="AM178" i="92"/>
  <c r="AN746" i="92"/>
  <c r="AY746" i="92"/>
  <c r="AX668" i="92"/>
  <c r="AM668" i="92"/>
  <c r="AN211" i="92"/>
  <c r="AY211" i="92"/>
  <c r="AY66" i="92"/>
  <c r="AN66" i="92"/>
  <c r="AX749" i="92"/>
  <c r="AM749" i="92"/>
  <c r="AM561" i="92"/>
  <c r="AX561" i="92"/>
  <c r="AN237" i="92"/>
  <c r="AY237" i="92"/>
  <c r="AN135" i="92"/>
  <c r="AY135" i="92"/>
  <c r="AX326" i="92"/>
  <c r="AM326" i="92"/>
  <c r="AM675" i="92"/>
  <c r="AX675" i="92"/>
  <c r="AN147" i="92"/>
  <c r="AY147" i="92"/>
  <c r="AM659" i="92"/>
  <c r="AX659" i="92"/>
  <c r="AM272" i="92"/>
  <c r="AX272" i="92"/>
  <c r="AX216" i="92"/>
  <c r="AM216" i="92"/>
  <c r="AM71" i="92"/>
  <c r="AX71" i="92"/>
  <c r="AZ695" i="92"/>
  <c r="AO695" i="92"/>
  <c r="AK460" i="92"/>
  <c r="AV460" i="92"/>
  <c r="AG476" i="92"/>
  <c r="AR476" i="92"/>
  <c r="AJ411" i="92"/>
  <c r="AU411" i="92"/>
  <c r="AH623" i="92"/>
  <c r="AS623" i="92"/>
  <c r="AG509" i="92"/>
  <c r="AR509" i="92"/>
  <c r="AS587" i="92"/>
  <c r="AH587" i="92"/>
  <c r="AJ586" i="92"/>
  <c r="AU586" i="92"/>
  <c r="AK484" i="92"/>
  <c r="AV484" i="92"/>
  <c r="AN36" i="92"/>
  <c r="AY36" i="92"/>
  <c r="AJ414" i="92"/>
  <c r="AU414" i="92"/>
  <c r="AQ732" i="92"/>
  <c r="AF732" i="92"/>
  <c r="AT597" i="92"/>
  <c r="AI597" i="92"/>
  <c r="AF718" i="92"/>
  <c r="AQ718" i="92"/>
  <c r="AP383" i="92"/>
  <c r="BA383" i="92"/>
  <c r="AQ653" i="92"/>
  <c r="AF653" i="92"/>
  <c r="AU748" i="92"/>
  <c r="AJ748" i="92"/>
  <c r="AQ596" i="92"/>
  <c r="AF596" i="92"/>
  <c r="AF625" i="92"/>
  <c r="AQ625" i="92"/>
  <c r="AJ534" i="92"/>
  <c r="AU534" i="92"/>
  <c r="AR685" i="92"/>
  <c r="AG685" i="92"/>
  <c r="AJ400" i="92"/>
  <c r="AU400" i="92"/>
  <c r="BA211" i="92"/>
  <c r="AP211" i="92"/>
  <c r="AS746" i="92"/>
  <c r="AH746" i="92"/>
  <c r="AH263" i="92"/>
  <c r="AS263" i="92"/>
  <c r="AP329" i="92"/>
  <c r="BA329" i="92"/>
  <c r="AQ560" i="92"/>
  <c r="AF560" i="92"/>
  <c r="AF699" i="92"/>
  <c r="AQ699" i="92"/>
  <c r="AR636" i="92"/>
  <c r="AG636" i="92"/>
  <c r="AR592" i="92"/>
  <c r="AG592" i="92"/>
  <c r="AQ720" i="92"/>
  <c r="AF720" i="92"/>
  <c r="AT615" i="92"/>
  <c r="AI615" i="92"/>
  <c r="AR585" i="92"/>
  <c r="AG585" i="92"/>
  <c r="AQ726" i="92"/>
  <c r="AF726" i="92"/>
  <c r="AV239" i="92"/>
  <c r="AK239" i="92"/>
  <c r="AJ379" i="92"/>
  <c r="AU379" i="92"/>
  <c r="AT342" i="92"/>
  <c r="AI342" i="92"/>
  <c r="BA290" i="92"/>
  <c r="AP290" i="92"/>
  <c r="AF487" i="92"/>
  <c r="AQ487" i="92"/>
  <c r="AP736" i="92"/>
  <c r="BA736" i="92"/>
  <c r="AG207" i="92"/>
  <c r="AR207" i="92"/>
  <c r="AH126" i="92"/>
  <c r="AS126" i="92"/>
  <c r="BA353" i="92"/>
  <c r="AP353" i="92"/>
  <c r="AR301" i="92"/>
  <c r="AG301" i="92"/>
  <c r="AP283" i="92"/>
  <c r="BA283" i="92"/>
  <c r="AS351" i="92"/>
  <c r="AH351" i="92"/>
  <c r="AK275" i="92"/>
  <c r="AV275" i="92"/>
  <c r="AP729" i="92"/>
  <c r="BA729" i="92"/>
  <c r="BA355" i="92"/>
  <c r="AP355" i="92"/>
  <c r="AQ660" i="92"/>
  <c r="AF660" i="92"/>
  <c r="AS368" i="92"/>
  <c r="AH368" i="92"/>
  <c r="AH435" i="92"/>
  <c r="AQ279" i="92"/>
  <c r="AI572" i="92"/>
  <c r="AI226" i="92"/>
  <c r="AS671" i="92"/>
  <c r="AH339" i="92"/>
  <c r="AI533" i="92"/>
  <c r="AV464" i="92"/>
  <c r="AQ611" i="92"/>
  <c r="AT197" i="92"/>
  <c r="AJ369" i="92"/>
  <c r="AT196" i="92"/>
  <c r="AS710" i="92"/>
  <c r="AQ435" i="92"/>
  <c r="AQ547" i="92"/>
  <c r="AV392" i="92"/>
  <c r="AU578" i="92"/>
  <c r="AF567" i="92"/>
  <c r="AT500" i="92"/>
  <c r="AP298" i="92"/>
  <c r="AU237" i="92"/>
  <c r="AJ237" i="92"/>
  <c r="AT312" i="92"/>
  <c r="AI312" i="92"/>
  <c r="AF253" i="92"/>
  <c r="AQ253" i="92"/>
  <c r="AV246" i="92"/>
  <c r="AK246" i="92"/>
  <c r="AI253" i="92"/>
  <c r="AT253" i="92"/>
  <c r="AF537" i="92"/>
  <c r="AQ537" i="92"/>
  <c r="BA655" i="92"/>
  <c r="AP655" i="92"/>
  <c r="AG147" i="92"/>
  <c r="AR147" i="92"/>
  <c r="BA683" i="92"/>
  <c r="AP683" i="92"/>
  <c r="AI365" i="92"/>
  <c r="AT365" i="92"/>
  <c r="AQ172" i="92"/>
  <c r="AF172" i="92"/>
  <c r="AR364" i="92"/>
  <c r="AG364" i="92"/>
  <c r="AP499" i="92"/>
  <c r="BA499" i="92"/>
  <c r="BA434" i="92"/>
  <c r="AP434" i="92"/>
  <c r="AP742" i="92"/>
  <c r="BA742" i="92"/>
  <c r="BA711" i="92"/>
  <c r="AP711" i="92"/>
  <c r="AR174" i="92"/>
  <c r="AG174" i="92"/>
  <c r="AH432" i="92"/>
  <c r="AS432" i="92"/>
  <c r="AJ284" i="92"/>
  <c r="AU284" i="92"/>
  <c r="AI400" i="92"/>
  <c r="AT400" i="92"/>
  <c r="AF220" i="92"/>
  <c r="AQ220" i="92"/>
  <c r="AG270" i="92"/>
  <c r="AR270" i="92"/>
  <c r="AS143" i="92"/>
  <c r="AH143" i="92"/>
  <c r="AU159" i="92"/>
  <c r="AJ159" i="92"/>
  <c r="AP97" i="92"/>
  <c r="BA97" i="92"/>
  <c r="AG381" i="92"/>
  <c r="AR381" i="92"/>
  <c r="AF298" i="92"/>
  <c r="AQ298" i="92"/>
  <c r="AI244" i="92"/>
  <c r="AT244" i="92"/>
  <c r="AQ359" i="92"/>
  <c r="AF359" i="92"/>
  <c r="AP615" i="92"/>
  <c r="BA615" i="92"/>
  <c r="BA228" i="92"/>
  <c r="AP228" i="92"/>
  <c r="BA630" i="92"/>
  <c r="AP751" i="92"/>
  <c r="AP522" i="92"/>
  <c r="AU207" i="92"/>
  <c r="AP712" i="92"/>
  <c r="AJ609" i="92"/>
  <c r="AF312" i="92"/>
  <c r="BA590" i="92"/>
  <c r="BA349" i="92"/>
  <c r="BA519" i="92"/>
  <c r="BA640" i="92"/>
  <c r="AT179" i="92"/>
  <c r="BA143" i="92"/>
  <c r="AZ156" i="92"/>
  <c r="AO156" i="92"/>
  <c r="AW636" i="92"/>
  <c r="AL636" i="92"/>
  <c r="AY635" i="92"/>
  <c r="AX92" i="92"/>
  <c r="AY747" i="92"/>
  <c r="AW450" i="92"/>
  <c r="AY700" i="92"/>
  <c r="AM260" i="92"/>
  <c r="AY732" i="92"/>
  <c r="AW659" i="92"/>
  <c r="AL503" i="92"/>
  <c r="AW503" i="92"/>
  <c r="AW290" i="92"/>
  <c r="AL290" i="92"/>
  <c r="AW147" i="92"/>
  <c r="AL147" i="92"/>
  <c r="AL317" i="92"/>
  <c r="AW317" i="92"/>
  <c r="AW278" i="92"/>
  <c r="AL278" i="92"/>
  <c r="AM695" i="92"/>
  <c r="AX695" i="92"/>
  <c r="AL199" i="92"/>
  <c r="AW199" i="92"/>
  <c r="AN321" i="92"/>
  <c r="AY321" i="92"/>
  <c r="AL156" i="92"/>
  <c r="AW156" i="92"/>
  <c r="AM202" i="92"/>
  <c r="AX202" i="92"/>
  <c r="AW217" i="92"/>
  <c r="AL381" i="92"/>
  <c r="AN682" i="92"/>
  <c r="AY363" i="92"/>
  <c r="AX700" i="92"/>
  <c r="AL513" i="92"/>
  <c r="AW53" i="92"/>
  <c r="AL53" i="92"/>
  <c r="AY249" i="92"/>
  <c r="AN249" i="92"/>
  <c r="AZ669" i="92"/>
  <c r="AO328" i="92"/>
  <c r="AW688" i="92"/>
  <c r="AR387" i="92"/>
  <c r="AV734" i="92"/>
  <c r="AK531" i="92"/>
  <c r="AO240" i="92"/>
  <c r="AO499" i="92"/>
  <c r="AO175" i="92"/>
  <c r="AZ196" i="92"/>
  <c r="AS614" i="92"/>
  <c r="AV543" i="92"/>
  <c r="AZ57" i="92"/>
  <c r="AO253" i="92"/>
  <c r="AO238" i="92"/>
  <c r="AQ397" i="92"/>
  <c r="AT714" i="92"/>
  <c r="AU129" i="92"/>
  <c r="AF758" i="92"/>
  <c r="AZ136" i="92"/>
  <c r="AJ438" i="92"/>
  <c r="AO169" i="92"/>
  <c r="AX37" i="92"/>
  <c r="AW153" i="92"/>
  <c r="AX746" i="92"/>
  <c r="AS396" i="92"/>
  <c r="AS457" i="92"/>
  <c r="AO563" i="92"/>
  <c r="AQ724" i="92"/>
  <c r="AU628" i="92"/>
  <c r="AZ742" i="92"/>
  <c r="AJ603" i="92"/>
  <c r="AO239" i="92"/>
  <c r="AR457" i="92"/>
  <c r="AZ350" i="92"/>
  <c r="AV426" i="92"/>
  <c r="AO491" i="92"/>
  <c r="AQ659" i="92"/>
  <c r="AG698" i="92"/>
  <c r="AR413" i="92"/>
  <c r="AZ247" i="92"/>
  <c r="AF418" i="92"/>
  <c r="AQ406" i="92"/>
  <c r="AR678" i="92"/>
  <c r="AO437" i="92"/>
  <c r="AO217" i="92"/>
  <c r="AS398" i="92"/>
  <c r="AJ763" i="92"/>
  <c r="AG544" i="92"/>
  <c r="AF100" i="92"/>
  <c r="AU350" i="92"/>
  <c r="AV124" i="92"/>
  <c r="AN530" i="92"/>
  <c r="AY39" i="92"/>
  <c r="AY384" i="92"/>
  <c r="AH715" i="92"/>
  <c r="AO610" i="92"/>
  <c r="AZ603" i="92"/>
  <c r="AH721" i="92"/>
  <c r="AZ292" i="92"/>
  <c r="AO60" i="92"/>
  <c r="AU573" i="92"/>
  <c r="AR534" i="92"/>
  <c r="AG696" i="92"/>
  <c r="AG233" i="92"/>
  <c r="AY313" i="92"/>
  <c r="AL708" i="92"/>
  <c r="AW445" i="92"/>
  <c r="AM261" i="92"/>
  <c r="AH428" i="92"/>
  <c r="AO98" i="92"/>
  <c r="AZ561" i="92"/>
  <c r="AG503" i="92"/>
  <c r="AZ415" i="92"/>
  <c r="AO226" i="92"/>
  <c r="AG430" i="92"/>
  <c r="AQ601" i="92"/>
  <c r="AH492" i="92"/>
  <c r="AF606" i="92"/>
  <c r="AR479" i="92"/>
  <c r="AL623" i="92"/>
  <c r="AN392" i="92"/>
  <c r="AL362" i="92"/>
  <c r="AW255" i="92"/>
  <c r="AX316" i="92"/>
  <c r="AL436" i="92"/>
  <c r="AW149" i="92"/>
  <c r="AX278" i="92"/>
  <c r="AY703" i="92"/>
  <c r="AY510" i="92"/>
  <c r="AR557" i="92"/>
  <c r="AO400" i="92"/>
  <c r="AW595" i="92"/>
  <c r="AL589" i="92"/>
  <c r="AG461" i="92"/>
  <c r="AZ82" i="92"/>
  <c r="AM56" i="92"/>
  <c r="AH641" i="92"/>
  <c r="AO672" i="92"/>
  <c r="AO675" i="92"/>
  <c r="AM692" i="92"/>
  <c r="AO311" i="92"/>
  <c r="AH686" i="92"/>
  <c r="AO593" i="92"/>
  <c r="AZ53" i="92"/>
  <c r="AZ203" i="92"/>
  <c r="AO548" i="92"/>
  <c r="AO407" i="92"/>
  <c r="AK750" i="92"/>
  <c r="AV750" i="92"/>
  <c r="AO717" i="92"/>
  <c r="AZ717" i="92"/>
  <c r="AJ594" i="92"/>
  <c r="AU594" i="92"/>
  <c r="AY558" i="92"/>
  <c r="AN558" i="92"/>
  <c r="AZ296" i="92"/>
  <c r="AO296" i="92"/>
  <c r="AO708" i="92"/>
  <c r="AZ708" i="92"/>
  <c r="AZ580" i="92"/>
  <c r="AO580" i="92"/>
  <c r="AN516" i="92"/>
  <c r="AY516" i="92"/>
  <c r="AW389" i="92"/>
  <c r="AL389" i="92"/>
  <c r="AL165" i="92"/>
  <c r="AW165" i="92"/>
  <c r="AW518" i="92"/>
  <c r="AL518" i="92"/>
  <c r="AO752" i="92"/>
  <c r="AZ752" i="92"/>
  <c r="AN470" i="92"/>
  <c r="AY470" i="92"/>
  <c r="AL621" i="92"/>
  <c r="AW621" i="92"/>
  <c r="AL722" i="92"/>
  <c r="AW722" i="92"/>
  <c r="AO252" i="92"/>
  <c r="AZ252" i="92"/>
  <c r="AY300" i="92"/>
  <c r="AN300" i="92"/>
  <c r="AL226" i="92"/>
  <c r="AW226" i="92"/>
  <c r="AM338" i="92"/>
  <c r="AX338" i="92"/>
  <c r="AN318" i="92"/>
  <c r="AY318" i="92"/>
  <c r="AL181" i="92"/>
  <c r="AW181" i="92"/>
  <c r="AW648" i="92"/>
  <c r="AL648" i="92"/>
  <c r="AM443" i="92"/>
  <c r="AX443" i="92"/>
  <c r="AW737" i="92"/>
  <c r="AL737" i="92"/>
  <c r="AL242" i="92"/>
  <c r="AW242" i="92"/>
  <c r="AW477" i="92"/>
  <c r="AL477" i="92"/>
  <c r="AN152" i="92"/>
  <c r="AY152" i="92"/>
  <c r="AL337" i="92"/>
  <c r="AW337" i="92"/>
  <c r="AX620" i="92"/>
  <c r="AM620" i="92"/>
  <c r="AX121" i="92"/>
  <c r="AM121" i="92"/>
  <c r="AX601" i="92"/>
  <c r="AM601" i="92"/>
  <c r="AW65" i="92"/>
  <c r="AL65" i="92"/>
  <c r="AN615" i="92"/>
  <c r="AY615" i="92"/>
  <c r="AO59" i="92"/>
  <c r="AZ59" i="92"/>
  <c r="AN326" i="92"/>
  <c r="AY326" i="92"/>
  <c r="AM312" i="92"/>
  <c r="AX312" i="92"/>
  <c r="AM315" i="92"/>
  <c r="AX315" i="92"/>
  <c r="AL457" i="92"/>
  <c r="AW457" i="92"/>
  <c r="AY548" i="92"/>
  <c r="AN548" i="92"/>
  <c r="AN761" i="92"/>
  <c r="AY761" i="92"/>
  <c r="AN315" i="92"/>
  <c r="AY315" i="92"/>
  <c r="AW308" i="92"/>
  <c r="AL308" i="92"/>
  <c r="AO306" i="92"/>
  <c r="AZ306" i="92"/>
  <c r="AY323" i="92"/>
  <c r="AN323" i="92"/>
  <c r="AX99" i="92"/>
  <c r="AM99" i="92"/>
  <c r="AN120" i="92"/>
  <c r="AY120" i="92"/>
  <c r="AN735" i="92"/>
  <c r="AY735" i="92"/>
  <c r="AL597" i="92"/>
  <c r="AW597" i="92"/>
  <c r="AX492" i="92"/>
  <c r="AM492" i="92"/>
  <c r="AN581" i="92"/>
  <c r="AY581" i="92"/>
  <c r="AN370" i="92"/>
  <c r="AY370" i="92"/>
  <c r="AY83" i="92"/>
  <c r="AN83" i="92"/>
  <c r="AX622" i="92"/>
  <c r="AM622" i="92"/>
  <c r="AW67" i="92"/>
  <c r="AL67" i="92"/>
  <c r="AN233" i="92"/>
  <c r="AY233" i="92"/>
  <c r="AN509" i="92"/>
  <c r="AY509" i="92"/>
  <c r="AN74" i="92"/>
  <c r="AY74" i="92"/>
  <c r="AX66" i="92"/>
  <c r="AM66" i="92"/>
  <c r="AX282" i="92"/>
  <c r="AM282" i="92"/>
  <c r="AX715" i="92"/>
  <c r="AM715" i="92"/>
  <c r="AY545" i="92"/>
  <c r="AN545" i="92"/>
  <c r="AW272" i="92"/>
  <c r="AL272" i="92"/>
  <c r="AN679" i="92"/>
  <c r="AY679" i="92"/>
  <c r="AX479" i="92"/>
  <c r="AM479" i="92"/>
  <c r="AN145" i="92"/>
  <c r="AY145" i="92"/>
  <c r="AM351" i="92"/>
  <c r="AX351" i="92"/>
  <c r="AX69" i="92"/>
  <c r="AM69" i="92"/>
  <c r="AX469" i="92"/>
  <c r="AM469" i="92"/>
  <c r="AM539" i="92"/>
  <c r="AX539" i="92"/>
  <c r="AX581" i="92"/>
  <c r="AM581" i="92"/>
  <c r="AN335" i="92"/>
  <c r="AY335" i="92"/>
  <c r="AN693" i="92"/>
  <c r="AY693" i="92"/>
  <c r="AN225" i="92"/>
  <c r="AY225" i="92"/>
  <c r="AN719" i="92"/>
  <c r="AY719" i="92"/>
  <c r="AX531" i="92"/>
  <c r="AM531" i="92"/>
  <c r="AM54" i="92"/>
  <c r="AX54" i="92"/>
  <c r="AN219" i="92"/>
  <c r="AY219" i="92"/>
  <c r="AX183" i="92"/>
  <c r="AM183" i="92"/>
  <c r="AX637" i="92"/>
  <c r="AM637" i="92"/>
  <c r="AN678" i="92"/>
  <c r="AY678" i="92"/>
  <c r="AO276" i="92"/>
  <c r="AZ276" i="92"/>
  <c r="AF595" i="92"/>
  <c r="AI694" i="92"/>
  <c r="AZ687" i="92"/>
  <c r="AZ207" i="92"/>
  <c r="AZ453" i="92"/>
  <c r="AO651" i="92"/>
  <c r="AZ392" i="92"/>
  <c r="AH622" i="92"/>
  <c r="AU436" i="92"/>
  <c r="AZ120" i="92"/>
  <c r="AZ362" i="92"/>
  <c r="AZ533" i="92"/>
  <c r="AT468" i="92"/>
  <c r="AR567" i="92"/>
  <c r="AO727" i="92"/>
  <c r="AZ703" i="92"/>
  <c r="AI678" i="92"/>
  <c r="AO735" i="92"/>
  <c r="AR722" i="92"/>
  <c r="AO278" i="92"/>
  <c r="AO152" i="92"/>
  <c r="AH549" i="92"/>
  <c r="AJ669" i="92"/>
  <c r="AT734" i="92"/>
  <c r="AK178" i="92"/>
  <c r="AZ394" i="92"/>
  <c r="AV385" i="92"/>
  <c r="AH448" i="92"/>
  <c r="AQ117" i="92"/>
  <c r="AO543" i="92"/>
  <c r="AQ388" i="92"/>
  <c r="AZ102" i="92"/>
  <c r="AQ368" i="92"/>
  <c r="AY649" i="92"/>
  <c r="AN649" i="92"/>
  <c r="AL756" i="92"/>
  <c r="AW756" i="92"/>
  <c r="AU497" i="92"/>
  <c r="AJ497" i="92"/>
  <c r="AS488" i="92"/>
  <c r="AH488" i="92"/>
  <c r="AN723" i="92"/>
  <c r="AY723" i="92"/>
  <c r="AQ701" i="92"/>
  <c r="AF701" i="92"/>
  <c r="AL366" i="92"/>
  <c r="AW366" i="92"/>
  <c r="AL575" i="92"/>
  <c r="AW575" i="92"/>
  <c r="AW330" i="92"/>
  <c r="AL330" i="92"/>
  <c r="AW204" i="92"/>
  <c r="AL204" i="92"/>
  <c r="AY252" i="92"/>
  <c r="AN252" i="92"/>
  <c r="AO529" i="92"/>
  <c r="AZ529" i="92"/>
  <c r="AW484" i="92"/>
  <c r="AL484" i="92"/>
  <c r="AW218" i="92"/>
  <c r="AL218" i="92"/>
  <c r="AZ507" i="92"/>
  <c r="AO507" i="92"/>
  <c r="AZ557" i="92"/>
  <c r="AO557" i="92"/>
  <c r="AX519" i="92"/>
  <c r="AM519" i="92"/>
  <c r="AO189" i="92"/>
  <c r="AZ189" i="92"/>
  <c r="AM114" i="92"/>
  <c r="AX114" i="92"/>
  <c r="AW403" i="92"/>
  <c r="AL403" i="92"/>
  <c r="AY759" i="92"/>
  <c r="AN759" i="92"/>
  <c r="AW512" i="92"/>
  <c r="AL512" i="92"/>
  <c r="AO321" i="92"/>
  <c r="AZ321" i="92"/>
  <c r="AN459" i="92"/>
  <c r="AY459" i="92"/>
  <c r="AW587" i="92"/>
  <c r="AL587" i="92"/>
  <c r="AL254" i="92"/>
  <c r="AW254" i="92"/>
  <c r="AY708" i="92"/>
  <c r="AN708" i="92"/>
  <c r="AN570" i="92"/>
  <c r="AY570" i="92"/>
  <c r="AY734" i="92"/>
  <c r="AN734" i="92"/>
  <c r="AW622" i="92"/>
  <c r="AL622" i="92"/>
  <c r="AO364" i="92"/>
  <c r="AZ364" i="92"/>
  <c r="AW55" i="92"/>
  <c r="AL55" i="92"/>
  <c r="AL617" i="92"/>
  <c r="AW617" i="92"/>
  <c r="AW71" i="92"/>
  <c r="AL71" i="92"/>
  <c r="AW576" i="92"/>
  <c r="AL576" i="92"/>
  <c r="AW435" i="92"/>
  <c r="AL435" i="92"/>
  <c r="AW271" i="92"/>
  <c r="AL271" i="92"/>
  <c r="AW335" i="92"/>
  <c r="AL335" i="92"/>
  <c r="AM196" i="92"/>
  <c r="AX196" i="92"/>
  <c r="AW728" i="92"/>
  <c r="AL728" i="92"/>
  <c r="AX501" i="92"/>
  <c r="AM501" i="92"/>
  <c r="AW68" i="92"/>
  <c r="AL68" i="92"/>
  <c r="AX372" i="92"/>
  <c r="AM372" i="92"/>
  <c r="AY753" i="92"/>
  <c r="AN753" i="92"/>
  <c r="AW721" i="92"/>
  <c r="AL721" i="92"/>
  <c r="AN278" i="92"/>
  <c r="AY278" i="92"/>
  <c r="AO49" i="92"/>
  <c r="AZ49" i="92"/>
  <c r="AX277" i="92"/>
  <c r="AM277" i="92"/>
  <c r="AM212" i="92"/>
  <c r="AX212" i="92"/>
  <c r="AX350" i="92"/>
  <c r="AM350" i="92"/>
  <c r="AL179" i="92"/>
  <c r="AW179" i="92"/>
  <c r="AX610" i="92"/>
  <c r="AM610" i="92"/>
  <c r="AY163" i="92"/>
  <c r="AN163" i="92"/>
  <c r="AN664" i="92"/>
  <c r="AY664" i="92"/>
  <c r="AO403" i="92"/>
  <c r="AZ403" i="92"/>
  <c r="AN641" i="92"/>
  <c r="AY641" i="92"/>
  <c r="AX474" i="92"/>
  <c r="AM474" i="92"/>
  <c r="AY371" i="92"/>
  <c r="AN371" i="92"/>
  <c r="AN533" i="92"/>
  <c r="AY533" i="92"/>
  <c r="AX436" i="92"/>
  <c r="AM436" i="92"/>
  <c r="AN534" i="92"/>
  <c r="AY534" i="92"/>
  <c r="AY239" i="92"/>
  <c r="AN239" i="92"/>
  <c r="AL129" i="92"/>
  <c r="AW129" i="92"/>
  <c r="AX171" i="92"/>
  <c r="AM171" i="92"/>
  <c r="AN47" i="92"/>
  <c r="AY47" i="92"/>
  <c r="AN604" i="92"/>
  <c r="AY604" i="92"/>
  <c r="AN623" i="92"/>
  <c r="AY623" i="92"/>
  <c r="AY507" i="92"/>
  <c r="AN507" i="92"/>
  <c r="AN487" i="92"/>
  <c r="AY487" i="92"/>
  <c r="AX743" i="92"/>
  <c r="AM743" i="92"/>
  <c r="AY373" i="92"/>
  <c r="AN373" i="92"/>
  <c r="AM646" i="92"/>
  <c r="AX646" i="92"/>
  <c r="AM566" i="92"/>
  <c r="AX566" i="92"/>
  <c r="AX192" i="92"/>
  <c r="AM192" i="92"/>
  <c r="AX152" i="92"/>
  <c r="AM152" i="92"/>
  <c r="AM434" i="92"/>
  <c r="AX434" i="92"/>
  <c r="AX590" i="92"/>
  <c r="AM590" i="92"/>
  <c r="AX540" i="92"/>
  <c r="AM540" i="92"/>
  <c r="AM266" i="92"/>
  <c r="AX266" i="92"/>
  <c r="AM48" i="92"/>
  <c r="AX48" i="92"/>
  <c r="AN562" i="92"/>
  <c r="AY562" i="92"/>
  <c r="AX647" i="92"/>
  <c r="AM647" i="92"/>
  <c r="AW743" i="92"/>
  <c r="AL743" i="92"/>
  <c r="AM459" i="92"/>
  <c r="AX459" i="92"/>
  <c r="AL78" i="92"/>
  <c r="AW78" i="92"/>
  <c r="AY73" i="92"/>
  <c r="AN73" i="92"/>
  <c r="AX681" i="92"/>
  <c r="AM681" i="92"/>
  <c r="AN425" i="92"/>
  <c r="AY425" i="92"/>
  <c r="AN197" i="92"/>
  <c r="AY197" i="92"/>
  <c r="AM697" i="92"/>
  <c r="AX697" i="92"/>
  <c r="AM750" i="92"/>
  <c r="AX750" i="92"/>
  <c r="AX51" i="92"/>
  <c r="AM51" i="92"/>
  <c r="AX482" i="92"/>
  <c r="AM482" i="92"/>
  <c r="AN309" i="92"/>
  <c r="AY309" i="92"/>
  <c r="AM236" i="92"/>
  <c r="AX236" i="92"/>
  <c r="AX702" i="92"/>
  <c r="AM702" i="92"/>
  <c r="AX45" i="92"/>
  <c r="AM45" i="92"/>
  <c r="AM642" i="92"/>
  <c r="AX642" i="92"/>
  <c r="AN663" i="92"/>
  <c r="AY663" i="92"/>
  <c r="AM658" i="92"/>
  <c r="AX658" i="92"/>
  <c r="AK628" i="92"/>
  <c r="AV628" i="92"/>
  <c r="AX29" i="92"/>
  <c r="AM29" i="92"/>
  <c r="AJ620" i="92"/>
  <c r="AV656" i="92"/>
  <c r="AV590" i="92"/>
  <c r="AZ406" i="92"/>
  <c r="AO268" i="92"/>
  <c r="AO645" i="92"/>
  <c r="AO547" i="92"/>
  <c r="AR614" i="92"/>
  <c r="AL414" i="27" s="1"/>
  <c r="AF722" i="92"/>
  <c r="AF226" i="92"/>
  <c r="AG749" i="92"/>
  <c r="AG639" i="92"/>
  <c r="AK187" i="92"/>
  <c r="AI667" i="92"/>
  <c r="AZ503" i="92"/>
  <c r="AZ274" i="92"/>
  <c r="AH660" i="92"/>
  <c r="AS718" i="92"/>
  <c r="AO495" i="92"/>
  <c r="AO336" i="92"/>
  <c r="AQ531" i="92"/>
  <c r="AQ521" i="92"/>
  <c r="AF447" i="92"/>
  <c r="AJ697" i="92"/>
  <c r="AS140" i="92"/>
  <c r="AM417" i="92"/>
  <c r="AL681" i="92"/>
  <c r="AO143" i="92"/>
  <c r="AZ757" i="92"/>
  <c r="AY336" i="92"/>
  <c r="AZ599" i="92"/>
  <c r="AO599" i="92"/>
  <c r="AZ171" i="92"/>
  <c r="AS526" i="92"/>
  <c r="AQ648" i="92"/>
  <c r="AZ442" i="92"/>
  <c r="AG706" i="92"/>
  <c r="BA234" i="92"/>
  <c r="AZ56" i="92"/>
  <c r="BA280" i="92"/>
  <c r="AZ269" i="92"/>
  <c r="AZ23" i="92"/>
  <c r="AO702" i="92"/>
  <c r="AV421" i="92"/>
  <c r="AV698" i="92"/>
  <c r="AF609" i="92"/>
  <c r="AI545" i="92"/>
  <c r="AZ305" i="92"/>
  <c r="AO583" i="92"/>
  <c r="AG674" i="92"/>
  <c r="AO447" i="92"/>
  <c r="AG754" i="92"/>
  <c r="AZ222" i="92"/>
  <c r="AJ598" i="92"/>
  <c r="AG581" i="92"/>
  <c r="AK735" i="92"/>
  <c r="AV433" i="92"/>
  <c r="AJ707" i="92"/>
  <c r="AH85" i="92"/>
  <c r="AH754" i="92"/>
  <c r="AO689" i="92"/>
  <c r="AO337" i="92"/>
  <c r="AO65" i="92"/>
  <c r="AW407" i="92"/>
  <c r="AL758" i="92"/>
  <c r="AL235" i="92"/>
  <c r="AJ468" i="92"/>
  <c r="AZ219" i="92"/>
  <c r="AV568" i="92"/>
  <c r="AV596" i="92"/>
  <c r="AO433" i="92"/>
  <c r="AZ568" i="92"/>
  <c r="AV614" i="92"/>
  <c r="AQ604" i="92"/>
  <c r="AU621" i="92"/>
  <c r="AT459" i="92"/>
  <c r="AU751" i="92"/>
  <c r="AQ605" i="92"/>
  <c r="AQ189" i="92"/>
  <c r="AZ43" i="92"/>
  <c r="AO99" i="92"/>
  <c r="AT624" i="92"/>
  <c r="AT650" i="92"/>
  <c r="AJ632" i="92"/>
  <c r="AV298" i="92"/>
  <c r="AV632" i="92"/>
  <c r="AG307" i="92"/>
  <c r="AZ492" i="92"/>
  <c r="AH597" i="92"/>
  <c r="AU493" i="92"/>
  <c r="AU537" i="92"/>
  <c r="AZ68" i="92"/>
  <c r="AH491" i="92"/>
  <c r="AL668" i="92"/>
  <c r="AY543" i="92"/>
  <c r="AZ456" i="92"/>
  <c r="AH664" i="92"/>
  <c r="AZ698" i="92"/>
  <c r="AZ639" i="92"/>
  <c r="AO78" i="92"/>
  <c r="AZ413" i="92"/>
  <c r="AQ497" i="92"/>
  <c r="AO300" i="92"/>
  <c r="AT429" i="92"/>
  <c r="AQ464" i="92"/>
  <c r="AR484" i="92"/>
  <c r="AQ684" i="92"/>
  <c r="AS705" i="92"/>
  <c r="AZ473" i="92"/>
  <c r="AZ208" i="92"/>
  <c r="AI424" i="92"/>
  <c r="AZ266" i="92"/>
  <c r="AJ733" i="92"/>
  <c r="AK575" i="92"/>
  <c r="AZ25" i="92"/>
  <c r="AO345" i="92"/>
  <c r="AK629" i="92"/>
  <c r="AK642" i="92"/>
  <c r="AH683" i="92"/>
  <c r="AZ667" i="92"/>
  <c r="AS648" i="92"/>
  <c r="AP297" i="92"/>
  <c r="AZ441" i="92"/>
  <c r="AL763" i="92"/>
  <c r="AM418" i="92"/>
  <c r="AM600" i="92"/>
  <c r="AR594" i="92"/>
  <c r="AK615" i="92"/>
  <c r="AT556" i="92"/>
  <c r="AH419" i="92"/>
  <c r="AF390" i="92"/>
  <c r="AJ444" i="92"/>
  <c r="AT751" i="92"/>
  <c r="AT592" i="92"/>
  <c r="AQ295" i="92"/>
  <c r="AJ625" i="92"/>
  <c r="AG402" i="92"/>
  <c r="AG726" i="92"/>
  <c r="AS342" i="92"/>
  <c r="AR532" i="92"/>
  <c r="AJ506" i="92"/>
  <c r="BA606" i="92"/>
  <c r="AH511" i="92"/>
  <c r="AV454" i="92"/>
  <c r="AK454" i="92"/>
  <c r="AO598" i="92"/>
  <c r="AZ598" i="92"/>
  <c r="AO446" i="92"/>
  <c r="AZ446" i="92"/>
  <c r="AZ396" i="92"/>
  <c r="AO396" i="92"/>
  <c r="AW538" i="92"/>
  <c r="AL538" i="92"/>
  <c r="AO741" i="92"/>
  <c r="AZ741" i="92"/>
  <c r="AW692" i="92"/>
  <c r="AL692" i="92"/>
  <c r="AW64" i="92"/>
  <c r="AL64" i="92"/>
  <c r="AZ307" i="92"/>
  <c r="AO307" i="92"/>
  <c r="AL346" i="92"/>
  <c r="AW346" i="92"/>
  <c r="AY579" i="92"/>
  <c r="AN579" i="92"/>
  <c r="AZ383" i="92"/>
  <c r="AO383" i="92"/>
  <c r="AW703" i="92"/>
  <c r="AL703" i="92"/>
  <c r="AL263" i="92"/>
  <c r="AW263" i="92"/>
  <c r="AZ371" i="92"/>
  <c r="AO371" i="92"/>
  <c r="AL296" i="92"/>
  <c r="AW296" i="92"/>
  <c r="AY695" i="92"/>
  <c r="AN695" i="92"/>
  <c r="AW83" i="92"/>
  <c r="AL83" i="92"/>
  <c r="AY181" i="92"/>
  <c r="AN181" i="92"/>
  <c r="AW318" i="92"/>
  <c r="AL318" i="92"/>
  <c r="AL50" i="92"/>
  <c r="AW50" i="92"/>
  <c r="AW230" i="92"/>
  <c r="AL230" i="92"/>
  <c r="AX305" i="92"/>
  <c r="AM305" i="92"/>
  <c r="AO122" i="92"/>
  <c r="AZ122" i="92"/>
  <c r="AX187" i="92"/>
  <c r="AM187" i="92"/>
  <c r="AW510" i="92"/>
  <c r="AL510" i="92"/>
  <c r="AM655" i="92"/>
  <c r="AX655" i="92"/>
  <c r="AX763" i="92"/>
  <c r="AM763" i="92"/>
  <c r="AZ95" i="92"/>
  <c r="AO95" i="92"/>
  <c r="AW118" i="92"/>
  <c r="AL118" i="92"/>
  <c r="AX591" i="92"/>
  <c r="AM591" i="92"/>
  <c r="AX706" i="92"/>
  <c r="AM706" i="92"/>
  <c r="AN477" i="92"/>
  <c r="AY477" i="92"/>
  <c r="AX546" i="92"/>
  <c r="AM546" i="92"/>
  <c r="AX356" i="92"/>
  <c r="AM356" i="92"/>
  <c r="AN124" i="92"/>
  <c r="AY124" i="92"/>
  <c r="AY49" i="92"/>
  <c r="AN49" i="92"/>
  <c r="AM180" i="92"/>
  <c r="AX180" i="92"/>
  <c r="AX435" i="92"/>
  <c r="AM435" i="92"/>
  <c r="AY299" i="92"/>
  <c r="AN299" i="92"/>
  <c r="AX339" i="92"/>
  <c r="AM339" i="92"/>
  <c r="AM552" i="92"/>
  <c r="AX552" i="92"/>
  <c r="AN673" i="92"/>
  <c r="AY673" i="92"/>
  <c r="AX201" i="92"/>
  <c r="AM201" i="92"/>
  <c r="AN624" i="92"/>
  <c r="AY624" i="92"/>
  <c r="AN691" i="92"/>
  <c r="AY691" i="92"/>
  <c r="AN158" i="92"/>
  <c r="AY158" i="92"/>
  <c r="AX401" i="92"/>
  <c r="AM401" i="92"/>
  <c r="AX548" i="92"/>
  <c r="AM548" i="92"/>
  <c r="AY325" i="92"/>
  <c r="AN325" i="92"/>
  <c r="AM110" i="92"/>
  <c r="AX110" i="92"/>
  <c r="AY498" i="92"/>
  <c r="AN498" i="92"/>
  <c r="AX327" i="92"/>
  <c r="AM327" i="92"/>
  <c r="AL615" i="92"/>
  <c r="AW615" i="92"/>
  <c r="AX91" i="92"/>
  <c r="AM91" i="92"/>
  <c r="AN91" i="92"/>
  <c r="AY91" i="92"/>
  <c r="AX61" i="92"/>
  <c r="AM61" i="92"/>
  <c r="AN501" i="92"/>
  <c r="AY501" i="92"/>
  <c r="AX480" i="92"/>
  <c r="AM480" i="92"/>
  <c r="AX424" i="92"/>
  <c r="AM424" i="92"/>
  <c r="AM628" i="92"/>
  <c r="AX628" i="92"/>
  <c r="AX193" i="92"/>
  <c r="AM193" i="92"/>
  <c r="AX453" i="92"/>
  <c r="AM453" i="92"/>
  <c r="AX322" i="92"/>
  <c r="AM322" i="92"/>
  <c r="AN565" i="92"/>
  <c r="AY565" i="92"/>
  <c r="AM737" i="92"/>
  <c r="AX737" i="92"/>
  <c r="AM144" i="92"/>
  <c r="AX144" i="92"/>
  <c r="AN126" i="92"/>
  <c r="AY126" i="92"/>
  <c r="AN274" i="92"/>
  <c r="AY274" i="92"/>
  <c r="AY97" i="92"/>
  <c r="AN97" i="92"/>
  <c r="AR669" i="92"/>
  <c r="AG669" i="92"/>
  <c r="AW124" i="92"/>
  <c r="AL124" i="92"/>
  <c r="AG572" i="92"/>
  <c r="AR572" i="92"/>
  <c r="AU520" i="92"/>
  <c r="AJ520" i="92"/>
  <c r="AO566" i="92"/>
  <c r="AZ566" i="92"/>
  <c r="AS496" i="92"/>
  <c r="AH496" i="92"/>
  <c r="AF664" i="92"/>
  <c r="AQ664" i="92"/>
  <c r="AV691" i="92"/>
  <c r="AK691" i="92"/>
  <c r="AK680" i="92"/>
  <c r="AV680" i="92"/>
  <c r="AW580" i="92"/>
  <c r="AL580" i="92"/>
  <c r="AJ729" i="92"/>
  <c r="AU729" i="92"/>
  <c r="AI687" i="92"/>
  <c r="AT687" i="92"/>
  <c r="AG738" i="92"/>
  <c r="AR738" i="92"/>
  <c r="AR414" i="92"/>
  <c r="AG414" i="92"/>
  <c r="AU478" i="92"/>
  <c r="AJ478" i="92"/>
  <c r="AH763" i="92"/>
  <c r="AS763" i="92"/>
  <c r="AT466" i="92"/>
  <c r="AI466" i="92"/>
  <c r="AK545" i="92"/>
  <c r="AV545" i="92"/>
  <c r="AI438" i="92"/>
  <c r="AT438" i="92"/>
  <c r="AU737" i="92"/>
  <c r="AJ737" i="92"/>
  <c r="AF573" i="92"/>
  <c r="AQ573" i="92"/>
  <c r="AG431" i="92"/>
  <c r="AR431" i="92"/>
  <c r="AK489" i="92"/>
  <c r="AV489" i="92"/>
  <c r="AK708" i="92"/>
  <c r="AV708" i="92"/>
  <c r="AX25" i="92"/>
  <c r="AM25" i="92"/>
  <c r="AF458" i="92"/>
  <c r="AQ458" i="92"/>
  <c r="AF679" i="92"/>
  <c r="AQ679" i="92"/>
  <c r="AR624" i="92"/>
  <c r="AG624" i="92"/>
  <c r="AQ734" i="92"/>
  <c r="AF734" i="92"/>
  <c r="AT405" i="92"/>
  <c r="AI405" i="92"/>
  <c r="AI475" i="92"/>
  <c r="AT475" i="92"/>
  <c r="AG596" i="92"/>
  <c r="AR596" i="92"/>
  <c r="AK397" i="92"/>
  <c r="AV397" i="92"/>
  <c r="AJ392" i="92"/>
  <c r="AU392" i="92"/>
  <c r="AH750" i="92"/>
  <c r="AS750" i="92"/>
  <c r="AG449" i="92"/>
  <c r="AR449" i="92"/>
  <c r="AR549" i="92"/>
  <c r="AG549" i="92"/>
  <c r="AW28" i="92"/>
  <c r="AL28" i="92"/>
  <c r="AK699" i="92"/>
  <c r="AV699" i="92"/>
  <c r="AT749" i="92"/>
  <c r="AI749" i="92"/>
  <c r="AS440" i="92"/>
  <c r="AH440" i="92"/>
  <c r="AT541" i="92"/>
  <c r="AI541" i="92"/>
  <c r="AV665" i="92"/>
  <c r="AK665" i="92"/>
  <c r="AJ711" i="92"/>
  <c r="AU711" i="92"/>
  <c r="AI736" i="92"/>
  <c r="AT736" i="92"/>
  <c r="AK622" i="92"/>
  <c r="AV622" i="92"/>
  <c r="AF493" i="92"/>
  <c r="AQ493" i="92"/>
  <c r="AW33" i="92"/>
  <c r="AL33" i="92"/>
  <c r="AT411" i="92"/>
  <c r="AL169" i="27" s="1"/>
  <c r="AI411" i="92"/>
  <c r="AQ685" i="92"/>
  <c r="AF685" i="92"/>
  <c r="AN44" i="92"/>
  <c r="AY44" i="92"/>
  <c r="AU419" i="92"/>
  <c r="AJ419" i="92"/>
  <c r="AK410" i="92"/>
  <c r="AV410" i="92"/>
  <c r="AF627" i="92"/>
  <c r="AQ627" i="92"/>
  <c r="AK731" i="92"/>
  <c r="AV731" i="92"/>
  <c r="AJ652" i="92"/>
  <c r="AU652" i="92"/>
  <c r="AG677" i="92"/>
  <c r="AR677" i="92"/>
  <c r="AS602" i="92"/>
  <c r="AH602" i="92"/>
  <c r="AF386" i="92"/>
  <c r="AQ386" i="92"/>
  <c r="AI422" i="92"/>
  <c r="AT422" i="92"/>
  <c r="AT744" i="92"/>
  <c r="AI744" i="92"/>
  <c r="AT344" i="92"/>
  <c r="AI344" i="92"/>
  <c r="AI664" i="92"/>
  <c r="AT664" i="92"/>
  <c r="AF682" i="92"/>
  <c r="AQ682" i="92"/>
  <c r="AL26" i="92"/>
  <c r="AW26" i="92"/>
  <c r="AS620" i="92"/>
  <c r="AH620" i="92"/>
  <c r="AF216" i="92"/>
  <c r="AQ216" i="92"/>
  <c r="AJ690" i="92"/>
  <c r="AU690" i="92"/>
  <c r="AV336" i="92"/>
  <c r="AK336" i="92"/>
  <c r="AH156" i="92"/>
  <c r="AS156" i="92"/>
  <c r="AR615" i="92"/>
  <c r="AG615" i="92"/>
  <c r="AF632" i="92"/>
  <c r="AQ632" i="92"/>
  <c r="AF196" i="92"/>
  <c r="AQ196" i="92"/>
  <c r="AS171" i="92"/>
  <c r="AH171" i="92"/>
  <c r="AK61" i="92"/>
  <c r="AV61" i="92"/>
  <c r="AG162" i="92"/>
  <c r="AR162" i="92"/>
  <c r="AQ156" i="92"/>
  <c r="AF156" i="92"/>
  <c r="AK633" i="92"/>
  <c r="AV633" i="92"/>
  <c r="AG319" i="92"/>
  <c r="AR319" i="92"/>
  <c r="AK705" i="92"/>
  <c r="AV705" i="92"/>
  <c r="AK363" i="92"/>
  <c r="AV363" i="92"/>
  <c r="AR736" i="92"/>
  <c r="AG736" i="92"/>
  <c r="AJ179" i="92"/>
  <c r="AU179" i="92"/>
  <c r="AU173" i="92"/>
  <c r="AJ173" i="92"/>
  <c r="BA315" i="92"/>
  <c r="AP315" i="92"/>
  <c r="AG371" i="92"/>
  <c r="AR371" i="92"/>
  <c r="AG328" i="92"/>
  <c r="AR328" i="92"/>
  <c r="AR137" i="92"/>
  <c r="AG137" i="92"/>
  <c r="AJ101" i="92"/>
  <c r="AU101" i="92"/>
  <c r="AT299" i="92"/>
  <c r="AI299" i="92"/>
  <c r="BA368" i="92"/>
  <c r="AP368" i="92"/>
  <c r="BA218" i="92"/>
  <c r="AP218" i="92"/>
  <c r="BA266" i="92"/>
  <c r="AP266" i="92"/>
  <c r="AS115" i="92"/>
  <c r="AH115" i="92"/>
  <c r="AT404" i="92"/>
  <c r="AI404" i="92"/>
  <c r="AG425" i="92"/>
  <c r="AR425" i="92"/>
  <c r="AG505" i="92"/>
  <c r="AR505" i="92"/>
  <c r="AS176" i="92"/>
  <c r="AH176" i="92"/>
  <c r="AJ149" i="92"/>
  <c r="AU149" i="92"/>
  <c r="AS363" i="92"/>
  <c r="AH363" i="92"/>
  <c r="AU119" i="92"/>
  <c r="AJ119" i="92"/>
  <c r="AK105" i="92"/>
  <c r="AV105" i="92"/>
  <c r="AH640" i="92"/>
  <c r="AS640" i="92"/>
  <c r="AS735" i="92"/>
  <c r="AH735" i="92"/>
  <c r="AQ456" i="92"/>
  <c r="AF456" i="92"/>
  <c r="AV761" i="92"/>
  <c r="AK761" i="92"/>
  <c r="AH243" i="92"/>
  <c r="AS243" i="92"/>
  <c r="AV142" i="92"/>
  <c r="AK142" i="92"/>
  <c r="AK272" i="92"/>
  <c r="AV272" i="92"/>
  <c r="AS290" i="92"/>
  <c r="AH290" i="92"/>
  <c r="AP227" i="92"/>
  <c r="BA227" i="92"/>
  <c r="AT235" i="92"/>
  <c r="AI235" i="92"/>
  <c r="AH318" i="92"/>
  <c r="AS318" i="92"/>
  <c r="AJ147" i="92"/>
  <c r="AU147" i="92"/>
  <c r="AU331" i="92"/>
  <c r="AJ331" i="92"/>
  <c r="AI666" i="92"/>
  <c r="AT666" i="92"/>
  <c r="BA184" i="92"/>
  <c r="AP184" i="92"/>
  <c r="AH287" i="92"/>
  <c r="AS287" i="92"/>
  <c r="AK219" i="92"/>
  <c r="AV219" i="92"/>
  <c r="AS152" i="92"/>
  <c r="AH152" i="92"/>
  <c r="AU523" i="92"/>
  <c r="AJ523" i="92"/>
  <c r="AR320" i="92"/>
  <c r="AG320" i="92"/>
  <c r="BA587" i="92"/>
  <c r="AP587" i="92"/>
  <c r="AF154" i="92"/>
  <c r="AQ154" i="92"/>
  <c r="AU130" i="92"/>
  <c r="AJ130" i="92"/>
  <c r="AU146" i="92"/>
  <c r="AJ146" i="92"/>
  <c r="AQ637" i="92"/>
  <c r="AF637" i="92"/>
  <c r="AV704" i="92"/>
  <c r="AK704" i="92"/>
  <c r="AK196" i="92"/>
  <c r="AV196" i="92"/>
  <c r="AF566" i="92"/>
  <c r="AQ566" i="92"/>
  <c r="AV602" i="92"/>
  <c r="AK602" i="92"/>
  <c r="AR275" i="92"/>
  <c r="AG275" i="92"/>
  <c r="AU622" i="92"/>
  <c r="AJ622" i="92"/>
  <c r="BA594" i="92"/>
  <c r="AP594" i="92"/>
  <c r="AV77" i="92"/>
  <c r="AK77" i="92"/>
  <c r="BA585" i="92"/>
  <c r="AP585" i="92"/>
  <c r="AU206" i="92"/>
  <c r="AJ206" i="92"/>
  <c r="AK151" i="92"/>
  <c r="AV151" i="92"/>
  <c r="AJ76" i="92"/>
  <c r="AU76" i="92"/>
  <c r="AK82" i="92"/>
  <c r="AV82" i="92"/>
  <c r="AH322" i="92"/>
  <c r="AI167" i="92"/>
  <c r="AP461" i="92"/>
  <c r="AU166" i="92"/>
  <c r="AP579" i="92"/>
  <c r="BA579" i="92"/>
  <c r="AQ310" i="92"/>
  <c r="AF310" i="92"/>
  <c r="AP303" i="92"/>
  <c r="BA303" i="92"/>
  <c r="AG119" i="92"/>
  <c r="AR119" i="92"/>
  <c r="BA610" i="92"/>
  <c r="AP610" i="92"/>
  <c r="AP676" i="92"/>
  <c r="BA676" i="92"/>
  <c r="AR288" i="92"/>
  <c r="AG288" i="92"/>
  <c r="AK311" i="92"/>
  <c r="AV311" i="92"/>
  <c r="BA727" i="92"/>
  <c r="AP727" i="92"/>
  <c r="AR680" i="92"/>
  <c r="AG680" i="92"/>
  <c r="AJ218" i="92"/>
  <c r="AU218" i="92"/>
  <c r="BA538" i="92"/>
  <c r="AP538" i="92"/>
  <c r="AG247" i="92"/>
  <c r="AR247" i="92"/>
  <c r="AY210" i="92"/>
  <c r="AO630" i="92"/>
  <c r="AZ630" i="92"/>
  <c r="AZ638" i="92"/>
  <c r="AO638" i="92"/>
  <c r="AO522" i="92"/>
  <c r="AZ522" i="92"/>
  <c r="AN63" i="92"/>
  <c r="AY63" i="92"/>
  <c r="AO567" i="92"/>
  <c r="AZ567" i="92"/>
  <c r="AR733" i="92"/>
  <c r="AG733" i="92"/>
  <c r="AT456" i="92"/>
  <c r="AI456" i="92"/>
  <c r="AJ531" i="92"/>
  <c r="AU531" i="92"/>
  <c r="AJ734" i="92"/>
  <c r="AU734" i="92"/>
  <c r="AK505" i="92"/>
  <c r="AV505" i="92"/>
  <c r="AH508" i="92"/>
  <c r="AS508" i="92"/>
  <c r="AT697" i="92"/>
  <c r="AI697" i="92"/>
  <c r="AI724" i="92"/>
  <c r="AT724" i="92"/>
  <c r="AV461" i="92"/>
  <c r="AK461" i="92"/>
  <c r="AS712" i="92"/>
  <c r="AH712" i="92"/>
  <c r="AS758" i="92"/>
  <c r="AH758" i="92"/>
  <c r="AQ703" i="92"/>
  <c r="AF703" i="92"/>
  <c r="AT494" i="92"/>
  <c r="AI494" i="92"/>
  <c r="AV450" i="92"/>
  <c r="AK450" i="92"/>
  <c r="AO24" i="92"/>
  <c r="AZ24" i="92"/>
  <c r="AS502" i="92"/>
  <c r="AH502" i="92"/>
  <c r="AK561" i="92"/>
  <c r="AV561" i="92"/>
  <c r="AH172" i="92"/>
  <c r="AS172" i="92"/>
  <c r="AI561" i="92"/>
  <c r="AT561" i="92"/>
  <c r="AQ59" i="92"/>
  <c r="AF59" i="92"/>
  <c r="AH569" i="92"/>
  <c r="AS569" i="92"/>
  <c r="AQ694" i="92"/>
  <c r="AF694" i="92"/>
  <c r="AQ662" i="92"/>
  <c r="AF662" i="92"/>
  <c r="AP194" i="92"/>
  <c r="BA194" i="92"/>
  <c r="AF616" i="92"/>
  <c r="AQ616" i="92"/>
  <c r="AQ760" i="92"/>
  <c r="AF760" i="92"/>
  <c r="AH501" i="92"/>
  <c r="AS501" i="92"/>
  <c r="AS394" i="92"/>
  <c r="AH394" i="92"/>
  <c r="AH760" i="92"/>
  <c r="AS760" i="92"/>
  <c r="AH599" i="92"/>
  <c r="AS599" i="92"/>
  <c r="AG129" i="92"/>
  <c r="AR129" i="92"/>
  <c r="AU721" i="92"/>
  <c r="AJ721" i="92"/>
  <c r="AG281" i="92"/>
  <c r="AR281" i="92"/>
  <c r="AK371" i="92"/>
  <c r="AV371" i="92"/>
  <c r="AP282" i="92"/>
  <c r="BA282" i="92"/>
  <c r="AH593" i="92"/>
  <c r="AS593" i="92"/>
  <c r="AF655" i="92"/>
  <c r="AQ655" i="92"/>
  <c r="AF621" i="92"/>
  <c r="AQ621" i="92"/>
  <c r="AK351" i="92"/>
  <c r="AV351" i="92"/>
  <c r="AK209" i="92"/>
  <c r="AV209" i="92"/>
  <c r="AU251" i="92"/>
  <c r="AJ251" i="92"/>
  <c r="AG700" i="92"/>
  <c r="AR700" i="92"/>
  <c r="AP243" i="92"/>
  <c r="BA243" i="92"/>
  <c r="AP591" i="92"/>
  <c r="BA591" i="92"/>
  <c r="AP557" i="92"/>
  <c r="BA557" i="92"/>
  <c r="AU367" i="92"/>
  <c r="AJ367" i="92"/>
  <c r="AJ631" i="92"/>
  <c r="AU631" i="92"/>
  <c r="AF90" i="92"/>
  <c r="AQ90" i="92"/>
  <c r="AH242" i="92"/>
  <c r="AS242" i="92"/>
  <c r="AI746" i="92"/>
  <c r="AT746" i="92"/>
  <c r="AH273" i="92"/>
  <c r="AS273" i="92"/>
  <c r="AI465" i="92"/>
  <c r="AT465" i="92"/>
  <c r="AG345" i="92"/>
  <c r="AR345" i="92"/>
  <c r="AH647" i="92"/>
  <c r="AS647" i="92"/>
  <c r="AJ271" i="92"/>
  <c r="AU271" i="92"/>
  <c r="AK360" i="92"/>
  <c r="AV360" i="92"/>
  <c r="AF712" i="92"/>
  <c r="AQ712" i="92"/>
  <c r="AF351" i="92"/>
  <c r="AQ351" i="92"/>
  <c r="AJ165" i="92"/>
  <c r="AU165" i="92"/>
  <c r="AJ180" i="92"/>
  <c r="AU180" i="92"/>
  <c r="AI336" i="92"/>
  <c r="AT336" i="92"/>
  <c r="AI58" i="92"/>
  <c r="AT58" i="92"/>
  <c r="AQ68" i="92"/>
  <c r="AF68" i="92"/>
  <c r="AF95" i="92"/>
  <c r="AQ95" i="92"/>
  <c r="AU373" i="92"/>
  <c r="AJ373" i="92"/>
  <c r="AK232" i="92"/>
  <c r="AV232" i="92"/>
  <c r="AR95" i="92"/>
  <c r="AG95" i="92"/>
  <c r="AH116" i="92"/>
  <c r="AS116" i="92"/>
  <c r="AK212" i="92"/>
  <c r="AV212" i="92"/>
  <c r="AJ127" i="92"/>
  <c r="AU127" i="92"/>
  <c r="AJ672" i="92"/>
  <c r="AU672" i="92"/>
  <c r="BA108" i="92"/>
  <c r="AP108" i="92"/>
  <c r="AF347" i="92"/>
  <c r="AQ347" i="92"/>
  <c r="BA635" i="92"/>
  <c r="AP635" i="92"/>
  <c r="AU368" i="92"/>
  <c r="AJ368" i="92"/>
  <c r="AQ112" i="92"/>
  <c r="AF112" i="92"/>
  <c r="AP393" i="92"/>
  <c r="BA393" i="92"/>
  <c r="AI284" i="92"/>
  <c r="AT284" i="92"/>
  <c r="AQ344" i="92"/>
  <c r="AF344" i="92"/>
  <c r="AI191" i="92"/>
  <c r="AT191" i="92"/>
  <c r="AF176" i="92"/>
  <c r="AQ176" i="92"/>
  <c r="BA756" i="92"/>
  <c r="AP756" i="92"/>
  <c r="AQ219" i="92"/>
  <c r="AF219" i="92"/>
  <c r="AI372" i="92"/>
  <c r="AT372" i="92"/>
  <c r="AT168" i="92"/>
  <c r="AI168" i="92"/>
  <c r="AP732" i="92"/>
  <c r="BA732" i="92"/>
  <c r="AP536" i="92"/>
  <c r="BA536" i="92"/>
  <c r="AU204" i="92"/>
  <c r="AJ204" i="92"/>
  <c r="AI301" i="92"/>
  <c r="AT301" i="92"/>
  <c r="AJ381" i="92"/>
  <c r="AU381" i="92"/>
  <c r="AH106" i="92"/>
  <c r="AS106" i="92"/>
  <c r="AH284" i="92"/>
  <c r="AS284" i="92"/>
  <c r="AT428" i="92"/>
  <c r="AI428" i="92"/>
  <c r="AP545" i="92"/>
  <c r="BA545" i="92"/>
  <c r="AG195" i="92"/>
  <c r="AR195" i="92"/>
  <c r="AP588" i="92"/>
  <c r="BA588" i="92"/>
  <c r="AJ263" i="92"/>
  <c r="AU263" i="92"/>
  <c r="AH194" i="92"/>
  <c r="AS194" i="92"/>
  <c r="AV372" i="92"/>
  <c r="AK372" i="92"/>
  <c r="AT111" i="92"/>
  <c r="AI111" i="92"/>
  <c r="AK458" i="92"/>
  <c r="AV458" i="92"/>
  <c r="AR353" i="92"/>
  <c r="AG353" i="92"/>
  <c r="AG455" i="92"/>
  <c r="AR455" i="92"/>
  <c r="AM289" i="92"/>
  <c r="AX289" i="92"/>
  <c r="AM470" i="92"/>
  <c r="AX470" i="92"/>
  <c r="AO373" i="92"/>
  <c r="AZ373" i="92"/>
  <c r="AO748" i="92"/>
  <c r="AK386" i="92"/>
  <c r="AU441" i="92"/>
  <c r="AJ699" i="92"/>
  <c r="AO680" i="92"/>
  <c r="AZ354" i="92"/>
  <c r="AZ273" i="92"/>
  <c r="AT412" i="92"/>
  <c r="AV718" i="92"/>
  <c r="AJ465" i="92"/>
  <c r="AZ92" i="92"/>
  <c r="AG107" i="92"/>
  <c r="AZ47" i="92"/>
  <c r="AZ233" i="92"/>
  <c r="AG661" i="92"/>
  <c r="AT651" i="92"/>
  <c r="AT730" i="92"/>
  <c r="AH737" i="92"/>
  <c r="AZ527" i="92"/>
  <c r="AF289" i="92"/>
  <c r="AV556" i="92"/>
  <c r="AT452" i="92"/>
  <c r="AQ157" i="92"/>
  <c r="AI214" i="92"/>
  <c r="AF654" i="92"/>
  <c r="AJ154" i="92"/>
  <c r="AQ252" i="92"/>
  <c r="AQ324" i="92"/>
  <c r="AK362" i="92"/>
  <c r="AZ758" i="92"/>
  <c r="AO320" i="92"/>
  <c r="AV606" i="92"/>
  <c r="AZ602" i="92"/>
  <c r="AZ488" i="92"/>
  <c r="AG751" i="92"/>
  <c r="AR560" i="92"/>
  <c r="AS153" i="92"/>
  <c r="AR561" i="92"/>
  <c r="AV352" i="92"/>
  <c r="AO121" i="92"/>
  <c r="AJ741" i="92"/>
  <c r="AQ460" i="92"/>
  <c r="AO141" i="92"/>
  <c r="AV658" i="92"/>
  <c r="AS416" i="92"/>
  <c r="AU455" i="92"/>
  <c r="AK243" i="92"/>
  <c r="AT607" i="92"/>
  <c r="AV674" i="92"/>
  <c r="AT672" i="92"/>
  <c r="AS300" i="92"/>
  <c r="AS389" i="92"/>
  <c r="AI338" i="92"/>
  <c r="AI92" i="92"/>
  <c r="AP524" i="92"/>
  <c r="AO472" i="92"/>
  <c r="AI265" i="92"/>
  <c r="AW356" i="92"/>
  <c r="AL356" i="92"/>
  <c r="AL384" i="92"/>
  <c r="AW384" i="92"/>
  <c r="AQ749" i="92"/>
  <c r="AF749" i="92"/>
  <c r="AZ609" i="92"/>
  <c r="AR422" i="92"/>
  <c r="AZ677" i="92"/>
  <c r="AZ531" i="92"/>
  <c r="AV669" i="92"/>
  <c r="AS402" i="92"/>
  <c r="AI531" i="92"/>
  <c r="AQ681" i="92"/>
  <c r="AJ299" i="92"/>
  <c r="AR128" i="92"/>
  <c r="AI420" i="92"/>
  <c r="AU545" i="92"/>
  <c r="AS653" i="92"/>
  <c r="AV83" i="92"/>
  <c r="AQ408" i="92"/>
  <c r="AO287" i="92"/>
  <c r="AI91" i="92"/>
  <c r="AT132" i="92"/>
  <c r="AQ365" i="92"/>
  <c r="AQ532" i="92"/>
  <c r="AU361" i="92"/>
  <c r="BA155" i="92"/>
  <c r="BA486" i="92"/>
  <c r="AL130" i="92"/>
  <c r="AW130" i="92"/>
  <c r="AJ677" i="92"/>
  <c r="AU677" i="92"/>
  <c r="AU401" i="92"/>
  <c r="AS725" i="92"/>
  <c r="AZ376" i="92"/>
  <c r="AZ144" i="92"/>
  <c r="AI509" i="92"/>
  <c r="AR506" i="92"/>
  <c r="AS430" i="92"/>
  <c r="AK170" i="92"/>
  <c r="AS736" i="92"/>
  <c r="AS677" i="92"/>
  <c r="AT698" i="92"/>
  <c r="AO322" i="92"/>
  <c r="AF470" i="92"/>
  <c r="AQ56" i="92"/>
  <c r="AZ525" i="92"/>
  <c r="AU470" i="92"/>
  <c r="AU732" i="92"/>
  <c r="AT454" i="92"/>
  <c r="AQ299" i="92"/>
  <c r="AZ440" i="92"/>
  <c r="AF742" i="92"/>
  <c r="AS434" i="92"/>
  <c r="AI559" i="92"/>
  <c r="AK274" i="92"/>
  <c r="BA714" i="92"/>
  <c r="AQ402" i="92"/>
  <c r="AV157" i="92"/>
  <c r="BA275" i="92"/>
  <c r="AK345" i="92"/>
  <c r="AT535" i="92"/>
  <c r="AF142" i="92"/>
  <c r="AQ613" i="92"/>
  <c r="AF613" i="92"/>
  <c r="AN512" i="92"/>
  <c r="AY512" i="92"/>
  <c r="AX751" i="92"/>
  <c r="AM751" i="92"/>
  <c r="AY216" i="92"/>
  <c r="AN216" i="92"/>
  <c r="AI570" i="92"/>
  <c r="AT570" i="92"/>
  <c r="AU387" i="92"/>
  <c r="AU610" i="92"/>
  <c r="AQ683" i="92"/>
  <c r="AO61" i="92"/>
  <c r="AZ471" i="92"/>
  <c r="AZ45" i="92"/>
  <c r="AO52" i="92"/>
  <c r="AU494" i="92"/>
  <c r="AS475" i="92"/>
  <c r="AQ581" i="92"/>
  <c r="AQ714" i="92"/>
  <c r="AS424" i="92"/>
  <c r="AQ404" i="92"/>
  <c r="AQ485" i="92"/>
  <c r="AU708" i="92"/>
  <c r="AU383" i="92"/>
  <c r="AO411" i="92"/>
  <c r="AI414" i="92"/>
  <c r="AU431" i="92"/>
  <c r="AV69" i="92"/>
  <c r="AQ419" i="92"/>
  <c r="AS554" i="92"/>
  <c r="AT527" i="92"/>
  <c r="AP259" i="92"/>
  <c r="AU714" i="92"/>
  <c r="AG404" i="92"/>
  <c r="AF155" i="92"/>
  <c r="BA203" i="92"/>
  <c r="AT128" i="92"/>
  <c r="AK607" i="92"/>
  <c r="AF187" i="92"/>
  <c r="AK643" i="92"/>
  <c r="AS700" i="92"/>
  <c r="AP514" i="92"/>
  <c r="AU344" i="92"/>
  <c r="AJ377" i="92"/>
  <c r="AP428" i="92"/>
  <c r="AY689" i="92"/>
  <c r="AW211" i="92"/>
  <c r="AL211" i="92"/>
  <c r="AW599" i="92"/>
  <c r="AL599" i="92"/>
  <c r="AX340" i="92"/>
  <c r="AM340" i="92"/>
  <c r="AQ442" i="92"/>
  <c r="AF442" i="92"/>
  <c r="AV544" i="92"/>
  <c r="AO562" i="92"/>
  <c r="AZ315" i="92"/>
  <c r="AQ518" i="92"/>
  <c r="AU706" i="92"/>
  <c r="AZ242" i="92"/>
  <c r="AQ565" i="92"/>
  <c r="AV419" i="92"/>
  <c r="AQ603" i="92"/>
  <c r="AT659" i="92"/>
  <c r="AV84" i="92"/>
  <c r="AS529" i="92"/>
  <c r="AQ138" i="92"/>
  <c r="BA196" i="92"/>
  <c r="AK456" i="92"/>
  <c r="AU247" i="92"/>
  <c r="BA285" i="92"/>
  <c r="AH214" i="92"/>
  <c r="AO540" i="92"/>
  <c r="AV721" i="92"/>
  <c r="AO469" i="92"/>
  <c r="AI74" i="92"/>
  <c r="AU648" i="92"/>
  <c r="AI334" i="92"/>
  <c r="AP695" i="92"/>
  <c r="AI440" i="92"/>
  <c r="AQ264" i="92"/>
  <c r="BA700" i="92"/>
  <c r="AQ501" i="92"/>
  <c r="AF755" i="92"/>
  <c r="BA350" i="92"/>
  <c r="AS348" i="92"/>
  <c r="AH326" i="92"/>
  <c r="AK204" i="92"/>
  <c r="AJ376" i="92"/>
  <c r="AZ353" i="92"/>
  <c r="AO353" i="92"/>
  <c r="AZ737" i="92"/>
  <c r="AO737" i="92"/>
  <c r="AZ342" i="92"/>
  <c r="AO342" i="92"/>
  <c r="AY495" i="92"/>
  <c r="AN495" i="92"/>
  <c r="AY388" i="92"/>
  <c r="AN388" i="92"/>
  <c r="AN343" i="92"/>
  <c r="AY343" i="92"/>
  <c r="AN101" i="92"/>
  <c r="AY101" i="92"/>
  <c r="AR690" i="92"/>
  <c r="AR730" i="92"/>
  <c r="AS521" i="92"/>
  <c r="AH706" i="92"/>
  <c r="AS161" i="92"/>
  <c r="AS264" i="92"/>
  <c r="AF229" i="92"/>
  <c r="AT387" i="92"/>
  <c r="AT608" i="92"/>
  <c r="AO700" i="92"/>
  <c r="AG294" i="92"/>
  <c r="AQ523" i="92"/>
  <c r="AP226" i="92"/>
  <c r="AT416" i="92"/>
  <c r="AQ204" i="92"/>
  <c r="BA500" i="92"/>
  <c r="AF282" i="92"/>
  <c r="AF271" i="92"/>
  <c r="AY677" i="92"/>
  <c r="AM313" i="92"/>
  <c r="AW640" i="92"/>
  <c r="AY722" i="92"/>
  <c r="AY654" i="92"/>
  <c r="AY531" i="92"/>
  <c r="BA707" i="92"/>
  <c r="AW82" i="92"/>
  <c r="AL82" i="92"/>
  <c r="AY393" i="92"/>
  <c r="AN393" i="92"/>
  <c r="AX651" i="92"/>
  <c r="AM651" i="92"/>
  <c r="AX337" i="92"/>
  <c r="AM337" i="92"/>
  <c r="AN520" i="92"/>
  <c r="AY520" i="92"/>
  <c r="AM62" i="92"/>
  <c r="AX62" i="92"/>
  <c r="AW354" i="92"/>
  <c r="AL354" i="92"/>
  <c r="AN550" i="92"/>
  <c r="AY550" i="92"/>
  <c r="AW482" i="92"/>
  <c r="AL482" i="92"/>
  <c r="AW185" i="92"/>
  <c r="AL185" i="92"/>
  <c r="AL596" i="92"/>
  <c r="AW596" i="92"/>
  <c r="AW653" i="92"/>
  <c r="AL653" i="92"/>
  <c r="AL544" i="92"/>
  <c r="AW544" i="92"/>
  <c r="AW470" i="92"/>
  <c r="AL470" i="92"/>
  <c r="AL157" i="92"/>
  <c r="AW157" i="92"/>
  <c r="AW572" i="92"/>
  <c r="AL572" i="92"/>
  <c r="AY330" i="92"/>
  <c r="AN330" i="92"/>
  <c r="AW383" i="92"/>
  <c r="AL383" i="92"/>
  <c r="AN222" i="92"/>
  <c r="AY222" i="92"/>
  <c r="AW437" i="92"/>
  <c r="AL437" i="92"/>
  <c r="AW351" i="92"/>
  <c r="AL351" i="92"/>
  <c r="AX370" i="92"/>
  <c r="AM370" i="92"/>
  <c r="AW334" i="92"/>
  <c r="AL334" i="92"/>
  <c r="AW361" i="92"/>
  <c r="AL361" i="92"/>
  <c r="AW378" i="92"/>
  <c r="AL378" i="92"/>
  <c r="AW77" i="92"/>
  <c r="AL77" i="92"/>
  <c r="AW369" i="92"/>
  <c r="AL369" i="92"/>
  <c r="AW520" i="92"/>
  <c r="AL520" i="92"/>
  <c r="AM542" i="92"/>
  <c r="AX542" i="92"/>
  <c r="AY662" i="92"/>
  <c r="AN662" i="92"/>
  <c r="AN349" i="92"/>
  <c r="AY349" i="92"/>
  <c r="AW399" i="92"/>
  <c r="AL399" i="92"/>
  <c r="AW537" i="92"/>
  <c r="AL537" i="92"/>
  <c r="AW309" i="92"/>
  <c r="AL309" i="92"/>
  <c r="AW76" i="92"/>
  <c r="AL76" i="92"/>
  <c r="AW172" i="92"/>
  <c r="AL172" i="92"/>
  <c r="AW466" i="92"/>
  <c r="AL466" i="92"/>
  <c r="AX650" i="92"/>
  <c r="AM650" i="92"/>
  <c r="AN644" i="92"/>
  <c r="AY644" i="92"/>
  <c r="AW391" i="92"/>
  <c r="AL391" i="92"/>
  <c r="AW342" i="92"/>
  <c r="AL342" i="92"/>
  <c r="AW310" i="92"/>
  <c r="AL310" i="92"/>
  <c r="AX300" i="92"/>
  <c r="AM300" i="92"/>
  <c r="AW402" i="92"/>
  <c r="AL402" i="92"/>
  <c r="AN79" i="92"/>
  <c r="AY79" i="92"/>
  <c r="AW698" i="92"/>
  <c r="AL698" i="92"/>
  <c r="AX251" i="92"/>
  <c r="AM251" i="92"/>
  <c r="AW421" i="92"/>
  <c r="AL421" i="92"/>
  <c r="AW299" i="92"/>
  <c r="AL299" i="92"/>
  <c r="AW541" i="92"/>
  <c r="AL541" i="92"/>
  <c r="AW189" i="92"/>
  <c r="AL189" i="92"/>
  <c r="AX623" i="92"/>
  <c r="AM623" i="92"/>
  <c r="AX383" i="92"/>
  <c r="AM383" i="92"/>
  <c r="AX719" i="92"/>
  <c r="AM719" i="92"/>
  <c r="AM186" i="92"/>
  <c r="AX186" i="92"/>
  <c r="AW506" i="92"/>
  <c r="AL506" i="92"/>
  <c r="AN129" i="92"/>
  <c r="AY129" i="92"/>
  <c r="AY668" i="92"/>
  <c r="AN668" i="92"/>
  <c r="AX679" i="92"/>
  <c r="AM679" i="92"/>
  <c r="AN297" i="92"/>
  <c r="AY297" i="92"/>
  <c r="AN138" i="92"/>
  <c r="AY138" i="92"/>
  <c r="AX230" i="92"/>
  <c r="AM230" i="92"/>
  <c r="AX613" i="92"/>
  <c r="AM613" i="92"/>
  <c r="AW306" i="92"/>
  <c r="AL306" i="92"/>
  <c r="AX437" i="92"/>
  <c r="AM437" i="92"/>
  <c r="AW727" i="92"/>
  <c r="AL727" i="92"/>
  <c r="AW75" i="92"/>
  <c r="AL75" i="92"/>
  <c r="AW754" i="92"/>
  <c r="AL754" i="92"/>
  <c r="AN87" i="92"/>
  <c r="AY87" i="92"/>
  <c r="AW725" i="92"/>
  <c r="AL725" i="92"/>
  <c r="AW180" i="92"/>
  <c r="AL180" i="92"/>
  <c r="AN605" i="92"/>
  <c r="AY605" i="92"/>
  <c r="AN109" i="92"/>
  <c r="AY109" i="92"/>
  <c r="AX57" i="92"/>
  <c r="AM57" i="92"/>
  <c r="AX634" i="92"/>
  <c r="AM634" i="92"/>
  <c r="AN582" i="92"/>
  <c r="AY582" i="92"/>
  <c r="AN246" i="92"/>
  <c r="AY246" i="92"/>
  <c r="AN259" i="92"/>
  <c r="AY259" i="92"/>
  <c r="AN628" i="92"/>
  <c r="AY628" i="92"/>
  <c r="AX467" i="92"/>
  <c r="AM467" i="92"/>
  <c r="AM665" i="92"/>
  <c r="AX665" i="92"/>
  <c r="AX373" i="92"/>
  <c r="AM373" i="92"/>
  <c r="AN504" i="92"/>
  <c r="AY504" i="92"/>
  <c r="AW57" i="92"/>
  <c r="AL57" i="92"/>
  <c r="AN223" i="92"/>
  <c r="AY223" i="92"/>
  <c r="AN749" i="92"/>
  <c r="AY749" i="92"/>
  <c r="AN368" i="92"/>
  <c r="AY368" i="92"/>
  <c r="AX674" i="92"/>
  <c r="AM674" i="92"/>
  <c r="AX172" i="92"/>
  <c r="AM172" i="92"/>
  <c r="AN738" i="92"/>
  <c r="AY738" i="92"/>
  <c r="AW170" i="92"/>
  <c r="AL170" i="92"/>
  <c r="AX295" i="92"/>
  <c r="AM295" i="92"/>
  <c r="AN69" i="92"/>
  <c r="AY69" i="92"/>
  <c r="AW112" i="92"/>
  <c r="AL112" i="92"/>
  <c r="AM569" i="92"/>
  <c r="AX569" i="92"/>
  <c r="AX129" i="92"/>
  <c r="AM129" i="92"/>
  <c r="AX439" i="92"/>
  <c r="AM439" i="92"/>
  <c r="AN105" i="92"/>
  <c r="AY105" i="92"/>
  <c r="AX486" i="92"/>
  <c r="AM486" i="92"/>
  <c r="AN165" i="92"/>
  <c r="AY165" i="92"/>
  <c r="AN235" i="92"/>
  <c r="AY235" i="92"/>
  <c r="AN527" i="92"/>
  <c r="AY527" i="92"/>
  <c r="AX231" i="92"/>
  <c r="AM231" i="92"/>
  <c r="AW150" i="92"/>
  <c r="AL150" i="92"/>
  <c r="AN488" i="92"/>
  <c r="AY488" i="92"/>
  <c r="AN75" i="92"/>
  <c r="AY75" i="92"/>
  <c r="AW90" i="92"/>
  <c r="AL90" i="92"/>
  <c r="AX364" i="92"/>
  <c r="AM364" i="92"/>
  <c r="AN627" i="92"/>
  <c r="AY627" i="92"/>
  <c r="AN727" i="92"/>
  <c r="AY727" i="92"/>
  <c r="AN84" i="92"/>
  <c r="AY84" i="92"/>
  <c r="AX154" i="92"/>
  <c r="AM154" i="92"/>
  <c r="AX170" i="92"/>
  <c r="AM170" i="92"/>
  <c r="AN269" i="92"/>
  <c r="AY269" i="92"/>
  <c r="AM58" i="92"/>
  <c r="AX58" i="92"/>
  <c r="AN711" i="92"/>
  <c r="AY711" i="92"/>
  <c r="AX420" i="92"/>
  <c r="AM420" i="92"/>
  <c r="AW312" i="92"/>
  <c r="AL312" i="92"/>
  <c r="AX551" i="92"/>
  <c r="AM551" i="92"/>
  <c r="AX514" i="92"/>
  <c r="AM514" i="92"/>
  <c r="AX243" i="92"/>
  <c r="AM243" i="92"/>
  <c r="AX333" i="92"/>
  <c r="AM333" i="92"/>
  <c r="AW295" i="92"/>
  <c r="AL295" i="92"/>
  <c r="AX241" i="92"/>
  <c r="AM241" i="92"/>
  <c r="AX214" i="92"/>
  <c r="AM214" i="92"/>
  <c r="AN298" i="92"/>
  <c r="AY298" i="92"/>
  <c r="AX732" i="92"/>
  <c r="AM732" i="92"/>
  <c r="AN308" i="92"/>
  <c r="AY308" i="92"/>
  <c r="AN600" i="92"/>
  <c r="AY600" i="92"/>
  <c r="AW551" i="92"/>
  <c r="AL551" i="92"/>
  <c r="AW80" i="92"/>
  <c r="AL80" i="92"/>
  <c r="AX325" i="92"/>
  <c r="AM325" i="92"/>
  <c r="AN85" i="92"/>
  <c r="AY85" i="92"/>
  <c r="AN437" i="92"/>
  <c r="AY437" i="92"/>
  <c r="AW91" i="92"/>
  <c r="AL91" i="92"/>
  <c r="AN117" i="92"/>
  <c r="AY117" i="92"/>
  <c r="AX101" i="92"/>
  <c r="AM101" i="92"/>
  <c r="AX44" i="92"/>
  <c r="AM44" i="92"/>
  <c r="AY556" i="92"/>
  <c r="AN556" i="92"/>
  <c r="AW100" i="92"/>
  <c r="AL100" i="92"/>
  <c r="AM41" i="92"/>
  <c r="AX41" i="92"/>
  <c r="AW358" i="92"/>
  <c r="AL358" i="92"/>
  <c r="AN35" i="92"/>
  <c r="AY35" i="92"/>
  <c r="AW31" i="92"/>
  <c r="AL31" i="92"/>
  <c r="AF477" i="92"/>
  <c r="AZ254" i="92"/>
  <c r="AO285" i="92"/>
  <c r="AZ505" i="92"/>
  <c r="AS662" i="92"/>
  <c r="AJ583" i="92"/>
  <c r="AQ424" i="92"/>
  <c r="AS762" i="92"/>
  <c r="AZ199" i="92"/>
  <c r="AY729" i="92"/>
  <c r="AY497" i="92"/>
  <c r="AL676" i="92"/>
  <c r="AY140" i="92"/>
  <c r="AY415" i="92"/>
  <c r="AW747" i="92"/>
  <c r="AL206" i="92"/>
  <c r="AX683" i="92"/>
  <c r="AL319" i="92"/>
  <c r="AM345" i="92"/>
  <c r="AY469" i="92"/>
  <c r="AL332" i="92"/>
  <c r="AN242" i="92"/>
  <c r="AY329" i="92"/>
  <c r="AW545" i="92"/>
  <c r="AL588" i="92"/>
  <c r="AO536" i="92"/>
  <c r="AZ228" i="92"/>
  <c r="AF563" i="92"/>
  <c r="AU483" i="92"/>
  <c r="AO706" i="92"/>
  <c r="AV749" i="92"/>
  <c r="AO107" i="92"/>
  <c r="AO177" i="92"/>
  <c r="AS562" i="92"/>
  <c r="AS399" i="92"/>
  <c r="AO151" i="92"/>
  <c r="AZ118" i="92"/>
  <c r="AQ725" i="92"/>
  <c r="AK666" i="92"/>
  <c r="AT707" i="92"/>
  <c r="AJ169" i="92"/>
  <c r="AV679" i="92"/>
  <c r="AM366" i="92"/>
  <c r="AY551" i="92"/>
  <c r="AL291" i="92"/>
  <c r="AN407" i="92"/>
  <c r="AW475" i="92"/>
  <c r="AN352" i="92"/>
  <c r="AM504" i="92"/>
  <c r="AY236" i="92"/>
  <c r="AY715" i="92"/>
  <c r="AX705" i="92"/>
  <c r="AW353" i="92"/>
  <c r="AL757" i="92"/>
  <c r="AM667" i="92"/>
  <c r="AX221" i="92"/>
  <c r="AM615" i="92"/>
  <c r="AX293" i="92"/>
  <c r="AM752" i="92"/>
  <c r="AM334" i="92"/>
  <c r="AU694" i="92"/>
  <c r="AL380" i="27"/>
  <c r="AJ731" i="92"/>
  <c r="AZ628" i="92"/>
  <c r="AV652" i="92"/>
  <c r="AT658" i="92"/>
  <c r="AZ532" i="92"/>
  <c r="AZ517" i="92"/>
  <c r="AO220" i="92"/>
  <c r="AX380" i="92"/>
  <c r="AY59" i="92"/>
  <c r="AM53" i="92"/>
  <c r="AY337" i="92"/>
  <c r="AW120" i="92"/>
  <c r="AY741" i="92"/>
  <c r="AM173" i="92"/>
  <c r="AN394" i="92"/>
  <c r="AL697" i="92"/>
  <c r="AY606" i="92"/>
  <c r="AX550" i="92"/>
  <c r="AL216" i="92"/>
  <c r="AL52" i="92"/>
  <c r="AX456" i="92"/>
  <c r="AM533" i="92"/>
  <c r="AN62" i="92"/>
  <c r="AN612" i="92"/>
  <c r="AY29" i="92"/>
  <c r="AY405" i="92"/>
  <c r="AL463" i="92"/>
  <c r="AY435" i="92"/>
  <c r="AY540" i="92"/>
  <c r="AL710" i="92"/>
  <c r="AQ490" i="92"/>
  <c r="AS510" i="92"/>
  <c r="AO552" i="92"/>
  <c r="AQ491" i="92"/>
  <c r="AQ473" i="92"/>
  <c r="AI674" i="92"/>
  <c r="AZ590" i="92"/>
  <c r="AS704" i="92"/>
  <c r="AT546" i="92"/>
  <c r="AU726" i="92"/>
  <c r="AZ605" i="92"/>
  <c r="AZ308" i="92"/>
  <c r="AO340" i="92"/>
  <c r="AU684" i="92"/>
  <c r="AO690" i="92"/>
  <c r="AZ494" i="92"/>
  <c r="AJ532" i="92"/>
  <c r="AS519" i="92"/>
  <c r="AW321" i="92"/>
  <c r="AX631" i="92"/>
  <c r="AW456" i="92"/>
  <c r="AL103" i="92"/>
  <c r="AN43" i="92"/>
  <c r="AY188" i="92"/>
  <c r="AM472" i="92"/>
  <c r="AN631" i="92"/>
  <c r="AN620" i="92"/>
  <c r="AL750" i="92"/>
  <c r="AN37" i="92"/>
  <c r="AW394" i="92"/>
  <c r="AK529" i="92"/>
  <c r="AF614" i="92"/>
  <c r="AZ666" i="92"/>
  <c r="AV566" i="92"/>
  <c r="AI522" i="92"/>
  <c r="AU614" i="92"/>
  <c r="AK686" i="92"/>
  <c r="AT474" i="92"/>
  <c r="AQ756" i="92"/>
  <c r="AJ678" i="92"/>
  <c r="AX386" i="92"/>
  <c r="AX245" i="92"/>
  <c r="AN221" i="92"/>
  <c r="AW372" i="92"/>
  <c r="AX199" i="92"/>
  <c r="AM606" i="92"/>
  <c r="AX526" i="92"/>
  <c r="AW693" i="92"/>
  <c r="AL347" i="92"/>
  <c r="AL214" i="92"/>
  <c r="AY167" i="92"/>
  <c r="AX234" i="92"/>
  <c r="AM503" i="92"/>
  <c r="AO429" i="92"/>
  <c r="AQ667" i="92"/>
  <c r="AO69" i="92"/>
  <c r="AZ361" i="92"/>
  <c r="AO138" i="92"/>
  <c r="AF514" i="92"/>
  <c r="AZ275" i="92"/>
  <c r="AZ617" i="92"/>
  <c r="AO164" i="92"/>
  <c r="AO326" i="92"/>
  <c r="AO418" i="92"/>
  <c r="AV730" i="92"/>
  <c r="AU557" i="92"/>
  <c r="AS611" i="92"/>
  <c r="AZ655" i="92"/>
  <c r="AS354" i="92"/>
  <c r="AV66" i="92"/>
  <c r="AM544" i="92"/>
  <c r="AN277" i="92"/>
  <c r="AW729" i="92"/>
  <c r="AY401" i="92"/>
  <c r="AM619" i="92"/>
  <c r="AN385" i="92"/>
  <c r="AL598" i="92"/>
  <c r="AY54" i="92"/>
  <c r="AM611" i="92"/>
  <c r="AN441" i="92"/>
  <c r="AM518" i="92"/>
  <c r="AM671" i="92"/>
  <c r="AW602" i="92"/>
  <c r="AW390" i="92"/>
  <c r="AX574" i="92"/>
  <c r="AN517" i="92"/>
  <c r="AW744" i="92"/>
  <c r="AQ451" i="92"/>
  <c r="AY434" i="92"/>
  <c r="AL679" i="92"/>
  <c r="AL522" i="92"/>
  <c r="AW739" i="92"/>
  <c r="AL107" i="92"/>
  <c r="AY471" i="92"/>
  <c r="AN302" i="92"/>
  <c r="AM458" i="92"/>
  <c r="AW702" i="92"/>
  <c r="AM158" i="92"/>
  <c r="AN544" i="92"/>
  <c r="AW95" i="92"/>
  <c r="AN276" i="92"/>
  <c r="AM521" i="92"/>
  <c r="AW29" i="92"/>
  <c r="AX630" i="92"/>
  <c r="AN50" i="92"/>
  <c r="AM352" i="92"/>
  <c r="AM395" i="92"/>
  <c r="AL730" i="92"/>
  <c r="AX336" i="92"/>
  <c r="AM741" i="92"/>
  <c r="AR401" i="92"/>
  <c r="AR99" i="92"/>
  <c r="AR627" i="92"/>
  <c r="AR347" i="92"/>
  <c r="AG735" i="92"/>
  <c r="AG148" i="92"/>
  <c r="AG269" i="92"/>
  <c r="AG277" i="92"/>
  <c r="AR201" i="92"/>
  <c r="AG168" i="92"/>
  <c r="AG382" i="92"/>
  <c r="AR203" i="92"/>
  <c r="AR694" i="92"/>
  <c r="AR633" i="92"/>
  <c r="AG625" i="92"/>
  <c r="AG653" i="92"/>
  <c r="AR502" i="92"/>
  <c r="AG590" i="92"/>
  <c r="AR564" i="92"/>
  <c r="AR485" i="92"/>
  <c r="AG367" i="92"/>
  <c r="AG445" i="92"/>
  <c r="AR378" i="92"/>
  <c r="AR574" i="92"/>
  <c r="AG595" i="92"/>
  <c r="AR650" i="92"/>
  <c r="AG194" i="92"/>
  <c r="AR395" i="92"/>
  <c r="AG704" i="92"/>
  <c r="AG656" i="92"/>
  <c r="AR634" i="92"/>
  <c r="AR644" i="92"/>
  <c r="AR231" i="92"/>
  <c r="AR311" i="92"/>
  <c r="AG666" i="92"/>
  <c r="AG612" i="92"/>
  <c r="AG602" i="92"/>
  <c r="AR331" i="92"/>
  <c r="AR631" i="92"/>
  <c r="AG100" i="92"/>
  <c r="AG453" i="92"/>
  <c r="AR351" i="92"/>
  <c r="AG226" i="92"/>
  <c r="AG355" i="92"/>
  <c r="AR703" i="92"/>
  <c r="AR458" i="92"/>
  <c r="AR180" i="92"/>
  <c r="AR332" i="92"/>
  <c r="AR657" i="92"/>
  <c r="AR487" i="92"/>
  <c r="AR464" i="92"/>
  <c r="AR651" i="92"/>
  <c r="AR310" i="92"/>
  <c r="AR333" i="92"/>
  <c r="AR84" i="92"/>
  <c r="AR346" i="92"/>
  <c r="AG443" i="92"/>
  <c r="AG399" i="92"/>
  <c r="AR715" i="92"/>
  <c r="AR93" i="92"/>
  <c r="AG189" i="92"/>
  <c r="AR349" i="92"/>
  <c r="AG262" i="92"/>
  <c r="AR400" i="92"/>
  <c r="AL306" i="27"/>
  <c r="AG335" i="92"/>
  <c r="AG260" i="92"/>
  <c r="AG673" i="92"/>
  <c r="AG206" i="92"/>
  <c r="AG114" i="92"/>
  <c r="AR158" i="92"/>
  <c r="AG300" i="92"/>
  <c r="AR37" i="92"/>
  <c r="AG272" i="92"/>
  <c r="AR341" i="92"/>
  <c r="AR87" i="92"/>
  <c r="AG287" i="92"/>
  <c r="AR374" i="92"/>
  <c r="AR702" i="92"/>
  <c r="AG198" i="92"/>
  <c r="AG424" i="92"/>
  <c r="AG185" i="92"/>
  <c r="AR185" i="92"/>
  <c r="AF745" i="92"/>
  <c r="AQ745" i="92"/>
  <c r="AP245" i="92"/>
  <c r="BA245" i="92"/>
  <c r="AG372" i="92"/>
  <c r="AR372" i="92"/>
  <c r="BA225" i="92"/>
  <c r="AP225" i="92"/>
  <c r="AG116" i="92"/>
  <c r="AR116" i="92"/>
  <c r="AJ612" i="92"/>
  <c r="AU612" i="92"/>
  <c r="AQ338" i="92"/>
  <c r="AF338" i="92"/>
  <c r="AQ217" i="92"/>
  <c r="AF217" i="92"/>
  <c r="AG239" i="92"/>
  <c r="AR239" i="92"/>
  <c r="AS244" i="92"/>
  <c r="AH244" i="92"/>
  <c r="AJ371" i="92"/>
  <c r="AU371" i="92"/>
  <c r="AJ339" i="92"/>
  <c r="AU339" i="92"/>
  <c r="AJ575" i="92"/>
  <c r="AU575" i="92"/>
  <c r="AG663" i="92"/>
  <c r="AR663" i="92"/>
  <c r="AV286" i="92"/>
  <c r="AK286" i="92"/>
  <c r="AQ352" i="92"/>
  <c r="AF352" i="92"/>
  <c r="AH630" i="92"/>
  <c r="AS630" i="92"/>
  <c r="AV448" i="92"/>
  <c r="AK448" i="92"/>
  <c r="AI204" i="92"/>
  <c r="AT204" i="92"/>
  <c r="AP376" i="92"/>
  <c r="BA376" i="92"/>
  <c r="AK719" i="92"/>
  <c r="AV719" i="92"/>
  <c r="AK517" i="92"/>
  <c r="AV517" i="92"/>
  <c r="AS465" i="92"/>
  <c r="AH465" i="92"/>
  <c r="AR578" i="92"/>
  <c r="AG578" i="92"/>
  <c r="AV291" i="92"/>
  <c r="AK291" i="92"/>
  <c r="AR330" i="92"/>
  <c r="AG330" i="92"/>
  <c r="AH495" i="92"/>
  <c r="AS495" i="92"/>
  <c r="AU472" i="92"/>
  <c r="AJ472" i="92"/>
  <c r="AK401" i="92"/>
  <c r="AV401" i="92"/>
  <c r="AP704" i="92"/>
  <c r="BA704" i="92"/>
  <c r="AQ83" i="92"/>
  <c r="AF83" i="92"/>
  <c r="AI67" i="92"/>
  <c r="AT67" i="92"/>
  <c r="AO114" i="92"/>
  <c r="AZ114" i="92"/>
  <c r="AL488" i="27" s="1"/>
  <c r="AJ696" i="92"/>
  <c r="AU696" i="92"/>
  <c r="AG407" i="92"/>
  <c r="AR407" i="92"/>
  <c r="AV716" i="92"/>
  <c r="AK716" i="92"/>
  <c r="AQ543" i="92"/>
  <c r="AF543" i="92"/>
  <c r="AJ503" i="92"/>
  <c r="AU503" i="92"/>
  <c r="AQ92" i="92"/>
  <c r="AF92" i="92"/>
  <c r="AH310" i="92"/>
  <c r="AS310" i="92"/>
  <c r="AG53" i="92"/>
  <c r="AR53" i="92"/>
  <c r="AJ477" i="92"/>
  <c r="AU477" i="92"/>
  <c r="AF147" i="92"/>
  <c r="AQ147" i="92"/>
  <c r="AG683" i="92"/>
  <c r="AR683" i="92"/>
  <c r="AF132" i="92"/>
  <c r="AQ132" i="92"/>
  <c r="AU93" i="92"/>
  <c r="AJ93" i="92"/>
  <c r="AF274" i="92"/>
  <c r="AQ274" i="92"/>
  <c r="AJ89" i="92"/>
  <c r="AU89" i="92"/>
  <c r="AH241" i="92"/>
  <c r="AS241" i="92"/>
  <c r="AG491" i="92"/>
  <c r="AR491" i="92"/>
  <c r="AJ257" i="92"/>
  <c r="AU257" i="92"/>
  <c r="AK390" i="92"/>
  <c r="AV390" i="92"/>
  <c r="AV123" i="92"/>
  <c r="AP673" i="92"/>
  <c r="AV227" i="92"/>
  <c r="AH367" i="92"/>
  <c r="AU161" i="92"/>
  <c r="AQ737" i="92"/>
  <c r="AF737" i="92"/>
  <c r="AI693" i="92"/>
  <c r="AT693" i="92"/>
  <c r="AN38" i="92"/>
  <c r="AY38" i="92"/>
  <c r="AK413" i="92"/>
  <c r="AV413" i="92"/>
  <c r="AK251" i="92"/>
  <c r="AV251" i="92"/>
  <c r="AQ148" i="92"/>
  <c r="AF148" i="92"/>
  <c r="AI259" i="92"/>
  <c r="AT259" i="92"/>
  <c r="AJ307" i="92"/>
  <c r="AU307" i="92"/>
  <c r="AS353" i="92"/>
  <c r="AH353" i="92"/>
  <c r="AQ207" i="92"/>
  <c r="AF207" i="92"/>
  <c r="AS588" i="92"/>
  <c r="AH588" i="92"/>
  <c r="AK299" i="92"/>
  <c r="AV299" i="92"/>
  <c r="AI90" i="92"/>
  <c r="AT90" i="92"/>
  <c r="AF370" i="92"/>
  <c r="AQ370" i="92"/>
  <c r="AJ504" i="92"/>
  <c r="AU504" i="92"/>
  <c r="AK550" i="92"/>
  <c r="AT480" i="92"/>
  <c r="AK98" i="92"/>
  <c r="AG426" i="92"/>
  <c r="AT379" i="92"/>
  <c r="AQ170" i="92"/>
  <c r="AS270" i="92"/>
  <c r="AS431" i="92"/>
  <c r="AR208" i="92"/>
  <c r="AK608" i="92"/>
  <c r="AS149" i="92"/>
  <c r="AP753" i="92"/>
  <c r="AU525" i="92"/>
  <c r="AJ525" i="92"/>
  <c r="AH560" i="92"/>
  <c r="AS560" i="92"/>
  <c r="AO28" i="92"/>
  <c r="AZ28" i="92"/>
  <c r="AJ413" i="92"/>
  <c r="AU413" i="92"/>
  <c r="AQ645" i="92"/>
  <c r="AF645" i="92"/>
  <c r="AQ195" i="92"/>
  <c r="AF195" i="92"/>
  <c r="AG718" i="92"/>
  <c r="AR718" i="92"/>
  <c r="AG548" i="92"/>
  <c r="AR548" i="92"/>
  <c r="AX30" i="92"/>
  <c r="AM30" i="92"/>
  <c r="AG144" i="92"/>
  <c r="AR144" i="92"/>
  <c r="AK416" i="92"/>
  <c r="AV416" i="92"/>
  <c r="AI45" i="92"/>
  <c r="AT45" i="92"/>
  <c r="AR105" i="92"/>
  <c r="AG105" i="92"/>
  <c r="AR88" i="92"/>
  <c r="AG88" i="92"/>
  <c r="AH266" i="92"/>
  <c r="AS266" i="92"/>
  <c r="AH624" i="92"/>
  <c r="AS624" i="92"/>
  <c r="AU448" i="92"/>
  <c r="AJ448" i="92"/>
  <c r="AI349" i="92"/>
  <c r="AT349" i="92"/>
  <c r="AK316" i="92"/>
  <c r="AV316" i="92"/>
  <c r="AS101" i="92"/>
  <c r="AH101" i="92"/>
  <c r="AT125" i="92"/>
  <c r="AI125" i="92"/>
  <c r="BA205" i="92"/>
  <c r="AP205" i="92"/>
  <c r="AK552" i="92"/>
  <c r="AJ435" i="92"/>
  <c r="AG533" i="92"/>
  <c r="AT680" i="92"/>
  <c r="AQ300" i="92"/>
  <c r="AV97" i="92"/>
  <c r="AG493" i="92"/>
  <c r="AR604" i="92"/>
  <c r="AG163" i="92"/>
  <c r="AQ376" i="92"/>
  <c r="AJ642" i="92"/>
  <c r="AJ256" i="92"/>
  <c r="AQ93" i="92"/>
  <c r="AI576" i="92"/>
  <c r="AH334" i="92"/>
  <c r="AF280" i="92"/>
  <c r="AZ633" i="92"/>
  <c r="AQ97" i="92"/>
  <c r="AQ286" i="92"/>
  <c r="AO374" i="92"/>
  <c r="AZ374" i="92"/>
  <c r="AQ670" i="92"/>
  <c r="AF670" i="92"/>
  <c r="AV741" i="92"/>
  <c r="AK741" i="92"/>
  <c r="AZ132" i="92"/>
  <c r="AO132" i="92"/>
  <c r="AH451" i="92"/>
  <c r="AS451" i="92"/>
  <c r="AG421" i="92"/>
  <c r="AR421" i="92"/>
  <c r="AJ511" i="92"/>
  <c r="AU511" i="92"/>
  <c r="AF137" i="92"/>
  <c r="AQ137" i="92"/>
  <c r="AR512" i="92"/>
  <c r="AG512" i="92"/>
  <c r="AH89" i="92"/>
  <c r="AS89" i="92"/>
  <c r="AI130" i="92"/>
  <c r="AT130" i="92"/>
  <c r="AF163" i="92"/>
  <c r="AQ163" i="92"/>
  <c r="AH234" i="92"/>
  <c r="AS234" i="92"/>
  <c r="AV435" i="92"/>
  <c r="AK435" i="92"/>
  <c r="AS338" i="92"/>
  <c r="AH338" i="92"/>
  <c r="AG468" i="92"/>
  <c r="AR468" i="92"/>
  <c r="AT551" i="92"/>
  <c r="AI551" i="92"/>
  <c r="AK184" i="92"/>
  <c r="AV184" i="92"/>
  <c r="AF174" i="92"/>
  <c r="AQ174" i="92"/>
  <c r="AT339" i="92"/>
  <c r="AI339" i="92"/>
  <c r="AH212" i="92"/>
  <c r="AS212" i="92"/>
  <c r="AV432" i="92"/>
  <c r="AK432" i="92"/>
  <c r="AS121" i="92"/>
  <c r="AH121" i="92"/>
  <c r="AR410" i="92"/>
  <c r="AJ433" i="92"/>
  <c r="AF552" i="92"/>
  <c r="AU564" i="92"/>
  <c r="AU226" i="92"/>
  <c r="AG173" i="92"/>
  <c r="AT245" i="92"/>
  <c r="AF305" i="92"/>
  <c r="AF239" i="92"/>
  <c r="BA493" i="92"/>
  <c r="AJ415" i="92"/>
  <c r="AO701" i="92"/>
  <c r="AZ701" i="92"/>
  <c r="AR675" i="92"/>
  <c r="AG675" i="92"/>
  <c r="AG295" i="92"/>
  <c r="AR295" i="92"/>
  <c r="AG727" i="92"/>
  <c r="AR727" i="92"/>
  <c r="AK571" i="92"/>
  <c r="AV571" i="92"/>
  <c r="AI345" i="92"/>
  <c r="AT345" i="92"/>
  <c r="AQ585" i="92"/>
  <c r="AF585" i="92"/>
  <c r="AS490" i="92"/>
  <c r="AH490" i="92"/>
  <c r="AP371" i="92"/>
  <c r="BA371" i="92"/>
  <c r="AH83" i="92"/>
  <c r="AS83" i="92"/>
  <c r="BA663" i="92"/>
  <c r="AP663" i="92"/>
  <c r="AU552" i="92"/>
  <c r="AJ552" i="92"/>
  <c r="AK260" i="92"/>
  <c r="AV260" i="92"/>
  <c r="BA351" i="92"/>
  <c r="AP351" i="92"/>
  <c r="AZ725" i="92"/>
  <c r="AV301" i="92"/>
  <c r="AI464" i="92"/>
  <c r="AZ412" i="92"/>
  <c r="AV580" i="92"/>
  <c r="AS515" i="92"/>
  <c r="AK347" i="92"/>
  <c r="AO662" i="92"/>
  <c r="AK585" i="92"/>
  <c r="AQ602" i="92"/>
  <c r="AK154" i="92"/>
  <c r="AT371" i="92"/>
  <c r="AF306" i="92"/>
  <c r="AV234" i="92"/>
  <c r="AQ697" i="92"/>
  <c r="AF697" i="92"/>
  <c r="AF549" i="92"/>
  <c r="AQ549" i="92"/>
  <c r="AH406" i="92"/>
  <c r="AS406" i="92"/>
  <c r="AJ547" i="92"/>
  <c r="AU547" i="92"/>
  <c r="AQ498" i="92"/>
  <c r="AF498" i="92"/>
  <c r="AU739" i="92"/>
  <c r="AJ739" i="92"/>
  <c r="AQ223" i="92"/>
  <c r="AF223" i="92"/>
  <c r="AV114" i="92"/>
  <c r="AK114" i="92"/>
  <c r="AK475" i="92"/>
  <c r="AV475" i="92"/>
  <c r="AP312" i="92"/>
  <c r="BA312" i="92"/>
  <c r="AV344" i="92"/>
  <c r="AK344" i="92"/>
  <c r="AI192" i="92"/>
  <c r="AT192" i="92"/>
  <c r="AP207" i="92"/>
  <c r="BA207" i="92"/>
  <c r="AH53" i="92"/>
  <c r="AS53" i="92"/>
  <c r="BA342" i="92"/>
  <c r="AP342" i="92"/>
  <c r="AG370" i="92"/>
  <c r="AR370" i="92"/>
  <c r="AU543" i="92"/>
  <c r="AJ543" i="92"/>
  <c r="AH429" i="92"/>
  <c r="AG616" i="92"/>
  <c r="AU640" i="92"/>
  <c r="AV569" i="92"/>
  <c r="AH298" i="92"/>
  <c r="AT231" i="92"/>
  <c r="AR376" i="92"/>
  <c r="BA200" i="92"/>
  <c r="AT346" i="92"/>
  <c r="AS695" i="92"/>
  <c r="AI105" i="92"/>
  <c r="AF199" i="92"/>
  <c r="AH224" i="92"/>
  <c r="AJ219" i="92"/>
  <c r="AJ761" i="92"/>
  <c r="AO753" i="92"/>
  <c r="AS113" i="92"/>
  <c r="AU679" i="92"/>
  <c r="AR396" i="92"/>
  <c r="AI554" i="92"/>
  <c r="AT554" i="92"/>
  <c r="AS188" i="92"/>
  <c r="AH188" i="92"/>
  <c r="AU650" i="92"/>
  <c r="AI668" i="92"/>
  <c r="AO449" i="92"/>
  <c r="AJ463" i="92"/>
  <c r="AQ668" i="92"/>
  <c r="AS650" i="92"/>
  <c r="AG667" i="92"/>
  <c r="BA375" i="92"/>
  <c r="AJ231" i="92"/>
  <c r="AT99" i="92"/>
  <c r="AG101" i="92"/>
  <c r="AL44" i="92"/>
  <c r="AY429" i="92"/>
  <c r="AM244" i="92"/>
  <c r="AL471" i="92"/>
  <c r="AL60" i="92"/>
  <c r="AL258" i="92"/>
  <c r="AM209" i="92"/>
  <c r="AY468" i="92"/>
  <c r="AL609" i="92"/>
  <c r="AN180" i="92"/>
  <c r="AL177" i="92"/>
  <c r="AM445" i="92"/>
  <c r="AL264" i="92"/>
  <c r="AY421" i="92"/>
  <c r="AM328" i="92"/>
  <c r="AY716" i="92"/>
  <c r="AN58" i="92"/>
  <c r="AW610" i="92"/>
  <c r="AN267" i="92"/>
  <c r="AM545" i="92"/>
  <c r="AM506" i="92"/>
  <c r="AW607" i="92"/>
  <c r="AU567" i="92"/>
  <c r="AZ368" i="92"/>
  <c r="AL48" i="92"/>
  <c r="AY270" i="92"/>
  <c r="AW694" i="92"/>
  <c r="AM535" i="92"/>
  <c r="AL326" i="92"/>
  <c r="AL388" i="92"/>
  <c r="AX687" i="92"/>
  <c r="AJ512" i="92"/>
  <c r="AU676" i="92"/>
  <c r="AQ542" i="92"/>
  <c r="AZ349" i="92"/>
  <c r="AZ749" i="92"/>
  <c r="AO187" i="92"/>
  <c r="AF445" i="92"/>
  <c r="AZ298" i="92"/>
  <c r="AZ101" i="92"/>
  <c r="AT673" i="92"/>
  <c r="AG652" i="92"/>
  <c r="AT469" i="92"/>
  <c r="AZ445" i="92"/>
  <c r="AZ389" i="92"/>
  <c r="AZ676" i="92"/>
  <c r="AM309" i="92"/>
  <c r="AN118" i="92"/>
  <c r="AL110" i="92"/>
  <c r="AY190" i="92"/>
  <c r="AW524" i="92"/>
  <c r="AW386" i="92"/>
  <c r="AN518" i="92"/>
  <c r="AO115" i="92"/>
  <c r="AO417" i="92"/>
  <c r="AU645" i="92"/>
  <c r="AS733" i="92"/>
  <c r="AR406" i="92"/>
  <c r="AG531" i="92"/>
  <c r="AL453" i="92"/>
  <c r="AY478" i="92"/>
  <c r="AL581" i="92"/>
  <c r="AL302" i="92"/>
  <c r="AX684" i="92"/>
  <c r="AJ654" i="92"/>
  <c r="AS747" i="92"/>
  <c r="AO369" i="92"/>
  <c r="AZ290" i="92"/>
  <c r="AT518" i="92"/>
  <c r="AV711" i="92"/>
  <c r="AZ106" i="92"/>
  <c r="AI544" i="92"/>
  <c r="AI526" i="92"/>
  <c r="AZ632" i="92"/>
  <c r="AJ644" i="92"/>
  <c r="AO607" i="92"/>
  <c r="AL604" i="92"/>
  <c r="AM422" i="92"/>
  <c r="AY572" i="92"/>
  <c r="AL234" i="92"/>
  <c r="AN260" i="92"/>
  <c r="AY577" i="92"/>
  <c r="AX523" i="92"/>
  <c r="AM717" i="92"/>
  <c r="AH692" i="92"/>
  <c r="AZ117" i="92"/>
  <c r="AZ303" i="92"/>
  <c r="AZ716" i="92"/>
  <c r="AZ736" i="92"/>
  <c r="AR739" i="92"/>
  <c r="AJ524" i="92"/>
  <c r="AZ588" i="92"/>
  <c r="AO192" i="92"/>
  <c r="AL161" i="92"/>
  <c r="AL569" i="92"/>
  <c r="AL716" i="92"/>
  <c r="AY476" i="92"/>
  <c r="AL190" i="92"/>
  <c r="AW556" i="92"/>
  <c r="AX354" i="92"/>
  <c r="AL550" i="92"/>
  <c r="AY597" i="92"/>
  <c r="AI676" i="92"/>
  <c r="AO743" i="92"/>
  <c r="AZ398" i="92"/>
  <c r="AG732" i="92"/>
  <c r="AL516" i="92"/>
  <c r="AL79" i="92"/>
  <c r="AM256" i="92"/>
  <c r="AL646" i="92"/>
  <c r="AL614" i="92"/>
  <c r="AW492" i="92"/>
  <c r="AW374" i="92"/>
  <c r="AL155" i="92"/>
  <c r="AL65" i="27"/>
  <c r="AU685" i="92"/>
  <c r="AZ657" i="92"/>
  <c r="AY763" i="92"/>
  <c r="AL726" i="92"/>
  <c r="AM676" i="92"/>
  <c r="AL711" i="92"/>
  <c r="AN132" i="92"/>
  <c r="AL740" i="92"/>
  <c r="AM265" i="92"/>
  <c r="AM543" i="92"/>
  <c r="AY168" i="92"/>
  <c r="AM174" i="92"/>
  <c r="AY160" i="92"/>
  <c r="AL141" i="92"/>
  <c r="AY193" i="92"/>
  <c r="AL497" i="92"/>
  <c r="AL724" i="92"/>
  <c r="AL187" i="92"/>
  <c r="AL748" i="92"/>
  <c r="AL259" i="92"/>
  <c r="AL582" i="92"/>
  <c r="AM498" i="92"/>
  <c r="AN356" i="92"/>
  <c r="AM259" i="92"/>
  <c r="AM181" i="92"/>
  <c r="AL630" i="92"/>
  <c r="AY742" i="92"/>
  <c r="AL501" i="92"/>
  <c r="AW531" i="92"/>
  <c r="AL125" i="92"/>
  <c r="AL674" i="92"/>
  <c r="AW420" i="92"/>
  <c r="AZ486" i="92"/>
  <c r="AY248" i="92"/>
  <c r="AW106" i="92"/>
  <c r="AL637" i="92"/>
  <c r="AX527" i="92"/>
  <c r="AZ559" i="92"/>
  <c r="AM673" i="92"/>
  <c r="AX580" i="92"/>
  <c r="AY466" i="92"/>
  <c r="AS690" i="92"/>
  <c r="AG688" i="92"/>
  <c r="AJ484" i="92"/>
  <c r="AV405" i="92"/>
  <c r="AG566" i="92"/>
  <c r="AK717" i="92"/>
  <c r="AH699" i="92"/>
  <c r="AH642" i="92"/>
  <c r="AJ234" i="92"/>
  <c r="AF592" i="92"/>
  <c r="AG428" i="92"/>
  <c r="AV417" i="92"/>
  <c r="AJ51" i="92"/>
  <c r="AZ112" i="92"/>
  <c r="AV684" i="92"/>
  <c r="AO654" i="92"/>
  <c r="AQ619" i="92"/>
  <c r="AJ723" i="92"/>
  <c r="AR712" i="92"/>
  <c r="AH575" i="92"/>
  <c r="AK259" i="92"/>
  <c r="AH524" i="92"/>
  <c r="AV412" i="92"/>
  <c r="AZ470" i="92"/>
  <c r="AQ504" i="92"/>
  <c r="AV518" i="92"/>
  <c r="AT602" i="92"/>
  <c r="AS703" i="92"/>
  <c r="AU410" i="92"/>
  <c r="AU753" i="92"/>
  <c r="AZ629" i="92"/>
  <c r="AO490" i="92"/>
  <c r="AO161" i="92"/>
  <c r="AF696" i="92"/>
  <c r="AH670" i="92"/>
  <c r="AV528" i="92"/>
  <c r="AR740" i="92"/>
  <c r="AT584" i="92"/>
  <c r="AZ740" i="92"/>
  <c r="AO241" i="92"/>
  <c r="AT471" i="92"/>
  <c r="AG115" i="92"/>
  <c r="AL430" i="92"/>
  <c r="AY588" i="92"/>
  <c r="AY707" i="92"/>
  <c r="AL505" i="92"/>
  <c r="AW479" i="92"/>
  <c r="AM742" i="92"/>
  <c r="AM346" i="92"/>
  <c r="AL63" i="92"/>
  <c r="AL325" i="92"/>
  <c r="AZ40" i="92"/>
  <c r="AZ516" i="92"/>
  <c r="AZ421" i="92"/>
  <c r="AT603" i="92"/>
  <c r="AR573" i="92"/>
  <c r="AU584" i="92"/>
  <c r="AV672" i="92"/>
  <c r="AT566" i="92"/>
  <c r="AK613" i="92"/>
  <c r="AJ539" i="92"/>
  <c r="AU558" i="92"/>
  <c r="AT492" i="92"/>
  <c r="AR398" i="92"/>
  <c r="AV523" i="92"/>
  <c r="AS388" i="92"/>
  <c r="AV172" i="92"/>
  <c r="AI567" i="92"/>
  <c r="AG379" i="92"/>
  <c r="AR393" i="92"/>
  <c r="AG420" i="92"/>
  <c r="AH558" i="92"/>
  <c r="AG603" i="92"/>
  <c r="AJ518" i="92"/>
  <c r="AT450" i="92"/>
  <c r="AT329" i="92"/>
  <c r="AO198" i="92"/>
  <c r="AV430" i="92"/>
  <c r="AP295" i="92"/>
  <c r="AO210" i="92"/>
  <c r="AZ146" i="92"/>
  <c r="AY93" i="92"/>
  <c r="AM720" i="92"/>
  <c r="AM427" i="92"/>
  <c r="AL618" i="92"/>
  <c r="AM252" i="92"/>
  <c r="AR689" i="92"/>
  <c r="AJ705" i="92"/>
  <c r="AV131" i="92"/>
  <c r="AO434" i="92"/>
  <c r="AT679" i="92"/>
  <c r="AO67" i="92"/>
  <c r="AV584" i="92"/>
  <c r="AK530" i="92"/>
  <c r="AV659" i="92"/>
  <c r="AV720" i="92"/>
  <c r="AT461" i="92"/>
  <c r="AR523" i="92"/>
  <c r="AS669" i="92"/>
  <c r="AV398" i="92"/>
  <c r="AZ715" i="92"/>
  <c r="AJ686" i="92"/>
  <c r="AZ50" i="92"/>
  <c r="AO159" i="92"/>
  <c r="AV762" i="92"/>
  <c r="AU634" i="92"/>
  <c r="AH635" i="92"/>
  <c r="AT595" i="92"/>
  <c r="AT739" i="92"/>
  <c r="AR637" i="92"/>
  <c r="AG646" i="92"/>
  <c r="AI447" i="92"/>
  <c r="AJ184" i="92"/>
  <c r="AO463" i="92"/>
  <c r="AL22" i="92"/>
  <c r="AM495" i="92"/>
  <c r="AY230" i="92"/>
  <c r="AM73" i="92"/>
  <c r="AM744" i="92"/>
  <c r="AM38" i="92"/>
  <c r="AY279" i="92"/>
  <c r="AS694" i="92"/>
  <c r="AQ454" i="92"/>
  <c r="AV411" i="92"/>
  <c r="AO519" i="92"/>
  <c r="AF499" i="92"/>
  <c r="AF507" i="92"/>
  <c r="AV638" i="92"/>
  <c r="AU641" i="92"/>
  <c r="AZ355" i="92"/>
  <c r="AS626" i="92"/>
  <c r="AV522" i="92"/>
  <c r="AR494" i="92"/>
  <c r="AH675" i="92"/>
  <c r="AK525" i="92"/>
  <c r="AV565" i="92"/>
  <c r="AV396" i="92"/>
  <c r="AH761" i="92"/>
  <c r="AU619" i="92"/>
  <c r="AO523" i="92"/>
  <c r="AI530" i="92"/>
  <c r="AI716" i="92"/>
  <c r="AQ449" i="92"/>
  <c r="AK290" i="92"/>
  <c r="AF315" i="92"/>
  <c r="AK491" i="92"/>
  <c r="AH523" i="92"/>
  <c r="AH436" i="92"/>
  <c r="AO105" i="92"/>
  <c r="AK383" i="92"/>
  <c r="AF539" i="92"/>
  <c r="AO658" i="92"/>
  <c r="AG716" i="92"/>
  <c r="AT224" i="92"/>
  <c r="AM464" i="92"/>
  <c r="AL680" i="92"/>
  <c r="AX330" i="92"/>
  <c r="AL320" i="92"/>
  <c r="AY169" i="92"/>
  <c r="AY712" i="92"/>
  <c r="AY697" i="92"/>
  <c r="AM215" i="92"/>
  <c r="AY88" i="92"/>
  <c r="AW543" i="92"/>
  <c r="AQ461" i="92"/>
  <c r="AQ320" i="92"/>
  <c r="AR582" i="92"/>
  <c r="AK610" i="92"/>
  <c r="AK497" i="92"/>
  <c r="AO731" i="92"/>
  <c r="AS433" i="92"/>
  <c r="AI614" i="92"/>
  <c r="AR501" i="92"/>
  <c r="AU613" i="92"/>
  <c r="AQ394" i="92"/>
  <c r="AJ656" i="92"/>
  <c r="AG721" i="92"/>
  <c r="AZ684" i="92"/>
  <c r="AS755" i="92"/>
  <c r="AT335" i="92"/>
  <c r="AM645" i="92"/>
  <c r="AL119" i="92"/>
  <c r="AM579" i="92"/>
  <c r="AY590" i="92"/>
  <c r="AL188" i="92"/>
  <c r="AY305" i="92"/>
  <c r="AL455" i="92"/>
  <c r="AW322" i="92"/>
  <c r="AY680" i="92"/>
  <c r="AY157" i="92"/>
  <c r="AL564" i="92"/>
  <c r="AZ335" i="92"/>
  <c r="AM387" i="92"/>
  <c r="AM399" i="92"/>
  <c r="AL562" i="92"/>
  <c r="AY266" i="92"/>
  <c r="AW661" i="92"/>
  <c r="AY744" i="92"/>
  <c r="AO665" i="92"/>
  <c r="AO79" i="92"/>
  <c r="AI542" i="92"/>
  <c r="AZ397" i="92"/>
  <c r="AR708" i="92"/>
  <c r="AO721" i="92"/>
  <c r="AO135" i="92"/>
  <c r="AO231" i="92"/>
  <c r="AO395" i="92"/>
  <c r="AO659" i="92"/>
  <c r="AK427" i="92"/>
  <c r="AS691" i="92"/>
  <c r="AT737" i="92"/>
  <c r="AO634" i="92"/>
  <c r="AO339" i="92"/>
  <c r="AZ42" i="92"/>
  <c r="AR513" i="92"/>
  <c r="AZ388" i="92"/>
  <c r="AS561" i="92"/>
  <c r="AL219" i="92"/>
  <c r="AY638" i="92"/>
  <c r="AN45" i="92"/>
  <c r="AX52" i="92"/>
  <c r="AX246" i="92"/>
  <c r="AW719" i="92"/>
  <c r="AX419" i="92"/>
  <c r="AL285" i="92"/>
  <c r="AM308" i="92"/>
  <c r="AX678" i="92"/>
  <c r="AM678" i="92"/>
  <c r="AN264" i="92"/>
  <c r="AY264" i="92"/>
  <c r="AM128" i="92"/>
  <c r="AX128" i="92"/>
  <c r="AX287" i="92"/>
  <c r="AM287" i="92"/>
  <c r="AY65" i="92"/>
  <c r="AN65" i="92"/>
  <c r="AX23" i="92"/>
  <c r="AM23" i="92"/>
  <c r="AX576" i="92"/>
  <c r="AM576" i="92"/>
  <c r="AZ455" i="92"/>
  <c r="AO455" i="92"/>
  <c r="AI702" i="92"/>
  <c r="AT702" i="92"/>
  <c r="AW647" i="92"/>
  <c r="AL647" i="92"/>
  <c r="AW732" i="92"/>
  <c r="AL732" i="92"/>
  <c r="AW446" i="92"/>
  <c r="AL446" i="92"/>
  <c r="AW305" i="92"/>
  <c r="AL305" i="92"/>
  <c r="AW194" i="92"/>
  <c r="AL194" i="92"/>
  <c r="AL428" i="92"/>
  <c r="AW428" i="92"/>
  <c r="AW525" i="92"/>
  <c r="AL525" i="92"/>
  <c r="AL633" i="92"/>
  <c r="AW633" i="92"/>
  <c r="AW411" i="92"/>
  <c r="AL411" i="92"/>
  <c r="AW339" i="92"/>
  <c r="AL339" i="92"/>
  <c r="AN396" i="92"/>
  <c r="AY396" i="92"/>
  <c r="AY661" i="92"/>
  <c r="AN661" i="92"/>
  <c r="AW113" i="92"/>
  <c r="AL113" i="92"/>
  <c r="AN462" i="92"/>
  <c r="AY462" i="92"/>
  <c r="AW678" i="92"/>
  <c r="AL678" i="92"/>
  <c r="AN284" i="92"/>
  <c r="AY284" i="92"/>
  <c r="AW316" i="92"/>
  <c r="AL316" i="92"/>
  <c r="AX143" i="92"/>
  <c r="AM143" i="92"/>
  <c r="AN446" i="92"/>
  <c r="AY446" i="92"/>
  <c r="AY320" i="92"/>
  <c r="AN320" i="92"/>
  <c r="AW398" i="92"/>
  <c r="AL398" i="92"/>
  <c r="AN750" i="92"/>
  <c r="AY750" i="92"/>
  <c r="AW328" i="92"/>
  <c r="AL328" i="92"/>
  <c r="AX689" i="92"/>
  <c r="AM689" i="92"/>
  <c r="AX589" i="92"/>
  <c r="AM589" i="92"/>
  <c r="AN262" i="92"/>
  <c r="AY262" i="92"/>
  <c r="AN740" i="92"/>
  <c r="AY740" i="92"/>
  <c r="AW249" i="92"/>
  <c r="AL249" i="92"/>
  <c r="AX488" i="92"/>
  <c r="AM488" i="92"/>
  <c r="AW454" i="92"/>
  <c r="AL454" i="92"/>
  <c r="AY170" i="92"/>
  <c r="AN170" i="92"/>
  <c r="AN51" i="92"/>
  <c r="AY51" i="92"/>
  <c r="AW175" i="92"/>
  <c r="AL175" i="92"/>
  <c r="AW265" i="92"/>
  <c r="AL265" i="92"/>
  <c r="AW685" i="92"/>
  <c r="AL685" i="92"/>
  <c r="AW123" i="92"/>
  <c r="AL123" i="92"/>
  <c r="AY390" i="92"/>
  <c r="AN390" i="92"/>
  <c r="AN257" i="92"/>
  <c r="AY257" i="92"/>
  <c r="AW606" i="92"/>
  <c r="AL606" i="92"/>
  <c r="AN454" i="92"/>
  <c r="AY454" i="92"/>
  <c r="AW448" i="92"/>
  <c r="AL448" i="92"/>
  <c r="AL741" i="92"/>
  <c r="AW741" i="92"/>
  <c r="AN310" i="92"/>
  <c r="AY310" i="92"/>
  <c r="AY566" i="92"/>
  <c r="AN566" i="92"/>
  <c r="AW660" i="92"/>
  <c r="AL660" i="92"/>
  <c r="AM323" i="92"/>
  <c r="AX323" i="92"/>
  <c r="AY422" i="92"/>
  <c r="AN422" i="92"/>
  <c r="AW432" i="92"/>
  <c r="AL432" i="92"/>
  <c r="AW507" i="92"/>
  <c r="AL507" i="92"/>
  <c r="AL127" i="92"/>
  <c r="AW127" i="92"/>
  <c r="AW559" i="92"/>
  <c r="AL559" i="92"/>
  <c r="AW93" i="92"/>
  <c r="AL93" i="92"/>
  <c r="AN161" i="92"/>
  <c r="AY161" i="92"/>
  <c r="AW700" i="92"/>
  <c r="AL700" i="92"/>
  <c r="AW379" i="92"/>
  <c r="AL379" i="92"/>
  <c r="AN430" i="92"/>
  <c r="AY430" i="92"/>
  <c r="AW201" i="92"/>
  <c r="AL201" i="92"/>
  <c r="AO601" i="92"/>
  <c r="AZ601" i="92"/>
  <c r="AN670" i="92"/>
  <c r="AY670" i="92"/>
  <c r="AX120" i="92"/>
  <c r="AM120" i="92"/>
  <c r="AW288" i="92"/>
  <c r="AL288" i="92"/>
  <c r="AW444" i="92"/>
  <c r="AL444" i="92"/>
  <c r="AW246" i="92"/>
  <c r="AL246" i="92"/>
  <c r="AN204" i="92"/>
  <c r="AY204" i="92"/>
  <c r="AL553" i="92"/>
  <c r="AW553" i="92"/>
  <c r="AW558" i="92"/>
  <c r="AL558" i="92"/>
  <c r="AW395" i="92"/>
  <c r="AL395" i="92"/>
  <c r="AX47" i="92"/>
  <c r="AM47" i="92"/>
  <c r="AL489" i="92"/>
  <c r="AW489" i="92"/>
  <c r="AY694" i="92"/>
  <c r="AN694" i="92"/>
  <c r="AW514" i="92"/>
  <c r="AL514" i="92"/>
  <c r="AY202" i="92"/>
  <c r="AN202" i="92"/>
  <c r="AW109" i="92"/>
  <c r="AL109" i="92"/>
  <c r="AN86" i="92"/>
  <c r="AY86" i="92"/>
  <c r="AW311" i="92"/>
  <c r="AL311" i="92"/>
  <c r="AN574" i="92"/>
  <c r="AY574" i="92"/>
  <c r="AZ262" i="92"/>
  <c r="AO262" i="92"/>
  <c r="AN121" i="92"/>
  <c r="AY121" i="92"/>
  <c r="AX586" i="92"/>
  <c r="AM586" i="92"/>
  <c r="AX753" i="92"/>
  <c r="AM753" i="92"/>
  <c r="AW315" i="92"/>
  <c r="AL315" i="92"/>
  <c r="AW434" i="92"/>
  <c r="AL434" i="92"/>
  <c r="AW405" i="92"/>
  <c r="AL405" i="92"/>
  <c r="AX629" i="92"/>
  <c r="AM629" i="92"/>
  <c r="AX696" i="92"/>
  <c r="AM696" i="92"/>
  <c r="AN571" i="92"/>
  <c r="AY571" i="92"/>
  <c r="AX108" i="92"/>
  <c r="AM108" i="92"/>
  <c r="AN218" i="92"/>
  <c r="AY218" i="92"/>
  <c r="AW691" i="92"/>
  <c r="AL691" i="92"/>
  <c r="AX640" i="92"/>
  <c r="AM640" i="92"/>
  <c r="AW227" i="92"/>
  <c r="AL227" i="92"/>
  <c r="AN760" i="92"/>
  <c r="AY760" i="92"/>
  <c r="AX726" i="92"/>
  <c r="AM726" i="92"/>
  <c r="AN369" i="92"/>
  <c r="AY369" i="92"/>
  <c r="AM211" i="92"/>
  <c r="AX211" i="92"/>
  <c r="AW627" i="92"/>
  <c r="AL627" i="92"/>
  <c r="AN485" i="92"/>
  <c r="AY485" i="92"/>
  <c r="AW532" i="92"/>
  <c r="AL532" i="92"/>
  <c r="AN151" i="92"/>
  <c r="AY151" i="92"/>
  <c r="AW56" i="92"/>
  <c r="AL56" i="92"/>
  <c r="AX157" i="92"/>
  <c r="AM157" i="92"/>
  <c r="AN423" i="92"/>
  <c r="AY423" i="92"/>
  <c r="AX103" i="92"/>
  <c r="AM103" i="92"/>
  <c r="AN412" i="92"/>
  <c r="AY412" i="92"/>
  <c r="AN542" i="92"/>
  <c r="AY542" i="92"/>
  <c r="AX441" i="92"/>
  <c r="AM441" i="92"/>
  <c r="AX425" i="92"/>
  <c r="AM425" i="92"/>
  <c r="AW223" i="92"/>
  <c r="AL223" i="92"/>
  <c r="AW690" i="92"/>
  <c r="AL690" i="92"/>
  <c r="AN523" i="92"/>
  <c r="AY523" i="92"/>
  <c r="AN541" i="92"/>
  <c r="AY541" i="92"/>
  <c r="AX556" i="92"/>
  <c r="AM556" i="92"/>
  <c r="AX281" i="92"/>
  <c r="AM281" i="92"/>
  <c r="AN725" i="92"/>
  <c r="AY725" i="92"/>
  <c r="AN171" i="92"/>
  <c r="AY171" i="92"/>
  <c r="AX271" i="92"/>
  <c r="AM271" i="92"/>
  <c r="AN104" i="92"/>
  <c r="AY104" i="92"/>
  <c r="AM694" i="92"/>
  <c r="AX694" i="92"/>
  <c r="AN433" i="92"/>
  <c r="AY433" i="92"/>
  <c r="AN99" i="92"/>
  <c r="AY99" i="92"/>
  <c r="AN232" i="92"/>
  <c r="AY232" i="92"/>
  <c r="AM284" i="92"/>
  <c r="AX284" i="92"/>
  <c r="AX761" i="92"/>
  <c r="AM761" i="92"/>
  <c r="AW70" i="92"/>
  <c r="AL70" i="92"/>
  <c r="AX603" i="92"/>
  <c r="AM603" i="92"/>
  <c r="AN400" i="92"/>
  <c r="AY400" i="92"/>
  <c r="AN752" i="92"/>
  <c r="AY752" i="92"/>
  <c r="AX718" i="92"/>
  <c r="AM718" i="92"/>
  <c r="AN153" i="92"/>
  <c r="AY153" i="92"/>
  <c r="AX363" i="92"/>
  <c r="AM363" i="92"/>
  <c r="AN536" i="92"/>
  <c r="AY536" i="92"/>
  <c r="AN70" i="92"/>
  <c r="AY70" i="92"/>
  <c r="AX496" i="92"/>
  <c r="AM496" i="92"/>
  <c r="AN456" i="92"/>
  <c r="AY456" i="92"/>
  <c r="AN175" i="92"/>
  <c r="AY175" i="92"/>
  <c r="AM680" i="92"/>
  <c r="AX680" i="92"/>
  <c r="AN453" i="92"/>
  <c r="AY453" i="92"/>
  <c r="AX463" i="92"/>
  <c r="AM463" i="92"/>
  <c r="AX217" i="92"/>
  <c r="AM217" i="92"/>
  <c r="AN328" i="92"/>
  <c r="AY328" i="92"/>
  <c r="AN698" i="92"/>
  <c r="AY698" i="92"/>
  <c r="AX359" i="92"/>
  <c r="AM359" i="92"/>
  <c r="AX307" i="92"/>
  <c r="AM307" i="92"/>
  <c r="AN617" i="92"/>
  <c r="AY617" i="92"/>
  <c r="AX314" i="92"/>
  <c r="AM314" i="92"/>
  <c r="AN389" i="92"/>
  <c r="AY389" i="92"/>
  <c r="AX86" i="92"/>
  <c r="AM86" i="92"/>
  <c r="AN399" i="92"/>
  <c r="AY399" i="92"/>
  <c r="AM85" i="92"/>
  <c r="AX85" i="92"/>
  <c r="AM222" i="92"/>
  <c r="AX222" i="92"/>
  <c r="AN111" i="92"/>
  <c r="AY111" i="92"/>
  <c r="AW86" i="92"/>
  <c r="AL86" i="92"/>
  <c r="AW232" i="92"/>
  <c r="AL232" i="92"/>
  <c r="AX477" i="92"/>
  <c r="AM477" i="92"/>
  <c r="AN417" i="92"/>
  <c r="AY417" i="92"/>
  <c r="AY114" i="92"/>
  <c r="AN114" i="92"/>
  <c r="AX167" i="92"/>
  <c r="AM167" i="92"/>
  <c r="AL144" i="92"/>
  <c r="AW144" i="92"/>
  <c r="AX385" i="92"/>
  <c r="AM385" i="92"/>
  <c r="AX691" i="92"/>
  <c r="AM691" i="92"/>
  <c r="AN360" i="92"/>
  <c r="AY360" i="92"/>
  <c r="AN234" i="92"/>
  <c r="AY234" i="92"/>
  <c r="AX355" i="92"/>
  <c r="AM355" i="92"/>
  <c r="AN721" i="92"/>
  <c r="AY721" i="92"/>
  <c r="AN96" i="92"/>
  <c r="AY96" i="92"/>
  <c r="AN499" i="92"/>
  <c r="AY499" i="92"/>
  <c r="AX348" i="92"/>
  <c r="AM348" i="92"/>
  <c r="AN156" i="92"/>
  <c r="AY156" i="92"/>
  <c r="AM633" i="92"/>
  <c r="AX633" i="92"/>
  <c r="AX731" i="92"/>
  <c r="AM731" i="92"/>
  <c r="AN528" i="92"/>
  <c r="AY528" i="92"/>
  <c r="AX520" i="92"/>
  <c r="AM520" i="92"/>
  <c r="AX584" i="92"/>
  <c r="AM584" i="92"/>
  <c r="AX88" i="92"/>
  <c r="AM88" i="92"/>
  <c r="AW97" i="92"/>
  <c r="AL97" i="92"/>
  <c r="AX150" i="92"/>
  <c r="AM150" i="92"/>
  <c r="AW45" i="92"/>
  <c r="AL45" i="92"/>
  <c r="AX708" i="92"/>
  <c r="AM708" i="92"/>
  <c r="AX559" i="92"/>
  <c r="AM559" i="92"/>
  <c r="AN288" i="92"/>
  <c r="AY288" i="92"/>
  <c r="AX318" i="92"/>
  <c r="AM318" i="92"/>
  <c r="AN281" i="92"/>
  <c r="AY281" i="92"/>
  <c r="AW504" i="92"/>
  <c r="AL504" i="92"/>
  <c r="AX303" i="92"/>
  <c r="AM303" i="92"/>
  <c r="AM136" i="92"/>
  <c r="AX136" i="92"/>
  <c r="AX664" i="92"/>
  <c r="AM664" i="92"/>
  <c r="AN665" i="92"/>
  <c r="AY665" i="92"/>
  <c r="AX636" i="92"/>
  <c r="AM636" i="92"/>
  <c r="AN720" i="92"/>
  <c r="AY720" i="92"/>
  <c r="AX68" i="92"/>
  <c r="AM68" i="92"/>
  <c r="AN609" i="92"/>
  <c r="AY609" i="92"/>
  <c r="AN317" i="92"/>
  <c r="AY317" i="92"/>
  <c r="AX466" i="92"/>
  <c r="AM466" i="92"/>
  <c r="AX461" i="92"/>
  <c r="AM461" i="92"/>
  <c r="AW423" i="92"/>
  <c r="AL423" i="92"/>
  <c r="AX592" i="92"/>
  <c r="AM592" i="92"/>
  <c r="AX76" i="92"/>
  <c r="AM76" i="92"/>
  <c r="AW209" i="92"/>
  <c r="AL209" i="92"/>
  <c r="AN254" i="92"/>
  <c r="AY254" i="92"/>
  <c r="AW500" i="92"/>
  <c r="AL500" i="92"/>
  <c r="AN646" i="92"/>
  <c r="AY646" i="92"/>
  <c r="AJ469" i="92"/>
  <c r="AU469" i="92"/>
  <c r="AX451" i="92"/>
  <c r="AM451" i="92"/>
  <c r="AJ653" i="92"/>
  <c r="AU653" i="92"/>
  <c r="AQ434" i="92"/>
  <c r="AF434" i="92"/>
  <c r="AN22" i="92"/>
  <c r="AY22" i="92"/>
  <c r="AS542" i="92"/>
  <c r="AH542" i="92"/>
  <c r="AF555" i="92"/>
  <c r="AQ555" i="92"/>
  <c r="AT742" i="92"/>
  <c r="AI742" i="92"/>
  <c r="AN33" i="92"/>
  <c r="AY33" i="92"/>
  <c r="AQ530" i="92"/>
  <c r="AF530" i="92"/>
  <c r="AS403" i="92"/>
  <c r="AH403" i="92"/>
  <c r="AX21" i="92"/>
  <c r="AM21" i="92"/>
  <c r="AI725" i="92"/>
  <c r="AT725" i="92"/>
  <c r="AW225" i="92"/>
  <c r="AL225" i="92"/>
  <c r="AZ461" i="92"/>
  <c r="AZ48" i="92"/>
  <c r="AQ709" i="92"/>
  <c r="AZ128" i="92"/>
  <c r="AR744" i="92"/>
  <c r="AS410" i="92"/>
  <c r="AQ751" i="92"/>
  <c r="AO227" i="92"/>
  <c r="AY351" i="92"/>
  <c r="AY410" i="92"/>
  <c r="AW751" i="92"/>
  <c r="AX734" i="92"/>
  <c r="AL638" i="92"/>
  <c r="AY648" i="92"/>
  <c r="AW69" i="92"/>
  <c r="AY494" i="92"/>
  <c r="AY653" i="92"/>
  <c r="AZ166" i="92"/>
  <c r="AK605" i="92"/>
  <c r="AZ448" i="92"/>
  <c r="AO375" i="92"/>
  <c r="AO246" i="92"/>
  <c r="AO668" i="92"/>
  <c r="AG697" i="92"/>
  <c r="AZ611" i="92"/>
  <c r="AG471" i="92"/>
  <c r="AV429" i="92"/>
  <c r="AS550" i="92"/>
  <c r="AO211" i="92"/>
  <c r="AZ168" i="92"/>
  <c r="AZ221" i="92"/>
  <c r="AU565" i="92"/>
  <c r="AV700" i="92"/>
  <c r="AK444" i="92"/>
  <c r="AV539" i="92"/>
  <c r="AW268" i="92"/>
  <c r="AN295" i="92"/>
  <c r="AY245" i="92"/>
  <c r="AW360" i="92"/>
  <c r="AX669" i="92"/>
  <c r="AM123" i="92"/>
  <c r="AN183" i="92"/>
  <c r="AY134" i="92"/>
  <c r="AY68" i="92"/>
  <c r="AZ755" i="92"/>
  <c r="AZ234" i="92"/>
  <c r="AI686" i="92"/>
  <c r="AO438" i="92"/>
  <c r="AO430" i="92"/>
  <c r="AV548" i="92"/>
  <c r="AT713" i="92"/>
  <c r="AY595" i="92"/>
  <c r="AX306" i="92"/>
  <c r="AY503" i="92"/>
  <c r="AL274" i="92"/>
  <c r="AW266" i="92"/>
  <c r="AX554" i="92"/>
  <c r="AL666" i="92"/>
  <c r="AL293" i="92"/>
  <c r="AX294" i="92"/>
  <c r="AZ606" i="92"/>
  <c r="AZ195" i="92"/>
  <c r="AG510" i="92"/>
  <c r="AS708" i="92"/>
  <c r="AQ486" i="92"/>
  <c r="AO518" i="92"/>
  <c r="AJ482" i="92"/>
  <c r="AK515" i="92"/>
  <c r="AZ125" i="92"/>
  <c r="AQ753" i="92"/>
  <c r="AU668" i="92"/>
  <c r="AV541" i="92"/>
  <c r="AZ293" i="92"/>
  <c r="AK492" i="92"/>
  <c r="AZ594" i="92"/>
  <c r="AZ575" i="92"/>
  <c r="AL42" i="92"/>
  <c r="AX507" i="92"/>
  <c r="AX225" i="92"/>
  <c r="AN307" i="92"/>
  <c r="AN687" i="92"/>
  <c r="AL191" i="92"/>
  <c r="AW376" i="92"/>
  <c r="AH494" i="92"/>
  <c r="AZ381" i="92"/>
  <c r="AZ686" i="92"/>
  <c r="AZ384" i="92"/>
  <c r="AZ148" i="92"/>
  <c r="AZ299" i="92"/>
  <c r="AR658" i="92"/>
  <c r="AU428" i="92"/>
  <c r="AZ443" i="92"/>
  <c r="AJ638" i="92"/>
  <c r="AG427" i="92"/>
  <c r="AQ649" i="92"/>
  <c r="AK382" i="92"/>
  <c r="AV617" i="92"/>
  <c r="AU661" i="92"/>
  <c r="AK685" i="92"/>
  <c r="AS634" i="92"/>
  <c r="AZ225" i="92"/>
  <c r="AV394" i="92"/>
  <c r="AR579" i="92"/>
  <c r="AQ593" i="92"/>
  <c r="AX413" i="92"/>
  <c r="AX568" i="92"/>
  <c r="AX226" i="92"/>
  <c r="AN473" i="92"/>
  <c r="AY137" i="92"/>
  <c r="AL282" i="92"/>
  <c r="AW253" i="92"/>
  <c r="AW247" i="92"/>
  <c r="AO63" i="92"/>
  <c r="AM398" i="92"/>
  <c r="AW196" i="92"/>
  <c r="AY141" i="92"/>
  <c r="AM487" i="92"/>
  <c r="AM688" i="92"/>
  <c r="AW41" i="92"/>
  <c r="AL695" i="92"/>
  <c r="AW61" i="92"/>
  <c r="AY575" i="92"/>
  <c r="AY53" i="92"/>
  <c r="AW126" i="92"/>
  <c r="AM361" i="92"/>
  <c r="AL563" i="92"/>
  <c r="AL286" i="92"/>
  <c r="AL547" i="92"/>
  <c r="AN265" i="92"/>
  <c r="AY265" i="92"/>
  <c r="AX59" i="92"/>
  <c r="AM59" i="92"/>
  <c r="AX118" i="92"/>
  <c r="AM118" i="92"/>
  <c r="AX573" i="92"/>
  <c r="AM573" i="92"/>
  <c r="AY557" i="92"/>
  <c r="AN557" i="92"/>
  <c r="AL229" i="92"/>
  <c r="AW229" i="92"/>
  <c r="AT643" i="92"/>
  <c r="AI643" i="92"/>
  <c r="AL467" i="92"/>
  <c r="AW467" i="92"/>
  <c r="AW171" i="92"/>
  <c r="AL171" i="92"/>
  <c r="AW193" i="92"/>
  <c r="AL193" i="92"/>
  <c r="AW244" i="92"/>
  <c r="AL244" i="92"/>
  <c r="AX273" i="92"/>
  <c r="AM273" i="92"/>
  <c r="AY228" i="92"/>
  <c r="AN228" i="92"/>
  <c r="AW397" i="92"/>
  <c r="AL397" i="92"/>
  <c r="AW131" i="92"/>
  <c r="AL131" i="92"/>
  <c r="AW396" i="92"/>
  <c r="AL396" i="92"/>
  <c r="AR409" i="92"/>
  <c r="AG409" i="92"/>
  <c r="AW670" i="92"/>
  <c r="AL670" i="92"/>
  <c r="AW47" i="92"/>
  <c r="AL47" i="92"/>
  <c r="AX575" i="92"/>
  <c r="AM575" i="92"/>
  <c r="AW530" i="92"/>
  <c r="AL530" i="92"/>
  <c r="AX612" i="92"/>
  <c r="AM612" i="92"/>
  <c r="AW111" i="92"/>
  <c r="AL111" i="92"/>
  <c r="AN125" i="92"/>
  <c r="AY125" i="92"/>
  <c r="AO587" i="92"/>
  <c r="AZ587" i="92"/>
  <c r="AW675" i="92"/>
  <c r="AL675" i="92"/>
  <c r="AL474" i="92"/>
  <c r="AW474" i="92"/>
  <c r="AW410" i="92"/>
  <c r="AL410" i="92"/>
  <c r="AM184" i="92"/>
  <c r="AX184" i="92"/>
  <c r="AW143" i="92"/>
  <c r="AL143" i="92"/>
  <c r="AW667" i="92"/>
  <c r="AL667" i="92"/>
  <c r="AW718" i="92"/>
  <c r="AL718" i="92"/>
  <c r="AW159" i="92"/>
  <c r="AL159" i="92"/>
  <c r="AL715" i="92"/>
  <c r="AW715" i="92"/>
  <c r="AW561" i="92"/>
  <c r="AL561" i="92"/>
  <c r="AM248" i="92"/>
  <c r="AX248" i="92"/>
  <c r="AZ282" i="92"/>
  <c r="AO282" i="92"/>
  <c r="AN448" i="92"/>
  <c r="AY448" i="92"/>
  <c r="AL656" i="92"/>
  <c r="AW656" i="92"/>
  <c r="AW699" i="92"/>
  <c r="AL699" i="92"/>
  <c r="AX500" i="92"/>
  <c r="AM500" i="92"/>
  <c r="AW415" i="92"/>
  <c r="AL415" i="92"/>
  <c r="AW573" i="92"/>
  <c r="AL573" i="92"/>
  <c r="AW297" i="92"/>
  <c r="AL297" i="92"/>
  <c r="AW651" i="92"/>
  <c r="AL651" i="92"/>
  <c r="AW221" i="92"/>
  <c r="AL221" i="92"/>
  <c r="AW233" i="92"/>
  <c r="AL233" i="92"/>
  <c r="AN215" i="92"/>
  <c r="AY215" i="92"/>
  <c r="AW566" i="92"/>
  <c r="AL566" i="92"/>
  <c r="AN450" i="92"/>
  <c r="AY450" i="92"/>
  <c r="AW46" i="92"/>
  <c r="AL46" i="92"/>
  <c r="AW404" i="92"/>
  <c r="AL404" i="92"/>
  <c r="AW579" i="92"/>
  <c r="AL579" i="92"/>
  <c r="AX235" i="92"/>
  <c r="AM235" i="92"/>
  <c r="AN613" i="92"/>
  <c r="AY613" i="92"/>
  <c r="AW115" i="92"/>
  <c r="AL115" i="92"/>
  <c r="AW515" i="92"/>
  <c r="AL515" i="92"/>
  <c r="AZ142" i="92"/>
  <c r="AO142" i="92"/>
  <c r="AW762" i="92"/>
  <c r="AL762" i="92"/>
  <c r="AW336" i="92"/>
  <c r="AL336" i="92"/>
  <c r="AY220" i="92"/>
  <c r="AN220" i="92"/>
  <c r="AX198" i="92"/>
  <c r="AM198" i="92"/>
  <c r="AN500" i="92"/>
  <c r="AY500" i="92"/>
  <c r="AW628" i="92"/>
  <c r="AL628" i="92"/>
  <c r="AW173" i="92"/>
  <c r="AL173" i="92"/>
  <c r="AW102" i="92"/>
  <c r="AL102" i="92"/>
  <c r="AW508" i="92"/>
  <c r="AL508" i="92"/>
  <c r="AW331" i="92"/>
  <c r="AL331" i="92"/>
  <c r="AN382" i="92"/>
  <c r="AY382" i="92"/>
  <c r="AO172" i="92"/>
  <c r="AZ172" i="92"/>
  <c r="AW352" i="92"/>
  <c r="AL352" i="92"/>
  <c r="AL634" i="92"/>
  <c r="AW634" i="92"/>
  <c r="AN56" i="92"/>
  <c r="AY56" i="92"/>
  <c r="AW713" i="92"/>
  <c r="AL713" i="92"/>
  <c r="AW380" i="92"/>
  <c r="AL380" i="92"/>
  <c r="AW363" i="92"/>
  <c r="AL363" i="92"/>
  <c r="AW439" i="92"/>
  <c r="AL439" i="92"/>
  <c r="AY514" i="92"/>
  <c r="AN514" i="92"/>
  <c r="AX117" i="92"/>
  <c r="AM117" i="92"/>
  <c r="AX499" i="92"/>
  <c r="AM499" i="92"/>
  <c r="AW85" i="92"/>
  <c r="AL85" i="92"/>
  <c r="AX449" i="92"/>
  <c r="AM449" i="92"/>
  <c r="AW261" i="92"/>
  <c r="AL261" i="92"/>
  <c r="AN386" i="92"/>
  <c r="AY386" i="92"/>
  <c r="AY506" i="92"/>
  <c r="AN506" i="92"/>
  <c r="AN461" i="92"/>
  <c r="AY461" i="92"/>
  <c r="AN195" i="92"/>
  <c r="AY195" i="92"/>
  <c r="AX204" i="92"/>
  <c r="AM204" i="92"/>
  <c r="AN304" i="92"/>
  <c r="AY304" i="92"/>
  <c r="AW192" i="92"/>
  <c r="AL192" i="92"/>
  <c r="AW276" i="92"/>
  <c r="AL276" i="92"/>
  <c r="AN303" i="92"/>
  <c r="AY303" i="92"/>
  <c r="AM83" i="92"/>
  <c r="AX83" i="92"/>
  <c r="AN598" i="92"/>
  <c r="AY598" i="92"/>
  <c r="AW496" i="92"/>
  <c r="AL496" i="92"/>
  <c r="AO763" i="92"/>
  <c r="AZ763" i="92"/>
  <c r="AY580" i="92"/>
  <c r="AN580" i="92"/>
  <c r="AL375" i="92"/>
  <c r="AW375" i="92"/>
  <c r="AL275" i="92"/>
  <c r="AW275" i="92"/>
  <c r="AW705" i="92"/>
  <c r="AL705" i="92"/>
  <c r="AN692" i="92"/>
  <c r="AY692" i="92"/>
  <c r="AN632" i="92"/>
  <c r="AY632" i="92"/>
  <c r="AX598" i="92"/>
  <c r="AM598" i="92"/>
  <c r="AX70" i="92"/>
  <c r="AM70" i="92"/>
  <c r="AW163" i="92"/>
  <c r="AL163" i="92"/>
  <c r="AW116" i="92"/>
  <c r="AL116" i="92"/>
  <c r="AX748" i="92"/>
  <c r="AM748" i="92"/>
  <c r="AN172" i="92"/>
  <c r="AY172" i="92"/>
  <c r="AX699" i="92"/>
  <c r="AM699" i="92"/>
  <c r="AX292" i="92"/>
  <c r="AM292" i="92"/>
  <c r="AW277" i="92"/>
  <c r="AL277" i="92"/>
  <c r="AW490" i="92"/>
  <c r="AL490" i="92"/>
  <c r="AY569" i="92"/>
  <c r="AN569" i="92"/>
  <c r="AX60" i="92"/>
  <c r="AM60" i="92"/>
  <c r="AW122" i="92"/>
  <c r="AL122" i="92"/>
  <c r="AN306" i="92"/>
  <c r="AY306" i="92"/>
  <c r="AN327" i="92"/>
  <c r="AY327" i="92"/>
  <c r="AX254" i="92"/>
  <c r="AM254" i="92"/>
  <c r="AX105" i="92"/>
  <c r="AM105" i="92"/>
  <c r="AY133" i="92"/>
  <c r="AN133" i="92"/>
  <c r="AN287" i="92"/>
  <c r="AY287" i="92"/>
  <c r="AM491" i="92"/>
  <c r="AX491" i="92"/>
  <c r="AN81" i="92"/>
  <c r="AY81" i="92"/>
  <c r="AN675" i="92"/>
  <c r="AY675" i="92"/>
  <c r="AX80" i="92"/>
  <c r="AM80" i="92"/>
  <c r="AN455" i="92"/>
  <c r="AY455" i="92"/>
  <c r="AN402" i="92"/>
  <c r="AY402" i="92"/>
  <c r="AX195" i="92"/>
  <c r="AM195" i="92"/>
  <c r="AN754" i="92"/>
  <c r="AY754" i="92"/>
  <c r="AX471" i="92"/>
  <c r="AM471" i="92"/>
  <c r="AX224" i="92"/>
  <c r="AM224" i="92"/>
  <c r="AX377" i="92"/>
  <c r="AM377" i="92"/>
  <c r="AN655" i="92"/>
  <c r="AY655" i="92"/>
  <c r="AN67" i="92"/>
  <c r="AY67" i="92"/>
  <c r="AN255" i="92"/>
  <c r="AY255" i="92"/>
  <c r="AX442" i="92"/>
  <c r="AM442" i="92"/>
  <c r="AX233" i="92"/>
  <c r="AM233" i="92"/>
  <c r="AN408" i="92"/>
  <c r="AY408" i="92"/>
  <c r="AX677" i="92"/>
  <c r="AM677" i="92"/>
  <c r="AX641" i="92"/>
  <c r="AM641" i="92"/>
  <c r="AN184" i="92"/>
  <c r="AY184" i="92"/>
  <c r="AX690" i="92"/>
  <c r="AM690" i="92"/>
  <c r="AM168" i="92"/>
  <c r="AX168" i="92"/>
  <c r="AX393" i="92"/>
  <c r="AM393" i="92"/>
  <c r="AN683" i="92"/>
  <c r="AY683" i="92"/>
  <c r="AX405" i="92"/>
  <c r="AM405" i="92"/>
  <c r="AX617" i="92"/>
  <c r="AM617" i="92"/>
  <c r="AX257" i="92"/>
  <c r="AM257" i="92"/>
  <c r="AM587" i="92"/>
  <c r="AX587" i="92"/>
  <c r="AN625" i="92"/>
  <c r="AY625" i="92"/>
  <c r="AX409" i="92"/>
  <c r="AM409" i="92"/>
  <c r="AN333" i="92"/>
  <c r="AY333" i="92"/>
  <c r="AN479" i="92"/>
  <c r="AY479" i="92"/>
  <c r="AX476" i="92"/>
  <c r="AM476" i="92"/>
  <c r="AN480" i="92"/>
  <c r="AY480" i="92"/>
  <c r="AX740" i="92"/>
  <c r="AM740" i="92"/>
  <c r="AX119" i="92"/>
  <c r="AM119" i="92"/>
  <c r="AX431" i="92"/>
  <c r="AM431" i="92"/>
  <c r="AX632" i="92"/>
  <c r="AM632" i="92"/>
  <c r="AX164" i="92"/>
  <c r="AM164" i="92"/>
  <c r="AN564" i="92"/>
  <c r="AY564" i="92"/>
  <c r="AY656" i="92"/>
  <c r="AN656" i="92"/>
  <c r="AX567" i="92"/>
  <c r="AM567" i="92"/>
  <c r="AX760" i="92"/>
  <c r="AM760" i="92"/>
  <c r="AN224" i="92"/>
  <c r="AY224" i="92"/>
  <c r="AX208" i="92"/>
  <c r="AM208" i="92"/>
  <c r="AY481" i="92"/>
  <c r="AN481" i="92"/>
  <c r="AY701" i="92"/>
  <c r="AN701" i="92"/>
  <c r="AN344" i="92"/>
  <c r="AY344" i="92"/>
  <c r="AM374" i="92"/>
  <c r="AX374" i="92"/>
  <c r="AN529" i="92"/>
  <c r="AY529" i="92"/>
  <c r="AM263" i="92"/>
  <c r="AX263" i="92"/>
  <c r="AX341" i="92"/>
  <c r="AM341" i="92"/>
  <c r="AN728" i="92"/>
  <c r="AY728" i="92"/>
  <c r="AW154" i="92"/>
  <c r="AL154" i="92"/>
  <c r="AN131" i="92"/>
  <c r="AY131" i="92"/>
  <c r="AW51" i="92"/>
  <c r="AL51" i="92"/>
  <c r="AX400" i="92"/>
  <c r="AM400" i="92"/>
  <c r="AX90" i="92"/>
  <c r="AM90" i="92"/>
  <c r="AN146" i="92"/>
  <c r="AY146" i="92"/>
  <c r="AX489" i="92"/>
  <c r="AM489" i="92"/>
  <c r="AN208" i="92"/>
  <c r="AY208" i="92"/>
  <c r="AX302" i="92"/>
  <c r="AM302" i="92"/>
  <c r="AM505" i="92"/>
  <c r="AX505" i="92"/>
  <c r="AN611" i="92"/>
  <c r="AY611" i="92"/>
  <c r="AN591" i="92"/>
  <c r="AY591" i="92"/>
  <c r="AX460" i="92"/>
  <c r="AM460" i="92"/>
  <c r="AN592" i="92"/>
  <c r="AY592" i="92"/>
  <c r="AX686" i="92"/>
  <c r="AM686" i="92"/>
  <c r="AN403" i="92"/>
  <c r="AY403" i="92"/>
  <c r="AY639" i="92"/>
  <c r="AN639" i="92"/>
  <c r="AX102" i="92"/>
  <c r="AM102" i="92"/>
  <c r="AL652" i="92"/>
  <c r="AW652" i="92"/>
  <c r="AH585" i="92"/>
  <c r="AS585" i="92"/>
  <c r="AF524" i="92"/>
  <c r="AQ524" i="92"/>
  <c r="AW461" i="92"/>
  <c r="AL461" i="92"/>
  <c r="AW658" i="92"/>
  <c r="AL658" i="92"/>
  <c r="AN526" i="92"/>
  <c r="AY526" i="92"/>
  <c r="AN31" i="92"/>
  <c r="AY31" i="92"/>
  <c r="AF452" i="92"/>
  <c r="AQ452" i="92"/>
  <c r="AJ430" i="92"/>
  <c r="AU430" i="92"/>
  <c r="AR753" i="92"/>
  <c r="AG753" i="92"/>
  <c r="AO184" i="92"/>
  <c r="AZ496" i="92"/>
  <c r="AO619" i="92"/>
  <c r="AZ382" i="92"/>
  <c r="AZ281" i="92"/>
  <c r="AZ704" i="92"/>
  <c r="AZ113" i="92"/>
  <c r="AQ754" i="92"/>
  <c r="AV483" i="92"/>
  <c r="AZ498" i="92"/>
  <c r="AX555" i="92"/>
  <c r="AM115" i="92"/>
  <c r="AN449" i="92"/>
  <c r="AN594" i="92"/>
  <c r="AL160" i="92"/>
  <c r="AW478" i="92"/>
  <c r="AL300" i="92"/>
  <c r="AY583" i="92"/>
  <c r="AW468" i="92"/>
  <c r="AM525" i="92"/>
  <c r="AX432" i="92"/>
  <c r="AL486" i="92"/>
  <c r="AW704" i="92"/>
  <c r="AW257" i="92"/>
  <c r="AY375" i="92"/>
  <c r="AH645" i="92"/>
  <c r="AZ330" i="92"/>
  <c r="AT690" i="92"/>
  <c r="AZ733" i="92"/>
  <c r="AZ586" i="92"/>
  <c r="AT669" i="92"/>
  <c r="AH756" i="92"/>
  <c r="AH481" i="92"/>
  <c r="AZ554" i="92"/>
  <c r="AV521" i="92"/>
  <c r="AO277" i="92"/>
  <c r="AZ508" i="92"/>
  <c r="AZ501" i="92"/>
  <c r="AK668" i="92"/>
  <c r="AZ635" i="92"/>
  <c r="AZ483" i="92"/>
  <c r="AF762" i="92"/>
  <c r="AZ385" i="92"/>
  <c r="AZ524" i="92"/>
  <c r="AO694" i="92"/>
  <c r="AZ257" i="92"/>
  <c r="AO248" i="92"/>
  <c r="AJ689" i="92"/>
  <c r="AZ761" i="92"/>
  <c r="AO480" i="92"/>
  <c r="AN272" i="92"/>
  <c r="AY630" i="92"/>
  <c r="AW643" i="92"/>
  <c r="AL400" i="92"/>
  <c r="AN191" i="92"/>
  <c r="AM298" i="92"/>
  <c r="AX643" i="92"/>
  <c r="AN387" i="92"/>
  <c r="AZ699" i="92"/>
  <c r="AS500" i="92"/>
  <c r="AZ83" i="92"/>
  <c r="AZ682" i="92"/>
  <c r="AZ365" i="92"/>
  <c r="AO214" i="92"/>
  <c r="AZ711" i="92"/>
  <c r="AJ542" i="92"/>
  <c r="AT738" i="92"/>
  <c r="AZ295" i="92"/>
  <c r="AZ104" i="92"/>
  <c r="AZ541" i="92"/>
  <c r="AI733" i="92"/>
  <c r="AZ129" i="92"/>
  <c r="AN758" i="92"/>
  <c r="AN681" i="92"/>
  <c r="AX758" i="92"/>
  <c r="AW168" i="92"/>
  <c r="AW174" i="92"/>
  <c r="AL98" i="92"/>
  <c r="AL498" i="92"/>
  <c r="AY92" i="92"/>
  <c r="AT386" i="92"/>
  <c r="AZ294" i="92"/>
  <c r="AZ555" i="92"/>
  <c r="AJ649" i="92"/>
  <c r="AZ404" i="92"/>
  <c r="AT508" i="92"/>
  <c r="AZ650" i="92"/>
  <c r="AZ182" i="92"/>
  <c r="AZ54" i="92"/>
  <c r="AR608" i="92"/>
  <c r="AO714" i="92"/>
  <c r="AJ486" i="92"/>
  <c r="AS441" i="92"/>
  <c r="AZ465" i="92"/>
  <c r="AS422" i="92"/>
  <c r="AO707" i="92"/>
  <c r="AV504" i="92"/>
  <c r="AJ418" i="92"/>
  <c r="AZ577" i="92"/>
  <c r="AZ663" i="92"/>
  <c r="AZ477" i="92"/>
  <c r="AV494" i="92"/>
  <c r="AN289" i="92"/>
  <c r="AL519" i="92"/>
  <c r="AX596" i="92"/>
  <c r="AX412" i="92"/>
  <c r="AM40" i="92"/>
  <c r="AL734" i="92"/>
  <c r="AM660" i="92"/>
  <c r="AX240" i="92"/>
  <c r="AM608" i="92"/>
  <c r="AL304" i="92"/>
  <c r="AW377" i="92"/>
  <c r="AZ597" i="92"/>
  <c r="AZ478" i="92"/>
  <c r="AS656" i="92"/>
  <c r="AO193" i="92"/>
  <c r="AZ46" i="92"/>
  <c r="AQ459" i="92"/>
  <c r="AL164" i="92"/>
  <c r="AY24" i="92"/>
  <c r="AL281" i="92"/>
  <c r="AN658" i="92"/>
  <c r="AW289" i="92"/>
  <c r="AW552" i="92"/>
  <c r="AL417" i="92"/>
  <c r="AM712" i="92"/>
  <c r="AW81" i="92"/>
  <c r="AZ626" i="92"/>
  <c r="AX421" i="92"/>
  <c r="AY733" i="92"/>
  <c r="AW644" i="92"/>
  <c r="AN342" i="92"/>
  <c r="AX448" i="92"/>
  <c r="AW585" i="92"/>
  <c r="AM369" i="92"/>
  <c r="AN82" i="92"/>
  <c r="AY240" i="92"/>
  <c r="AL495" i="92"/>
  <c r="AL357" i="92"/>
  <c r="AH387" i="92"/>
  <c r="AT728" i="92"/>
  <c r="AI451" i="92"/>
  <c r="AT753" i="92"/>
  <c r="AT449" i="92"/>
  <c r="AT445" i="92"/>
  <c r="AS649" i="92"/>
  <c r="AI434" i="92"/>
  <c r="AS470" i="92"/>
  <c r="AT555" i="92"/>
  <c r="AS461" i="92"/>
  <c r="AH732" i="92"/>
  <c r="AI634" i="92"/>
  <c r="AS513" i="92"/>
  <c r="AT684" i="92"/>
  <c r="AH476" i="92"/>
  <c r="AT717" i="92"/>
  <c r="AT564" i="92"/>
  <c r="AT441" i="92"/>
  <c r="AT398" i="92"/>
  <c r="AH681" i="92"/>
  <c r="AT646" i="92"/>
  <c r="AS401" i="92"/>
  <c r="AI627" i="92"/>
  <c r="AH384" i="92"/>
  <c r="AH564" i="92"/>
  <c r="AI619" i="92"/>
  <c r="AT613" i="92"/>
  <c r="AT648" i="92"/>
  <c r="AI618" i="92"/>
  <c r="AT433" i="92"/>
  <c r="AJ382" i="92"/>
  <c r="AH484" i="92"/>
  <c r="AU725" i="92"/>
  <c r="AZ416" i="92"/>
  <c r="AZ134" i="92"/>
  <c r="AO697" i="92"/>
  <c r="AZ245" i="92"/>
  <c r="AO111" i="92"/>
  <c r="AZ643" i="92"/>
  <c r="AR643" i="92"/>
  <c r="AQ462" i="92"/>
  <c r="AO678" i="92"/>
  <c r="AO324" i="92"/>
  <c r="AZ71" i="92"/>
  <c r="AI388" i="92"/>
  <c r="AS740" i="92"/>
  <c r="AR508" i="92"/>
  <c r="AZ130" i="92"/>
  <c r="AZ450" i="92"/>
  <c r="AZ183" i="92"/>
  <c r="AO500" i="92"/>
  <c r="AO713" i="92"/>
  <c r="AO165" i="92"/>
  <c r="AZ304" i="92"/>
  <c r="AZ162" i="92"/>
  <c r="AG710" i="92"/>
  <c r="AY457" i="92"/>
  <c r="AL488" i="92"/>
  <c r="AL210" i="92"/>
  <c r="AY614" i="92"/>
  <c r="AL195" i="92"/>
  <c r="AL139" i="92"/>
  <c r="AL348" i="92"/>
  <c r="AL548" i="92"/>
  <c r="AY268" i="92"/>
  <c r="AL283" i="92"/>
  <c r="AY187" i="92"/>
  <c r="AM267" i="92"/>
  <c r="AM465" i="92"/>
  <c r="AM454" i="92"/>
  <c r="AY424" i="92"/>
  <c r="AM269" i="92"/>
  <c r="AM626" i="92"/>
  <c r="AL662" i="92"/>
  <c r="AL723" i="92"/>
  <c r="AL517" i="92"/>
  <c r="AY640" i="92"/>
  <c r="AL632" i="92"/>
  <c r="AY139" i="92"/>
  <c r="AY409" i="92"/>
  <c r="AM146" i="92"/>
  <c r="AX124" i="92"/>
  <c r="AY554" i="92"/>
  <c r="AM96" i="92"/>
  <c r="AM594" i="92"/>
  <c r="AY102" i="92"/>
  <c r="AM74" i="92"/>
  <c r="AY231" i="92"/>
  <c r="AY251" i="92"/>
  <c r="AL408" i="92"/>
  <c r="AL650" i="92"/>
  <c r="AY438" i="92"/>
  <c r="AY331" i="92"/>
  <c r="AM473" i="92"/>
  <c r="AY52" i="92"/>
  <c r="AY173" i="92"/>
  <c r="AY578" i="92"/>
  <c r="AY366" i="92"/>
  <c r="AL476" i="92"/>
  <c r="AL373" i="92"/>
  <c r="AL392" i="92"/>
  <c r="AL222" i="92"/>
  <c r="AM397" i="92"/>
  <c r="AL262" i="92"/>
  <c r="AL631" i="92"/>
  <c r="AY730" i="92"/>
  <c r="AM210" i="92"/>
  <c r="AY610" i="92"/>
  <c r="AM130" i="92"/>
  <c r="AM268" i="92"/>
  <c r="AY378" i="92"/>
  <c r="AL635" i="92"/>
  <c r="AL313" i="92"/>
  <c r="AY150" i="92"/>
  <c r="AM131" i="92"/>
  <c r="AY182" i="92"/>
  <c r="AY669" i="92"/>
  <c r="AL447" i="92"/>
  <c r="AL665" i="92"/>
  <c r="AY406" i="92"/>
  <c r="AL701" i="92"/>
  <c r="AY513" i="92"/>
  <c r="AL645" i="92"/>
  <c r="AZ571" i="92"/>
  <c r="AO691" i="92"/>
  <c r="AQ761" i="92"/>
  <c r="AO72" i="92"/>
  <c r="AO271" i="92"/>
  <c r="AZ94" i="92"/>
  <c r="AO693" i="92"/>
  <c r="AH527" i="92"/>
  <c r="AZ506" i="92"/>
  <c r="AZ550" i="92"/>
  <c r="AZ372" i="92"/>
  <c r="AZ229" i="92"/>
  <c r="AR474" i="92"/>
  <c r="AO754" i="92"/>
  <c r="AO319" i="92"/>
  <c r="AZ261" i="92"/>
  <c r="AZ84" i="92"/>
  <c r="AO205" i="92"/>
  <c r="AZ526" i="92"/>
  <c r="AZ510" i="92"/>
  <c r="AT682" i="92"/>
  <c r="AZ762" i="92"/>
  <c r="AZ194" i="92"/>
  <c r="AZ185" i="92"/>
  <c r="AO127" i="92"/>
  <c r="AH741" i="92"/>
  <c r="AI486" i="92"/>
  <c r="AF692" i="92"/>
  <c r="AZ589" i="92"/>
  <c r="AV510" i="92"/>
  <c r="AM682" i="92"/>
  <c r="AM653" i="92"/>
  <c r="AM142" i="92"/>
  <c r="AL746" i="92"/>
  <c r="AM656" i="92"/>
  <c r="AL664" i="92"/>
  <c r="AM578" i="92"/>
  <c r="AL511" i="92"/>
  <c r="AM127" i="92"/>
  <c r="AM607" i="92"/>
  <c r="AY112" i="92"/>
  <c r="AL87" i="92"/>
  <c r="AL121" i="92"/>
  <c r="AM165" i="92"/>
  <c r="AY428" i="92"/>
  <c r="AY587" i="92"/>
  <c r="AY465" i="92"/>
  <c r="AY280" i="92"/>
  <c r="AN354" i="92"/>
  <c r="AM104" i="92"/>
  <c r="AM605" i="92"/>
  <c r="AL449" i="92"/>
  <c r="AY705" i="92"/>
  <c r="AY143" i="92"/>
  <c r="AM22" i="92"/>
  <c r="AY40" i="92"/>
  <c r="AY275" i="92"/>
  <c r="AM49" i="92"/>
  <c r="AY538" i="92"/>
  <c r="AM428" i="92"/>
  <c r="AY559" i="92"/>
  <c r="AY643" i="92"/>
  <c r="AY460" i="92"/>
  <c r="AL269" i="92"/>
  <c r="AY593" i="92"/>
  <c r="AM219" i="92"/>
  <c r="AM160" i="92"/>
  <c r="AY690" i="92"/>
  <c r="AM614" i="92"/>
  <c r="AM502" i="92"/>
  <c r="AY472" i="92"/>
  <c r="AL134" i="92"/>
  <c r="AM138" i="92"/>
  <c r="AM557" i="92"/>
  <c r="AL303" i="92"/>
  <c r="AY77" i="92"/>
  <c r="AL340" i="92"/>
  <c r="AN702" i="92"/>
  <c r="AL761" i="92"/>
  <c r="AY334" i="92"/>
  <c r="AL146" i="92"/>
  <c r="AY199" i="92"/>
  <c r="AM685" i="92"/>
  <c r="AL344" i="92"/>
  <c r="AL529" i="92"/>
  <c r="AY374" i="92"/>
  <c r="AY196" i="92"/>
  <c r="AY726" i="92"/>
  <c r="AY71" i="92"/>
  <c r="AL427" i="92"/>
  <c r="AM317" i="92"/>
  <c r="AL136" i="92"/>
  <c r="AY301" i="92"/>
  <c r="AM762" i="92"/>
  <c r="AY273" i="92"/>
  <c r="AM285" i="92"/>
  <c r="AM379" i="92"/>
  <c r="AY439" i="92"/>
  <c r="AL686" i="92"/>
  <c r="AL493" i="92"/>
  <c r="AY115" i="92"/>
  <c r="AZ258" i="92"/>
  <c r="AZ718" i="92"/>
  <c r="AZ660" i="92"/>
  <c r="AZ85" i="92"/>
  <c r="AZ157" i="92"/>
  <c r="AQ469" i="92"/>
  <c r="AZ636" i="92"/>
  <c r="AZ191" i="92"/>
  <c r="AS411" i="92"/>
  <c r="AZ452" i="92"/>
  <c r="AZ664" i="92"/>
  <c r="AZ459" i="92"/>
  <c r="AZ314" i="92"/>
  <c r="AG750" i="92"/>
  <c r="AU746" i="92"/>
  <c r="AZ216" i="92"/>
  <c r="AO137" i="92"/>
  <c r="AQ647" i="92"/>
  <c r="AZ623" i="92"/>
  <c r="AO422" i="92"/>
  <c r="AZ545" i="92"/>
  <c r="AZ513" i="92"/>
  <c r="AO351" i="92"/>
  <c r="AZ640" i="92"/>
  <c r="AZ739" i="92"/>
  <c r="AZ55" i="92"/>
  <c r="AM72" i="92"/>
  <c r="AM602" i="92"/>
  <c r="AY362" i="92"/>
  <c r="AM349" i="92"/>
  <c r="AL104" i="92"/>
  <c r="AY205" i="92"/>
  <c r="AY358" i="92"/>
  <c r="AM530" i="92"/>
  <c r="AM511" i="92"/>
  <c r="AY123" i="92"/>
  <c r="AY521" i="92"/>
  <c r="AM440" i="92"/>
  <c r="AY113" i="92"/>
  <c r="AM106" i="92"/>
  <c r="AM159" i="92"/>
  <c r="AM529" i="92"/>
  <c r="AM390" i="92"/>
  <c r="AM484" i="92"/>
  <c r="AY431" i="92"/>
  <c r="AY515" i="92"/>
  <c r="AL385" i="92"/>
  <c r="AY192" i="92"/>
  <c r="AL578" i="92"/>
  <c r="AL460" i="92"/>
  <c r="AM191" i="92"/>
  <c r="AM200" i="92"/>
  <c r="AM475" i="92"/>
  <c r="AM79" i="92"/>
  <c r="AY634" i="92"/>
  <c r="AM342" i="92"/>
  <c r="AM182" i="92"/>
  <c r="AL365" i="92"/>
  <c r="AL586" i="92"/>
  <c r="AL267" i="92"/>
  <c r="AM147" i="92"/>
  <c r="AX585" i="92"/>
  <c r="AL443" i="92"/>
  <c r="AL429" i="92"/>
  <c r="AL574" i="92"/>
  <c r="AY584" i="92"/>
  <c r="AM50" i="92"/>
  <c r="AY247" i="92"/>
  <c r="AM140" i="92"/>
  <c r="AM149" i="92"/>
  <c r="AY127" i="92"/>
  <c r="AY685" i="92"/>
  <c r="AM522" i="92"/>
  <c r="AY657" i="92"/>
  <c r="AM754" i="92"/>
  <c r="AY166" i="92"/>
  <c r="AY671" i="92"/>
  <c r="AM693" i="92"/>
  <c r="AY568" i="92"/>
  <c r="AY436" i="92"/>
  <c r="AL641" i="92"/>
  <c r="AN324" i="92"/>
  <c r="AN186" i="92"/>
  <c r="AM604" i="92"/>
  <c r="AM536" i="92"/>
  <c r="AM135" i="92"/>
  <c r="AY601" i="92"/>
  <c r="AL584" i="92"/>
  <c r="AL494" i="92"/>
  <c r="AY206" i="92"/>
  <c r="AL425" i="92"/>
  <c r="AL137" i="92"/>
  <c r="AL220" i="92"/>
  <c r="AL40" i="27"/>
  <c r="AL41" i="27"/>
  <c r="AL356" i="27" l="1"/>
  <c r="AL352" i="27"/>
  <c r="AL563" i="27"/>
  <c r="AL506" i="27"/>
  <c r="AL503" i="27"/>
  <c r="AL456" i="27"/>
  <c r="AL23" i="27"/>
  <c r="AL434" i="27"/>
  <c r="AL257" i="27"/>
  <c r="AL209" i="27"/>
  <c r="AL449" i="27"/>
  <c r="AL404" i="27"/>
  <c r="AL521" i="27"/>
  <c r="AL401" i="27"/>
  <c r="AL320" i="27"/>
  <c r="AL278" i="27"/>
  <c r="AL332" i="27"/>
  <c r="AL92" i="27"/>
  <c r="AL163" i="27"/>
  <c r="AL197" i="27"/>
  <c r="AL191" i="27"/>
  <c r="AL53" i="27"/>
  <c r="AL35" i="27"/>
  <c r="AL536" i="27"/>
  <c r="AL149" i="27"/>
  <c r="AL251" i="27"/>
  <c r="AL110" i="27"/>
  <c r="AL284" i="27"/>
  <c r="AL479" i="27"/>
  <c r="AL383" i="27"/>
  <c r="AL173" i="27"/>
  <c r="AL269" i="27"/>
  <c r="AL152" i="27"/>
  <c r="AL125" i="27"/>
  <c r="AL272" i="27"/>
  <c r="AL410" i="27"/>
  <c r="AL146" i="27"/>
  <c r="AL203" i="27"/>
  <c r="AL452" i="27"/>
  <c r="AL98" i="27"/>
  <c r="AL263" i="27"/>
  <c r="AL539" i="27"/>
  <c r="AL137" i="27"/>
  <c r="AL308" i="27"/>
  <c r="AL392" i="27"/>
  <c r="AL56" i="27"/>
  <c r="AL26" i="27"/>
  <c r="AL243" i="27"/>
  <c r="AL556" i="27"/>
  <c r="AL267" i="27"/>
  <c r="AL377" i="27"/>
  <c r="AL38" i="27"/>
  <c r="AL359" i="27"/>
  <c r="AL180" i="27"/>
  <c r="AL393" i="27"/>
  <c r="AL474" i="27"/>
  <c r="AL472" i="27"/>
  <c r="AL314" i="27"/>
  <c r="AL329" i="27"/>
  <c r="AL60" i="27"/>
  <c r="AL501" i="27"/>
  <c r="AL454" i="27"/>
  <c r="AL395" i="27"/>
  <c r="AL344" i="27"/>
  <c r="AL73" i="27"/>
  <c r="AL353" i="27"/>
  <c r="AL7" i="27"/>
  <c r="AL431" i="27"/>
  <c r="AL127" i="27"/>
  <c r="AL371" i="27"/>
  <c r="AL59" i="27"/>
  <c r="AL39" i="27"/>
  <c r="AL5" i="27"/>
  <c r="AL277" i="27"/>
  <c r="AL543" i="27"/>
  <c r="AL476" i="27"/>
  <c r="AL45" i="27"/>
  <c r="AL72" i="27"/>
  <c r="AL66" i="27"/>
  <c r="AL22" i="27"/>
  <c r="AL192" i="27"/>
  <c r="AL262" i="27"/>
  <c r="AL121" i="27"/>
  <c r="AL143" i="27"/>
  <c r="AL46" i="27"/>
  <c r="AL432" i="27"/>
  <c r="AL286" i="27"/>
  <c r="AL368" i="27"/>
  <c r="AL70" i="27"/>
  <c r="AL336" i="27"/>
  <c r="AL526" i="27"/>
  <c r="AL223" i="27"/>
  <c r="AL176" i="27"/>
  <c r="AL136" i="27"/>
  <c r="AL172" i="27"/>
  <c r="AL413" i="27"/>
  <c r="AL559" i="27"/>
  <c r="AL281" i="27"/>
  <c r="AL546" i="27"/>
  <c r="AL303" i="27"/>
  <c r="AL253" i="27"/>
  <c r="AL485" i="27"/>
  <c r="AL77" i="27"/>
  <c r="AL409" i="27"/>
  <c r="AL131" i="27"/>
  <c r="AL445" i="27"/>
  <c r="AL78" i="27"/>
  <c r="AL464" i="27"/>
  <c r="AL388" i="27"/>
  <c r="AL175" i="27"/>
  <c r="AL496" i="27"/>
  <c r="AL270" i="27"/>
  <c r="AL399" i="27"/>
  <c r="AL451" i="27"/>
  <c r="AL480" i="27"/>
  <c r="AL24" i="27"/>
  <c r="AL382" i="27"/>
  <c r="AL490" i="27"/>
  <c r="AL157" i="27"/>
  <c r="AL139" i="27"/>
  <c r="AL208" i="27"/>
  <c r="AL249" i="27"/>
  <c r="AL201" i="27"/>
  <c r="AL61" i="27"/>
  <c r="AL300" i="27"/>
  <c r="AL271" i="27"/>
  <c r="AL231" i="27"/>
  <c r="AL179" i="27"/>
  <c r="AL124" i="27"/>
  <c r="AL467" i="27"/>
  <c r="AL375" i="27"/>
  <c r="AL285" i="27"/>
  <c r="AL74" i="27"/>
  <c r="AL411" i="27"/>
  <c r="AL14" i="27"/>
  <c r="AL114" i="27"/>
  <c r="AL49" i="27"/>
  <c r="AL17" i="27"/>
  <c r="AL148" i="27"/>
  <c r="AL155" i="27"/>
  <c r="AL484" i="27"/>
  <c r="AL28" i="27"/>
  <c r="AL471" i="27"/>
  <c r="AL167" i="27"/>
  <c r="AL246" i="27"/>
  <c r="AL302" i="27"/>
  <c r="AL100" i="27"/>
  <c r="AL54" i="27"/>
  <c r="AL64" i="27"/>
  <c r="AL289" i="27"/>
  <c r="AL21" i="27"/>
  <c r="AL282" i="27"/>
  <c r="AL55" i="27"/>
  <c r="AL333" i="27"/>
  <c r="AL387" i="27"/>
  <c r="AL261" i="27"/>
  <c r="AL351" i="27"/>
  <c r="AL32" i="27"/>
  <c r="AL34" i="27"/>
  <c r="AL151" i="27"/>
  <c r="AL422" i="27"/>
  <c r="AL348" i="27"/>
  <c r="AL418" i="27"/>
  <c r="AL461" i="27"/>
  <c r="AL133" i="27"/>
  <c r="AL440" i="27"/>
  <c r="AL68" i="27"/>
  <c r="AL130" i="27"/>
  <c r="AL165" i="27"/>
  <c r="AL297" i="27"/>
  <c r="AL502" i="27"/>
  <c r="AL319" i="27"/>
  <c r="AL16" i="27"/>
  <c r="AL459" i="27"/>
  <c r="AL429" i="27"/>
  <c r="AL473" i="27"/>
  <c r="AL76" i="27"/>
  <c r="AL174" i="27"/>
  <c r="AL287" i="27"/>
  <c r="AL519" i="27"/>
  <c r="AL113" i="27"/>
  <c r="AL67" i="27"/>
  <c r="AL37" i="27"/>
  <c r="AL331" i="27"/>
  <c r="AL245" i="27"/>
  <c r="AL309" i="27"/>
  <c r="AL460" i="27"/>
  <c r="AL48" i="27"/>
  <c r="AL58" i="27"/>
  <c r="AL62" i="27"/>
  <c r="AL436" i="27"/>
  <c r="AL483" i="27"/>
  <c r="AL288" i="27"/>
  <c r="AL51" i="27"/>
  <c r="AL19" i="27"/>
  <c r="AL513" i="27"/>
  <c r="AL89" i="27"/>
  <c r="AL128" i="27"/>
  <c r="AL465" i="27"/>
  <c r="AL106" i="27"/>
  <c r="AL213" i="27"/>
  <c r="AL498" i="27"/>
  <c r="AL509" i="27"/>
  <c r="AL161" i="27"/>
  <c r="AL450" i="27"/>
  <c r="AL517" i="27"/>
  <c r="AL135" i="27"/>
  <c r="AL362" i="27"/>
  <c r="AL9" i="27"/>
  <c r="AL396" i="27"/>
  <c r="AL36" i="27"/>
  <c r="AL424" i="27"/>
  <c r="AL525" i="27"/>
  <c r="AL522" i="27"/>
  <c r="AL390" i="27"/>
  <c r="AL468" i="27"/>
  <c r="AL493" i="27"/>
  <c r="AL433" i="27"/>
  <c r="AL321" i="27"/>
  <c r="AL523" i="27"/>
  <c r="AL379" i="27"/>
  <c r="AL134" i="27"/>
  <c r="AL453" i="27"/>
  <c r="AL273" i="27"/>
  <c r="AL442" i="27"/>
  <c r="AL279" i="27"/>
  <c r="AL226" i="27"/>
  <c r="AL324" i="27"/>
  <c r="AL29" i="27"/>
  <c r="AL211" i="27"/>
  <c r="AL355" i="27"/>
  <c r="AL518" i="27"/>
  <c r="AL402" i="27"/>
  <c r="AL339" i="27"/>
  <c r="AL507" i="27"/>
  <c r="AL540" i="27"/>
  <c r="AL364" i="27"/>
  <c r="AL330" i="27"/>
  <c r="AL69" i="27"/>
  <c r="AL514" i="27"/>
  <c r="AL403" i="27"/>
  <c r="AL565" i="27"/>
  <c r="AL142" i="27"/>
  <c r="AL247" i="27"/>
  <c r="AL13" i="27"/>
  <c r="AL30" i="27"/>
  <c r="AL33" i="27"/>
  <c r="AL342" i="27"/>
  <c r="AL18" i="27"/>
  <c r="AL349" i="27"/>
  <c r="AL477" i="27"/>
  <c r="AL499" i="27"/>
  <c r="AL334" i="27"/>
  <c r="AL291" i="27"/>
  <c r="AL318" i="27"/>
  <c r="AL315" i="27"/>
  <c r="AL15" i="27"/>
  <c r="AL495" i="27"/>
  <c r="AL417" i="27"/>
  <c r="AL408" i="27"/>
  <c r="AL504" i="27"/>
  <c r="AL57" i="27"/>
  <c r="AL95" i="27"/>
  <c r="AL81" i="27"/>
  <c r="AL400" i="27"/>
  <c r="AL156" i="27"/>
  <c r="AL505" i="27"/>
  <c r="AL313" i="27"/>
  <c r="AL248" i="27"/>
  <c r="AL457" i="27"/>
  <c r="AL425" i="27"/>
  <c r="AL86" i="27" l="1"/>
  <c r="AL566" i="27"/>
  <c r="AL44" i="27"/>
  <c r="AL296" i="27"/>
  <c r="AL350" i="27"/>
  <c r="AL491" i="27"/>
  <c r="AL280" i="27"/>
  <c r="AL101" i="27"/>
  <c r="AL317" i="27"/>
  <c r="AL533" i="27"/>
  <c r="AL260" i="27"/>
  <c r="AL482" i="27"/>
  <c r="AL323" i="27"/>
  <c r="AL215" i="27"/>
  <c r="AL542" i="27"/>
  <c r="AL71" i="27"/>
  <c r="AL233" i="27"/>
  <c r="AL50" i="27"/>
  <c r="AL171" i="27"/>
  <c r="AL443" i="27"/>
  <c r="AL512" i="27"/>
  <c r="AL338" i="27"/>
  <c r="AL428" i="27"/>
  <c r="AL548" i="27"/>
  <c r="AL83" i="27"/>
  <c r="AL520" i="27"/>
  <c r="AL462" i="27"/>
  <c r="AL510" i="27"/>
  <c r="AL419" i="27"/>
  <c r="AL154" i="27"/>
  <c r="AL299" i="27"/>
  <c r="AL357" i="27"/>
  <c r="AL564" i="27"/>
  <c r="AL374" i="27"/>
  <c r="AL337" i="27"/>
  <c r="AL198" i="27"/>
  <c r="AL405" i="27"/>
  <c r="AL421" i="27"/>
  <c r="AL150" i="27"/>
  <c r="AL294" i="27"/>
  <c r="AL158" i="27"/>
  <c r="AL195" i="27"/>
  <c r="AL244" i="27"/>
  <c r="AL346" i="27"/>
  <c r="AL103" i="27"/>
  <c r="AL494" i="27"/>
  <c r="AL239" i="27"/>
  <c r="AL534" i="27"/>
  <c r="AL10" i="27"/>
  <c r="AL219" i="27"/>
  <c r="AL310" i="27"/>
  <c r="AL366" i="27"/>
  <c r="AL386" i="27"/>
  <c r="AL87" i="27"/>
  <c r="AL80" i="27"/>
  <c r="AL292" i="27"/>
  <c r="AL423" i="27"/>
  <c r="AL367" i="27"/>
  <c r="AL250" i="27"/>
  <c r="AL12" i="27"/>
  <c r="AL193" i="27"/>
  <c r="AL311" i="27"/>
  <c r="AL97" i="27"/>
  <c r="AL6" i="27"/>
  <c r="AL562" i="27"/>
  <c r="AL212" i="27"/>
  <c r="AL530" i="27"/>
  <c r="AL298" i="27"/>
  <c r="AL162" i="27"/>
  <c r="AL218" i="27"/>
  <c r="AL415" i="27"/>
  <c r="AL194" i="27"/>
  <c r="AL227" i="27"/>
  <c r="AL108" i="27"/>
  <c r="AL469" i="27"/>
  <c r="AL228" i="27"/>
  <c r="AL327" i="27"/>
  <c r="AL391" i="27"/>
  <c r="AL178" i="27"/>
  <c r="AL196" i="27"/>
  <c r="AL266" i="27"/>
  <c r="AL365" i="27"/>
  <c r="AL117" i="27"/>
  <c r="AL541" i="27"/>
  <c r="AL230" i="27"/>
  <c r="AL361" i="27"/>
  <c r="AL232" i="27"/>
  <c r="AL500" i="27"/>
  <c r="AL221" i="27"/>
  <c r="AL481" i="27"/>
  <c r="AL105" i="27"/>
  <c r="AL182" i="27"/>
  <c r="AL470" i="27"/>
  <c r="AL204" i="27"/>
  <c r="AL96" i="27"/>
  <c r="AL31" i="27"/>
  <c r="AL389" i="27"/>
  <c r="AL427" i="27"/>
  <c r="AL347" i="27"/>
  <c r="AL188" i="27"/>
  <c r="AL448" i="27"/>
  <c r="AL159" i="27"/>
  <c r="AL202" i="27"/>
  <c r="AL439" i="27"/>
  <c r="AL140" i="27"/>
  <c r="AL252" i="27"/>
  <c r="AL531" i="27"/>
  <c r="AL426" i="27"/>
  <c r="AL265" i="27"/>
  <c r="AL118" i="27"/>
  <c r="AL141" i="27"/>
  <c r="AL532" i="27"/>
  <c r="AL119" i="27"/>
  <c r="AL554" i="27"/>
  <c r="AL416" i="27"/>
  <c r="AL225" i="27"/>
  <c r="AL549" i="27"/>
  <c r="AL466" i="27"/>
  <c r="AL112" i="27"/>
  <c r="AL214" i="27"/>
  <c r="AL138" i="27"/>
  <c r="AL259" i="27"/>
  <c r="AL190" i="27"/>
  <c r="AL397" i="27"/>
  <c r="AL420" i="27"/>
  <c r="AL132" i="27"/>
  <c r="AL256" i="27"/>
  <c r="AL216" i="27"/>
  <c r="AL255" i="27"/>
  <c r="AL322" i="27"/>
  <c r="AL304" i="27"/>
  <c r="AL553" i="27"/>
  <c r="AL560" i="27"/>
  <c r="AL185" i="27"/>
  <c r="AL545" i="27"/>
  <c r="AL168" i="27"/>
  <c r="AL224" i="27"/>
  <c r="AL126" i="27"/>
  <c r="AL558" i="27"/>
  <c r="AL406" i="27"/>
  <c r="AL122" i="27"/>
  <c r="AL88" i="27"/>
  <c r="AL376" i="27"/>
  <c r="AL407" i="27"/>
  <c r="AL283" i="27"/>
  <c r="AL145" i="27"/>
  <c r="AL528" i="27"/>
  <c r="AL458" i="27"/>
  <c r="AL217" i="27"/>
  <c r="AL241" i="27"/>
  <c r="AL184" i="27"/>
  <c r="AL93" i="27"/>
  <c r="AL254" i="27"/>
  <c r="AL446" i="27"/>
  <c r="AL276" i="27"/>
  <c r="AL210" i="27"/>
  <c r="AL373" i="27"/>
  <c r="AL394" i="27"/>
  <c r="AL236" i="27"/>
  <c r="AL455" i="27"/>
  <c r="AL435" i="27"/>
  <c r="AL177" i="27"/>
  <c r="AL199" i="27"/>
  <c r="AL535" i="27"/>
  <c r="AL340" i="27"/>
  <c r="AL370" i="27"/>
  <c r="AL181" i="27"/>
  <c r="AL326" i="27"/>
  <c r="AL305" i="27"/>
  <c r="AL237" i="27"/>
  <c r="AL120" i="27"/>
  <c r="AL475" i="27"/>
  <c r="AL264" i="27"/>
  <c r="AL369" i="27"/>
  <c r="AL412" i="27"/>
  <c r="AL437" i="27"/>
  <c r="AL147" i="27"/>
  <c r="AL430" i="27"/>
  <c r="AL529" i="27"/>
  <c r="AL354" i="27"/>
  <c r="AL537" i="27"/>
  <c r="AL104" i="27"/>
  <c r="AL109" i="27"/>
  <c r="AL381" i="27"/>
  <c r="AL360" i="27"/>
  <c r="AL164" i="27"/>
  <c r="AL478" i="27"/>
  <c r="AL189" i="27"/>
  <c r="AL293" i="27"/>
  <c r="AL115" i="27"/>
  <c r="AL94" i="27"/>
  <c r="AL234" i="27"/>
  <c r="AL463" i="27"/>
  <c r="AL220" i="27"/>
  <c r="AL268" i="27"/>
  <c r="AL116" i="27"/>
  <c r="AL111" i="27"/>
  <c r="AL160" i="27"/>
  <c r="AL547" i="27"/>
  <c r="AL186" i="27"/>
  <c r="AL206" i="27"/>
  <c r="AL527" i="27"/>
  <c r="AL290" i="27"/>
  <c r="AL447" i="27"/>
  <c r="AL567" i="27"/>
  <c r="AL552" i="27"/>
  <c r="AL153" i="27"/>
  <c r="AL555" i="27"/>
  <c r="AL363" i="27"/>
  <c r="AL102" i="27"/>
  <c r="AL183" i="27"/>
  <c r="AL90" i="27"/>
  <c r="AL341" i="27"/>
  <c r="AL316" i="27"/>
  <c r="AL91" i="27"/>
  <c r="AL242" i="27"/>
  <c r="AL378" i="27"/>
  <c r="AL372" i="27"/>
  <c r="AL123" i="27"/>
  <c r="AL275" i="27"/>
  <c r="AL79" i="27"/>
  <c r="AL358" i="27"/>
  <c r="AL398" i="27"/>
  <c r="AL550" i="27"/>
  <c r="AL551" i="27"/>
  <c r="AL258" i="27"/>
  <c r="AL328" i="27"/>
  <c r="AL229" i="27"/>
  <c r="AL486" i="27"/>
  <c r="AL52" i="27"/>
  <c r="AL129" i="27"/>
  <c r="AL444" i="27"/>
  <c r="AL42" i="27"/>
  <c r="AL508" i="27"/>
  <c r="AL27" i="27"/>
  <c r="AL511" i="27"/>
  <c r="AL295" i="27"/>
  <c r="AL492" i="27"/>
  <c r="AL487" i="27"/>
  <c r="AL312" i="27"/>
  <c r="AL489" i="27"/>
  <c r="AL84" i="27"/>
  <c r="AL516" i="27"/>
  <c r="AL1" i="27"/>
  <c r="AK1" i="27"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Rawa GANJANI</author>
  </authors>
  <commentList>
    <comment ref="T2" authorId="0" shapeId="0" xr:uid="{09265785-C7EA-46BF-AB28-3BBEE8009B08}">
      <text>
        <r>
          <rPr>
            <b/>
            <sz val="9"/>
            <color rgb="FF000000"/>
            <rFont val="Tahoma"/>
            <family val="2"/>
          </rPr>
          <t>Rawa GANJANI:</t>
        </r>
        <r>
          <rPr>
            <sz val="9"/>
            <color rgb="FF000000"/>
            <rFont val="Tahoma"/>
            <family val="2"/>
          </rPr>
          <t xml:space="preserve">
</t>
        </r>
        <r>
          <rPr>
            <sz val="9"/>
            <color rgb="FF000000"/>
            <rFont val="Tahoma"/>
            <family val="2"/>
          </rPr>
          <t xml:space="preserve">Rounded to the nearest 5
</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81FC9124-4A17-4AC6-9888-989699803376}" keepAlive="1" name="Query - tblClusterPiN5" description="Connection to the 'tblClusterPiN5' query in the workbook." type="5" refreshedVersion="0" background="1" saveData="1">
    <dbPr connection="Provider=Microsoft.Mashup.OleDb.1;Data Source=$Workbook$;Location=tblClusterPiN5;Extended Properties=&quot;&quot;" command="SELECT * FROM [tblClusterPiN5]"/>
  </connection>
</connections>
</file>

<file path=xl/sharedStrings.xml><?xml version="1.0" encoding="utf-8"?>
<sst xmlns="http://schemas.openxmlformats.org/spreadsheetml/2006/main" count="22542" uniqueCount="753">
  <si>
    <t>Please do not delete this sheet or tables in this sheet!</t>
  </si>
  <si>
    <t>Tables in this sheet are being used in formulas in other sheets!</t>
  </si>
  <si>
    <t>Population disaggregation</t>
  </si>
  <si>
    <t>Adult 18+</t>
  </si>
  <si>
    <t>Children 5 to 17 - school-aged children</t>
  </si>
  <si>
    <t>Children under 5</t>
  </si>
  <si>
    <t>Elderly 60+</t>
  </si>
  <si>
    <t>Adult Male</t>
  </si>
  <si>
    <t>Adult Female</t>
  </si>
  <si>
    <t>Children Male</t>
  </si>
  <si>
    <t>Children Female</t>
  </si>
  <si>
    <t>Children U5 Male</t>
  </si>
  <si>
    <t>Children U5 Female</t>
  </si>
  <si>
    <t>Elderly Male 60+</t>
  </si>
  <si>
    <t>Elderly Female 60+</t>
  </si>
  <si>
    <t>PiN Flagging criteria &amp; thresholds</t>
  </si>
  <si>
    <t>Flag Name</t>
  </si>
  <si>
    <t xml:space="preserve">Flag Description </t>
  </si>
  <si>
    <t>Recommended Threshold</t>
  </si>
  <si>
    <t>Country Threshold</t>
  </si>
  <si>
    <t xml:space="preserve">Explanation for proposing another threshold </t>
  </si>
  <si>
    <t>Purpose</t>
  </si>
  <si>
    <t># Sectors with 0 PiN</t>
  </si>
  <si>
    <t>To flag potential data quality issue</t>
  </si>
  <si>
    <t>% Difference between 1st and 2nd highest PIN</t>
  </si>
  <si>
    <t>% difference threshold between 1st and 2nd highest PiN greater than 30%</t>
  </si>
  <si>
    <t>To identify areas to manual review</t>
  </si>
  <si>
    <t>% Difference between 1st and 3rd highest PIN</t>
  </si>
  <si>
    <t>% difference threshold between 1st and 3rd highest PiN greater than 50%</t>
  </si>
  <si>
    <t>Highest sector PIN targets sub-population group(s)</t>
  </si>
  <si>
    <t>Whenever a cluster dealing with a sub-population group is higher than any other cluster - e.g., Education and Nutrition</t>
  </si>
  <si>
    <t>PiN greater than 90% of total affected population</t>
  </si>
  <si>
    <t>Flag where the 1st or the 2nd highest PiN is 90% of the affected population</t>
  </si>
  <si>
    <t>Change from last year</t>
  </si>
  <si>
    <t>Flag where the change from last year of the 1st or 2nd highest PiN is significantly higher than the the average change from last year of all clusters</t>
  </si>
  <si>
    <t>Manual Flag</t>
  </si>
  <si>
    <t>Any area can be flagged manually whenever there is a concern by any JIAF analysts about the PIN</t>
  </si>
  <si>
    <t>Outliers from the porpotion of highest PiN in the population nationwide</t>
  </si>
  <si>
    <t>% difference threshold between sectoral PiN change between this year and last year</t>
  </si>
  <si>
    <t>2std</t>
  </si>
  <si>
    <t>PiN - Sub-population group sectors</t>
  </si>
  <si>
    <t>Sector</t>
  </si>
  <si>
    <t>Proportion of sector target population in overall population</t>
  </si>
  <si>
    <t>Decision Rule for determining PIN</t>
  </si>
  <si>
    <t>Education</t>
  </si>
  <si>
    <t>1. accept highest PIN with no flags.  2. Accept highest PiN after reconciling any flags.  3. If no concensus on highest PIN, use 2nd highest PIN.  4. If no consensus on 2nd highest PIN elevate decision to HC level</t>
  </si>
  <si>
    <t>Nutrition</t>
  </si>
  <si>
    <t>Severity Flagging criteria &amp; thresholds</t>
  </si>
  <si>
    <t xml:space="preserve">Flagging criterion for PIN </t>
  </si>
  <si>
    <t># of sectors in phase 5</t>
  </si>
  <si>
    <t># of sectors in phase 4 or lower with preliminary in phase 5</t>
  </si>
  <si>
    <t>Data Quality Flag</t>
  </si>
  <si>
    <t>Context</t>
  </si>
  <si>
    <t>Shock</t>
  </si>
  <si>
    <t>Impact</t>
  </si>
  <si>
    <t>Location</t>
  </si>
  <si>
    <t>Aid Dependency</t>
  </si>
  <si>
    <t>Financial services availability</t>
  </si>
  <si>
    <t>Humanitarian Access</t>
  </si>
  <si>
    <t>IDP:Host ratio</t>
  </si>
  <si>
    <t>livelihood zones</t>
  </si>
  <si>
    <t>market functionality</t>
  </si>
  <si>
    <t>mobile coverage</t>
  </si>
  <si>
    <t>population figures</t>
  </si>
  <si>
    <t>Poverty</t>
  </si>
  <si>
    <t>conflict</t>
  </si>
  <si>
    <t>environment</t>
  </si>
  <si>
    <t>financial</t>
  </si>
  <si>
    <t>displacement</t>
  </si>
  <si>
    <t>Admin 1</t>
  </si>
  <si>
    <t>Admin 2</t>
  </si>
  <si>
    <t>Admin 3</t>
  </si>
  <si>
    <t>conflict intensity</t>
  </si>
  <si>
    <t>conflict proximity</t>
  </si>
  <si>
    <t>agro-ecological shock intensity</t>
  </si>
  <si>
    <t>agro-ecological shock proximity</t>
  </si>
  <si>
    <t>natural hazard intensity</t>
  </si>
  <si>
    <t>natural hazard proximity</t>
  </si>
  <si>
    <t>currency devaluation</t>
  </si>
  <si>
    <t>rate of inflation</t>
  </si>
  <si>
    <t>#IDP</t>
  </si>
  <si>
    <t>#Returnee</t>
  </si>
  <si>
    <t>#Refugee</t>
  </si>
  <si>
    <t>#Host</t>
  </si>
  <si>
    <t>#IDP in sites</t>
  </si>
  <si>
    <t>#IDP in Host Community</t>
  </si>
  <si>
    <t>Column Labels</t>
  </si>
  <si>
    <t>Host Community</t>
  </si>
  <si>
    <t>IDPs</t>
  </si>
  <si>
    <t>Non-displaced Population</t>
  </si>
  <si>
    <t>Refugees</t>
  </si>
  <si>
    <t>Grand Total</t>
  </si>
  <si>
    <t>Sum of Final PiN</t>
  </si>
  <si>
    <t>Values</t>
  </si>
  <si>
    <t>Sum of Education</t>
  </si>
  <si>
    <t>Sum of Food Security and Livlihoods</t>
  </si>
  <si>
    <t>FSL</t>
  </si>
  <si>
    <t xml:space="preserve">Sum of Health </t>
  </si>
  <si>
    <t>ESNFI</t>
  </si>
  <si>
    <t>Sum of Nutrition</t>
  </si>
  <si>
    <t>General Protection</t>
  </si>
  <si>
    <t>Sum of Protection</t>
  </si>
  <si>
    <t>GBV</t>
  </si>
  <si>
    <t>Sum of CP</t>
  </si>
  <si>
    <t>Child Protection</t>
  </si>
  <si>
    <t>Sum of GBV</t>
  </si>
  <si>
    <t>Sum of General Protection</t>
  </si>
  <si>
    <t>WASH</t>
  </si>
  <si>
    <t>Sum of Mine Action</t>
  </si>
  <si>
    <t>Health</t>
  </si>
  <si>
    <t xml:space="preserve">Sum of Shelter NFI </t>
  </si>
  <si>
    <t xml:space="preserve">Sum of Site Management </t>
  </si>
  <si>
    <t>Mine Action</t>
  </si>
  <si>
    <t>Sum of WASH</t>
  </si>
  <si>
    <t xml:space="preserve">Sum of Severity 3 PIN </t>
  </si>
  <si>
    <t>Sum of Severity 4 PIN</t>
  </si>
  <si>
    <t>Sum of Severity 5 PIN</t>
  </si>
  <si>
    <t>Row Labels</t>
  </si>
  <si>
    <t>SD01</t>
  </si>
  <si>
    <t>SD02</t>
  </si>
  <si>
    <t>SD03</t>
  </si>
  <si>
    <t>SD04</t>
  </si>
  <si>
    <t>SD05</t>
  </si>
  <si>
    <t>SD06</t>
  </si>
  <si>
    <t>SD07</t>
  </si>
  <si>
    <t>SD08</t>
  </si>
  <si>
    <t>SD09</t>
  </si>
  <si>
    <t>SD10</t>
  </si>
  <si>
    <t>SD11</t>
  </si>
  <si>
    <t>SD12</t>
  </si>
  <si>
    <t>SD13</t>
  </si>
  <si>
    <t>SD14</t>
  </si>
  <si>
    <t>SD15</t>
  </si>
  <si>
    <t>SD16</t>
  </si>
  <si>
    <t>SD17</t>
  </si>
  <si>
    <t>SD18</t>
  </si>
  <si>
    <t>SD19</t>
  </si>
  <si>
    <t>Population Group</t>
  </si>
  <si>
    <t>(All)</t>
  </si>
  <si>
    <t>Admin 2 P-Code</t>
  </si>
  <si>
    <t>2023 without refugee</t>
  </si>
  <si>
    <t>Central Darfur</t>
  </si>
  <si>
    <t>SD06110</t>
  </si>
  <si>
    <t>Azum</t>
  </si>
  <si>
    <t>Abyei PCA</t>
  </si>
  <si>
    <t>SD06112</t>
  </si>
  <si>
    <t>Bendasi</t>
  </si>
  <si>
    <t>Aj Jazirah</t>
  </si>
  <si>
    <t>SD06130</t>
  </si>
  <si>
    <t>Mukjar</t>
  </si>
  <si>
    <t>Blue Nile</t>
  </si>
  <si>
    <t>SD06131</t>
  </si>
  <si>
    <t>Gharb Jabal Marrah</t>
  </si>
  <si>
    <t>SD06132</t>
  </si>
  <si>
    <t>Shamal Jabal Marrah</t>
  </si>
  <si>
    <t>East Darfur</t>
  </si>
  <si>
    <t>SD06135</t>
  </si>
  <si>
    <t>Um Dukhun</t>
  </si>
  <si>
    <t>Gedaref</t>
  </si>
  <si>
    <t>SD06137</t>
  </si>
  <si>
    <t>Wadi Salih</t>
  </si>
  <si>
    <t>Kassala</t>
  </si>
  <si>
    <t>SD06138</t>
  </si>
  <si>
    <t>Zalingi</t>
  </si>
  <si>
    <t>Khartoum</t>
  </si>
  <si>
    <t>SD06139</t>
  </si>
  <si>
    <t>Wasat Jabal Marrah</t>
  </si>
  <si>
    <t>North Darfur</t>
  </si>
  <si>
    <t>SD05139</t>
  </si>
  <si>
    <t>Adila</t>
  </si>
  <si>
    <t>North Kordofan</t>
  </si>
  <si>
    <t>SD05140</t>
  </si>
  <si>
    <t>Abu Jabrah</t>
  </si>
  <si>
    <t>Northern</t>
  </si>
  <si>
    <t>SD05142</t>
  </si>
  <si>
    <t>Ad Du'ayn</t>
  </si>
  <si>
    <t>Red Sea</t>
  </si>
  <si>
    <t>SD05148</t>
  </si>
  <si>
    <t>Shia'ria</t>
  </si>
  <si>
    <t>River Nile</t>
  </si>
  <si>
    <t>SD05152</t>
  </si>
  <si>
    <t>Al Firdous</t>
  </si>
  <si>
    <t>Sennar</t>
  </si>
  <si>
    <t>SD05155</t>
  </si>
  <si>
    <t>Abu Karinka</t>
  </si>
  <si>
    <t>South Darfur</t>
  </si>
  <si>
    <t>SD05160</t>
  </si>
  <si>
    <t>Bahr Al Arab</t>
  </si>
  <si>
    <t>South Kordofan</t>
  </si>
  <si>
    <t>SD05163</t>
  </si>
  <si>
    <t>Assalaya</t>
  </si>
  <si>
    <t>West Darfur</t>
  </si>
  <si>
    <t>SD05165</t>
  </si>
  <si>
    <t>Yassin</t>
  </si>
  <si>
    <t>West Kordofan</t>
  </si>
  <si>
    <t>SD02113</t>
  </si>
  <si>
    <t>Dar As Salam</t>
  </si>
  <si>
    <t>White Nile</t>
  </si>
  <si>
    <t>SD02114</t>
  </si>
  <si>
    <t>Al Fasher</t>
  </si>
  <si>
    <t>SD02116</t>
  </si>
  <si>
    <t>Al Koma</t>
  </si>
  <si>
    <t>SD02117</t>
  </si>
  <si>
    <t>Al Malha</t>
  </si>
  <si>
    <t>SD02118</t>
  </si>
  <si>
    <t>As Serief</t>
  </si>
  <si>
    <t>SD02119</t>
  </si>
  <si>
    <t>At Tawisha</t>
  </si>
  <si>
    <t>SD02120</t>
  </si>
  <si>
    <t>Um Baru</t>
  </si>
  <si>
    <t>SD02124</t>
  </si>
  <si>
    <t>Kebkabiya</t>
  </si>
  <si>
    <t>SD02126</t>
  </si>
  <si>
    <t>Kelemando</t>
  </si>
  <si>
    <t>SD02128</t>
  </si>
  <si>
    <t>Kutum</t>
  </si>
  <si>
    <t>SD02129</t>
  </si>
  <si>
    <t>Melit</t>
  </si>
  <si>
    <t>SD02133</t>
  </si>
  <si>
    <t>Saraf Omra</t>
  </si>
  <si>
    <t>SD02136</t>
  </si>
  <si>
    <t>Um Kadadah</t>
  </si>
  <si>
    <t>SD02168</t>
  </si>
  <si>
    <t>Kernoi</t>
  </si>
  <si>
    <t>SD02169</t>
  </si>
  <si>
    <t>Al Lait</t>
  </si>
  <si>
    <t>SD02170</t>
  </si>
  <si>
    <t>Tawila</t>
  </si>
  <si>
    <t>SD02171</t>
  </si>
  <si>
    <t>At Tina</t>
  </si>
  <si>
    <t>SDTEMP</t>
  </si>
  <si>
    <t>Al Waha</t>
  </si>
  <si>
    <t>SD03141</t>
  </si>
  <si>
    <t>Al Radoum</t>
  </si>
  <si>
    <t>SD03143</t>
  </si>
  <si>
    <t>Ed Al Fursan</t>
  </si>
  <si>
    <t>SD03144</t>
  </si>
  <si>
    <t>Kas</t>
  </si>
  <si>
    <t>SD03145</t>
  </si>
  <si>
    <t>Mershing</t>
  </si>
  <si>
    <t>SD03146</t>
  </si>
  <si>
    <t>Um Dafoug</t>
  </si>
  <si>
    <t>SD03147</t>
  </si>
  <si>
    <t>Sharg Aj Jabal</t>
  </si>
  <si>
    <t>SD03149</t>
  </si>
  <si>
    <t>Tulus</t>
  </si>
  <si>
    <t>SD03150</t>
  </si>
  <si>
    <t>Al Wihda</t>
  </si>
  <si>
    <t>SD03151</t>
  </si>
  <si>
    <t>Nitega</t>
  </si>
  <si>
    <t>SD03153</t>
  </si>
  <si>
    <t>Gereida</t>
  </si>
  <si>
    <t>SD03154</t>
  </si>
  <si>
    <t>Shattaya</t>
  </si>
  <si>
    <t>SD03156</t>
  </si>
  <si>
    <t>As Sunta</t>
  </si>
  <si>
    <t>SD03157</t>
  </si>
  <si>
    <t>Kubum</t>
  </si>
  <si>
    <t>SD03158</t>
  </si>
  <si>
    <t>Rehaid Albirdi</t>
  </si>
  <si>
    <t>SD03159</t>
  </si>
  <si>
    <t>Kateila</t>
  </si>
  <si>
    <t>SD03161</t>
  </si>
  <si>
    <t>Buram</t>
  </si>
  <si>
    <t>SD03162</t>
  </si>
  <si>
    <t>Beliel</t>
  </si>
  <si>
    <t>SD03164</t>
  </si>
  <si>
    <t>Nyala Shimal</t>
  </si>
  <si>
    <t>SD03166</t>
  </si>
  <si>
    <t>As Salam - SD</t>
  </si>
  <si>
    <t>SD03167</t>
  </si>
  <si>
    <t>Nyala Janoub</t>
  </si>
  <si>
    <t>SD03172</t>
  </si>
  <si>
    <t>Damso</t>
  </si>
  <si>
    <t>SD04111</t>
  </si>
  <si>
    <t>Beida</t>
  </si>
  <si>
    <t>SD04115</t>
  </si>
  <si>
    <t>Ag Geneina</t>
  </si>
  <si>
    <t>SD04121</t>
  </si>
  <si>
    <t>Foro Baranga</t>
  </si>
  <si>
    <t>SD04122</t>
  </si>
  <si>
    <t>Habila - WD</t>
  </si>
  <si>
    <t>SD04123</t>
  </si>
  <si>
    <t>Jebel Moon</t>
  </si>
  <si>
    <t>SD04125</t>
  </si>
  <si>
    <t>Kereneik</t>
  </si>
  <si>
    <t>SD04127</t>
  </si>
  <si>
    <t>Kulbus</t>
  </si>
  <si>
    <t>SD04134</t>
  </si>
  <si>
    <t>Sirba</t>
  </si>
  <si>
    <t>Populaton</t>
  </si>
  <si>
    <t>Clusters' PiN (Number)</t>
  </si>
  <si>
    <t>Highest Sector(s)</t>
  </si>
  <si>
    <t>All Flags</t>
  </si>
  <si>
    <t>ID</t>
  </si>
  <si>
    <t>Admin 1 P-Code</t>
  </si>
  <si>
    <t>Admin 3 P-Code</t>
  </si>
  <si>
    <t>Total Population</t>
  </si>
  <si>
    <t xml:space="preserve">Site Management </t>
  </si>
  <si>
    <t>Food Security and Livlihoods</t>
  </si>
  <si>
    <t xml:space="preserve">Health </t>
  </si>
  <si>
    <t>Protection</t>
  </si>
  <si>
    <t xml:space="preserve">Shelter NFI </t>
  </si>
  <si>
    <t>CP</t>
  </si>
  <si>
    <t>Site Management %</t>
  </si>
  <si>
    <t>Education %</t>
  </si>
  <si>
    <t>Food Security and Livlihoods %</t>
  </si>
  <si>
    <t>Health %</t>
  </si>
  <si>
    <t>Nutrition %</t>
  </si>
  <si>
    <t>Protection %</t>
  </si>
  <si>
    <t>Shelter NFI %</t>
  </si>
  <si>
    <t>WASH %</t>
  </si>
  <si>
    <t>Child Protection (CP)%</t>
  </si>
  <si>
    <t>Gender-based Violence (GBV)%</t>
  </si>
  <si>
    <t>Mine Action%</t>
  </si>
  <si>
    <t>General Protection%</t>
  </si>
  <si>
    <t>Highest PiN</t>
  </si>
  <si>
    <t>Highest sector(s') PiN %</t>
  </si>
  <si>
    <t>Highest PiN greater than 90% of total affected population</t>
  </si>
  <si>
    <t>Explanation for Manual Flag</t>
  </si>
  <si>
    <t># Flags</t>
  </si>
  <si>
    <t>Flagged</t>
  </si>
  <si>
    <t>Final PiN</t>
  </si>
  <si>
    <t>Jebel Awlia</t>
  </si>
  <si>
    <t>SD01001</t>
  </si>
  <si>
    <t>Um Bada</t>
  </si>
  <si>
    <t>SD01002</t>
  </si>
  <si>
    <t>Bahri</t>
  </si>
  <si>
    <t>SD01003</t>
  </si>
  <si>
    <t>Sharg An Neel</t>
  </si>
  <si>
    <t>SD01004</t>
  </si>
  <si>
    <t>Karrari</t>
  </si>
  <si>
    <t>SD01005</t>
  </si>
  <si>
    <t>Um Durman</t>
  </si>
  <si>
    <t>SD01006</t>
  </si>
  <si>
    <t>SD01007</t>
  </si>
  <si>
    <t>Abu Jubayhah</t>
  </si>
  <si>
    <t>SD07088</t>
  </si>
  <si>
    <t>Talawdi</t>
  </si>
  <si>
    <t>SD07089</t>
  </si>
  <si>
    <t>Abassiya</t>
  </si>
  <si>
    <t>SD07090</t>
  </si>
  <si>
    <t>Um Durein</t>
  </si>
  <si>
    <t>SD07091</t>
  </si>
  <si>
    <t>Ar Rashad</t>
  </si>
  <si>
    <t>SD07093</t>
  </si>
  <si>
    <t>Al Quoz</t>
  </si>
  <si>
    <t>SD07094</t>
  </si>
  <si>
    <t>Dilling</t>
  </si>
  <si>
    <t>SD07095</t>
  </si>
  <si>
    <t>Heiban</t>
  </si>
  <si>
    <t>SD07096</t>
  </si>
  <si>
    <t>Ar Reif Ash Shargi</t>
  </si>
  <si>
    <t>SD07097</t>
  </si>
  <si>
    <t>Kadugli</t>
  </si>
  <si>
    <t>SD07098</t>
  </si>
  <si>
    <t>Al Buram</t>
  </si>
  <si>
    <t>SD07099</t>
  </si>
  <si>
    <t>Habila - SK</t>
  </si>
  <si>
    <t>SD07103</t>
  </si>
  <si>
    <t>Abu Kershola</t>
  </si>
  <si>
    <t>SD07104</t>
  </si>
  <si>
    <t>Al Leri</t>
  </si>
  <si>
    <t>SD07105</t>
  </si>
  <si>
    <t>At Tadamon - SK</t>
  </si>
  <si>
    <t>SD07106</t>
  </si>
  <si>
    <t>Delami</t>
  </si>
  <si>
    <t>SD07107</t>
  </si>
  <si>
    <t>Ghadeer</t>
  </si>
  <si>
    <t>SD07108</t>
  </si>
  <si>
    <t>Baw</t>
  </si>
  <si>
    <t>SD08104</t>
  </si>
  <si>
    <t>Ed Damazine</t>
  </si>
  <si>
    <t>SD08105</t>
  </si>
  <si>
    <t>Al Kurmuk</t>
  </si>
  <si>
    <t>SD08106</t>
  </si>
  <si>
    <t>Ar Rusayris</t>
  </si>
  <si>
    <t>SD08107</t>
  </si>
  <si>
    <t>At Tadamon - BN</t>
  </si>
  <si>
    <t>SD08108</t>
  </si>
  <si>
    <t>Geisan</t>
  </si>
  <si>
    <t>SD08109</t>
  </si>
  <si>
    <t>Wad Al Mahi</t>
  </si>
  <si>
    <t>SD08110</t>
  </si>
  <si>
    <t>Ad Diwaim</t>
  </si>
  <si>
    <t>SD09044</t>
  </si>
  <si>
    <t>Um Rimta</t>
  </si>
  <si>
    <t>SD09045</t>
  </si>
  <si>
    <t>Rabak</t>
  </si>
  <si>
    <t>SD09046</t>
  </si>
  <si>
    <t>Kosti</t>
  </si>
  <si>
    <t>SD09047</t>
  </si>
  <si>
    <t>Tendalti</t>
  </si>
  <si>
    <t>SD09048</t>
  </si>
  <si>
    <t>As Salam / Ar Rawat</t>
  </si>
  <si>
    <t>SD09049</t>
  </si>
  <si>
    <t>Al Gitaina</t>
  </si>
  <si>
    <t>SD09050</t>
  </si>
  <si>
    <t>Aj Jabalain</t>
  </si>
  <si>
    <t>SD09051</t>
  </si>
  <si>
    <t>Guli</t>
  </si>
  <si>
    <t>SD09052</t>
  </si>
  <si>
    <t>Dordieb</t>
  </si>
  <si>
    <t>SD10063</t>
  </si>
  <si>
    <t>Port Sudan</t>
  </si>
  <si>
    <t>SD10064</t>
  </si>
  <si>
    <t>Tawkar</t>
  </si>
  <si>
    <t>SD10065</t>
  </si>
  <si>
    <t>Hala'ib</t>
  </si>
  <si>
    <t>SD10066</t>
  </si>
  <si>
    <t>Jubayt Elma'aadin</t>
  </si>
  <si>
    <t>SD10067</t>
  </si>
  <si>
    <t>Sawakin</t>
  </si>
  <si>
    <t>SD10068</t>
  </si>
  <si>
    <t>Al Ganab</t>
  </si>
  <si>
    <t>SD10069</t>
  </si>
  <si>
    <t>Haya</t>
  </si>
  <si>
    <t>SD10070</t>
  </si>
  <si>
    <t>Sinkat</t>
  </si>
  <si>
    <t>SD10071</t>
  </si>
  <si>
    <t>Agig</t>
  </si>
  <si>
    <t>SD10072</t>
  </si>
  <si>
    <t>Halfa Aj Jadeedah</t>
  </si>
  <si>
    <t>SD11052</t>
  </si>
  <si>
    <t>Madeinat Kassala</t>
  </si>
  <si>
    <t>SD11053</t>
  </si>
  <si>
    <t>Reifi Gharb Kassala</t>
  </si>
  <si>
    <t>SD11054</t>
  </si>
  <si>
    <t>Reifi Aroma</t>
  </si>
  <si>
    <t>SD11055</t>
  </si>
  <si>
    <t>Reifi Kassla</t>
  </si>
  <si>
    <t>SD11056</t>
  </si>
  <si>
    <t>Reifi Shamal Ad Delta</t>
  </si>
  <si>
    <t>SD11057</t>
  </si>
  <si>
    <t>Reifi Hamashkureib</t>
  </si>
  <si>
    <t>SD11058</t>
  </si>
  <si>
    <t>Reifi Telkok</t>
  </si>
  <si>
    <t>SD11059</t>
  </si>
  <si>
    <t>Reifi Khashm Elgirba</t>
  </si>
  <si>
    <t>SD11060</t>
  </si>
  <si>
    <t>Reifi Wad Elhilaiw</t>
  </si>
  <si>
    <t>SD11061</t>
  </si>
  <si>
    <t>Reifi Nahr Atbara</t>
  </si>
  <si>
    <t>SD11062</t>
  </si>
  <si>
    <t>Al Butanah</t>
  </si>
  <si>
    <t>SD12073</t>
  </si>
  <si>
    <t>Al Fao</t>
  </si>
  <si>
    <t>SD12074</t>
  </si>
  <si>
    <t>Al Fashaga</t>
  </si>
  <si>
    <t>SD12075</t>
  </si>
  <si>
    <t>Al Qureisha</t>
  </si>
  <si>
    <t>SD12076</t>
  </si>
  <si>
    <t>Basundah</t>
  </si>
  <si>
    <t>SD12077</t>
  </si>
  <si>
    <t>Al Galabat Al Gharbyah - Kassab</t>
  </si>
  <si>
    <t>SD12078</t>
  </si>
  <si>
    <t>Gala'a Al Nahal</t>
  </si>
  <si>
    <t>SD12079</t>
  </si>
  <si>
    <t>Madeinat Al Gedaref</t>
  </si>
  <si>
    <t>SD12080</t>
  </si>
  <si>
    <t>Wasat Al Gedaref</t>
  </si>
  <si>
    <t>SD12081</t>
  </si>
  <si>
    <t>Al Mafaza</t>
  </si>
  <si>
    <t>SD12082</t>
  </si>
  <si>
    <t>Galabat Ash-Shargiah</t>
  </si>
  <si>
    <t>SD12083</t>
  </si>
  <si>
    <t>Ar Rahad</t>
  </si>
  <si>
    <t>SD12084</t>
  </si>
  <si>
    <t>Um Rawaba</t>
  </si>
  <si>
    <t>SD13023</t>
  </si>
  <si>
    <t>Sheikan</t>
  </si>
  <si>
    <t>SD13024</t>
  </si>
  <si>
    <t>Soudari</t>
  </si>
  <si>
    <t>SD13025</t>
  </si>
  <si>
    <t>Bara</t>
  </si>
  <si>
    <t>SD13026</t>
  </si>
  <si>
    <t>Gebrat Al Sheikh</t>
  </si>
  <si>
    <t>SD13027</t>
  </si>
  <si>
    <t>Um Dam Haj Ahmed</t>
  </si>
  <si>
    <t>SD13028</t>
  </si>
  <si>
    <t>Gharb Bara</t>
  </si>
  <si>
    <t>SD13029</t>
  </si>
  <si>
    <t>SD13030</t>
  </si>
  <si>
    <t>Abu Hujar</t>
  </si>
  <si>
    <t>SD14037</t>
  </si>
  <si>
    <t>SD14038</t>
  </si>
  <si>
    <t>Ad Dali</t>
  </si>
  <si>
    <t>SD14039</t>
  </si>
  <si>
    <t>Ad Dinder</t>
  </si>
  <si>
    <t>SD14040</t>
  </si>
  <si>
    <t>As Suki</t>
  </si>
  <si>
    <t>SD14041</t>
  </si>
  <si>
    <t>Sharg Sennar</t>
  </si>
  <si>
    <t>SD14042</t>
  </si>
  <si>
    <t>Sinja</t>
  </si>
  <si>
    <t>SD14043</t>
  </si>
  <si>
    <t>Medani Al Kubra</t>
  </si>
  <si>
    <t>SD15030</t>
  </si>
  <si>
    <t>Janub Aj Jazirah</t>
  </si>
  <si>
    <t>SD15031</t>
  </si>
  <si>
    <t>Um Algura</t>
  </si>
  <si>
    <t>SD15032</t>
  </si>
  <si>
    <t>Sharg Aj Jazirah</t>
  </si>
  <si>
    <t>SD15033</t>
  </si>
  <si>
    <t>Al Hasahisa</t>
  </si>
  <si>
    <t>SD15034</t>
  </si>
  <si>
    <t>Al Kamlin</t>
  </si>
  <si>
    <t>SD15035</t>
  </si>
  <si>
    <t>Al Manaqil</t>
  </si>
  <si>
    <t>SD15036</t>
  </si>
  <si>
    <t>Al Qurashi</t>
  </si>
  <si>
    <t>SD15037</t>
  </si>
  <si>
    <t>Abu Hamad</t>
  </si>
  <si>
    <t>SD16008</t>
  </si>
  <si>
    <t>Al Matama</t>
  </si>
  <si>
    <t>SD16009</t>
  </si>
  <si>
    <t>Shendi</t>
  </si>
  <si>
    <t>SD16010</t>
  </si>
  <si>
    <t>Ad Damar</t>
  </si>
  <si>
    <t>SD16011</t>
  </si>
  <si>
    <t>Atbara</t>
  </si>
  <si>
    <t>SD16012</t>
  </si>
  <si>
    <t>Barbar</t>
  </si>
  <si>
    <t>SD16013</t>
  </si>
  <si>
    <t>Al Buhaira</t>
  </si>
  <si>
    <t>SD16014</t>
  </si>
  <si>
    <t>Halfa</t>
  </si>
  <si>
    <t>SD17014</t>
  </si>
  <si>
    <t>Delgo</t>
  </si>
  <si>
    <t>SD17015</t>
  </si>
  <si>
    <t>Al Burgaig</t>
  </si>
  <si>
    <t>SD17016</t>
  </si>
  <si>
    <t>Dongola</t>
  </si>
  <si>
    <t>SD17017</t>
  </si>
  <si>
    <t>Al Golid</t>
  </si>
  <si>
    <t>SD17018</t>
  </si>
  <si>
    <t>Ad Dabbah</t>
  </si>
  <si>
    <t>SD17019</t>
  </si>
  <si>
    <t>Merwoe</t>
  </si>
  <si>
    <t>SD17020</t>
  </si>
  <si>
    <t>Ghubaish</t>
  </si>
  <si>
    <t>SD18021</t>
  </si>
  <si>
    <t>An Nuhud</t>
  </si>
  <si>
    <t>SD18022</t>
  </si>
  <si>
    <t>Abu Zabad</t>
  </si>
  <si>
    <t>SD18028</t>
  </si>
  <si>
    <t>Wad Bandah</t>
  </si>
  <si>
    <t>SD18029</t>
  </si>
  <si>
    <t>Keilak</t>
  </si>
  <si>
    <t>SD18085</t>
  </si>
  <si>
    <t>As Salam - WK</t>
  </si>
  <si>
    <t>SD18086</t>
  </si>
  <si>
    <t>Abyei</t>
  </si>
  <si>
    <t>SD18087</t>
  </si>
  <si>
    <t>As Sunut</t>
  </si>
  <si>
    <t>SD18092</t>
  </si>
  <si>
    <t>Babanusa</t>
  </si>
  <si>
    <t>SD18100</t>
  </si>
  <si>
    <t>Al Lagowa</t>
  </si>
  <si>
    <t>SD18102</t>
  </si>
  <si>
    <t>Al Dibab</t>
  </si>
  <si>
    <t>SD18103</t>
  </si>
  <si>
    <t>Al Idia</t>
  </si>
  <si>
    <t>SD18104</t>
  </si>
  <si>
    <t>Al Khiwai</t>
  </si>
  <si>
    <t>SD18105</t>
  </si>
  <si>
    <t>Al Meiram</t>
  </si>
  <si>
    <t>SD18106</t>
  </si>
  <si>
    <t>Non-hosting Population</t>
  </si>
  <si>
    <t>SEV</t>
  </si>
  <si>
    <t>Sum of Sum of Final PiN</t>
  </si>
  <si>
    <t>Severity</t>
  </si>
  <si>
    <t>PiN</t>
  </si>
  <si>
    <t>SD19101</t>
  </si>
  <si>
    <t>Abyei PCA area</t>
  </si>
  <si>
    <t xml:space="preserve">Final Results
</t>
  </si>
  <si>
    <t>Criteria: if 3 or more clusters in severity level 5, the locality will be 5 otherwise down graded to the next severity level</t>
  </si>
  <si>
    <t>Population</t>
  </si>
  <si>
    <t>Final Severity</t>
  </si>
  <si>
    <t>Severity-Revision-2</t>
  </si>
  <si>
    <t>Severity-Revision-3</t>
  </si>
  <si>
    <t/>
  </si>
  <si>
    <t>Sectoral Severity</t>
  </si>
  <si>
    <t>Number of sectors per severity phase</t>
  </si>
  <si>
    <t>Sectoral Severity Flags</t>
  </si>
  <si>
    <t xml:space="preserve"> 1 </t>
  </si>
  <si>
    <t xml:space="preserve"> 2 </t>
  </si>
  <si>
    <t xml:space="preserve"> 3 </t>
  </si>
  <si>
    <t xml:space="preserve"> 4 </t>
  </si>
  <si>
    <t>5</t>
  </si>
  <si>
    <t>1 sectors in severity phase 5 [modify the threshold]</t>
  </si>
  <si>
    <t>```````````````````````````````````````````````````````````````````````````````````````````````````````````````````````````````````````````````````````````````````````````````````````````````````````````````````````````````````````````````````````````````````````````````````````````````````````````````````````````````````````````````````````````````````````````````````````````````````````````````````````````````````````````````````````````````````````````````````````````````````````````````````````````````````````````````````````````````````````````````````````````````````````````````````````````````````````````````````````````````````````````````````````````````````````````````````````````````````````````````````````````````````````````````````````````````````````````````````````````````````````````````````````````````````````````````````````````````````````````````````````````````````````````````````````````````````````````````````````````````````````````````````````````````````````````````````````````````````````````````````````````````````````````````````````````````````````````````````````````````````````````````````````````````````````````````````````````````</t>
  </si>
  <si>
    <t>Previous Year's Clusters' PiN</t>
  </si>
  <si>
    <t>Current Clusters' PiN</t>
  </si>
  <si>
    <t>Absolute PiN Differences</t>
  </si>
  <si>
    <t>% PiN Differences</t>
  </si>
  <si>
    <t>Site Management - Old</t>
  </si>
  <si>
    <t>Education Old</t>
  </si>
  <si>
    <t>Food Security and Livlihoods Old</t>
  </si>
  <si>
    <t>Health Old</t>
  </si>
  <si>
    <t>Nutrition Old</t>
  </si>
  <si>
    <t>Protection Old</t>
  </si>
  <si>
    <t xml:space="preserve">CP Old </t>
  </si>
  <si>
    <t>GBV Old</t>
  </si>
  <si>
    <t>Mine Action Old</t>
  </si>
  <si>
    <t>Shelter NFI Old</t>
  </si>
  <si>
    <t>WASH Old</t>
  </si>
  <si>
    <t>Site Management - New</t>
  </si>
  <si>
    <t>Education New</t>
  </si>
  <si>
    <t>Food Security and Livlihoods New</t>
  </si>
  <si>
    <t>Health New</t>
  </si>
  <si>
    <t>Nutrition New</t>
  </si>
  <si>
    <t>Protection New</t>
  </si>
  <si>
    <t>CP New</t>
  </si>
  <si>
    <t>GBV New</t>
  </si>
  <si>
    <t>Mine Action New</t>
  </si>
  <si>
    <t>Shelter NFI New</t>
  </si>
  <si>
    <t>WASH New</t>
  </si>
  <si>
    <t xml:space="preserve">PiN Difference for Site Management </t>
  </si>
  <si>
    <t>PiN Difference for Education</t>
  </si>
  <si>
    <t xml:space="preserve">PiN Difference for Health </t>
  </si>
  <si>
    <t>PiN Difference for Nutrition</t>
  </si>
  <si>
    <t>PiN Difference for Protection</t>
  </si>
  <si>
    <t>PiN Difference CP</t>
  </si>
  <si>
    <t xml:space="preserve">PiN Difference GBV </t>
  </si>
  <si>
    <t xml:space="preserve">PiN Difference for Mine Action </t>
  </si>
  <si>
    <t>PiN Difference for Shelter NFI</t>
  </si>
  <si>
    <t>PiN Difference for WASH</t>
  </si>
  <si>
    <t>Food Security and Livlihoods2</t>
  </si>
  <si>
    <t xml:space="preserve">Mine Action </t>
  </si>
  <si>
    <t>WASH2</t>
  </si>
  <si>
    <t>Humanitarian Conditions</t>
  </si>
  <si>
    <t>Crude Death Rate x/10,000/day</t>
  </si>
  <si>
    <t>Under 5 Death Rate</t>
  </si>
  <si>
    <t>Weight for heigh z-score</t>
  </si>
  <si>
    <t>MUAC</t>
  </si>
  <si>
    <t>Epidemic-prone disease 1</t>
  </si>
  <si>
    <t>HR/IHL Violation Severity</t>
  </si>
  <si>
    <t>Livelihood Coping Strategies</t>
  </si>
  <si>
    <r>
      <t>Crude Death Rate</t>
    </r>
    <r>
      <rPr>
        <vertAlign val="superscript"/>
        <sz val="10"/>
        <color rgb="FF000000"/>
        <rFont val="Arial"/>
        <family val="2"/>
      </rPr>
      <t>1</t>
    </r>
    <r>
      <rPr>
        <sz val="10"/>
        <color rgb="FF000000"/>
        <rFont val="Arial"/>
        <family val="2"/>
      </rPr>
      <t xml:space="preserve">: &lt;0.5/10,000/day </t>
    </r>
    <r>
      <rPr>
        <u/>
        <sz val="10"/>
        <color rgb="FF000000"/>
        <rFont val="Arial"/>
        <family val="2"/>
      </rPr>
      <t xml:space="preserve">OR </t>
    </r>
  </si>
  <si>
    <r>
      <t xml:space="preserve">Crude Death Rate:  &lt;0.5/10,000/day </t>
    </r>
    <r>
      <rPr>
        <u/>
        <sz val="10"/>
        <color rgb="FF000000"/>
        <rFont val="Arial"/>
        <family val="2"/>
      </rPr>
      <t>OR</t>
    </r>
  </si>
  <si>
    <t>Crude Death Rate: 0.5-0.99/10,000/day</t>
  </si>
  <si>
    <t>Crude Death Rate: 1.0-1.99/10,000/day</t>
  </si>
  <si>
    <t>Crude Death Rate: ≥2/10,000/day</t>
  </si>
  <si>
    <t>Crude Death Rate Final severity</t>
  </si>
  <si>
    <t>Under-Five Death Rate: &lt;1/10,000/day</t>
  </si>
  <si>
    <t>Under-Five Death Rate: &lt;1/10,000/day2</t>
  </si>
  <si>
    <t>Under-Five Death Rate: 1-2/10,000/day
OR rate &gt; than baseline</t>
  </si>
  <si>
    <t>Under-Five Death Rate:  2-3.99/10,000/day
OR rate &gt; 2x rbaseline</t>
  </si>
  <si>
    <t>Under-Five Death Rate: ≥4/10,000/day
OR rate much greater than 2x baseline</t>
  </si>
  <si>
    <t>Under 5 Death Rate Final severity</t>
  </si>
  <si>
    <t>Weight for heigh z-score (WHZ) &lt;5%</t>
  </si>
  <si>
    <t>WHZ: 5-9.9%</t>
  </si>
  <si>
    <t>WHZ: 10-14.9%</t>
  </si>
  <si>
    <t>WHZ: 15-29.9%</t>
  </si>
  <si>
    <t>WHZ: 30% or higher</t>
  </si>
  <si>
    <t>WHZ Final severity</t>
  </si>
  <si>
    <t>Middle Upper Arm Circumference (MUAC): &lt;5%</t>
  </si>
  <si>
    <t xml:space="preserve">MUAC:&lt;5%  </t>
  </si>
  <si>
    <t>MUAC:5-15%</t>
  </si>
  <si>
    <t>MUAC: &gt;10%</t>
  </si>
  <si>
    <t>MUAC: &gt;15%</t>
  </si>
  <si>
    <t>MUAC Final severity</t>
  </si>
  <si>
    <t>Malnutrition Severity</t>
  </si>
  <si>
    <t>Normal level of contagion or there is a confirmed outbreak that can be covered by existing capacity</t>
  </si>
  <si>
    <t>Confirmed outbreak or increased levels of contagion stressed the existing capacity, or an outbreak under investigation has the potential to strain response capacity</t>
  </si>
  <si>
    <t>Confirmed outbreak or high level of contagion above the historical mean straining response capacity and service provisions</t>
  </si>
  <si>
    <t>Confirmed outbreak orextreme levels of contagion above the historical mean higly extraining response capacity and service provision</t>
  </si>
  <si>
    <t>Confirmed outbreak or massive contagion levels that obstruct service provision.</t>
  </si>
  <si>
    <t>Epidemic-prone disease Final severity</t>
  </si>
  <si>
    <t>Human Rights/International Human Law Violations (HR/IHL)  No actions causing threatening environment or HR/IHL violations causing irreversible harm to people and property</t>
  </si>
  <si>
    <t xml:space="preserve"> Sporadic actions that create a threatening environment to peoples HRs, wellbeing, and dignity</t>
  </si>
  <si>
    <t>Repeated or regular actions that create a threatening environment to peoples HRs, wellbeing, and dignity</t>
  </si>
  <si>
    <t>Widespread HR/IHL violations causing irreversible harm to people and property</t>
  </si>
  <si>
    <t>Widespread and Systematic HR/IHL violations causing irreversible harm to people and property</t>
  </si>
  <si>
    <t>HR/IHL Violation Final severity</t>
  </si>
  <si>
    <t xml:space="preserve"> At least 80% of househols have sustainable livelihood strategies and assets</t>
  </si>
  <si>
    <t>At least 20% of households engage in stress strategies</t>
  </si>
  <si>
    <t xml:space="preserve">At least 20% of households engage in crisis strategies </t>
  </si>
  <si>
    <t xml:space="preserve">At least 20% of households engage in emergency strategies </t>
  </si>
  <si>
    <t>At least 20% of households face near or complete collapse of exhaustion of coping capacity, strategy and assets</t>
  </si>
  <si>
    <t>Coping Strategy Severity</t>
  </si>
  <si>
    <t>PIN by  severity with Refugees</t>
  </si>
  <si>
    <t xml:space="preserve">PIN by pop group </t>
  </si>
  <si>
    <t xml:space="preserve">Severity by State </t>
  </si>
  <si>
    <t>Count of Admin 1 P-Code</t>
  </si>
  <si>
    <t xml:space="preserve">PIN by access and severity with Refugees </t>
  </si>
  <si>
    <t xml:space="preserve">Accessible </t>
  </si>
  <si>
    <t xml:space="preserve">Partially Accessible </t>
  </si>
  <si>
    <t xml:space="preserve">Hard to Reach </t>
  </si>
  <si>
    <t>PIN by State</t>
  </si>
  <si>
    <t xml:space="preserve">Access Severity </t>
  </si>
  <si>
    <t>PIN Severity - 5</t>
  </si>
  <si>
    <t>PIN Severity - 4</t>
  </si>
  <si>
    <t>PIN Severity - 3</t>
  </si>
  <si>
    <t xml:space="preserve">Total PIN </t>
  </si>
  <si>
    <t>Female</t>
  </si>
  <si>
    <t>Male</t>
  </si>
  <si>
    <t>Children(&lt;17)</t>
  </si>
  <si>
    <t>Adults (18-59)</t>
  </si>
  <si>
    <t>Elderlies(60+)</t>
  </si>
  <si>
    <t>Overall Clusters PiN</t>
  </si>
  <si>
    <t>CHECK</t>
  </si>
  <si>
    <t>Disability</t>
  </si>
  <si>
    <t xml:space="preserve">Clusters' % PiN (over total population) </t>
  </si>
  <si>
    <t>ADM2_PCODE</t>
  </si>
  <si>
    <t xml:space="preserve">M% </t>
  </si>
  <si>
    <t>F%</t>
  </si>
  <si>
    <t>Description</t>
  </si>
  <si>
    <t>This sheet will provide you with the estimated PiN and severity of each area</t>
  </si>
  <si>
    <t>Instructions</t>
  </si>
  <si>
    <t xml:space="preserve">Preliminary severity and the PiN will be generated automatically, all you need to do is include the population figures in column G. 
Once these have been generated. You can decide to provide adjustements to the severity score. Do so in column P, making sure that you provide a justification in column Q. </t>
  </si>
  <si>
    <t>Total</t>
  </si>
  <si>
    <t>Proportion of population per severity phase</t>
  </si>
  <si>
    <t>Area severity</t>
  </si>
  <si>
    <t>Flags</t>
  </si>
  <si>
    <t>Coverage Information</t>
  </si>
  <si>
    <t>Phase 1</t>
  </si>
  <si>
    <t>Phase 2</t>
  </si>
  <si>
    <t>Phase 3</t>
  </si>
  <si>
    <t>Phase 4</t>
  </si>
  <si>
    <t>Phase 5</t>
  </si>
  <si>
    <t>Preliminary Area severity score</t>
  </si>
  <si>
    <t>Adjusted area severity score</t>
  </si>
  <si>
    <t>Adjustment justification</t>
  </si>
  <si>
    <t>Tot Pop PIN</t>
  </si>
  <si>
    <t>High PiN</t>
  </si>
  <si>
    <t>Low PiN</t>
  </si>
  <si>
    <t>Distribution gap</t>
  </si>
  <si>
    <t>Severity outlier</t>
  </si>
  <si>
    <t>Small sample – somewhat indicative, triangulate with other sources including KI data</t>
  </si>
  <si>
    <t>non_disp</t>
  </si>
  <si>
    <t>idp</t>
  </si>
  <si>
    <t>Sample too small even for indicative results, not included in the analysis - refer to KI data</t>
  </si>
  <si>
    <t xml:space="preserve"> </t>
  </si>
  <si>
    <t>Random (representative)</t>
  </si>
  <si>
    <t>Purposive (indicative)</t>
  </si>
  <si>
    <t>State</t>
  </si>
  <si>
    <t>Locality</t>
  </si>
  <si>
    <t>Pop</t>
  </si>
  <si>
    <t>PIN 2024</t>
  </si>
  <si>
    <t>PIN changes</t>
  </si>
  <si>
    <t>severity score</t>
  </si>
  <si>
    <t>locality P-Code</t>
  </si>
  <si>
    <t xml:space="preserve">SEVERITY 2025 </t>
  </si>
  <si>
    <t xml:space="preserve">SEVERITY 2024 </t>
  </si>
  <si>
    <t>Localities</t>
  </si>
  <si>
    <t>PIN 2025</t>
  </si>
  <si>
    <t xml:space="preserve">  proportion pin vs overall pop</t>
  </si>
  <si>
    <t>prelimary PIN : # of persons with severity phases 3,  4 and 5 ( for some 4 and 5 )</t>
  </si>
  <si>
    <t xml:space="preserve">Final Ajusted  PIN </t>
  </si>
  <si>
    <t xml:space="preserve">Initial  PIN </t>
  </si>
  <si>
    <t>Final PIN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</si>
</sst>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1" formatCode="_(* #,##0_);_(* \(#,##0\);_(* &quot;-&quot;_);_(@_)"/>
    <numFmt numFmtId="43" formatCode="_(* #,##0.00_);_(* \(#,##0.00\);_(* &quot;-&quot;??_);_(@_)"/>
    <numFmt numFmtId="164" formatCode="_-* #,##0.00_-;\-* #,##0.00_-;_-* &quot;-&quot;??_-;_-@_-"/>
    <numFmt numFmtId="165" formatCode="_ * #,##0.00_ ;_ * \-#,##0.00_ ;_ * &quot;-&quot;??_ ;_ @_ "/>
    <numFmt numFmtId="166" formatCode="_-* #,##0_-;\-* #,##0_-;_-* &quot;-&quot;??_-;_-@_-"/>
    <numFmt numFmtId="167" formatCode="_ * #,##0_ ;_ * \-#,##0_ ;_ * &quot;-&quot;??_ ;_ @_ "/>
    <numFmt numFmtId="168" formatCode="_ * #,##0.0_ ;_ * \-#,##0.0_ ;_ * &quot;-&quot;??_ ;_ @_ "/>
    <numFmt numFmtId="169" formatCode="_ * #,##0.000_ ;_ * \-#,##0.000_ ;_ * &quot;-&quot;??_ ;_ @_ "/>
    <numFmt numFmtId="170" formatCode="_(* #,##0_);_(* \(#,##0\);_(* &quot;-&quot;??_);_(@_)"/>
  </numFmts>
  <fonts count="63" x14ac:knownFonts="1">
    <font>
      <sz val="11"/>
      <color theme="1"/>
      <name val="Calibri"/>
      <family val="2"/>
      <scheme val="minor"/>
    </font>
    <font>
      <sz val="11"/>
      <color theme="1"/>
      <name val="Arial"/>
      <family val="2"/>
    </font>
    <font>
      <sz val="11"/>
      <color theme="1"/>
      <name val="Calibri"/>
      <family val="2"/>
      <scheme val="minor"/>
    </font>
    <font>
      <sz val="10"/>
      <color theme="1"/>
      <name val="Arial Narrow"/>
      <family val="2"/>
    </font>
    <font>
      <sz val="11"/>
      <color theme="1"/>
      <name val="Arial"/>
      <family val="2"/>
    </font>
    <font>
      <b/>
      <sz val="10"/>
      <color theme="0"/>
      <name val="Arial"/>
      <family val="2"/>
    </font>
    <font>
      <sz val="10"/>
      <color theme="1"/>
      <name val="Arial"/>
      <family val="2"/>
    </font>
    <font>
      <b/>
      <sz val="12"/>
      <color theme="0"/>
      <name val="Arial"/>
      <family val="2"/>
    </font>
    <font>
      <sz val="10"/>
      <color rgb="FF000000"/>
      <name val="Arial"/>
      <family val="2"/>
    </font>
    <font>
      <sz val="8"/>
      <name val="Calibri"/>
      <family val="2"/>
      <scheme val="minor"/>
    </font>
    <font>
      <sz val="10"/>
      <name val="Arial"/>
      <family val="2"/>
    </font>
    <font>
      <sz val="8"/>
      <color theme="1"/>
      <name val="Arial"/>
      <family val="2"/>
    </font>
    <font>
      <sz val="8"/>
      <name val="Arial"/>
      <family val="2"/>
    </font>
    <font>
      <b/>
      <sz val="8"/>
      <color theme="1"/>
      <name val="Arial"/>
      <family val="2"/>
    </font>
    <font>
      <b/>
      <sz val="8"/>
      <color theme="0"/>
      <name val="Arial"/>
      <family val="2"/>
    </font>
    <font>
      <sz val="8"/>
      <color rgb="FFFF0000"/>
      <name val="Arial"/>
      <family val="2"/>
    </font>
    <font>
      <b/>
      <sz val="9"/>
      <color theme="0"/>
      <name val="Arial"/>
      <family val="2"/>
    </font>
    <font>
      <b/>
      <sz val="9"/>
      <name val="Arial"/>
      <family val="2"/>
    </font>
    <font>
      <b/>
      <sz val="11"/>
      <color theme="0"/>
      <name val="Arial"/>
      <family val="2"/>
    </font>
    <font>
      <b/>
      <sz val="9"/>
      <color rgb="FF000000"/>
      <name val="Tahoma"/>
      <family val="2"/>
    </font>
    <font>
      <sz val="9"/>
      <color rgb="FF000000"/>
      <name val="Tahoma"/>
      <family val="2"/>
    </font>
    <font>
      <b/>
      <sz val="11"/>
      <name val="Arial"/>
      <family val="2"/>
    </font>
    <font>
      <b/>
      <sz val="10"/>
      <color rgb="FF000000"/>
      <name val="Arial"/>
      <family val="2"/>
    </font>
    <font>
      <b/>
      <sz val="11"/>
      <color theme="1"/>
      <name val="Arial"/>
      <family val="2"/>
    </font>
    <font>
      <b/>
      <sz val="8"/>
      <name val="Arial"/>
      <family val="2"/>
    </font>
    <font>
      <sz val="8"/>
      <color theme="0"/>
      <name val="Arial"/>
      <family val="2"/>
    </font>
    <font>
      <sz val="8"/>
      <color theme="0" tint="-4.9989318521683403E-2"/>
      <name val="Arial"/>
      <family val="2"/>
    </font>
    <font>
      <sz val="11"/>
      <name val="Arial"/>
      <family val="2"/>
    </font>
    <font>
      <b/>
      <sz val="11"/>
      <color theme="1"/>
      <name val="Calibri"/>
      <family val="2"/>
      <scheme val="minor"/>
    </font>
    <font>
      <sz val="16"/>
      <color rgb="FF000000"/>
      <name val="Calibri"/>
      <family val="2"/>
    </font>
    <font>
      <i/>
      <sz val="16"/>
      <color rgb="FF000000"/>
      <name val="Calibri"/>
      <family val="2"/>
    </font>
    <font>
      <b/>
      <sz val="16"/>
      <color rgb="FF000000"/>
      <name val="Calibri"/>
      <family val="2"/>
    </font>
    <font>
      <sz val="14"/>
      <color rgb="FF000000"/>
      <name val="Times New Roman"/>
      <family val="1"/>
    </font>
    <font>
      <b/>
      <sz val="11"/>
      <color theme="0"/>
      <name val="Calibri"/>
      <family val="2"/>
      <scheme val="minor"/>
    </font>
    <font>
      <b/>
      <sz val="11"/>
      <name val="Calibri"/>
      <family val="2"/>
      <scheme val="minor"/>
    </font>
    <font>
      <sz val="10"/>
      <color theme="0"/>
      <name val="Arial"/>
      <family val="2"/>
    </font>
    <font>
      <vertAlign val="superscript"/>
      <sz val="10"/>
      <color rgb="FF000000"/>
      <name val="Arial"/>
      <family val="2"/>
    </font>
    <font>
      <u/>
      <sz val="10"/>
      <color rgb="FF000000"/>
      <name val="Arial"/>
      <family val="2"/>
    </font>
    <font>
      <sz val="10"/>
      <color rgb="FFFFFFFF"/>
      <name val="Arial"/>
      <family val="2"/>
    </font>
    <font>
      <b/>
      <sz val="14"/>
      <color theme="1"/>
      <name val="Amasis MT Pro Light"/>
      <family val="1"/>
    </font>
    <font>
      <sz val="14"/>
      <color theme="1"/>
      <name val="Amasis MT Pro Light"/>
      <family val="1"/>
    </font>
    <font>
      <b/>
      <sz val="16"/>
      <color theme="0"/>
      <name val="Arial"/>
      <family val="2"/>
    </font>
    <font>
      <sz val="11"/>
      <color theme="0"/>
      <name val="Arial"/>
      <family val="2"/>
    </font>
    <font>
      <sz val="11"/>
      <color theme="0"/>
      <name val="Calibri"/>
      <family val="2"/>
      <scheme val="minor"/>
    </font>
    <font>
      <sz val="10"/>
      <color theme="0"/>
      <name val="Arial Narrow"/>
      <family val="2"/>
    </font>
    <font>
      <sz val="9"/>
      <color theme="1"/>
      <name val="Arial Narrow"/>
      <family val="2"/>
    </font>
    <font>
      <sz val="9"/>
      <color theme="0"/>
      <name val="Arial Narrow"/>
      <family val="2"/>
    </font>
    <font>
      <b/>
      <sz val="10"/>
      <color theme="1"/>
      <name val="Arial Narrow"/>
      <family val="2"/>
    </font>
    <font>
      <b/>
      <sz val="10"/>
      <color theme="0"/>
      <name val="Arial Narrow"/>
      <family val="2"/>
    </font>
    <font>
      <sz val="10"/>
      <color rgb="FFFF0000"/>
      <name val="Arial Narrow"/>
      <family val="2"/>
    </font>
    <font>
      <sz val="10"/>
      <color theme="3"/>
      <name val="Arial Narrow"/>
      <family val="2"/>
    </font>
    <font>
      <sz val="10"/>
      <color rgb="FFFFC000"/>
      <name val="Arial Narrow"/>
      <family val="2"/>
    </font>
    <font>
      <sz val="10"/>
      <color rgb="FF000000"/>
      <name val="Arial Narrow"/>
      <family val="2"/>
    </font>
    <font>
      <i/>
      <sz val="10"/>
      <color rgb="FF000000"/>
      <name val="Arial Narrow"/>
      <family val="2"/>
    </font>
    <font>
      <b/>
      <sz val="10"/>
      <color rgb="FFFFC000"/>
      <name val="Arial Narrow"/>
      <family val="2"/>
    </font>
    <font>
      <sz val="11"/>
      <color theme="1"/>
      <name val="Arial Narrow"/>
      <family val="2"/>
    </font>
    <font>
      <b/>
      <sz val="11"/>
      <color theme="0"/>
      <name val="Arial Narrow"/>
      <family val="2"/>
    </font>
    <font>
      <b/>
      <sz val="11"/>
      <color theme="1"/>
      <name val="Arial Narrow"/>
      <family val="2"/>
    </font>
    <font>
      <sz val="11"/>
      <name val="Arial Narrow"/>
      <family val="2"/>
    </font>
    <font>
      <b/>
      <sz val="11"/>
      <name val="Arial Narrow"/>
      <family val="2"/>
    </font>
    <font>
      <b/>
      <sz val="9"/>
      <color theme="3"/>
      <name val="Arial Narrow"/>
      <family val="2"/>
    </font>
    <font>
      <sz val="11"/>
      <color theme="0"/>
      <name val="Arial Narrow"/>
      <family val="2"/>
    </font>
    <font>
      <b/>
      <sz val="10"/>
      <color rgb="FF000000"/>
      <name val="Arial Narrow"/>
      <family val="2"/>
    </font>
  </fonts>
  <fills count="40">
    <fill>
      <patternFill patternType="none"/>
    </fill>
    <fill>
      <patternFill patternType="gray125"/>
    </fill>
    <fill>
      <patternFill patternType="solid">
        <fgColor rgb="FF335E8D"/>
        <bgColor theme="4"/>
      </patternFill>
    </fill>
    <fill>
      <patternFill patternType="solid">
        <fgColor rgb="FFFFFF00"/>
        <bgColor indexed="64"/>
      </patternFill>
    </fill>
    <fill>
      <patternFill patternType="solid">
        <fgColor rgb="FF8FB6C9"/>
        <bgColor indexed="64"/>
      </patternFill>
    </fill>
    <fill>
      <patternFill patternType="solid">
        <fgColor rgb="FF744368"/>
        <bgColor indexed="64"/>
      </patternFill>
    </fill>
    <fill>
      <patternFill patternType="solid">
        <fgColor theme="4"/>
        <bgColor theme="4"/>
      </patternFill>
    </fill>
    <fill>
      <patternFill patternType="solid">
        <fgColor rgb="FF628FA5"/>
        <bgColor indexed="64"/>
      </patternFill>
    </fill>
    <fill>
      <patternFill patternType="solid">
        <fgColor rgb="FF45283E"/>
        <bgColor indexed="64"/>
      </patternFill>
    </fill>
    <fill>
      <patternFill patternType="solid">
        <fgColor rgb="FF142538"/>
        <bgColor theme="4"/>
      </patternFill>
    </fill>
    <fill>
      <patternFill patternType="solid">
        <fgColor rgb="FF1E3854"/>
        <bgColor theme="4"/>
      </patternFill>
    </fill>
    <fill>
      <patternFill patternType="solid">
        <fgColor rgb="FF284B70"/>
        <bgColor theme="4"/>
      </patternFill>
    </fill>
    <fill>
      <patternFill patternType="solid">
        <fgColor rgb="FF5B7EA3"/>
        <bgColor indexed="64"/>
      </patternFill>
    </fill>
    <fill>
      <patternFill patternType="solid">
        <fgColor theme="0" tint="-0.14999847407452621"/>
        <bgColor indexed="64"/>
      </patternFill>
    </fill>
    <fill>
      <patternFill patternType="solid">
        <fgColor rgb="FF4A7082"/>
        <bgColor indexed="64"/>
      </patternFill>
    </fill>
    <fill>
      <patternFill patternType="solid">
        <fgColor rgb="FFDDEBF7"/>
        <bgColor indexed="64"/>
      </patternFill>
    </fill>
    <fill>
      <patternFill patternType="solid">
        <fgColor theme="2" tint="-9.9978637043366805E-2"/>
        <bgColor indexed="64"/>
      </patternFill>
    </fill>
    <fill>
      <patternFill patternType="solid">
        <fgColor rgb="FF284B70"/>
        <bgColor indexed="64"/>
      </patternFill>
    </fill>
    <fill>
      <patternFill patternType="solid">
        <fgColor rgb="FFAC38DE"/>
        <bgColor indexed="64"/>
      </patternFill>
    </fill>
    <fill>
      <patternFill patternType="solid">
        <fgColor rgb="FFDC9100"/>
        <bgColor indexed="64"/>
      </patternFill>
    </fill>
    <fill>
      <patternFill patternType="solid">
        <fgColor theme="9" tint="0.39997558519241921"/>
        <bgColor indexed="64"/>
      </patternFill>
    </fill>
    <fill>
      <patternFill patternType="solid">
        <fgColor theme="4" tint="0.79998168889431442"/>
        <bgColor theme="4" tint="0.79998168889431442"/>
      </patternFill>
    </fill>
    <fill>
      <patternFill patternType="solid">
        <fgColor rgb="FFFF0000"/>
        <bgColor indexed="64"/>
      </patternFill>
    </fill>
    <fill>
      <patternFill patternType="solid">
        <fgColor rgb="FF00B050"/>
        <bgColor indexed="64"/>
      </patternFill>
    </fill>
    <fill>
      <patternFill patternType="solid">
        <fgColor rgb="FFC00000"/>
        <bgColor indexed="64"/>
      </patternFill>
    </fill>
    <fill>
      <patternFill patternType="solid">
        <fgColor theme="0" tint="-4.9989318521683403E-2"/>
        <bgColor indexed="64"/>
      </patternFill>
    </fill>
    <fill>
      <patternFill patternType="solid">
        <fgColor theme="0"/>
        <bgColor indexed="64"/>
      </patternFill>
    </fill>
    <fill>
      <patternFill patternType="solid">
        <fgColor theme="5" tint="0.39997558519241921"/>
        <bgColor indexed="64"/>
      </patternFill>
    </fill>
    <fill>
      <patternFill patternType="solid">
        <fgColor rgb="FFE2EFDA"/>
        <bgColor rgb="FFE2EFDA"/>
      </patternFill>
    </fill>
    <fill>
      <patternFill patternType="solid">
        <fgColor rgb="FFFFF2CC"/>
        <bgColor rgb="FFFFF2CC"/>
      </patternFill>
    </fill>
    <fill>
      <patternFill patternType="solid">
        <fgColor rgb="FFFFCC29"/>
        <bgColor rgb="FFFFCC29"/>
      </patternFill>
    </fill>
    <fill>
      <patternFill patternType="solid">
        <fgColor rgb="FFFF0101"/>
        <bgColor rgb="FFFF0101"/>
      </patternFill>
    </fill>
    <fill>
      <patternFill patternType="solid">
        <fgColor rgb="FF800000"/>
        <bgColor rgb="FF800000"/>
      </patternFill>
    </fill>
    <fill>
      <patternFill patternType="solid">
        <fgColor theme="2" tint="-0.499984740745262"/>
        <bgColor indexed="64"/>
      </patternFill>
    </fill>
    <fill>
      <patternFill patternType="solid">
        <fgColor rgb="FF885053"/>
        <bgColor indexed="64"/>
      </patternFill>
    </fill>
    <fill>
      <patternFill patternType="solid">
        <fgColor rgb="FF885053"/>
        <bgColor theme="4"/>
      </patternFill>
    </fill>
    <fill>
      <patternFill patternType="solid">
        <fgColor theme="1" tint="4.9989318521683403E-2"/>
        <bgColor indexed="64"/>
      </patternFill>
    </fill>
    <fill>
      <patternFill patternType="solid">
        <fgColor theme="2" tint="-0.89999084444715716"/>
        <bgColor indexed="64"/>
      </patternFill>
    </fill>
    <fill>
      <patternFill patternType="solid">
        <fgColor theme="4" tint="0.79998168889431442"/>
        <bgColor indexed="64"/>
      </patternFill>
    </fill>
    <fill>
      <patternFill patternType="solid">
        <fgColor theme="1"/>
        <bgColor indexed="64"/>
      </patternFill>
    </fill>
  </fills>
  <borders count="72">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right/>
      <top/>
      <bottom style="thin">
        <color indexed="64"/>
      </bottom>
      <diagonal/>
    </border>
    <border>
      <left/>
      <right style="thin">
        <color theme="4" tint="0.39997558519241921"/>
      </right>
      <top/>
      <bottom style="thin">
        <color theme="4" tint="0.39997558519241921"/>
      </bottom>
      <diagonal/>
    </border>
    <border>
      <left/>
      <right/>
      <top/>
      <bottom style="thin">
        <color theme="4" tint="0.39997558519241921"/>
      </bottom>
      <diagonal/>
    </border>
    <border>
      <left style="thick">
        <color indexed="64"/>
      </left>
      <right style="thick">
        <color indexed="64"/>
      </right>
      <top style="thick">
        <color indexed="64"/>
      </top>
      <bottom style="thick">
        <color indexed="64"/>
      </bottom>
      <diagonal/>
    </border>
    <border>
      <left style="thick">
        <color indexed="64"/>
      </left>
      <right style="thin">
        <color indexed="64"/>
      </right>
      <top/>
      <bottom style="thin">
        <color indexed="64"/>
      </bottom>
      <diagonal/>
    </border>
    <border>
      <left style="thin">
        <color indexed="64"/>
      </left>
      <right style="thick">
        <color indexed="64"/>
      </right>
      <top/>
      <bottom style="thin">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style="thin">
        <color indexed="64"/>
      </right>
      <top style="thick">
        <color indexed="64"/>
      </top>
      <bottom style="thick">
        <color indexed="64"/>
      </bottom>
      <diagonal/>
    </border>
    <border>
      <left style="thin">
        <color indexed="64"/>
      </left>
      <right style="thin">
        <color indexed="64"/>
      </right>
      <top style="thick">
        <color indexed="64"/>
      </top>
      <bottom style="thick">
        <color indexed="64"/>
      </bottom>
      <diagonal/>
    </border>
    <border>
      <left style="thin">
        <color indexed="64"/>
      </left>
      <right style="thick">
        <color indexed="64"/>
      </right>
      <top style="thick">
        <color indexed="64"/>
      </top>
      <bottom style="thick">
        <color indexed="64"/>
      </bottom>
      <diagonal/>
    </border>
    <border>
      <left style="thick">
        <color indexed="64"/>
      </left>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top/>
      <bottom style="thin">
        <color indexed="64"/>
      </bottom>
      <diagonal/>
    </border>
    <border>
      <left/>
      <right/>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right/>
      <top style="thick">
        <color indexed="64"/>
      </top>
      <bottom style="thick">
        <color indexed="64"/>
      </bottom>
      <diagonal/>
    </border>
    <border>
      <left style="thin">
        <color indexed="64"/>
      </left>
      <right/>
      <top style="thick">
        <color indexed="64"/>
      </top>
      <bottom style="thick">
        <color indexed="64"/>
      </bottom>
      <diagonal/>
    </border>
    <border>
      <left style="thick">
        <color indexed="64"/>
      </left>
      <right style="thin">
        <color indexed="64"/>
      </right>
      <top style="thick">
        <color indexed="64"/>
      </top>
      <bottom style="thin">
        <color indexed="64"/>
      </bottom>
      <diagonal/>
    </border>
    <border>
      <left style="thick">
        <color indexed="64"/>
      </left>
      <right style="thick">
        <color indexed="64"/>
      </right>
      <top style="thick">
        <color indexed="64"/>
      </top>
      <bottom/>
      <diagonal/>
    </border>
    <border>
      <left/>
      <right style="thick">
        <color auto="1"/>
      </right>
      <top/>
      <bottom/>
      <diagonal/>
    </border>
    <border>
      <left/>
      <right style="thin">
        <color indexed="64"/>
      </right>
      <top style="thick">
        <color indexed="64"/>
      </top>
      <bottom style="thick">
        <color indexed="64"/>
      </bottom>
      <diagonal/>
    </border>
    <border>
      <left style="thick">
        <color indexed="64"/>
      </left>
      <right/>
      <top/>
      <bottom/>
      <diagonal/>
    </border>
    <border>
      <left style="thick">
        <color indexed="64"/>
      </left>
      <right style="thick">
        <color indexed="64"/>
      </right>
      <top/>
      <bottom/>
      <diagonal/>
    </border>
    <border>
      <left/>
      <right/>
      <top style="thick">
        <color indexed="64"/>
      </top>
      <bottom style="thin">
        <color indexed="64"/>
      </bottom>
      <diagonal/>
    </border>
    <border>
      <left/>
      <right style="thick">
        <color indexed="64"/>
      </right>
      <top style="thick">
        <color indexed="64"/>
      </top>
      <bottom style="thin">
        <color indexed="64"/>
      </bottom>
      <diagonal/>
    </border>
    <border>
      <left style="thin">
        <color indexed="64"/>
      </left>
      <right style="thin">
        <color indexed="64"/>
      </right>
      <top/>
      <bottom/>
      <diagonal/>
    </border>
    <border>
      <left style="medium">
        <color rgb="FF000000"/>
      </left>
      <right style="medium">
        <color rgb="FF000000"/>
      </right>
      <top style="medium">
        <color rgb="FF000000"/>
      </top>
      <bottom style="thin">
        <color rgb="FF000000"/>
      </bottom>
      <diagonal/>
    </border>
    <border>
      <left style="medium">
        <color rgb="FF000000"/>
      </left>
      <right style="medium">
        <color rgb="FF000000"/>
      </right>
      <top style="thin">
        <color rgb="FF000000"/>
      </top>
      <bottom style="thin">
        <color rgb="FF000000"/>
      </bottom>
      <diagonal/>
    </border>
    <border>
      <left/>
      <right style="thick">
        <color indexed="64"/>
      </right>
      <top/>
      <bottom style="thin">
        <color indexed="64"/>
      </bottom>
      <diagonal/>
    </border>
    <border>
      <left/>
      <right/>
      <top style="thick">
        <color indexed="64"/>
      </top>
      <bottom/>
      <diagonal/>
    </border>
    <border>
      <left style="thick">
        <color indexed="64"/>
      </left>
      <right style="thin">
        <color indexed="64"/>
      </right>
      <top style="thin">
        <color indexed="64"/>
      </top>
      <bottom style="thick">
        <color indexed="64"/>
      </bottom>
      <diagonal/>
    </border>
    <border>
      <left style="thick">
        <color indexed="64"/>
      </left>
      <right style="thick">
        <color indexed="64"/>
      </right>
      <top style="thin">
        <color indexed="64"/>
      </top>
      <bottom style="thick">
        <color indexed="64"/>
      </bottom>
      <diagonal/>
    </border>
    <border>
      <left style="thin">
        <color indexed="64"/>
      </left>
      <right/>
      <top style="thick">
        <color indexed="64"/>
      </top>
      <bottom style="thin">
        <color indexed="64"/>
      </bottom>
      <diagonal/>
    </border>
    <border>
      <left style="thin">
        <color indexed="64"/>
      </left>
      <right/>
      <top/>
      <bottom/>
      <diagonal/>
    </border>
    <border>
      <left style="thick">
        <color indexed="64"/>
      </left>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right/>
      <top style="thin">
        <color theme="4" tint="0.39997558519241921"/>
      </top>
      <bottom/>
      <diagonal/>
    </border>
    <border>
      <left style="thin">
        <color indexed="64"/>
      </left>
      <right style="thin">
        <color indexed="64"/>
      </right>
      <top style="thin">
        <color rgb="FF000000"/>
      </top>
      <bottom style="thick">
        <color indexed="64"/>
      </bottom>
      <diagonal/>
    </border>
    <border>
      <left style="thin">
        <color indexed="64"/>
      </left>
      <right style="thin">
        <color rgb="FF000000"/>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style="thick">
        <color indexed="64"/>
      </top>
      <bottom/>
      <diagonal/>
    </border>
    <border>
      <left style="medium">
        <color indexed="64"/>
      </left>
      <right style="thick">
        <color rgb="FFFFFFFF"/>
      </right>
      <top/>
      <bottom style="medium">
        <color indexed="64"/>
      </bottom>
      <diagonal/>
    </border>
    <border>
      <left style="thick">
        <color rgb="FFFFFFFF"/>
      </left>
      <right style="thick">
        <color rgb="FFFFFFFF"/>
      </right>
      <top/>
      <bottom style="medium">
        <color indexed="64"/>
      </bottom>
      <diagonal/>
    </border>
    <border>
      <left style="thin">
        <color indexed="64"/>
      </left>
      <right style="medium">
        <color indexed="64"/>
      </right>
      <top/>
      <bottom style="medium">
        <color indexed="64"/>
      </bottom>
      <diagonal/>
    </border>
    <border>
      <left style="thick">
        <color rgb="FFFFFFFF"/>
      </left>
      <right style="thick">
        <color rgb="FFFFFFFF"/>
      </right>
      <top/>
      <bottom/>
      <diagonal/>
    </border>
    <border>
      <left style="thin">
        <color indexed="64"/>
      </left>
      <right style="thin">
        <color indexed="64"/>
      </right>
      <top/>
      <bottom style="thick">
        <color indexed="64"/>
      </bottom>
      <diagonal/>
    </border>
    <border>
      <left style="thin">
        <color rgb="FFFFFFFF"/>
      </left>
      <right style="thin">
        <color rgb="FFFFFFFF"/>
      </right>
      <top/>
      <bottom style="thick">
        <color rgb="FFFFFFFF"/>
      </bottom>
      <diagonal/>
    </border>
    <border>
      <left style="thick">
        <color rgb="FFFFFFFF"/>
      </left>
      <right style="thick">
        <color rgb="FFFFFFFF"/>
      </right>
      <top/>
      <bottom style="thick">
        <color rgb="FFFFFFFF"/>
      </bottom>
      <diagonal/>
    </border>
    <border>
      <left style="thin">
        <color indexed="64"/>
      </left>
      <right style="thin">
        <color indexed="64"/>
      </right>
      <top style="thick">
        <color indexed="64"/>
      </top>
      <bottom/>
      <diagonal/>
    </border>
    <border>
      <left/>
      <right style="thin">
        <color indexed="64"/>
      </right>
      <top style="thick">
        <color indexed="64"/>
      </top>
      <bottom/>
      <diagonal/>
    </border>
    <border>
      <left style="thin">
        <color indexed="64"/>
      </left>
      <right style="thin">
        <color indexed="64"/>
      </right>
      <top/>
      <bottom style="thin">
        <color rgb="FF000000"/>
      </bottom>
      <diagonal/>
    </border>
    <border>
      <left/>
      <right/>
      <top style="thin">
        <color indexed="64"/>
      </top>
      <bottom style="thin">
        <color indexed="64"/>
      </bottom>
      <diagonal/>
    </border>
    <border>
      <left style="thin">
        <color indexed="64"/>
      </left>
      <right style="thin">
        <color auto="1"/>
      </right>
      <top style="thin">
        <color indexed="64"/>
      </top>
      <bottom style="medium">
        <color indexed="64"/>
      </bottom>
      <diagonal/>
    </border>
    <border>
      <left style="thick">
        <color indexed="64"/>
      </left>
      <right style="thin">
        <color indexed="64"/>
      </right>
      <top style="thick">
        <color indexed="64"/>
      </top>
      <bottom/>
      <diagonal/>
    </border>
    <border>
      <left style="thin">
        <color indexed="64"/>
      </left>
      <right style="thick">
        <color indexed="64"/>
      </right>
      <top style="thick">
        <color indexed="64"/>
      </top>
      <bottom/>
      <diagonal/>
    </border>
    <border>
      <left style="thin">
        <color indexed="64"/>
      </left>
      <right/>
      <top style="thick">
        <color indexed="64"/>
      </top>
      <bottom/>
      <diagonal/>
    </border>
    <border>
      <left style="thick">
        <color indexed="64"/>
      </left>
      <right/>
      <top style="thick">
        <color indexed="64"/>
      </top>
      <bottom/>
      <diagonal/>
    </border>
  </borders>
  <cellStyleXfs count="12">
    <xf numFmtId="0" fontId="0" fillId="0" borderId="0"/>
    <xf numFmtId="0" fontId="3" fillId="0" borderId="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9" fontId="2" fillId="0" borderId="0" applyFont="0" applyFill="0" applyBorder="0" applyAlignment="0" applyProtection="0"/>
    <xf numFmtId="41" fontId="2" fillId="0" borderId="0" applyFont="0" applyFill="0" applyBorder="0" applyAlignment="0" applyProtection="0"/>
    <xf numFmtId="0" fontId="2" fillId="0" borderId="0"/>
    <xf numFmtId="0" fontId="1" fillId="0" borderId="0"/>
    <xf numFmtId="43" fontId="1" fillId="0" borderId="0" applyFont="0" applyFill="0" applyBorder="0" applyAlignment="0" applyProtection="0"/>
    <xf numFmtId="0" fontId="2" fillId="0" borderId="0"/>
    <xf numFmtId="9" fontId="1" fillId="0" borderId="0" applyFont="0" applyFill="0" applyBorder="0" applyAlignment="0" applyProtection="0"/>
  </cellStyleXfs>
  <cellXfs count="454">
    <xf numFmtId="0" fontId="0" fillId="0" borderId="0" xfId="0"/>
    <xf numFmtId="0" fontId="1" fillId="0" borderId="0" xfId="0" applyFont="1"/>
    <xf numFmtId="0" fontId="0" fillId="0" borderId="0" xfId="0" applyAlignment="1">
      <alignment wrapText="1"/>
    </xf>
    <xf numFmtId="0" fontId="11" fillId="0" borderId="0" xfId="0" applyFont="1"/>
    <xf numFmtId="0" fontId="11" fillId="0" borderId="1" xfId="0" applyFont="1" applyBorder="1"/>
    <xf numFmtId="9" fontId="11" fillId="0" borderId="1" xfId="0" applyNumberFormat="1" applyFont="1" applyBorder="1"/>
    <xf numFmtId="0" fontId="12" fillId="13" borderId="1" xfId="0" applyFont="1" applyFill="1" applyBorder="1" applyAlignment="1">
      <alignment wrapText="1"/>
    </xf>
    <xf numFmtId="0" fontId="12" fillId="13" borderId="1" xfId="0" applyFont="1" applyFill="1" applyBorder="1"/>
    <xf numFmtId="9" fontId="11" fillId="0" borderId="0" xfId="3" applyFont="1"/>
    <xf numFmtId="0" fontId="14" fillId="6" borderId="9" xfId="0" applyFont="1" applyFill="1" applyBorder="1"/>
    <xf numFmtId="0" fontId="14" fillId="6" borderId="10" xfId="0" applyFont="1" applyFill="1" applyBorder="1"/>
    <xf numFmtId="0" fontId="11" fillId="0" borderId="0" xfId="0" applyFont="1" applyAlignment="1">
      <alignment wrapText="1"/>
    </xf>
    <xf numFmtId="0" fontId="4" fillId="0" borderId="0" xfId="0" applyFont="1" applyAlignment="1">
      <alignment wrapText="1"/>
    </xf>
    <xf numFmtId="0" fontId="4" fillId="0" borderId="0" xfId="0" applyFont="1" applyAlignment="1">
      <alignment horizontal="left" wrapText="1"/>
    </xf>
    <xf numFmtId="167" fontId="4" fillId="0" borderId="0" xfId="4" applyNumberFormat="1" applyFont="1" applyAlignment="1">
      <alignment wrapText="1"/>
    </xf>
    <xf numFmtId="165" fontId="4" fillId="0" borderId="0" xfId="4" applyFont="1" applyAlignment="1">
      <alignment wrapText="1"/>
    </xf>
    <xf numFmtId="0" fontId="1" fillId="0" borderId="0" xfId="0" applyFont="1" applyAlignment="1">
      <alignment wrapText="1"/>
    </xf>
    <xf numFmtId="167" fontId="1" fillId="0" borderId="0" xfId="4" applyNumberFormat="1" applyFont="1"/>
    <xf numFmtId="9" fontId="0" fillId="0" borderId="0" xfId="3" applyFont="1"/>
    <xf numFmtId="0" fontId="1" fillId="0" borderId="0" xfId="0" applyFont="1" applyAlignment="1">
      <alignment horizontal="left" wrapText="1"/>
    </xf>
    <xf numFmtId="167" fontId="1" fillId="0" borderId="0" xfId="4" applyNumberFormat="1" applyFont="1" applyAlignment="1">
      <alignment wrapText="1"/>
    </xf>
    <xf numFmtId="167" fontId="0" fillId="0" borderId="0" xfId="4" applyNumberFormat="1" applyFont="1"/>
    <xf numFmtId="165" fontId="1" fillId="0" borderId="0" xfId="4" applyFont="1" applyAlignment="1">
      <alignment wrapText="1"/>
    </xf>
    <xf numFmtId="167" fontId="8" fillId="0" borderId="1" xfId="4" applyNumberFormat="1" applyFont="1" applyBorder="1"/>
    <xf numFmtId="166" fontId="8" fillId="0" borderId="1" xfId="0" applyNumberFormat="1" applyFont="1" applyBorder="1"/>
    <xf numFmtId="9" fontId="8" fillId="0" borderId="1" xfId="3" applyFont="1" applyBorder="1"/>
    <xf numFmtId="166" fontId="8" fillId="0" borderId="2" xfId="0" applyNumberFormat="1" applyFont="1" applyBorder="1"/>
    <xf numFmtId="0" fontId="11" fillId="0" borderId="7" xfId="0" applyFont="1" applyBorder="1"/>
    <xf numFmtId="167" fontId="6" fillId="0" borderId="1" xfId="4" applyNumberFormat="1" applyFont="1" applyBorder="1" applyAlignment="1">
      <alignment vertical="center" wrapText="1"/>
    </xf>
    <xf numFmtId="0" fontId="6" fillId="0" borderId="1" xfId="0" applyFont="1" applyBorder="1" applyAlignment="1">
      <alignment horizontal="left" vertical="center" wrapText="1"/>
    </xf>
    <xf numFmtId="0" fontId="0" fillId="0" borderId="1" xfId="0" applyBorder="1" applyAlignment="1">
      <alignment horizontal="left" vertical="center" wrapText="1"/>
    </xf>
    <xf numFmtId="9" fontId="8" fillId="0" borderId="1" xfId="3" applyFont="1" applyBorder="1" applyAlignment="1">
      <alignment vertical="center" wrapText="1"/>
    </xf>
    <xf numFmtId="9" fontId="8" fillId="0" borderId="1" xfId="0" applyNumberFormat="1" applyFont="1" applyBorder="1" applyAlignment="1">
      <alignment vertical="center" wrapText="1"/>
    </xf>
    <xf numFmtId="0" fontId="6" fillId="0" borderId="14" xfId="0" applyFont="1" applyBorder="1" applyAlignment="1">
      <alignment horizontal="left" vertical="center" wrapText="1"/>
    </xf>
    <xf numFmtId="167" fontId="6" fillId="0" borderId="14" xfId="4" applyNumberFormat="1" applyFont="1" applyBorder="1" applyAlignment="1">
      <alignment horizontal="right" vertical="center" wrapText="1"/>
    </xf>
    <xf numFmtId="167" fontId="6" fillId="0" borderId="15" xfId="4" applyNumberFormat="1" applyFont="1" applyBorder="1" applyAlignment="1">
      <alignment vertical="center" wrapText="1"/>
    </xf>
    <xf numFmtId="9" fontId="8" fillId="0" borderId="15" xfId="3" applyFont="1" applyBorder="1" applyAlignment="1">
      <alignment vertical="center" wrapText="1"/>
    </xf>
    <xf numFmtId="167" fontId="6" fillId="0" borderId="13" xfId="4" applyNumberFormat="1" applyFont="1" applyFill="1" applyBorder="1" applyAlignment="1">
      <alignment horizontal="left" vertical="center" wrapText="1"/>
    </xf>
    <xf numFmtId="166" fontId="5" fillId="14" borderId="17" xfId="2" applyNumberFormat="1" applyFont="1" applyFill="1" applyBorder="1" applyAlignment="1">
      <alignment horizontal="left" vertical="center" wrapText="1"/>
    </xf>
    <xf numFmtId="166" fontId="5" fillId="14" borderId="18" xfId="2" applyNumberFormat="1" applyFont="1" applyFill="1" applyBorder="1" applyAlignment="1">
      <alignment horizontal="left" vertical="center" wrapText="1"/>
    </xf>
    <xf numFmtId="166" fontId="16" fillId="7" borderId="17" xfId="2" applyNumberFormat="1" applyFont="1" applyFill="1" applyBorder="1" applyAlignment="1">
      <alignment horizontal="center" vertical="center" wrapText="1"/>
    </xf>
    <xf numFmtId="0" fontId="16" fillId="10" borderId="11" xfId="1" applyFont="1" applyFill="1" applyBorder="1" applyAlignment="1">
      <alignment horizontal="center" vertical="center" wrapText="1"/>
    </xf>
    <xf numFmtId="0" fontId="16" fillId="9" borderId="11" xfId="1" applyFont="1" applyFill="1" applyBorder="1" applyAlignment="1">
      <alignment vertical="center" wrapText="1"/>
    </xf>
    <xf numFmtId="167" fontId="5" fillId="4" borderId="16" xfId="4" applyNumberFormat="1" applyFont="1" applyFill="1" applyBorder="1" applyAlignment="1">
      <alignment horizontal="center" vertical="center" wrapText="1"/>
    </xf>
    <xf numFmtId="167" fontId="5" fillId="4" borderId="17" xfId="4" applyNumberFormat="1" applyFont="1" applyFill="1" applyBorder="1" applyAlignment="1">
      <alignment horizontal="center" vertical="center" wrapText="1"/>
    </xf>
    <xf numFmtId="167" fontId="16" fillId="7" borderId="16" xfId="4" applyNumberFormat="1" applyFont="1" applyFill="1" applyBorder="1" applyAlignment="1">
      <alignment horizontal="center" vertical="center" wrapText="1"/>
    </xf>
    <xf numFmtId="9" fontId="1" fillId="0" borderId="0" xfId="3" applyFont="1" applyAlignment="1">
      <alignment wrapText="1"/>
    </xf>
    <xf numFmtId="9" fontId="4" fillId="0" borderId="0" xfId="3" applyFont="1" applyAlignment="1">
      <alignment wrapText="1"/>
    </xf>
    <xf numFmtId="9" fontId="11" fillId="0" borderId="0" xfId="3" applyFont="1" applyBorder="1"/>
    <xf numFmtId="167" fontId="8" fillId="5" borderId="16" xfId="4" applyNumberFormat="1" applyFont="1" applyFill="1" applyBorder="1" applyAlignment="1">
      <alignment horizontal="center" vertical="center" wrapText="1"/>
    </xf>
    <xf numFmtId="9" fontId="8" fillId="5" borderId="17" xfId="3" applyFont="1" applyFill="1" applyBorder="1" applyAlignment="1">
      <alignment horizontal="center" vertical="center" wrapText="1"/>
    </xf>
    <xf numFmtId="167" fontId="8" fillId="5" borderId="17" xfId="4" applyNumberFormat="1" applyFont="1" applyFill="1" applyBorder="1" applyAlignment="1">
      <alignment horizontal="center" vertical="center" wrapText="1"/>
    </xf>
    <xf numFmtId="167" fontId="6" fillId="0" borderId="3" xfId="4" applyNumberFormat="1" applyFont="1" applyBorder="1" applyAlignment="1">
      <alignment vertical="center" wrapText="1"/>
    </xf>
    <xf numFmtId="167" fontId="6" fillId="0" borderId="1" xfId="4" applyNumberFormat="1" applyFont="1" applyBorder="1" applyAlignment="1">
      <alignment horizontal="left" vertical="center" wrapText="1"/>
    </xf>
    <xf numFmtId="0" fontId="6" fillId="0" borderId="1" xfId="0" applyFont="1" applyBorder="1" applyAlignment="1">
      <alignment horizontal="left" wrapText="1"/>
    </xf>
    <xf numFmtId="167" fontId="5" fillId="14" borderId="17" xfId="4" applyNumberFormat="1" applyFont="1" applyFill="1" applyBorder="1" applyAlignment="1">
      <alignment horizontal="left" vertical="center" wrapText="1"/>
    </xf>
    <xf numFmtId="167" fontId="0" fillId="0" borderId="1" xfId="4" applyNumberFormat="1" applyFont="1" applyBorder="1" applyAlignment="1">
      <alignment horizontal="left" vertical="center" wrapText="1"/>
    </xf>
    <xf numFmtId="0" fontId="1" fillId="0" borderId="0" xfId="0" applyFont="1" applyAlignment="1">
      <alignment horizontal="center" wrapText="1"/>
    </xf>
    <xf numFmtId="166" fontId="5" fillId="14" borderId="17" xfId="2" applyNumberFormat="1" applyFont="1" applyFill="1" applyBorder="1" applyAlignment="1">
      <alignment horizontal="center" vertical="center" wrapText="1"/>
    </xf>
    <xf numFmtId="0" fontId="6" fillId="0" borderId="1" xfId="0" applyFont="1" applyBorder="1" applyAlignment="1">
      <alignment horizontal="center" vertical="center" wrapText="1"/>
    </xf>
    <xf numFmtId="0" fontId="0" fillId="0" borderId="1" xfId="0" applyBorder="1" applyAlignment="1">
      <alignment horizontal="center" vertical="center" wrapText="1"/>
    </xf>
    <xf numFmtId="0" fontId="4" fillId="0" borderId="0" xfId="0" applyFont="1" applyAlignment="1">
      <alignment horizontal="center" wrapText="1"/>
    </xf>
    <xf numFmtId="9" fontId="1" fillId="0" borderId="0" xfId="3" applyFont="1"/>
    <xf numFmtId="9" fontId="10" fillId="0" borderId="1" xfId="3" applyFont="1" applyBorder="1"/>
    <xf numFmtId="0" fontId="18" fillId="10" borderId="11" xfId="1" applyFont="1" applyFill="1" applyBorder="1" applyAlignment="1">
      <alignment horizontal="center" vertical="center" wrapText="1"/>
    </xf>
    <xf numFmtId="167" fontId="6" fillId="0" borderId="21" xfId="4" applyNumberFormat="1" applyFont="1" applyBorder="1" applyAlignment="1">
      <alignment vertical="center" wrapText="1"/>
    </xf>
    <xf numFmtId="9" fontId="6" fillId="0" borderId="6" xfId="3" applyFont="1" applyBorder="1" applyAlignment="1">
      <alignment vertical="center" wrapText="1"/>
    </xf>
    <xf numFmtId="167" fontId="6" fillId="0" borderId="6" xfId="4" applyNumberFormat="1" applyFont="1" applyBorder="1" applyAlignment="1">
      <alignment vertical="center" wrapText="1"/>
    </xf>
    <xf numFmtId="166" fontId="5" fillId="14" borderId="1" xfId="2" applyNumberFormat="1" applyFont="1" applyFill="1" applyBorder="1" applyAlignment="1">
      <alignment horizontal="center" vertical="center" wrapText="1"/>
    </xf>
    <xf numFmtId="167" fontId="16" fillId="11" borderId="32" xfId="4" applyNumberFormat="1" applyFont="1" applyFill="1" applyBorder="1" applyAlignment="1">
      <alignment horizontal="center" vertical="center" wrapText="1"/>
    </xf>
    <xf numFmtId="0" fontId="0" fillId="20" borderId="0" xfId="0" applyFill="1"/>
    <xf numFmtId="167" fontId="16" fillId="7" borderId="1" xfId="4" applyNumberFormat="1" applyFont="1" applyFill="1" applyBorder="1" applyAlignment="1">
      <alignment horizontal="center" vertical="center" wrapText="1"/>
    </xf>
    <xf numFmtId="41" fontId="16" fillId="7" borderId="1" xfId="6" applyFont="1" applyFill="1" applyBorder="1" applyAlignment="1">
      <alignment horizontal="center" vertical="center" wrapText="1"/>
    </xf>
    <xf numFmtId="0" fontId="0" fillId="0" borderId="1" xfId="0" applyBorder="1"/>
    <xf numFmtId="0" fontId="11" fillId="21" borderId="1" xfId="0" applyFont="1" applyFill="1" applyBorder="1" applyAlignment="1">
      <alignment wrapText="1"/>
    </xf>
    <xf numFmtId="0" fontId="11" fillId="21" borderId="2" xfId="0" applyFont="1" applyFill="1" applyBorder="1"/>
    <xf numFmtId="0" fontId="11" fillId="21" borderId="1" xfId="0" applyFont="1" applyFill="1" applyBorder="1"/>
    <xf numFmtId="0" fontId="0" fillId="0" borderId="0" xfId="0" applyAlignment="1">
      <alignment horizontal="left"/>
    </xf>
    <xf numFmtId="9" fontId="11" fillId="0" borderId="1" xfId="3" applyFont="1" applyBorder="1"/>
    <xf numFmtId="0" fontId="24" fillId="13" borderId="1" xfId="0" applyFont="1" applyFill="1" applyBorder="1" applyAlignment="1">
      <alignment horizontal="center" vertical="center" wrapText="1"/>
    </xf>
    <xf numFmtId="0" fontId="14" fillId="22" borderId="2" xfId="0" applyFont="1" applyFill="1" applyBorder="1" applyAlignment="1">
      <alignment horizontal="center" vertical="center" wrapText="1"/>
    </xf>
    <xf numFmtId="0" fontId="24" fillId="23" borderId="1" xfId="0" applyFont="1" applyFill="1" applyBorder="1" applyAlignment="1">
      <alignment horizontal="center" vertical="center" wrapText="1"/>
    </xf>
    <xf numFmtId="167" fontId="6" fillId="0" borderId="12" xfId="4" applyNumberFormat="1" applyFont="1" applyBorder="1" applyAlignment="1">
      <alignment vertical="center" wrapText="1"/>
    </xf>
    <xf numFmtId="167" fontId="6" fillId="0" borderId="5" xfId="4" applyNumberFormat="1" applyFont="1" applyBorder="1" applyAlignment="1">
      <alignment vertical="center" wrapText="1"/>
    </xf>
    <xf numFmtId="9" fontId="6" fillId="0" borderId="5" xfId="3" applyFont="1" applyBorder="1" applyAlignment="1">
      <alignment vertical="center" wrapText="1"/>
    </xf>
    <xf numFmtId="9" fontId="8" fillId="0" borderId="5" xfId="3" applyFont="1" applyBorder="1" applyAlignment="1">
      <alignment vertical="center" wrapText="1"/>
    </xf>
    <xf numFmtId="166" fontId="8" fillId="0" borderId="36" xfId="0" applyNumberFormat="1" applyFont="1" applyBorder="1" applyAlignment="1">
      <alignment vertical="center" wrapText="1"/>
    </xf>
    <xf numFmtId="166" fontId="8" fillId="0" borderId="37" xfId="0" applyNumberFormat="1" applyFont="1" applyBorder="1" applyAlignment="1">
      <alignment vertical="center" wrapText="1"/>
    </xf>
    <xf numFmtId="166" fontId="21" fillId="24" borderId="35" xfId="2" applyNumberFormat="1" applyFont="1" applyFill="1" applyBorder="1" applyAlignment="1">
      <alignment horizontal="center" vertical="center" wrapText="1"/>
    </xf>
    <xf numFmtId="0" fontId="11" fillId="0" borderId="1" xfId="0" applyFont="1" applyBorder="1" applyAlignment="1">
      <alignment wrapText="1"/>
    </xf>
    <xf numFmtId="0" fontId="26" fillId="0" borderId="0" xfId="0" applyFont="1"/>
    <xf numFmtId="0" fontId="26" fillId="0" borderId="5" xfId="0" applyFont="1" applyBorder="1"/>
    <xf numFmtId="0" fontId="12" fillId="0" borderId="0" xfId="0" applyFont="1"/>
    <xf numFmtId="0" fontId="12" fillId="0" borderId="0" xfId="0" applyFont="1" applyAlignment="1">
      <alignment wrapText="1"/>
    </xf>
    <xf numFmtId="9" fontId="12" fillId="0" borderId="0" xfId="3" applyFont="1" applyBorder="1"/>
    <xf numFmtId="0" fontId="25" fillId="0" borderId="3" xfId="0" applyFont="1" applyBorder="1" applyAlignment="1">
      <alignment wrapText="1"/>
    </xf>
    <xf numFmtId="9" fontId="25" fillId="0" borderId="1" xfId="3" applyFont="1" applyBorder="1"/>
    <xf numFmtId="0" fontId="25" fillId="0" borderId="1" xfId="0" applyFont="1" applyBorder="1"/>
    <xf numFmtId="0" fontId="25" fillId="0" borderId="0" xfId="0" applyFont="1"/>
    <xf numFmtId="0" fontId="26" fillId="0" borderId="4" xfId="0" applyFont="1" applyBorder="1" applyAlignment="1">
      <alignment wrapText="1"/>
    </xf>
    <xf numFmtId="9" fontId="26" fillId="0" borderId="5" xfId="3" applyFont="1" applyBorder="1"/>
    <xf numFmtId="0" fontId="12" fillId="13" borderId="1" xfId="0" applyFont="1" applyFill="1" applyBorder="1" applyAlignment="1">
      <alignment horizontal="center" vertical="center" wrapText="1"/>
    </xf>
    <xf numFmtId="0" fontId="25" fillId="22" borderId="1" xfId="0" applyFont="1" applyFill="1" applyBorder="1" applyAlignment="1">
      <alignment horizontal="center" vertical="center" wrapText="1"/>
    </xf>
    <xf numFmtId="0" fontId="12" fillId="23" borderId="1" xfId="0" applyFont="1" applyFill="1" applyBorder="1" applyAlignment="1">
      <alignment horizontal="center" vertical="center" wrapText="1"/>
    </xf>
    <xf numFmtId="0" fontId="12" fillId="0" borderId="1" xfId="0" applyFont="1" applyBorder="1"/>
    <xf numFmtId="0" fontId="12" fillId="0" borderId="1" xfId="0" applyFont="1" applyBorder="1" applyAlignment="1">
      <alignment wrapText="1"/>
    </xf>
    <xf numFmtId="0" fontId="11" fillId="25" borderId="1" xfId="0" applyFont="1" applyFill="1" applyBorder="1" applyAlignment="1">
      <alignment wrapText="1"/>
    </xf>
    <xf numFmtId="0" fontId="11" fillId="25" borderId="1" xfId="0" applyFont="1" applyFill="1" applyBorder="1"/>
    <xf numFmtId="9" fontId="8" fillId="5" borderId="30" xfId="3" applyFont="1" applyFill="1" applyBorder="1" applyAlignment="1">
      <alignment horizontal="center" vertical="center" wrapText="1"/>
    </xf>
    <xf numFmtId="9" fontId="6" fillId="0" borderId="4" xfId="3" applyFont="1" applyBorder="1" applyAlignment="1">
      <alignment vertical="center" wrapText="1"/>
    </xf>
    <xf numFmtId="9" fontId="6" fillId="0" borderId="8" xfId="3" applyFont="1" applyBorder="1" applyAlignment="1">
      <alignment vertical="center" wrapText="1"/>
    </xf>
    <xf numFmtId="167" fontId="8" fillId="0" borderId="13" xfId="4" applyNumberFormat="1" applyFont="1" applyBorder="1" applyAlignment="1">
      <alignment vertical="center" wrapText="1"/>
    </xf>
    <xf numFmtId="166" fontId="5" fillId="14" borderId="30" xfId="2" applyNumberFormat="1" applyFont="1" applyFill="1" applyBorder="1" applyAlignment="1">
      <alignment horizontal="left" vertical="center" wrapText="1"/>
    </xf>
    <xf numFmtId="0" fontId="22" fillId="0" borderId="0" xfId="0" applyFont="1"/>
    <xf numFmtId="167" fontId="6" fillId="0" borderId="5" xfId="4" applyNumberFormat="1" applyFont="1" applyBorder="1" applyAlignment="1">
      <alignment horizontal="right" vertical="center" wrapText="1"/>
    </xf>
    <xf numFmtId="167" fontId="16" fillId="7" borderId="30" xfId="4" applyNumberFormat="1" applyFont="1" applyFill="1" applyBorder="1" applyAlignment="1">
      <alignment horizontal="center" vertical="center" wrapText="1"/>
    </xf>
    <xf numFmtId="167" fontId="6" fillId="0" borderId="4" xfId="4" applyNumberFormat="1" applyFont="1" applyBorder="1" applyAlignment="1">
      <alignment horizontal="right" vertical="center" wrapText="1"/>
    </xf>
    <xf numFmtId="167" fontId="5" fillId="4" borderId="30" xfId="4" applyNumberFormat="1" applyFont="1" applyFill="1" applyBorder="1" applyAlignment="1">
      <alignment horizontal="center" vertical="center" wrapText="1"/>
    </xf>
    <xf numFmtId="168" fontId="8" fillId="0" borderId="1" xfId="4" applyNumberFormat="1" applyFont="1" applyBorder="1"/>
    <xf numFmtId="168" fontId="1" fillId="0" borderId="0" xfId="4" applyNumberFormat="1" applyFont="1" applyAlignment="1">
      <alignment horizontal="left"/>
    </xf>
    <xf numFmtId="168" fontId="8" fillId="0" borderId="5" xfId="4" applyNumberFormat="1" applyFont="1" applyBorder="1"/>
    <xf numFmtId="167" fontId="8" fillId="0" borderId="5" xfId="4" applyNumberFormat="1" applyFont="1" applyBorder="1"/>
    <xf numFmtId="9" fontId="8" fillId="0" borderId="5" xfId="3" applyFont="1" applyBorder="1"/>
    <xf numFmtId="166" fontId="8" fillId="0" borderId="5" xfId="0" applyNumberFormat="1" applyFont="1" applyBorder="1"/>
    <xf numFmtId="0" fontId="1" fillId="0" borderId="1" xfId="0" applyFont="1" applyBorder="1" applyAlignment="1">
      <alignment horizontal="center" vertical="center" wrapText="1"/>
    </xf>
    <xf numFmtId="0" fontId="16" fillId="10" borderId="11" xfId="1" applyFont="1" applyFill="1" applyBorder="1" applyAlignment="1">
      <alignment vertical="center" wrapText="1"/>
    </xf>
    <xf numFmtId="166" fontId="5" fillId="14" borderId="16" xfId="2" applyNumberFormat="1" applyFont="1" applyFill="1" applyBorder="1" applyAlignment="1">
      <alignment vertical="center" wrapText="1"/>
    </xf>
    <xf numFmtId="0" fontId="0" fillId="0" borderId="3" xfId="0" applyBorder="1" applyAlignment="1">
      <alignment vertical="center" wrapText="1"/>
    </xf>
    <xf numFmtId="0" fontId="6" fillId="26" borderId="14" xfId="0" applyFont="1" applyFill="1" applyBorder="1" applyAlignment="1">
      <alignment horizontal="left" vertical="center" wrapText="1"/>
    </xf>
    <xf numFmtId="166" fontId="8" fillId="0" borderId="1" xfId="0" applyNumberFormat="1" applyFont="1" applyBorder="1" applyAlignment="1">
      <alignment vertical="center" wrapText="1"/>
    </xf>
    <xf numFmtId="166" fontId="8" fillId="0" borderId="2" xfId="0" applyNumberFormat="1" applyFont="1" applyBorder="1" applyAlignment="1">
      <alignment vertical="center" wrapText="1"/>
    </xf>
    <xf numFmtId="168" fontId="8" fillId="0" borderId="1" xfId="4" applyNumberFormat="1" applyFont="1" applyBorder="1" applyAlignment="1">
      <alignment horizontal="left"/>
    </xf>
    <xf numFmtId="167" fontId="8" fillId="0" borderId="1" xfId="4" applyNumberFormat="1" applyFont="1" applyBorder="1" applyAlignment="1">
      <alignment vertical="center" wrapText="1"/>
    </xf>
    <xf numFmtId="9" fontId="8" fillId="0" borderId="1" xfId="3" applyFont="1" applyBorder="1" applyAlignment="1">
      <alignment horizontal="right" vertical="center" wrapText="1"/>
    </xf>
    <xf numFmtId="0" fontId="6" fillId="0" borderId="14" xfId="0" applyFont="1" applyBorder="1" applyAlignment="1">
      <alignment vertical="center" wrapText="1"/>
    </xf>
    <xf numFmtId="167" fontId="6" fillId="0" borderId="44" xfId="4" applyNumberFormat="1" applyFont="1" applyBorder="1" applyAlignment="1">
      <alignment vertical="center" wrapText="1"/>
    </xf>
    <xf numFmtId="167" fontId="6" fillId="0" borderId="2" xfId="0" applyNumberFormat="1" applyFont="1" applyBorder="1" applyAlignment="1">
      <alignment vertical="center" wrapText="1"/>
    </xf>
    <xf numFmtId="167" fontId="6" fillId="0" borderId="43" xfId="4" applyNumberFormat="1" applyFont="1" applyBorder="1" applyAlignment="1">
      <alignment vertical="center" wrapText="1"/>
    </xf>
    <xf numFmtId="167" fontId="8" fillId="0" borderId="1" xfId="0" applyNumberFormat="1" applyFont="1" applyBorder="1" applyAlignment="1">
      <alignment vertical="center" wrapText="1"/>
    </xf>
    <xf numFmtId="9" fontId="8" fillId="0" borderId="2" xfId="4" applyNumberFormat="1" applyFont="1" applyBorder="1" applyAlignment="1">
      <alignment vertical="center" wrapText="1"/>
    </xf>
    <xf numFmtId="9" fontId="6" fillId="0" borderId="2" xfId="4" applyNumberFormat="1" applyFont="1" applyBorder="1" applyAlignment="1">
      <alignment vertical="center" wrapText="1"/>
    </xf>
    <xf numFmtId="9" fontId="6" fillId="0" borderId="2" xfId="3" applyFont="1" applyBorder="1" applyAlignment="1">
      <alignment vertical="center" wrapText="1"/>
    </xf>
    <xf numFmtId="9" fontId="6" fillId="0" borderId="43" xfId="3" applyFont="1" applyBorder="1" applyAlignment="1">
      <alignment vertical="center" wrapText="1"/>
    </xf>
    <xf numFmtId="0" fontId="1" fillId="26" borderId="1" xfId="0" applyFont="1" applyFill="1" applyBorder="1" applyAlignment="1">
      <alignment horizontal="left" vertical="center" wrapText="1"/>
    </xf>
    <xf numFmtId="0" fontId="1" fillId="0" borderId="1" xfId="0" applyFont="1" applyBorder="1" applyAlignment="1">
      <alignment horizontal="left" vertical="center" wrapText="1"/>
    </xf>
    <xf numFmtId="167" fontId="6" fillId="3" borderId="1" xfId="4" applyNumberFormat="1" applyFont="1" applyFill="1" applyBorder="1" applyAlignment="1">
      <alignment horizontal="left" vertical="center" wrapText="1"/>
    </xf>
    <xf numFmtId="0" fontId="0" fillId="0" borderId="1" xfId="0" applyBorder="1" applyAlignment="1">
      <alignment vertical="center" wrapText="1"/>
    </xf>
    <xf numFmtId="0" fontId="0" fillId="0" borderId="0" xfId="0" pivotButton="1"/>
    <xf numFmtId="167" fontId="0" fillId="0" borderId="0" xfId="0" applyNumberFormat="1"/>
    <xf numFmtId="167" fontId="0" fillId="0" borderId="1" xfId="4" applyNumberFormat="1" applyFont="1" applyBorder="1"/>
    <xf numFmtId="0" fontId="0" fillId="0" borderId="1" xfId="0" applyBorder="1" applyAlignment="1">
      <alignment horizontal="center" vertical="center"/>
    </xf>
    <xf numFmtId="166" fontId="0" fillId="0" borderId="0" xfId="0" applyNumberFormat="1"/>
    <xf numFmtId="0" fontId="28" fillId="0" borderId="0" xfId="0" applyFont="1" applyAlignment="1">
      <alignment horizontal="left"/>
    </xf>
    <xf numFmtId="167" fontId="28" fillId="0" borderId="0" xfId="0" applyNumberFormat="1" applyFont="1"/>
    <xf numFmtId="3" fontId="0" fillId="0" borderId="0" xfId="0" applyNumberFormat="1"/>
    <xf numFmtId="3" fontId="29" fillId="0" borderId="45" xfId="0" applyNumberFormat="1" applyFont="1" applyBorder="1" applyAlignment="1">
      <alignment horizontal="left" wrapText="1" readingOrder="1"/>
    </xf>
    <xf numFmtId="0" fontId="29" fillId="0" borderId="45" xfId="0" applyFont="1" applyBorder="1" applyAlignment="1">
      <alignment horizontal="left" wrapText="1" readingOrder="1"/>
    </xf>
    <xf numFmtId="3" fontId="30" fillId="0" borderId="45" xfId="0" applyNumberFormat="1" applyFont="1" applyBorder="1" applyAlignment="1">
      <alignment horizontal="left" wrapText="1" readingOrder="1"/>
    </xf>
    <xf numFmtId="3" fontId="31" fillId="0" borderId="45" xfId="0" applyNumberFormat="1" applyFont="1" applyBorder="1" applyAlignment="1">
      <alignment horizontal="left" wrapText="1" readingOrder="1"/>
    </xf>
    <xf numFmtId="0" fontId="32" fillId="0" borderId="0" xfId="0" applyFont="1"/>
    <xf numFmtId="0" fontId="28" fillId="21" borderId="10" xfId="0" applyFont="1" applyFill="1" applyBorder="1"/>
    <xf numFmtId="0" fontId="28" fillId="0" borderId="0" xfId="0" applyFont="1"/>
    <xf numFmtId="0" fontId="28" fillId="21" borderId="46" xfId="0" applyFont="1" applyFill="1" applyBorder="1" applyAlignment="1">
      <alignment horizontal="left"/>
    </xf>
    <xf numFmtId="167" fontId="33" fillId="21" borderId="46" xfId="0" applyNumberFormat="1" applyFont="1" applyFill="1" applyBorder="1"/>
    <xf numFmtId="167" fontId="34" fillId="21" borderId="46" xfId="0" applyNumberFormat="1" applyFont="1" applyFill="1" applyBorder="1"/>
    <xf numFmtId="166" fontId="8" fillId="0" borderId="48" xfId="0" applyNumberFormat="1" applyFont="1" applyBorder="1"/>
    <xf numFmtId="166" fontId="8" fillId="0" borderId="48" xfId="0" applyNumberFormat="1" applyFont="1" applyBorder="1" applyAlignment="1">
      <alignment vertical="center" wrapText="1"/>
    </xf>
    <xf numFmtId="166" fontId="5" fillId="33" borderId="47" xfId="2" applyNumberFormat="1" applyFont="1" applyFill="1" applyBorder="1" applyAlignment="1">
      <alignment horizontal="left" vertical="top" wrapText="1"/>
    </xf>
    <xf numFmtId="166" fontId="35" fillId="14" borderId="30" xfId="2" applyNumberFormat="1" applyFont="1" applyFill="1" applyBorder="1" applyAlignment="1">
      <alignment vertical="center" wrapText="1"/>
    </xf>
    <xf numFmtId="166" fontId="35" fillId="14" borderId="17" xfId="2" applyNumberFormat="1" applyFont="1" applyFill="1" applyBorder="1" applyAlignment="1">
      <alignment horizontal="left" vertical="center" wrapText="1"/>
    </xf>
    <xf numFmtId="166" fontId="35" fillId="14" borderId="17" xfId="2" applyNumberFormat="1" applyFont="1" applyFill="1" applyBorder="1" applyAlignment="1">
      <alignment vertical="center" wrapText="1"/>
    </xf>
    <xf numFmtId="166" fontId="35" fillId="33" borderId="60" xfId="2" applyNumberFormat="1" applyFont="1" applyFill="1" applyBorder="1" applyAlignment="1">
      <alignment horizontal="left" vertical="top" wrapText="1"/>
    </xf>
    <xf numFmtId="9" fontId="35" fillId="4" borderId="58" xfId="3" applyFont="1" applyFill="1" applyBorder="1" applyAlignment="1">
      <alignment horizontal="center" vertical="top" wrapText="1"/>
    </xf>
    <xf numFmtId="9" fontId="35" fillId="4" borderId="60" xfId="3" applyFont="1" applyFill="1" applyBorder="1" applyAlignment="1">
      <alignment horizontal="center" vertical="top" wrapText="1"/>
    </xf>
    <xf numFmtId="166" fontId="35" fillId="33" borderId="47" xfId="2" applyNumberFormat="1" applyFont="1" applyFill="1" applyBorder="1" applyAlignment="1">
      <alignment horizontal="left" vertical="top" wrapText="1"/>
    </xf>
    <xf numFmtId="0" fontId="8" fillId="28" borderId="56" xfId="7" applyFont="1" applyFill="1" applyBorder="1" applyAlignment="1">
      <alignment vertical="top" wrapText="1"/>
    </xf>
    <xf numFmtId="0" fontId="8" fillId="29" borderId="57" xfId="7" applyFont="1" applyFill="1" applyBorder="1" applyAlignment="1">
      <alignment vertical="top" wrapText="1"/>
    </xf>
    <xf numFmtId="0" fontId="8" fillId="30" borderId="57" xfId="7" applyFont="1" applyFill="1" applyBorder="1" applyAlignment="1">
      <alignment vertical="top" wrapText="1"/>
    </xf>
    <xf numFmtId="0" fontId="38" fillId="31" borderId="57" xfId="7" applyFont="1" applyFill="1" applyBorder="1" applyAlignment="1">
      <alignment vertical="top" wrapText="1"/>
    </xf>
    <xf numFmtId="0" fontId="38" fillId="32" borderId="57" xfId="7" applyFont="1" applyFill="1" applyBorder="1" applyAlignment="1">
      <alignment vertical="top" wrapText="1"/>
    </xf>
    <xf numFmtId="0" fontId="8" fillId="28" borderId="59" xfId="0" applyFont="1" applyFill="1" applyBorder="1" applyAlignment="1">
      <alignment vertical="top" wrapText="1"/>
    </xf>
    <xf numFmtId="0" fontId="8" fillId="30" borderId="59" xfId="0" applyFont="1" applyFill="1" applyBorder="1" applyAlignment="1">
      <alignment vertical="top" wrapText="1"/>
    </xf>
    <xf numFmtId="0" fontId="38" fillId="31" borderId="59" xfId="0" applyFont="1" applyFill="1" applyBorder="1" applyAlignment="1">
      <alignment vertical="top" wrapText="1"/>
    </xf>
    <xf numFmtId="0" fontId="38" fillId="32" borderId="59" xfId="0" applyFont="1" applyFill="1" applyBorder="1" applyAlignment="1">
      <alignment vertical="top" wrapText="1"/>
    </xf>
    <xf numFmtId="0" fontId="8" fillId="29" borderId="59" xfId="0" applyFont="1" applyFill="1" applyBorder="1" applyAlignment="1">
      <alignment vertical="top" wrapText="1"/>
    </xf>
    <xf numFmtId="0" fontId="10" fillId="30" borderId="62" xfId="0" applyFont="1" applyFill="1" applyBorder="1" applyAlignment="1">
      <alignment vertical="top" wrapText="1"/>
    </xf>
    <xf numFmtId="0" fontId="8" fillId="28" borderId="61" xfId="0" applyFont="1" applyFill="1" applyBorder="1" applyAlignment="1">
      <alignment horizontal="left" vertical="top" wrapText="1"/>
    </xf>
    <xf numFmtId="0" fontId="8" fillId="29" borderId="61" xfId="0" applyFont="1" applyFill="1" applyBorder="1" applyAlignment="1">
      <alignment horizontal="left" vertical="top" wrapText="1"/>
    </xf>
    <xf numFmtId="0" fontId="8" fillId="30" borderId="62" xfId="0" applyFont="1" applyFill="1" applyBorder="1" applyAlignment="1">
      <alignment vertical="top" wrapText="1"/>
    </xf>
    <xf numFmtId="0" fontId="38" fillId="31" borderId="62" xfId="0" applyFont="1" applyFill="1" applyBorder="1" applyAlignment="1">
      <alignment vertical="top" wrapText="1"/>
    </xf>
    <xf numFmtId="0" fontId="38" fillId="32" borderId="62" xfId="0" applyFont="1" applyFill="1" applyBorder="1" applyAlignment="1">
      <alignment vertical="top" wrapText="1"/>
    </xf>
    <xf numFmtId="0" fontId="10" fillId="28" borderId="62" xfId="0" applyFont="1" applyFill="1" applyBorder="1" applyAlignment="1">
      <alignment vertical="top" wrapText="1"/>
    </xf>
    <xf numFmtId="0" fontId="10" fillId="29" borderId="62" xfId="0" applyFont="1" applyFill="1" applyBorder="1" applyAlignment="1">
      <alignment vertical="top" wrapText="1"/>
    </xf>
    <xf numFmtId="0" fontId="6" fillId="0" borderId="0" xfId="0" applyFont="1"/>
    <xf numFmtId="167" fontId="6" fillId="0" borderId="4" xfId="4" applyNumberFormat="1" applyFont="1" applyBorder="1" applyAlignment="1">
      <alignment vertical="center" wrapText="1"/>
    </xf>
    <xf numFmtId="166" fontId="16" fillId="7" borderId="63" xfId="2" applyNumberFormat="1" applyFont="1" applyFill="1" applyBorder="1" applyAlignment="1">
      <alignment horizontal="center" vertical="center" wrapText="1"/>
    </xf>
    <xf numFmtId="167" fontId="6" fillId="0" borderId="1" xfId="4" applyNumberFormat="1" applyFont="1" applyBorder="1" applyAlignment="1">
      <alignment horizontal="right" vertical="center" wrapText="1"/>
    </xf>
    <xf numFmtId="166" fontId="8" fillId="0" borderId="1" xfId="4" applyNumberFormat="1" applyFont="1" applyFill="1" applyBorder="1" applyAlignment="1">
      <alignment horizontal="center" vertical="center" wrapText="1"/>
    </xf>
    <xf numFmtId="166" fontId="8" fillId="0" borderId="5" xfId="4" applyNumberFormat="1" applyFont="1" applyFill="1" applyBorder="1" applyAlignment="1">
      <alignment horizontal="center" vertical="center" wrapText="1"/>
    </xf>
    <xf numFmtId="166" fontId="8" fillId="0" borderId="7" xfId="4" applyNumberFormat="1" applyFont="1" applyFill="1" applyBorder="1" applyAlignment="1">
      <alignment horizontal="center" vertical="center" wrapText="1"/>
    </xf>
    <xf numFmtId="166" fontId="35" fillId="4" borderId="65" xfId="2" applyNumberFormat="1" applyFont="1" applyFill="1" applyBorder="1" applyAlignment="1">
      <alignment horizontal="center" vertical="center" wrapText="1"/>
    </xf>
    <xf numFmtId="0" fontId="0" fillId="0" borderId="0" xfId="0" applyNumberFormat="1"/>
    <xf numFmtId="0" fontId="39" fillId="13" borderId="1" xfId="8" applyFont="1" applyFill="1" applyBorder="1" applyAlignment="1">
      <alignment vertical="center" wrapText="1"/>
    </xf>
    <xf numFmtId="0" fontId="1" fillId="0" borderId="0" xfId="8" applyAlignment="1">
      <alignment horizontal="left" wrapText="1"/>
    </xf>
    <xf numFmtId="170" fontId="1" fillId="0" borderId="0" xfId="9" applyNumberFormat="1" applyFont="1" applyAlignment="1">
      <alignment wrapText="1"/>
    </xf>
    <xf numFmtId="167" fontId="1" fillId="0" borderId="0" xfId="9" applyNumberFormat="1" applyFont="1" applyAlignment="1">
      <alignment wrapText="1"/>
    </xf>
    <xf numFmtId="0" fontId="1" fillId="0" borderId="0" xfId="8"/>
    <xf numFmtId="170" fontId="0" fillId="0" borderId="0" xfId="9" applyNumberFormat="1" applyFont="1"/>
    <xf numFmtId="0" fontId="39" fillId="13" borderId="67" xfId="8" applyFont="1" applyFill="1" applyBorder="1" applyAlignment="1">
      <alignment vertical="center" wrapText="1"/>
    </xf>
    <xf numFmtId="0" fontId="1" fillId="0" borderId="0" xfId="8" applyAlignment="1">
      <alignment horizontal="center" wrapText="1"/>
    </xf>
    <xf numFmtId="170" fontId="23" fillId="0" borderId="0" xfId="9" applyNumberFormat="1" applyFont="1" applyAlignment="1">
      <alignment wrapText="1"/>
    </xf>
    <xf numFmtId="167" fontId="23" fillId="0" borderId="0" xfId="9" applyNumberFormat="1" applyFont="1" applyAlignment="1">
      <alignment wrapText="1"/>
    </xf>
    <xf numFmtId="0" fontId="23" fillId="0" borderId="0" xfId="8" applyFont="1"/>
    <xf numFmtId="170" fontId="23" fillId="0" borderId="0" xfId="9" applyNumberFormat="1" applyFont="1"/>
    <xf numFmtId="170" fontId="41" fillId="34" borderId="0" xfId="9" applyNumberFormat="1" applyFont="1" applyFill="1"/>
    <xf numFmtId="0" fontId="5" fillId="35" borderId="19" xfId="10" applyFont="1" applyFill="1" applyBorder="1" applyAlignment="1">
      <alignment horizontal="center" vertical="center" wrapText="1"/>
    </xf>
    <xf numFmtId="170" fontId="5" fillId="35" borderId="11" xfId="9" applyNumberFormat="1" applyFont="1" applyFill="1" applyBorder="1" applyAlignment="1">
      <alignment horizontal="center" vertical="center" wrapText="1"/>
    </xf>
    <xf numFmtId="170" fontId="5" fillId="35" borderId="19" xfId="9" applyNumberFormat="1" applyFont="1" applyFill="1" applyBorder="1" applyAlignment="1">
      <alignment horizontal="center" vertical="center" wrapText="1"/>
    </xf>
    <xf numFmtId="0" fontId="5" fillId="10" borderId="25" xfId="10" applyFont="1" applyFill="1" applyBorder="1" applyAlignment="1">
      <alignment horizontal="center" vertical="center" wrapText="1"/>
    </xf>
    <xf numFmtId="166" fontId="5" fillId="14" borderId="68" xfId="2" applyNumberFormat="1" applyFont="1" applyFill="1" applyBorder="1" applyAlignment="1">
      <alignment horizontal="center" vertical="center" wrapText="1"/>
    </xf>
    <xf numFmtId="166" fontId="5" fillId="14" borderId="63" xfId="2" applyNumberFormat="1" applyFont="1" applyFill="1" applyBorder="1" applyAlignment="1">
      <alignment horizontal="center" vertical="center" wrapText="1"/>
    </xf>
    <xf numFmtId="166" fontId="5" fillId="14" borderId="63" xfId="2" applyNumberFormat="1" applyFont="1" applyFill="1" applyBorder="1" applyAlignment="1">
      <alignment horizontal="left" vertical="center" wrapText="1"/>
    </xf>
    <xf numFmtId="170" fontId="5" fillId="14" borderId="63" xfId="9" applyNumberFormat="1" applyFont="1" applyFill="1" applyBorder="1" applyAlignment="1">
      <alignment horizontal="left" vertical="center" wrapText="1"/>
    </xf>
    <xf numFmtId="166" fontId="5" fillId="14" borderId="69" xfId="2" applyNumberFormat="1" applyFont="1" applyFill="1" applyBorder="1" applyAlignment="1">
      <alignment vertical="center" wrapText="1"/>
    </xf>
    <xf numFmtId="166" fontId="5" fillId="14" borderId="70" xfId="2" applyNumberFormat="1" applyFont="1" applyFill="1" applyBorder="1" applyAlignment="1">
      <alignment vertical="center" wrapText="1"/>
    </xf>
    <xf numFmtId="167" fontId="5" fillId="14" borderId="63" xfId="9" applyNumberFormat="1" applyFont="1" applyFill="1" applyBorder="1" applyAlignment="1">
      <alignment horizontal="left" vertical="center" wrapText="1"/>
    </xf>
    <xf numFmtId="167" fontId="5" fillId="14" borderId="70" xfId="9" applyNumberFormat="1" applyFont="1" applyFill="1" applyBorder="1" applyAlignment="1">
      <alignment horizontal="left" vertical="center" wrapText="1"/>
    </xf>
    <xf numFmtId="170" fontId="5" fillId="14" borderId="28" xfId="9" applyNumberFormat="1" applyFont="1" applyFill="1" applyBorder="1" applyAlignment="1">
      <alignment horizontal="left" vertical="center" wrapText="1"/>
    </xf>
    <xf numFmtId="170" fontId="5" fillId="14" borderId="71" xfId="9" applyNumberFormat="1" applyFont="1" applyFill="1" applyBorder="1" applyAlignment="1">
      <alignment horizontal="left" vertical="center" wrapText="1"/>
    </xf>
    <xf numFmtId="170" fontId="5" fillId="14" borderId="68" xfId="9" applyNumberFormat="1" applyFont="1" applyFill="1" applyBorder="1" applyAlignment="1">
      <alignment horizontal="left" vertical="center" wrapText="1"/>
    </xf>
    <xf numFmtId="167" fontId="5" fillId="14" borderId="69" xfId="9" applyNumberFormat="1" applyFont="1" applyFill="1" applyBorder="1" applyAlignment="1">
      <alignment horizontal="left" vertical="center" wrapText="1"/>
    </xf>
    <xf numFmtId="167" fontId="5" fillId="14" borderId="39" xfId="9" applyNumberFormat="1" applyFont="1" applyFill="1" applyBorder="1" applyAlignment="1">
      <alignment horizontal="left" vertical="center" wrapText="1"/>
    </xf>
    <xf numFmtId="167" fontId="5" fillId="14" borderId="68" xfId="9" applyNumberFormat="1" applyFont="1" applyFill="1" applyBorder="1" applyAlignment="1">
      <alignment horizontal="left" vertical="center" wrapText="1"/>
    </xf>
    <xf numFmtId="9" fontId="0" fillId="0" borderId="0" xfId="11" applyFont="1"/>
    <xf numFmtId="170" fontId="42" fillId="36" borderId="0" xfId="9" applyNumberFormat="1" applyFont="1" applyFill="1"/>
    <xf numFmtId="0" fontId="28" fillId="38" borderId="0" xfId="0" applyFont="1" applyFill="1" applyAlignment="1">
      <alignment horizontal="right"/>
    </xf>
    <xf numFmtId="0" fontId="3" fillId="0" borderId="0" xfId="0" applyFont="1" applyAlignment="1">
      <alignment horizontal="left" wrapText="1"/>
    </xf>
    <xf numFmtId="0" fontId="3" fillId="0" borderId="0" xfId="0" applyFont="1" applyAlignment="1">
      <alignment horizontal="center" wrapText="1"/>
    </xf>
    <xf numFmtId="167" fontId="3" fillId="0" borderId="0" xfId="4" applyNumberFormat="1" applyFont="1" applyAlignment="1">
      <alignment wrapText="1"/>
    </xf>
    <xf numFmtId="0" fontId="44" fillId="10" borderId="11" xfId="1" applyFont="1" applyFill="1" applyBorder="1" applyAlignment="1">
      <alignment horizontal="center" vertical="center" wrapText="1"/>
    </xf>
    <xf numFmtId="0" fontId="44" fillId="10" borderId="11" xfId="1" applyFont="1" applyFill="1" applyBorder="1" applyAlignment="1">
      <alignment vertical="center" wrapText="1"/>
    </xf>
    <xf numFmtId="166" fontId="44" fillId="14" borderId="30" xfId="2" applyNumberFormat="1" applyFont="1" applyFill="1" applyBorder="1" applyAlignment="1">
      <alignment horizontal="left" vertical="center" wrapText="1"/>
    </xf>
    <xf numFmtId="166" fontId="44" fillId="14" borderId="17" xfId="2" applyNumberFormat="1" applyFont="1" applyFill="1" applyBorder="1" applyAlignment="1">
      <alignment horizontal="center" vertical="center" wrapText="1"/>
    </xf>
    <xf numFmtId="167" fontId="44" fillId="14" borderId="17" xfId="4" applyNumberFormat="1" applyFont="1" applyFill="1" applyBorder="1" applyAlignment="1">
      <alignment horizontal="left" vertical="center" wrapText="1"/>
    </xf>
    <xf numFmtId="166" fontId="44" fillId="14" borderId="18" xfId="2" applyNumberFormat="1" applyFont="1" applyFill="1" applyBorder="1" applyAlignment="1">
      <alignment horizontal="left" vertical="center" wrapText="1"/>
    </xf>
    <xf numFmtId="0" fontId="3" fillId="0" borderId="14" xfId="0" applyFont="1" applyBorder="1" applyAlignment="1">
      <alignment horizontal="left" vertical="center" wrapText="1"/>
    </xf>
    <xf numFmtId="0" fontId="3" fillId="0" borderId="1" xfId="0" applyFont="1" applyBorder="1" applyAlignment="1">
      <alignment horizontal="center" vertical="center" wrapText="1"/>
    </xf>
    <xf numFmtId="0" fontId="3" fillId="0" borderId="1" xfId="0" applyFont="1" applyBorder="1" applyAlignment="1">
      <alignment horizontal="left" vertical="center" wrapText="1"/>
    </xf>
    <xf numFmtId="167" fontId="3" fillId="0" borderId="1" xfId="4" applyNumberFormat="1" applyFont="1" applyBorder="1" applyAlignment="1">
      <alignment horizontal="left" vertical="center" wrapText="1"/>
    </xf>
    <xf numFmtId="0" fontId="3" fillId="26" borderId="14" xfId="0" applyFont="1" applyFill="1" applyBorder="1" applyAlignment="1">
      <alignment horizontal="left" vertical="center" wrapText="1"/>
    </xf>
    <xf numFmtId="167" fontId="3" fillId="3" borderId="1" xfId="4" applyNumberFormat="1" applyFont="1" applyFill="1" applyBorder="1" applyAlignment="1">
      <alignment horizontal="left" vertical="center" wrapText="1"/>
    </xf>
    <xf numFmtId="0" fontId="45" fillId="0" borderId="0" xfId="0" applyFont="1" applyAlignment="1">
      <alignment horizontal="left" wrapText="1"/>
    </xf>
    <xf numFmtId="0" fontId="45" fillId="0" borderId="0" xfId="0" applyFont="1" applyAlignment="1">
      <alignment horizontal="center" wrapText="1"/>
    </xf>
    <xf numFmtId="167" fontId="45" fillId="0" borderId="0" xfId="4" applyNumberFormat="1" applyFont="1" applyAlignment="1">
      <alignment wrapText="1"/>
    </xf>
    <xf numFmtId="0" fontId="46" fillId="10" borderId="11" xfId="1" applyFont="1" applyFill="1" applyBorder="1" applyAlignment="1">
      <alignment horizontal="center" vertical="center" wrapText="1"/>
    </xf>
    <xf numFmtId="0" fontId="46" fillId="10" borderId="11" xfId="1" applyFont="1" applyFill="1" applyBorder="1" applyAlignment="1">
      <alignment vertical="center" wrapText="1"/>
    </xf>
    <xf numFmtId="166" fontId="46" fillId="14" borderId="30" xfId="2" applyNumberFormat="1" applyFont="1" applyFill="1" applyBorder="1" applyAlignment="1">
      <alignment horizontal="left" vertical="center" wrapText="1"/>
    </xf>
    <xf numFmtId="166" fontId="46" fillId="14" borderId="17" xfId="2" applyNumberFormat="1" applyFont="1" applyFill="1" applyBorder="1" applyAlignment="1">
      <alignment horizontal="center" vertical="center" wrapText="1"/>
    </xf>
    <xf numFmtId="167" fontId="46" fillId="14" borderId="17" xfId="4" applyNumberFormat="1" applyFont="1" applyFill="1" applyBorder="1" applyAlignment="1">
      <alignment horizontal="left" vertical="center" wrapText="1"/>
    </xf>
    <xf numFmtId="166" fontId="46" fillId="14" borderId="18" xfId="2" applyNumberFormat="1" applyFont="1" applyFill="1" applyBorder="1" applyAlignment="1">
      <alignment horizontal="left" vertical="center" wrapText="1"/>
    </xf>
    <xf numFmtId="0" fontId="45" fillId="0" borderId="14" xfId="0" applyFont="1" applyBorder="1" applyAlignment="1">
      <alignment horizontal="left" vertical="center" wrapText="1"/>
    </xf>
    <xf numFmtId="0" fontId="45" fillId="0" borderId="1" xfId="0" applyFont="1" applyBorder="1" applyAlignment="1">
      <alignment horizontal="center" vertical="center" wrapText="1"/>
    </xf>
    <xf numFmtId="0" fontId="45" fillId="0" borderId="1" xfId="0" applyFont="1" applyBorder="1" applyAlignment="1">
      <alignment horizontal="left" vertical="center" wrapText="1"/>
    </xf>
    <xf numFmtId="167" fontId="45" fillId="0" borderId="1" xfId="4" applyNumberFormat="1" applyFont="1" applyBorder="1" applyAlignment="1">
      <alignment horizontal="left" vertical="center" wrapText="1"/>
    </xf>
    <xf numFmtId="0" fontId="45" fillId="26" borderId="14" xfId="0" applyFont="1" applyFill="1" applyBorder="1" applyAlignment="1">
      <alignment horizontal="left" vertical="center" wrapText="1"/>
    </xf>
    <xf numFmtId="167" fontId="45" fillId="3" borderId="1" xfId="4" applyNumberFormat="1" applyFont="1" applyFill="1" applyBorder="1" applyAlignment="1">
      <alignment horizontal="left" vertical="center" wrapText="1"/>
    </xf>
    <xf numFmtId="167" fontId="47" fillId="0" borderId="0" xfId="4" applyNumberFormat="1" applyFont="1" applyFill="1" applyAlignment="1">
      <alignment wrapText="1"/>
    </xf>
    <xf numFmtId="9" fontId="45" fillId="0" borderId="1" xfId="3" applyFont="1" applyBorder="1" applyAlignment="1">
      <alignment horizontal="right" vertical="center" wrapText="1"/>
    </xf>
    <xf numFmtId="170" fontId="43" fillId="39" borderId="0" xfId="9" applyNumberFormat="1" applyFont="1" applyFill="1"/>
    <xf numFmtId="170" fontId="27" fillId="0" borderId="0" xfId="9" applyNumberFormat="1" applyFont="1" applyFill="1"/>
    <xf numFmtId="9" fontId="47" fillId="0" borderId="0" xfId="3" applyFont="1" applyFill="1" applyAlignment="1">
      <alignment wrapText="1"/>
    </xf>
    <xf numFmtId="9" fontId="46" fillId="10" borderId="11" xfId="3" applyFont="1" applyFill="1" applyBorder="1" applyAlignment="1">
      <alignment vertical="center" wrapText="1"/>
    </xf>
    <xf numFmtId="9" fontId="46" fillId="14" borderId="18" xfId="3" applyFont="1" applyFill="1" applyBorder="1" applyAlignment="1">
      <alignment horizontal="left" vertical="center" wrapText="1"/>
    </xf>
    <xf numFmtId="9" fontId="45" fillId="0" borderId="0" xfId="3" applyFont="1" applyAlignment="1">
      <alignment wrapText="1"/>
    </xf>
    <xf numFmtId="0" fontId="3" fillId="0" borderId="0" xfId="0" applyFont="1"/>
    <xf numFmtId="166" fontId="44" fillId="14" borderId="64" xfId="2" applyNumberFormat="1" applyFont="1" applyFill="1" applyBorder="1" applyAlignment="1">
      <alignment vertical="center" wrapText="1"/>
    </xf>
    <xf numFmtId="166" fontId="44" fillId="14" borderId="63" xfId="2" applyNumberFormat="1" applyFont="1" applyFill="1" applyBorder="1" applyAlignment="1">
      <alignment horizontal="left" vertical="center" wrapText="1"/>
    </xf>
    <xf numFmtId="166" fontId="44" fillId="14" borderId="63" xfId="2" applyNumberFormat="1" applyFont="1" applyFill="1" applyBorder="1" applyAlignment="1">
      <alignment vertical="center" wrapText="1"/>
    </xf>
    <xf numFmtId="167" fontId="44" fillId="14" borderId="63" xfId="4" applyNumberFormat="1" applyFont="1" applyFill="1" applyBorder="1" applyAlignment="1">
      <alignment horizontal="left" vertical="center" wrapText="1"/>
    </xf>
    <xf numFmtId="166" fontId="44" fillId="14" borderId="63" xfId="2" applyNumberFormat="1" applyFont="1" applyFill="1" applyBorder="1" applyAlignment="1">
      <alignment horizontal="center" wrapText="1"/>
    </xf>
    <xf numFmtId="166" fontId="44" fillId="27" borderId="0" xfId="2" applyNumberFormat="1" applyFont="1" applyFill="1" applyBorder="1" applyAlignment="1">
      <alignment horizontal="left" vertical="center" wrapText="1"/>
    </xf>
    <xf numFmtId="0" fontId="3" fillId="0" borderId="1" xfId="0" applyFont="1" applyBorder="1"/>
    <xf numFmtId="167" fontId="3" fillId="0" borderId="1" xfId="4" applyNumberFormat="1" applyFont="1" applyBorder="1"/>
    <xf numFmtId="169" fontId="3" fillId="0" borderId="0" xfId="4" applyNumberFormat="1" applyFont="1"/>
    <xf numFmtId="167" fontId="3" fillId="0" borderId="0" xfId="4" applyNumberFormat="1" applyFont="1"/>
    <xf numFmtId="167" fontId="3" fillId="0" borderId="0" xfId="4" applyNumberFormat="1" applyFont="1" applyAlignment="1">
      <alignment horizontal="center" wrapText="1"/>
    </xf>
    <xf numFmtId="167" fontId="3" fillId="3" borderId="0" xfId="4" applyNumberFormat="1" applyFont="1" applyFill="1" applyAlignment="1">
      <alignment wrapText="1"/>
    </xf>
    <xf numFmtId="9" fontId="3" fillId="0" borderId="0" xfId="3" applyFont="1" applyAlignment="1">
      <alignment wrapText="1"/>
    </xf>
    <xf numFmtId="0" fontId="3" fillId="0" borderId="0" xfId="0" applyFont="1" applyAlignment="1">
      <alignment wrapText="1"/>
    </xf>
    <xf numFmtId="167" fontId="49" fillId="0" borderId="22" xfId="4" applyNumberFormat="1" applyFont="1" applyBorder="1" applyAlignment="1">
      <alignment wrapText="1"/>
    </xf>
    <xf numFmtId="0" fontId="49" fillId="0" borderId="22" xfId="0" applyFont="1" applyBorder="1" applyAlignment="1">
      <alignment wrapText="1"/>
    </xf>
    <xf numFmtId="0" fontId="44" fillId="10" borderId="28" xfId="1" applyFont="1" applyFill="1" applyBorder="1" applyAlignment="1">
      <alignment horizontal="center" vertical="center" wrapText="1"/>
    </xf>
    <xf numFmtId="167" fontId="44" fillId="11" borderId="11" xfId="4" applyNumberFormat="1" applyFont="1" applyFill="1" applyBorder="1" applyAlignment="1">
      <alignment vertical="center" wrapText="1"/>
    </xf>
    <xf numFmtId="166" fontId="44" fillId="4" borderId="5" xfId="2" applyNumberFormat="1" applyFont="1" applyFill="1" applyBorder="1" applyAlignment="1">
      <alignment horizontal="center" vertical="center" wrapText="1"/>
    </xf>
    <xf numFmtId="167" fontId="44" fillId="7" borderId="16" xfId="4" applyNumberFormat="1" applyFont="1" applyFill="1" applyBorder="1" applyAlignment="1">
      <alignment horizontal="center" vertical="center" wrapText="1"/>
    </xf>
    <xf numFmtId="167" fontId="44" fillId="7" borderId="17" xfId="4" applyNumberFormat="1" applyFont="1" applyFill="1" applyBorder="1" applyAlignment="1">
      <alignment horizontal="center" vertical="center" wrapText="1"/>
    </xf>
    <xf numFmtId="167" fontId="44" fillId="7" borderId="26" xfId="4" applyNumberFormat="1" applyFont="1" applyFill="1" applyBorder="1" applyAlignment="1">
      <alignment horizontal="center" vertical="center" wrapText="1"/>
    </xf>
    <xf numFmtId="167" fontId="50" fillId="16" borderId="23" xfId="4" applyNumberFormat="1" applyFont="1" applyFill="1" applyBorder="1" applyAlignment="1">
      <alignment horizontal="center" vertical="center" wrapText="1"/>
    </xf>
    <xf numFmtId="166" fontId="44" fillId="4" borderId="16" xfId="2" applyNumberFormat="1" applyFont="1" applyFill="1" applyBorder="1" applyAlignment="1">
      <alignment horizontal="center" vertical="center" wrapText="1"/>
    </xf>
    <xf numFmtId="166" fontId="44" fillId="4" borderId="17" xfId="2" applyNumberFormat="1" applyFont="1" applyFill="1" applyBorder="1" applyAlignment="1">
      <alignment horizontal="center" vertical="center" wrapText="1"/>
    </xf>
    <xf numFmtId="166" fontId="44" fillId="4" borderId="18" xfId="2" applyNumberFormat="1" applyFont="1" applyFill="1" applyBorder="1" applyAlignment="1">
      <alignment horizontal="center" vertical="center" wrapText="1"/>
    </xf>
    <xf numFmtId="9" fontId="50" fillId="16" borderId="23" xfId="3" applyFont="1" applyFill="1" applyBorder="1" applyAlignment="1">
      <alignment horizontal="center" vertical="center" wrapText="1"/>
    </xf>
    <xf numFmtId="167" fontId="50" fillId="16" borderId="24" xfId="4" applyNumberFormat="1" applyFont="1" applyFill="1" applyBorder="1" applyAlignment="1">
      <alignment horizontal="center" vertical="center" wrapText="1"/>
    </xf>
    <xf numFmtId="166" fontId="44" fillId="8" borderId="16" xfId="2" applyNumberFormat="1" applyFont="1" applyFill="1" applyBorder="1" applyAlignment="1">
      <alignment horizontal="center" vertical="center" wrapText="1"/>
    </xf>
    <xf numFmtId="166" fontId="44" fillId="8" borderId="17" xfId="2" applyNumberFormat="1" applyFont="1" applyFill="1" applyBorder="1" applyAlignment="1">
      <alignment horizontal="center" vertical="center" wrapText="1"/>
    </xf>
    <xf numFmtId="166" fontId="51" fillId="8" borderId="17" xfId="2" applyNumberFormat="1" applyFont="1" applyFill="1" applyBorder="1" applyAlignment="1">
      <alignment horizontal="center" vertical="center" wrapText="1"/>
    </xf>
    <xf numFmtId="166" fontId="51" fillId="8" borderId="16" xfId="2" applyNumberFormat="1" applyFont="1" applyFill="1" applyBorder="1" applyAlignment="1">
      <alignment horizontal="center" vertical="center" wrapText="1"/>
    </xf>
    <xf numFmtId="166" fontId="44" fillId="8" borderId="18" xfId="2" applyNumberFormat="1" applyFont="1" applyFill="1" applyBorder="1" applyAlignment="1">
      <alignment horizontal="center" vertical="center" wrapText="1"/>
    </xf>
    <xf numFmtId="167" fontId="44" fillId="8" borderId="16" xfId="4" applyNumberFormat="1" applyFont="1" applyFill="1" applyBorder="1" applyAlignment="1">
      <alignment horizontal="center" vertical="center" wrapText="1"/>
    </xf>
    <xf numFmtId="166" fontId="52" fillId="0" borderId="1" xfId="4" applyNumberFormat="1" applyFont="1" applyBorder="1" applyAlignment="1">
      <alignment horizontal="center" vertical="center" wrapText="1"/>
    </xf>
    <xf numFmtId="167" fontId="3" fillId="0" borderId="14" xfId="4" applyNumberFormat="1" applyFont="1" applyBorder="1" applyAlignment="1">
      <alignment horizontal="center" vertical="center" wrapText="1"/>
    </xf>
    <xf numFmtId="167" fontId="3" fillId="26" borderId="1" xfId="4" applyNumberFormat="1" applyFont="1" applyFill="1" applyBorder="1" applyAlignment="1">
      <alignment vertical="center" wrapText="1"/>
    </xf>
    <xf numFmtId="167" fontId="3" fillId="0" borderId="1" xfId="4" applyNumberFormat="1" applyFont="1" applyBorder="1" applyAlignment="1">
      <alignment vertical="center" wrapText="1"/>
    </xf>
    <xf numFmtId="9" fontId="3" fillId="0" borderId="14" xfId="4" applyNumberFormat="1" applyFont="1" applyBorder="1" applyAlignment="1">
      <alignment vertical="center" wrapText="1"/>
    </xf>
    <xf numFmtId="9" fontId="3" fillId="0" borderId="1" xfId="4" applyNumberFormat="1" applyFont="1" applyBorder="1" applyAlignment="1">
      <alignment vertical="center" wrapText="1"/>
    </xf>
    <xf numFmtId="9" fontId="3" fillId="26" borderId="1" xfId="4" applyNumberFormat="1" applyFont="1" applyFill="1" applyBorder="1" applyAlignment="1">
      <alignment vertical="center" wrapText="1"/>
    </xf>
    <xf numFmtId="9" fontId="3" fillId="0" borderId="1" xfId="0" applyNumberFormat="1" applyFont="1" applyBorder="1" applyAlignment="1">
      <alignment vertical="center" wrapText="1"/>
    </xf>
    <xf numFmtId="9" fontId="3" fillId="0" borderId="15" xfId="0" applyNumberFormat="1" applyFont="1" applyBorder="1" applyAlignment="1">
      <alignment vertical="center" wrapText="1"/>
    </xf>
    <xf numFmtId="9" fontId="3" fillId="0" borderId="1" xfId="3" applyFont="1" applyBorder="1" applyAlignment="1">
      <alignment vertical="center" wrapText="1"/>
    </xf>
    <xf numFmtId="166" fontId="52" fillId="0" borderId="14" xfId="4" applyNumberFormat="1" applyFont="1" applyBorder="1" applyAlignment="1">
      <alignment vertical="center" wrapText="1"/>
    </xf>
    <xf numFmtId="9" fontId="52" fillId="0" borderId="1" xfId="4" applyNumberFormat="1" applyFont="1" applyBorder="1" applyAlignment="1">
      <alignment vertical="center" wrapText="1"/>
    </xf>
    <xf numFmtId="9" fontId="52" fillId="0" borderId="14" xfId="0" applyNumberFormat="1" applyFont="1" applyBorder="1" applyAlignment="1">
      <alignment vertical="center" wrapText="1"/>
    </xf>
    <xf numFmtId="9" fontId="52" fillId="0" borderId="1" xfId="0" applyNumberFormat="1" applyFont="1" applyBorder="1" applyAlignment="1">
      <alignment horizontal="left" vertical="center" wrapText="1"/>
    </xf>
    <xf numFmtId="167" fontId="52" fillId="0" borderId="14" xfId="4" applyNumberFormat="1" applyFont="1" applyBorder="1" applyAlignment="1">
      <alignment horizontal="right" vertical="center" wrapText="1"/>
    </xf>
    <xf numFmtId="166" fontId="52" fillId="0" borderId="1" xfId="0" applyNumberFormat="1" applyFont="1" applyBorder="1" applyAlignment="1">
      <alignment horizontal="left" vertical="center" wrapText="1"/>
    </xf>
    <xf numFmtId="0" fontId="3" fillId="26" borderId="0" xfId="0" applyFont="1" applyFill="1"/>
    <xf numFmtId="9" fontId="3" fillId="26" borderId="14" xfId="4" applyNumberFormat="1" applyFont="1" applyFill="1" applyBorder="1" applyAlignment="1">
      <alignment vertical="center" wrapText="1"/>
    </xf>
    <xf numFmtId="9" fontId="3" fillId="26" borderId="1" xfId="0" applyNumberFormat="1" applyFont="1" applyFill="1" applyBorder="1" applyAlignment="1">
      <alignment vertical="center" wrapText="1"/>
    </xf>
    <xf numFmtId="9" fontId="3" fillId="26" borderId="15" xfId="0" applyNumberFormat="1" applyFont="1" applyFill="1" applyBorder="1" applyAlignment="1">
      <alignment vertical="center" wrapText="1"/>
    </xf>
    <xf numFmtId="9" fontId="3" fillId="26" borderId="1" xfId="3" applyFont="1" applyFill="1" applyBorder="1" applyAlignment="1">
      <alignment vertical="center" wrapText="1"/>
    </xf>
    <xf numFmtId="9" fontId="52" fillId="26" borderId="1" xfId="4" applyNumberFormat="1" applyFont="1" applyFill="1" applyBorder="1" applyAlignment="1">
      <alignment vertical="center" wrapText="1"/>
    </xf>
    <xf numFmtId="166" fontId="52" fillId="26" borderId="1" xfId="0" applyNumberFormat="1" applyFont="1" applyFill="1" applyBorder="1" applyAlignment="1">
      <alignment horizontal="left" vertical="center" wrapText="1"/>
    </xf>
    <xf numFmtId="9" fontId="52" fillId="26" borderId="14" xfId="0" applyNumberFormat="1" applyFont="1" applyFill="1" applyBorder="1" applyAlignment="1">
      <alignment vertical="center" wrapText="1"/>
    </xf>
    <xf numFmtId="166" fontId="53" fillId="26" borderId="1" xfId="0" applyNumberFormat="1" applyFont="1" applyFill="1" applyBorder="1" applyAlignment="1">
      <alignment horizontal="left" vertical="center" wrapText="1"/>
    </xf>
    <xf numFmtId="9" fontId="3" fillId="0" borderId="0" xfId="3" applyFont="1"/>
    <xf numFmtId="167" fontId="55" fillId="0" borderId="0" xfId="4" applyNumberFormat="1" applyFont="1" applyFill="1" applyAlignment="1">
      <alignment horizontal="center" wrapText="1"/>
    </xf>
    <xf numFmtId="167" fontId="56" fillId="0" borderId="22" xfId="4" applyNumberFormat="1" applyFont="1" applyFill="1" applyBorder="1" applyAlignment="1">
      <alignment horizontal="center" vertical="center" wrapText="1"/>
    </xf>
    <xf numFmtId="1" fontId="57" fillId="0" borderId="22" xfId="4" applyNumberFormat="1" applyFont="1" applyFill="1" applyBorder="1" applyAlignment="1">
      <alignment horizontal="center" vertical="center" wrapText="1"/>
    </xf>
    <xf numFmtId="1" fontId="57" fillId="0" borderId="22" xfId="4" applyNumberFormat="1" applyFont="1" applyFill="1" applyBorder="1" applyAlignment="1">
      <alignment vertical="center" wrapText="1"/>
    </xf>
    <xf numFmtId="0" fontId="55" fillId="0" borderId="0" xfId="0" applyFont="1"/>
    <xf numFmtId="0" fontId="56" fillId="10" borderId="11" xfId="1" applyFont="1" applyFill="1" applyBorder="1" applyAlignment="1">
      <alignment horizontal="center" vertical="center" wrapText="1"/>
    </xf>
    <xf numFmtId="0" fontId="56" fillId="17" borderId="25" xfId="1" applyFont="1" applyFill="1" applyBorder="1" applyAlignment="1">
      <alignment horizontal="center" vertical="center"/>
    </xf>
    <xf numFmtId="1" fontId="56" fillId="17" borderId="25" xfId="1" applyNumberFormat="1" applyFont="1" applyFill="1" applyBorder="1" applyAlignment="1">
      <alignment horizontal="center" vertical="center"/>
    </xf>
    <xf numFmtId="166" fontId="58" fillId="19" borderId="27" xfId="2" applyNumberFormat="1" applyFont="1" applyFill="1" applyBorder="1" applyAlignment="1">
      <alignment horizontal="center" vertical="center" wrapText="1"/>
    </xf>
    <xf numFmtId="166" fontId="59" fillId="19" borderId="28" xfId="2" applyNumberFormat="1" applyFont="1" applyFill="1" applyBorder="1" applyAlignment="1">
      <alignment horizontal="center" vertical="center" wrapText="1"/>
    </xf>
    <xf numFmtId="166" fontId="59" fillId="24" borderId="25" xfId="2" applyNumberFormat="1" applyFont="1" applyFill="1" applyBorder="1" applyAlignment="1">
      <alignment horizontal="center" vertical="center" wrapText="1"/>
    </xf>
    <xf numFmtId="166" fontId="48" fillId="14" borderId="16" xfId="2" applyNumberFormat="1" applyFont="1" applyFill="1" applyBorder="1" applyAlignment="1">
      <alignment horizontal="left" vertical="center" wrapText="1"/>
    </xf>
    <xf numFmtId="166" fontId="48" fillId="14" borderId="17" xfId="2" applyNumberFormat="1" applyFont="1" applyFill="1" applyBorder="1" applyAlignment="1">
      <alignment horizontal="left" vertical="center" wrapText="1"/>
    </xf>
    <xf numFmtId="167" fontId="48" fillId="7" borderId="16" xfId="4" applyNumberFormat="1" applyFont="1" applyFill="1" applyBorder="1" applyAlignment="1">
      <alignment horizontal="center" vertical="center" wrapText="1"/>
    </xf>
    <xf numFmtId="167" fontId="48" fillId="7" borderId="17" xfId="4" applyNumberFormat="1" applyFont="1" applyFill="1" applyBorder="1" applyAlignment="1">
      <alignment horizontal="center" vertical="center" wrapText="1"/>
    </xf>
    <xf numFmtId="167" fontId="48" fillId="7" borderId="18" xfId="4" applyNumberFormat="1" applyFont="1" applyFill="1" applyBorder="1" applyAlignment="1">
      <alignment horizontal="center" vertical="center" wrapText="1"/>
    </xf>
    <xf numFmtId="167" fontId="60" fillId="16" borderId="23" xfId="4" applyNumberFormat="1" applyFont="1" applyFill="1" applyBorder="1" applyAlignment="1">
      <alignment horizontal="center" vertical="center" wrapText="1"/>
    </xf>
    <xf numFmtId="167" fontId="60" fillId="16" borderId="24" xfId="4" applyNumberFormat="1" applyFont="1" applyFill="1" applyBorder="1" applyAlignment="1">
      <alignment horizontal="center" vertical="center" wrapText="1"/>
    </xf>
    <xf numFmtId="1" fontId="51" fillId="8" borderId="40" xfId="2" applyNumberFormat="1" applyFont="1" applyFill="1" applyBorder="1" applyAlignment="1">
      <alignment horizontal="center" vertical="center" wrapText="1"/>
    </xf>
    <xf numFmtId="166" fontId="54" fillId="8" borderId="3" xfId="2" applyNumberFormat="1" applyFont="1" applyFill="1" applyBorder="1" applyAlignment="1">
      <alignment horizontal="center" vertical="center" wrapText="1"/>
    </xf>
    <xf numFmtId="166" fontId="48" fillId="8" borderId="2" xfId="2" applyNumberFormat="1" applyFont="1" applyFill="1" applyBorder="1" applyAlignment="1">
      <alignment horizontal="center" vertical="center" wrapText="1"/>
    </xf>
    <xf numFmtId="166" fontId="48" fillId="8" borderId="41" xfId="2" applyNumberFormat="1" applyFont="1" applyFill="1" applyBorder="1" applyAlignment="1">
      <alignment horizontal="center" vertical="center" wrapText="1"/>
    </xf>
    <xf numFmtId="167" fontId="3" fillId="0" borderId="8" xfId="4" applyNumberFormat="1" applyFont="1" applyFill="1" applyBorder="1" applyAlignment="1">
      <alignment horizontal="center" vertical="center" wrapText="1"/>
    </xf>
    <xf numFmtId="0" fontId="55" fillId="0" borderId="1" xfId="0" applyFont="1" applyBorder="1" applyAlignment="1">
      <alignment horizontal="center" vertical="center" wrapText="1"/>
    </xf>
    <xf numFmtId="0" fontId="61" fillId="24" borderId="1" xfId="0" applyFont="1" applyFill="1" applyBorder="1" applyAlignment="1">
      <alignment horizontal="left" vertical="center" wrapText="1"/>
    </xf>
    <xf numFmtId="167" fontId="3" fillId="0" borderId="14" xfId="4" applyNumberFormat="1" applyFont="1" applyFill="1" applyBorder="1" applyAlignment="1">
      <alignment horizontal="right" vertical="center" wrapText="1"/>
    </xf>
    <xf numFmtId="167" fontId="3" fillId="0" borderId="1" xfId="4" applyNumberFormat="1" applyFont="1" applyFill="1" applyBorder="1" applyAlignment="1">
      <alignment vertical="center" wrapText="1"/>
    </xf>
    <xf numFmtId="167" fontId="44" fillId="24" borderId="1" xfId="4" applyNumberFormat="1" applyFont="1" applyFill="1" applyBorder="1" applyAlignment="1">
      <alignment vertical="center" wrapText="1"/>
    </xf>
    <xf numFmtId="167" fontId="3" fillId="0" borderId="15" xfId="4" applyNumberFormat="1" applyFont="1" applyFill="1" applyBorder="1" applyAlignment="1">
      <alignment vertical="center" wrapText="1"/>
    </xf>
    <xf numFmtId="167" fontId="3" fillId="0" borderId="14" xfId="4" applyNumberFormat="1" applyFont="1" applyFill="1" applyBorder="1" applyAlignment="1">
      <alignment horizontal="center" vertical="center" wrapText="1"/>
    </xf>
    <xf numFmtId="167" fontId="3" fillId="0" borderId="1" xfId="4" applyNumberFormat="1" applyFont="1" applyFill="1" applyBorder="1" applyAlignment="1">
      <alignment horizontal="center" vertical="center" wrapText="1"/>
    </xf>
    <xf numFmtId="0" fontId="3" fillId="0" borderId="15" xfId="6" applyNumberFormat="1" applyFont="1" applyFill="1" applyBorder="1" applyAlignment="1">
      <alignment horizontal="left" vertical="center" wrapText="1"/>
    </xf>
    <xf numFmtId="0" fontId="3" fillId="0" borderId="66" xfId="6" applyNumberFormat="1" applyFont="1" applyFill="1" applyBorder="1" applyAlignment="1">
      <alignment horizontal="left" vertical="center" wrapText="1"/>
    </xf>
    <xf numFmtId="1" fontId="62" fillId="0" borderId="14" xfId="3" applyNumberFormat="1" applyFont="1" applyFill="1" applyBorder="1" applyAlignment="1">
      <alignment horizontal="center" vertical="center" wrapText="1"/>
    </xf>
    <xf numFmtId="166" fontId="52" fillId="0" borderId="3" xfId="0" applyNumberFormat="1" applyFont="1" applyBorder="1" applyAlignment="1">
      <alignment horizontal="left" vertical="center" wrapText="1"/>
    </xf>
    <xf numFmtId="166" fontId="52" fillId="0" borderId="8" xfId="0" applyNumberFormat="1" applyFont="1" applyBorder="1" applyAlignment="1">
      <alignment horizontal="left" vertical="center" wrapText="1"/>
    </xf>
    <xf numFmtId="0" fontId="55" fillId="26" borderId="0" xfId="0" applyFont="1" applyFill="1"/>
    <xf numFmtId="0" fontId="55" fillId="0" borderId="1" xfId="0" applyFont="1" applyBorder="1" applyAlignment="1">
      <alignment horizontal="left" vertical="center" wrapText="1"/>
    </xf>
    <xf numFmtId="167" fontId="55" fillId="0" borderId="0" xfId="4" applyNumberFormat="1" applyFont="1" applyAlignment="1">
      <alignment horizontal="center" wrapText="1"/>
    </xf>
    <xf numFmtId="0" fontId="55" fillId="0" borderId="0" xfId="0" applyFont="1" applyAlignment="1">
      <alignment horizontal="left" wrapText="1"/>
    </xf>
    <xf numFmtId="167" fontId="55" fillId="0" borderId="0" xfId="4" applyNumberFormat="1" applyFont="1"/>
    <xf numFmtId="167" fontId="55" fillId="0" borderId="0" xfId="4" applyNumberFormat="1" applyFont="1" applyAlignment="1">
      <alignment wrapText="1"/>
    </xf>
    <xf numFmtId="0" fontId="55" fillId="0" borderId="0" xfId="0" applyFont="1" applyAlignment="1">
      <alignment horizontal="center"/>
    </xf>
    <xf numFmtId="1" fontId="55" fillId="0" borderId="0" xfId="0" applyNumberFormat="1" applyFont="1"/>
    <xf numFmtId="0" fontId="45" fillId="0" borderId="0" xfId="0" applyFont="1"/>
    <xf numFmtId="167" fontId="46" fillId="24" borderId="0" xfId="4" applyNumberFormat="1" applyFont="1" applyFill="1"/>
    <xf numFmtId="167" fontId="45" fillId="0" borderId="0" xfId="4" applyNumberFormat="1" applyFont="1"/>
    <xf numFmtId="0" fontId="61" fillId="22" borderId="1" xfId="0" applyFont="1" applyFill="1" applyBorder="1" applyAlignment="1">
      <alignment horizontal="left" vertical="center" wrapText="1"/>
    </xf>
    <xf numFmtId="167" fontId="3" fillId="22" borderId="1" xfId="4" applyNumberFormat="1" applyFont="1" applyFill="1" applyBorder="1" applyAlignment="1">
      <alignment vertical="center" wrapText="1"/>
    </xf>
    <xf numFmtId="167" fontId="44" fillId="22" borderId="1" xfId="4" applyNumberFormat="1" applyFont="1" applyFill="1" applyBorder="1" applyAlignment="1">
      <alignment vertical="center" wrapText="1"/>
    </xf>
    <xf numFmtId="0" fontId="13" fillId="0" borderId="8" xfId="0" applyFont="1" applyBorder="1" applyAlignment="1">
      <alignment horizontal="center"/>
    </xf>
    <xf numFmtId="0" fontId="11" fillId="0" borderId="0" xfId="0" applyFont="1" applyAlignment="1">
      <alignment horizontal="left" vertical="top" wrapText="1"/>
    </xf>
    <xf numFmtId="0" fontId="11" fillId="13" borderId="2" xfId="0" applyFont="1" applyFill="1" applyBorder="1" applyAlignment="1">
      <alignment horizontal="center"/>
    </xf>
    <xf numFmtId="0" fontId="11" fillId="13" borderId="3" xfId="0" applyFont="1" applyFill="1" applyBorder="1" applyAlignment="1">
      <alignment horizontal="center"/>
    </xf>
    <xf numFmtId="0" fontId="13" fillId="0" borderId="0" xfId="0" applyFont="1" applyAlignment="1">
      <alignment horizontal="center"/>
    </xf>
    <xf numFmtId="0" fontId="15" fillId="3" borderId="0" xfId="0" applyFont="1" applyFill="1" applyAlignment="1">
      <alignment horizontal="center"/>
    </xf>
    <xf numFmtId="0" fontId="16" fillId="9" borderId="21" xfId="1" applyFont="1" applyFill="1" applyBorder="1" applyAlignment="1">
      <alignment horizontal="center" vertical="center" wrapText="1"/>
    </xf>
    <xf numFmtId="0" fontId="16" fillId="9" borderId="8" xfId="1" applyFont="1" applyFill="1" applyBorder="1" applyAlignment="1">
      <alignment horizontal="center" vertical="center" wrapText="1"/>
    </xf>
    <xf numFmtId="0" fontId="16" fillId="9" borderId="38" xfId="1" applyFont="1" applyFill="1" applyBorder="1" applyAlignment="1">
      <alignment horizontal="center" vertical="center" wrapText="1"/>
    </xf>
    <xf numFmtId="0" fontId="0" fillId="20" borderId="1" xfId="0" applyFill="1" applyBorder="1" applyAlignment="1">
      <alignment horizontal="center"/>
    </xf>
    <xf numFmtId="167" fontId="16" fillId="11" borderId="31" xfId="4" applyNumberFormat="1" applyFont="1" applyFill="1" applyBorder="1" applyAlignment="1">
      <alignment horizontal="center" vertical="center" wrapText="1"/>
    </xf>
    <xf numFmtId="167" fontId="16" fillId="11" borderId="29" xfId="4" applyNumberFormat="1" applyFont="1" applyFill="1" applyBorder="1" applyAlignment="1">
      <alignment horizontal="center" vertical="center" wrapText="1"/>
    </xf>
    <xf numFmtId="167" fontId="16" fillId="11" borderId="0" xfId="4" applyNumberFormat="1" applyFont="1" applyFill="1" applyBorder="1" applyAlignment="1">
      <alignment horizontal="center" vertical="center" wrapText="1"/>
    </xf>
    <xf numFmtId="167" fontId="49" fillId="0" borderId="22" xfId="4" applyNumberFormat="1" applyFont="1" applyBorder="1" applyAlignment="1">
      <alignment horizontal="right" wrapText="1"/>
    </xf>
    <xf numFmtId="0" fontId="49" fillId="0" borderId="22" xfId="0" applyFont="1" applyBorder="1" applyAlignment="1">
      <alignment horizontal="right" wrapText="1"/>
    </xf>
    <xf numFmtId="0" fontId="44" fillId="9" borderId="11" xfId="1" applyFont="1" applyFill="1" applyBorder="1" applyAlignment="1">
      <alignment horizontal="center" vertical="center" wrapText="1"/>
    </xf>
    <xf numFmtId="0" fontId="44" fillId="12" borderId="11" xfId="1" applyFont="1" applyFill="1" applyBorder="1" applyAlignment="1">
      <alignment horizontal="center" vertical="center" wrapText="1"/>
    </xf>
    <xf numFmtId="167" fontId="44" fillId="12" borderId="19" xfId="4" applyNumberFormat="1" applyFont="1" applyFill="1" applyBorder="1" applyAlignment="1">
      <alignment horizontal="center" vertical="center" wrapText="1"/>
    </xf>
    <xf numFmtId="0" fontId="44" fillId="12" borderId="20" xfId="1" applyFont="1" applyFill="1" applyBorder="1" applyAlignment="1">
      <alignment horizontal="center" vertical="center" wrapText="1"/>
    </xf>
    <xf numFmtId="0" fontId="44" fillId="2" borderId="19" xfId="1" applyFont="1" applyFill="1" applyBorder="1" applyAlignment="1">
      <alignment horizontal="center" vertical="center" wrapText="1"/>
    </xf>
    <xf numFmtId="0" fontId="44" fillId="2" borderId="25" xfId="1" applyFont="1" applyFill="1" applyBorder="1" applyAlignment="1">
      <alignment horizontal="center" vertical="center" wrapText="1"/>
    </xf>
    <xf numFmtId="0" fontId="44" fillId="2" borderId="20" xfId="1" applyFont="1" applyFill="1" applyBorder="1" applyAlignment="1">
      <alignment horizontal="center" vertical="center" wrapText="1"/>
    </xf>
    <xf numFmtId="167" fontId="44" fillId="11" borderId="33" xfId="4" applyNumberFormat="1" applyFont="1" applyFill="1" applyBorder="1" applyAlignment="1">
      <alignment horizontal="center" vertical="center" wrapText="1"/>
    </xf>
    <xf numFmtId="167" fontId="44" fillId="11" borderId="34" xfId="4" applyNumberFormat="1" applyFont="1" applyFill="1" applyBorder="1" applyAlignment="1">
      <alignment horizontal="center" vertical="center" wrapText="1"/>
    </xf>
    <xf numFmtId="167" fontId="44" fillId="11" borderId="19" xfId="4" applyNumberFormat="1" applyFont="1" applyFill="1" applyBorder="1" applyAlignment="1">
      <alignment horizontal="center" vertical="center" wrapText="1"/>
    </xf>
    <xf numFmtId="167" fontId="44" fillId="11" borderId="25" xfId="4" applyNumberFormat="1" applyFont="1" applyFill="1" applyBorder="1" applyAlignment="1">
      <alignment horizontal="center" vertical="center" wrapText="1"/>
    </xf>
    <xf numFmtId="167" fontId="44" fillId="11" borderId="20" xfId="4" applyNumberFormat="1" applyFont="1" applyFill="1" applyBorder="1" applyAlignment="1">
      <alignment horizontal="center" vertical="center" wrapText="1"/>
    </xf>
    <xf numFmtId="0" fontId="48" fillId="9" borderId="11" xfId="1" applyFont="1" applyFill="1" applyBorder="1" applyAlignment="1">
      <alignment horizontal="center" vertical="center" wrapText="1"/>
    </xf>
    <xf numFmtId="0" fontId="48" fillId="9" borderId="31" xfId="1" applyFont="1" applyFill="1" applyBorder="1" applyAlignment="1">
      <alignment horizontal="center" vertical="center" wrapText="1"/>
    </xf>
    <xf numFmtId="0" fontId="48" fillId="9" borderId="0" xfId="1" applyFont="1" applyFill="1" applyAlignment="1">
      <alignment horizontal="center" vertical="center" wrapText="1"/>
    </xf>
    <xf numFmtId="0" fontId="16" fillId="9" borderId="11" xfId="1" applyFont="1" applyFill="1" applyBorder="1" applyAlignment="1">
      <alignment horizontal="center" vertical="center" wrapText="1"/>
    </xf>
    <xf numFmtId="0" fontId="46" fillId="9" borderId="11" xfId="1" applyFont="1" applyFill="1" applyBorder="1" applyAlignment="1">
      <alignment horizontal="center" vertical="center" wrapText="1"/>
    </xf>
    <xf numFmtId="0" fontId="33" fillId="37" borderId="0" xfId="0" applyFont="1" applyFill="1" applyAlignment="1">
      <alignment horizontal="center" vertical="center"/>
    </xf>
    <xf numFmtId="0" fontId="7" fillId="10" borderId="19" xfId="1" applyFont="1" applyFill="1" applyBorder="1" applyAlignment="1">
      <alignment horizontal="center" vertical="center" wrapText="1"/>
    </xf>
    <xf numFmtId="0" fontId="7" fillId="10" borderId="25" xfId="1" applyFont="1" applyFill="1" applyBorder="1" applyAlignment="1">
      <alignment horizontal="center" vertical="center" wrapText="1"/>
    </xf>
    <xf numFmtId="0" fontId="7" fillId="10" borderId="20" xfId="1" applyFont="1" applyFill="1" applyBorder="1" applyAlignment="1">
      <alignment horizontal="center" vertical="center" wrapText="1"/>
    </xf>
    <xf numFmtId="0" fontId="16" fillId="9" borderId="19" xfId="1" applyFont="1" applyFill="1" applyBorder="1" applyAlignment="1">
      <alignment horizontal="center" vertical="center" wrapText="1"/>
    </xf>
    <xf numFmtId="0" fontId="16" fillId="9" borderId="25" xfId="1" applyFont="1" applyFill="1" applyBorder="1" applyAlignment="1">
      <alignment horizontal="center" vertical="center" wrapText="1"/>
    </xf>
    <xf numFmtId="0" fontId="16" fillId="9" borderId="20" xfId="1" applyFont="1" applyFill="1" applyBorder="1" applyAlignment="1">
      <alignment horizontal="center" vertical="center" wrapText="1"/>
    </xf>
    <xf numFmtId="0" fontId="16" fillId="10" borderId="19" xfId="1" applyFont="1" applyFill="1" applyBorder="1" applyAlignment="1">
      <alignment horizontal="center" vertical="center" wrapText="1"/>
    </xf>
    <xf numFmtId="0" fontId="16" fillId="10" borderId="20" xfId="1" applyFont="1" applyFill="1" applyBorder="1" applyAlignment="1">
      <alignment horizontal="center" vertical="center" wrapText="1"/>
    </xf>
    <xf numFmtId="167" fontId="16" fillId="11" borderId="11" xfId="4" applyNumberFormat="1" applyFont="1" applyFill="1" applyBorder="1" applyAlignment="1">
      <alignment horizontal="center" vertical="center" wrapText="1"/>
    </xf>
    <xf numFmtId="0" fontId="55" fillId="0" borderId="22" xfId="0" applyFont="1" applyBorder="1" applyAlignment="1">
      <alignment horizontal="center" wrapText="1"/>
    </xf>
    <xf numFmtId="167" fontId="56" fillId="11" borderId="19" xfId="4" applyNumberFormat="1" applyFont="1" applyFill="1" applyBorder="1" applyAlignment="1">
      <alignment horizontal="center" vertical="center" wrapText="1"/>
    </xf>
    <xf numFmtId="167" fontId="56" fillId="11" borderId="25" xfId="4" applyNumberFormat="1" applyFont="1" applyFill="1" applyBorder="1" applyAlignment="1">
      <alignment horizontal="center" vertical="center" wrapText="1"/>
    </xf>
    <xf numFmtId="167" fontId="56" fillId="11" borderId="20" xfId="4" applyNumberFormat="1" applyFont="1" applyFill="1" applyBorder="1" applyAlignment="1">
      <alignment horizontal="center" vertical="center" wrapText="1"/>
    </xf>
    <xf numFmtId="167" fontId="56" fillId="18" borderId="22" xfId="4" applyNumberFormat="1" applyFont="1" applyFill="1" applyBorder="1" applyAlignment="1">
      <alignment horizontal="center" vertical="center" wrapText="1"/>
    </xf>
    <xf numFmtId="166" fontId="59" fillId="19" borderId="27" xfId="2" applyNumberFormat="1" applyFont="1" applyFill="1" applyBorder="1" applyAlignment="1">
      <alignment horizontal="center" vertical="center" wrapText="1"/>
    </xf>
    <xf numFmtId="166" fontId="59" fillId="19" borderId="42" xfId="2" applyNumberFormat="1" applyFont="1" applyFill="1" applyBorder="1" applyAlignment="1">
      <alignment horizontal="center" vertical="center" wrapText="1"/>
    </xf>
    <xf numFmtId="0" fontId="56" fillId="9" borderId="19" xfId="1" applyFont="1" applyFill="1" applyBorder="1" applyAlignment="1">
      <alignment horizontal="center" vertical="center" wrapText="1"/>
    </xf>
    <xf numFmtId="0" fontId="56" fillId="9" borderId="25" xfId="1" applyFont="1" applyFill="1" applyBorder="1" applyAlignment="1">
      <alignment horizontal="center" vertical="center" wrapText="1"/>
    </xf>
    <xf numFmtId="0" fontId="5" fillId="10" borderId="19" xfId="10" applyFont="1" applyFill="1" applyBorder="1" applyAlignment="1">
      <alignment horizontal="center" vertical="center" wrapText="1"/>
    </xf>
    <xf numFmtId="0" fontId="5" fillId="10" borderId="25" xfId="10" applyFont="1" applyFill="1" applyBorder="1" applyAlignment="1">
      <alignment horizontal="center" vertical="center" wrapText="1"/>
    </xf>
    <xf numFmtId="0" fontId="5" fillId="10" borderId="20" xfId="10" applyFont="1" applyFill="1" applyBorder="1" applyAlignment="1">
      <alignment horizontal="center" vertical="center" wrapText="1"/>
    </xf>
    <xf numFmtId="0" fontId="40" fillId="13" borderId="1" xfId="8" applyFont="1" applyFill="1" applyBorder="1" applyAlignment="1">
      <alignment horizontal="left" vertical="center" wrapText="1"/>
    </xf>
    <xf numFmtId="0" fontId="40" fillId="13" borderId="67" xfId="8" applyFont="1" applyFill="1" applyBorder="1" applyAlignment="1">
      <alignment horizontal="left" vertical="center" wrapText="1"/>
    </xf>
    <xf numFmtId="0" fontId="5" fillId="35" borderId="11" xfId="10" applyFont="1" applyFill="1" applyBorder="1" applyAlignment="1">
      <alignment horizontal="center" vertical="center" wrapText="1"/>
    </xf>
    <xf numFmtId="0" fontId="5" fillId="35" borderId="19" xfId="10" applyFont="1" applyFill="1" applyBorder="1" applyAlignment="1">
      <alignment horizontal="center" vertical="center" wrapText="1"/>
    </xf>
    <xf numFmtId="0" fontId="5" fillId="35" borderId="25" xfId="10" applyFont="1" applyFill="1" applyBorder="1" applyAlignment="1">
      <alignment horizontal="center" vertical="center" wrapText="1"/>
    </xf>
    <xf numFmtId="0" fontId="17" fillId="0" borderId="49" xfId="1" applyFont="1" applyBorder="1" applyAlignment="1">
      <alignment horizontal="center" vertical="center" wrapText="1"/>
    </xf>
    <xf numFmtId="0" fontId="17" fillId="0" borderId="50" xfId="1" applyFont="1" applyBorder="1" applyAlignment="1">
      <alignment horizontal="center" vertical="center" wrapText="1"/>
    </xf>
    <xf numFmtId="0" fontId="17" fillId="0" borderId="51" xfId="1" applyFont="1" applyBorder="1" applyAlignment="1">
      <alignment horizontal="center" vertical="center" wrapText="1"/>
    </xf>
    <xf numFmtId="168" fontId="1" fillId="15" borderId="0" xfId="4" applyNumberFormat="1" applyFont="1" applyFill="1" applyBorder="1" applyAlignment="1">
      <alignment horizontal="center"/>
    </xf>
    <xf numFmtId="0" fontId="17" fillId="0" borderId="52" xfId="1" applyFont="1" applyBorder="1" applyAlignment="1">
      <alignment horizontal="center" vertical="center" wrapText="1"/>
    </xf>
    <xf numFmtId="0" fontId="17" fillId="0" borderId="53" xfId="1" applyFont="1" applyBorder="1" applyAlignment="1">
      <alignment horizontal="center" vertical="center" wrapText="1"/>
    </xf>
    <xf numFmtId="0" fontId="17" fillId="0" borderId="54" xfId="1" applyFont="1" applyBorder="1" applyAlignment="1">
      <alignment horizontal="center" vertical="center" wrapText="1"/>
    </xf>
    <xf numFmtId="0" fontId="17" fillId="0" borderId="55" xfId="1" applyFont="1" applyBorder="1" applyAlignment="1">
      <alignment horizontal="center" vertical="center" wrapText="1"/>
    </xf>
    <xf numFmtId="0" fontId="17" fillId="0" borderId="39" xfId="1" applyFont="1" applyBorder="1" applyAlignment="1">
      <alignment horizontal="center" vertical="center" wrapText="1"/>
    </xf>
    <xf numFmtId="0" fontId="28" fillId="0" borderId="0" xfId="0" applyFont="1" applyAlignment="1">
      <alignment horizontal="center"/>
    </xf>
  </cellXfs>
  <cellStyles count="12">
    <cellStyle name="Comma" xfId="4" builtinId="3"/>
    <cellStyle name="Comma [0]" xfId="6" builtinId="6"/>
    <cellStyle name="Comma 2" xfId="2" xr:uid="{5D38CDC1-E85E-41E9-9606-1CCEEB01D8F0}"/>
    <cellStyle name="Comma 3" xfId="9" xr:uid="{D2C9B48E-598D-4B8A-8DA3-E9411CDB0428}"/>
    <cellStyle name="Normal" xfId="0" builtinId="0"/>
    <cellStyle name="Normal 2" xfId="1" xr:uid="{302DEB05-DCF2-4BA3-83E1-73B661067522}"/>
    <cellStyle name="Normal 2 2" xfId="10" xr:uid="{F8FD1AF9-F314-4EAA-B2C6-DB2CBB923E75}"/>
    <cellStyle name="Normal 3" xfId="7" xr:uid="{AFCD1DB5-1F4A-4A03-AD9B-B1BE314D5263}"/>
    <cellStyle name="Normal 4" xfId="8" xr:uid="{125AF40C-8AF9-462F-9A3E-C66499159942}"/>
    <cellStyle name="Percent" xfId="3" builtinId="5"/>
    <cellStyle name="Percent 2" xfId="5" xr:uid="{FD1A6169-9F19-48BF-8E96-E95C4B0D624C}"/>
    <cellStyle name="Percent 3" xfId="11" xr:uid="{B3547069-115B-4D03-BE31-D58BF54442DF}"/>
  </cellStyles>
  <dxfs count="213">
    <dxf>
      <numFmt numFmtId="167" formatCode="_ * #,##0_ ;_ * \-#,##0_ ;_ * &quot;-&quot;??_ ;_ @_ "/>
    </dxf>
    <dxf>
      <font>
        <b/>
      </font>
    </dxf>
    <dxf>
      <font>
        <b/>
      </font>
    </dxf>
    <dxf>
      <numFmt numFmtId="167" formatCode="_ * #,##0_ ;_ * \-#,##0_ ;_ * &quot;-&quot;??_ ;_ @_ "/>
    </dxf>
    <dxf>
      <numFmt numFmtId="167" formatCode="_ * #,##0_ ;_ * \-#,##0_ ;_ * &quot;-&quot;??_ ;_ @_ "/>
    </dxf>
    <dxf>
      <numFmt numFmtId="167" formatCode="_ * #,##0_ ;_ * \-#,##0_ ;_ * &quot;-&quot;??_ ;_ @_ "/>
    </dxf>
    <dxf>
      <numFmt numFmtId="167" formatCode="_ * #,##0_ ;_ * \-#,##0_ ;_ * &quot;-&quot;??_ ;_ @_ "/>
    </dxf>
    <dxf>
      <numFmt numFmtId="167" formatCode="_ * #,##0_ ;_ * \-#,##0_ ;_ * &quot;-&quot;??_ ;_ @_ "/>
    </dxf>
    <dxf>
      <font>
        <b val="0"/>
        <i val="0"/>
        <strike val="0"/>
        <condense val="0"/>
        <extend val="0"/>
        <outline val="0"/>
        <shadow val="0"/>
        <u val="none"/>
        <vertAlign val="baseline"/>
        <sz val="10"/>
        <color rgb="FF000000"/>
        <name val="Arial"/>
        <family val="2"/>
        <scheme val="none"/>
      </font>
      <numFmt numFmtId="166" formatCode="_-* #,##0_-;\-* #,##0_-;_-* &quot;-&quot;??_-;_-@_-"/>
      <alignment vertical="center"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0"/>
        <color rgb="FF000000"/>
        <name val="Arial"/>
        <family val="2"/>
        <scheme val="none"/>
      </font>
      <numFmt numFmtId="13" formatCode="0%"/>
      <alignmen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rgb="FF000000"/>
        <name val="Arial"/>
        <family val="2"/>
        <scheme val="none"/>
      </font>
      <numFmt numFmtId="13" formatCode="0%"/>
      <alignmen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rgb="FF000000"/>
        <name val="Arial"/>
        <family val="2"/>
        <scheme val="none"/>
      </font>
      <numFmt numFmtId="13" formatCode="0%"/>
      <alignmen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rgb="FF000000"/>
        <name val="Arial"/>
        <family val="2"/>
        <scheme val="none"/>
      </font>
      <numFmt numFmtId="13" formatCode="0%"/>
      <alignmen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rgb="FF000000"/>
        <name val="Arial"/>
        <family val="2"/>
        <scheme val="none"/>
      </font>
      <numFmt numFmtId="13" formatCode="0%"/>
      <alignmen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rgb="FF000000"/>
        <name val="Arial"/>
        <family val="2"/>
        <scheme val="none"/>
      </font>
      <numFmt numFmtId="166" formatCode="_-* #,##0_-;\-* #,##0_-;_-* &quot;-&quot;??_-;_-@_-"/>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rgb="FF000000"/>
        <name val="Arial"/>
        <family val="2"/>
        <scheme val="none"/>
      </font>
      <numFmt numFmtId="167" formatCode="_ * #,##0_ ;_ * \-#,##0_ ;_ * &quot;-&quot;??_ ;_ @_ "/>
      <alignmen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rgb="FF000000"/>
        <name val="Arial"/>
        <family val="2"/>
        <scheme val="none"/>
      </font>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rgb="FF000000"/>
        <name val="Arial"/>
        <family val="2"/>
        <scheme val="none"/>
      </font>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rgb="FF000000"/>
        <name val="Arial"/>
        <family val="2"/>
        <scheme val="none"/>
      </font>
      <numFmt numFmtId="166" formatCode="_-* #,##0_-;\-* #,##0_-;_-* &quot;-&quot;??_-;_-@_-"/>
      <alignmen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rgb="FF000000"/>
        <name val="Arial"/>
        <family val="2"/>
        <scheme val="none"/>
      </font>
      <numFmt numFmtId="13" formatCode="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rgb="FF000000"/>
        <name val="Arial"/>
        <family val="2"/>
        <scheme val="none"/>
      </font>
      <numFmt numFmtId="13" formatCode="0%"/>
      <alignmen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rgb="FF000000"/>
        <name val="Arial"/>
        <family val="2"/>
        <scheme val="none"/>
      </font>
      <numFmt numFmtId="167" formatCode="_ * #,##0_ ;_ * \-#,##0_ ;_ * &quot;-&quot;??_ ;_ @_ "/>
      <alignmen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rgb="FF000000"/>
        <name val="Arial"/>
        <family val="2"/>
        <scheme val="none"/>
      </font>
      <numFmt numFmtId="168" formatCode="_ * #,##0.0_ ;_ * \-#,##0.0_ ;_ * &quot;-&quot;??_ ;_ @_ "/>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rgb="FF000000"/>
        <name val="Arial"/>
        <family val="2"/>
        <scheme val="none"/>
      </font>
      <numFmt numFmtId="168" formatCode="_ * #,##0.0_ ;_ * \-#,##0.0_ ;_ * &quot;-&quot;??_ ;_ @_ "/>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rgb="FF000000"/>
        <name val="Arial"/>
        <family val="2"/>
        <scheme val="none"/>
      </font>
      <numFmt numFmtId="168" formatCode="_ * #,##0.0_ ;_ * \-#,##0.0_ ;_ * &quot;-&quot;??_ ;_ @_ "/>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family val="2"/>
        <scheme val="none"/>
      </font>
      <numFmt numFmtId="0" formatCode="Genera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name val="Arial"/>
        <family val="2"/>
        <scheme val="none"/>
      </font>
      <numFmt numFmtId="0" formatCode="Genera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name val="Arial"/>
        <family val="2"/>
        <scheme val="none"/>
      </font>
      <numFmt numFmtId="0" formatCode="Genera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0" formatCode="General"/>
      <alignment horizontal="general" vertical="center" textRotation="0" wrapText="1" indent="0" justifyLastLine="0" shrinkToFit="0" readingOrder="0"/>
      <border diagonalUp="0" diagonalDown="0">
        <left style="thick">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rgb="FF000000"/>
        <name val="Arial"/>
        <family val="2"/>
        <scheme val="none"/>
      </font>
      <numFmt numFmtId="166" formatCode="_-* #,##0_-;\-* #,##0_-;_-* &quot;-&quot;??_-;_-@_-"/>
      <alignmen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border>
        <top style="thin">
          <color rgb="FF000000"/>
        </top>
      </border>
    </dxf>
    <dxf>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0"/>
        <color rgb="FF000000"/>
        <name val="Arial"/>
        <family val="2"/>
        <scheme val="none"/>
      </font>
      <numFmt numFmtId="166" formatCode="_-* #,##0_-;\-* #,##0_-;_-* &quot;-&quot;??_-;_-@_-"/>
      <alignment vertical="center" textRotation="0" wrapText="1" indent="0" justifyLastLine="0" shrinkToFit="0" readingOrder="0"/>
    </dxf>
    <dxf>
      <border>
        <bottom style="thin">
          <color rgb="FF000000"/>
        </bottom>
      </border>
    </dxf>
    <dxf>
      <font>
        <b val="0"/>
        <i val="0"/>
        <strike val="0"/>
        <condense val="0"/>
        <extend val="0"/>
        <outline val="0"/>
        <shadow val="0"/>
        <u val="none"/>
        <vertAlign val="baseline"/>
        <sz val="10"/>
        <color theme="0"/>
        <name val="Arial"/>
        <family val="2"/>
        <scheme val="none"/>
      </font>
      <numFmt numFmtId="166" formatCode="_-* #,##0_-;\-* #,##0_-;_-* &quot;-&quot;??_-;_-@_-"/>
      <fill>
        <patternFill patternType="solid">
          <fgColor indexed="64"/>
          <bgColor rgb="FF8FB6C9"/>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0"/>
        <color rgb="FF000000"/>
        <name val="Arial Narrow"/>
        <family val="2"/>
        <scheme val="none"/>
      </font>
      <numFmt numFmtId="166" formatCode="_-* #,##0_-;\-* #,##0_-;_-* &quot;-&quot;??_-;_-@_-"/>
      <fill>
        <patternFill patternType="none">
          <fgColor indexed="64"/>
          <bgColor indexed="65"/>
        </patternFill>
      </fill>
      <alignment horizontal="left" vertical="center" textRotation="0" wrapText="1" indent="0" justifyLastLine="0" shrinkToFit="0" readingOrder="0"/>
      <border diagonalUp="0" diagonalDown="0" outline="0">
        <left/>
        <right style="thin">
          <color indexed="64"/>
        </right>
        <top style="thin">
          <color indexed="64"/>
        </top>
        <bottom style="thin">
          <color indexed="64"/>
        </bottom>
      </border>
    </dxf>
    <dxf>
      <font>
        <b/>
        <i val="0"/>
        <strike val="0"/>
        <condense val="0"/>
        <extend val="0"/>
        <outline val="0"/>
        <shadow val="0"/>
        <u val="none"/>
        <vertAlign val="baseline"/>
        <sz val="10"/>
        <color rgb="FF000000"/>
        <name val="Arial Narrow"/>
        <family val="2"/>
        <scheme val="none"/>
      </font>
      <numFmt numFmtId="166" formatCode="_-* #,##0_-;\-* #,##0_-;_-* &quot;-&quot;??_-;_-@_-"/>
      <fill>
        <patternFill patternType="none">
          <fgColor indexed="64"/>
          <bgColor indexed="65"/>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0"/>
        <color rgb="FF000000"/>
        <name val="Arial Narrow"/>
        <family val="2"/>
        <scheme val="none"/>
      </font>
      <numFmt numFmtId="166" formatCode="_-* #,##0_-;\-* #,##0_-;_-* &quot;-&quot;??_-;_-@_-"/>
      <fill>
        <patternFill patternType="none">
          <fgColor indexed="64"/>
          <bgColor indexed="65"/>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0"/>
        <color rgb="FF000000"/>
        <name val="Arial Narrow"/>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outline="0">
        <left style="thick">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family val="2"/>
        <scheme val="none"/>
      </font>
      <numFmt numFmtId="0" formatCode="General"/>
      <fill>
        <patternFill patternType="none">
          <fgColor indexed="64"/>
          <bgColor indexed="65"/>
        </patternFill>
      </fill>
      <alignment horizontal="left" vertical="center" textRotation="0" wrapText="1" indent="0"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10"/>
        <color theme="1"/>
        <name val="Arial Narrow"/>
        <family val="2"/>
        <scheme val="none"/>
      </font>
      <numFmt numFmtId="0" formatCode="General"/>
      <alignment horizontal="left" vertical="center" textRotation="0" wrapText="1" indent="0" justifyLastLine="0" shrinkToFit="0" readingOrder="0"/>
      <border diagonalUp="0" diagonalDown="0" outline="0">
        <left style="thin">
          <color indexed="64"/>
        </left>
        <right style="thick">
          <color indexed="64"/>
        </right>
        <top style="thin">
          <color indexed="64"/>
        </top>
        <bottom style="thin">
          <color indexed="64"/>
        </bottom>
      </border>
    </dxf>
    <dxf>
      <font>
        <b val="0"/>
        <i val="0"/>
        <strike val="0"/>
        <condense val="0"/>
        <extend val="0"/>
        <outline val="0"/>
        <shadow val="0"/>
        <u val="none"/>
        <vertAlign val="baseline"/>
        <sz val="10"/>
        <color theme="1"/>
        <name val="Arial Narrow"/>
        <family val="2"/>
        <scheme val="none"/>
      </font>
      <numFmt numFmtId="167" formatCode="_ * #,##0_ ;_ * \-#,##0_ ;_ * &quot;-&quot;??_ ;_ @_ "/>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family val="2"/>
        <scheme val="none"/>
      </font>
      <numFmt numFmtId="167" formatCode="_ * #,##0_ ;_ * \-#,##0_ ;_ * &quot;-&quot;??_ ;_ @_ "/>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family val="2"/>
        <scheme val="none"/>
      </font>
      <numFmt numFmtId="167" formatCode="_ * #,##0_ ;_ * \-#,##0_ ;_ * &quot;-&quot;??_ ;_ @_ "/>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family val="2"/>
        <scheme val="none"/>
      </font>
      <numFmt numFmtId="167" formatCode="_ * #,##0_ ;_ * \-#,##0_ ;_ * &quot;-&quot;??_ ;_ @_ "/>
      <alignment horizontal="center" vertical="center" textRotation="0" wrapText="1" indent="0" justifyLastLine="0" shrinkToFit="0" readingOrder="0"/>
      <border diagonalUp="0" diagonalDown="0" outline="0">
        <left style="thick">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family val="2"/>
        <scheme val="none"/>
      </font>
      <numFmt numFmtId="167" formatCode="_ * #,##0_ ;_ * \-#,##0_ ;_ * &quot;-&quot;??_ ;_ @_ "/>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family val="2"/>
        <scheme val="none"/>
      </font>
      <numFmt numFmtId="167" formatCode="_ * #,##0_ ;_ * \-#,##0_ ;_ * &quot;-&quot;??_ ;_ @_ "/>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family val="2"/>
        <scheme val="none"/>
      </font>
      <numFmt numFmtId="167" formatCode="_ * #,##0_ ;_ * \-#,##0_ ;_ * &quot;-&quot;??_ ;_ @_ "/>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family val="2"/>
        <scheme val="none"/>
      </font>
      <numFmt numFmtId="167" formatCode="_ * #,##0_ ;_ * \-#,##0_ ;_ * &quot;-&quot;??_ ;_ @_ "/>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family val="2"/>
        <scheme val="none"/>
      </font>
      <numFmt numFmtId="167" formatCode="_ * #,##0_ ;_ * \-#,##0_ ;_ * &quot;-&quot;??_ ;_ @_ "/>
      <alignmen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family val="2"/>
        <scheme val="none"/>
      </font>
      <numFmt numFmtId="167" formatCode="_ * #,##0_ ;_ * \-#,##0_ ;_ * &quot;-&quot;??_ ;_ @_ "/>
      <alignmen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family val="2"/>
        <scheme val="none"/>
      </font>
      <numFmt numFmtId="167" formatCode="_ * #,##0_ ;_ * \-#,##0_ ;_ * &quot;-&quot;??_ ;_ @_ "/>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family val="2"/>
        <scheme val="none"/>
      </font>
      <numFmt numFmtId="167" formatCode="_ * #,##0_ ;_ * \-#,##0_ ;_ * &quot;-&quot;??_ ;_ @_ "/>
      <alignmen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family val="2"/>
        <scheme val="none"/>
      </font>
      <numFmt numFmtId="167" formatCode="_ * #,##0_ ;_ * \-#,##0_ ;_ * &quot;-&quot;??_ ;_ @_ "/>
      <fill>
        <patternFill patternType="none">
          <fgColor indexed="64"/>
          <bgColor indexed="65"/>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family val="2"/>
        <scheme val="none"/>
      </font>
      <numFmt numFmtId="167" formatCode="_ * #,##0_ ;_ * \-#,##0_ ;_ * &quot;-&quot;??_ ;_ @_ "/>
      <alignmen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family val="2"/>
        <scheme val="none"/>
      </font>
      <numFmt numFmtId="167" formatCode="_ * #,##0_ ;_ * \-#,##0_ ;_ * &quot;-&quot;??_ ;_ @_ "/>
      <alignmen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family val="2"/>
        <scheme val="none"/>
      </font>
      <numFmt numFmtId="167" formatCode="_ * #,##0_ ;_ * \-#,##0_ ;_ * &quot;-&quot;??_ ;_ @_ "/>
      <alignment vertical="center" textRotation="0" wrapText="1" indent="0" justifyLastLine="0" shrinkToFit="0" readingOrder="0"/>
      <border diagonalUp="0" diagonalDown="0" outline="0">
        <left style="thick">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family val="2"/>
        <scheme val="none"/>
      </font>
      <numFmt numFmtId="0" formatCode="Genera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name val="Arial Narrow"/>
        <family val="2"/>
        <scheme val="none"/>
      </font>
      <numFmt numFmtId="0" formatCode="Genera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name val="Arial Narrow"/>
        <family val="2"/>
        <scheme val="none"/>
      </font>
      <numFmt numFmtId="0" formatCode="Genera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family val="2"/>
        <scheme val="none"/>
      </font>
      <numFmt numFmtId="0" formatCode="General"/>
      <alignment horizontal="left" vertical="center" textRotation="0" wrapText="1" indent="0" justifyLastLine="0" shrinkToFit="0" readingOrder="0"/>
      <border diagonalUp="0" diagonalDown="0" outline="0">
        <left style="thick">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family val="2"/>
        <scheme val="none"/>
      </font>
      <numFmt numFmtId="167" formatCode="_ * #,##0_ ;_ * \-#,##0_ ;_ * &quot;-&quot;??_ ;_ @_ "/>
      <alignment horizontal="center" vertical="center" textRotation="0" wrapText="1" indent="0" justifyLastLine="0" shrinkToFit="0" readingOrder="0"/>
      <border diagonalUp="0" diagonalDown="0" outline="0">
        <left/>
        <right/>
        <top style="thin">
          <color indexed="64"/>
        </top>
        <bottom style="thin">
          <color indexed="64"/>
        </bottom>
      </border>
    </dxf>
    <dxf>
      <border>
        <top style="thin">
          <color rgb="FF000000"/>
        </top>
      </border>
    </dxf>
    <dxf>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0"/>
        <color rgb="FF000000"/>
        <name val="Arial Narrow"/>
        <family val="2"/>
        <scheme val="none"/>
      </font>
      <numFmt numFmtId="166" formatCode="_-* #,##0_-;\-* #,##0_-;_-* &quot;-&quot;??_-;_-@_-"/>
      <alignment vertical="center" textRotation="0" wrapText="1" indent="0" justifyLastLine="0" shrinkToFit="0" readingOrder="0"/>
    </dxf>
    <dxf>
      <border>
        <bottom style="thin">
          <color rgb="FF000000"/>
        </bottom>
      </border>
    </dxf>
    <dxf>
      <font>
        <b/>
        <i val="0"/>
        <strike val="0"/>
        <condense val="0"/>
        <extend val="0"/>
        <outline val="0"/>
        <shadow val="0"/>
        <u val="none"/>
        <vertAlign val="baseline"/>
        <sz val="9"/>
        <color theme="0"/>
        <name val="Arial Narrow"/>
        <family val="2"/>
        <scheme val="none"/>
      </font>
      <numFmt numFmtId="166" formatCode="_-* #,##0_-;\-* #,##0_-;_-* &quot;-&quot;??_-;_-@_-"/>
      <fill>
        <patternFill patternType="solid">
          <fgColor indexed="64"/>
          <bgColor rgb="FF8FB6C9"/>
        </patternFill>
      </fill>
      <alignment horizontal="center" vertical="center" textRotation="0" wrapText="1" indent="0" justifyLastLine="0" shrinkToFit="0" readingOrder="0"/>
      <border diagonalUp="0" diagonalDown="0" outline="0">
        <left style="thin">
          <color indexed="64"/>
        </left>
        <right style="thin">
          <color indexed="64"/>
        </right>
        <top/>
        <bottom/>
      </border>
    </dxf>
    <dxf>
      <fill>
        <patternFill>
          <bgColor rgb="FFFF9999"/>
        </patternFill>
      </fill>
    </dxf>
    <dxf>
      <font>
        <b val="0"/>
        <i val="0"/>
        <strike val="0"/>
        <condense val="0"/>
        <extend val="0"/>
        <outline val="0"/>
        <shadow val="0"/>
        <u val="none"/>
        <vertAlign val="baseline"/>
        <sz val="10"/>
        <color rgb="FF000000"/>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family val="2"/>
        <scheme val="none"/>
      </font>
      <numFmt numFmtId="13" formatCode="0%"/>
      <alignment horizontal="general" vertical="center"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13" formatCode="0%"/>
      <alignment horizontal="general" vertical="center"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13" formatCode="0%"/>
      <alignment horizontal="general" vertical="center"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13" formatCode="0%"/>
      <alignment horizontal="general" vertical="center"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13" formatCode="0%"/>
      <alignment horizontal="general" vertical="center"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13" formatCode="0%"/>
      <alignment horizontal="general" vertical="center"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13" formatCode="0%"/>
      <alignment horizontal="general" vertical="center" textRotation="0" wrapText="1" indent="0" justifyLastLine="0" shrinkToFit="0" readingOrder="0"/>
      <border diagonalUp="0" diagonalDown="0">
        <left style="thin">
          <color indexed="64"/>
        </left>
        <right/>
        <top/>
        <bottom style="thin">
          <color indexed="64"/>
        </bottom>
        <vertical/>
        <horizontal/>
      </border>
    </dxf>
    <dxf>
      <font>
        <b val="0"/>
        <i val="0"/>
        <strike val="0"/>
        <condense val="0"/>
        <extend val="0"/>
        <outline val="0"/>
        <shadow val="0"/>
        <u val="none"/>
        <vertAlign val="baseline"/>
        <sz val="10"/>
        <color theme="1"/>
        <name val="Arial"/>
        <family val="2"/>
        <scheme val="none"/>
      </font>
      <numFmt numFmtId="13" formatCode="0%"/>
      <alignment horizontal="general" vertical="center"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13" formatCode="0%"/>
      <alignment horizontal="general" vertical="center"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0"/>
        <color rgb="FF000000"/>
        <name val="Arial"/>
        <family val="2"/>
        <scheme val="none"/>
      </font>
      <numFmt numFmtId="13" formatCode="0%"/>
      <alignment horizontal="general" vertical="center"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0"/>
        <color rgb="FF000000"/>
        <name val="Arial"/>
        <family val="2"/>
        <scheme val="none"/>
      </font>
      <numFmt numFmtId="167" formatCode="_ * #,##0_ ;_ * \-#,##0_ ;_ * &quot;-&quot;??_ ;_ @_ "/>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family val="2"/>
        <scheme val="none"/>
      </font>
      <numFmt numFmtId="167" formatCode="_ * #,##0_ ;_ * \-#,##0_ ;_ * &quot;-&quot;??_ ;_ @_ "/>
      <alignment horizontal="general" vertical="center"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167" formatCode="_ * #,##0_ ;_ * \-#,##0_ ;_ * &quot;-&quot;??_ ;_ @_ "/>
      <alignment horizontal="general" vertical="center"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167" formatCode="_ * #,##0_ ;_ * \-#,##0_ ;_ * &quot;-&quot;??_ ;_ @_ "/>
      <alignment horizontal="general" vertical="center"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167" formatCode="_ * #,##0_ ;_ * \-#,##0_ ;_ * &quot;-&quot;??_ ;_ @_ "/>
      <alignment horizontal="general" vertical="center"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167" formatCode="_ * #,##0_ ;_ * \-#,##0_ ;_ * &quot;-&quot;??_ ;_ @_ "/>
      <alignment horizontal="general" vertical="center"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167" formatCode="_ * #,##0_ ;_ * \-#,##0_ ;_ * &quot;-&quot;??_ ;_ @_ "/>
      <alignment horizontal="general" vertical="center"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167" formatCode="_ * #,##0_ ;_ * \-#,##0_ ;_ * &quot;-&quot;??_ ;_ @_ "/>
      <alignment horizontal="general" vertical="center" textRotation="0" wrapText="1" indent="0" justifyLastLine="0" shrinkToFit="0" readingOrder="0"/>
      <border diagonalUp="0" diagonalDown="0">
        <left style="thin">
          <color indexed="64"/>
        </left>
        <right/>
        <top/>
        <bottom style="thin">
          <color indexed="64"/>
        </bottom>
        <vertical/>
        <horizontal/>
      </border>
    </dxf>
    <dxf>
      <font>
        <b val="0"/>
        <i val="0"/>
        <strike val="0"/>
        <condense val="0"/>
        <extend val="0"/>
        <outline val="0"/>
        <shadow val="0"/>
        <u val="none"/>
        <vertAlign val="baseline"/>
        <sz val="10"/>
        <color theme="1"/>
        <name val="Arial"/>
        <family val="2"/>
        <scheme val="none"/>
      </font>
      <numFmt numFmtId="167" formatCode="_ * #,##0_ ;_ * \-#,##0_ ;_ * &quot;-&quot;??_ ;_ @_ "/>
      <alignment horizontal="general" vertical="center"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167" formatCode="_ * #,##0_ ;_ * \-#,##0_ ;_ * &quot;-&quot;??_ ;_ @_ "/>
      <alignment horizontal="general" vertical="center"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167" formatCode="_ * #,##0_ ;_ * \-#,##0_ ;_ * &quot;-&quot;??_ ;_ @_ "/>
      <alignment horizontal="general" vertical="center" textRotation="0" wrapText="1" indent="0" justifyLastLine="0" shrinkToFit="0" readingOrder="0"/>
      <border diagonalUp="0" diagonalDown="0">
        <left style="thick">
          <color indexed="64"/>
        </left>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167" formatCode="_ * #,##0_ ;_ * \-#,##0_ ;_ * &quot;-&quot;??_ ;_ @_ "/>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family val="2"/>
        <scheme val="none"/>
      </font>
      <numFmt numFmtId="167" formatCode="_ * #,##0_ ;_ * \-#,##0_ ;_ * &quot;-&quot;??_ ;_ @_ "/>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family val="2"/>
        <scheme val="none"/>
      </font>
      <numFmt numFmtId="167" formatCode="_ * #,##0_ ;_ * \-#,##0_ ;_ * &quot;-&quot;??_ ;_ @_ "/>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family val="2"/>
        <scheme val="none"/>
      </font>
      <numFmt numFmtId="167" formatCode="_ * #,##0_ ;_ * \-#,##0_ ;_ * &quot;-&quot;??_ ;_ @_ "/>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167" formatCode="_ * #,##0_ ;_ * \-#,##0_ ;_ * &quot;-&quot;??_ ;_ @_ "/>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167" formatCode="_ * #,##0_ ;_ * \-#,##0_ ;_ * &quot;-&quot;??_ ;_ @_ "/>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family val="2"/>
        <scheme val="none"/>
      </font>
      <numFmt numFmtId="167" formatCode="_ * #,##0_ ;_ * \-#,##0_ ;_ * &quot;-&quot;??_ ;_ @_ "/>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family val="2"/>
        <scheme val="none"/>
      </font>
      <numFmt numFmtId="167" formatCode="_ * #,##0_ ;_ * \-#,##0_ ;_ * &quot;-&quot;??_ ;_ @_ "/>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167" formatCode="_ * #,##0_ ;_ * \-#,##0_ ;_ * &quot;-&quot;??_ ;_ @_ "/>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family val="2"/>
        <scheme val="none"/>
      </font>
      <numFmt numFmtId="167" formatCode="_ * #,##0_ ;_ * \-#,##0_ ;_ * &quot;-&quot;??_ ;_ @_ "/>
      <alignment horizontal="general"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167" formatCode="_ * #,##0_ ;_ * \-#,##0_ ;_ * &quot;-&quot;??_ ;_ @_ "/>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family val="2"/>
        <scheme val="none"/>
      </font>
      <numFmt numFmtId="167" formatCode="_ * #,##0_ ;_ * \-#,##0_ ;_ * &quot;-&quot;??_ ;_ @_ "/>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family val="2"/>
        <scheme val="none"/>
      </font>
      <numFmt numFmtId="167" formatCode="_ * #,##0_ ;_ * \-#,##0_ ;_ * &quot;-&quot;??_ ;_ @_ "/>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family val="2"/>
        <scheme val="none"/>
      </font>
      <numFmt numFmtId="167" formatCode="_ * #,##0_ ;_ * \-#,##0_ ;_ * &quot;-&quot;??_ ;_ @_ "/>
      <alignmen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family val="2"/>
        <scheme val="none"/>
      </font>
      <numFmt numFmtId="167" formatCode="_ * #,##0_ ;_ * \-#,##0_ ;_ * &quot;-&quot;??_ ;_ @_ "/>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167" formatCode="_ * #,##0_ ;_ * \-#,##0_ ;_ * &quot;-&quot;??_ ;_ @_ "/>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167" formatCode="_ * #,##0_ ;_ * \-#,##0_ ;_ * &quot;-&quot;??_ ;_ @_ "/>
      <alignmen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family val="2"/>
        <scheme val="none"/>
      </font>
      <numFmt numFmtId="167" formatCode="_ * #,##0_ ;_ * \-#,##0_ ;_ * &quot;-&quot;??_ ;_ @_ "/>
      <alignmen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family val="2"/>
        <scheme val="none"/>
      </font>
      <numFmt numFmtId="167" formatCode="_ * #,##0_ ;_ * \-#,##0_ ;_ * &quot;-&quot;??_ ;_ @_ "/>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0"/>
        <color theme="1"/>
        <name val="Arial"/>
        <family val="2"/>
        <scheme val="none"/>
      </font>
      <numFmt numFmtId="167" formatCode="_ * #,##0_ ;_ * \-#,##0_ ;_ * &quot;-&quot;??_ ;_ @_ "/>
      <alignmen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family val="2"/>
        <scheme val="none"/>
      </font>
      <numFmt numFmtId="167" formatCode="_ * #,##0_ ;_ * \-#,##0_ ;_ * &quot;-&quot;??_ ;_ @_ "/>
      <alignment horizontal="right" vertical="center" textRotation="0" wrapText="1" indent="0" justifyLastLine="0" shrinkToFit="0" readingOrder="0"/>
      <border diagonalUp="0" diagonalDown="0">
        <left/>
        <right style="thin">
          <color indexed="64"/>
        </right>
        <top/>
        <bottom style="thin">
          <color indexed="64"/>
        </bottom>
        <vertical/>
        <horizontal/>
      </border>
    </dxf>
    <dxf>
      <font>
        <b val="0"/>
        <i val="0"/>
        <strike val="0"/>
        <condense val="0"/>
        <extend val="0"/>
        <outline val="0"/>
        <shadow val="0"/>
        <u val="none"/>
        <vertAlign val="baseline"/>
        <sz val="10"/>
        <color theme="1"/>
        <name val="Arial"/>
        <family val="2"/>
        <scheme val="none"/>
      </font>
      <numFmt numFmtId="167" formatCode="_ * #,##0_ ;_ * \-#,##0_ ;_ * &quot;-&quot;??_ ;_ @_ "/>
      <alignment vertical="center" textRotation="0" wrapText="1" indent="0" justifyLastLine="0" shrinkToFit="0" readingOrder="0"/>
      <border diagonalUp="0" diagonalDown="0">
        <left style="thick">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family val="2"/>
        <scheme val="none"/>
      </font>
      <numFmt numFmtId="167" formatCode="_ * #,##0_ ;_ * \-#,##0_ ;_ * &quot;-&quot;??_ ;_ @_ "/>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167" formatCode="_ * #,##0_ ;_ * \-#,##0_ ;_ * &quot;-&quot;??_ ;_ @_ "/>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alignment horizontal="left"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0" formatCode="Genera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name val="Arial"/>
        <family val="2"/>
        <scheme val="none"/>
      </font>
      <numFmt numFmtId="0" formatCode="Genera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name val="Arial"/>
        <family val="2"/>
        <scheme val="none"/>
      </font>
      <numFmt numFmtId="0" formatCode="Genera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0" formatCode="General"/>
      <alignment horizontal="general" vertical="center" textRotation="0" wrapText="1" indent="0" justifyLastLine="0" shrinkToFit="0" readingOrder="0"/>
      <border diagonalUp="0" diagonalDown="0" outline="0">
        <left style="thick">
          <color indexed="64"/>
        </left>
        <right style="thin">
          <color indexed="64"/>
        </right>
        <top style="thin">
          <color indexed="64"/>
        </top>
        <bottom style="thin">
          <color indexed="64"/>
        </bottom>
      </border>
    </dxf>
    <dxf>
      <font>
        <b val="0"/>
        <i val="0"/>
        <strike val="0"/>
        <condense val="0"/>
        <extend val="0"/>
        <outline val="0"/>
        <shadow val="0"/>
        <u val="none"/>
        <vertAlign val="baseline"/>
        <sz val="10"/>
        <color rgb="FF000000"/>
        <name val="Arial"/>
        <family val="2"/>
        <scheme val="none"/>
      </font>
      <numFmt numFmtId="166" formatCode="_-* #,##0_-;\-* #,##0_-;_-* &quot;-&quot;??_-;_-@_-"/>
      <alignment horizontal="general" vertical="center" textRotation="0" wrapText="1" indent="0" justifyLastLine="0" shrinkToFit="0" readingOrder="0"/>
      <border diagonalUp="0" diagonalDown="0">
        <left style="medium">
          <color rgb="FF000000"/>
        </left>
        <right style="medium">
          <color rgb="FF000000"/>
        </right>
        <top style="thin">
          <color rgb="FF000000"/>
        </top>
        <bottom style="thin">
          <color rgb="FF000000"/>
        </bottom>
        <vertical/>
        <horizontal style="thin">
          <color rgb="FF000000"/>
        </horizontal>
      </border>
    </dxf>
    <dxf>
      <border>
        <top style="thin">
          <color rgb="FF000000"/>
        </top>
      </border>
    </dxf>
    <dxf>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0"/>
        <color rgb="FF000000"/>
        <name val="Arial"/>
        <family val="2"/>
        <scheme val="none"/>
      </font>
      <numFmt numFmtId="166" formatCode="_-* #,##0_-;\-* #,##0_-;_-* &quot;-&quot;??_-;_-@_-"/>
      <alignment vertical="center" textRotation="0" wrapText="1" indent="0" justifyLastLine="0" shrinkToFit="0" readingOrder="0"/>
    </dxf>
    <dxf>
      <border>
        <bottom style="thin">
          <color rgb="FF000000"/>
        </bottom>
      </border>
    </dxf>
    <dxf>
      <font>
        <b/>
        <i val="0"/>
        <strike val="0"/>
        <condense val="0"/>
        <extend val="0"/>
        <outline val="0"/>
        <shadow val="0"/>
        <u val="none"/>
        <vertAlign val="baseline"/>
        <sz val="9"/>
        <color theme="0"/>
        <name val="Arial"/>
        <scheme val="none"/>
      </font>
      <numFmt numFmtId="166" formatCode="_-* #,##0_-;\-* #,##0_-;_-* &quot;-&quot;??_-;_-@_-"/>
      <fill>
        <patternFill patternType="solid">
          <fgColor indexed="64"/>
          <bgColor rgb="FF8FB6C9"/>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color rgb="FFFF0000"/>
      </font>
      <fill>
        <patternFill patternType="none">
          <bgColor auto="1"/>
        </patternFill>
      </fill>
    </dxf>
    <dxf>
      <font>
        <strike val="0"/>
        <outline val="0"/>
        <shadow val="0"/>
        <u val="none"/>
        <vertAlign val="baseline"/>
        <sz val="9"/>
        <name val="Arial Narrow"/>
        <family val="2"/>
        <scheme val="none"/>
      </font>
    </dxf>
    <dxf>
      <font>
        <strike val="0"/>
        <outline val="0"/>
        <shadow val="0"/>
        <u val="none"/>
        <vertAlign val="baseline"/>
        <sz val="9"/>
        <name val="Arial Narrow"/>
        <family val="2"/>
        <scheme val="none"/>
      </font>
      <numFmt numFmtId="167" formatCode="_ * #,##0_ ;_ * \-#,##0_ ;_ * &quot;-&quot;??_ ;_ @_ "/>
    </dxf>
    <dxf>
      <font>
        <strike val="0"/>
        <outline val="0"/>
        <shadow val="0"/>
        <u val="none"/>
        <vertAlign val="baseline"/>
        <sz val="9"/>
        <name val="Arial Narrow"/>
        <family val="2"/>
        <scheme val="none"/>
      </font>
      <numFmt numFmtId="167" formatCode="_ * #,##0_ ;_ * \-#,##0_ ;_ * &quot;-&quot;??_ ;_ @_ "/>
    </dxf>
    <dxf>
      <font>
        <strike val="0"/>
        <outline val="0"/>
        <shadow val="0"/>
        <u val="none"/>
        <vertAlign val="baseline"/>
        <sz val="9"/>
        <name val="Arial Narrow"/>
        <family val="2"/>
        <scheme val="none"/>
      </font>
      <numFmt numFmtId="167" formatCode="_ * #,##0_ ;_ * \-#,##0_ ;_ * &quot;-&quot;??_ ;_ @_ "/>
    </dxf>
    <dxf>
      <font>
        <strike val="0"/>
        <outline val="0"/>
        <shadow val="0"/>
        <u val="none"/>
        <vertAlign val="baseline"/>
        <sz val="9"/>
        <name val="Arial Narrow"/>
        <family val="2"/>
        <scheme val="none"/>
      </font>
      <numFmt numFmtId="167" formatCode="_ * #,##0_ ;_ * \-#,##0_ ;_ * &quot;-&quot;??_ ;_ @_ "/>
    </dxf>
    <dxf>
      <font>
        <strike val="0"/>
        <outline val="0"/>
        <shadow val="0"/>
        <u val="none"/>
        <vertAlign val="baseline"/>
        <sz val="9"/>
        <name val="Arial Narrow"/>
        <family val="2"/>
        <scheme val="none"/>
      </font>
    </dxf>
    <dxf>
      <font>
        <strike val="0"/>
        <outline val="0"/>
        <shadow val="0"/>
        <u val="none"/>
        <vertAlign val="baseline"/>
        <sz val="9"/>
        <name val="Arial Narrow"/>
        <family val="2"/>
        <scheme val="none"/>
      </font>
    </dxf>
    <dxf>
      <font>
        <strike val="0"/>
        <outline val="0"/>
        <shadow val="0"/>
        <u val="none"/>
        <vertAlign val="baseline"/>
        <sz val="9"/>
        <name val="Arial Narrow"/>
        <family val="2"/>
        <scheme val="none"/>
      </font>
    </dxf>
    <dxf>
      <font>
        <strike val="0"/>
        <outline val="0"/>
        <shadow val="0"/>
        <u val="none"/>
        <vertAlign val="baseline"/>
        <sz val="9"/>
        <name val="Arial Narrow"/>
        <family val="2"/>
        <scheme val="none"/>
      </font>
    </dxf>
    <dxf>
      <font>
        <strike val="0"/>
        <outline val="0"/>
        <shadow val="0"/>
        <u val="none"/>
        <vertAlign val="baseline"/>
        <sz val="9"/>
        <name val="Arial Narrow"/>
        <family val="2"/>
        <scheme val="none"/>
      </font>
    </dxf>
    <dxf>
      <font>
        <color rgb="FF9C0006"/>
      </font>
      <fill>
        <patternFill>
          <bgColor rgb="FFFFC7CE"/>
        </patternFill>
      </fill>
    </dxf>
    <dxf>
      <numFmt numFmtId="167" formatCode="_ * #,##0_ ;_ * \-#,##0_ ;_ * &quot;-&quot;??_ ;_ @_ "/>
    </dxf>
    <dxf>
      <font>
        <color rgb="FF9C0006"/>
      </font>
      <fill>
        <patternFill>
          <bgColor rgb="FFFFC7CE"/>
        </patternFill>
      </fill>
    </dxf>
    <dxf>
      <font>
        <b val="0"/>
        <i val="0"/>
        <strike val="0"/>
        <condense val="0"/>
        <extend val="0"/>
        <outline val="0"/>
        <shadow val="0"/>
        <u val="none"/>
        <vertAlign val="baseline"/>
        <sz val="10"/>
        <color rgb="FF000000"/>
        <name val="Arial Narrow"/>
        <family val="2"/>
        <scheme val="none"/>
      </font>
      <numFmt numFmtId="166" formatCode="_-* #,##0_-;\-* #,##0_-;_-* &quot;-&quot;??_-;_-@_-"/>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rgb="FF000000"/>
        <name val="Arial Narrow"/>
        <family val="2"/>
        <scheme val="none"/>
      </font>
      <numFmt numFmtId="167" formatCode="_ * #,##0_ ;_ * \-#,##0_ ;_ * &quot;-&quot;??_ ;_ @_ "/>
      <alignment horizontal="right" vertical="center" textRotation="0" wrapText="1" indent="0" justifyLastLine="0" shrinkToFit="0" readingOrder="0"/>
      <border diagonalUp="0" diagonalDown="0" outline="0">
        <left style="thick">
          <color indexed="64"/>
        </left>
        <right style="thin">
          <color indexed="64"/>
        </right>
        <top style="thin">
          <color indexed="64"/>
        </top>
        <bottom style="thin">
          <color indexed="64"/>
        </bottom>
      </border>
    </dxf>
    <dxf>
      <font>
        <b val="0"/>
        <i val="0"/>
        <strike val="0"/>
        <condense val="0"/>
        <extend val="0"/>
        <outline val="0"/>
        <shadow val="0"/>
        <u val="none"/>
        <vertAlign val="baseline"/>
        <sz val="10"/>
        <color rgb="FF000000"/>
        <name val="Arial Narrow"/>
        <family val="2"/>
        <scheme val="none"/>
      </font>
      <numFmt numFmtId="13" formatCode="0%"/>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rgb="FF000000"/>
        <name val="Arial Narrow"/>
        <family val="2"/>
        <scheme val="none"/>
      </font>
      <numFmt numFmtId="13" formatCode="0%"/>
      <alignment horizontal="general" vertical="center" textRotation="0" wrapText="1" indent="0" justifyLastLine="0" shrinkToFit="0" readingOrder="0"/>
      <border diagonalUp="0" diagonalDown="0" outline="0">
        <left style="thick">
          <color indexed="64"/>
        </left>
        <right style="thin">
          <color indexed="64"/>
        </right>
        <top style="thin">
          <color indexed="64"/>
        </top>
        <bottom style="thin">
          <color indexed="64"/>
        </bottom>
      </border>
    </dxf>
    <dxf>
      <font>
        <b val="0"/>
        <i val="0"/>
        <strike val="0"/>
        <condense val="0"/>
        <extend val="0"/>
        <outline val="0"/>
        <shadow val="0"/>
        <u val="none"/>
        <vertAlign val="baseline"/>
        <sz val="10"/>
        <color rgb="FF000000"/>
        <name val="Arial Narrow"/>
        <family val="2"/>
        <scheme val="none"/>
      </font>
      <numFmt numFmtId="13" formatCode="0%"/>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rgb="FF000000"/>
        <name val="Arial Narrow"/>
        <family val="2"/>
        <scheme val="none"/>
      </font>
      <numFmt numFmtId="13" formatCode="0%"/>
      <fill>
        <patternFill patternType="none">
          <fgColor indexed="64"/>
          <bgColor indexed="65"/>
        </patternFill>
      </fill>
      <alignmen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rgb="FF000000"/>
        <name val="Arial Narrow"/>
        <family val="2"/>
        <scheme val="none"/>
      </font>
      <numFmt numFmtId="166" formatCode="_-* #,##0_-;\-* #,##0_-;_-* &quot;-&quot;??_-;_-@_-"/>
      <alignment vertical="center" textRotation="0" wrapText="1" indent="0" justifyLastLine="0" shrinkToFit="0" readingOrder="0"/>
      <border diagonalUp="0" diagonalDown="0" outline="0">
        <left style="thick">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family val="2"/>
        <scheme val="none"/>
      </font>
      <numFmt numFmtId="13" formatCode="0%"/>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family val="2"/>
        <scheme val="none"/>
      </font>
      <numFmt numFmtId="13" formatCode="0%"/>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family val="2"/>
        <scheme val="none"/>
      </font>
      <numFmt numFmtId="13" formatCode="0%"/>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family val="2"/>
        <scheme val="none"/>
      </font>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family val="2"/>
        <scheme val="none"/>
      </font>
      <numFmt numFmtId="13" formatCode="0%"/>
      <alignment horizontal="general" vertical="center" textRotation="0" wrapText="1" indent="0" justifyLastLine="0" shrinkToFit="0" readingOrder="0"/>
      <border diagonalUp="0" diagonalDown="0" outline="0">
        <left style="thin">
          <color indexed="64"/>
        </left>
        <right style="thick">
          <color indexed="64"/>
        </right>
        <top style="thin">
          <color indexed="64"/>
        </top>
        <bottom style="thin">
          <color indexed="64"/>
        </bottom>
      </border>
    </dxf>
    <dxf>
      <font>
        <b val="0"/>
        <i val="0"/>
        <strike val="0"/>
        <condense val="0"/>
        <extend val="0"/>
        <outline val="0"/>
        <shadow val="0"/>
        <u val="none"/>
        <vertAlign val="baseline"/>
        <sz val="10"/>
        <color theme="1"/>
        <name val="Arial Narrow"/>
        <family val="2"/>
        <scheme val="none"/>
      </font>
      <numFmt numFmtId="13" formatCode="0%"/>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family val="2"/>
        <scheme val="none"/>
      </font>
      <numFmt numFmtId="13" formatCode="0%"/>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family val="2"/>
        <scheme val="none"/>
      </font>
      <numFmt numFmtId="13" formatCode="0%"/>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family val="2"/>
        <scheme val="none"/>
      </font>
      <numFmt numFmtId="13" formatCode="0%"/>
      <fill>
        <patternFill patternType="solid">
          <fgColor indexed="64"/>
          <bgColor theme="0"/>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family val="2"/>
        <scheme val="none"/>
      </font>
      <numFmt numFmtId="13" formatCode="0%"/>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family val="2"/>
        <scheme val="none"/>
      </font>
      <numFmt numFmtId="13" formatCode="0%"/>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family val="2"/>
        <scheme val="none"/>
      </font>
      <numFmt numFmtId="13" formatCode="0%"/>
      <alignment horizontal="general" vertical="center" textRotation="0" wrapText="1" indent="0" justifyLastLine="0" shrinkToFit="0" readingOrder="0"/>
      <border diagonalUp="0" diagonalDown="0" outline="0">
        <left style="thick">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family val="2"/>
        <scheme val="none"/>
      </font>
      <numFmt numFmtId="167" formatCode="_ * #,##0_ ;_ * \-#,##0_ ;_ * &quot;-&quot;??_ ;_ @_ "/>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family val="2"/>
        <scheme val="none"/>
      </font>
      <numFmt numFmtId="167" formatCode="_ * #,##0_ ;_ * \-#,##0_ ;_ * &quot;-&quot;??_ ;_ @_ "/>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family val="2"/>
        <scheme val="none"/>
      </font>
      <numFmt numFmtId="167" formatCode="_ * #,##0_ ;_ * \-#,##0_ ;_ * &quot;-&quot;??_ ;_ @_ "/>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family val="2"/>
        <scheme val="none"/>
      </font>
      <numFmt numFmtId="167" formatCode="_ * #,##0_ ;_ * \-#,##0_ ;_ * &quot;-&quot;??_ ;_ @_ "/>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family val="2"/>
        <scheme val="none"/>
      </font>
      <numFmt numFmtId="167" formatCode="_ * #,##0_ ;_ * \-#,##0_ ;_ * &quot;-&quot;??_ ;_ @_ "/>
      <alignmen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family val="2"/>
        <scheme val="none"/>
      </font>
      <numFmt numFmtId="167" formatCode="_ * #,##0_ ;_ * \-#,##0_ ;_ * &quot;-&quot;??_ ;_ @_ "/>
      <alignmen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family val="2"/>
        <scheme val="none"/>
      </font>
      <numFmt numFmtId="167" formatCode="_ * #,##0_ ;_ * \-#,##0_ ;_ * &quot;-&quot;??_ ;_ @_ "/>
      <alignmen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family val="2"/>
        <scheme val="none"/>
      </font>
      <numFmt numFmtId="167" formatCode="_ * #,##0_ ;_ * \-#,##0_ ;_ * &quot;-&quot;??_ ;_ @_ "/>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family val="2"/>
        <scheme val="none"/>
      </font>
      <numFmt numFmtId="167" formatCode="_ * #,##0_ ;_ * \-#,##0_ ;_ * &quot;-&quot;??_ ;_ @_ "/>
      <fill>
        <patternFill patternType="solid">
          <fgColor indexed="64"/>
          <bgColor theme="0"/>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family val="2"/>
        <scheme val="none"/>
      </font>
      <numFmt numFmtId="167" formatCode="_ * #,##0_ ;_ * \-#,##0_ ;_ * &quot;-&quot;??_ ;_ @_ "/>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family val="2"/>
        <scheme val="none"/>
      </font>
      <numFmt numFmtId="167" formatCode="_ * #,##0_ ;_ * \-#,##0_ ;_ * &quot;-&quot;??_ ;_ @_ "/>
      <alignmen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family val="2"/>
        <scheme val="none"/>
      </font>
      <numFmt numFmtId="167" formatCode="_ * #,##0_ ;_ * \-#,##0_ ;_ * &quot;-&quot;??_ ;_ @_ "/>
      <alignment horizontal="center" vertical="center" textRotation="0" wrapText="1" indent="0" justifyLastLine="0" shrinkToFit="0" readingOrder="0"/>
      <border diagonalUp="0" diagonalDown="0" outline="0">
        <left style="thick">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family val="2"/>
        <scheme val="none"/>
      </font>
      <numFmt numFmtId="167" formatCode="_ * #,##0_ ;_ * \-#,##0_ ;_ * &quot;-&quot;??_ ;_ @_ "/>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family val="2"/>
        <scheme val="none"/>
      </font>
      <numFmt numFmtId="167" formatCode="_ * #,##0_ ;_ * \-#,##0_ ;_ * &quot;-&quot;??_ ;_ @_ "/>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family val="2"/>
        <scheme val="none"/>
      </font>
      <numFmt numFmtId="0" formatCode="Genera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0"/>
        <name val="Arial Narrow"/>
        <family val="2"/>
        <scheme val="none"/>
      </font>
      <numFmt numFmtId="0" formatCode="Genera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0"/>
        <name val="Arial Narrow"/>
        <family val="2"/>
        <scheme val="none"/>
      </font>
      <numFmt numFmtId="0" formatCode="Genera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family val="2"/>
        <scheme val="none"/>
      </font>
      <numFmt numFmtId="0" formatCode="General"/>
      <alignment horizontal="left" vertical="center" textRotation="0" wrapText="1" indent="0" justifyLastLine="0" shrinkToFit="0" readingOrder="0"/>
      <border diagonalUp="0" diagonalDown="0" outline="0">
        <left style="thick">
          <color indexed="64"/>
        </left>
        <right style="thin">
          <color indexed="64"/>
        </right>
        <top style="thin">
          <color indexed="64"/>
        </top>
        <bottom style="thin">
          <color indexed="64"/>
        </bottom>
      </border>
    </dxf>
    <dxf>
      <font>
        <b val="0"/>
        <i val="0"/>
        <strike val="0"/>
        <condense val="0"/>
        <extend val="0"/>
        <outline val="0"/>
        <shadow val="0"/>
        <u val="none"/>
        <vertAlign val="baseline"/>
        <sz val="10"/>
        <color rgb="FF000000"/>
        <name val="Arial Narrow"/>
        <family val="2"/>
        <scheme val="none"/>
      </font>
      <numFmt numFmtId="166" formatCode="_-* #,##0_-;\-* #,##0_-;_-* &quot;-&quot;??_-;_-@_-"/>
      <alignment vertical="center" textRotation="0" wrapText="1" indent="0" justifyLastLine="0" shrinkToFit="0" readingOrder="0"/>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rgb="FF000000"/>
        <name val="Arial Narrow"/>
        <family val="2"/>
        <scheme val="none"/>
      </font>
      <numFmt numFmtId="166" formatCode="_-* #,##0_-;\-* #,##0_-;_-* &quot;-&quot;??_-;_-@_-"/>
      <alignment vertical="center" textRotation="0" wrapText="1" indent="0" justifyLastLine="0" shrinkToFit="0" readingOrder="0"/>
    </dxf>
    <dxf>
      <border>
        <bottom style="thin">
          <color indexed="64"/>
        </bottom>
      </border>
    </dxf>
    <dxf>
      <font>
        <b val="0"/>
        <i val="0"/>
        <strike val="0"/>
        <condense val="0"/>
        <extend val="0"/>
        <outline val="0"/>
        <shadow val="0"/>
        <u val="none"/>
        <vertAlign val="baseline"/>
        <sz val="10"/>
        <color theme="0"/>
        <name val="Arial Narrow"/>
        <family val="2"/>
        <scheme val="none"/>
      </font>
      <numFmt numFmtId="166" formatCode="_-* #,##0_-;\-* #,##0_-;_-* &quot;-&quot;??_-;_-@_-"/>
      <fill>
        <patternFill patternType="solid">
          <fgColor indexed="64"/>
          <bgColor rgb="FF8FB6C9"/>
        </patternFill>
      </fill>
      <alignment horizontal="center" vertical="center" textRotation="0" wrapText="1" indent="0" justifyLastLine="0" shrinkToFit="0" readingOrder="0"/>
      <border diagonalUp="0" diagonalDown="0" outline="0">
        <left style="thin">
          <color indexed="64"/>
        </left>
        <right style="thin">
          <color indexed="64"/>
        </right>
        <top/>
        <bottom/>
      </border>
    </dxf>
    <dxf>
      <fill>
        <patternFill>
          <bgColor rgb="FFFF9999"/>
        </patternFill>
      </fill>
    </dxf>
    <dxf>
      <numFmt numFmtId="3" formatCode="#,##0"/>
    </dxf>
    <dxf>
      <numFmt numFmtId="3" formatCode="#,##0"/>
    </dxf>
    <dxf>
      <numFmt numFmtId="3" formatCode="#,##0"/>
    </dxf>
    <dxf>
      <numFmt numFmtId="3" formatCode="#,##0"/>
    </dxf>
    <dxf>
      <font>
        <b val="0"/>
        <i val="0"/>
        <strike val="0"/>
        <condense val="0"/>
        <extend val="0"/>
        <outline val="0"/>
        <shadow val="0"/>
        <u val="none"/>
        <vertAlign val="baseline"/>
        <sz val="8"/>
        <color theme="1"/>
        <name val="Arial"/>
        <family val="2"/>
        <scheme val="none"/>
      </font>
    </dxf>
    <dxf>
      <font>
        <b val="0"/>
        <i val="0"/>
        <strike val="0"/>
        <condense val="0"/>
        <extend val="0"/>
        <outline val="0"/>
        <shadow val="0"/>
        <u val="none"/>
        <vertAlign val="baseline"/>
        <sz val="8"/>
        <color theme="1"/>
        <name val="Arial"/>
        <family val="2"/>
        <scheme val="none"/>
      </font>
    </dxf>
    <dxf>
      <font>
        <b val="0"/>
        <i val="0"/>
        <strike val="0"/>
        <condense val="0"/>
        <extend val="0"/>
        <outline val="0"/>
        <shadow val="0"/>
        <u val="none"/>
        <vertAlign val="baseline"/>
        <sz val="8"/>
        <color theme="1"/>
        <name val="Arial"/>
        <family val="2"/>
        <scheme val="none"/>
      </font>
    </dxf>
    <dxf>
      <font>
        <b val="0"/>
        <i val="0"/>
        <strike val="0"/>
        <condense val="0"/>
        <extend val="0"/>
        <outline val="0"/>
        <shadow val="0"/>
        <u val="none"/>
        <vertAlign val="baseline"/>
        <sz val="8"/>
        <color theme="1"/>
        <name val="Arial"/>
        <family val="2"/>
        <scheme val="none"/>
      </font>
    </dxf>
    <dxf>
      <font>
        <b val="0"/>
        <i val="0"/>
        <strike val="0"/>
        <condense val="0"/>
        <extend val="0"/>
        <outline val="0"/>
        <shadow val="0"/>
        <u val="none"/>
        <vertAlign val="baseline"/>
        <sz val="8"/>
        <color theme="1"/>
        <name val="Arial"/>
        <family val="2"/>
        <scheme val="none"/>
      </font>
    </dxf>
    <dxf>
      <font>
        <b val="0"/>
        <i val="0"/>
        <strike val="0"/>
        <condense val="0"/>
        <extend val="0"/>
        <outline val="0"/>
        <shadow val="0"/>
        <u val="none"/>
        <vertAlign val="baseline"/>
        <sz val="8"/>
        <color theme="1"/>
        <name val="Arial"/>
        <family val="2"/>
        <scheme val="none"/>
      </font>
    </dxf>
    <dxf>
      <font>
        <b val="0"/>
        <i val="0"/>
        <strike val="0"/>
        <condense val="0"/>
        <extend val="0"/>
        <outline val="0"/>
        <shadow val="0"/>
        <u val="none"/>
        <vertAlign val="baseline"/>
        <sz val="8"/>
        <color theme="1"/>
        <name val="Arial"/>
        <family val="2"/>
        <scheme val="none"/>
      </font>
    </dxf>
    <dxf>
      <font>
        <b val="0"/>
        <i val="0"/>
        <strike val="0"/>
        <condense val="0"/>
        <extend val="0"/>
        <outline val="0"/>
        <shadow val="0"/>
        <u val="none"/>
        <vertAlign val="baseline"/>
        <sz val="8"/>
        <color theme="1"/>
        <name val="Arial"/>
        <family val="2"/>
        <scheme val="none"/>
      </font>
    </dxf>
    <dxf>
      <font>
        <b val="0"/>
        <i val="0"/>
        <strike val="0"/>
        <condense val="0"/>
        <extend val="0"/>
        <outline val="0"/>
        <shadow val="0"/>
        <u val="none"/>
        <vertAlign val="baseline"/>
        <sz val="8"/>
        <color theme="1"/>
        <name val="Arial"/>
        <family val="2"/>
        <scheme val="none"/>
      </font>
    </dxf>
    <dxf>
      <font>
        <strike val="0"/>
        <outline val="0"/>
        <shadow val="0"/>
        <u val="none"/>
        <vertAlign val="baseline"/>
        <sz val="8"/>
        <name val="Arial"/>
        <family val="2"/>
        <scheme val="none"/>
      </font>
    </dxf>
    <dxf>
      <font>
        <b val="0"/>
        <i val="0"/>
        <strike val="0"/>
        <condense val="0"/>
        <extend val="0"/>
        <outline val="0"/>
        <shadow val="0"/>
        <u val="none"/>
        <vertAlign val="baseline"/>
        <sz val="8"/>
        <color theme="1"/>
        <name val="Arial"/>
        <family val="2"/>
        <scheme val="none"/>
      </font>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8"/>
        <color theme="1"/>
        <name val="Arial"/>
        <family val="2"/>
        <scheme val="none"/>
      </font>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8"/>
        <color theme="1"/>
        <name val="Arial"/>
        <family val="2"/>
        <scheme val="none"/>
      </font>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8"/>
        <color theme="1"/>
        <name val="Arial"/>
        <family val="2"/>
        <scheme val="none"/>
      </font>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8"/>
        <color theme="1"/>
        <name val="Arial"/>
        <family val="2"/>
        <scheme val="none"/>
      </font>
      <fill>
        <patternFill patternType="none">
          <fgColor indexed="64"/>
          <bgColor auto="1"/>
        </patternFill>
      </fill>
      <alignment horizontal="general" vertical="bottom" textRotation="0" wrapText="1" indent="0" justifyLastLine="0" shrinkToFit="0" readingOrder="0"/>
      <border diagonalUp="0" diagonalDown="0" outline="0">
        <left/>
        <right style="thin">
          <color indexed="64"/>
        </right>
        <top style="thin">
          <color indexed="64"/>
        </top>
        <bottom style="thin">
          <color indexed="64"/>
        </bottom>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b val="0"/>
        <i val="0"/>
        <strike val="0"/>
        <condense val="0"/>
        <extend val="0"/>
        <outline val="0"/>
        <shadow val="0"/>
        <u val="none"/>
        <vertAlign val="baseline"/>
        <sz val="8"/>
        <color auto="1"/>
        <name val="Arial"/>
        <family val="2"/>
        <scheme val="none"/>
      </font>
      <fill>
        <patternFill patternType="solid">
          <fgColor indexed="64"/>
          <bgColor theme="0" tint="-0.14999847407452621"/>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strike val="0"/>
        <outline val="0"/>
        <shadow val="0"/>
        <u val="none"/>
        <vertAlign val="baseline"/>
        <sz val="8"/>
        <name val="Arial"/>
        <family val="2"/>
        <scheme val="none"/>
      </font>
      <border diagonalUp="0" diagonalDown="0">
        <left style="thin">
          <color indexed="64"/>
        </left>
        <right style="thin">
          <color indexed="64"/>
        </right>
        <top style="thin">
          <color indexed="64"/>
        </top>
        <bottom style="thin">
          <color indexed="64"/>
        </bottom>
        <vertical style="thin">
          <color indexed="64"/>
        </vertical>
      </border>
    </dxf>
    <dxf>
      <font>
        <strike val="0"/>
        <outline val="0"/>
        <shadow val="0"/>
        <u val="none"/>
        <vertAlign val="baseline"/>
        <sz val="8"/>
        <name val="Arial"/>
        <family val="2"/>
        <scheme val="none"/>
      </font>
      <border diagonalUp="0" diagonalDown="0">
        <left style="thin">
          <color indexed="64"/>
        </left>
        <right style="thin">
          <color indexed="64"/>
        </right>
        <top style="thin">
          <color indexed="64"/>
        </top>
        <bottom style="thin">
          <color indexed="64"/>
        </bottom>
        <vertical style="thin">
          <color indexed="64"/>
        </vertical>
      </border>
    </dxf>
    <dxf>
      <border outline="0">
        <top style="thin">
          <color indexed="64"/>
        </top>
      </border>
    </dxf>
    <dxf>
      <font>
        <strike val="0"/>
        <outline val="0"/>
        <shadow val="0"/>
        <u val="none"/>
        <vertAlign val="baseline"/>
        <sz val="8"/>
        <name val="Arial"/>
        <family val="2"/>
        <scheme val="none"/>
      </font>
    </dxf>
    <dxf>
      <border outline="0">
        <bottom style="thin">
          <color indexed="64"/>
        </bottom>
      </border>
    </dxf>
    <dxf>
      <font>
        <b val="0"/>
        <strike val="0"/>
        <outline val="0"/>
        <shadow val="0"/>
        <u val="none"/>
        <vertAlign val="baseline"/>
        <sz val="8"/>
        <color auto="1"/>
        <name val="Arial"/>
        <family val="2"/>
        <scheme val="none"/>
      </font>
      <fill>
        <patternFill patternType="solid">
          <fgColor indexed="64"/>
          <bgColor theme="0" tint="-0.14999847407452621"/>
        </patternFill>
      </fill>
      <border diagonalUp="0" diagonalDown="0" outline="0">
        <left style="thin">
          <color indexed="64"/>
        </left>
        <right style="thin">
          <color indexed="64"/>
        </right>
        <top/>
        <bottom/>
      </border>
    </dxf>
  </dxfs>
  <tableStyles count="0" defaultTableStyle="TableStyleMedium2" defaultPivotStyle="PivotStyleLight16"/>
  <colors>
    <mruColors>
      <color rgb="FFCCCCFF"/>
      <color rgb="FFAD7BE9"/>
      <color rgb="FF628FA5"/>
      <color rgb="FF0D39C8"/>
      <color rgb="FF5D903B"/>
      <color rgb="FFDC9100"/>
      <color rgb="FFFFAA04"/>
      <color rgb="FFDF1154"/>
      <color rgb="FFBB0F46"/>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pivotCacheDefinition" Target="pivotCache/pivotCacheDefinition1.xml"/><Relationship Id="rId34" Type="http://schemas.openxmlformats.org/officeDocument/2006/relationships/customXml" Target="../customXml/item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pivotCacheDefinition" Target="pivotCache/pivotCacheDefinition5.xml"/><Relationship Id="rId33"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pivotCacheDefinition" Target="pivotCache/pivotCacheDefinition4.xml"/><Relationship Id="rId32"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pivotCacheDefinition" Target="pivotCache/pivotCacheDefinition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pivotCacheDefinition" Target="pivotCache/pivotCacheDefinition2.xml"/><Relationship Id="rId27" Type="http://schemas.openxmlformats.org/officeDocument/2006/relationships/connections" Target="connections.xml"/><Relationship Id="rId30" Type="http://schemas.openxmlformats.org/officeDocument/2006/relationships/calcChain" Target="calcChain.xml"/><Relationship Id="rId8" Type="http://schemas.openxmlformats.org/officeDocument/2006/relationships/worksheet" Target="worksheets/sheet8.xml"/></Relationships>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KOUASSI\Downloads\Workspace_3A-3B_PIN&amp;Sev_Template%20(1).xlsx" TargetMode="External"/><Relationship Id="rId1" Type="http://schemas.openxmlformats.org/officeDocument/2006/relationships/externalLinkPath" Target="file:///C:\Users\KOUASSI\Downloads\Workspace_3A-3B_PIN&amp;Sev_Template%2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Thresholds"/>
      <sheetName val="Contributing_Factor_Indicators"/>
      <sheetName val="Sheet3"/>
      <sheetName val="PiN by cluster"/>
      <sheetName val="Sheet4"/>
      <sheetName val="Cluster PIN"/>
      <sheetName val="SADD PIN"/>
      <sheetName val="Sheet2"/>
      <sheetName val="Sheet1"/>
      <sheetName val="Sheet5"/>
      <sheetName val="Cluster Severity"/>
      <sheetName val="PiN Historical Trend"/>
      <sheetName val="Reference Table Indicators"/>
      <sheetName val="Summary"/>
    </sheetNames>
    <sheetDataSet>
      <sheetData sheetId="0">
        <row r="18">
          <cell r="D18">
            <v>0.9</v>
          </cell>
        </row>
        <row r="34">
          <cell r="D34">
            <v>1</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_rels/pivotCacheDefinition5.xml.rels><?xml version="1.0" encoding="UTF-8" standalone="yes"?>
<Relationships xmlns="http://schemas.openxmlformats.org/package/2006/relationships"><Relationship Id="rId1" Type="http://schemas.openxmlformats.org/officeDocument/2006/relationships/pivotCacheRecords" Target="pivotCacheRecords5.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Rahel Getachew" refreshedDate="45231.570412152774" createdVersion="8" refreshedVersion="8" minRefreshableVersion="3" recordCount="760" xr:uid="{E524553E-AB41-4EED-BE2A-F329FF90F131}">
  <cacheSource type="worksheet">
    <worksheetSource name="tblPiNAnalysis"/>
  </cacheSource>
  <cacheFields count="65">
    <cacheField name="ID" numFmtId="166">
      <sharedItems/>
    </cacheField>
    <cacheField name="Admin 1" numFmtId="0">
      <sharedItems count="19">
        <s v="Khartoum"/>
        <s v="North Darfur"/>
        <s v="South Darfur"/>
        <s v="West Darfur"/>
        <s v="East Darfur"/>
        <s v="Central Darfur"/>
        <s v="South Kordofan"/>
        <s v="Blue Nile"/>
        <s v="White Nile"/>
        <s v="Red Sea"/>
        <s v="Kassala"/>
        <s v="Gedaref"/>
        <s v="North Kordofan"/>
        <s v="Sennar"/>
        <s v="Aj Jazirah"/>
        <s v="River Nile"/>
        <s v="Northern"/>
        <s v="West Kordofan"/>
        <s v="Abyei PCA"/>
      </sharedItems>
    </cacheField>
    <cacheField name="Admin 1 P-Code" numFmtId="0">
      <sharedItems count="19">
        <s v="SD01"/>
        <s v="SD02"/>
        <s v="SD03"/>
        <s v="SD04"/>
        <s v="SD05"/>
        <s v="SD06"/>
        <s v="SD07"/>
        <s v="SD08"/>
        <s v="SD09"/>
        <s v="SD10"/>
        <s v="SD11"/>
        <s v="SD12"/>
        <s v="SD13"/>
        <s v="SD14"/>
        <s v="SD15"/>
        <s v="SD16"/>
        <s v="SD17"/>
        <s v="SD18"/>
        <s v="SD19"/>
      </sharedItems>
    </cacheField>
    <cacheField name="Admin 2" numFmtId="0">
      <sharedItems count="189">
        <s v="Jebel Awlia"/>
        <s v="Um Bada"/>
        <s v="Bahri"/>
        <s v="Sharg An Neel"/>
        <s v="Karrari"/>
        <s v="Um Durman"/>
        <s v="Khartoum"/>
        <s v="Dar As Salam"/>
        <s v="Al Fasher"/>
        <s v="Al Koma"/>
        <s v="Al Malha"/>
        <s v="As Serief"/>
        <s v="At Tawisha"/>
        <s v="Um Baru"/>
        <s v="Kebkabiya"/>
        <s v="Kelemando"/>
        <s v="Kutum"/>
        <s v="Melit"/>
        <s v="Saraf Omra"/>
        <s v="Um Kadadah"/>
        <s v="Kernoi"/>
        <s v="Al Lait"/>
        <s v="Tawila"/>
        <s v="At Tina"/>
        <s v="Al Radoum"/>
        <s v="Ed Al Fursan"/>
        <s v="Kas"/>
        <s v="Mershing"/>
        <s v="Um Dafoug"/>
        <s v="Sharg Aj Jabal"/>
        <s v="Tulus"/>
        <s v="Al Wihda"/>
        <s v="Nitega"/>
        <s v="Gereida"/>
        <s v="Shattaya"/>
        <s v="As Sunta"/>
        <s v="Kubum"/>
        <s v="Rehaid Albirdi"/>
        <s v="Kateila"/>
        <s v="Buram"/>
        <s v="Beliel"/>
        <s v="Nyala Shimal"/>
        <s v="As Salam - SD"/>
        <s v="Nyala Janoub"/>
        <s v="Damso"/>
        <s v="Beida"/>
        <s v="Ag Geneina"/>
        <s v="Foro Baranga"/>
        <s v="Habila - WD"/>
        <s v="Jebel Moon"/>
        <s v="Kereneik"/>
        <s v="Kulbus"/>
        <s v="Sirba"/>
        <s v="Adila"/>
        <s v="Abu Jabrah"/>
        <s v="Ad Du'ayn"/>
        <s v="Shia'ria"/>
        <s v="Al Firdous"/>
        <s v="Abu Karinka"/>
        <s v="Bahr Al Arab"/>
        <s v="Assalaya"/>
        <s v="Yassin"/>
        <s v="Azum"/>
        <s v="Bendasi"/>
        <s v="Mukjar"/>
        <s v="Gharb Jabal Marrah"/>
        <s v="Shamal Jabal Marrah"/>
        <s v="Um Dukhun"/>
        <s v="Wadi Salih"/>
        <s v="Zalingi"/>
        <s v="Wasat Jabal Marrah"/>
        <s v="Abu Jubayhah"/>
        <s v="Talawdi"/>
        <s v="Abassiya"/>
        <s v="Um Durein"/>
        <s v="Ar Rashad"/>
        <s v="Al Quoz"/>
        <s v="Dilling"/>
        <s v="Heiban"/>
        <s v="Ar Reif Ash Shargi"/>
        <s v="Kadugli"/>
        <s v="Al Buram"/>
        <s v="Habila - SK"/>
        <s v="Abu Kershola"/>
        <s v="Al Leri"/>
        <s v="At Tadamon - SK"/>
        <s v="Delami"/>
        <s v="Ghadeer"/>
        <s v="Baw"/>
        <s v="Ed Damazine"/>
        <s v="Al Kurmuk"/>
        <s v="Ar Rusayris"/>
        <s v="At Tadamon - BN"/>
        <s v="Geisan"/>
        <s v="Wad Al Mahi"/>
        <s v="Ad Diwaim"/>
        <s v="Um Rimta"/>
        <s v="Rabak"/>
        <s v="Kosti"/>
        <s v="Tendalti"/>
        <s v="As Salam / Ar Rawat"/>
        <s v="Al Gitaina"/>
        <s v="Aj Jabalain"/>
        <s v="Guli"/>
        <s v="Dordieb"/>
        <s v="Port Sudan"/>
        <s v="Tawkar"/>
        <s v="Hala'ib"/>
        <s v="Jubayt Elma'aadin"/>
        <s v="Sawakin"/>
        <s v="Al Ganab"/>
        <s v="Haya"/>
        <s v="Sinkat"/>
        <s v="Agig"/>
        <s v="Halfa Aj Jadeedah"/>
        <s v="Madeinat Kassala"/>
        <s v="Reifi Gharb Kassala"/>
        <s v="Reifi Aroma"/>
        <s v="Reifi Kassla"/>
        <s v="Reifi Shamal Ad Delta"/>
        <s v="Reifi Hamashkureib"/>
        <s v="Reifi Telkok"/>
        <s v="Reifi Khashm Elgirba"/>
        <s v="Reifi Wad Elhilaiw"/>
        <s v="Reifi Nahr Atbara"/>
        <s v="Al Butanah"/>
        <s v="Al Fao"/>
        <s v="Al Fashaga"/>
        <s v="Al Qureisha"/>
        <s v="Basundah"/>
        <s v="Al Galabat Al Gharbyah - Kassab"/>
        <s v="Gala'a Al Nahal"/>
        <s v="Madeinat Al Gedaref"/>
        <s v="Wasat Al Gedaref"/>
        <s v="Al Mafaza"/>
        <s v="Galabat Ash-Shargiah"/>
        <s v="Ar Rahad"/>
        <s v="Um Rawaba"/>
        <s v="Sheikan"/>
        <s v="Soudari"/>
        <s v="Bara"/>
        <s v="Gebrat Al Sheikh"/>
        <s v="Um Dam Haj Ahmed"/>
        <s v="Gharb Bara"/>
        <s v="Abu Hujar"/>
        <s v="Sennar"/>
        <s v="Ad Dali"/>
        <s v="Ad Dinder"/>
        <s v="As Suki"/>
        <s v="Sharg Sennar"/>
        <s v="Sinja"/>
        <s v="Medani Al Kubra"/>
        <s v="Janub Aj Jazirah"/>
        <s v="Um Algura"/>
        <s v="Sharg Aj Jazirah"/>
        <s v="Al Hasahisa"/>
        <s v="Al Kamlin"/>
        <s v="Al Manaqil"/>
        <s v="Al Qurashi"/>
        <s v="Abu Hamad"/>
        <s v="Al Matama"/>
        <s v="Shendi"/>
        <s v="Ad Damar"/>
        <s v="Atbara"/>
        <s v="Barbar"/>
        <s v="Al Buhaira"/>
        <s v="Halfa"/>
        <s v="Delgo"/>
        <s v="Al Burgaig"/>
        <s v="Dongola"/>
        <s v="Al Golid"/>
        <s v="Ad Dabbah"/>
        <s v="Merwoe"/>
        <s v="Ghubaish"/>
        <s v="An Nuhud"/>
        <s v="Abu Zabad"/>
        <s v="Wad Bandah"/>
        <s v="Keilak"/>
        <s v="As Salam - WK"/>
        <s v="Abyei"/>
        <s v="As Sunut"/>
        <s v="Babanusa"/>
        <s v="Al Lagowa"/>
        <s v="Al Dibab"/>
        <s v="Al Idia"/>
        <s v="Al Khiwai"/>
        <s v="Al Meiram"/>
        <s v="Abyei PCA area"/>
        <s v="Al Waha"/>
      </sharedItems>
    </cacheField>
    <cacheField name="Admin 2 P-Code" numFmtId="0">
      <sharedItems count="190">
        <s v="SD01001"/>
        <s v="SD01002"/>
        <s v="SD01003"/>
        <s v="SD01004"/>
        <s v="SD01005"/>
        <s v="SD01006"/>
        <s v="SD01007"/>
        <s v="SD02113"/>
        <s v="SD02114"/>
        <s v="SD02116"/>
        <s v="SD02117"/>
        <s v="SD02118"/>
        <s v="SD02119"/>
        <s v="SD02120"/>
        <s v="SD02124"/>
        <s v="SD02126"/>
        <s v="SD02128"/>
        <s v="SD02129"/>
        <s v="SD02133"/>
        <s v="SD02136"/>
        <s v="SD02168"/>
        <s v="SD02169"/>
        <s v="SD02170"/>
        <s v="SD02171"/>
        <s v="SD03141"/>
        <s v="SD03143"/>
        <s v="SD03144"/>
        <s v="SD03145"/>
        <s v="SD03146"/>
        <s v="SD03147"/>
        <s v="SD03149"/>
        <s v="SD03150"/>
        <s v="SD03151"/>
        <s v="SD03153"/>
        <s v="SD03154"/>
        <s v="SD03156"/>
        <s v="SD03157"/>
        <s v="SD03158"/>
        <s v="SD03159"/>
        <s v="SD03161"/>
        <s v="SD03162"/>
        <s v="SD03164"/>
        <s v="SD03166"/>
        <s v="SD03167"/>
        <s v="SD03172"/>
        <s v="SD04111"/>
        <s v="SD04115"/>
        <s v="SD04121"/>
        <s v="SD04122"/>
        <s v="SD04123"/>
        <s v="SD04125"/>
        <s v="SD04127"/>
        <s v="SD04134"/>
        <s v="SD05139"/>
        <s v="SD05140"/>
        <s v="SD05142"/>
        <s v="SD05148"/>
        <s v="SD05152"/>
        <s v="SD05155"/>
        <s v="SD05160"/>
        <s v="SD05163"/>
        <s v="SD05165"/>
        <s v="SD06110"/>
        <s v="SD06112"/>
        <s v="SD06130"/>
        <s v="SD06131"/>
        <s v="SD06132"/>
        <s v="SD06135"/>
        <s v="SD06137"/>
        <s v="SD06138"/>
        <s v="SD06139"/>
        <s v="SD07088"/>
        <s v="SD07089"/>
        <s v="SD07090"/>
        <s v="SD07091"/>
        <s v="SD07093"/>
        <s v="SD07094"/>
        <s v="SD07095"/>
        <s v="SD07096"/>
        <s v="SD07097"/>
        <s v="SD07098"/>
        <s v="SD07099"/>
        <s v="SD07103"/>
        <s v="SD07104"/>
        <s v="SD07105"/>
        <s v="SD07106"/>
        <s v="SD07107"/>
        <s v="SD07108"/>
        <s v="SD08104"/>
        <s v="SD08105"/>
        <s v="SD08106"/>
        <s v="SD08107"/>
        <s v="SD08108"/>
        <s v="SD08109"/>
        <s v="SD08110"/>
        <s v="SD09044"/>
        <s v="SD09045"/>
        <s v="SD09046"/>
        <s v="SD09047"/>
        <s v="SD09048"/>
        <s v="SD09049"/>
        <s v="SD09050"/>
        <s v="SD09051"/>
        <s v="SD09052"/>
        <s v="SD10063"/>
        <s v="SD10064"/>
        <s v="SD10065"/>
        <s v="SD10066"/>
        <s v="SD10067"/>
        <s v="SD10068"/>
        <s v="SD10069"/>
        <s v="SD10070"/>
        <s v="SD10071"/>
        <s v="SD10072"/>
        <s v="SD11052"/>
        <s v="SD11053"/>
        <s v="SD11054"/>
        <s v="SD11055"/>
        <s v="SD11056"/>
        <s v="SD11057"/>
        <s v="SD11058"/>
        <s v="SD11059"/>
        <s v="SD11060"/>
        <s v="SD11061"/>
        <s v="SD11062"/>
        <s v="SD12073"/>
        <s v="SD12074"/>
        <s v="SD12075"/>
        <s v="SD12076"/>
        <s v="SD12077"/>
        <s v="SD12078"/>
        <s v="SD12079"/>
        <s v="SD12080"/>
        <s v="SD12081"/>
        <s v="SD12082"/>
        <s v="SD12083"/>
        <s v="SD12084"/>
        <s v="SD13023"/>
        <s v="SD13024"/>
        <s v="SD13025"/>
        <s v="SD13026"/>
        <s v="SD13027"/>
        <s v="SD13028"/>
        <s v="SD13029"/>
        <s v="SD13030"/>
        <s v="SD14037"/>
        <s v="SD14038"/>
        <s v="SD14039"/>
        <s v="SD14040"/>
        <s v="SD14041"/>
        <s v="SD14042"/>
        <s v="SD14043"/>
        <s v="SD15030"/>
        <s v="SD15031"/>
        <s v="SD15032"/>
        <s v="SD15033"/>
        <s v="SD15034"/>
        <s v="SD15035"/>
        <s v="SD15036"/>
        <s v="SD15037"/>
        <s v="SD16008"/>
        <s v="SD16009"/>
        <s v="SD16010"/>
        <s v="SD16011"/>
        <s v="SD16012"/>
        <s v="SD16013"/>
        <s v="SD16014"/>
        <s v="SD17014"/>
        <s v="SD17015"/>
        <s v="SD17016"/>
        <s v="SD17017"/>
        <s v="SD17018"/>
        <s v="SD17019"/>
        <s v="SD17020"/>
        <s v="SD18021"/>
        <s v="SD18022"/>
        <s v="SD18028"/>
        <s v="SD18029"/>
        <s v="SD18085"/>
        <s v="SD18086"/>
        <s v="SD18087"/>
        <s v="SD18092"/>
        <s v="SD18100"/>
        <s v="SD18102"/>
        <s v="SD18103"/>
        <s v="SD18104"/>
        <s v="SD18105"/>
        <s v="SD18106"/>
        <s v="SD19101"/>
        <s v="SDTEMP"/>
      </sharedItems>
    </cacheField>
    <cacheField name="Admin 3" numFmtId="0">
      <sharedItems containsNonDate="0" containsString="0" containsBlank="1"/>
    </cacheField>
    <cacheField name="Admin 3 P-Code" numFmtId="0">
      <sharedItems containsNonDate="0" containsString="0" containsBlank="1"/>
    </cacheField>
    <cacheField name="Population" numFmtId="167">
      <sharedItems containsSemiMixedTypes="0" containsString="0" containsNumber="1" containsInteger="1" minValue="0" maxValue="983569" count="532">
        <n v="22064"/>
        <n v="11185"/>
        <n v="9967"/>
        <n v="22780"/>
        <n v="10477"/>
        <n v="9936"/>
        <n v="20760"/>
        <n v="55166"/>
        <n v="304635"/>
        <n v="1750"/>
        <n v="3990"/>
        <n v="11546"/>
        <n v="350"/>
        <n v="827"/>
        <n v="32047"/>
        <n v="7818"/>
        <n v="13946"/>
        <n v="21554"/>
        <n v="78644"/>
        <n v="750"/>
        <n v="255"/>
        <n v="32704"/>
        <n v="3885"/>
        <n v="4815"/>
        <n v="51138"/>
        <n v="3610"/>
        <n v="124125"/>
        <n v="41178"/>
        <n v="5017"/>
        <n v="3824"/>
        <n v="3757"/>
        <n v="8405"/>
        <n v="22959"/>
        <n v="31651"/>
        <n v="0"/>
        <n v="4950"/>
        <n v="3732"/>
        <n v="6950"/>
        <n v="10917"/>
        <n v="43663"/>
        <n v="17566"/>
        <n v="302166"/>
        <n v="12391"/>
        <n v="129389"/>
        <n v="7233"/>
        <n v="25648"/>
        <n v="16463"/>
        <n v="7810"/>
        <n v="40622"/>
        <n v="10772"/>
        <n v="38404"/>
        <n v="17241"/>
        <n v="3564"/>
        <n v="53903"/>
        <n v="49741"/>
        <n v="88709"/>
        <n v="4032"/>
        <n v="7937"/>
        <n v="36649"/>
        <n v="84774"/>
        <n v="16376"/>
        <n v="4363"/>
        <n v="69761"/>
        <n v="29435"/>
        <n v="25736"/>
        <n v="42700"/>
        <n v="111818"/>
        <n v="50328"/>
        <n v="54306"/>
        <n v="183690"/>
        <n v="74176"/>
        <n v="62544"/>
        <n v="16353"/>
        <n v="33213"/>
        <n v="20394"/>
        <n v="5464"/>
        <n v="40898"/>
        <n v="21147"/>
        <n v="75038"/>
        <n v="7526"/>
        <n v="21442"/>
        <n v="7896"/>
        <n v="3023"/>
        <n v="4066"/>
        <n v="29500"/>
        <n v="41256"/>
        <n v="49843"/>
        <n v="19116"/>
        <n v="32756"/>
        <n v="16752"/>
        <n v="29421"/>
        <n v="20340"/>
        <n v="70236"/>
        <n v="20067"/>
        <n v="80080"/>
        <n v="21256"/>
        <n v="19986"/>
        <n v="50397"/>
        <n v="168576"/>
        <n v="93002"/>
        <n v="223917"/>
        <n v="325"/>
        <n v="135706"/>
        <n v="2382"/>
        <n v="100"/>
        <n v="2795"/>
        <n v="2075"/>
        <n v="2755"/>
        <n v="33448"/>
        <n v="45576"/>
        <n v="690"/>
        <n v="28823"/>
        <n v="3415"/>
        <n v="1855"/>
        <n v="18506"/>
        <n v="73508"/>
        <n v="2391"/>
        <n v="2966"/>
        <n v="11957"/>
        <n v="14593"/>
        <n v="18745"/>
        <n v="30676"/>
        <n v="8355"/>
        <n v="12202"/>
        <n v="72357"/>
        <n v="37374"/>
        <n v="41607"/>
        <n v="45673"/>
        <n v="36565"/>
        <n v="32604"/>
        <n v="30729"/>
        <n v="3630"/>
        <n v="7868"/>
        <n v="3518"/>
        <n v="7955"/>
        <n v="5613"/>
        <n v="31788"/>
        <n v="53196"/>
        <n v="50802"/>
        <n v="35929"/>
        <n v="66773"/>
        <n v="62584"/>
        <n v="37050"/>
        <n v="49892"/>
        <n v="57832"/>
        <n v="22104"/>
        <n v="43043"/>
        <n v="14376"/>
        <n v="41234"/>
        <n v="72373"/>
        <n v="29708"/>
        <n v="9110"/>
        <n v="28100"/>
        <n v="95866"/>
        <n v="101130"/>
        <n v="109903"/>
        <n v="103621"/>
        <n v="49736"/>
        <n v="31152"/>
        <n v="22635"/>
        <n v="44760"/>
        <n v="44302"/>
        <n v="50932"/>
        <n v="40310"/>
        <n v="69820"/>
        <n v="67487"/>
        <n v="20041"/>
        <n v="35968"/>
        <n v="10404"/>
        <n v="4607"/>
        <n v="20693"/>
        <n v="20589"/>
        <n v="21945"/>
        <n v="7189"/>
        <n v="20273"/>
        <n v="21878"/>
        <n v="8230"/>
        <n v="34635"/>
        <n v="4108"/>
        <n v="16081"/>
        <n v="7380"/>
        <n v="3170"/>
        <n v="4450"/>
        <n v="9250"/>
        <n v="9365"/>
        <n v="3980"/>
        <n v="3205"/>
        <n v="555749"/>
        <n v="82445"/>
        <n v="114582"/>
        <n v="10152"/>
        <n v="107408"/>
        <n v="34870"/>
        <n v="128069"/>
        <n v="52848"/>
        <n v="937"/>
        <n v="136232"/>
        <n v="42971"/>
        <n v="432976"/>
        <n v="305428"/>
        <n v="11130"/>
        <n v="5187"/>
        <n v="16088"/>
        <n v="40567"/>
        <n v="51295"/>
        <n v="38373"/>
        <n v="49822"/>
        <n v="40760"/>
        <n v="154785"/>
        <n v="77325"/>
        <n v="41320"/>
        <n v="34056"/>
        <n v="49920"/>
        <n v="5610"/>
        <n v="65122"/>
        <n v="75900"/>
        <n v="25730"/>
        <n v="268763"/>
        <n v="84830"/>
        <n v="51250"/>
        <n v="20189"/>
        <n v="5092"/>
        <n v="40105"/>
        <n v="72742"/>
        <n v="7213"/>
        <n v="5651"/>
        <n v="1994"/>
        <n v="15554"/>
        <n v="49284"/>
        <n v="32755"/>
        <n v="7801"/>
        <n v="70232"/>
        <n v="20065"/>
        <n v="21720"/>
        <n v="50395"/>
        <n v="29922"/>
        <n v="92993"/>
        <n v="4085"/>
        <n v="114235"/>
        <n v="2350"/>
        <n v="1790"/>
        <n v="2687"/>
        <n v="32370"/>
        <n v="39365"/>
        <n v="2545"/>
        <n v="7729"/>
        <n v="11951"/>
        <n v="13130"/>
        <n v="27530"/>
        <n v="72355"/>
        <n v="18325"/>
        <n v="17800"/>
        <n v="27925"/>
        <n v="31628"/>
        <n v="21299"/>
        <n v="30589"/>
        <n v="50774"/>
        <n v="56966"/>
        <n v="49883"/>
        <n v="57694"/>
        <n v="21966"/>
        <n v="43029"/>
        <n v="14210"/>
        <n v="21980"/>
        <n v="72235"/>
        <n v="29680"/>
        <n v="100000"/>
        <n v="102115"/>
        <n v="48606"/>
        <n v="52205"/>
        <n v="50051"/>
        <n v="69600"/>
        <n v="67443"/>
        <n v="12124"/>
        <n v="9795"/>
        <n v="4603"/>
        <n v="11730"/>
        <n v="17906"/>
        <n v="18772"/>
        <n v="14214"/>
        <n v="21876"/>
        <n v="31158"/>
        <n v="4362"/>
        <n v="850366"/>
        <n v="983569"/>
        <n v="355633"/>
        <n v="534865"/>
        <n v="706425"/>
        <n v="276609"/>
        <n v="379188"/>
        <n v="10871"/>
        <n v="35205"/>
        <n v="11788"/>
        <n v="37433"/>
        <n v="41009"/>
        <n v="62599"/>
        <n v="19437"/>
        <n v="92303"/>
        <n v="48721"/>
        <n v="54343"/>
        <n v="47147"/>
        <n v="21018"/>
        <n v="35188"/>
        <n v="10004"/>
        <n v="14993"/>
        <n v="88274"/>
        <n v="14522"/>
        <n v="29991"/>
        <n v="6554"/>
        <n v="142571"/>
        <n v="33153"/>
        <n v="46964"/>
        <n v="67801"/>
        <n v="28522"/>
        <n v="75770"/>
        <n v="87310"/>
        <n v="115790"/>
        <n v="45671"/>
        <n v="56744"/>
        <n v="198115"/>
        <n v="53663"/>
        <n v="72588"/>
        <n v="73119"/>
        <n v="116049"/>
        <n v="459011"/>
        <n v="51088"/>
        <n v="34141"/>
        <n v="31574"/>
        <n v="209961"/>
        <n v="14379"/>
        <n v="107455"/>
        <n v="17192"/>
        <n v="3407"/>
        <n v="40634"/>
        <n v="53221"/>
        <n v="51451"/>
        <n v="21894"/>
        <n v="53523"/>
        <n v="39832"/>
        <n v="32239"/>
        <n v="54375"/>
        <n v="117768"/>
        <n v="6368"/>
        <n v="19675"/>
        <n v="119424"/>
        <n v="18104"/>
        <n v="40979"/>
        <n v="8616"/>
        <n v="61790"/>
        <n v="84466"/>
        <n v="16645"/>
        <n v="60502"/>
        <n v="116590"/>
        <n v="125134"/>
        <n v="12928"/>
        <n v="33259"/>
        <n v="114776"/>
        <n v="31493"/>
        <n v="35416"/>
        <n v="16647"/>
        <n v="41478"/>
        <n v="23809"/>
        <n v="25152"/>
        <n v="37914"/>
        <n v="58956"/>
        <n v="50874"/>
        <n v="17486"/>
        <n v="17065"/>
        <n v="28988"/>
        <n v="65492"/>
        <n v="42159"/>
        <n v="19923"/>
        <n v="87631"/>
        <n v="54513"/>
        <n v="71831"/>
        <n v="17922"/>
        <n v="23108"/>
        <n v="63262"/>
        <n v="16046"/>
        <n v="39494"/>
        <n v="11368"/>
        <n v="52737"/>
        <n v="145606"/>
        <n v="46880"/>
        <n v="39698"/>
        <n v="124438"/>
        <n v="180485"/>
        <n v="110994"/>
        <n v="80526"/>
        <n v="40303"/>
        <n v="77375"/>
        <n v="221658"/>
        <n v="215194"/>
        <n v="55146"/>
        <n v="117024"/>
        <n v="49070"/>
        <n v="63051"/>
        <n v="24788"/>
        <n v="38875"/>
        <n v="7677"/>
        <n v="50699"/>
        <n v="37941"/>
        <n v="49588"/>
        <n v="35318"/>
        <n v="4586"/>
        <n v="26976"/>
        <n v="51463"/>
        <n v="83502"/>
        <n v="317033"/>
        <n v="142583"/>
        <n v="82312"/>
        <n v="108875"/>
        <n v="42675"/>
        <n v="82264"/>
        <n v="20665"/>
        <n v="32274"/>
        <n v="114379"/>
        <n v="21798"/>
        <n v="37744"/>
        <n v="17266"/>
        <n v="129710"/>
        <n v="40085"/>
        <n v="49297"/>
        <n v="206181"/>
        <n v="92918"/>
        <n v="252048"/>
        <n v="256235"/>
        <n v="177456"/>
        <n v="243909"/>
        <n v="154176"/>
        <n v="2312"/>
        <n v="3740"/>
        <n v="44612"/>
        <n v="20070"/>
        <n v="43745"/>
        <n v="89438"/>
        <n v="42380"/>
        <n v="59433"/>
        <n v="18743"/>
        <n v="21082"/>
        <n v="35666"/>
        <n v="51822"/>
        <n v="10226"/>
        <n v="19386"/>
        <n v="29130"/>
        <n v="24836"/>
        <n v="38552"/>
        <n v="9114"/>
        <n v="29245"/>
        <n v="14684"/>
        <n v="8015"/>
        <n v="5517"/>
        <n v="13530"/>
        <n v="1112"/>
        <n v="5956"/>
        <n v="19269"/>
        <n v="1402"/>
        <n v="22551"/>
        <n v="16268"/>
        <n v="4080"/>
        <n v="692"/>
        <n v="6408"/>
        <n v="1261"/>
        <n v="5307"/>
        <n v="2046"/>
        <n v="375"/>
        <n v="55"/>
        <n v="4081"/>
        <n v="8981"/>
        <n v="524"/>
        <n v="6275"/>
        <n v="2593"/>
        <n v="34834"/>
        <n v="10766"/>
        <n v="1344"/>
        <n v="3741"/>
        <n v="6"/>
        <n v="532"/>
        <n v="11294"/>
        <n v="205"/>
        <n v="372"/>
        <n v="793"/>
        <n v="2296"/>
        <n v="313"/>
        <n v="2245"/>
        <n v="1029"/>
        <n v="13941"/>
        <n v="559"/>
        <n v="1"/>
        <n v="12539"/>
        <n v="58373"/>
        <n v="218834"/>
        <n v="138328"/>
        <n v="21324"/>
        <n v="32"/>
        <n v="1005"/>
        <n v="68"/>
        <n v="1078"/>
        <n v="6211"/>
        <n v="26246"/>
        <n v="10777"/>
        <n v="77452"/>
        <n v="1463"/>
        <n v="3146"/>
        <n v="2"/>
        <n v="19049"/>
        <n v="23807"/>
        <n v="17673"/>
        <n v="976"/>
        <n v="9414"/>
        <n v="1199"/>
        <n v="28"/>
        <n v="9808"/>
        <n v="9"/>
        <n v="138"/>
        <n v="14"/>
        <n v="166"/>
        <n v="19234"/>
        <n v="1130"/>
        <n v="1506"/>
        <n v="844"/>
        <n v="220"/>
        <n v="44"/>
        <n v="7917"/>
        <n v="609"/>
        <n v="4"/>
        <n v="8937"/>
        <n v="2683"/>
        <n v="3173"/>
        <n v="6059"/>
        <n v="3477"/>
        <n v="11719"/>
      </sharedItems>
    </cacheField>
    <cacheField name="Population Group" numFmtId="167">
      <sharedItems count="4">
        <s v="Host Community"/>
        <s v="IDPs"/>
        <s v="Non-displaced Population"/>
        <s v="Refugees"/>
      </sharedItems>
    </cacheField>
    <cacheField name="Site Management " numFmtId="167">
      <sharedItems containsSemiMixedTypes="0" containsString="0" containsNumber="1" containsInteger="1" minValue="0" maxValue="535902"/>
    </cacheField>
    <cacheField name="Education" numFmtId="167">
      <sharedItems containsSemiMixedTypes="0" containsString="0" containsNumber="1" minValue="0" maxValue="381329.70130000002"/>
    </cacheField>
    <cacheField name="Food Security and Livlihoods" numFmtId="167">
      <sharedItems containsString="0" containsBlank="1" containsNumber="1" minValue="0" maxValue="590141.4"/>
    </cacheField>
    <cacheField name="Health " numFmtId="167">
      <sharedItems containsSemiMixedTypes="0" containsString="0" containsNumber="1" minValue="0" maxValue="555749"/>
    </cacheField>
    <cacheField name="Nutrition" numFmtId="167">
      <sharedItems containsSemiMixedTypes="0" containsString="0" containsNumber="1" containsInteger="1" minValue="0" maxValue="150118"/>
    </cacheField>
    <cacheField name="Protection" numFmtId="167">
      <sharedItems containsSemiMixedTypes="0" containsString="0" containsNumber="1" minValue="0" maxValue="555749"/>
    </cacheField>
    <cacheField name="Shelter NFI " numFmtId="167">
      <sharedItems containsSemiMixedTypes="0" containsString="0" containsNumber="1" containsInteger="1" minValue="0" maxValue="444599"/>
    </cacheField>
    <cacheField name="WASH" numFmtId="167">
      <sharedItems containsSemiMixedTypes="0" containsString="0" containsNumber="1" minValue="0" maxValue="577653.62379999994"/>
    </cacheField>
    <cacheField name="CP" numFmtId="167">
      <sharedItems containsSemiMixedTypes="0" containsString="0" containsNumber="1" minValue="0" maxValue="305662"/>
    </cacheField>
    <cacheField name="GBV" numFmtId="167">
      <sharedItems containsSemiMixedTypes="0" containsString="0" containsNumber="1" minValue="0" maxValue="415256"/>
    </cacheField>
    <cacheField name="Mine Action" numFmtId="167">
      <sharedItems containsSemiMixedTypes="0" containsString="0" containsNumber="1" minValue="0" maxValue="491784.5"/>
    </cacheField>
    <cacheField name="General Protection" numFmtId="167">
      <sharedItems containsSemiMixedTypes="0" containsString="0" containsNumber="1" containsInteger="1" minValue="0" maxValue="555749"/>
    </cacheField>
    <cacheField name="Site Management %" numFmtId="9">
      <sharedItems containsMixedTypes="1" containsNumber="1" minValue="0" maxValue="1"/>
    </cacheField>
    <cacheField name="Education %" numFmtId="9">
      <sharedItems containsMixedTypes="1" containsNumber="1" minValue="0" maxValue="1"/>
    </cacheField>
    <cacheField name="Food Security and Livlihoods %" numFmtId="9">
      <sharedItems containsMixedTypes="1" containsNumber="1" minValue="0" maxValue="1"/>
    </cacheField>
    <cacheField name="Health %" numFmtId="9">
      <sharedItems containsMixedTypes="1" containsNumber="1" minValue="0" maxValue="4.5237696685637765"/>
    </cacheField>
    <cacheField name="Nutrition %" numFmtId="9">
      <sharedItems containsMixedTypes="1" containsNumber="1" minValue="0" maxValue="1.3652494141278875"/>
    </cacheField>
    <cacheField name="Protection %" numFmtId="9">
      <sharedItems containsMixedTypes="1" containsNumber="1" minValue="0.1099988288902138" maxValue="1"/>
    </cacheField>
    <cacheField name="Shelter NFI %" numFmtId="9">
      <sharedItems containsMixedTypes="1" containsNumber="1" minValue="0" maxValue="0.80000046191936736"/>
    </cacheField>
    <cacheField name="WASH %" numFmtId="9">
      <sharedItems containsMixedTypes="1" containsNumber="1" minValue="0" maxValue="1.2"/>
    </cacheField>
    <cacheField name="Child Protection (CP)%" numFmtId="9">
      <sharedItems containsMixedTypes="1" containsNumber="1" minValue="0" maxValue="0.55000000000000004"/>
    </cacheField>
    <cacheField name="Gender-based Violence (GBV)%" numFmtId="9">
      <sharedItems containsMixedTypes="1" containsNumber="1" minValue="0" maxValue="0.70000000000000007"/>
    </cacheField>
    <cacheField name="Mine Action%" numFmtId="9">
      <sharedItems containsMixedTypes="1" containsNumber="1" minValue="0" maxValue="0.9"/>
    </cacheField>
    <cacheField name="General Protection%" numFmtId="9">
      <sharedItems containsMixedTypes="1" containsNumber="1" minValue="0" maxValue="1"/>
    </cacheField>
    <cacheField name="Highest PiN" numFmtId="166">
      <sharedItems containsSemiMixedTypes="0" containsString="0" containsNumber="1" minValue="0" maxValue="590141.4"/>
    </cacheField>
    <cacheField name="Highest sector(s)" numFmtId="166">
      <sharedItems/>
    </cacheField>
    <cacheField name="Highest sector(s') PiN %" numFmtId="9">
      <sharedItems containsMixedTypes="1" containsNumber="1" minValue="0.39999999999999997" maxValue="4.5237696685637765"/>
    </cacheField>
    <cacheField name="Number of missing / zero PiNs greater than threshold - Data quality" numFmtId="168">
      <sharedItems/>
    </cacheField>
    <cacheField name="Highest PiN greater than 90% of total affected population" numFmtId="9">
      <sharedItems/>
    </cacheField>
    <cacheField name="Highest sector targets sub-population group(s)" numFmtId="9">
      <sharedItems/>
    </cacheField>
    <cacheField name="2nd Highest PiN" numFmtId="167">
      <sharedItems containsMixedTypes="1" containsNumber="1" minValue="0" maxValue="535902"/>
    </cacheField>
    <cacheField name="2nd Highest sector(s)" numFmtId="166">
      <sharedItems/>
    </cacheField>
    <cacheField name="2nd Highest sector PiN %" numFmtId="9">
      <sharedItems containsMixedTypes="1" containsNumber="1" minValue="0" maxValue="1.3652494141278875"/>
    </cacheField>
    <cacheField name="Difference of PiN between Highest and 2nd Highest" numFmtId="167">
      <sharedItems containsMixedTypes="1" containsNumber="1" minValue="0.10000000000582077" maxValue="147124.62539999999"/>
    </cacheField>
    <cacheField name="% Difference between Highest and 2nd Highest" numFmtId="9">
      <sharedItems containsMixedTypes="1" containsNumber="1" minValue="4.9111434999553276E-7" maxValue="20.673684210526314"/>
    </cacheField>
    <cacheField name="% difference is over a specified threshold between Highest and 2nd Highest" numFmtId="0">
      <sharedItems/>
    </cacheField>
    <cacheField name="3rd Highest PiN" numFmtId="167">
      <sharedItems containsMixedTypes="1" containsNumber="1" minValue="0" maxValue="472604.9045"/>
    </cacheField>
    <cacheField name="3rd Highest sector(s)" numFmtId="9">
      <sharedItems/>
    </cacheField>
    <cacheField name="3rd Highest sector PiN %" numFmtId="9">
      <sharedItems containsMixedTypes="1" containsNumber="1" minValue="0" maxValue="0.99999813794130799"/>
    </cacheField>
    <cacheField name="Difference of PiN between Highest and 3rd Highest" numFmtId="167">
      <sharedItems containsMixedTypes="1" containsNumber="1" minValue="0" maxValue="185016.24180000002"/>
    </cacheField>
    <cacheField name="% Difference between Highest and 3rd Highest" numFmtId="9">
      <sharedItems containsMixedTypes="1" containsNumber="1" minValue="6.919999999999947E-3" maxValue="168.73333333333332"/>
    </cacheField>
    <cacheField name="% difference is over a specified threshold between Highest and 3rd Highest" numFmtId="9">
      <sharedItems/>
    </cacheField>
    <cacheField name="Change from last year for the highest sector(s) has significantly increased or decreased" numFmtId="167">
      <sharedItems/>
    </cacheField>
    <cacheField name="Change from last year for the 2nd highest sector(s) has significantly increased or decreased" numFmtId="9">
      <sharedItems/>
    </cacheField>
    <cacheField name="Preliminary PiN" numFmtId="167">
      <sharedItems containsSemiMixedTypes="0" containsString="0" containsNumber="1" minValue="0" maxValue="590141.4"/>
    </cacheField>
    <cacheField name="Manual Flag" numFmtId="9">
      <sharedItems containsNonDate="0" containsString="0" containsBlank="1"/>
    </cacheField>
    <cacheField name="Explanation for Manual Flag" numFmtId="9">
      <sharedItems containsNonDate="0" containsString="0" containsBlank="1"/>
    </cacheField>
    <cacheField name="# Flags" numFmtId="167">
      <sharedItems containsSemiMixedTypes="0" containsString="0" containsNumber="1" containsInteger="1" minValue="0" maxValue="5"/>
    </cacheField>
    <cacheField name="Flagged" numFmtId="166">
      <sharedItems/>
    </cacheField>
    <cacheField name="Final PiN" numFmtId="166">
      <sharedItems containsSemiMixedTypes="0" containsString="0" containsNumber="1" containsInteger="1" minValue="0" maxValue="590141"/>
    </cacheField>
    <cacheField name="Evidence &amp; Comments" numFmtId="166">
      <sharedItems containsNonDate="0" containsString="0" containsBlank="1"/>
    </cacheField>
    <cacheField name="Access " numFmtId="166">
      <sharedItems containsMixedTypes="1" containsNumber="1" containsInteger="1" minValue="1" maxValue="4" count="5">
        <n v="4"/>
        <n v="3"/>
        <n v="1"/>
        <s v=" -   "/>
        <s v="Formula1" f="1"/>
      </sharedItems>
    </cacheField>
    <cacheField name="Intersectoral Severity" numFmtId="166">
      <sharedItems containsSemiMixedTypes="0" containsString="0" containsNumber="1" containsInteger="1" minValue="1" maxValue="5" count="4">
        <n v="4"/>
        <n v="5"/>
        <n v="3"/>
        <n v="1"/>
      </sharedItems>
    </cacheField>
    <cacheField name="Severity 3 PIN " numFmtId="166">
      <sharedItems containsSemiMixedTypes="0" containsString="0" containsNumber="1" containsInteger="1" minValue="0" maxValue="223917"/>
    </cacheField>
    <cacheField name="Severity 4 PIN" numFmtId="166">
      <sharedItems containsSemiMixedTypes="0" containsString="0" containsNumber="1" minValue="0" maxValue="590141"/>
    </cacheField>
    <cacheField name="Severity 5 PIN" numFmtId="166">
      <sharedItems containsSemiMixedTypes="0" containsString="0" containsNumber="1" minValue="0" maxValue="305428"/>
    </cacheField>
  </cacheFields>
  <calculatedItems count="1">
    <calculatedItem>
      <pivotArea cacheIndex="1" outline="0" fieldPosition="0">
        <references count="1">
          <reference field="60" count="1">
            <x v="4"/>
          </reference>
        </references>
      </pivotArea>
    </calculatedItem>
  </calculatedItem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Kadjo Modeste Kouassi" refreshedDate="45546.674750347222" createdVersion="8" refreshedVersion="8" minRefreshableVersion="3" recordCount="188" xr:uid="{582A1000-40FF-41E2-9BC5-0E9F25B8C48A}">
  <cacheSource type="worksheet">
    <worksheetSource name="tblSeverityAnalysis"/>
  </cacheSource>
  <cacheFields count="27">
    <cacheField name="ID" numFmtId="167">
      <sharedItems/>
    </cacheField>
    <cacheField name="Admin 1" numFmtId="0">
      <sharedItems containsBlank="1" count="20">
        <s v="Khartoum"/>
        <s v="North Darfur"/>
        <s v="South Darfur"/>
        <s v="West Darfur"/>
        <s v="East Darfur"/>
        <s v="Central Darfur"/>
        <s v="South Kordofan"/>
        <s v="Blue Nile"/>
        <s v="White Nile"/>
        <s v="Red Sea"/>
        <s v="Kassala"/>
        <s v="Gedaref"/>
        <s v="North Kordofan"/>
        <s v="Sennar"/>
        <s v="Aj Jazirah"/>
        <s v="River Nile"/>
        <s v="Northern"/>
        <s v="West Kordofan"/>
        <s v="Abyei PCA" u="1"/>
        <m u="1"/>
      </sharedItems>
    </cacheField>
    <cacheField name="Admin 1 P-Code" numFmtId="0">
      <sharedItems/>
    </cacheField>
    <cacheField name="Admin 2" numFmtId="0">
      <sharedItems/>
    </cacheField>
    <cacheField name="Admin 2 P-Code" numFmtId="0">
      <sharedItems/>
    </cacheField>
    <cacheField name="Site Management " numFmtId="167">
      <sharedItems containsNonDate="0" containsString="0" containsBlank="1"/>
    </cacheField>
    <cacheField name="Education" numFmtId="167">
      <sharedItems containsNonDate="0" containsString="0" containsBlank="1"/>
    </cacheField>
    <cacheField name="Food Security and Livlihoods" numFmtId="167">
      <sharedItems containsNonDate="0" containsString="0" containsBlank="1"/>
    </cacheField>
    <cacheField name="Health " numFmtId="167">
      <sharedItems containsNonDate="0" containsString="0" containsBlank="1"/>
    </cacheField>
    <cacheField name="Nutrition" numFmtId="167">
      <sharedItems containsNonDate="0" containsString="0" containsBlank="1"/>
    </cacheField>
    <cacheField name="Protection" numFmtId="167">
      <sharedItems containsNonDate="0" containsString="0" containsBlank="1"/>
    </cacheField>
    <cacheField name="Shelter NFI " numFmtId="167">
      <sharedItems containsSemiMixedTypes="0" containsString="0" containsNumber="1" containsInteger="1" minValue="1" maxValue="4"/>
    </cacheField>
    <cacheField name="WASH" numFmtId="167">
      <sharedItems containsNonDate="0" containsString="0" containsBlank="1"/>
    </cacheField>
    <cacheField name="CP" numFmtId="167">
      <sharedItems containsNonDate="0" containsString="0" containsBlank="1"/>
    </cacheField>
    <cacheField name="GBV" numFmtId="167">
      <sharedItems containsNonDate="0" containsString="0" containsBlank="1"/>
    </cacheField>
    <cacheField name="Mine Action" numFmtId="167">
      <sharedItems containsNonDate="0" containsString="0" containsBlank="1"/>
    </cacheField>
    <cacheField name="General Protection" numFmtId="167">
      <sharedItems containsNonDate="0" containsString="0" containsBlank="1"/>
    </cacheField>
    <cacheField name=" 1 " numFmtId="167">
      <sharedItems containsMixedTypes="1" containsNumber="1" containsInteger="1" minValue="1" maxValue="1"/>
    </cacheField>
    <cacheField name=" 2 " numFmtId="167">
      <sharedItems containsMixedTypes="1" containsNumber="1" containsInteger="1" minValue="1" maxValue="1"/>
    </cacheField>
    <cacheField name=" 3 " numFmtId="167">
      <sharedItems containsMixedTypes="1" containsNumber="1" containsInteger="1" minValue="1" maxValue="1"/>
    </cacheField>
    <cacheField name=" 4 " numFmtId="167">
      <sharedItems containsMixedTypes="1" containsNumber="1" containsInteger="1" minValue="1" maxValue="1"/>
    </cacheField>
    <cacheField name="5" numFmtId="0">
      <sharedItems/>
    </cacheField>
    <cacheField name="Severity" numFmtId="0">
      <sharedItems containsSemiMixedTypes="0" containsString="0" containsNumber="1" containsInteger="1" minValue="1" maxValue="4"/>
    </cacheField>
    <cacheField name="1 sectors in severity phase 5 [modify the threshold]" numFmtId="1">
      <sharedItems/>
    </cacheField>
    <cacheField name="Manual Flag" numFmtId="166">
      <sharedItems containsNonDate="0" containsString="0" containsBlank="1"/>
    </cacheField>
    <cacheField name="Explanation for Manual Flag" numFmtId="166">
      <sharedItems containsNonDate="0" containsString="0" containsBlank="1"/>
    </cacheField>
    <cacheField name="# Flags" numFmtId="166">
      <sharedItems containsSemiMixedTypes="0" containsString="0" containsNumber="1" containsInteger="1" minValue="0" maxValue="0"/>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Kadjo Modeste Kouassi" refreshedDate="45546.674773611114" createdVersion="8" refreshedVersion="8" minRefreshableVersion="3" recordCount="190" xr:uid="{6F18E8C9-A467-474C-8A8E-FBF621A23260}">
  <cacheSource type="worksheet">
    <worksheetSource ref="E3:H193" sheet="Sheet2"/>
  </cacheSource>
  <cacheFields count="4">
    <cacheField name="Row Labels" numFmtId="0">
      <sharedItems/>
    </cacheField>
    <cacheField name="Admin 2" numFmtId="0">
      <sharedItems/>
    </cacheField>
    <cacheField name="Sum of Final PiN" numFmtId="0">
      <sharedItems containsSemiMixedTypes="0" containsString="0" containsNumber="1" minValue="0" maxValue="861786"/>
    </cacheField>
    <cacheField name="SEV" numFmtId="0">
      <sharedItems containsSemiMixedTypes="0" containsString="0" containsNumber="1" containsInteger="1" minValue="1" maxValue="5" count="4">
        <n v="4"/>
        <n v="5"/>
        <n v="3"/>
        <n v="1"/>
      </sharedItems>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Kadjo Modeste Kouassi" refreshedDate="45546.674773842591" createdVersion="8" refreshedVersion="8" minRefreshableVersion="3" recordCount="760" xr:uid="{D89402F8-03E7-4128-96A6-DF0106C4DDC8}">
  <cacheSource type="worksheet">
    <worksheetSource ref="A3:H763" sheet="Sheet1"/>
  </cacheSource>
  <cacheFields count="8">
    <cacheField name="Final PiN" numFmtId="0">
      <sharedItems containsSemiMixedTypes="0" containsString="0" containsNumber="1" minValue="0" maxValue="590141.4"/>
    </cacheField>
    <cacheField name="Admin 1" numFmtId="0">
      <sharedItems/>
    </cacheField>
    <cacheField name="Admin 1 P-Code" numFmtId="0">
      <sharedItems/>
    </cacheField>
    <cacheField name="Admin 2" numFmtId="0">
      <sharedItems count="189">
        <s v="Abyei PCA area"/>
        <s v="Al Hasahisa"/>
        <s v="Al Kamlin"/>
        <s v="Al Manaqil"/>
        <s v="Al Qurashi"/>
        <s v="Janub Aj Jazirah"/>
        <s v="Medani Al Kubra"/>
        <s v="Sharg Aj Jazirah"/>
        <s v="Um Algura"/>
        <s v="Al Kurmuk"/>
        <s v="Ar Rusayris"/>
        <s v="At Tadamon - BN"/>
        <s v="Baw"/>
        <s v="Ed Damazine"/>
        <s v="Geisan"/>
        <s v="Wad Al Mahi"/>
        <s v="Azum"/>
        <s v="Bendasi"/>
        <s v="Gharb Jabal Marrah"/>
        <s v="Mukjar"/>
        <s v="Shamal Jabal Marrah"/>
        <s v="Um Dukhun"/>
        <s v="Wadi Salih"/>
        <s v="Wasat Jabal Marrah"/>
        <s v="Zalingi"/>
        <s v="Abu Jabrah"/>
        <s v="Abu Karinka"/>
        <s v="Ad Du'ayn"/>
        <s v="Adila"/>
        <s v="Al Firdous"/>
        <s v="Assalaya"/>
        <s v="Bahr Al Arab"/>
        <s v="Shia'ria"/>
        <s v="Yassin"/>
        <s v="Al Butanah"/>
        <s v="Al Fao"/>
        <s v="Al Fashaga"/>
        <s v="Al Galabat Al Gharbyah - Kassab"/>
        <s v="Al Mafaza"/>
        <s v="Al Qureisha"/>
        <s v="Ar Rahad"/>
        <s v="Basundah"/>
        <s v="Gala'a Al Nahal"/>
        <s v="Galabat Ash-Shargiah"/>
        <s v="Madeinat Al Gedaref"/>
        <s v="Wasat Al Gedaref"/>
        <s v="Halfa Aj Jadeedah"/>
        <s v="Madeinat Kassala"/>
        <s v="Reifi Aroma"/>
        <s v="Reifi Gharb Kassala"/>
        <s v="Reifi Hamashkureib"/>
        <s v="Reifi Kassla"/>
        <s v="Reifi Khashm Elgirba"/>
        <s v="Reifi Nahr Atbara"/>
        <s v="Reifi Shamal Ad Delta"/>
        <s v="Reifi Telkok"/>
        <s v="Reifi Wad Elhilaiw"/>
        <s v="Bahri"/>
        <s v="Jebel Awlia"/>
        <s v="Karrari"/>
        <s v="Khartoum"/>
        <s v="Sharg An Neel"/>
        <s v="Um Bada"/>
        <s v="Um Durman"/>
        <s v="Al Fasher"/>
        <s v="Al Koma"/>
        <s v="Al Lait"/>
        <s v="Al Malha"/>
        <s v="As Serief"/>
        <s v="At Tawisha"/>
        <s v="At Tina"/>
        <s v="Dar As Salam"/>
        <s v="Kebkabiya"/>
        <s v="Kelemando"/>
        <s v="Kernoi"/>
        <s v="Kutum"/>
        <s v="Melit"/>
        <s v="Saraf Omra"/>
        <s v="Tawila"/>
        <s v="Um Baru"/>
        <s v="Um Kadadah"/>
        <s v="Al Waha"/>
        <s v="Bara"/>
        <s v="Gebrat Al Sheikh"/>
        <s v="Gharb Bara"/>
        <s v="Sheikan"/>
        <s v="Soudari"/>
        <s v="Um Dam Haj Ahmed"/>
        <s v="Um Rawaba"/>
        <s v="Ad Dabbah"/>
        <s v="Al Burgaig"/>
        <s v="Al Golid"/>
        <s v="Delgo"/>
        <s v="Dongola"/>
        <s v="Halfa"/>
        <s v="Merwoe"/>
        <s v="Agig"/>
        <s v="Al Ganab"/>
        <s v="Dordieb"/>
        <s v="Hala'ib"/>
        <s v="Haya"/>
        <s v="Jubayt Elma'aadin"/>
        <s v="Port Sudan"/>
        <s v="Sawakin"/>
        <s v="Sinkat"/>
        <s v="Tawkar"/>
        <s v="Abu Hamad"/>
        <s v="Ad Damar"/>
        <s v="Al Buhaira"/>
        <s v="Al Matama"/>
        <s v="Atbara"/>
        <s v="Barbar"/>
        <s v="Shendi"/>
        <s v="Abu Hujar"/>
        <s v="Ad Dali"/>
        <s v="Ad Dinder"/>
        <s v="As Suki"/>
        <s v="Sennar"/>
        <s v="Sharg Sennar"/>
        <s v="Sinja"/>
        <s v="Al Radoum"/>
        <s v="Al Wihda"/>
        <s v="As Salam - SD"/>
        <s v="As Sunta"/>
        <s v="Beliel"/>
        <s v="Buram"/>
        <s v="Damso"/>
        <s v="Ed Al Fursan"/>
        <s v="Gereida"/>
        <s v="Kas"/>
        <s v="Kateila"/>
        <s v="Kubum"/>
        <s v="Mershing"/>
        <s v="Nitega"/>
        <s v="Nyala Janoub"/>
        <s v="Nyala Shimal"/>
        <s v="Rehaid Albirdi"/>
        <s v="Sharg Aj Jabal"/>
        <s v="Shattaya"/>
        <s v="Tulus"/>
        <s v="Um Dafoug"/>
        <s v="Abassiya"/>
        <s v="Abu Jubayhah"/>
        <s v="Abu Kershola"/>
        <s v="Al Buram"/>
        <s v="Al Leri"/>
        <s v="Al Quoz"/>
        <s v="Ar Rashad"/>
        <s v="Ar Reif Ash Shargi"/>
        <s v="At Tadamon - SK"/>
        <s v="Delami"/>
        <s v="Dilling"/>
        <s v="Ghadeer"/>
        <s v="Habila - SK"/>
        <s v="Heiban"/>
        <s v="Kadugli"/>
        <s v="Talawdi"/>
        <s v="Um Durein"/>
        <s v="Ag Geneina"/>
        <s v="Beida"/>
        <s v="Foro Baranga"/>
        <s v="Habila - WD"/>
        <s v="Jebel Moon"/>
        <s v="Kereneik"/>
        <s v="Kulbus"/>
        <s v="Sirba"/>
        <s v="Abu Zabad"/>
        <s v="Abyei"/>
        <s v="Al Dibab"/>
        <s v="Al Idia"/>
        <s v="Al Khiwai"/>
        <s v="Al Lagowa"/>
        <s v="Al Meiram"/>
        <s v="An Nuhud"/>
        <s v="As Salam - WK"/>
        <s v="As Sunut"/>
        <s v="Babanusa"/>
        <s v="Ghubaish"/>
        <s v="Keilak"/>
        <s v="Wad Bandah"/>
        <s v="Ad Diwaim"/>
        <s v="Aj Jabalain"/>
        <s v="Al Gitaina"/>
        <s v="As Salam / Ar Rawat"/>
        <s v="Guli"/>
        <s v="Kosti"/>
        <s v="Rabak"/>
        <s v="Tendalti"/>
        <s v="Um Rimta"/>
      </sharedItems>
    </cacheField>
    <cacheField name="Admin 2 P-Code" numFmtId="0">
      <sharedItems count="190">
        <s v="SD19101"/>
        <s v="SD15034"/>
        <s v="SD15035"/>
        <s v="SD15036"/>
        <s v="SD15037"/>
        <s v="SD15031"/>
        <s v="SD15030"/>
        <s v="SD15033"/>
        <s v="SD15032"/>
        <s v="SD08106"/>
        <s v="SD08107"/>
        <s v="SD08108"/>
        <s v="SD08104"/>
        <s v="SD08105"/>
        <s v="SD08109"/>
        <s v="SD08110"/>
        <s v="SD06110"/>
        <s v="SD06112"/>
        <s v="SD06131"/>
        <s v="SD06130"/>
        <s v="SD06132"/>
        <s v="SD06135"/>
        <s v="SD06137"/>
        <s v="SD06139"/>
        <s v="SD06138"/>
        <s v="SD05140"/>
        <s v="SD05155"/>
        <s v="SD05142"/>
        <s v="SD05139"/>
        <s v="SD05152"/>
        <s v="SD05163"/>
        <s v="SD05160"/>
        <s v="SD05148"/>
        <s v="SD05165"/>
        <s v="SD12073"/>
        <s v="SD12074"/>
        <s v="SD12075"/>
        <s v="SD12078"/>
        <s v="SD12082"/>
        <s v="SD12076"/>
        <s v="SD12084"/>
        <s v="SD12077"/>
        <s v="SD12079"/>
        <s v="SD12083"/>
        <s v="SD12080"/>
        <s v="SD12081"/>
        <s v="SD11052"/>
        <s v="SD11053"/>
        <s v="SD11055"/>
        <s v="SD11054"/>
        <s v="SD11058"/>
        <s v="SD11056"/>
        <s v="SD11060"/>
        <s v="SD11062"/>
        <s v="SD11057"/>
        <s v="SD11059"/>
        <s v="SD11061"/>
        <s v="SD01003"/>
        <s v="SD01001"/>
        <s v="SD01005"/>
        <s v="SD01007"/>
        <s v="SD01004"/>
        <s v="SD01002"/>
        <s v="SD01006"/>
        <s v="SD02114"/>
        <s v="SD02116"/>
        <s v="SD02169"/>
        <s v="SD02117"/>
        <s v="SD02118"/>
        <s v="SD02119"/>
        <s v="SD02171"/>
        <s v="SD02113"/>
        <s v="SD02124"/>
        <s v="SD02126"/>
        <s v="SD02168"/>
        <s v="SD02128"/>
        <s v="SD02129"/>
        <s v="SD02133"/>
        <s v="SD02170"/>
        <s v="SD02120"/>
        <s v="SD02136"/>
        <s v="SDTEMP"/>
        <s v="SD13030"/>
        <s v="SD13026"/>
        <s v="SD13027"/>
        <s v="SD13029"/>
        <s v="SD13024"/>
        <s v="SD13025"/>
        <s v="SD13028"/>
        <s v="SD13023"/>
        <s v="SD17019"/>
        <s v="SD17016"/>
        <s v="SD17018"/>
        <s v="SD17015"/>
        <s v="SD17017"/>
        <s v="SD17014"/>
        <s v="SD17020"/>
        <s v="SD10072"/>
        <s v="SD10069"/>
        <s v="SD10063"/>
        <s v="SD10066"/>
        <s v="SD10070"/>
        <s v="SD10067"/>
        <s v="SD10064"/>
        <s v="SD10068"/>
        <s v="SD10071"/>
        <s v="SD10065"/>
        <s v="SD16008"/>
        <s v="SD16011"/>
        <s v="SD16014"/>
        <s v="SD16009"/>
        <s v="SD16012"/>
        <s v="SD16013"/>
        <s v="SD16010"/>
        <s v="SD14037"/>
        <s v="SD14039"/>
        <s v="SD14040"/>
        <s v="SD14041"/>
        <s v="SD14038"/>
        <s v="SD14042"/>
        <s v="SD14043"/>
        <s v="SD03141"/>
        <s v="SD03150"/>
        <s v="SD03166"/>
        <s v="SD03156"/>
        <s v="SD03162"/>
        <s v="SD03161"/>
        <s v="SD03172"/>
        <s v="SD03143"/>
        <s v="SD03153"/>
        <s v="SD03144"/>
        <s v="SD03159"/>
        <s v="SD03157"/>
        <s v="SD03145"/>
        <s v="SD03151"/>
        <s v="SD03167"/>
        <s v="SD03164"/>
        <s v="SD03158"/>
        <s v="SD03147"/>
        <s v="SD03154"/>
        <s v="SD03149"/>
        <s v="SD03146"/>
        <s v="SD07090"/>
        <s v="SD07088"/>
        <s v="SD07104"/>
        <s v="SD07099"/>
        <s v="SD07105"/>
        <s v="SD07094"/>
        <s v="SD07093"/>
        <s v="SD07097"/>
        <s v="SD07106"/>
        <s v="SD07107"/>
        <s v="SD07095"/>
        <s v="SD07108"/>
        <s v="SD07103"/>
        <s v="SD07096"/>
        <s v="SD07098"/>
        <s v="SD07089"/>
        <s v="SD07091"/>
        <s v="SD04115"/>
        <s v="SD04111"/>
        <s v="SD04121"/>
        <s v="SD04122"/>
        <s v="SD04123"/>
        <s v="SD04125"/>
        <s v="SD04127"/>
        <s v="SD04134"/>
        <s v="SD18028"/>
        <s v="SD18087"/>
        <s v="SD18103"/>
        <s v="SD18104"/>
        <s v="SD18105"/>
        <s v="SD18102"/>
        <s v="SD18106"/>
        <s v="SD18022"/>
        <s v="SD18086"/>
        <s v="SD18092"/>
        <s v="SD18100"/>
        <s v="SD18021"/>
        <s v="SD18085"/>
        <s v="SD18029"/>
        <s v="SD09044"/>
        <s v="SD09051"/>
        <s v="SD09050"/>
        <s v="SD09049"/>
        <s v="SD09052"/>
        <s v="SD09047"/>
        <s v="SD09046"/>
        <s v="SD09048"/>
        <s v="SD09045"/>
      </sharedItems>
    </cacheField>
    <cacheField name="Admin 3" numFmtId="0">
      <sharedItems containsNonDate="0" containsString="0" containsBlank="1"/>
    </cacheField>
    <cacheField name="Admin 3 P-Code" numFmtId="0">
      <sharedItems containsNonDate="0" containsString="0" containsBlank="1"/>
    </cacheField>
    <cacheField name="Population" numFmtId="167">
      <sharedItems containsSemiMixedTypes="0" containsString="0" containsNumber="1" containsInteger="1" minValue="0" maxValue="983569"/>
    </cacheField>
  </cacheFields>
  <extLst>
    <ext xmlns:x14="http://schemas.microsoft.com/office/spreadsheetml/2009/9/main" uri="{725AE2AE-9491-48be-B2B4-4EB974FC3084}">
      <x14:pivotCacheDefinition/>
    </ext>
  </extLst>
</pivotCacheDefinition>
</file>

<file path=xl/pivotCache/pivotCacheDefinition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Kadjo Modeste Kouassi" refreshedDate="45615.599189583336" createdVersion="8" refreshedVersion="8" minRefreshableVersion="3" recordCount="188" xr:uid="{55ED6E74-F1C8-4CD0-ABFF-26440C59609D}">
  <cacheSource type="worksheet">
    <worksheetSource name="Table4"/>
  </cacheSource>
  <cacheFields count="8">
    <cacheField name="State" numFmtId="0">
      <sharedItems/>
    </cacheField>
    <cacheField name="locality P-Code" numFmtId="0">
      <sharedItems/>
    </cacheField>
    <cacheField name="Locality" numFmtId="0">
      <sharedItems/>
    </cacheField>
    <cacheField name="Pop" numFmtId="167">
      <sharedItems containsSemiMixedTypes="0" containsString="0" containsNumber="1" containsInteger="1" minValue="6230" maxValue="1562863"/>
    </cacheField>
    <cacheField name="PIN 2025" numFmtId="167">
      <sharedItems containsSemiMixedTypes="0" containsString="0" containsNumber="1" containsInteger="1" minValue="396" maxValue="408696"/>
    </cacheField>
    <cacheField name="PIN 2024" numFmtId="167">
      <sharedItems containsSemiMixedTypes="0" containsString="0" containsNumber="1" containsInteger="1" minValue="0" maxValue="535990"/>
    </cacheField>
    <cacheField name="PIN changes" numFmtId="167">
      <sharedItems containsSemiMixedTypes="0" containsString="0" containsNumber="1" containsInteger="1" minValue="-139963" maxValue="267598"/>
    </cacheField>
    <cacheField name="severity score" numFmtId="0">
      <sharedItems containsSemiMixedTypes="0" containsString="0" containsNumber="1" containsInteger="1" minValue="2" maxValue="5" count="4">
        <n v="4"/>
        <n v="3"/>
        <n v="2"/>
        <n v="5"/>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760">
  <r>
    <s v="Host CommunitySD01001"/>
    <x v="0"/>
    <x v="0"/>
    <x v="0"/>
    <x v="0"/>
    <m/>
    <m/>
    <x v="0"/>
    <x v="0"/>
    <n v="0"/>
    <n v="8554.2127999999993"/>
    <n v="22064"/>
    <n v="22064"/>
    <n v="2277"/>
    <n v="11032"/>
    <n v="4413"/>
    <n v="14988.075200000001"/>
    <n v="2427"/>
    <n v="7569"/>
    <n v="11032"/>
    <n v="2206"/>
    <n v="0"/>
    <n v="0.38769999999999999"/>
    <n v="1"/>
    <n v="1"/>
    <n v="0.10319978245105149"/>
    <n v="0.5"/>
    <n v="0.20000906453952139"/>
    <n v="0.67930000000000001"/>
    <n v="0.1"/>
    <n v="0.35000000000000003"/>
    <n v="0.5"/>
    <n v="0.1"/>
    <n v="22064"/>
    <s v="Food Security and Livlihoods_x000a_Health "/>
    <n v="1"/>
    <s v=""/>
    <s v="Flagged"/>
    <s v=""/>
    <n v="14988.075200000001"/>
    <s v="WASH"/>
    <n v="0.67930000000000001"/>
    <n v="7075.9247999999989"/>
    <n v="0.47210363609598105"/>
    <s v="Flagged"/>
    <n v="11032"/>
    <s v="Protection"/>
    <n v="0.5"/>
    <n v="11032"/>
    <n v="1"/>
    <s v="Flagged"/>
    <s v=""/>
    <s v=""/>
    <n v="22064"/>
    <m/>
    <m/>
    <n v="3"/>
    <s v="Flagged"/>
    <n v="22064"/>
    <m/>
    <x v="0"/>
    <x v="0"/>
    <n v="0"/>
    <n v="22064"/>
    <n v="0"/>
  </r>
  <r>
    <s v="Host CommunitySD01002"/>
    <x v="0"/>
    <x v="0"/>
    <x v="1"/>
    <x v="1"/>
    <m/>
    <m/>
    <x v="1"/>
    <x v="0"/>
    <n v="0"/>
    <n v="4336.4245000000001"/>
    <n v="11185"/>
    <n v="11185"/>
    <n v="1073"/>
    <n v="5592.5"/>
    <n v="2237"/>
    <n v="5374.3924999999999"/>
    <n v="1230"/>
    <n v="3837"/>
    <n v="5592.5"/>
    <n v="1119"/>
    <n v="0"/>
    <n v="0.38769999999999999"/>
    <n v="1"/>
    <n v="1"/>
    <n v="9.5932051855163167E-2"/>
    <n v="0.5"/>
    <n v="0.2"/>
    <n v="0.48049999999999998"/>
    <n v="0.1"/>
    <n v="0.35000000000000003"/>
    <n v="0.5"/>
    <n v="0.1"/>
    <n v="11185"/>
    <s v="Food Security and Livlihoods_x000a_Health "/>
    <n v="1"/>
    <s v=""/>
    <s v="Flagged"/>
    <s v=""/>
    <n v="5592.5"/>
    <s v="Protection"/>
    <n v="0.5"/>
    <n v="5592.5"/>
    <n v="1"/>
    <s v="Flagged"/>
    <n v="5374.3924999999999"/>
    <s v="WASH"/>
    <n v="0.48049999999999998"/>
    <n v="5810.6075000000001"/>
    <n v="1.081165452653486"/>
    <s v="Flagged"/>
    <s v=""/>
    <s v=""/>
    <n v="11185"/>
    <m/>
    <m/>
    <n v="3"/>
    <s v="Flagged"/>
    <n v="11185"/>
    <m/>
    <x v="1"/>
    <x v="0"/>
    <n v="0"/>
    <n v="11185"/>
    <n v="0"/>
  </r>
  <r>
    <s v="Host CommunitySD01003"/>
    <x v="0"/>
    <x v="0"/>
    <x v="2"/>
    <x v="2"/>
    <m/>
    <m/>
    <x v="2"/>
    <x v="0"/>
    <n v="0"/>
    <n v="3864.2058999999999"/>
    <n v="9967"/>
    <n v="9967"/>
    <n v="1048"/>
    <n v="4983.5"/>
    <n v="1993"/>
    <n v="6356.9525999999996"/>
    <n v="1096"/>
    <n v="3419"/>
    <n v="4983.5"/>
    <n v="997"/>
    <n v="0"/>
    <n v="0.38769999999999999"/>
    <n v="1"/>
    <n v="1"/>
    <n v="0.1051469850506672"/>
    <n v="0.5"/>
    <n v="0.19995986756295775"/>
    <n v="0.63779999999999992"/>
    <n v="0.1"/>
    <n v="0.35000000000000003"/>
    <n v="0.5"/>
    <n v="0.1"/>
    <n v="9967"/>
    <s v="Food Security and Livlihoods_x000a_Health "/>
    <n v="1"/>
    <s v=""/>
    <s v="Flagged"/>
    <s v=""/>
    <n v="6356.9525999999996"/>
    <s v="WASH"/>
    <n v="0.63779999999999992"/>
    <n v="3610.0474000000004"/>
    <n v="0.56788962057071191"/>
    <s v="Flagged"/>
    <n v="4983.5"/>
    <s v="Protection"/>
    <n v="0.5"/>
    <n v="4983.5"/>
    <n v="1"/>
    <s v="Flagged"/>
    <s v=""/>
    <s v=""/>
    <n v="9967"/>
    <m/>
    <m/>
    <n v="3"/>
    <s v="Flagged"/>
    <n v="9967"/>
    <m/>
    <x v="0"/>
    <x v="0"/>
    <n v="0"/>
    <n v="9967"/>
    <n v="0"/>
  </r>
  <r>
    <s v="Host CommunitySD01004"/>
    <x v="0"/>
    <x v="0"/>
    <x v="3"/>
    <x v="3"/>
    <m/>
    <m/>
    <x v="3"/>
    <x v="0"/>
    <n v="0"/>
    <n v="8831.8060000000005"/>
    <n v="22780"/>
    <n v="22780"/>
    <n v="1151"/>
    <n v="11390"/>
    <n v="4556"/>
    <n v="9615.4379999999983"/>
    <n v="2506"/>
    <n v="7214"/>
    <n v="11390"/>
    <n v="2278"/>
    <n v="0"/>
    <n v="0.38770000000000004"/>
    <n v="1"/>
    <n v="1"/>
    <n v="5.0526777875329235E-2"/>
    <n v="0.5"/>
    <n v="0.2"/>
    <n v="0.42209999999999992"/>
    <n v="0.1"/>
    <n v="0.30000000000000004"/>
    <n v="0.5"/>
    <n v="0.1"/>
    <n v="22780"/>
    <s v="Food Security and Livlihoods_x000a_Health "/>
    <n v="1"/>
    <s v=""/>
    <s v="Flagged"/>
    <s v=""/>
    <n v="11390"/>
    <s v="Protection"/>
    <n v="0.5"/>
    <n v="11390"/>
    <n v="1"/>
    <s v="Flagged"/>
    <n v="9615.4379999999983"/>
    <s v="WASH"/>
    <n v="0.42209999999999992"/>
    <n v="13164.562000000002"/>
    <n v="1.3691068467187875"/>
    <s v="Flagged"/>
    <s v=""/>
    <s v=""/>
    <n v="22780"/>
    <m/>
    <m/>
    <n v="3"/>
    <s v="Flagged"/>
    <n v="22780"/>
    <m/>
    <x v="0"/>
    <x v="0"/>
    <n v="0"/>
    <n v="22780"/>
    <n v="0"/>
  </r>
  <r>
    <s v="Host CommunitySD01005"/>
    <x v="0"/>
    <x v="0"/>
    <x v="4"/>
    <x v="4"/>
    <m/>
    <m/>
    <x v="4"/>
    <x v="0"/>
    <n v="0"/>
    <n v="4061.9328999999998"/>
    <n v="10477"/>
    <n v="10477"/>
    <n v="439"/>
    <n v="5238.5"/>
    <n v="2095"/>
    <n v="4717.7931000000008"/>
    <n v="1152"/>
    <n v="3318"/>
    <n v="5238.5"/>
    <n v="1048"/>
    <n v="0"/>
    <n v="0.38769999999999999"/>
    <n v="1"/>
    <n v="1"/>
    <n v="4.190130762622888E-2"/>
    <n v="0.5"/>
    <n v="0.19996182113200345"/>
    <n v="0.45030000000000009"/>
    <n v="0.1"/>
    <n v="0.30000000000000004"/>
    <n v="0.5"/>
    <n v="0.1"/>
    <n v="10477"/>
    <s v="Food Security and Livlihoods_x000a_Health "/>
    <n v="1"/>
    <s v=""/>
    <s v="Flagged"/>
    <s v=""/>
    <n v="5238.5"/>
    <s v="Protection"/>
    <n v="0.5"/>
    <n v="5238.5"/>
    <n v="1"/>
    <s v="Flagged"/>
    <n v="4717.7931000000008"/>
    <s v="WASH"/>
    <n v="0.45030000000000009"/>
    <n v="5759.2068999999992"/>
    <n v="1.2207417277370638"/>
    <s v="Flagged"/>
    <s v=""/>
    <s v=""/>
    <n v="10477"/>
    <m/>
    <m/>
    <n v="3"/>
    <s v="Flagged"/>
    <n v="10477"/>
    <m/>
    <x v="0"/>
    <x v="1"/>
    <n v="0"/>
    <n v="9429.3000000000011"/>
    <n v="1047.7"/>
  </r>
  <r>
    <s v="Host CommunitySD01006"/>
    <x v="0"/>
    <x v="0"/>
    <x v="5"/>
    <x v="5"/>
    <m/>
    <m/>
    <x v="5"/>
    <x v="0"/>
    <n v="0"/>
    <n v="3852.1871999999998"/>
    <n v="9936"/>
    <n v="9936"/>
    <n v="903"/>
    <n v="4968"/>
    <n v="1987"/>
    <n v="4598.3808000000008"/>
    <n v="1093"/>
    <n v="3407"/>
    <n v="4968"/>
    <n v="994"/>
    <n v="0"/>
    <n v="0.38769999999999999"/>
    <n v="1"/>
    <n v="1"/>
    <n v="9.0881642512077296E-2"/>
    <n v="0.5"/>
    <n v="0.19997987117552335"/>
    <n v="0.4628000000000001"/>
    <n v="0.1"/>
    <n v="0.35000000000000003"/>
    <n v="0.5"/>
    <n v="0.1"/>
    <n v="9936"/>
    <s v="Food Security and Livlihoods_x000a_Health "/>
    <n v="1"/>
    <s v=""/>
    <s v="Flagged"/>
    <s v=""/>
    <n v="4968"/>
    <s v="Protection"/>
    <n v="0.5"/>
    <n v="4968"/>
    <n v="1"/>
    <s v="Flagged"/>
    <n v="4598.3808000000008"/>
    <s v="WASH"/>
    <n v="0.4628000000000001"/>
    <n v="5337.6191999999992"/>
    <n v="1.1607605877268794"/>
    <s v="Flagged"/>
    <s v=""/>
    <s v=""/>
    <n v="9936"/>
    <m/>
    <m/>
    <n v="3"/>
    <s v="Flagged"/>
    <n v="9936"/>
    <m/>
    <x v="0"/>
    <x v="1"/>
    <n v="0"/>
    <n v="8942.4"/>
    <n v="993.6"/>
  </r>
  <r>
    <s v="Host CommunitySD01007"/>
    <x v="0"/>
    <x v="0"/>
    <x v="6"/>
    <x v="6"/>
    <m/>
    <m/>
    <x v="6"/>
    <x v="0"/>
    <n v="0"/>
    <n v="8048.652"/>
    <n v="20760"/>
    <n v="20760"/>
    <n v="1444"/>
    <n v="10380"/>
    <n v="4152"/>
    <n v="7290.9119999999984"/>
    <n v="2284"/>
    <n v="7121"/>
    <n v="10380"/>
    <n v="2076"/>
    <n v="0"/>
    <n v="0.38769999999999999"/>
    <n v="1"/>
    <n v="1"/>
    <n v="6.9556840077071289E-2"/>
    <n v="0.5"/>
    <n v="0.2"/>
    <n v="0.3511999999999999"/>
    <n v="0.1"/>
    <n v="0.35000000000000003"/>
    <n v="0.5"/>
    <n v="0.1"/>
    <n v="20760"/>
    <s v="Food Security and Livlihoods_x000a_Health "/>
    <n v="1"/>
    <s v=""/>
    <s v="Flagged"/>
    <s v=""/>
    <n v="10380"/>
    <s v="Protection"/>
    <n v="0.5"/>
    <n v="10380"/>
    <n v="1"/>
    <s v="Flagged"/>
    <n v="8048.652"/>
    <s v="Education"/>
    <n v="0.38769999999999999"/>
    <n v="12711.348"/>
    <n v="1.5793139025019345"/>
    <s v="Flagged"/>
    <s v=""/>
    <s v=""/>
    <n v="20760"/>
    <m/>
    <m/>
    <n v="3"/>
    <s v="Flagged"/>
    <n v="20760"/>
    <m/>
    <x v="0"/>
    <x v="1"/>
    <n v="0"/>
    <n v="18684"/>
    <n v="2076"/>
  </r>
  <r>
    <s v="Host CommunitySD02113"/>
    <x v="1"/>
    <x v="1"/>
    <x v="7"/>
    <x v="7"/>
    <m/>
    <m/>
    <x v="7"/>
    <x v="0"/>
    <n v="0"/>
    <n v="21387.858199999999"/>
    <n v="22066.400000000001"/>
    <n v="55166"/>
    <n v="7698"/>
    <n v="17467"/>
    <n v="11033"/>
    <n v="33618.160399999993"/>
    <n v="6068"/>
    <n v="17467"/>
    <n v="8274.9"/>
    <n v="5517"/>
    <n v="0"/>
    <n v="0.38769999999999999"/>
    <n v="0.4"/>
    <n v="1"/>
    <n v="0.13954247181234819"/>
    <n v="0.31662618279374977"/>
    <n v="0.19999637457854474"/>
    <n v="0.60939999999999983"/>
    <n v="0.1"/>
    <n v="0.30000000000000004"/>
    <n v="0.15000000000000002"/>
    <n v="0.1"/>
    <n v="55166"/>
    <s v="Health "/>
    <n v="1"/>
    <s v=""/>
    <s v="Flagged"/>
    <s v=""/>
    <n v="33618.160399999993"/>
    <s v="WASH"/>
    <n v="0.60939999999999983"/>
    <n v="21547.839600000007"/>
    <n v="0.640958319658681"/>
    <s v="Flagged"/>
    <n v="22066.400000000001"/>
    <s v="Food Security and Livlihoods"/>
    <n v="0.4"/>
    <n v="33099.599999999999"/>
    <n v="1.4999999999999998"/>
    <s v="Flagged"/>
    <s v=""/>
    <s v=""/>
    <n v="55166"/>
    <m/>
    <m/>
    <n v="3"/>
    <s v="Flagged"/>
    <n v="55166"/>
    <m/>
    <x v="1"/>
    <x v="0"/>
    <n v="0"/>
    <n v="55166"/>
    <n v="0"/>
  </r>
  <r>
    <s v="Host CommunitySD02114"/>
    <x v="1"/>
    <x v="1"/>
    <x v="8"/>
    <x v="8"/>
    <m/>
    <m/>
    <x v="8"/>
    <x v="0"/>
    <n v="0"/>
    <n v="118106.9895"/>
    <n v="302235"/>
    <n v="304635"/>
    <n v="50597"/>
    <n v="152317.5"/>
    <n v="91391"/>
    <n v="173520.09600000002"/>
    <n v="33510"/>
    <n v="104500"/>
    <n v="152317.5"/>
    <n v="30464"/>
    <n v="0"/>
    <n v="0.38769999999999999"/>
    <n v="0.99212171943473337"/>
    <n v="1"/>
    <n v="0.16609056740033154"/>
    <n v="0.5"/>
    <n v="0.30000164130845108"/>
    <n v="0.56960000000000011"/>
    <n v="0.1"/>
    <n v="0.35000000000000003"/>
    <n v="0.5"/>
    <n v="0.1"/>
    <n v="304635"/>
    <s v="Health "/>
    <n v="1"/>
    <s v=""/>
    <s v="Flagged"/>
    <s v=""/>
    <n v="302235"/>
    <s v="Food Security and Livlihoods"/>
    <n v="0.99212171943473337"/>
    <n v="2400"/>
    <n v="7.9408407365129784E-3"/>
    <s v=""/>
    <n v="173520.09600000002"/>
    <s v="WASH"/>
    <n v="0.56960000000000011"/>
    <n v="131114.90399999998"/>
    <n v="0.75561797752808968"/>
    <s v="Flagged"/>
    <s v=""/>
    <s v=""/>
    <n v="304635"/>
    <m/>
    <m/>
    <n v="2"/>
    <s v="Flagged"/>
    <n v="304635"/>
    <m/>
    <x v="1"/>
    <x v="0"/>
    <n v="0"/>
    <n v="304635"/>
    <n v="0"/>
  </r>
  <r>
    <s v="Host CommunitySD02116"/>
    <x v="1"/>
    <x v="1"/>
    <x v="9"/>
    <x v="9"/>
    <m/>
    <m/>
    <x v="9"/>
    <x v="0"/>
    <n v="0"/>
    <n v="678.47500000000002"/>
    <n v="1750"/>
    <n v="1750"/>
    <n v="271"/>
    <n v="554"/>
    <n v="0"/>
    <n v="915.77499999999998"/>
    <n v="193"/>
    <n v="554"/>
    <n v="0"/>
    <n v="175"/>
    <n v="0"/>
    <n v="0.38769999999999999"/>
    <n v="1"/>
    <n v="1"/>
    <n v="0.15485714285714286"/>
    <n v="0.31657142857142856"/>
    <n v="0"/>
    <n v="0.52329999999999999"/>
    <n v="0.1"/>
    <n v="0.30000000000000004"/>
    <n v="0"/>
    <n v="0.1"/>
    <n v="1750"/>
    <s v="Food Security and Livlihoods_x000a_Health "/>
    <n v="1"/>
    <s v="Flagged"/>
    <s v="Flagged"/>
    <s v=""/>
    <n v="915.77499999999998"/>
    <s v="WASH"/>
    <n v="0.52329999999999999"/>
    <n v="834.22500000000002"/>
    <n v="0.91094974202178491"/>
    <s v="Flagged"/>
    <n v="678.47500000000002"/>
    <s v="Education"/>
    <n v="0.38769999999999999"/>
    <n v="1071.5250000000001"/>
    <n v="1.5793139025019345"/>
    <s v="Flagged"/>
    <s v=""/>
    <s v=""/>
    <n v="1750"/>
    <m/>
    <m/>
    <n v="4"/>
    <s v="Flagged"/>
    <n v="1750"/>
    <m/>
    <x v="1"/>
    <x v="2"/>
    <n v="1750"/>
    <n v="0"/>
    <n v="0"/>
  </r>
  <r>
    <s v="Host CommunitySD02117"/>
    <x v="1"/>
    <x v="1"/>
    <x v="10"/>
    <x v="10"/>
    <m/>
    <m/>
    <x v="10"/>
    <x v="0"/>
    <n v="0"/>
    <n v="1546.923"/>
    <n v="3990"/>
    <n v="3990"/>
    <n v="583"/>
    <n v="1264"/>
    <n v="798"/>
    <n v="1229.3190000000002"/>
    <n v="439"/>
    <n v="1264"/>
    <n v="0"/>
    <n v="399"/>
    <n v="0"/>
    <n v="0.38769999999999999"/>
    <n v="1"/>
    <n v="1"/>
    <n v="0.14611528822055136"/>
    <n v="0.31679197994987468"/>
    <n v="0.2"/>
    <n v="0.30810000000000004"/>
    <n v="0.1"/>
    <n v="0.30000000000000004"/>
    <n v="0"/>
    <n v="0.1"/>
    <n v="3990"/>
    <s v="Food Security and Livlihoods_x000a_Health "/>
    <n v="1"/>
    <s v=""/>
    <s v="Flagged"/>
    <s v=""/>
    <n v="1546.923"/>
    <s v="Education"/>
    <n v="0.38769999999999999"/>
    <n v="2443.0770000000002"/>
    <n v="1.5793139025019347"/>
    <s v="Flagged"/>
    <n v="1264"/>
    <s v="Protection"/>
    <n v="0.31679197994987468"/>
    <n v="2726"/>
    <n v="2.1566455696202533"/>
    <s v="Flagged"/>
    <s v=""/>
    <s v=""/>
    <n v="3990"/>
    <m/>
    <m/>
    <n v="3"/>
    <s v="Flagged"/>
    <n v="3990"/>
    <m/>
    <x v="0"/>
    <x v="2"/>
    <n v="3990"/>
    <n v="0"/>
    <n v="0"/>
  </r>
  <r>
    <s v="Host CommunitySD02118"/>
    <x v="1"/>
    <x v="1"/>
    <x v="11"/>
    <x v="11"/>
    <m/>
    <m/>
    <x v="11"/>
    <x v="0"/>
    <n v="0"/>
    <n v="4476.3841999999995"/>
    <n v="4041.1"/>
    <n v="11546"/>
    <n v="1537"/>
    <n v="3656"/>
    <n v="2309"/>
    <n v="10505.705399999999"/>
    <n v="1270"/>
    <n v="3656"/>
    <n v="1731.8999999999999"/>
    <n v="1155"/>
    <n v="0"/>
    <n v="0.38769999999999993"/>
    <n v="0.35"/>
    <n v="1"/>
    <n v="0.13311969513251343"/>
    <n v="0.31664645764767019"/>
    <n v="0.1999826779837173"/>
    <n v="0.90989999999999993"/>
    <n v="0.1"/>
    <n v="0.30000000000000004"/>
    <n v="0.15000000000000002"/>
    <n v="0.1"/>
    <n v="11546"/>
    <s v="Health "/>
    <n v="1"/>
    <s v=""/>
    <s v="Flagged"/>
    <s v=""/>
    <n v="10505.705399999999"/>
    <s v="WASH"/>
    <n v="0.90989999999999993"/>
    <n v="1040.2946000000011"/>
    <n v="9.9021870535223766E-2"/>
    <s v=""/>
    <n v="4476.3841999999995"/>
    <s v="Education"/>
    <n v="0.38769999999999993"/>
    <n v="7069.6158000000005"/>
    <n v="1.5793139025019347"/>
    <s v="Flagged"/>
    <s v=""/>
    <s v=""/>
    <n v="11546"/>
    <m/>
    <m/>
    <n v="2"/>
    <s v="Flagged"/>
    <n v="11546"/>
    <m/>
    <x v="0"/>
    <x v="0"/>
    <n v="0"/>
    <n v="11546"/>
    <n v="0"/>
  </r>
  <r>
    <s v="Host CommunitySD02119"/>
    <x v="1"/>
    <x v="1"/>
    <x v="12"/>
    <x v="12"/>
    <m/>
    <m/>
    <x v="12"/>
    <x v="0"/>
    <n v="0"/>
    <n v="135.69499999999999"/>
    <n v="350"/>
    <n v="350"/>
    <n v="50"/>
    <n v="110"/>
    <n v="70"/>
    <n v="74.724999999999966"/>
    <n v="39"/>
    <n v="110"/>
    <n v="0"/>
    <n v="35"/>
    <n v="0"/>
    <n v="0.38769999999999999"/>
    <n v="1"/>
    <n v="1"/>
    <n v="0.14285714285714285"/>
    <n v="0.31428571428571428"/>
    <n v="0.2"/>
    <n v="0.21349999999999991"/>
    <n v="0.1"/>
    <n v="0.30000000000000004"/>
    <n v="0"/>
    <n v="0.1"/>
    <n v="350"/>
    <s v="Food Security and Livlihoods_x000a_Health "/>
    <n v="1"/>
    <s v=""/>
    <s v="Flagged"/>
    <s v=""/>
    <n v="135.69499999999999"/>
    <s v="Education"/>
    <n v="0.38769999999999999"/>
    <n v="214.30500000000001"/>
    <n v="1.5793139025019347"/>
    <s v="Flagged"/>
    <n v="110"/>
    <s v="Protection"/>
    <n v="0.31428571428571428"/>
    <n v="240"/>
    <n v="2.1818181818181817"/>
    <s v="Flagged"/>
    <s v=""/>
    <s v=""/>
    <n v="350"/>
    <m/>
    <m/>
    <n v="3"/>
    <s v="Flagged"/>
    <n v="350"/>
    <m/>
    <x v="0"/>
    <x v="2"/>
    <n v="350"/>
    <n v="0"/>
    <n v="0"/>
  </r>
  <r>
    <s v="Host CommunitySD02120"/>
    <x v="1"/>
    <x v="1"/>
    <x v="13"/>
    <x v="13"/>
    <m/>
    <m/>
    <x v="13"/>
    <x v="0"/>
    <n v="0"/>
    <n v="320.62790000000001"/>
    <n v="827"/>
    <n v="827"/>
    <n v="58"/>
    <n v="262"/>
    <n v="0"/>
    <n v="812.36210000000005"/>
    <n v="91"/>
    <n v="262"/>
    <n v="124.05"/>
    <n v="83"/>
    <n v="0"/>
    <n v="0.38769999999999999"/>
    <n v="1"/>
    <n v="1"/>
    <n v="7.0133010882708582E-2"/>
    <n v="0.31680773881499397"/>
    <n v="0"/>
    <n v="0.98230000000000006"/>
    <n v="0.1"/>
    <n v="0.30000000000000004"/>
    <n v="0.15000000000000002"/>
    <n v="0.1"/>
    <n v="827"/>
    <s v="Food Security and Livlihoods_x000a_Health "/>
    <n v="1"/>
    <s v="Flagged"/>
    <s v="Flagged"/>
    <s v=""/>
    <n v="812.36210000000005"/>
    <s v="WASH"/>
    <n v="0.98230000000000006"/>
    <n v="14.637899999999945"/>
    <n v="1.8018935152193761E-2"/>
    <s v=""/>
    <n v="320.62790000000001"/>
    <s v="Education"/>
    <n v="0.38769999999999999"/>
    <n v="506.37209999999999"/>
    <n v="1.5793139025019345"/>
    <s v="Flagged"/>
    <s v=""/>
    <s v=""/>
    <n v="827"/>
    <m/>
    <m/>
    <n v="3"/>
    <s v="Flagged"/>
    <n v="827"/>
    <m/>
    <x v="0"/>
    <x v="2"/>
    <n v="827"/>
    <n v="0"/>
    <n v="0"/>
  </r>
  <r>
    <s v="Host CommunitySD02124"/>
    <x v="1"/>
    <x v="1"/>
    <x v="14"/>
    <x v="14"/>
    <m/>
    <m/>
    <x v="14"/>
    <x v="0"/>
    <n v="0"/>
    <n v="12424.6219"/>
    <n v="32047"/>
    <n v="32047"/>
    <n v="3692"/>
    <n v="10147"/>
    <n v="6409"/>
    <n v="25038.321099999997"/>
    <n v="3525"/>
    <n v="10147"/>
    <n v="3204.7000000000003"/>
    <n v="3205"/>
    <n v="0"/>
    <n v="0.38769999999999999"/>
    <n v="1"/>
    <n v="1"/>
    <n v="0.11520579149374356"/>
    <n v="0.31662870159453305"/>
    <n v="0.19998751833244921"/>
    <n v="0.78129999999999988"/>
    <n v="0.1"/>
    <n v="0.30000000000000004"/>
    <n v="0.1"/>
    <n v="0.1"/>
    <n v="32047"/>
    <s v="Food Security and Livlihoods_x000a_Health "/>
    <n v="1"/>
    <s v=""/>
    <s v="Flagged"/>
    <s v=""/>
    <n v="25038.321099999997"/>
    <s v="WASH"/>
    <n v="0.78129999999999988"/>
    <n v="7008.6789000000026"/>
    <n v="0.27991808524254463"/>
    <s v=""/>
    <n v="12424.6219"/>
    <s v="Education"/>
    <n v="0.38769999999999999"/>
    <n v="19622.378100000002"/>
    <n v="1.5793139025019347"/>
    <s v="Flagged"/>
    <s v=""/>
    <s v=""/>
    <n v="32047"/>
    <m/>
    <m/>
    <n v="2"/>
    <s v="Flagged"/>
    <n v="32047"/>
    <m/>
    <x v="0"/>
    <x v="1"/>
    <n v="0"/>
    <n v="28842.3"/>
    <n v="3204.7000000000003"/>
  </r>
  <r>
    <s v="Host CommunitySD02126"/>
    <x v="1"/>
    <x v="1"/>
    <x v="15"/>
    <x v="15"/>
    <m/>
    <m/>
    <x v="15"/>
    <x v="0"/>
    <n v="0"/>
    <n v="3031.0385999999999"/>
    <n v="7818"/>
    <n v="7818"/>
    <n v="1108"/>
    <n v="2475"/>
    <n v="1564"/>
    <n v="5070.7548000000006"/>
    <n v="860"/>
    <n v="2475"/>
    <n v="0"/>
    <n v="782"/>
    <n v="0"/>
    <n v="0.38769999999999999"/>
    <n v="1"/>
    <n v="1"/>
    <n v="0.14172422614479407"/>
    <n v="0.31657712970069074"/>
    <n v="0.20005116398055769"/>
    <n v="0.64860000000000007"/>
    <n v="0.1"/>
    <n v="0.30000000000000004"/>
    <n v="0"/>
    <n v="0.1"/>
    <n v="7818"/>
    <s v="Food Security and Livlihoods_x000a_Health "/>
    <n v="1"/>
    <s v=""/>
    <s v="Flagged"/>
    <s v=""/>
    <n v="5070.7548000000006"/>
    <s v="WASH"/>
    <n v="0.64860000000000007"/>
    <n v="2747.2451999999994"/>
    <n v="0.54178230033919195"/>
    <s v="Flagged"/>
    <n v="3031.0385999999999"/>
    <s v="Education"/>
    <n v="0.38769999999999999"/>
    <n v="4786.9614000000001"/>
    <n v="1.5793139025019347"/>
    <s v="Flagged"/>
    <s v=""/>
    <s v=""/>
    <n v="7818"/>
    <m/>
    <m/>
    <n v="3"/>
    <s v="Flagged"/>
    <n v="7818"/>
    <m/>
    <x v="1"/>
    <x v="2"/>
    <n v="7818"/>
    <n v="0"/>
    <n v="0"/>
  </r>
  <r>
    <s v="Host CommunitySD02128"/>
    <x v="1"/>
    <x v="1"/>
    <x v="16"/>
    <x v="16"/>
    <m/>
    <m/>
    <x v="16"/>
    <x v="0"/>
    <n v="0"/>
    <n v="5406.7866600000007"/>
    <n v="13945.800000000003"/>
    <n v="13945.800000000003"/>
    <n v="2038"/>
    <n v="4785"/>
    <n v="2789"/>
    <n v="8486.0193000000017"/>
    <n v="1534"/>
    <n v="4785"/>
    <n v="2091.8700000000003"/>
    <n v="1395"/>
    <n v="0"/>
    <n v="0.38769443998279079"/>
    <n v="0.99998565897031433"/>
    <n v="0.99998565897031433"/>
    <n v="0.14613509249964146"/>
    <n v="0.34310913523590991"/>
    <n v="0.19998565897031406"/>
    <n v="0.60849127348343623"/>
    <n v="0.1"/>
    <n v="0.35000000000000003"/>
    <n v="0.15000000000000002"/>
    <n v="0.1"/>
    <n v="13945.800000000003"/>
    <s v="Food Security and Livlihoods_x000a_Health "/>
    <n v="0.99998565897031433"/>
    <s v=""/>
    <s v="Flagged"/>
    <s v=""/>
    <n v="8486.0193000000017"/>
    <s v="WASH"/>
    <n v="0.60849127348343623"/>
    <n v="5459.7807000000012"/>
    <n v="0.64338537387017258"/>
    <s v="Flagged"/>
    <n v="5406.7866600000007"/>
    <s v="Education"/>
    <n v="0.38769443998279079"/>
    <n v="8539.0133400000013"/>
    <n v="1.5793139025019345"/>
    <s v="Flagged"/>
    <s v=""/>
    <s v=""/>
    <n v="13945.800000000003"/>
    <m/>
    <m/>
    <n v="3"/>
    <s v="Flagged"/>
    <n v="13946"/>
    <m/>
    <x v="0"/>
    <x v="1"/>
    <n v="0"/>
    <n v="12551.4"/>
    <n v="1394.6000000000001"/>
  </r>
  <r>
    <s v="Host CommunitySD02129"/>
    <x v="1"/>
    <x v="1"/>
    <x v="17"/>
    <x v="17"/>
    <m/>
    <m/>
    <x v="17"/>
    <x v="0"/>
    <n v="0"/>
    <n v="8356.4858000000004"/>
    <n v="21554"/>
    <n v="21554"/>
    <n v="3713"/>
    <n v="8621.6"/>
    <n v="4311"/>
    <n v="15984.446400000001"/>
    <n v="2371"/>
    <n v="6826"/>
    <n v="8621.6"/>
    <n v="2155"/>
    <n v="0"/>
    <n v="0.38770000000000004"/>
    <n v="1"/>
    <n v="1"/>
    <n v="0.17226500881506912"/>
    <n v="0.4"/>
    <n v="0.20000927902013546"/>
    <n v="0.74160000000000004"/>
    <n v="0.1"/>
    <n v="0.30000000000000004"/>
    <n v="0.4"/>
    <n v="0.1"/>
    <n v="21554"/>
    <s v="Food Security and Livlihoods_x000a_Health "/>
    <n v="1"/>
    <s v=""/>
    <s v="Flagged"/>
    <s v=""/>
    <n v="15984.446400000001"/>
    <s v="WASH"/>
    <n v="0.74160000000000004"/>
    <n v="5569.5535999999993"/>
    <n v="0.34843581445523186"/>
    <s v="Flagged"/>
    <n v="8621.6"/>
    <s v="Protection"/>
    <n v="0.4"/>
    <n v="12932.4"/>
    <n v="1.5"/>
    <s v="Flagged"/>
    <s v=""/>
    <s v=""/>
    <n v="21554"/>
    <m/>
    <m/>
    <n v="3"/>
    <s v="Flagged"/>
    <n v="21554"/>
    <m/>
    <x v="1"/>
    <x v="0"/>
    <n v="0"/>
    <n v="21554"/>
    <n v="0"/>
  </r>
  <r>
    <s v="Host CommunitySD02133"/>
    <x v="1"/>
    <x v="1"/>
    <x v="18"/>
    <x v="18"/>
    <m/>
    <m/>
    <x v="18"/>
    <x v="0"/>
    <n v="0"/>
    <n v="30490.2788"/>
    <n v="27525.4"/>
    <n v="78644"/>
    <n v="9980"/>
    <n v="24902"/>
    <n v="15729"/>
    <n v="60406.456399999988"/>
    <n v="8651"/>
    <n v="24902"/>
    <n v="7864.4000000000005"/>
    <n v="7864"/>
    <n v="0"/>
    <n v="0.38769999999999999"/>
    <n v="0.35000000000000003"/>
    <n v="1"/>
    <n v="0.12690097146635471"/>
    <n v="0.31664208331214078"/>
    <n v="0.20000254310564061"/>
    <n v="0.76809999999999989"/>
    <n v="0.1"/>
    <n v="0.30000000000000004"/>
    <n v="0.1"/>
    <n v="0.1"/>
    <n v="78644"/>
    <s v="Health "/>
    <n v="1"/>
    <s v=""/>
    <s v="Flagged"/>
    <s v=""/>
    <n v="60406.456399999988"/>
    <s v="WASH"/>
    <n v="0.76809999999999989"/>
    <n v="18237.543600000012"/>
    <n v="0.30191381330555944"/>
    <s v="Flagged"/>
    <n v="30490.2788"/>
    <s v="Education"/>
    <n v="0.38769999999999999"/>
    <n v="48153.7212"/>
    <n v="1.5793139025019345"/>
    <s v="Flagged"/>
    <s v=""/>
    <s v=""/>
    <n v="78644"/>
    <m/>
    <m/>
    <n v="3"/>
    <s v="Flagged"/>
    <n v="78644"/>
    <m/>
    <x v="0"/>
    <x v="0"/>
    <n v="0"/>
    <n v="78644"/>
    <n v="0"/>
  </r>
  <r>
    <s v="Host CommunitySD02136"/>
    <x v="1"/>
    <x v="1"/>
    <x v="19"/>
    <x v="19"/>
    <m/>
    <m/>
    <x v="19"/>
    <x v="0"/>
    <n v="0"/>
    <n v="290.77499999999998"/>
    <n v="750"/>
    <n v="750"/>
    <n v="117"/>
    <n v="237"/>
    <n v="0"/>
    <n v="595.72500000000002"/>
    <n v="83"/>
    <n v="237"/>
    <n v="75"/>
    <n v="75"/>
    <n v="0"/>
    <n v="0.38769999999999999"/>
    <n v="1"/>
    <n v="1"/>
    <n v="0.156"/>
    <n v="0.316"/>
    <n v="0"/>
    <n v="0.79430000000000001"/>
    <n v="0.1"/>
    <n v="0.30000000000000004"/>
    <n v="0.1"/>
    <n v="0.1"/>
    <n v="750"/>
    <s v="Food Security and Livlihoods_x000a_Health "/>
    <n v="1"/>
    <s v="Flagged"/>
    <s v="Flagged"/>
    <s v=""/>
    <n v="595.72500000000002"/>
    <s v="WASH"/>
    <n v="0.79430000000000001"/>
    <n v="154.27499999999998"/>
    <n v="0.25897016240715093"/>
    <s v=""/>
    <n v="290.77499999999998"/>
    <s v="Education"/>
    <n v="0.38769999999999999"/>
    <n v="459.22500000000002"/>
    <n v="1.5793139025019347"/>
    <s v="Flagged"/>
    <s v=""/>
    <s v=""/>
    <n v="750"/>
    <m/>
    <m/>
    <n v="3"/>
    <s v="Flagged"/>
    <n v="750"/>
    <m/>
    <x v="1"/>
    <x v="2"/>
    <n v="750"/>
    <n v="0"/>
    <n v="0"/>
  </r>
  <r>
    <s v="Host CommunitySD02168"/>
    <x v="1"/>
    <x v="1"/>
    <x v="20"/>
    <x v="20"/>
    <m/>
    <m/>
    <x v="20"/>
    <x v="0"/>
    <n v="0"/>
    <n v="98.863500000000002"/>
    <n v="255"/>
    <n v="255"/>
    <n v="42"/>
    <n v="80"/>
    <n v="0"/>
    <n v="234.03899999999999"/>
    <n v="28"/>
    <n v="80"/>
    <n v="25.5"/>
    <n v="26"/>
    <n v="0"/>
    <n v="0.38769999999999999"/>
    <n v="1"/>
    <n v="1"/>
    <n v="0.16470588235294117"/>
    <n v="0.31372549019607843"/>
    <n v="0"/>
    <n v="0.91779999999999995"/>
    <n v="0.1"/>
    <n v="0.30000000000000004"/>
    <n v="0.1"/>
    <n v="0.1"/>
    <n v="255"/>
    <s v="Food Security and Livlihoods_x000a_Health "/>
    <n v="1"/>
    <s v="Flagged"/>
    <s v="Flagged"/>
    <s v=""/>
    <n v="234.03899999999999"/>
    <s v="WASH"/>
    <n v="0.91779999999999995"/>
    <n v="20.961000000000013"/>
    <n v="8.956199607757688E-2"/>
    <s v=""/>
    <n v="98.863500000000002"/>
    <s v="Education"/>
    <n v="0.38769999999999999"/>
    <n v="156.13650000000001"/>
    <n v="1.5793139025019345"/>
    <s v="Flagged"/>
    <s v=""/>
    <s v=""/>
    <n v="255"/>
    <m/>
    <m/>
    <n v="3"/>
    <s v="Flagged"/>
    <n v="255"/>
    <m/>
    <x v="0"/>
    <x v="2"/>
    <n v="255"/>
    <n v="0"/>
    <n v="0"/>
  </r>
  <r>
    <s v="Host CommunitySD02169"/>
    <x v="1"/>
    <x v="1"/>
    <x v="21"/>
    <x v="21"/>
    <m/>
    <m/>
    <x v="21"/>
    <x v="0"/>
    <n v="0"/>
    <n v="12679.3408"/>
    <n v="13081.6"/>
    <n v="32704"/>
    <n v="4040"/>
    <n v="10354"/>
    <n v="0"/>
    <n v="14550.009599999999"/>
    <n v="3597"/>
    <n v="10354"/>
    <n v="3270.4"/>
    <n v="3270"/>
    <n v="0"/>
    <n v="0.38769999999999999"/>
    <n v="0.4"/>
    <n v="1"/>
    <n v="0.12353228962818004"/>
    <n v="0.31659735812133072"/>
    <n v="0"/>
    <n v="0.44489999999999996"/>
    <n v="0.1"/>
    <n v="0.30000000000000004"/>
    <n v="0.1"/>
    <n v="0.1"/>
    <n v="32704"/>
    <s v="Health "/>
    <n v="1"/>
    <s v="Flagged"/>
    <s v="Flagged"/>
    <s v=""/>
    <n v="14550.009599999999"/>
    <s v="WASH"/>
    <n v="0.44489999999999996"/>
    <n v="18153.990400000002"/>
    <n v="1.2476961114857275"/>
    <s v="Flagged"/>
    <n v="13081.6"/>
    <s v="Food Security and Livlihoods"/>
    <n v="0.4"/>
    <n v="19622.400000000001"/>
    <n v="1.5"/>
    <s v="Flagged"/>
    <s v=""/>
    <s v=""/>
    <n v="32704"/>
    <m/>
    <m/>
    <n v="4"/>
    <s v="Flagged"/>
    <n v="32704"/>
    <m/>
    <x v="1"/>
    <x v="2"/>
    <n v="32704"/>
    <n v="0"/>
    <n v="0"/>
  </r>
  <r>
    <s v="Host CommunitySD02170"/>
    <x v="1"/>
    <x v="1"/>
    <x v="22"/>
    <x v="22"/>
    <m/>
    <m/>
    <x v="22"/>
    <x v="0"/>
    <n v="0"/>
    <n v="1506.2920399999989"/>
    <n v="3885"/>
    <n v="3885"/>
    <n v="285"/>
    <n v="1230"/>
    <n v="1166"/>
    <n v="3260.0713199999977"/>
    <n v="427"/>
    <n v="1230"/>
    <n v="388.51999999999975"/>
    <n v="389"/>
    <n v="0"/>
    <n v="0.38771995881595855"/>
    <n v="1"/>
    <n v="1"/>
    <n v="7.3359073359073365E-2"/>
    <n v="0.31660231660231658"/>
    <n v="0.30012870012870013"/>
    <n v="0.83914319691119632"/>
    <n v="0.1"/>
    <n v="0.30000000000000004"/>
    <n v="0.1"/>
    <n v="0.1"/>
    <n v="3885"/>
    <s v="Food Security and Livlihoods_x000a_Health "/>
    <n v="1"/>
    <s v=""/>
    <s v="Flagged"/>
    <s v=""/>
    <n v="3260.0713199999977"/>
    <s v="WASH"/>
    <n v="0.83914319691119632"/>
    <n v="624.92868000000226"/>
    <n v="0.19169172041303767"/>
    <s v=""/>
    <n v="1506.2920399999989"/>
    <s v="Education"/>
    <n v="0.38771995881595855"/>
    <n v="2378.7079600000011"/>
    <n v="1.579181126124787"/>
    <s v="Flagged"/>
    <s v=""/>
    <s v=""/>
    <n v="3885"/>
    <m/>
    <m/>
    <n v="2"/>
    <s v="Flagged"/>
    <n v="3885"/>
    <m/>
    <x v="0"/>
    <x v="1"/>
    <n v="0"/>
    <n v="3496.5"/>
    <n v="388.5"/>
  </r>
  <r>
    <s v="Host CommunitySD02171"/>
    <x v="1"/>
    <x v="1"/>
    <x v="23"/>
    <x v="23"/>
    <m/>
    <m/>
    <x v="23"/>
    <x v="0"/>
    <n v="0"/>
    <n v="1866.7755"/>
    <n v="4815"/>
    <n v="4815"/>
    <n v="654"/>
    <n v="1524"/>
    <n v="0"/>
    <n v="4815"/>
    <n v="530"/>
    <n v="1524"/>
    <n v="481.5"/>
    <n v="482"/>
    <n v="0"/>
    <n v="0.38769999999999999"/>
    <n v="1"/>
    <n v="1"/>
    <n v="0.13582554517133957"/>
    <n v="0.31651090342679128"/>
    <n v="0"/>
    <n v="1"/>
    <n v="0.1"/>
    <n v="0.30000000000000004"/>
    <n v="0.1"/>
    <n v="0.1"/>
    <n v="4815"/>
    <s v="Food Security and Livlihoods_x000a_Health _x000a_WASH"/>
    <n v="1"/>
    <s v="Flagged"/>
    <s v="Flagged"/>
    <s v=""/>
    <n v="1866.7755"/>
    <s v="Education"/>
    <n v="0.38769999999999999"/>
    <n v="2948.2245000000003"/>
    <n v="1.5793139025019347"/>
    <s v="Flagged"/>
    <n v="1524"/>
    <s v="Protection"/>
    <n v="0.31651090342679128"/>
    <n v="3291"/>
    <n v="2.159448818897638"/>
    <s v="Flagged"/>
    <s v=""/>
    <s v=""/>
    <n v="4815"/>
    <m/>
    <m/>
    <n v="4"/>
    <s v="Flagged"/>
    <n v="4815"/>
    <m/>
    <x v="0"/>
    <x v="0"/>
    <n v="0"/>
    <n v="4815"/>
    <n v="0"/>
  </r>
  <r>
    <s v="Host CommunitySD03141"/>
    <x v="2"/>
    <x v="2"/>
    <x v="24"/>
    <x v="24"/>
    <m/>
    <m/>
    <x v="24"/>
    <x v="0"/>
    <n v="0"/>
    <n v="19826.202600000001"/>
    <n v="51138"/>
    <n v="51138"/>
    <n v="3907"/>
    <n v="16193"/>
    <n v="10228"/>
    <n v="44438.922000000006"/>
    <n v="5625"/>
    <n v="16193"/>
    <n v="0"/>
    <n v="5114"/>
    <n v="0"/>
    <n v="0.38769999999999999"/>
    <n v="1"/>
    <n v="1"/>
    <n v="7.6401110720012516E-2"/>
    <n v="0.31665297821580818"/>
    <n v="0.20000782197191913"/>
    <n v="0.86900000000000011"/>
    <n v="0.1"/>
    <n v="0.30000000000000004"/>
    <n v="0"/>
    <n v="0.1"/>
    <n v="51138"/>
    <s v="Food Security and Livlihoods_x000a_Health "/>
    <n v="1"/>
    <s v=""/>
    <s v="Flagged"/>
    <s v=""/>
    <n v="44438.922000000006"/>
    <s v="WASH"/>
    <n v="0.86900000000000011"/>
    <n v="6699.0779999999941"/>
    <n v="0.150747986191024"/>
    <s v=""/>
    <n v="19826.202600000001"/>
    <s v="Education"/>
    <n v="0.38769999999999999"/>
    <n v="31311.797399999999"/>
    <n v="1.5793139025019345"/>
    <s v="Flagged"/>
    <s v=""/>
    <s v=""/>
    <n v="51138"/>
    <m/>
    <m/>
    <n v="2"/>
    <s v="Flagged"/>
    <n v="51138"/>
    <m/>
    <x v="1"/>
    <x v="2"/>
    <n v="51138"/>
    <n v="0"/>
    <n v="0"/>
  </r>
  <r>
    <s v="Host CommunitySD03143"/>
    <x v="2"/>
    <x v="2"/>
    <x v="25"/>
    <x v="25"/>
    <m/>
    <m/>
    <x v="25"/>
    <x v="0"/>
    <n v="0"/>
    <n v="1399.597"/>
    <n v="3610"/>
    <n v="3610"/>
    <n v="295"/>
    <n v="1143"/>
    <n v="722"/>
    <n v="3526.6090000000004"/>
    <n v="397"/>
    <n v="1143"/>
    <n v="0"/>
    <n v="361"/>
    <n v="0"/>
    <n v="0.38769999999999999"/>
    <n v="1"/>
    <n v="1"/>
    <n v="8.1717451523545703E-2"/>
    <n v="0.31662049861495845"/>
    <n v="0.2"/>
    <n v="0.9769000000000001"/>
    <n v="0.1"/>
    <n v="0.30000000000000004"/>
    <n v="0"/>
    <n v="0.1"/>
    <n v="3610"/>
    <s v="Food Security and Livlihoods_x000a_Health "/>
    <n v="1"/>
    <s v=""/>
    <s v="Flagged"/>
    <s v=""/>
    <n v="3526.6090000000004"/>
    <s v="WASH"/>
    <n v="0.9769000000000001"/>
    <n v="83.390999999999622"/>
    <n v="2.3646227863650213E-2"/>
    <s v=""/>
    <n v="1399.597"/>
    <s v="Education"/>
    <n v="0.38769999999999999"/>
    <n v="2210.4030000000002"/>
    <n v="1.5793139025019347"/>
    <s v="Flagged"/>
    <s v=""/>
    <s v=""/>
    <n v="3610"/>
    <m/>
    <m/>
    <n v="2"/>
    <s v="Flagged"/>
    <n v="3610"/>
    <m/>
    <x v="1"/>
    <x v="2"/>
    <n v="3610"/>
    <n v="0"/>
    <n v="0"/>
  </r>
  <r>
    <s v="Host CommunitySD03144"/>
    <x v="2"/>
    <x v="2"/>
    <x v="26"/>
    <x v="26"/>
    <m/>
    <m/>
    <x v="26"/>
    <x v="0"/>
    <n v="0"/>
    <n v="48123.262499999997"/>
    <n v="121117"/>
    <n v="124125"/>
    <n v="17761"/>
    <n v="39304"/>
    <n v="37238"/>
    <n v="94409.475000000006"/>
    <n v="13654"/>
    <n v="39304"/>
    <n v="18618.75"/>
    <n v="12413"/>
    <n v="0"/>
    <n v="0.38769999999999999"/>
    <n v="0.97576636455186305"/>
    <n v="1"/>
    <n v="0.14308962739174219"/>
    <n v="0.31664853977844915"/>
    <n v="0.30000402819738164"/>
    <n v="0.76060000000000005"/>
    <n v="0.1"/>
    <n v="0.30000000000000004"/>
    <n v="0.15000000000000002"/>
    <n v="0.1"/>
    <n v="124125"/>
    <s v="Health "/>
    <n v="1"/>
    <s v=""/>
    <s v="Flagged"/>
    <s v=""/>
    <n v="121117"/>
    <s v="Food Security and Livlihoods"/>
    <n v="0.97576636455186305"/>
    <n v="3008"/>
    <n v="2.4835489650503233E-2"/>
    <s v=""/>
    <n v="94409.475000000006"/>
    <s v="WASH"/>
    <n v="0.76060000000000005"/>
    <n v="29715.524999999994"/>
    <n v="0.31475151196423867"/>
    <s v=""/>
    <s v=""/>
    <s v=""/>
    <n v="124125"/>
    <m/>
    <m/>
    <n v="1"/>
    <s v="Flagged"/>
    <n v="124125"/>
    <m/>
    <x v="1"/>
    <x v="0"/>
    <n v="0"/>
    <n v="124125"/>
    <n v="0"/>
  </r>
  <r>
    <s v="Host CommunitySD03145"/>
    <x v="2"/>
    <x v="2"/>
    <x v="27"/>
    <x v="27"/>
    <m/>
    <m/>
    <x v="27"/>
    <x v="0"/>
    <n v="0"/>
    <n v="15964.807525"/>
    <n v="41178"/>
    <n v="41178"/>
    <n v="4207"/>
    <n v="13039"/>
    <n v="8236"/>
    <n v="24859.309525000001"/>
    <n v="4530"/>
    <n v="13039"/>
    <n v="6176.7375000000002"/>
    <n v="4118"/>
    <n v="0"/>
    <n v="0.38770235380543011"/>
    <n v="1"/>
    <n v="1"/>
    <n v="0.10216620525523337"/>
    <n v="0.31664966729807181"/>
    <n v="0.20000971392491135"/>
    <n v="0.60370366518529317"/>
    <n v="0.1"/>
    <n v="0.30000000000000004"/>
    <n v="0.15000000000000002"/>
    <n v="0.1"/>
    <n v="41178"/>
    <s v="Food Security and Livlihoods_x000a_Health "/>
    <n v="1"/>
    <s v=""/>
    <s v="Flagged"/>
    <s v=""/>
    <n v="24859.309525000001"/>
    <s v="WASH"/>
    <n v="0.60370366518529317"/>
    <n v="16318.690474999999"/>
    <n v="0.65644182347820057"/>
    <s v="Flagged"/>
    <n v="15964.807525"/>
    <s v="Education"/>
    <n v="0.38770235380543011"/>
    <n v="25213.192475"/>
    <n v="1.5792982430585238"/>
    <s v="Flagged"/>
    <s v=""/>
    <s v=""/>
    <n v="41178"/>
    <m/>
    <m/>
    <n v="3"/>
    <s v="Flagged"/>
    <n v="41178"/>
    <m/>
    <x v="1"/>
    <x v="0"/>
    <n v="0"/>
    <n v="41178"/>
    <n v="0"/>
  </r>
  <r>
    <s v="Host CommunitySD03146"/>
    <x v="2"/>
    <x v="2"/>
    <x v="28"/>
    <x v="28"/>
    <m/>
    <m/>
    <x v="28"/>
    <x v="0"/>
    <n v="0"/>
    <n v="1945.0908999999999"/>
    <n v="5017"/>
    <n v="5017"/>
    <n v="258"/>
    <n v="1588"/>
    <n v="1003"/>
    <n v="4980.3758999999991"/>
    <n v="552"/>
    <n v="1588"/>
    <n v="501.70000000000005"/>
    <n v="502"/>
    <n v="0"/>
    <n v="0.38769999999999999"/>
    <n v="1"/>
    <n v="1"/>
    <n v="5.1425154474785725E-2"/>
    <n v="0.31652381901534782"/>
    <n v="0.19992027107833366"/>
    <n v="0.9926999999999998"/>
    <n v="0.1"/>
    <n v="0.30000000000000004"/>
    <n v="0.1"/>
    <n v="0.1"/>
    <n v="5017"/>
    <s v="Food Security and Livlihoods_x000a_Health "/>
    <n v="1"/>
    <s v=""/>
    <s v="Flagged"/>
    <s v=""/>
    <n v="4980.3758999999991"/>
    <s v="WASH"/>
    <n v="0.9926999999999998"/>
    <n v="36.624100000000908"/>
    <n v="7.3536818777074466E-3"/>
    <s v=""/>
    <n v="1945.0908999999999"/>
    <s v="Education"/>
    <n v="0.38769999999999999"/>
    <n v="3071.9090999999999"/>
    <n v="1.5793139025019345"/>
    <s v="Flagged"/>
    <s v=""/>
    <s v=""/>
    <n v="5017"/>
    <m/>
    <m/>
    <n v="2"/>
    <s v="Flagged"/>
    <n v="5017"/>
    <m/>
    <x v="1"/>
    <x v="2"/>
    <n v="5017"/>
    <n v="0"/>
    <n v="0"/>
  </r>
  <r>
    <s v="Host CommunitySD03147"/>
    <x v="2"/>
    <x v="2"/>
    <x v="29"/>
    <x v="29"/>
    <m/>
    <m/>
    <x v="29"/>
    <x v="0"/>
    <n v="0"/>
    <n v="1482.5647999999999"/>
    <n v="3824"/>
    <n v="3824"/>
    <n v="808"/>
    <n v="1210"/>
    <n v="765"/>
    <n v="2294.4"/>
    <n v="421"/>
    <n v="1210"/>
    <n v="382.40000000000003"/>
    <n v="382"/>
    <n v="0"/>
    <n v="0.38769999999999999"/>
    <n v="1"/>
    <n v="1"/>
    <n v="0.21129707112970711"/>
    <n v="0.31642259414225943"/>
    <n v="0.20005230125523013"/>
    <n v="0.6"/>
    <n v="0.1"/>
    <n v="0.30000000000000004"/>
    <n v="0.1"/>
    <n v="0.1"/>
    <n v="3824"/>
    <s v="Food Security and Livlihoods_x000a_Health "/>
    <n v="1"/>
    <s v=""/>
    <s v="Flagged"/>
    <s v=""/>
    <n v="2294.4"/>
    <s v="WASH"/>
    <n v="0.6"/>
    <n v="1529.6"/>
    <n v="0.66666666666666663"/>
    <s v="Flagged"/>
    <n v="1482.5647999999999"/>
    <s v="Education"/>
    <n v="0.38769999999999999"/>
    <n v="2341.4351999999999"/>
    <n v="1.5793139025019345"/>
    <s v="Flagged"/>
    <s v=""/>
    <s v=""/>
    <n v="3824"/>
    <m/>
    <m/>
    <n v="3"/>
    <s v="Flagged"/>
    <n v="3824"/>
    <m/>
    <x v="1"/>
    <x v="0"/>
    <n v="0"/>
    <n v="3824"/>
    <n v="0"/>
  </r>
  <r>
    <s v="Host CommunitySD03149"/>
    <x v="2"/>
    <x v="2"/>
    <x v="30"/>
    <x v="30"/>
    <m/>
    <m/>
    <x v="30"/>
    <x v="0"/>
    <n v="0"/>
    <n v="1456.5889"/>
    <n v="3757"/>
    <n v="3757"/>
    <n v="336"/>
    <n v="1189"/>
    <n v="751"/>
    <n v="2014.1277"/>
    <n v="413"/>
    <n v="1189"/>
    <n v="0"/>
    <n v="376"/>
    <n v="0"/>
    <n v="0.38769999999999999"/>
    <n v="1"/>
    <n v="1"/>
    <n v="8.9433058291189776E-2"/>
    <n v="0.31647591163162098"/>
    <n v="0.19989353207346286"/>
    <n v="0.53610000000000002"/>
    <n v="0.1"/>
    <n v="0.30000000000000004"/>
    <n v="0"/>
    <n v="0.1"/>
    <n v="3757"/>
    <s v="Food Security and Livlihoods_x000a_Health "/>
    <n v="1"/>
    <s v=""/>
    <s v="Flagged"/>
    <s v=""/>
    <n v="2014.1277"/>
    <s v="WASH"/>
    <n v="0.53610000000000002"/>
    <n v="1742.8723"/>
    <n v="0.8653236336504383"/>
    <s v="Flagged"/>
    <n v="1456.5889"/>
    <s v="Education"/>
    <n v="0.38769999999999999"/>
    <n v="2300.4111000000003"/>
    <n v="1.5793139025019347"/>
    <s v="Flagged"/>
    <s v=""/>
    <s v=""/>
    <n v="3757"/>
    <m/>
    <m/>
    <n v="3"/>
    <s v="Flagged"/>
    <n v="3757"/>
    <m/>
    <x v="1"/>
    <x v="2"/>
    <n v="3757"/>
    <n v="0"/>
    <n v="0"/>
  </r>
  <r>
    <s v="Host CommunitySD03150"/>
    <x v="2"/>
    <x v="2"/>
    <x v="31"/>
    <x v="31"/>
    <m/>
    <m/>
    <x v="31"/>
    <x v="0"/>
    <n v="0"/>
    <n v="3258.6185"/>
    <n v="8405"/>
    <n v="8405"/>
    <n v="544"/>
    <n v="2661"/>
    <n v="0"/>
    <n v="5116.1234999999997"/>
    <n v="925"/>
    <n v="2661"/>
    <n v="1260.75"/>
    <n v="0"/>
    <n v="0"/>
    <n v="0.38769999999999999"/>
    <n v="1"/>
    <n v="1"/>
    <n v="6.4723378941106482E-2"/>
    <n v="0.31659726353361095"/>
    <n v="0"/>
    <n v="0.60870000000000002"/>
    <n v="0.1"/>
    <n v="0.30000000000000004"/>
    <n v="0.15000000000000002"/>
    <n v="0"/>
    <n v="8405"/>
    <s v="Food Security and Livlihoods_x000a_Health "/>
    <n v="1"/>
    <s v="Flagged"/>
    <s v="Flagged"/>
    <s v=""/>
    <n v="5116.1234999999997"/>
    <s v="WASH"/>
    <n v="0.60870000000000002"/>
    <n v="3288.8765000000003"/>
    <n v="0.64284540824708403"/>
    <s v="Flagged"/>
    <n v="3258.6185"/>
    <s v="Education"/>
    <n v="0.38769999999999999"/>
    <n v="5146.3814999999995"/>
    <n v="1.5793139025019343"/>
    <s v="Flagged"/>
    <s v=""/>
    <s v=""/>
    <n v="8405"/>
    <m/>
    <m/>
    <n v="4"/>
    <s v="Flagged"/>
    <n v="8405"/>
    <m/>
    <x v="1"/>
    <x v="0"/>
    <n v="0"/>
    <n v="8405"/>
    <n v="0"/>
  </r>
  <r>
    <s v="Host CommunitySD03151"/>
    <x v="2"/>
    <x v="2"/>
    <x v="32"/>
    <x v="32"/>
    <m/>
    <m/>
    <x v="32"/>
    <x v="0"/>
    <n v="0"/>
    <n v="8901.0104499999998"/>
    <n v="22958.5"/>
    <n v="22958.5"/>
    <n v="2506"/>
    <n v="7270"/>
    <n v="0"/>
    <n v="17278.5671"/>
    <n v="2525"/>
    <n v="7270"/>
    <n v="0"/>
    <n v="0"/>
    <n v="0"/>
    <n v="0.38769155668800903"/>
    <n v="0.99997822204799858"/>
    <n v="0.99997822204799858"/>
    <n v="0.10915109543098567"/>
    <n v="0.3166514221002657"/>
    <n v="0"/>
    <n v="0.75258360991332374"/>
    <n v="0.1"/>
    <n v="0.30000000000000004"/>
    <n v="0"/>
    <n v="0"/>
    <n v="22958.5"/>
    <s v="Food Security and Livlihoods_x000a_Health "/>
    <n v="0.99997822204799858"/>
    <s v="Flagged"/>
    <s v="Flagged"/>
    <s v=""/>
    <n v="17278.5671"/>
    <s v="WASH"/>
    <n v="0.75258360991332374"/>
    <n v="5679.9328999999998"/>
    <n v="0.32872707945787932"/>
    <s v="Flagged"/>
    <n v="8901.0104499999998"/>
    <s v="Education"/>
    <n v="0.38769155668800903"/>
    <n v="14057.48955"/>
    <n v="1.5793139025019345"/>
    <s v="Flagged"/>
    <s v=""/>
    <s v=""/>
    <n v="22958.5"/>
    <m/>
    <m/>
    <n v="4"/>
    <s v="Flagged"/>
    <n v="22959"/>
    <m/>
    <x v="1"/>
    <x v="0"/>
    <n v="0"/>
    <n v="22959"/>
    <n v="0"/>
  </r>
  <r>
    <s v="Host CommunitySD03153"/>
    <x v="2"/>
    <x v="2"/>
    <x v="33"/>
    <x v="33"/>
    <m/>
    <m/>
    <x v="33"/>
    <x v="0"/>
    <n v="0"/>
    <n v="12271.112084999999"/>
    <n v="31651"/>
    <n v="31651"/>
    <n v="3599"/>
    <n v="10023"/>
    <n v="6330"/>
    <n v="22734.949214999997"/>
    <n v="3482"/>
    <n v="10023"/>
    <n v="3165.105"/>
    <n v="3165"/>
    <n v="0"/>
    <n v="0.38770061246090165"/>
    <n v="1"/>
    <n v="1"/>
    <n v="0.11370888755489558"/>
    <n v="0.31667245900603458"/>
    <n v="0.19999368108432594"/>
    <n v="0.71830113471928203"/>
    <n v="0.1"/>
    <n v="0.30000000000000004"/>
    <n v="0.1"/>
    <n v="0.1"/>
    <n v="31651"/>
    <s v="Food Security and Livlihoods_x000a_Health "/>
    <n v="1"/>
    <s v=""/>
    <s v="Flagged"/>
    <s v=""/>
    <n v="22734.949214999997"/>
    <s v="WASH"/>
    <n v="0.71830113471928203"/>
    <n v="8916.0507850000031"/>
    <n v="0.39217377178557311"/>
    <s v="Flagged"/>
    <n v="12271.112084999999"/>
    <s v="Education"/>
    <n v="0.38770061246090165"/>
    <n v="19379.887914999999"/>
    <n v="1.5793098278916096"/>
    <s v="Flagged"/>
    <s v=""/>
    <s v=""/>
    <n v="31651"/>
    <m/>
    <m/>
    <n v="3"/>
    <s v="Flagged"/>
    <n v="31651"/>
    <m/>
    <x v="1"/>
    <x v="0"/>
    <n v="0"/>
    <n v="31651"/>
    <n v="0"/>
  </r>
  <r>
    <s v="Host CommunitySD03154"/>
    <x v="2"/>
    <x v="2"/>
    <x v="34"/>
    <x v="34"/>
    <m/>
    <m/>
    <x v="34"/>
    <x v="0"/>
    <n v="0"/>
    <n v="0"/>
    <n v="0"/>
    <n v="0"/>
    <n v="0"/>
    <n v="0"/>
    <n v="0"/>
    <n v="0"/>
    <n v="0"/>
    <n v="0"/>
    <n v="0"/>
    <n v="0"/>
    <e v="#DIV/0!"/>
    <e v="#DIV/0!"/>
    <e v="#DIV/0!"/>
    <e v="#DIV/0!"/>
    <e v="#DIV/0!"/>
    <e v="#DIV/0!"/>
    <e v="#DIV/0!"/>
    <e v="#DIV/0!"/>
    <s v=""/>
    <s v=""/>
    <s v=""/>
    <s v=""/>
    <n v="0"/>
    <s v="Site Management _x000a_Education_x000a_Food Security and Livlihoods_x000a_Health _x000a_Nutrition_x000a_Protection_x000a_Shelter NFI _x000a_WASH"/>
    <e v="#DIV/0!"/>
    <s v=""/>
    <s v=""/>
    <s v=""/>
    <s v="NA"/>
    <s v=""/>
    <s v=""/>
    <s v=""/>
    <s v=""/>
    <s v=""/>
    <n v="0"/>
    <s v="Site Management _x000a_Education_x000a_Food Security and Livlihoods_x000a_Health _x000a_Nutrition_x000a_Protection_x000a_Shelter NFI _x000a_WASH"/>
    <s v=""/>
    <n v="0"/>
    <s v=""/>
    <s v=""/>
    <s v=""/>
    <s v=""/>
    <n v="0"/>
    <m/>
    <m/>
    <n v="0"/>
    <s v=""/>
    <n v="0"/>
    <m/>
    <x v="1"/>
    <x v="2"/>
    <n v="0"/>
    <n v="0"/>
    <n v="0"/>
  </r>
  <r>
    <s v="Host CommunitySD03156"/>
    <x v="2"/>
    <x v="2"/>
    <x v="35"/>
    <x v="35"/>
    <m/>
    <m/>
    <x v="35"/>
    <x v="0"/>
    <n v="0"/>
    <n v="1919.115"/>
    <n v="4950"/>
    <n v="4950"/>
    <n v="592"/>
    <n v="1569"/>
    <n v="0"/>
    <n v="4683.6899999999996"/>
    <n v="545"/>
    <n v="1569"/>
    <n v="0"/>
    <n v="0"/>
    <n v="0"/>
    <n v="0.38769999999999999"/>
    <n v="1"/>
    <n v="1"/>
    <n v="0.1195959595959596"/>
    <n v="0.31696969696969696"/>
    <n v="0"/>
    <n v="0.94619999999999993"/>
    <n v="0.1"/>
    <n v="0.30000000000000004"/>
    <n v="0"/>
    <n v="0"/>
    <n v="4950"/>
    <s v="Food Security and Livlihoods_x000a_Health "/>
    <n v="1"/>
    <s v="Flagged"/>
    <s v="Flagged"/>
    <s v=""/>
    <n v="4683.6899999999996"/>
    <s v="WASH"/>
    <n v="0.94619999999999993"/>
    <n v="266.3100000000004"/>
    <n v="5.6859015007398102E-2"/>
    <s v=""/>
    <n v="1919.115"/>
    <s v="Education"/>
    <n v="0.38769999999999999"/>
    <n v="3030.8850000000002"/>
    <n v="1.5793139025019345"/>
    <s v="Flagged"/>
    <s v=""/>
    <s v=""/>
    <n v="4950"/>
    <m/>
    <m/>
    <n v="3"/>
    <s v="Flagged"/>
    <n v="4950"/>
    <m/>
    <x v="1"/>
    <x v="2"/>
    <n v="4950"/>
    <n v="0"/>
    <n v="0"/>
  </r>
  <r>
    <s v="Host CommunitySD03157"/>
    <x v="2"/>
    <x v="2"/>
    <x v="36"/>
    <x v="36"/>
    <m/>
    <m/>
    <x v="36"/>
    <x v="0"/>
    <n v="0"/>
    <n v="1446.8963999999999"/>
    <n v="3732"/>
    <n v="3732"/>
    <n v="415"/>
    <n v="1183"/>
    <n v="746"/>
    <n v="2797.8804"/>
    <n v="411"/>
    <n v="1183"/>
    <n v="373.20000000000005"/>
    <n v="373"/>
    <n v="0"/>
    <n v="0.38769999999999999"/>
    <n v="1"/>
    <n v="1"/>
    <n v="0.11120042872454448"/>
    <n v="0.31698821007502681"/>
    <n v="0.19989281886387997"/>
    <n v="0.74970000000000003"/>
    <n v="0.1"/>
    <n v="0.30000000000000004"/>
    <n v="0.1"/>
    <n v="0.1"/>
    <n v="3732"/>
    <s v="Food Security and Livlihoods_x000a_Health "/>
    <n v="1"/>
    <s v=""/>
    <s v="Flagged"/>
    <s v=""/>
    <n v="2797.8804"/>
    <s v="WASH"/>
    <n v="0.74970000000000003"/>
    <n v="934.11959999999999"/>
    <n v="0.33386688008536747"/>
    <s v="Flagged"/>
    <n v="1446.8963999999999"/>
    <s v="Education"/>
    <n v="0.38769999999999999"/>
    <n v="2285.1036000000004"/>
    <n v="1.5793139025019349"/>
    <s v="Flagged"/>
    <s v=""/>
    <s v=""/>
    <n v="3732"/>
    <m/>
    <m/>
    <n v="3"/>
    <s v="Flagged"/>
    <n v="3732"/>
    <m/>
    <x v="1"/>
    <x v="1"/>
    <n v="0"/>
    <n v="3358.8"/>
    <n v="373.20000000000005"/>
  </r>
  <r>
    <s v="Host CommunitySD03158"/>
    <x v="2"/>
    <x v="2"/>
    <x v="37"/>
    <x v="37"/>
    <m/>
    <m/>
    <x v="37"/>
    <x v="0"/>
    <n v="0"/>
    <n v="2694.5149999999999"/>
    <n v="6950"/>
    <n v="6950"/>
    <n v="430"/>
    <n v="2201"/>
    <n v="0"/>
    <n v="5708.73"/>
    <n v="765"/>
    <n v="2201"/>
    <n v="0"/>
    <n v="695"/>
    <n v="0"/>
    <n v="0.38769999999999999"/>
    <n v="1"/>
    <n v="1"/>
    <n v="6.1870503597122303E-2"/>
    <n v="0.31669064748201436"/>
    <n v="0"/>
    <n v="0.82139999999999991"/>
    <n v="0.1"/>
    <n v="0.30000000000000004"/>
    <n v="0"/>
    <n v="0.1"/>
    <n v="6950"/>
    <s v="Food Security and Livlihoods_x000a_Health "/>
    <n v="1"/>
    <s v="Flagged"/>
    <s v="Flagged"/>
    <s v=""/>
    <n v="5708.73"/>
    <s v="WASH"/>
    <n v="0.82139999999999991"/>
    <n v="1241.2700000000004"/>
    <n v="0.21743364986608238"/>
    <s v=""/>
    <n v="2694.5149999999999"/>
    <s v="Education"/>
    <n v="0.38769999999999999"/>
    <n v="4255.4850000000006"/>
    <n v="1.5793139025019347"/>
    <s v="Flagged"/>
    <s v=""/>
    <s v=""/>
    <n v="6950"/>
    <m/>
    <m/>
    <n v="3"/>
    <s v="Flagged"/>
    <n v="6950"/>
    <m/>
    <x v="1"/>
    <x v="0"/>
    <n v="0"/>
    <n v="6950"/>
    <n v="0"/>
  </r>
  <r>
    <s v="Host CommunitySD03159"/>
    <x v="2"/>
    <x v="2"/>
    <x v="38"/>
    <x v="38"/>
    <m/>
    <m/>
    <x v="38"/>
    <x v="0"/>
    <n v="0"/>
    <n v="4232.5208999999995"/>
    <n v="10917"/>
    <n v="10917"/>
    <n v="962"/>
    <n v="3457"/>
    <n v="0"/>
    <n v="10689.9264"/>
    <n v="1201"/>
    <n v="3457"/>
    <n v="1091.7"/>
    <n v="0"/>
    <n v="0"/>
    <n v="0.38769999999999993"/>
    <n v="1"/>
    <n v="1"/>
    <n v="8.8119446734450851E-2"/>
    <n v="0.31666208665384266"/>
    <n v="0"/>
    <n v="0.97920000000000007"/>
    <n v="0.1"/>
    <n v="0.30000000000000004"/>
    <n v="0.1"/>
    <n v="0"/>
    <n v="10917"/>
    <s v="Food Security and Livlihoods_x000a_Health "/>
    <n v="1"/>
    <s v="Flagged"/>
    <s v="Flagged"/>
    <s v=""/>
    <n v="10689.9264"/>
    <s v="WASH"/>
    <n v="0.97920000000000007"/>
    <n v="227.07359999999971"/>
    <n v="2.124183006535945E-2"/>
    <s v=""/>
    <n v="4232.5208999999995"/>
    <s v="Education"/>
    <n v="0.38769999999999993"/>
    <n v="6684.4791000000005"/>
    <n v="1.5793139025019347"/>
    <s v="Flagged"/>
    <s v=""/>
    <s v=""/>
    <n v="10917"/>
    <m/>
    <m/>
    <n v="3"/>
    <s v="Flagged"/>
    <n v="10917"/>
    <m/>
    <x v="1"/>
    <x v="0"/>
    <n v="0"/>
    <n v="10917"/>
    <n v="0"/>
  </r>
  <r>
    <s v="Host CommunitySD03161"/>
    <x v="2"/>
    <x v="2"/>
    <x v="39"/>
    <x v="39"/>
    <m/>
    <m/>
    <x v="39"/>
    <x v="0"/>
    <n v="0"/>
    <n v="16928.145099999998"/>
    <n v="43663"/>
    <n v="43663"/>
    <n v="4300"/>
    <n v="13825"/>
    <n v="8733"/>
    <n v="34742.649099999995"/>
    <n v="4803"/>
    <n v="13825"/>
    <n v="4366.3"/>
    <n v="4366"/>
    <n v="0"/>
    <n v="0.38769999999999993"/>
    <n v="1"/>
    <n v="1"/>
    <n v="9.8481551886036231E-2"/>
    <n v="0.31662964065684907"/>
    <n v="0.20000916107459404"/>
    <n v="0.79569999999999985"/>
    <n v="0.1"/>
    <n v="0.30000000000000004"/>
    <n v="0.1"/>
    <n v="0.1"/>
    <n v="43663"/>
    <s v="Food Security and Livlihoods_x000a_Health "/>
    <n v="1"/>
    <s v=""/>
    <s v="Flagged"/>
    <s v=""/>
    <n v="34742.649099999995"/>
    <s v="WASH"/>
    <n v="0.79569999999999985"/>
    <n v="8920.3509000000049"/>
    <n v="0.2567550584391104"/>
    <s v=""/>
    <n v="16928.145099999998"/>
    <s v="Education"/>
    <n v="0.38769999999999993"/>
    <n v="26734.854900000002"/>
    <n v="1.5793139025019347"/>
    <s v="Flagged"/>
    <s v=""/>
    <s v=""/>
    <n v="43663"/>
    <m/>
    <m/>
    <n v="2"/>
    <s v="Flagged"/>
    <n v="43663"/>
    <m/>
    <x v="1"/>
    <x v="0"/>
    <n v="0"/>
    <n v="43663"/>
    <n v="0"/>
  </r>
  <r>
    <s v="Host CommunitySD03162"/>
    <x v="2"/>
    <x v="2"/>
    <x v="40"/>
    <x v="40"/>
    <m/>
    <m/>
    <x v="40"/>
    <x v="0"/>
    <n v="0"/>
    <n v="6810.1637349999955"/>
    <n v="17565.549999999988"/>
    <n v="17565.549999999988"/>
    <n v="1589"/>
    <n v="8782.7749999999942"/>
    <n v="5270"/>
    <n v="8986.5353799999939"/>
    <n v="1932"/>
    <n v="5561"/>
    <n v="8782.7749999999942"/>
    <n v="1757"/>
    <n v="0"/>
    <n v="0.38769006802914696"/>
    <n v="0.99997438232949953"/>
    <n v="0.99997438232949953"/>
    <n v="9.0458840942730268E-2"/>
    <n v="0.49998719116474977"/>
    <n v="0.30001138563133328"/>
    <n v="0.51158689399977197"/>
    <n v="0.1"/>
    <n v="0.30000000000000004"/>
    <n v="0.5"/>
    <n v="0.1"/>
    <n v="17565.549999999988"/>
    <s v="Food Security and Livlihoods_x000a_Health "/>
    <n v="0.99997438232949953"/>
    <s v=""/>
    <s v="Flagged"/>
    <s v=""/>
    <n v="8986.5353799999939"/>
    <s v="WASH"/>
    <n v="0.51158689399977197"/>
    <n v="8579.0146199999945"/>
    <n v="0.95465207193119628"/>
    <s v="Flagged"/>
    <n v="8782.7749999999942"/>
    <s v="Protection"/>
    <n v="0.49998719116474977"/>
    <n v="8782.7749999999942"/>
    <n v="1"/>
    <s v="Flagged"/>
    <s v=""/>
    <s v=""/>
    <n v="17565.549999999988"/>
    <m/>
    <m/>
    <n v="3"/>
    <s v="Flagged"/>
    <n v="17566"/>
    <m/>
    <x v="1"/>
    <x v="0"/>
    <n v="0"/>
    <n v="17566"/>
    <n v="0"/>
  </r>
  <r>
    <s v="Host CommunitySD03164"/>
    <x v="2"/>
    <x v="2"/>
    <x v="41"/>
    <x v="41"/>
    <m/>
    <m/>
    <x v="41"/>
    <x v="0"/>
    <n v="0"/>
    <n v="117149.7582"/>
    <n v="302166"/>
    <n v="302166"/>
    <n v="43293"/>
    <n v="103652"/>
    <n v="90650"/>
    <n v="155041.37460000001"/>
    <n v="33238"/>
    <n v="103652"/>
    <n v="45324.9"/>
    <n v="30217"/>
    <n v="0"/>
    <n v="0.38769999999999999"/>
    <n v="1"/>
    <n v="1"/>
    <n v="0.14327555052520799"/>
    <n v="0.34302999013787122"/>
    <n v="0.30000066188783647"/>
    <n v="0.5131"/>
    <n v="0.1"/>
    <n v="0.35000000000000003"/>
    <n v="0.15000000000000002"/>
    <n v="0.1"/>
    <n v="302166"/>
    <s v="Food Security and Livlihoods_x000a_Health "/>
    <n v="1"/>
    <s v=""/>
    <s v="Flagged"/>
    <s v=""/>
    <n v="155041.37460000001"/>
    <s v="WASH"/>
    <n v="0.5131"/>
    <n v="147124.62539999999"/>
    <n v="0.94893782888325851"/>
    <s v="Flagged"/>
    <n v="117149.7582"/>
    <s v="Education"/>
    <n v="0.38769999999999999"/>
    <n v="185016.24180000002"/>
    <n v="1.5793139025019347"/>
    <s v="Flagged"/>
    <s v=""/>
    <s v=""/>
    <n v="302166"/>
    <m/>
    <m/>
    <n v="3"/>
    <s v="Flagged"/>
    <n v="302166"/>
    <m/>
    <x v="0"/>
    <x v="1"/>
    <n v="0"/>
    <n v="271949.40000000002"/>
    <n v="30216.600000000002"/>
  </r>
  <r>
    <s v="Host CommunitySD03166"/>
    <x v="2"/>
    <x v="2"/>
    <x v="42"/>
    <x v="42"/>
    <m/>
    <m/>
    <x v="42"/>
    <x v="0"/>
    <n v="0"/>
    <n v="4803.9907000000003"/>
    <n v="12391"/>
    <n v="12391"/>
    <n v="1060"/>
    <n v="3924"/>
    <n v="0"/>
    <n v="9288.2936000000009"/>
    <n v="1363"/>
    <n v="3924"/>
    <n v="1858.6499999999999"/>
    <n v="1239"/>
    <n v="0"/>
    <n v="0.38770000000000004"/>
    <n v="1"/>
    <n v="1"/>
    <n v="8.5545960777984015E-2"/>
    <n v="0.31668146235170691"/>
    <n v="0"/>
    <n v="0.74960000000000004"/>
    <n v="0.1"/>
    <n v="0.30000000000000004"/>
    <n v="0.15000000000000002"/>
    <n v="0.1"/>
    <n v="12391"/>
    <s v="Food Security and Livlihoods_x000a_Health "/>
    <n v="1"/>
    <s v="Flagged"/>
    <s v="Flagged"/>
    <s v=""/>
    <n v="9288.2936000000009"/>
    <s v="WASH"/>
    <n v="0.74960000000000004"/>
    <n v="3102.7063999999991"/>
    <n v="0.33404482390608314"/>
    <s v="Flagged"/>
    <n v="4803.9907000000003"/>
    <s v="Education"/>
    <n v="0.38770000000000004"/>
    <n v="7587.0092999999997"/>
    <n v="1.5793139025019343"/>
    <s v="Flagged"/>
    <s v=""/>
    <s v=""/>
    <n v="12391"/>
    <m/>
    <m/>
    <n v="4"/>
    <s v="Flagged"/>
    <n v="12391"/>
    <m/>
    <x v="1"/>
    <x v="0"/>
    <n v="0"/>
    <n v="12391"/>
    <n v="0"/>
  </r>
  <r>
    <s v="Host CommunitySD03167"/>
    <x v="2"/>
    <x v="2"/>
    <x v="43"/>
    <x v="43"/>
    <m/>
    <m/>
    <x v="43"/>
    <x v="0"/>
    <n v="0"/>
    <n v="50164.154070000004"/>
    <n v="129389"/>
    <n v="129389"/>
    <n v="19697"/>
    <n v="51755.640000000007"/>
    <n v="51756"/>
    <n v="33615.28818000001"/>
    <n v="14233"/>
    <n v="44384"/>
    <n v="51755.640000000007"/>
    <n v="12939"/>
    <n v="0"/>
    <n v="0.38770029963907293"/>
    <n v="1"/>
    <n v="1"/>
    <n v="0.15223086970298866"/>
    <n v="0.40000030914529061"/>
    <n v="0.40000309145290558"/>
    <n v="0.25980020078986632"/>
    <n v="0.1"/>
    <n v="0.35000000000000003"/>
    <n v="0.4"/>
    <n v="0.1"/>
    <n v="129389"/>
    <s v="Food Security and Livlihoods_x000a_Health "/>
    <n v="1"/>
    <s v=""/>
    <s v="Flagged"/>
    <s v=""/>
    <n v="51756"/>
    <s v="Shelter NFI "/>
    <n v="0.40000309145290558"/>
    <n v="77633"/>
    <n v="1.4999806785686685"/>
    <s v="Flagged"/>
    <n v="51755.640000000007"/>
    <s v="Protection"/>
    <n v="0.40000030914529061"/>
    <n v="77633.359999999986"/>
    <n v="1.4999980678434268"/>
    <s v="Flagged"/>
    <s v=""/>
    <s v=""/>
    <n v="129389"/>
    <m/>
    <m/>
    <n v="3"/>
    <s v="Flagged"/>
    <n v="129389"/>
    <m/>
    <x v="0"/>
    <x v="1"/>
    <n v="0"/>
    <n v="116450.1"/>
    <n v="12938.900000000001"/>
  </r>
  <r>
    <s v="Host CommunitySD03172"/>
    <x v="2"/>
    <x v="2"/>
    <x v="44"/>
    <x v="44"/>
    <m/>
    <m/>
    <x v="44"/>
    <x v="0"/>
    <n v="0"/>
    <n v="2804.2341000000001"/>
    <n v="7233"/>
    <n v="7233"/>
    <n v="937"/>
    <n v="2290"/>
    <n v="0"/>
    <n v="5307.5753999999997"/>
    <n v="796"/>
    <n v="2290"/>
    <n v="0"/>
    <n v="0"/>
    <n v="0"/>
    <n v="0.38770000000000004"/>
    <n v="1"/>
    <n v="1"/>
    <n v="0.12954514032904743"/>
    <n v="0.31660445181805613"/>
    <n v="0"/>
    <n v="0.73380000000000001"/>
    <n v="0.1"/>
    <n v="0.30000000000000004"/>
    <n v="0"/>
    <n v="0"/>
    <n v="7233"/>
    <s v="Food Security and Livlihoods_x000a_Health "/>
    <n v="1"/>
    <s v="Flagged"/>
    <s v="Flagged"/>
    <s v=""/>
    <n v="5307.5753999999997"/>
    <s v="WASH"/>
    <n v="0.73380000000000001"/>
    <n v="1925.4246000000003"/>
    <n v="0.36276914690651413"/>
    <s v="Flagged"/>
    <n v="2804.2341000000001"/>
    <s v="Education"/>
    <n v="0.38770000000000004"/>
    <n v="4428.7659000000003"/>
    <n v="1.5793139025019345"/>
    <s v="Flagged"/>
    <s v=""/>
    <s v=""/>
    <n v="7233"/>
    <m/>
    <m/>
    <n v="4"/>
    <s v="Flagged"/>
    <n v="7233"/>
    <m/>
    <x v="1"/>
    <x v="2"/>
    <n v="7233"/>
    <n v="0"/>
    <n v="0"/>
  </r>
  <r>
    <s v="Host CommunitySD04111"/>
    <x v="3"/>
    <x v="3"/>
    <x v="45"/>
    <x v="45"/>
    <m/>
    <m/>
    <x v="45"/>
    <x v="0"/>
    <n v="0"/>
    <n v="9943.7296000000006"/>
    <n v="25648"/>
    <n v="25648"/>
    <n v="1312"/>
    <n v="10259.200000000001"/>
    <n v="5130"/>
    <n v="16522.441600000002"/>
    <n v="2821"/>
    <n v="8798"/>
    <n v="10259.200000000001"/>
    <n v="2565"/>
    <n v="0"/>
    <n v="0.38770000000000004"/>
    <n v="1"/>
    <n v="1"/>
    <n v="5.1154086088583905E-2"/>
    <n v="0.4"/>
    <n v="0.20001559575795383"/>
    <n v="0.64420000000000011"/>
    <n v="0.1"/>
    <n v="0.35000000000000003"/>
    <n v="0.4"/>
    <n v="0.1"/>
    <n v="25648"/>
    <s v="Food Security and Livlihoods_x000a_Health "/>
    <n v="1"/>
    <s v=""/>
    <s v="Flagged"/>
    <s v=""/>
    <n v="16522.441600000002"/>
    <s v="WASH"/>
    <n v="0.64420000000000011"/>
    <n v="9125.5583999999981"/>
    <n v="0.55231294628997185"/>
    <s v="Flagged"/>
    <n v="10259.200000000001"/>
    <s v="Protection"/>
    <n v="0.4"/>
    <n v="15388.8"/>
    <n v="1.4999999999999998"/>
    <s v="Flagged"/>
    <s v=""/>
    <s v=""/>
    <n v="25648"/>
    <m/>
    <m/>
    <n v="3"/>
    <s v="Flagged"/>
    <n v="25648"/>
    <m/>
    <x v="0"/>
    <x v="0"/>
    <n v="0"/>
    <n v="25648"/>
    <n v="0"/>
  </r>
  <r>
    <s v="Host CommunitySD04115"/>
    <x v="3"/>
    <x v="3"/>
    <x v="46"/>
    <x v="46"/>
    <m/>
    <m/>
    <x v="46"/>
    <x v="0"/>
    <n v="0"/>
    <n v="6382.6236830000025"/>
    <n v="16462.790000000008"/>
    <n v="16462.790000000008"/>
    <n v="1507"/>
    <n v="11523.953000000005"/>
    <n v="3293"/>
    <n v="8015.7324510000035"/>
    <n v="1811"/>
    <n v="5647"/>
    <n v="11523.953000000005"/>
    <n v="1646"/>
    <n v="0"/>
    <n v="0.38769505454655911"/>
    <n v="0.99998724412318585"/>
    <n v="0.99998724412318585"/>
    <n v="9.153860171293203E-2"/>
    <n v="0.69999107088623003"/>
    <n v="0.20002429690821844"/>
    <n v="0.48689378916357917"/>
    <n v="0.1"/>
    <n v="0.35000000000000003"/>
    <n v="0.70000000000000007"/>
    <n v="0.1"/>
    <n v="16462.790000000008"/>
    <s v="Food Security and Livlihoods_x000a_Health "/>
    <n v="0.99998724412318585"/>
    <s v=""/>
    <s v="Flagged"/>
    <s v=""/>
    <n v="11523.953000000005"/>
    <s v="Protection"/>
    <n v="0.69999107088623003"/>
    <n v="4938.8370000000032"/>
    <n v="0.42857142857142866"/>
    <s v="Flagged"/>
    <n v="8015.7324510000035"/>
    <s v="WASH"/>
    <n v="0.48689378916357917"/>
    <n v="8447.0575490000047"/>
    <n v="1.0538098172109265"/>
    <s v="Flagged"/>
    <s v=""/>
    <s v=""/>
    <n v="16462.790000000008"/>
    <m/>
    <m/>
    <n v="3"/>
    <s v="Flagged"/>
    <n v="16463"/>
    <m/>
    <x v="1"/>
    <x v="0"/>
    <n v="0"/>
    <n v="16463"/>
    <n v="0"/>
  </r>
  <r>
    <s v="Host CommunitySD04121"/>
    <x v="3"/>
    <x v="3"/>
    <x v="47"/>
    <x v="47"/>
    <m/>
    <m/>
    <x v="47"/>
    <x v="0"/>
    <n v="0"/>
    <n v="3027.9369999999999"/>
    <n v="7810"/>
    <n v="7810"/>
    <n v="589"/>
    <n v="2680"/>
    <n v="1562"/>
    <n v="7563.9849999999997"/>
    <n v="859"/>
    <n v="2680"/>
    <n v="781"/>
    <n v="781"/>
    <n v="0"/>
    <n v="0.38769999999999999"/>
    <n v="1"/>
    <n v="1"/>
    <n v="7.5416133162612031E-2"/>
    <n v="0.34314980793854033"/>
    <n v="0.2"/>
    <n v="0.96849999999999992"/>
    <n v="0.1"/>
    <n v="0.35000000000000003"/>
    <n v="0.1"/>
    <n v="0.1"/>
    <n v="7810"/>
    <s v="Food Security and Livlihoods_x000a_Health "/>
    <n v="1"/>
    <s v=""/>
    <s v="Flagged"/>
    <s v=""/>
    <n v="7563.9849999999997"/>
    <s v="WASH"/>
    <n v="0.96849999999999992"/>
    <n v="246.01500000000033"/>
    <n v="3.252452245740841E-2"/>
    <s v=""/>
    <n v="3027.9369999999999"/>
    <s v="Education"/>
    <n v="0.38769999999999999"/>
    <n v="4782.0630000000001"/>
    <n v="1.5793139025019345"/>
    <s v="Flagged"/>
    <s v=""/>
    <s v=""/>
    <n v="7810"/>
    <m/>
    <m/>
    <n v="2"/>
    <s v="Flagged"/>
    <n v="7810"/>
    <m/>
    <x v="0"/>
    <x v="1"/>
    <n v="0"/>
    <n v="7029"/>
    <n v="781"/>
  </r>
  <r>
    <s v="Host CommunitySD04122"/>
    <x v="3"/>
    <x v="3"/>
    <x v="48"/>
    <x v="48"/>
    <m/>
    <m/>
    <x v="48"/>
    <x v="0"/>
    <n v="0"/>
    <n v="15749.1494"/>
    <n v="40622"/>
    <n v="40622"/>
    <n v="2178"/>
    <n v="16248.800000000001"/>
    <n v="8124"/>
    <n v="39496.770600000003"/>
    <n v="4468"/>
    <n v="12863"/>
    <n v="16248.800000000001"/>
    <n v="4062"/>
    <n v="0"/>
    <n v="0.38769999999999999"/>
    <n v="1"/>
    <n v="1"/>
    <n v="5.3616267047412729E-2"/>
    <n v="0.4"/>
    <n v="0.19999015311899956"/>
    <n v="0.97230000000000005"/>
    <n v="0.1"/>
    <n v="0.30000000000000004"/>
    <n v="0.4"/>
    <n v="0.1"/>
    <n v="40622"/>
    <s v="Food Security and Livlihoods_x000a_Health "/>
    <n v="1"/>
    <s v=""/>
    <s v="Flagged"/>
    <s v=""/>
    <n v="39496.770600000003"/>
    <s v="WASH"/>
    <n v="0.97230000000000005"/>
    <n v="1125.2293999999965"/>
    <n v="2.8489149439473324E-2"/>
    <s v=""/>
    <n v="16248.800000000001"/>
    <s v="Protection"/>
    <n v="0.4"/>
    <n v="24373.199999999997"/>
    <n v="1.4999999999999998"/>
    <s v="Flagged"/>
    <s v=""/>
    <s v=""/>
    <n v="40622"/>
    <m/>
    <m/>
    <n v="2"/>
    <s v="Flagged"/>
    <n v="40622"/>
    <m/>
    <x v="0"/>
    <x v="0"/>
    <n v="0"/>
    <n v="40622"/>
    <n v="0"/>
  </r>
  <r>
    <s v="Host CommunitySD04123"/>
    <x v="3"/>
    <x v="3"/>
    <x v="49"/>
    <x v="49"/>
    <m/>
    <m/>
    <x v="49"/>
    <x v="0"/>
    <n v="0"/>
    <n v="4176.4207099999994"/>
    <n v="10772"/>
    <n v="10772"/>
    <n v="511"/>
    <n v="5386.15"/>
    <n v="2154"/>
    <n v="10531.000480000001"/>
    <n v="1185"/>
    <n v="3410"/>
    <n v="5386.15"/>
    <n v="1077"/>
    <n v="0"/>
    <n v="0.38771079743780168"/>
    <n v="1"/>
    <n v="1"/>
    <n v="4.7437801708132193E-2"/>
    <n v="0.50001392499071662"/>
    <n v="0.19996286669142221"/>
    <n v="0.97762722614184927"/>
    <n v="0.1"/>
    <n v="0.30000000000000004"/>
    <n v="0.5"/>
    <n v="0.1"/>
    <n v="10772"/>
    <s v="Food Security and Livlihoods_x000a_Health "/>
    <n v="1"/>
    <s v=""/>
    <s v="Flagged"/>
    <s v=""/>
    <n v="10531.000480000001"/>
    <s v="WASH"/>
    <n v="0.97762722614184927"/>
    <n v="240.99951999999939"/>
    <n v="2.2884769633967329E-2"/>
    <s v=""/>
    <n v="5386.15"/>
    <s v="Protection"/>
    <n v="0.50001392499071662"/>
    <n v="5385.85"/>
    <n v="0.99994430158833314"/>
    <s v="Flagged"/>
    <s v=""/>
    <s v=""/>
    <n v="10772"/>
    <m/>
    <m/>
    <n v="2"/>
    <s v="Flagged"/>
    <n v="10772"/>
    <m/>
    <x v="0"/>
    <x v="0"/>
    <n v="0"/>
    <n v="10772"/>
    <n v="0"/>
  </r>
  <r>
    <s v="Host CommunitySD04125"/>
    <x v="3"/>
    <x v="3"/>
    <x v="50"/>
    <x v="50"/>
    <m/>
    <m/>
    <x v="50"/>
    <x v="0"/>
    <n v="0"/>
    <n v="14889.03695"/>
    <n v="38403.5"/>
    <n v="38403.5"/>
    <n v="2461"/>
    <n v="12161"/>
    <n v="7681"/>
    <n v="13886.705599999998"/>
    <n v="4224"/>
    <n v="12161"/>
    <n v="3840.3500000000004"/>
    <n v="3840"/>
    <n v="0"/>
    <n v="0.38769495234871365"/>
    <n v="0.99998698052286217"/>
    <n v="0.99998698052286217"/>
    <n v="6.4081866472242469E-2"/>
    <n v="0.31665972294552652"/>
    <n v="0.20000520779085512"/>
    <n v="0.36159529215706693"/>
    <n v="0.1"/>
    <n v="0.30000000000000004"/>
    <n v="0.1"/>
    <n v="0.1"/>
    <n v="38403.5"/>
    <s v="Food Security and Livlihoods_x000a_Health "/>
    <n v="0.99998698052286217"/>
    <s v=""/>
    <s v="Flagged"/>
    <s v=""/>
    <n v="14889.03695"/>
    <s v="Education"/>
    <n v="0.38769495234871365"/>
    <n v="23514.463049999998"/>
    <n v="1.5793139025019345"/>
    <s v="Flagged"/>
    <n v="13886.705599999998"/>
    <s v="WASH"/>
    <n v="0.36159529215706693"/>
    <n v="24516.794400000002"/>
    <n v="1.7654867256637172"/>
    <s v="Flagged"/>
    <s v=""/>
    <s v=""/>
    <n v="38403.5"/>
    <m/>
    <m/>
    <n v="3"/>
    <s v="Flagged"/>
    <n v="38404"/>
    <m/>
    <x v="0"/>
    <x v="0"/>
    <n v="0"/>
    <n v="38404"/>
    <n v="0"/>
  </r>
  <r>
    <s v="Host CommunitySD04127"/>
    <x v="3"/>
    <x v="3"/>
    <x v="51"/>
    <x v="51"/>
    <m/>
    <m/>
    <x v="51"/>
    <x v="0"/>
    <n v="0"/>
    <n v="6684.316315"/>
    <n v="17240.95"/>
    <n v="17240.95"/>
    <n v="2311"/>
    <n v="5458"/>
    <n v="3448"/>
    <n v="14149.647664999999"/>
    <n v="1897"/>
    <n v="5458"/>
    <n v="0"/>
    <n v="0"/>
    <n v="0"/>
    <n v="0.38769887564526417"/>
    <n v="0.99999709993619867"/>
    <n v="0.99999709993619867"/>
    <n v="0.13404094890087581"/>
    <n v="0.31657096456122036"/>
    <n v="0.19998839974479438"/>
    <n v="0.82069761991763812"/>
    <n v="0.1"/>
    <n v="0.30000000000000004"/>
    <n v="0"/>
    <n v="0"/>
    <n v="17240.95"/>
    <s v="Food Security and Livlihoods_x000a_Health "/>
    <n v="0.99999709993619867"/>
    <s v=""/>
    <s v="Flagged"/>
    <s v=""/>
    <n v="14149.647664999999"/>
    <s v="WASH"/>
    <n v="0.82069761991763812"/>
    <n v="3091.3023350000021"/>
    <n v="0.21847203606677243"/>
    <s v=""/>
    <n v="6684.316315"/>
    <s v="Education"/>
    <n v="0.38769887564526417"/>
    <n v="10556.633685000001"/>
    <n v="1.5793139025019345"/>
    <s v="Flagged"/>
    <s v=""/>
    <s v=""/>
    <n v="17240.95"/>
    <m/>
    <m/>
    <n v="2"/>
    <s v="Flagged"/>
    <n v="17241"/>
    <m/>
    <x v="0"/>
    <x v="0"/>
    <n v="0"/>
    <n v="17241"/>
    <n v="0"/>
  </r>
  <r>
    <s v="Host CommunitySD04134"/>
    <x v="3"/>
    <x v="3"/>
    <x v="52"/>
    <x v="52"/>
    <m/>
    <m/>
    <x v="52"/>
    <x v="0"/>
    <n v="0"/>
    <n v="1381.7628"/>
    <n v="3564"/>
    <n v="3564"/>
    <n v="244"/>
    <n v="1425.6000000000001"/>
    <n v="713"/>
    <n v="2319.4512"/>
    <n v="392"/>
    <n v="1128"/>
    <n v="1425.6000000000001"/>
    <n v="356"/>
    <n v="0"/>
    <n v="0.38769999999999999"/>
    <n v="1"/>
    <n v="1"/>
    <n v="6.8462401795735123E-2"/>
    <n v="0.4"/>
    <n v="0.20005611672278339"/>
    <n v="0.65080000000000005"/>
    <n v="0.1"/>
    <n v="0.30000000000000004"/>
    <n v="0.4"/>
    <n v="0.1"/>
    <n v="3564"/>
    <s v="Food Security and Livlihoods_x000a_Health "/>
    <n v="1"/>
    <s v=""/>
    <s v="Flagged"/>
    <s v=""/>
    <n v="2319.4512"/>
    <s v="WASH"/>
    <n v="0.65080000000000005"/>
    <n v="1244.5488"/>
    <n v="0.5365703749231715"/>
    <s v="Flagged"/>
    <n v="1425.6000000000001"/>
    <s v="Protection"/>
    <n v="0.4"/>
    <n v="2138.3999999999996"/>
    <n v="1.4999999999999996"/>
    <s v="Flagged"/>
    <s v=""/>
    <s v=""/>
    <n v="3564"/>
    <m/>
    <m/>
    <n v="3"/>
    <s v="Flagged"/>
    <n v="3564"/>
    <m/>
    <x v="0"/>
    <x v="0"/>
    <n v="0"/>
    <n v="3564"/>
    <n v="0"/>
  </r>
  <r>
    <s v="Host CommunitySD05139"/>
    <x v="4"/>
    <x v="4"/>
    <x v="53"/>
    <x v="53"/>
    <m/>
    <m/>
    <x v="53"/>
    <x v="0"/>
    <n v="0"/>
    <n v="20898.1931"/>
    <n v="53903"/>
    <n v="53903"/>
    <n v="8459"/>
    <n v="17068"/>
    <n v="16171"/>
    <n v="29781.407500000001"/>
    <n v="5929"/>
    <n v="17068"/>
    <n v="5390.3"/>
    <n v="5390"/>
    <n v="0"/>
    <n v="0.38769999999999999"/>
    <n v="1"/>
    <n v="1"/>
    <n v="0.15693004099957331"/>
    <n v="0.31664285846798879"/>
    <n v="0.30000185518431255"/>
    <n v="0.55249999999999999"/>
    <n v="0.1"/>
    <n v="0.30000000000000004"/>
    <n v="0.1"/>
    <n v="0.1"/>
    <n v="53903"/>
    <s v="Food Security and Livlihoods_x000a_Health "/>
    <n v="1"/>
    <s v=""/>
    <s v="Flagged"/>
    <s v=""/>
    <n v="29781.407500000001"/>
    <s v="WASH"/>
    <n v="0.55249999999999999"/>
    <n v="24121.592499999999"/>
    <n v="0.80995475113122162"/>
    <s v="Flagged"/>
    <n v="20898.1931"/>
    <s v="Education"/>
    <n v="0.38769999999999999"/>
    <n v="33004.806899999996"/>
    <n v="1.5793139025019343"/>
    <s v="Flagged"/>
    <s v=""/>
    <s v=""/>
    <n v="53903"/>
    <m/>
    <m/>
    <n v="3"/>
    <s v="Flagged"/>
    <n v="53903"/>
    <m/>
    <x v="1"/>
    <x v="0"/>
    <n v="0"/>
    <n v="53903"/>
    <n v="0"/>
  </r>
  <r>
    <s v="Host CommunitySD05140"/>
    <x v="4"/>
    <x v="4"/>
    <x v="54"/>
    <x v="54"/>
    <m/>
    <m/>
    <x v="54"/>
    <x v="0"/>
    <n v="0"/>
    <n v="19284.5857"/>
    <n v="49741"/>
    <n v="49741"/>
    <n v="4798"/>
    <n v="15750"/>
    <n v="9948"/>
    <n v="49119.237500000003"/>
    <n v="5472"/>
    <n v="15750"/>
    <n v="0"/>
    <n v="4974"/>
    <n v="0"/>
    <n v="0.38769999999999999"/>
    <n v="1"/>
    <n v="1"/>
    <n v="9.6459661044209E-2"/>
    <n v="0.31664019621640094"/>
    <n v="0.19999597917211154"/>
    <n v="0.98750000000000004"/>
    <n v="0.1"/>
    <n v="0.30000000000000004"/>
    <n v="0"/>
    <n v="0.1"/>
    <n v="49741"/>
    <s v="Food Security and Livlihoods_x000a_Health "/>
    <n v="1"/>
    <s v=""/>
    <s v="Flagged"/>
    <s v=""/>
    <n v="49119.237500000003"/>
    <s v="WASH"/>
    <n v="0.98750000000000004"/>
    <n v="621.76249999999709"/>
    <n v="1.2658227848101207E-2"/>
    <s v=""/>
    <n v="19284.5857"/>
    <s v="Education"/>
    <n v="0.38769999999999999"/>
    <n v="30456.4143"/>
    <n v="1.5793139025019345"/>
    <s v="Flagged"/>
    <s v=""/>
    <s v=""/>
    <n v="49741"/>
    <m/>
    <m/>
    <n v="2"/>
    <s v="Flagged"/>
    <n v="49741"/>
    <m/>
    <x v="1"/>
    <x v="2"/>
    <n v="49741"/>
    <n v="0"/>
    <n v="0"/>
  </r>
  <r>
    <s v="Host CommunitySD05142"/>
    <x v="4"/>
    <x v="4"/>
    <x v="55"/>
    <x v="55"/>
    <m/>
    <m/>
    <x v="55"/>
    <x v="0"/>
    <n v="0"/>
    <n v="34392.479299999999"/>
    <n v="88709"/>
    <n v="88709"/>
    <n v="10220"/>
    <n v="28090"/>
    <n v="26613"/>
    <n v="41435.973900000005"/>
    <n v="9758"/>
    <n v="28090"/>
    <n v="8870.9"/>
    <n v="8871"/>
    <n v="0"/>
    <n v="0.38769999999999999"/>
    <n v="1"/>
    <n v="1"/>
    <n v="0.11520815249861908"/>
    <n v="0.31665332717086203"/>
    <n v="0.30000338184400682"/>
    <n v="0.46710000000000007"/>
    <n v="0.1"/>
    <n v="0.30000000000000004"/>
    <n v="0.1"/>
    <n v="0.1"/>
    <n v="88709"/>
    <s v="Food Security and Livlihoods_x000a_Health "/>
    <n v="1"/>
    <s v=""/>
    <s v="Flagged"/>
    <s v=""/>
    <n v="41435.973900000005"/>
    <s v="WASH"/>
    <n v="0.46710000000000007"/>
    <n v="47273.026099999995"/>
    <n v="1.140869192892314"/>
    <s v="Flagged"/>
    <n v="34392.479299999999"/>
    <s v="Education"/>
    <n v="0.38769999999999999"/>
    <n v="54316.520700000001"/>
    <n v="1.5793139025019345"/>
    <s v="Flagged"/>
    <s v=""/>
    <s v=""/>
    <n v="88709"/>
    <m/>
    <m/>
    <n v="3"/>
    <s v="Flagged"/>
    <n v="88709"/>
    <m/>
    <x v="1"/>
    <x v="0"/>
    <n v="0"/>
    <n v="88709"/>
    <n v="0"/>
  </r>
  <r>
    <s v="Host CommunitySD05148"/>
    <x v="4"/>
    <x v="4"/>
    <x v="56"/>
    <x v="56"/>
    <m/>
    <m/>
    <x v="56"/>
    <x v="0"/>
    <n v="0"/>
    <n v="1563.2064"/>
    <n v="4032"/>
    <n v="4032"/>
    <n v="1133"/>
    <n v="1277"/>
    <n v="806"/>
    <n v="3960.2303999999999"/>
    <n v="444"/>
    <n v="1277"/>
    <n v="604.79999999999995"/>
    <n v="403"/>
    <n v="0"/>
    <n v="0.38769999999999999"/>
    <n v="1"/>
    <n v="1"/>
    <n v="0.28100198412698413"/>
    <n v="0.31671626984126983"/>
    <n v="0.19990079365079366"/>
    <n v="0.98219999999999996"/>
    <n v="0.1"/>
    <n v="0.30000000000000004"/>
    <n v="0.15000000000000002"/>
    <n v="0.1"/>
    <n v="4032"/>
    <s v="Food Security and Livlihoods_x000a_Health "/>
    <n v="1"/>
    <s v=""/>
    <s v="Flagged"/>
    <s v=""/>
    <n v="3960.2303999999999"/>
    <s v="WASH"/>
    <n v="0.98219999999999996"/>
    <n v="71.769600000000082"/>
    <n v="1.8122581958867869E-2"/>
    <s v=""/>
    <n v="1563.2064"/>
    <s v="Education"/>
    <n v="0.38769999999999999"/>
    <n v="2468.7936"/>
    <n v="1.5793139025019345"/>
    <s v="Flagged"/>
    <s v=""/>
    <s v=""/>
    <n v="4032"/>
    <m/>
    <m/>
    <n v="2"/>
    <s v="Flagged"/>
    <n v="4032"/>
    <m/>
    <x v="1"/>
    <x v="0"/>
    <n v="0"/>
    <n v="4032"/>
    <n v="0"/>
  </r>
  <r>
    <s v="Host CommunitySD05152"/>
    <x v="4"/>
    <x v="4"/>
    <x v="57"/>
    <x v="57"/>
    <m/>
    <m/>
    <x v="57"/>
    <x v="0"/>
    <n v="0"/>
    <n v="3077.1749"/>
    <n v="7937"/>
    <n v="7937"/>
    <n v="823"/>
    <n v="2514"/>
    <n v="2381"/>
    <n v="7638.5687999999991"/>
    <n v="873"/>
    <n v="2514"/>
    <n v="0"/>
    <n v="794"/>
    <n v="0"/>
    <n v="0.38769999999999999"/>
    <n v="1"/>
    <n v="1"/>
    <n v="0.10369157112259041"/>
    <n v="0.31674436184956534"/>
    <n v="0.29998740078115155"/>
    <n v="0.96239999999999992"/>
    <n v="0.1"/>
    <n v="0.30000000000000004"/>
    <n v="0"/>
    <n v="0.1"/>
    <n v="7937"/>
    <s v="Food Security and Livlihoods_x000a_Health "/>
    <n v="1"/>
    <s v=""/>
    <s v="Flagged"/>
    <s v=""/>
    <n v="7638.5687999999991"/>
    <s v="WASH"/>
    <n v="0.96239999999999992"/>
    <n v="298.4312000000009"/>
    <n v="3.9068994181213755E-2"/>
    <s v=""/>
    <n v="3077.1749"/>
    <s v="Education"/>
    <n v="0.38769999999999999"/>
    <n v="4859.8251"/>
    <n v="1.5793139025019345"/>
    <s v="Flagged"/>
    <s v=""/>
    <s v=""/>
    <n v="7937"/>
    <m/>
    <m/>
    <n v="2"/>
    <s v="Flagged"/>
    <n v="7937"/>
    <m/>
    <x v="1"/>
    <x v="0"/>
    <n v="0"/>
    <n v="7937"/>
    <n v="0"/>
  </r>
  <r>
    <s v="Host CommunitySD05155"/>
    <x v="4"/>
    <x v="4"/>
    <x v="58"/>
    <x v="58"/>
    <m/>
    <m/>
    <x v="58"/>
    <x v="0"/>
    <n v="0"/>
    <n v="14208.817299999999"/>
    <n v="36649"/>
    <n v="36649"/>
    <n v="4819"/>
    <n v="11603"/>
    <n v="7330"/>
    <n v="28472.608100000001"/>
    <n v="4031"/>
    <n v="11603"/>
    <n v="0"/>
    <n v="3665"/>
    <n v="0"/>
    <n v="0.38769999999999999"/>
    <n v="1"/>
    <n v="1"/>
    <n v="0.13149062730224562"/>
    <n v="0.31659799721684084"/>
    <n v="0.2000054571748206"/>
    <n v="0.77690000000000003"/>
    <n v="0.1"/>
    <n v="0.30000000000000004"/>
    <n v="0"/>
    <n v="0.1"/>
    <n v="36649"/>
    <s v="Food Security and Livlihoods_x000a_Health "/>
    <n v="1"/>
    <s v=""/>
    <s v="Flagged"/>
    <s v=""/>
    <n v="28472.608100000001"/>
    <s v="WASH"/>
    <n v="0.77690000000000003"/>
    <n v="8176.3918999999987"/>
    <n v="0.28716694555283817"/>
    <s v=""/>
    <n v="14208.817299999999"/>
    <s v="Education"/>
    <n v="0.38769999999999999"/>
    <n v="22440.182700000001"/>
    <n v="1.5793139025019347"/>
    <s v="Flagged"/>
    <s v=""/>
    <s v=""/>
    <n v="36649"/>
    <m/>
    <m/>
    <n v="2"/>
    <s v="Flagged"/>
    <n v="36649"/>
    <m/>
    <x v="1"/>
    <x v="2"/>
    <n v="36649"/>
    <n v="0"/>
    <n v="0"/>
  </r>
  <r>
    <s v="Host CommunitySD05160"/>
    <x v="4"/>
    <x v="4"/>
    <x v="59"/>
    <x v="59"/>
    <m/>
    <m/>
    <x v="59"/>
    <x v="0"/>
    <n v="0"/>
    <n v="32866.879800000002"/>
    <n v="84774"/>
    <n v="84774"/>
    <n v="13276"/>
    <n v="26843"/>
    <n v="25432"/>
    <n v="79136.528999999995"/>
    <n v="9325"/>
    <n v="26843"/>
    <n v="8477.4"/>
    <n v="8477"/>
    <n v="0"/>
    <n v="0.38770000000000004"/>
    <n v="1"/>
    <n v="1"/>
    <n v="0.15660461934083564"/>
    <n v="0.31664189492061245"/>
    <n v="0.29999764078609009"/>
    <n v="0.9335"/>
    <n v="0.1"/>
    <n v="0.30000000000000004"/>
    <n v="0.1"/>
    <n v="0.1"/>
    <n v="84774"/>
    <s v="Food Security and Livlihoods_x000a_Health "/>
    <n v="1"/>
    <s v=""/>
    <s v="Flagged"/>
    <s v=""/>
    <n v="79136.528999999995"/>
    <s v="WASH"/>
    <n v="0.9335"/>
    <n v="5637.471000000005"/>
    <n v="7.1237279057311267E-2"/>
    <s v=""/>
    <n v="32866.879800000002"/>
    <s v="Education"/>
    <n v="0.38770000000000004"/>
    <n v="51907.120199999998"/>
    <n v="1.5793139025019343"/>
    <s v="Flagged"/>
    <s v=""/>
    <s v=""/>
    <n v="84774"/>
    <m/>
    <m/>
    <n v="2"/>
    <s v="Flagged"/>
    <n v="84774"/>
    <m/>
    <x v="1"/>
    <x v="0"/>
    <n v="0"/>
    <n v="84774"/>
    <n v="0"/>
  </r>
  <r>
    <s v="Host CommunitySD05163"/>
    <x v="4"/>
    <x v="4"/>
    <x v="60"/>
    <x v="60"/>
    <m/>
    <m/>
    <x v="60"/>
    <x v="0"/>
    <n v="0"/>
    <n v="6348.9751999999999"/>
    <n v="16376"/>
    <n v="16376"/>
    <n v="1923"/>
    <n v="5185"/>
    <n v="3275"/>
    <n v="16292.482399999997"/>
    <n v="1801"/>
    <n v="5185"/>
    <n v="0"/>
    <n v="1638"/>
    <n v="0"/>
    <n v="0.38769999999999999"/>
    <n v="1"/>
    <n v="1"/>
    <n v="0.11742794333170493"/>
    <n v="0.31662188568637029"/>
    <n v="0.19998778700537373"/>
    <n v="0.99489999999999978"/>
    <n v="0.1"/>
    <n v="0.30000000000000004"/>
    <n v="0"/>
    <n v="0.1"/>
    <n v="16376"/>
    <s v="Food Security and Livlihoods_x000a_Health "/>
    <n v="1"/>
    <s v=""/>
    <s v="Flagged"/>
    <s v=""/>
    <n v="16292.482399999997"/>
    <s v="WASH"/>
    <n v="0.99489999999999978"/>
    <n v="83.517600000002858"/>
    <n v="5.1261433309882157E-3"/>
    <s v=""/>
    <n v="6348.9751999999999"/>
    <s v="Education"/>
    <n v="0.38769999999999999"/>
    <n v="10027.024799999999"/>
    <n v="1.5793139025019345"/>
    <s v="Flagged"/>
    <s v=""/>
    <s v=""/>
    <n v="16376"/>
    <m/>
    <m/>
    <n v="2"/>
    <s v="Flagged"/>
    <n v="16376"/>
    <m/>
    <x v="1"/>
    <x v="0"/>
    <n v="0"/>
    <n v="16376"/>
    <n v="0"/>
  </r>
  <r>
    <s v="Host CommunitySD05165"/>
    <x v="4"/>
    <x v="4"/>
    <x v="61"/>
    <x v="61"/>
    <m/>
    <m/>
    <x v="61"/>
    <x v="0"/>
    <n v="0"/>
    <n v="1691.4963299999997"/>
    <n v="4362.8999999999996"/>
    <n v="4362.8999999999996"/>
    <n v="622"/>
    <n v="1381"/>
    <n v="873"/>
    <n v="4170.0598199999995"/>
    <n v="480"/>
    <n v="1381"/>
    <n v="436.28999999999996"/>
    <n v="436"/>
    <n v="0"/>
    <n v="0.38769111391244548"/>
    <n v="0.99997707999083196"/>
    <n v="0.99997707999083196"/>
    <n v="0.1425624570249828"/>
    <n v="0.31652532661013066"/>
    <n v="0.20009168003667202"/>
    <n v="0.95577809305523709"/>
    <n v="0.1"/>
    <n v="0.30000000000000004"/>
    <n v="0.1"/>
    <n v="0.1"/>
    <n v="4362.8999999999996"/>
    <s v="Food Security and Livlihoods_x000a_Health "/>
    <n v="0.99997707999083196"/>
    <s v=""/>
    <s v="Flagged"/>
    <s v=""/>
    <n v="4170.0598199999995"/>
    <s v="WASH"/>
    <n v="0.95577809305523709"/>
    <n v="192.84018000000015"/>
    <n v="4.6243984097091483E-2"/>
    <s v=""/>
    <n v="1691.4963299999997"/>
    <s v="Education"/>
    <n v="0.38769111391244548"/>
    <n v="2671.4036699999997"/>
    <n v="1.5793139025019345"/>
    <s v="Flagged"/>
    <s v=""/>
    <s v=""/>
    <n v="4362.8999999999996"/>
    <m/>
    <m/>
    <n v="2"/>
    <s v="Flagged"/>
    <n v="4363"/>
    <m/>
    <x v="1"/>
    <x v="0"/>
    <n v="0"/>
    <n v="4363"/>
    <n v="0"/>
  </r>
  <r>
    <s v="Host CommunitySD06110"/>
    <x v="5"/>
    <x v="5"/>
    <x v="62"/>
    <x v="62"/>
    <m/>
    <m/>
    <x v="62"/>
    <x v="0"/>
    <n v="0"/>
    <n v="27046.3397"/>
    <n v="69761"/>
    <n v="69761"/>
    <n v="7856"/>
    <n v="22090"/>
    <n v="13952"/>
    <n v="59394.515400000004"/>
    <n v="7674"/>
    <n v="22090"/>
    <n v="6976.1"/>
    <n v="6976"/>
    <n v="0"/>
    <n v="0.38769999999999999"/>
    <n v="1"/>
    <n v="1"/>
    <n v="0.11261306460629865"/>
    <n v="0.31665257092071503"/>
    <n v="0.19999713306861999"/>
    <n v="0.85140000000000005"/>
    <n v="0.1"/>
    <n v="0.30000000000000004"/>
    <n v="0.1"/>
    <n v="0.1"/>
    <n v="69761"/>
    <s v="Food Security and Livlihoods_x000a_Health "/>
    <n v="1"/>
    <s v=""/>
    <s v="Flagged"/>
    <s v=""/>
    <n v="59394.515400000004"/>
    <s v="WASH"/>
    <n v="0.85140000000000005"/>
    <n v="10366.484599999996"/>
    <n v="0.17453605825698842"/>
    <s v=""/>
    <n v="27046.3397"/>
    <s v="Education"/>
    <n v="0.38769999999999999"/>
    <n v="42714.660300000003"/>
    <n v="1.5793139025019345"/>
    <s v="Flagged"/>
    <s v=""/>
    <s v=""/>
    <n v="69761"/>
    <m/>
    <m/>
    <n v="2"/>
    <s v="Flagged"/>
    <n v="69761"/>
    <m/>
    <x v="1"/>
    <x v="0"/>
    <n v="0"/>
    <n v="69761"/>
    <n v="0"/>
  </r>
  <r>
    <s v="Host CommunitySD06112"/>
    <x v="5"/>
    <x v="5"/>
    <x v="63"/>
    <x v="63"/>
    <m/>
    <m/>
    <x v="63"/>
    <x v="0"/>
    <n v="0"/>
    <n v="11411.949499999999"/>
    <n v="29435"/>
    <n v="29435"/>
    <n v="3135"/>
    <n v="9320"/>
    <n v="5887"/>
    <n v="14558.551000000001"/>
    <n v="3238"/>
    <n v="9320"/>
    <n v="2943.5"/>
    <n v="2944"/>
    <n v="0"/>
    <n v="0.38769999999999993"/>
    <n v="1"/>
    <n v="1"/>
    <n v="0.10650586037030746"/>
    <n v="0.31662986240869712"/>
    <n v="0.2"/>
    <n v="0.49460000000000004"/>
    <n v="0.1"/>
    <n v="0.30000000000000004"/>
    <n v="0.1"/>
    <n v="0.1"/>
    <n v="29435"/>
    <s v="Food Security and Livlihoods_x000a_Health "/>
    <n v="1"/>
    <s v=""/>
    <s v="Flagged"/>
    <s v=""/>
    <n v="14558.551000000001"/>
    <s v="WASH"/>
    <n v="0.49460000000000004"/>
    <n v="14876.448999999999"/>
    <n v="1.021835826930853"/>
    <s v="Flagged"/>
    <n v="11411.949499999999"/>
    <s v="Education"/>
    <n v="0.38769999999999993"/>
    <n v="18023.050500000001"/>
    <n v="1.5793139025019347"/>
    <s v="Flagged"/>
    <s v=""/>
    <s v=""/>
    <n v="29435"/>
    <m/>
    <m/>
    <n v="3"/>
    <s v="Flagged"/>
    <n v="29435"/>
    <m/>
    <x v="1"/>
    <x v="0"/>
    <n v="0"/>
    <n v="29435"/>
    <n v="0"/>
  </r>
  <r>
    <s v="Host CommunitySD06130"/>
    <x v="5"/>
    <x v="5"/>
    <x v="64"/>
    <x v="64"/>
    <m/>
    <m/>
    <x v="64"/>
    <x v="0"/>
    <n v="0"/>
    <n v="9977.8472000000002"/>
    <n v="25736"/>
    <n v="25736"/>
    <n v="2257"/>
    <n v="8149"/>
    <n v="5147"/>
    <n v="22894.745600000002"/>
    <n v="2831"/>
    <n v="8149"/>
    <n v="0"/>
    <n v="2574"/>
    <n v="0"/>
    <n v="0.38769999999999999"/>
    <n v="1"/>
    <n v="1"/>
    <n v="8.7698165993161326E-2"/>
    <n v="0.31663817221013368"/>
    <n v="0.19999222878458192"/>
    <n v="0.88960000000000006"/>
    <n v="0.1"/>
    <n v="0.30000000000000004"/>
    <n v="0"/>
    <n v="0.1"/>
    <n v="25736"/>
    <s v="Food Security and Livlihoods_x000a_Health "/>
    <n v="1"/>
    <s v=""/>
    <s v="Flagged"/>
    <s v=""/>
    <n v="22894.745600000002"/>
    <s v="WASH"/>
    <n v="0.88960000000000006"/>
    <n v="2841.254399999998"/>
    <n v="0.12410071942446033"/>
    <s v=""/>
    <n v="9977.8472000000002"/>
    <s v="Education"/>
    <n v="0.38769999999999999"/>
    <n v="15758.1528"/>
    <n v="1.5793139025019345"/>
    <s v="Flagged"/>
    <s v=""/>
    <s v=""/>
    <n v="25736"/>
    <m/>
    <m/>
    <n v="2"/>
    <s v="Flagged"/>
    <n v="25736"/>
    <m/>
    <x v="1"/>
    <x v="0"/>
    <n v="0"/>
    <n v="25736"/>
    <n v="0"/>
  </r>
  <r>
    <s v="Host CommunitySD06131"/>
    <x v="5"/>
    <x v="5"/>
    <x v="65"/>
    <x v="65"/>
    <m/>
    <m/>
    <x v="65"/>
    <x v="0"/>
    <n v="0"/>
    <n v="16554.79"/>
    <n v="42700"/>
    <n v="42700"/>
    <n v="3748"/>
    <n v="13521"/>
    <n v="0"/>
    <n v="31418.659999999996"/>
    <n v="4697"/>
    <n v="13521"/>
    <n v="6405"/>
    <n v="4270"/>
    <n v="0"/>
    <n v="0.38770000000000004"/>
    <n v="1"/>
    <n v="1"/>
    <n v="8.7775175644028106E-2"/>
    <n v="0.31665105386416864"/>
    <n v="0"/>
    <n v="0.7357999999999999"/>
    <n v="0.1"/>
    <n v="0.30000000000000004"/>
    <n v="0.15000000000000002"/>
    <n v="0.1"/>
    <n v="42700"/>
    <s v="Food Security and Livlihoods_x000a_Health "/>
    <n v="1"/>
    <s v="Flagged"/>
    <s v="Flagged"/>
    <s v=""/>
    <n v="31418.659999999996"/>
    <s v="WASH"/>
    <n v="0.7357999999999999"/>
    <n v="11281.340000000004"/>
    <n v="0.35906496330524618"/>
    <s v="Flagged"/>
    <n v="16554.79"/>
    <s v="Education"/>
    <n v="0.38770000000000004"/>
    <n v="26145.21"/>
    <n v="1.5793139025019343"/>
    <s v="Flagged"/>
    <s v=""/>
    <s v=""/>
    <n v="42700"/>
    <m/>
    <m/>
    <n v="4"/>
    <s v="Flagged"/>
    <n v="42700"/>
    <m/>
    <x v="1"/>
    <x v="0"/>
    <n v="0"/>
    <n v="42700"/>
    <n v="0"/>
  </r>
  <r>
    <s v="Host CommunitySD06132"/>
    <x v="5"/>
    <x v="5"/>
    <x v="66"/>
    <x v="66"/>
    <m/>
    <m/>
    <x v="66"/>
    <x v="0"/>
    <n v="0"/>
    <n v="43351.838599999995"/>
    <n v="111818"/>
    <n v="111818"/>
    <n v="10885"/>
    <n v="35405"/>
    <n v="22364"/>
    <n v="110744.5472"/>
    <n v="12300"/>
    <n v="35405"/>
    <n v="16772.7"/>
    <n v="11182"/>
    <n v="0"/>
    <n v="0.38769999999999993"/>
    <n v="1"/>
    <n v="1"/>
    <n v="9.7345686740954049E-2"/>
    <n v="0.31663059614731082"/>
    <n v="0.20000357724158901"/>
    <n v="0.99040000000000006"/>
    <n v="0.1"/>
    <n v="0.30000000000000004"/>
    <n v="0.15000000000000002"/>
    <n v="0.1"/>
    <n v="111818"/>
    <s v="Food Security and Livlihoods_x000a_Health "/>
    <n v="1"/>
    <s v=""/>
    <s v="Flagged"/>
    <s v=""/>
    <n v="110744.5472"/>
    <s v="WASH"/>
    <n v="0.99040000000000006"/>
    <n v="1073.4527999999991"/>
    <n v="9.6930533117932077E-3"/>
    <s v=""/>
    <n v="43351.838599999995"/>
    <s v="Education"/>
    <n v="0.38769999999999993"/>
    <n v="68466.161400000012"/>
    <n v="1.5793139025019349"/>
    <s v="Flagged"/>
    <s v=""/>
    <s v=""/>
    <n v="111818"/>
    <m/>
    <m/>
    <n v="2"/>
    <s v="Flagged"/>
    <n v="111818"/>
    <m/>
    <x v="1"/>
    <x v="0"/>
    <n v="0"/>
    <n v="111818"/>
    <n v="0"/>
  </r>
  <r>
    <s v="Host CommunitySD06135"/>
    <x v="5"/>
    <x v="5"/>
    <x v="67"/>
    <x v="67"/>
    <m/>
    <m/>
    <x v="67"/>
    <x v="0"/>
    <n v="0"/>
    <n v="19512.1656"/>
    <n v="50328"/>
    <n v="50328"/>
    <n v="6997"/>
    <n v="20131.2"/>
    <n v="15098"/>
    <n v="50237.409599999999"/>
    <n v="5536"/>
    <n v="15935"/>
    <n v="20131.2"/>
    <n v="5033"/>
    <n v="0"/>
    <n v="0.38769999999999999"/>
    <n v="1"/>
    <n v="1"/>
    <n v="0.13902797647432841"/>
    <n v="0.4"/>
    <n v="0.29999205213797486"/>
    <n v="0.99819999999999998"/>
    <n v="0.1"/>
    <n v="0.30000000000000004"/>
    <n v="0.4"/>
    <n v="0.1"/>
    <n v="50328"/>
    <s v="Food Security and Livlihoods_x000a_Health "/>
    <n v="1"/>
    <s v=""/>
    <s v="Flagged"/>
    <s v=""/>
    <n v="50237.409599999999"/>
    <s v="WASH"/>
    <n v="0.99819999999999998"/>
    <n v="90.590400000000955"/>
    <n v="1.8032458425165487E-3"/>
    <s v=""/>
    <n v="20131.2"/>
    <s v="Protection"/>
    <n v="0.4"/>
    <n v="30196.799999999999"/>
    <n v="1.5"/>
    <s v="Flagged"/>
    <s v=""/>
    <s v=""/>
    <n v="50328"/>
    <m/>
    <m/>
    <n v="2"/>
    <s v="Flagged"/>
    <n v="50328"/>
    <m/>
    <x v="1"/>
    <x v="0"/>
    <n v="0"/>
    <n v="50328"/>
    <n v="0"/>
  </r>
  <r>
    <s v="Host CommunitySD06137"/>
    <x v="5"/>
    <x v="5"/>
    <x v="68"/>
    <x v="68"/>
    <m/>
    <m/>
    <x v="68"/>
    <x v="0"/>
    <n v="0"/>
    <n v="21054.358660000002"/>
    <n v="54305.8"/>
    <n v="54305.8"/>
    <n v="6563"/>
    <n v="17196"/>
    <n v="10861"/>
    <n v="30547.012499999997"/>
    <n v="5974"/>
    <n v="17196"/>
    <n v="5430.5800000000008"/>
    <n v="5431"/>
    <n v="0"/>
    <n v="0.38769857216513831"/>
    <n v="0.99999631716569082"/>
    <n v="0.99999631716569082"/>
    <n v="0.12085220785916842"/>
    <n v="0.31665009391227489"/>
    <n v="0.19999631716569072"/>
    <n v="0.56249792840570101"/>
    <n v="0.1"/>
    <n v="0.30000000000000004"/>
    <n v="0.1"/>
    <n v="0.1"/>
    <n v="54305.8"/>
    <s v="Food Security and Livlihoods_x000a_Health "/>
    <n v="0.99999631716569082"/>
    <s v=""/>
    <s v="Flagged"/>
    <s v=""/>
    <n v="30547.012499999997"/>
    <s v="WASH"/>
    <n v="0.56249792840570101"/>
    <n v="23758.787500000006"/>
    <n v="0.77777777777777801"/>
    <s v="Flagged"/>
    <n v="21054.358660000002"/>
    <s v="Education"/>
    <n v="0.38769857216513831"/>
    <n v="33251.441340000005"/>
    <n v="1.5793139025019345"/>
    <s v="Flagged"/>
    <s v=""/>
    <s v=""/>
    <n v="54305.8"/>
    <m/>
    <m/>
    <n v="3"/>
    <s v="Flagged"/>
    <n v="54306"/>
    <m/>
    <x v="1"/>
    <x v="2"/>
    <n v="54306"/>
    <n v="0"/>
    <n v="0"/>
  </r>
  <r>
    <s v="Host CommunitySD06138"/>
    <x v="5"/>
    <x v="5"/>
    <x v="69"/>
    <x v="69"/>
    <m/>
    <m/>
    <x v="69"/>
    <x v="0"/>
    <n v="0"/>
    <n v="71216.612999999998"/>
    <n v="181977"/>
    <n v="183690"/>
    <n v="21182"/>
    <n v="128582.99999999999"/>
    <n v="55107"/>
    <n v="128417.679"/>
    <n v="20206"/>
    <n v="63012"/>
    <n v="128582.99999999999"/>
    <n v="18369"/>
    <n v="0"/>
    <n v="0.38769999999999999"/>
    <n v="0.99067450596113016"/>
    <n v="1"/>
    <n v="0.11531384397626436"/>
    <n v="0.7"/>
    <n v="0.3"/>
    <n v="0.69910000000000005"/>
    <n v="0.1"/>
    <n v="0.35000000000000003"/>
    <n v="0.70000000000000007"/>
    <n v="0.1"/>
    <n v="183690"/>
    <s v="Health "/>
    <n v="1"/>
    <s v=""/>
    <s v="Flagged"/>
    <s v=""/>
    <n v="181977"/>
    <s v="Food Security and Livlihoods"/>
    <n v="0.99067450596113016"/>
    <n v="1713"/>
    <n v="9.4132775021019133E-3"/>
    <s v=""/>
    <n v="128582.99999999999"/>
    <s v="Protection"/>
    <n v="0.7"/>
    <n v="55107.000000000015"/>
    <n v="0.42857142857142871"/>
    <s v=""/>
    <s v=""/>
    <s v=""/>
    <n v="183690"/>
    <m/>
    <m/>
    <n v="1"/>
    <s v="Flagged"/>
    <n v="183690"/>
    <m/>
    <x v="0"/>
    <x v="1"/>
    <n v="0"/>
    <n v="165321"/>
    <n v="18369"/>
  </r>
  <r>
    <s v="Host CommunitySD06139"/>
    <x v="5"/>
    <x v="5"/>
    <x v="70"/>
    <x v="70"/>
    <m/>
    <m/>
    <x v="70"/>
    <x v="0"/>
    <n v="0"/>
    <n v="28758.132125"/>
    <n v="74176"/>
    <n v="74176"/>
    <n v="7722"/>
    <n v="23488"/>
    <n v="22253"/>
    <n v="49942.869124999997"/>
    <n v="8159"/>
    <n v="23488"/>
    <n v="11126.4375"/>
    <n v="7418"/>
    <n v="0"/>
    <n v="0.38770130668949526"/>
    <n v="1"/>
    <n v="1"/>
    <n v="0.10410375323554788"/>
    <n v="0.31665228645383953"/>
    <n v="0.30000269628990511"/>
    <n v="0.67330226926499137"/>
    <n v="0.1"/>
    <n v="0.30000000000000004"/>
    <n v="0.15000000000000002"/>
    <n v="0.1"/>
    <n v="74176"/>
    <s v="Food Security and Livlihoods_x000a_Health "/>
    <n v="1"/>
    <s v=""/>
    <s v="Flagged"/>
    <s v=""/>
    <n v="49942.869124999997"/>
    <s v="WASH"/>
    <n v="0.67330226926499137"/>
    <n v="24233.130875000003"/>
    <n v="0.48521703497546115"/>
    <s v="Flagged"/>
    <n v="28758.132125"/>
    <s v="Education"/>
    <n v="0.38770130668949526"/>
    <n v="45417.867874999996"/>
    <n v="1.5793052093086868"/>
    <s v="Flagged"/>
    <s v=""/>
    <s v=""/>
    <n v="74176"/>
    <m/>
    <m/>
    <n v="3"/>
    <s v="Flagged"/>
    <n v="74176"/>
    <m/>
    <x v="1"/>
    <x v="0"/>
    <n v="0"/>
    <n v="74176"/>
    <n v="0"/>
  </r>
  <r>
    <s v="Host CommunitySD07088"/>
    <x v="6"/>
    <x v="6"/>
    <x v="71"/>
    <x v="71"/>
    <m/>
    <m/>
    <x v="71"/>
    <x v="0"/>
    <n v="0"/>
    <n v="24248.308799999999"/>
    <n v="62544"/>
    <n v="62544"/>
    <n v="7296"/>
    <n v="19804"/>
    <n v="18763"/>
    <n v="58484.894399999997"/>
    <n v="6880"/>
    <n v="19804"/>
    <n v="9381.6"/>
    <n v="6254"/>
    <n v="0"/>
    <n v="0.38769999999999999"/>
    <n v="1"/>
    <n v="1"/>
    <n v="0.11665387567152724"/>
    <n v="0.3166410846763878"/>
    <n v="0.29999680225121517"/>
    <n v="0.93509999999999993"/>
    <n v="0.1"/>
    <n v="0.30000000000000004"/>
    <n v="0.15000000000000002"/>
    <n v="0.1"/>
    <n v="62544"/>
    <s v="Food Security and Livlihoods_x000a_Health "/>
    <n v="1"/>
    <s v=""/>
    <s v="Flagged"/>
    <s v=""/>
    <n v="58484.894399999997"/>
    <s v="WASH"/>
    <n v="0.93509999999999993"/>
    <n v="4059.1056000000026"/>
    <n v="6.9404341781627688E-2"/>
    <s v=""/>
    <n v="24248.308799999999"/>
    <s v="Education"/>
    <n v="0.38769999999999999"/>
    <n v="38295.691200000001"/>
    <n v="1.5793139025019347"/>
    <s v="Flagged"/>
    <s v=""/>
    <s v=""/>
    <n v="62544"/>
    <m/>
    <m/>
    <n v="2"/>
    <s v="Flagged"/>
    <n v="62544"/>
    <m/>
    <x v="2"/>
    <x v="0"/>
    <n v="0"/>
    <n v="62544"/>
    <n v="0"/>
  </r>
  <r>
    <s v="Host CommunitySD07089"/>
    <x v="6"/>
    <x v="6"/>
    <x v="72"/>
    <x v="72"/>
    <m/>
    <m/>
    <x v="72"/>
    <x v="0"/>
    <n v="0"/>
    <n v="6340.0581000000002"/>
    <n v="16353"/>
    <n v="16353"/>
    <n v="1789"/>
    <n v="5178"/>
    <n v="0"/>
    <n v="15546.797099999998"/>
    <n v="1799"/>
    <n v="5178"/>
    <n v="1635.3000000000002"/>
    <n v="1635"/>
    <n v="0"/>
    <n v="0.38769999999999999"/>
    <n v="1"/>
    <n v="1"/>
    <n v="0.10939888705436311"/>
    <n v="0.31663914878004035"/>
    <n v="0"/>
    <n v="0.95069999999999988"/>
    <n v="0.1"/>
    <n v="0.30000000000000004"/>
    <n v="0.1"/>
    <n v="0.1"/>
    <n v="16353"/>
    <s v="Food Security and Livlihoods_x000a_Health "/>
    <n v="1"/>
    <s v="Flagged"/>
    <s v="Flagged"/>
    <s v=""/>
    <n v="15546.797099999998"/>
    <s v="WASH"/>
    <n v="0.95069999999999988"/>
    <n v="806.20290000000205"/>
    <n v="5.1856526769748744E-2"/>
    <s v=""/>
    <n v="6340.0581000000002"/>
    <s v="Education"/>
    <n v="0.38769999999999999"/>
    <n v="10012.9419"/>
    <n v="1.5793139025019345"/>
    <s v="Flagged"/>
    <s v=""/>
    <s v=""/>
    <n v="16353"/>
    <m/>
    <m/>
    <n v="3"/>
    <s v="Flagged"/>
    <n v="16353"/>
    <m/>
    <x v="2"/>
    <x v="2"/>
    <n v="16353"/>
    <n v="0"/>
    <n v="0"/>
  </r>
  <r>
    <s v="Host CommunitySD07090"/>
    <x v="6"/>
    <x v="6"/>
    <x v="73"/>
    <x v="73"/>
    <m/>
    <m/>
    <x v="73"/>
    <x v="0"/>
    <n v="0"/>
    <n v="12876.6801"/>
    <n v="33213"/>
    <n v="33213"/>
    <n v="2030"/>
    <n v="10516"/>
    <n v="6643"/>
    <n v="29038.125900000003"/>
    <n v="3653"/>
    <n v="10516"/>
    <n v="0"/>
    <n v="3321"/>
    <n v="0"/>
    <n v="0.38769999999999999"/>
    <n v="1"/>
    <n v="1"/>
    <n v="6.1120645530364615E-2"/>
    <n v="0.3166230090627164"/>
    <n v="0.20001204347695178"/>
    <n v="0.87430000000000008"/>
    <n v="0.1"/>
    <n v="0.30000000000000004"/>
    <n v="0"/>
    <n v="0.1"/>
    <n v="33213"/>
    <s v="Food Security and Livlihoods_x000a_Health "/>
    <n v="1"/>
    <s v=""/>
    <s v="Flagged"/>
    <s v=""/>
    <n v="29038.125900000003"/>
    <s v="WASH"/>
    <n v="0.87430000000000008"/>
    <n v="4174.8740999999973"/>
    <n v="0.14377216058561124"/>
    <s v=""/>
    <n v="12876.6801"/>
    <s v="Education"/>
    <n v="0.38769999999999999"/>
    <n v="20336.319900000002"/>
    <n v="1.5793139025019347"/>
    <s v="Flagged"/>
    <s v=""/>
    <s v=""/>
    <n v="33213"/>
    <m/>
    <m/>
    <n v="2"/>
    <s v="Flagged"/>
    <n v="33213"/>
    <m/>
    <x v="2"/>
    <x v="0"/>
    <n v="0"/>
    <n v="33213"/>
    <n v="0"/>
  </r>
  <r>
    <s v="Host CommunitySD07091"/>
    <x v="6"/>
    <x v="6"/>
    <x v="74"/>
    <x v="74"/>
    <m/>
    <m/>
    <x v="34"/>
    <x v="0"/>
    <n v="0"/>
    <n v="0"/>
    <n v="0"/>
    <n v="0"/>
    <n v="0"/>
    <n v="0"/>
    <n v="0"/>
    <n v="0"/>
    <n v="0"/>
    <n v="0"/>
    <n v="0"/>
    <n v="0"/>
    <e v="#DIV/0!"/>
    <e v="#DIV/0!"/>
    <e v="#DIV/0!"/>
    <e v="#DIV/0!"/>
    <e v="#DIV/0!"/>
    <e v="#DIV/0!"/>
    <e v="#DIV/0!"/>
    <e v="#DIV/0!"/>
    <s v=""/>
    <s v=""/>
    <s v=""/>
    <s v=""/>
    <n v="0"/>
    <s v="Site Management _x000a_Education_x000a_Food Security and Livlihoods_x000a_Health _x000a_Nutrition_x000a_Protection_x000a_Shelter NFI _x000a_WASH"/>
    <e v="#DIV/0!"/>
    <s v=""/>
    <s v=""/>
    <s v=""/>
    <s v="NA"/>
    <s v=""/>
    <s v=""/>
    <s v=""/>
    <s v=""/>
    <s v=""/>
    <n v="0"/>
    <s v="Site Management _x000a_Education_x000a_Food Security and Livlihoods_x000a_Health _x000a_Nutrition_x000a_Protection_x000a_Shelter NFI _x000a_WASH"/>
    <s v=""/>
    <n v="0"/>
    <s v=""/>
    <s v=""/>
    <s v=""/>
    <s v=""/>
    <n v="0"/>
    <m/>
    <m/>
    <n v="0"/>
    <s v=""/>
    <n v="0"/>
    <m/>
    <x v="0"/>
    <x v="2"/>
    <n v="0"/>
    <n v="0"/>
    <n v="0"/>
  </r>
  <r>
    <s v="Host CommunitySD07093"/>
    <x v="6"/>
    <x v="6"/>
    <x v="75"/>
    <x v="75"/>
    <m/>
    <m/>
    <x v="74"/>
    <x v="0"/>
    <n v="0"/>
    <n v="0"/>
    <n v="20394"/>
    <n v="20394"/>
    <n v="1403"/>
    <n v="10197"/>
    <n v="0"/>
    <n v="17897.774400000002"/>
    <n v="2243"/>
    <n v="6458"/>
    <n v="10197"/>
    <n v="2039"/>
    <n v="0"/>
    <n v="0"/>
    <n v="1"/>
    <n v="1"/>
    <n v="6.8794743552025112E-2"/>
    <n v="0.5"/>
    <n v="0"/>
    <n v="0.87760000000000005"/>
    <n v="0.1"/>
    <n v="0.30000000000000004"/>
    <n v="0.5"/>
    <n v="0.1"/>
    <n v="20394"/>
    <s v="Food Security and Livlihoods_x000a_Health "/>
    <n v="1"/>
    <s v="Flagged"/>
    <s v="Flagged"/>
    <s v=""/>
    <n v="17897.774400000002"/>
    <s v="WASH"/>
    <n v="0.87760000000000005"/>
    <n v="2496.2255999999979"/>
    <n v="0.13947128532360972"/>
    <s v=""/>
    <n v="10197"/>
    <s v="Protection"/>
    <n v="0.5"/>
    <n v="10197"/>
    <n v="1"/>
    <s v="Flagged"/>
    <s v=""/>
    <s v=""/>
    <n v="20394"/>
    <m/>
    <m/>
    <n v="3"/>
    <s v="Flagged"/>
    <n v="20394"/>
    <m/>
    <x v="2"/>
    <x v="2"/>
    <n v="20394"/>
    <n v="0"/>
    <n v="0"/>
  </r>
  <r>
    <s v="Host CommunitySD07094"/>
    <x v="6"/>
    <x v="6"/>
    <x v="76"/>
    <x v="76"/>
    <m/>
    <m/>
    <x v="75"/>
    <x v="0"/>
    <n v="0"/>
    <n v="0"/>
    <n v="5464"/>
    <n v="5464"/>
    <n v="266"/>
    <n v="1730"/>
    <n v="0"/>
    <n v="4465.7272000000003"/>
    <n v="601"/>
    <n v="1730"/>
    <n v="0"/>
    <n v="546"/>
    <n v="0"/>
    <n v="0"/>
    <n v="1"/>
    <n v="1"/>
    <n v="4.8682284040995609E-2"/>
    <n v="0.31661786237188871"/>
    <n v="0"/>
    <n v="0.81730000000000003"/>
    <n v="0.1"/>
    <n v="0.30000000000000004"/>
    <n v="0"/>
    <n v="0.1"/>
    <n v="5464"/>
    <s v="Food Security and Livlihoods_x000a_Health "/>
    <n v="1"/>
    <s v="Flagged"/>
    <s v="Flagged"/>
    <s v=""/>
    <n v="4465.7272000000003"/>
    <s v="WASH"/>
    <n v="0.81730000000000003"/>
    <n v="998.27279999999973"/>
    <n v="0.22354092744402293"/>
    <s v=""/>
    <n v="1730"/>
    <s v="Protection"/>
    <n v="0.31661786237188871"/>
    <n v="3734"/>
    <n v="2.1583815028901734"/>
    <s v="Flagged"/>
    <s v=""/>
    <s v=""/>
    <n v="5464"/>
    <m/>
    <m/>
    <n v="3"/>
    <s v="Flagged"/>
    <n v="5464"/>
    <m/>
    <x v="2"/>
    <x v="2"/>
    <n v="5464"/>
    <n v="0"/>
    <n v="0"/>
  </r>
  <r>
    <s v="Host CommunitySD07095"/>
    <x v="6"/>
    <x v="6"/>
    <x v="77"/>
    <x v="77"/>
    <m/>
    <m/>
    <x v="76"/>
    <x v="0"/>
    <n v="0"/>
    <n v="15856.1546"/>
    <n v="40545"/>
    <n v="40898"/>
    <n v="1897"/>
    <n v="12951"/>
    <n v="0"/>
    <n v="22845.622799999997"/>
    <n v="4499"/>
    <n v="12951"/>
    <n v="4089.8"/>
    <n v="4090"/>
    <n v="0"/>
    <n v="0.38769999999999999"/>
    <n v="0.99136877108905086"/>
    <n v="1"/>
    <n v="4.6383686243826105E-2"/>
    <n v="0.31666585163088662"/>
    <n v="0"/>
    <n v="0.55859999999999999"/>
    <n v="0.1"/>
    <n v="0.30000000000000004"/>
    <n v="0.1"/>
    <n v="0.1"/>
    <n v="40898"/>
    <s v="Health "/>
    <n v="1"/>
    <s v="Flagged"/>
    <s v="Flagged"/>
    <s v=""/>
    <n v="40545"/>
    <s v="Food Security and Livlihoods"/>
    <n v="0.99136877108905086"/>
    <n v="353"/>
    <n v="8.7063756320138116E-3"/>
    <s v=""/>
    <n v="22845.622799999997"/>
    <s v="WASH"/>
    <n v="0.55859999999999999"/>
    <n v="18052.377200000003"/>
    <n v="0.79018976011457231"/>
    <s v="Flagged"/>
    <s v=""/>
    <s v=""/>
    <n v="40898"/>
    <m/>
    <m/>
    <n v="3"/>
    <s v="Flagged"/>
    <n v="40898"/>
    <m/>
    <x v="0"/>
    <x v="2"/>
    <n v="40898"/>
    <n v="0"/>
    <n v="0"/>
  </r>
  <r>
    <s v="Host CommunitySD07096"/>
    <x v="6"/>
    <x v="6"/>
    <x v="78"/>
    <x v="78"/>
    <m/>
    <m/>
    <x v="34"/>
    <x v="0"/>
    <n v="0"/>
    <n v="0"/>
    <n v="0"/>
    <n v="0"/>
    <n v="0"/>
    <n v="0"/>
    <n v="0"/>
    <n v="0"/>
    <n v="0"/>
    <n v="0"/>
    <n v="0"/>
    <n v="0"/>
    <e v="#DIV/0!"/>
    <e v="#DIV/0!"/>
    <e v="#DIV/0!"/>
    <e v="#DIV/0!"/>
    <e v="#DIV/0!"/>
    <e v="#DIV/0!"/>
    <e v="#DIV/0!"/>
    <e v="#DIV/0!"/>
    <s v=""/>
    <s v=""/>
    <s v=""/>
    <s v=""/>
    <n v="0"/>
    <s v="Site Management _x000a_Education_x000a_Food Security and Livlihoods_x000a_Health _x000a_Nutrition_x000a_Protection_x000a_Shelter NFI _x000a_WASH"/>
    <e v="#DIV/0!"/>
    <s v=""/>
    <s v=""/>
    <s v=""/>
    <s v="NA"/>
    <s v=""/>
    <s v=""/>
    <s v=""/>
    <s v=""/>
    <s v=""/>
    <n v="0"/>
    <s v="Site Management _x000a_Education_x000a_Food Security and Livlihoods_x000a_Health _x000a_Nutrition_x000a_Protection_x000a_Shelter NFI _x000a_WASH"/>
    <s v=""/>
    <n v="0"/>
    <s v=""/>
    <s v=""/>
    <s v=""/>
    <s v=""/>
    <n v="0"/>
    <m/>
    <m/>
    <n v="0"/>
    <s v=""/>
    <n v="0"/>
    <m/>
    <x v="0"/>
    <x v="2"/>
    <n v="0"/>
    <n v="0"/>
    <n v="0"/>
  </r>
  <r>
    <s v="Host CommunitySD07097"/>
    <x v="6"/>
    <x v="6"/>
    <x v="79"/>
    <x v="79"/>
    <m/>
    <m/>
    <x v="77"/>
    <x v="0"/>
    <n v="0"/>
    <n v="8198.6918999999998"/>
    <n v="21147"/>
    <n v="21147"/>
    <n v="2034"/>
    <n v="6696"/>
    <n v="4229"/>
    <n v="16128.8169"/>
    <n v="2326"/>
    <n v="6696"/>
    <n v="2114.7000000000003"/>
    <n v="2115"/>
    <n v="0"/>
    <n v="0.38769999999999999"/>
    <n v="1"/>
    <n v="1"/>
    <n v="9.6183855866080289E-2"/>
    <n v="0.31664065824939708"/>
    <n v="0.19998108478744031"/>
    <n v="0.76270000000000004"/>
    <n v="0.1"/>
    <n v="0.30000000000000004"/>
    <n v="0.1"/>
    <n v="0.1"/>
    <n v="21147"/>
    <s v="Food Security and Livlihoods_x000a_Health "/>
    <n v="1"/>
    <s v=""/>
    <s v="Flagged"/>
    <s v=""/>
    <n v="16128.8169"/>
    <s v="WASH"/>
    <n v="0.76270000000000004"/>
    <n v="5018.1831000000002"/>
    <n v="0.31113150649010096"/>
    <s v="Flagged"/>
    <n v="8198.6918999999998"/>
    <s v="Education"/>
    <n v="0.38769999999999999"/>
    <n v="12948.3081"/>
    <n v="1.5793139025019345"/>
    <s v="Flagged"/>
    <s v=""/>
    <s v=""/>
    <n v="21147"/>
    <m/>
    <m/>
    <n v="3"/>
    <s v="Flagged"/>
    <n v="21147"/>
    <m/>
    <x v="0"/>
    <x v="2"/>
    <n v="21147"/>
    <n v="0"/>
    <n v="0"/>
  </r>
  <r>
    <s v="Host CommunitySD07098"/>
    <x v="6"/>
    <x v="6"/>
    <x v="80"/>
    <x v="80"/>
    <m/>
    <m/>
    <x v="78"/>
    <x v="0"/>
    <n v="0"/>
    <n v="29092.077520000003"/>
    <n v="75037.600000000006"/>
    <n v="75037.600000000006"/>
    <n v="5780"/>
    <n v="30015.040000000005"/>
    <n v="22511"/>
    <n v="52563.838799999998"/>
    <n v="8254"/>
    <n v="23760"/>
    <n v="30015.040000000005"/>
    <n v="7504"/>
    <n v="0"/>
    <n v="0.38769793331378771"/>
    <n v="0.99999466936752057"/>
    <n v="0.99999466936752057"/>
    <n v="7.7027639329406428E-2"/>
    <n v="0.39999786774700824"/>
    <n v="0.29999466936752045"/>
    <n v="0.70049626589194802"/>
    <n v="0.1"/>
    <n v="0.30000000000000004"/>
    <n v="0.4"/>
    <n v="0.1"/>
    <n v="75037.600000000006"/>
    <s v="Food Security and Livlihoods_x000a_Health "/>
    <n v="0.99999466936752057"/>
    <s v=""/>
    <s v="Flagged"/>
    <s v=""/>
    <n v="52563.838799999998"/>
    <s v="WASH"/>
    <n v="0.70049626589194802"/>
    <n v="22473.761200000008"/>
    <n v="0.42755174875089241"/>
    <s v="Flagged"/>
    <n v="30015.040000000005"/>
    <s v="Protection"/>
    <n v="0.39999786774700824"/>
    <n v="45022.559999999998"/>
    <n v="1.4999999999999998"/>
    <s v="Flagged"/>
    <s v=""/>
    <s v=""/>
    <n v="75037.600000000006"/>
    <m/>
    <m/>
    <n v="3"/>
    <s v="Flagged"/>
    <n v="75038"/>
    <m/>
    <x v="0"/>
    <x v="1"/>
    <n v="0"/>
    <n v="67534.2"/>
    <n v="7503.8"/>
  </r>
  <r>
    <s v="Host CommunitySD07099"/>
    <x v="6"/>
    <x v="6"/>
    <x v="81"/>
    <x v="81"/>
    <m/>
    <m/>
    <x v="34"/>
    <x v="0"/>
    <n v="0"/>
    <n v="0"/>
    <n v="0"/>
    <n v="0"/>
    <n v="0"/>
    <n v="0"/>
    <n v="0"/>
    <n v="0"/>
    <n v="0"/>
    <n v="0"/>
    <n v="0"/>
    <n v="0"/>
    <e v="#DIV/0!"/>
    <e v="#DIV/0!"/>
    <e v="#DIV/0!"/>
    <e v="#DIV/0!"/>
    <e v="#DIV/0!"/>
    <e v="#DIV/0!"/>
    <e v="#DIV/0!"/>
    <e v="#DIV/0!"/>
    <s v=""/>
    <s v=""/>
    <s v=""/>
    <s v=""/>
    <n v="0"/>
    <s v="Site Management _x000a_Education_x000a_Food Security and Livlihoods_x000a_Health _x000a_Nutrition_x000a_Protection_x000a_Shelter NFI _x000a_WASH"/>
    <e v="#DIV/0!"/>
    <s v=""/>
    <s v=""/>
    <s v=""/>
    <s v="NA"/>
    <s v=""/>
    <s v=""/>
    <s v=""/>
    <s v=""/>
    <s v=""/>
    <n v="0"/>
    <s v="Site Management _x000a_Education_x000a_Food Security and Livlihoods_x000a_Health _x000a_Nutrition_x000a_Protection_x000a_Shelter NFI _x000a_WASH"/>
    <s v=""/>
    <n v="0"/>
    <s v=""/>
    <s v=""/>
    <s v=""/>
    <s v=""/>
    <n v="0"/>
    <m/>
    <m/>
    <n v="0"/>
    <s v=""/>
    <n v="0"/>
    <m/>
    <x v="0"/>
    <x v="2"/>
    <n v="0"/>
    <n v="0"/>
    <n v="0"/>
  </r>
  <r>
    <s v="Host CommunitySD07103"/>
    <x v="6"/>
    <x v="6"/>
    <x v="82"/>
    <x v="82"/>
    <m/>
    <m/>
    <x v="79"/>
    <x v="0"/>
    <n v="0"/>
    <n v="2917.9658950000003"/>
    <n v="7526"/>
    <n v="7526"/>
    <n v="622"/>
    <n v="3010.5400000000004"/>
    <n v="1505"/>
    <n v="6599.1036800000011"/>
    <n v="828"/>
    <n v="2383"/>
    <n v="3010.5400000000004"/>
    <n v="753"/>
    <n v="0"/>
    <n v="0.38771803016210477"/>
    <n v="1"/>
    <n v="1"/>
    <n v="8.2646824342280101E-2"/>
    <n v="0.40001860217911245"/>
    <n v="0.19997342545841085"/>
    <n v="0.87684077597661458"/>
    <n v="0.1"/>
    <n v="0.30000000000000004"/>
    <n v="0.4"/>
    <n v="0.1"/>
    <n v="7526"/>
    <s v="Food Security and Livlihoods_x000a_Health "/>
    <n v="1"/>
    <s v=""/>
    <s v="Flagged"/>
    <s v=""/>
    <n v="6599.1036800000011"/>
    <s v="WASH"/>
    <n v="0.87684077597661458"/>
    <n v="926.89631999999892"/>
    <n v="0.14045791139926428"/>
    <s v=""/>
    <n v="3010.5400000000004"/>
    <s v="Protection"/>
    <n v="0.40001860217911245"/>
    <n v="4515.4599999999991"/>
    <n v="1.4998837417871871"/>
    <s v="Flagged"/>
    <s v=""/>
    <s v=""/>
    <n v="7526"/>
    <m/>
    <m/>
    <n v="2"/>
    <s v="Flagged"/>
    <n v="7526"/>
    <m/>
    <x v="0"/>
    <x v="0"/>
    <n v="0"/>
    <n v="7526"/>
    <n v="0"/>
  </r>
  <r>
    <s v="Host CommunitySD07104"/>
    <x v="6"/>
    <x v="6"/>
    <x v="83"/>
    <x v="83"/>
    <m/>
    <m/>
    <x v="80"/>
    <x v="0"/>
    <n v="0"/>
    <n v="8313.0633999999991"/>
    <n v="21442"/>
    <n v="21442"/>
    <n v="1237"/>
    <n v="8576.8000000000011"/>
    <n v="4288"/>
    <n v="18467.994599999998"/>
    <n v="2359"/>
    <n v="6790"/>
    <n v="8576.8000000000011"/>
    <n v="2144"/>
    <n v="0"/>
    <n v="0.38769999999999993"/>
    <n v="1"/>
    <n v="1"/>
    <n v="5.7690513944594721E-2"/>
    <n v="0.40000000000000008"/>
    <n v="0.19998134502378509"/>
    <n v="0.86129999999999995"/>
    <n v="0.1"/>
    <n v="0.30000000000000004"/>
    <n v="0.4"/>
    <n v="0.1"/>
    <n v="21442"/>
    <s v="Food Security and Livlihoods_x000a_Health "/>
    <n v="1"/>
    <s v=""/>
    <s v="Flagged"/>
    <s v=""/>
    <n v="18467.994599999998"/>
    <s v="WASH"/>
    <n v="0.86129999999999995"/>
    <n v="2974.0054000000018"/>
    <n v="0.1610356437942646"/>
    <s v=""/>
    <n v="8576.8000000000011"/>
    <s v="Protection"/>
    <n v="0.40000000000000008"/>
    <n v="12865.199999999999"/>
    <n v="1.4999999999999998"/>
    <s v="Flagged"/>
    <s v=""/>
    <s v=""/>
    <n v="21442"/>
    <m/>
    <m/>
    <n v="2"/>
    <s v="Flagged"/>
    <n v="21442"/>
    <m/>
    <x v="0"/>
    <x v="0"/>
    <n v="0"/>
    <n v="21442"/>
    <n v="0"/>
  </r>
  <r>
    <s v="Host CommunitySD07105"/>
    <x v="6"/>
    <x v="6"/>
    <x v="84"/>
    <x v="84"/>
    <m/>
    <m/>
    <x v="81"/>
    <x v="0"/>
    <n v="0"/>
    <n v="3061.2791999999999"/>
    <n v="7896"/>
    <n v="7896"/>
    <n v="603"/>
    <n v="2499"/>
    <n v="1579"/>
    <n v="7662.2784000000011"/>
    <n v="869"/>
    <n v="2499"/>
    <n v="0"/>
    <n v="790"/>
    <n v="0"/>
    <n v="0.38769999999999999"/>
    <n v="1"/>
    <n v="1"/>
    <n v="7.6367781155015191E-2"/>
    <n v="0.31648936170212766"/>
    <n v="0.19997467071935157"/>
    <n v="0.97040000000000015"/>
    <n v="0.1"/>
    <n v="0.30000000000000004"/>
    <n v="0"/>
    <n v="0.1"/>
    <n v="7896"/>
    <s v="Food Security and Livlihoods_x000a_Health "/>
    <n v="1"/>
    <s v=""/>
    <s v="Flagged"/>
    <s v=""/>
    <n v="7662.2784000000011"/>
    <s v="WASH"/>
    <n v="0.97040000000000015"/>
    <n v="233.72159999999894"/>
    <n v="3.0502885408079002E-2"/>
    <s v=""/>
    <n v="3061.2791999999999"/>
    <s v="Education"/>
    <n v="0.38769999999999999"/>
    <n v="4834.7208000000001"/>
    <n v="1.5793139025019345"/>
    <s v="Flagged"/>
    <s v=""/>
    <s v=""/>
    <n v="7896"/>
    <m/>
    <m/>
    <n v="2"/>
    <s v="Flagged"/>
    <n v="7896"/>
    <m/>
    <x v="2"/>
    <x v="0"/>
    <n v="0"/>
    <n v="7896"/>
    <n v="0"/>
  </r>
  <r>
    <s v="Host CommunitySD07106"/>
    <x v="6"/>
    <x v="6"/>
    <x v="85"/>
    <x v="85"/>
    <m/>
    <m/>
    <x v="82"/>
    <x v="0"/>
    <n v="0"/>
    <n v="1172.0171"/>
    <n v="3023"/>
    <n v="3023"/>
    <n v="904"/>
    <n v="798"/>
    <n v="605"/>
    <n v="2899.6615999999999"/>
    <n v="333"/>
    <n v="798"/>
    <n v="0"/>
    <n v="302"/>
    <n v="0"/>
    <n v="0.38769999999999999"/>
    <n v="1"/>
    <n v="1"/>
    <n v="0.29904068805822032"/>
    <n v="0.26397618260006617"/>
    <n v="0.20013231888852134"/>
    <n v="0.95919999999999994"/>
    <n v="0.1"/>
    <n v="0.25"/>
    <n v="0"/>
    <n v="0.1"/>
    <n v="3023"/>
    <s v="Food Security and Livlihoods_x000a_Health "/>
    <n v="1"/>
    <s v=""/>
    <s v="Flagged"/>
    <s v=""/>
    <n v="2899.6615999999999"/>
    <s v="WASH"/>
    <n v="0.95919999999999994"/>
    <n v="123.33840000000009"/>
    <n v="4.253544620517101E-2"/>
    <s v=""/>
    <n v="1172.0171"/>
    <s v="Education"/>
    <n v="0.38769999999999999"/>
    <n v="1850.9829"/>
    <n v="1.5793139025019345"/>
    <s v="Flagged"/>
    <s v=""/>
    <s v=""/>
    <n v="3023"/>
    <m/>
    <m/>
    <n v="2"/>
    <s v="Flagged"/>
    <n v="3023"/>
    <m/>
    <x v="2"/>
    <x v="2"/>
    <n v="3023"/>
    <n v="0"/>
    <n v="0"/>
  </r>
  <r>
    <s v="Host CommunitySD07107"/>
    <x v="6"/>
    <x v="6"/>
    <x v="86"/>
    <x v="86"/>
    <m/>
    <m/>
    <x v="83"/>
    <x v="0"/>
    <n v="0"/>
    <n v="1576.3881999999999"/>
    <n v="4066"/>
    <n v="4066"/>
    <n v="220"/>
    <n v="1288"/>
    <n v="0"/>
    <n v="2951.5093999999999"/>
    <n v="447"/>
    <n v="1288"/>
    <n v="406.6"/>
    <n v="407"/>
    <n v="0"/>
    <n v="0.38769999999999999"/>
    <n v="1"/>
    <n v="1"/>
    <n v="5.4107230693556323E-2"/>
    <n v="0.31677324151500247"/>
    <n v="0"/>
    <n v="0.72589999999999999"/>
    <n v="0.1"/>
    <n v="0.30000000000000004"/>
    <n v="0.1"/>
    <n v="0.1"/>
    <n v="4066"/>
    <s v="Food Security and Livlihoods_x000a_Health "/>
    <n v="1"/>
    <s v="Flagged"/>
    <s v="Flagged"/>
    <s v=""/>
    <n v="2951.5093999999999"/>
    <s v="WASH"/>
    <n v="0.72589999999999999"/>
    <n v="1114.4906000000001"/>
    <n v="0.3776002204160353"/>
    <s v="Flagged"/>
    <n v="1576.3881999999999"/>
    <s v="Education"/>
    <n v="0.38769999999999999"/>
    <n v="2489.6118000000001"/>
    <n v="1.5793139025019347"/>
    <s v="Flagged"/>
    <s v=""/>
    <s v=""/>
    <n v="4066"/>
    <m/>
    <m/>
    <n v="4"/>
    <s v="Flagged"/>
    <n v="4066"/>
    <m/>
    <x v="0"/>
    <x v="1"/>
    <n v="0"/>
    <n v="3659.4"/>
    <n v="406.6"/>
  </r>
  <r>
    <s v="Host CommunitySD07108"/>
    <x v="6"/>
    <x v="6"/>
    <x v="87"/>
    <x v="87"/>
    <m/>
    <m/>
    <x v="84"/>
    <x v="0"/>
    <n v="0"/>
    <n v="11437.15"/>
    <n v="29500"/>
    <n v="29500"/>
    <n v="8036"/>
    <n v="9341"/>
    <n v="5900"/>
    <n v="27789"/>
    <n v="3245"/>
    <n v="9341"/>
    <n v="2950"/>
    <n v="2950"/>
    <n v="0"/>
    <n v="0.38769999999999999"/>
    <n v="1"/>
    <n v="1"/>
    <n v="0.27240677966101695"/>
    <n v="0.3166440677966102"/>
    <n v="0.2"/>
    <n v="0.94199999999999995"/>
    <n v="0.1"/>
    <n v="0.30000000000000004"/>
    <n v="0.1"/>
    <n v="0.1"/>
    <n v="29500"/>
    <s v="Food Security and Livlihoods_x000a_Health "/>
    <n v="1"/>
    <s v=""/>
    <s v="Flagged"/>
    <s v=""/>
    <n v="27789"/>
    <s v="WASH"/>
    <n v="0.94199999999999995"/>
    <n v="1711"/>
    <n v="6.1571125265392782E-2"/>
    <s v=""/>
    <n v="11437.15"/>
    <s v="Education"/>
    <n v="0.38769999999999999"/>
    <n v="18062.849999999999"/>
    <n v="1.5793139025019345"/>
    <s v="Flagged"/>
    <s v=""/>
    <s v=""/>
    <n v="29500"/>
    <m/>
    <m/>
    <n v="2"/>
    <s v="Flagged"/>
    <n v="29500"/>
    <m/>
    <x v="2"/>
    <x v="1"/>
    <n v="0"/>
    <n v="26550"/>
    <n v="2950"/>
  </r>
  <r>
    <s v="Host CommunitySD08104"/>
    <x v="7"/>
    <x v="7"/>
    <x v="88"/>
    <x v="88"/>
    <m/>
    <m/>
    <x v="85"/>
    <x v="0"/>
    <n v="0"/>
    <n v="15994.9512"/>
    <n v="41256"/>
    <n v="41256"/>
    <n v="1730"/>
    <n v="16502.400000000001"/>
    <n v="8251"/>
    <n v="27785.915999999997"/>
    <n v="4538"/>
    <n v="10887"/>
    <n v="16502.400000000001"/>
    <n v="0"/>
    <n v="0"/>
    <n v="0.38769999999999999"/>
    <n v="1"/>
    <n v="1"/>
    <n v="4.1933294551095596E-2"/>
    <n v="0.4"/>
    <n v="0.19999515222028311"/>
    <n v="0.67349999999999999"/>
    <n v="0.1"/>
    <n v="0.25"/>
    <n v="0.4"/>
    <n v="0"/>
    <n v="41256"/>
    <s v="Food Security and Livlihoods_x000a_Health "/>
    <n v="1"/>
    <s v=""/>
    <s v="Flagged"/>
    <s v=""/>
    <n v="27785.915999999997"/>
    <s v="WASH"/>
    <n v="0.67349999999999999"/>
    <n v="13470.084000000003"/>
    <n v="0.48478099480326664"/>
    <s v="Flagged"/>
    <n v="16502.400000000001"/>
    <s v="Protection"/>
    <n v="0.4"/>
    <n v="24753.599999999999"/>
    <n v="1.4999999999999998"/>
    <s v="Flagged"/>
    <s v=""/>
    <s v=""/>
    <n v="41256"/>
    <m/>
    <m/>
    <n v="3"/>
    <s v="Flagged"/>
    <n v="41256"/>
    <m/>
    <x v="1"/>
    <x v="2"/>
    <n v="41256"/>
    <n v="0"/>
    <n v="0"/>
  </r>
  <r>
    <s v="Host CommunitySD08105"/>
    <x v="7"/>
    <x v="7"/>
    <x v="89"/>
    <x v="89"/>
    <m/>
    <m/>
    <x v="86"/>
    <x v="0"/>
    <n v="0"/>
    <n v="0"/>
    <n v="12460.75"/>
    <n v="49843"/>
    <n v="3286"/>
    <n v="15782"/>
    <n v="9969"/>
    <n v="31889.5514"/>
    <n v="5483"/>
    <n v="15782"/>
    <n v="4984.3"/>
    <n v="0"/>
    <n v="0"/>
    <n v="0"/>
    <n v="0.25"/>
    <n v="1"/>
    <n v="6.5927010813955828E-2"/>
    <n v="0.31663423148686876"/>
    <n v="0.20000802519912525"/>
    <n v="0.63980000000000004"/>
    <n v="0.1"/>
    <n v="0.30000000000000004"/>
    <n v="0.1"/>
    <n v="0"/>
    <n v="49843"/>
    <s v="Health "/>
    <n v="1"/>
    <s v="Flagged"/>
    <s v="Flagged"/>
    <s v=""/>
    <n v="31889.5514"/>
    <s v="WASH"/>
    <n v="0.63980000000000004"/>
    <n v="17953.4486"/>
    <n v="0.56298843388558928"/>
    <s v="Flagged"/>
    <n v="15782"/>
    <s v="Protection"/>
    <n v="0.31663423148686876"/>
    <n v="34061"/>
    <n v="2.1582182232923586"/>
    <s v="Flagged"/>
    <s v=""/>
    <s v=""/>
    <n v="49843"/>
    <m/>
    <m/>
    <n v="4"/>
    <s v="Flagged"/>
    <n v="49843"/>
    <m/>
    <x v="2"/>
    <x v="2"/>
    <n v="49843"/>
    <n v="0"/>
    <n v="0"/>
  </r>
  <r>
    <s v="Host CommunitySD08106"/>
    <x v="7"/>
    <x v="7"/>
    <x v="90"/>
    <x v="90"/>
    <m/>
    <m/>
    <x v="87"/>
    <x v="0"/>
    <n v="0"/>
    <n v="7411.2731999999996"/>
    <n v="19116"/>
    <n v="19116"/>
    <n v="1730"/>
    <n v="7646.4000000000005"/>
    <n v="3823"/>
    <n v="13654.558800000003"/>
    <n v="2103"/>
    <n v="5045"/>
    <n v="7646.4000000000005"/>
    <n v="1912"/>
    <n v="0"/>
    <n v="0.38769999999999999"/>
    <n v="1"/>
    <n v="1"/>
    <n v="9.0500104624398406E-2"/>
    <n v="0.4"/>
    <n v="0.19998953756015903"/>
    <n v="0.71430000000000016"/>
    <n v="0.1"/>
    <n v="0.25"/>
    <n v="0.4"/>
    <n v="0.1"/>
    <n v="19116"/>
    <s v="Food Security and Livlihoods_x000a_Health "/>
    <n v="1"/>
    <s v=""/>
    <s v="Flagged"/>
    <s v=""/>
    <n v="13654.558800000003"/>
    <s v="WASH"/>
    <n v="0.71430000000000016"/>
    <n v="5461.4411999999975"/>
    <n v="0.39997200055998855"/>
    <s v="Flagged"/>
    <n v="7646.4000000000005"/>
    <s v="Protection"/>
    <n v="0.4"/>
    <n v="11469.599999999999"/>
    <n v="1.4999999999999998"/>
    <s v="Flagged"/>
    <s v=""/>
    <s v=""/>
    <n v="19116"/>
    <m/>
    <m/>
    <n v="3"/>
    <s v="Flagged"/>
    <n v="19116"/>
    <m/>
    <x v="1"/>
    <x v="0"/>
    <n v="0"/>
    <n v="19116"/>
    <n v="0"/>
  </r>
  <r>
    <s v="Host CommunitySD08107"/>
    <x v="7"/>
    <x v="7"/>
    <x v="91"/>
    <x v="91"/>
    <m/>
    <m/>
    <x v="88"/>
    <x v="0"/>
    <n v="0"/>
    <n v="0"/>
    <n v="9826.7999999999993"/>
    <n v="32756"/>
    <n v="2360"/>
    <n v="10373"/>
    <n v="6551"/>
    <n v="18320.430800000002"/>
    <n v="3603"/>
    <n v="10373"/>
    <n v="0"/>
    <n v="3276"/>
    <n v="0"/>
    <n v="0"/>
    <n v="0.3"/>
    <n v="1"/>
    <n v="7.2047869092685304E-2"/>
    <n v="0.31667480766882405"/>
    <n v="0.19999389424838199"/>
    <n v="0.55930000000000002"/>
    <n v="0.1"/>
    <n v="0.30000000000000004"/>
    <n v="0"/>
    <n v="0.1"/>
    <n v="32756"/>
    <s v="Health "/>
    <n v="1"/>
    <s v="Flagged"/>
    <s v="Flagged"/>
    <s v=""/>
    <n v="18320.430800000002"/>
    <s v="WASH"/>
    <n v="0.55930000000000002"/>
    <n v="14435.569199999998"/>
    <n v="0.78794922224208819"/>
    <s v="Flagged"/>
    <n v="10373"/>
    <s v="Protection"/>
    <n v="0.31667480766882405"/>
    <n v="22383"/>
    <n v="2.1578135544201293"/>
    <s v="Flagged"/>
    <s v=""/>
    <s v=""/>
    <n v="32756"/>
    <m/>
    <m/>
    <n v="4"/>
    <s v="Flagged"/>
    <n v="32756"/>
    <m/>
    <x v="2"/>
    <x v="2"/>
    <n v="32756"/>
    <n v="0"/>
    <n v="0"/>
  </r>
  <r>
    <s v="Host CommunitySD08108"/>
    <x v="7"/>
    <x v="7"/>
    <x v="92"/>
    <x v="92"/>
    <m/>
    <m/>
    <x v="89"/>
    <x v="0"/>
    <n v="0"/>
    <n v="0"/>
    <n v="4188"/>
    <n v="16752"/>
    <n v="1203"/>
    <n v="4420"/>
    <n v="3350"/>
    <n v="16752"/>
    <n v="1843"/>
    <n v="4420"/>
    <n v="1675.2"/>
    <n v="0"/>
    <n v="0"/>
    <n v="0"/>
    <n v="0.25"/>
    <n v="1"/>
    <n v="7.1812320916905439E-2"/>
    <n v="0.26384909264565426"/>
    <n v="0.19997612225405922"/>
    <n v="1"/>
    <n v="0.1"/>
    <n v="0.25"/>
    <n v="0.1"/>
    <n v="0"/>
    <n v="16752"/>
    <s v="Health _x000a_WASH"/>
    <n v="1"/>
    <s v="Flagged"/>
    <s v="Flagged"/>
    <s v=""/>
    <n v="4420"/>
    <s v="Protection"/>
    <n v="0.26384909264565426"/>
    <n v="12332"/>
    <n v="2.7900452488687781"/>
    <s v="Flagged"/>
    <n v="4188"/>
    <s v="Food Security and Livlihoods"/>
    <n v="0.25"/>
    <n v="12564"/>
    <n v="3"/>
    <s v="Flagged"/>
    <s v=""/>
    <s v=""/>
    <n v="16752"/>
    <m/>
    <m/>
    <n v="4"/>
    <s v="Flagged"/>
    <n v="16752"/>
    <m/>
    <x v="2"/>
    <x v="2"/>
    <n v="16752"/>
    <n v="0"/>
    <n v="0"/>
  </r>
  <r>
    <s v="Host CommunitySD08109"/>
    <x v="7"/>
    <x v="7"/>
    <x v="93"/>
    <x v="93"/>
    <m/>
    <m/>
    <x v="90"/>
    <x v="0"/>
    <n v="0"/>
    <n v="11406.521699999999"/>
    <n v="29421"/>
    <n v="29421"/>
    <n v="1336"/>
    <n v="11768.400000000001"/>
    <n v="5884"/>
    <n v="18794.1348"/>
    <n v="3236"/>
    <n v="7764"/>
    <n v="11768.400000000001"/>
    <n v="2942"/>
    <n v="0"/>
    <n v="0.38769999999999999"/>
    <n v="1"/>
    <n v="1"/>
    <n v="4.5409741341218855E-2"/>
    <n v="0.4"/>
    <n v="0.19999320213452976"/>
    <n v="0.63880000000000003"/>
    <n v="0.1"/>
    <n v="0.25"/>
    <n v="0.4"/>
    <n v="0.1"/>
    <n v="29421"/>
    <s v="Food Security and Livlihoods_x000a_Health "/>
    <n v="1"/>
    <s v=""/>
    <s v="Flagged"/>
    <s v=""/>
    <n v="18794.1348"/>
    <s v="WASH"/>
    <n v="0.63880000000000003"/>
    <n v="10626.8652"/>
    <n v="0.56543519098309336"/>
    <s v="Flagged"/>
    <n v="11768.400000000001"/>
    <s v="Protection"/>
    <n v="0.4"/>
    <n v="17652.599999999999"/>
    <n v="1.4999999999999998"/>
    <s v="Flagged"/>
    <s v=""/>
    <s v=""/>
    <n v="29421"/>
    <m/>
    <m/>
    <n v="3"/>
    <s v="Flagged"/>
    <n v="29421"/>
    <m/>
    <x v="1"/>
    <x v="0"/>
    <n v="0"/>
    <n v="29421"/>
    <n v="0"/>
  </r>
  <r>
    <s v="Host CommunitySD08110"/>
    <x v="7"/>
    <x v="7"/>
    <x v="94"/>
    <x v="94"/>
    <m/>
    <m/>
    <x v="91"/>
    <x v="0"/>
    <n v="0"/>
    <n v="7885.8180000000002"/>
    <n v="20340"/>
    <n v="20340"/>
    <n v="1332"/>
    <n v="5368"/>
    <n v="4068"/>
    <n v="10074.402"/>
    <n v="2237"/>
    <n v="5368"/>
    <n v="0"/>
    <n v="2034"/>
    <n v="0"/>
    <n v="0.38769999999999999"/>
    <n v="1"/>
    <n v="1"/>
    <n v="6.5486725663716813E-2"/>
    <n v="0.26391347099311702"/>
    <n v="0.2"/>
    <n v="0.49530000000000002"/>
    <n v="0.1"/>
    <n v="0.25"/>
    <n v="0"/>
    <n v="0.1"/>
    <n v="20340"/>
    <s v="Food Security and Livlihoods_x000a_Health "/>
    <n v="1"/>
    <s v=""/>
    <s v="Flagged"/>
    <s v=""/>
    <n v="10074.402"/>
    <s v="WASH"/>
    <n v="0.49530000000000002"/>
    <n v="10265.598"/>
    <n v="1.0189783969311528"/>
    <s v="Flagged"/>
    <n v="7885.8180000000002"/>
    <s v="Education"/>
    <n v="0.38769999999999999"/>
    <n v="12454.182000000001"/>
    <n v="1.5793139025019345"/>
    <s v="Flagged"/>
    <s v=""/>
    <s v=""/>
    <n v="20340"/>
    <m/>
    <m/>
    <n v="3"/>
    <s v="Flagged"/>
    <n v="20340"/>
    <m/>
    <x v="2"/>
    <x v="1"/>
    <n v="0"/>
    <n v="18306"/>
    <n v="2034"/>
  </r>
  <r>
    <s v="Host CommunitySD09044"/>
    <x v="8"/>
    <x v="8"/>
    <x v="95"/>
    <x v="95"/>
    <m/>
    <m/>
    <x v="92"/>
    <x v="0"/>
    <n v="0"/>
    <n v="27230.497199999998"/>
    <n v="17559"/>
    <n v="70236"/>
    <n v="4543"/>
    <n v="22240"/>
    <n v="21071"/>
    <n v="44276.774400000002"/>
    <n v="7726"/>
    <n v="22240"/>
    <n v="0"/>
    <n v="7024"/>
    <n v="0"/>
    <n v="0.38769999999999999"/>
    <n v="0.25"/>
    <n v="1"/>
    <n v="6.4681929494845941E-2"/>
    <n v="0.31664673386867132"/>
    <n v="0.30000284754257078"/>
    <n v="0.63040000000000007"/>
    <n v="0.1"/>
    <n v="0.30000000000000004"/>
    <n v="0"/>
    <n v="0.1"/>
    <n v="70236"/>
    <s v="Health "/>
    <n v="1"/>
    <s v=""/>
    <s v="Flagged"/>
    <s v=""/>
    <n v="44276.774400000002"/>
    <s v="WASH"/>
    <n v="0.63040000000000007"/>
    <n v="25959.225599999998"/>
    <n v="0.58629441624365475"/>
    <s v="Flagged"/>
    <n v="27230.497199999998"/>
    <s v="Education"/>
    <n v="0.38769999999999999"/>
    <n v="43005.502800000002"/>
    <n v="1.5793139025019347"/>
    <s v="Flagged"/>
    <s v=""/>
    <s v=""/>
    <n v="70236"/>
    <m/>
    <m/>
    <n v="3"/>
    <s v="Flagged"/>
    <n v="70236"/>
    <m/>
    <x v="2"/>
    <x v="0"/>
    <n v="0"/>
    <n v="70236"/>
    <n v="0"/>
  </r>
  <r>
    <s v="Host CommunitySD09045"/>
    <x v="8"/>
    <x v="8"/>
    <x v="96"/>
    <x v="96"/>
    <m/>
    <m/>
    <x v="93"/>
    <x v="0"/>
    <n v="0"/>
    <n v="0"/>
    <n v="20067"/>
    <n v="20067"/>
    <n v="735"/>
    <n v="6355"/>
    <n v="4013"/>
    <n v="12758.598599999999"/>
    <n v="2207"/>
    <n v="6355"/>
    <n v="0"/>
    <n v="2007"/>
    <n v="0"/>
    <n v="0"/>
    <n v="1"/>
    <n v="1"/>
    <n v="3.6627298549857974E-2"/>
    <n v="0.31668909154332986"/>
    <n v="0.1999800667762994"/>
    <n v="0.63579999999999992"/>
    <n v="0.1"/>
    <n v="0.30000000000000004"/>
    <n v="0"/>
    <n v="0.1"/>
    <n v="20067"/>
    <s v="Food Security and Livlihoods_x000a_Health "/>
    <n v="1"/>
    <s v="Flagged"/>
    <s v="Flagged"/>
    <s v=""/>
    <n v="12758.598599999999"/>
    <s v="WASH"/>
    <n v="0.63579999999999992"/>
    <n v="7308.4014000000006"/>
    <n v="0.57282164202579433"/>
    <s v="Flagged"/>
    <n v="6355"/>
    <s v="Protection"/>
    <n v="0.31668909154332986"/>
    <n v="13712"/>
    <n v="2.1576711250983478"/>
    <s v="Flagged"/>
    <s v=""/>
    <s v=""/>
    <n v="20067"/>
    <m/>
    <m/>
    <n v="4"/>
    <s v="Flagged"/>
    <n v="20067"/>
    <m/>
    <x v="2"/>
    <x v="2"/>
    <n v="20067"/>
    <n v="0"/>
    <n v="0"/>
  </r>
  <r>
    <s v="Host CommunitySD09046"/>
    <x v="8"/>
    <x v="8"/>
    <x v="97"/>
    <x v="97"/>
    <m/>
    <m/>
    <x v="94"/>
    <x v="0"/>
    <n v="0"/>
    <n v="0"/>
    <n v="20020"/>
    <n v="80080"/>
    <n v="5793"/>
    <n v="25358"/>
    <n v="16016"/>
    <n v="21885.863999999998"/>
    <n v="8809"/>
    <n v="25358"/>
    <n v="0"/>
    <n v="8008"/>
    <n v="0"/>
    <n v="0"/>
    <n v="0.25"/>
    <n v="1"/>
    <n v="7.2340159840159846E-2"/>
    <n v="0.31665834165834167"/>
    <n v="0.2"/>
    <n v="0.27329999999999999"/>
    <n v="0.1"/>
    <n v="0.30000000000000004"/>
    <n v="0"/>
    <n v="0.1"/>
    <n v="80080"/>
    <s v="Health "/>
    <n v="1"/>
    <s v="Flagged"/>
    <s v="Flagged"/>
    <s v=""/>
    <n v="25358"/>
    <s v="Protection"/>
    <n v="0.31665834165834167"/>
    <n v="54722"/>
    <n v="2.1579777584983044"/>
    <s v="Flagged"/>
    <n v="21885.863999999998"/>
    <s v="WASH"/>
    <n v="0.27329999999999999"/>
    <n v="58194.135999999999"/>
    <n v="2.6589828027808271"/>
    <s v="Flagged"/>
    <s v=""/>
    <s v=""/>
    <n v="80080"/>
    <m/>
    <m/>
    <n v="4"/>
    <s v="Flagged"/>
    <n v="80080"/>
    <m/>
    <x v="2"/>
    <x v="2"/>
    <n v="80080"/>
    <n v="0"/>
    <n v="0"/>
  </r>
  <r>
    <s v="Host CommunitySD09047"/>
    <x v="8"/>
    <x v="8"/>
    <x v="98"/>
    <x v="98"/>
    <m/>
    <m/>
    <x v="95"/>
    <x v="0"/>
    <n v="0"/>
    <n v="0"/>
    <n v="21256"/>
    <n v="21256"/>
    <n v="2195"/>
    <n v="6732"/>
    <n v="4251"/>
    <n v="11093.5064"/>
    <n v="2338"/>
    <n v="6732"/>
    <n v="0"/>
    <n v="2126"/>
    <n v="0"/>
    <n v="0"/>
    <n v="1"/>
    <n v="1"/>
    <n v="0.10326496048174633"/>
    <n v="0.31671057583741064"/>
    <n v="0.19999059089198343"/>
    <n v="0.52190000000000003"/>
    <n v="0.1"/>
    <n v="0.30000000000000004"/>
    <n v="0"/>
    <n v="0.1"/>
    <n v="21256"/>
    <s v="Food Security and Livlihoods_x000a_Health "/>
    <n v="1"/>
    <s v="Flagged"/>
    <s v="Flagged"/>
    <s v=""/>
    <n v="11093.5064"/>
    <s v="WASH"/>
    <n v="0.52190000000000003"/>
    <n v="10162.4936"/>
    <n v="0.91607587660471346"/>
    <s v="Flagged"/>
    <n v="6732"/>
    <s v="Protection"/>
    <n v="0.31671057583741064"/>
    <n v="14524"/>
    <n v="2.1574569221628046"/>
    <s v="Flagged"/>
    <s v=""/>
    <s v=""/>
    <n v="21256"/>
    <m/>
    <m/>
    <n v="4"/>
    <s v="Flagged"/>
    <n v="21256"/>
    <m/>
    <x v="2"/>
    <x v="2"/>
    <n v="21256"/>
    <n v="0"/>
    <n v="0"/>
  </r>
  <r>
    <s v="Host CommunitySD09048"/>
    <x v="8"/>
    <x v="8"/>
    <x v="99"/>
    <x v="99"/>
    <m/>
    <m/>
    <x v="96"/>
    <x v="0"/>
    <n v="0"/>
    <n v="0"/>
    <n v="19986"/>
    <n v="19986"/>
    <n v="1095"/>
    <n v="6329"/>
    <n v="3997"/>
    <n v="17359.839599999999"/>
    <n v="2198"/>
    <n v="6329"/>
    <n v="0"/>
    <n v="1999"/>
    <n v="0"/>
    <n v="0"/>
    <n v="1"/>
    <n v="1"/>
    <n v="5.4788351846292403E-2"/>
    <n v="0.3166716701691184"/>
    <n v="0.19998999299509657"/>
    <n v="0.86859999999999993"/>
    <n v="0.1"/>
    <n v="0.30000000000000004"/>
    <n v="0"/>
    <n v="0.1"/>
    <n v="19986"/>
    <s v="Food Security and Livlihoods_x000a_Health "/>
    <n v="1"/>
    <s v="Flagged"/>
    <s v="Flagged"/>
    <s v=""/>
    <n v="17359.839599999999"/>
    <s v="WASH"/>
    <n v="0.86859999999999993"/>
    <n v="2626.1604000000007"/>
    <n v="0.15127791848952341"/>
    <s v=""/>
    <n v="6329"/>
    <s v="Protection"/>
    <n v="0.3166716701691184"/>
    <n v="13657"/>
    <n v="2.1578448412071416"/>
    <s v="Flagged"/>
    <s v=""/>
    <s v=""/>
    <n v="19986"/>
    <m/>
    <m/>
    <n v="3"/>
    <s v="Flagged"/>
    <n v="19986"/>
    <m/>
    <x v="1"/>
    <x v="2"/>
    <n v="19986"/>
    <n v="0"/>
    <n v="0"/>
  </r>
  <r>
    <s v="Host CommunitySD09049"/>
    <x v="8"/>
    <x v="8"/>
    <x v="100"/>
    <x v="100"/>
    <m/>
    <m/>
    <x v="97"/>
    <x v="0"/>
    <n v="0"/>
    <n v="19538.9169"/>
    <n v="50397"/>
    <n v="50397"/>
    <n v="4269"/>
    <n v="15957"/>
    <n v="10079"/>
    <n v="46410.597300000001"/>
    <n v="5544"/>
    <n v="15957"/>
    <n v="0"/>
    <n v="5040"/>
    <n v="0"/>
    <n v="0.38769999999999999"/>
    <n v="1"/>
    <n v="1"/>
    <n v="8.4707423060896486E-2"/>
    <n v="0.31662598964224059"/>
    <n v="0.19999206301962419"/>
    <n v="0.92090000000000005"/>
    <n v="0.1"/>
    <n v="0.30000000000000004"/>
    <n v="0"/>
    <n v="0.1"/>
    <n v="50397"/>
    <s v="Food Security and Livlihoods_x000a_Health "/>
    <n v="1"/>
    <s v=""/>
    <s v="Flagged"/>
    <s v=""/>
    <n v="46410.597300000001"/>
    <s v="WASH"/>
    <n v="0.92090000000000005"/>
    <n v="3986.4026999999987"/>
    <n v="8.5894233901617947E-2"/>
    <s v=""/>
    <n v="19538.9169"/>
    <s v="Education"/>
    <n v="0.38769999999999999"/>
    <n v="30858.0831"/>
    <n v="1.5793139025019345"/>
    <s v="Flagged"/>
    <s v=""/>
    <s v=""/>
    <n v="50397"/>
    <m/>
    <m/>
    <n v="2"/>
    <s v="Flagged"/>
    <n v="50397"/>
    <m/>
    <x v="0"/>
    <x v="0"/>
    <n v="0"/>
    <n v="50397"/>
    <n v="0"/>
  </r>
  <r>
    <s v="Host CommunitySD09050"/>
    <x v="8"/>
    <x v="8"/>
    <x v="101"/>
    <x v="101"/>
    <m/>
    <m/>
    <x v="98"/>
    <x v="0"/>
    <n v="0"/>
    <n v="0"/>
    <n v="158576"/>
    <n v="168576"/>
    <n v="7747"/>
    <n v="53379"/>
    <n v="50573"/>
    <n v="43290.316799999986"/>
    <n v="18543"/>
    <n v="53379"/>
    <n v="0"/>
    <n v="16858"/>
    <n v="0"/>
    <n v="0"/>
    <n v="0.94067957479119213"/>
    <n v="1"/>
    <n v="4.5955533409263477E-2"/>
    <n v="0.31664649772209569"/>
    <n v="0.30000118640850415"/>
    <n v="0.25679999999999992"/>
    <n v="0.1"/>
    <n v="0.30000000000000004"/>
    <n v="0"/>
    <n v="0.1"/>
    <n v="168576"/>
    <s v="Health "/>
    <n v="1"/>
    <s v="Flagged"/>
    <s v="Flagged"/>
    <s v=""/>
    <n v="158576"/>
    <s v="Food Security and Livlihoods"/>
    <n v="0.94067957479119213"/>
    <n v="10000"/>
    <n v="6.3061245081222878E-2"/>
    <s v=""/>
    <n v="53379"/>
    <s v="Protection"/>
    <n v="0.31664649772209569"/>
    <n v="115197"/>
    <n v="2.1580958804024055"/>
    <s v="Flagged"/>
    <s v=""/>
    <s v=""/>
    <n v="168576"/>
    <m/>
    <m/>
    <n v="3"/>
    <s v="Flagged"/>
    <n v="168576"/>
    <m/>
    <x v="0"/>
    <x v="2"/>
    <n v="168576"/>
    <n v="0"/>
    <n v="0"/>
  </r>
  <r>
    <s v="Host CommunitySD09051"/>
    <x v="8"/>
    <x v="8"/>
    <x v="102"/>
    <x v="102"/>
    <m/>
    <m/>
    <x v="99"/>
    <x v="0"/>
    <n v="0"/>
    <n v="36056.875399999997"/>
    <n v="93002"/>
    <n v="93002"/>
    <n v="8836"/>
    <n v="29447"/>
    <n v="18600"/>
    <n v="56963.724999999999"/>
    <n v="10230"/>
    <n v="29447"/>
    <n v="0"/>
    <n v="9300"/>
    <n v="0"/>
    <n v="0.38769999999999999"/>
    <n v="1"/>
    <n v="1"/>
    <n v="9.5008709490118498E-2"/>
    <n v="0.3166275994064644"/>
    <n v="0.19999569901722544"/>
    <n v="0.61249999999999993"/>
    <n v="0.1"/>
    <n v="0.30000000000000004"/>
    <n v="0"/>
    <n v="0.1"/>
    <n v="93002"/>
    <s v="Food Security and Livlihoods_x000a_Health "/>
    <n v="1"/>
    <s v=""/>
    <s v="Flagged"/>
    <s v=""/>
    <n v="56963.724999999999"/>
    <s v="WASH"/>
    <n v="0.61249999999999993"/>
    <n v="36038.275000000001"/>
    <n v="0.63265306122448983"/>
    <s v="Flagged"/>
    <n v="36056.875399999997"/>
    <s v="Education"/>
    <n v="0.38769999999999999"/>
    <n v="56945.124600000003"/>
    <n v="1.5793139025019347"/>
    <s v="Flagged"/>
    <s v=""/>
    <s v=""/>
    <n v="93002"/>
    <m/>
    <m/>
    <n v="3"/>
    <s v="Flagged"/>
    <n v="93002"/>
    <m/>
    <x v="2"/>
    <x v="0"/>
    <n v="0"/>
    <n v="93002"/>
    <n v="0"/>
  </r>
  <r>
    <s v="Host CommunitySD09052"/>
    <x v="8"/>
    <x v="8"/>
    <x v="103"/>
    <x v="103"/>
    <m/>
    <m/>
    <x v="100"/>
    <x v="0"/>
    <n v="0"/>
    <n v="0"/>
    <n v="216917"/>
    <n v="223917"/>
    <n v="19151"/>
    <n v="59085"/>
    <n v="44783"/>
    <n v="189209.86499999999"/>
    <n v="24631"/>
    <n v="59085"/>
    <n v="0"/>
    <n v="22392"/>
    <n v="0"/>
    <n v="0"/>
    <n v="0.9687384164668158"/>
    <n v="1"/>
    <n v="8.5527226606287157E-2"/>
    <n v="0.26387009472259809"/>
    <n v="0.1999982136237981"/>
    <n v="0.84499999999999997"/>
    <n v="0.1"/>
    <n v="0.25"/>
    <n v="0"/>
    <n v="0.1"/>
    <n v="223917"/>
    <s v="Health "/>
    <n v="1"/>
    <s v="Flagged"/>
    <s v="Flagged"/>
    <s v=""/>
    <n v="216917"/>
    <s v="Food Security and Livlihoods"/>
    <n v="0.9687384164668158"/>
    <n v="7000"/>
    <n v="3.2270407575247677E-2"/>
    <s v=""/>
    <n v="189209.86499999999"/>
    <s v="WASH"/>
    <n v="0.84499999999999997"/>
    <n v="34707.135000000009"/>
    <n v="0.18343195266272194"/>
    <s v=""/>
    <s v=""/>
    <s v=""/>
    <n v="223917"/>
    <m/>
    <m/>
    <n v="2"/>
    <s v="Flagged"/>
    <n v="223917"/>
    <m/>
    <x v="2"/>
    <x v="2"/>
    <n v="223917"/>
    <n v="0"/>
    <n v="0"/>
  </r>
  <r>
    <s v="Host CommunitySD10063"/>
    <x v="9"/>
    <x v="9"/>
    <x v="104"/>
    <x v="104"/>
    <m/>
    <m/>
    <x v="101"/>
    <x v="0"/>
    <n v="0"/>
    <n v="126.0025"/>
    <n v="325"/>
    <n v="325"/>
    <n v="56"/>
    <n v="35.750000000000007"/>
    <n v="0"/>
    <n v="317.39500000000004"/>
    <n v="36"/>
    <n v="0"/>
    <n v="0"/>
    <n v="33"/>
    <n v="0"/>
    <n v="0.38769999999999999"/>
    <n v="1"/>
    <n v="1"/>
    <n v="0.1723076923076923"/>
    <n v="0.11000000000000003"/>
    <n v="0"/>
    <n v="0.97660000000000013"/>
    <n v="0.1"/>
    <n v="0"/>
    <n v="0"/>
    <n v="0.1"/>
    <n v="325"/>
    <s v="Food Security and Livlihoods_x000a_Health "/>
    <n v="1"/>
    <s v="Flagged"/>
    <s v="Flagged"/>
    <s v=""/>
    <n v="317.39500000000004"/>
    <s v="WASH"/>
    <n v="0.97660000000000013"/>
    <n v="7.6049999999999613"/>
    <n v="2.3960679909891335E-2"/>
    <s v=""/>
    <n v="126.0025"/>
    <s v="Education"/>
    <n v="0.38769999999999999"/>
    <n v="198.9975"/>
    <n v="1.5793139025019345"/>
    <s v="Flagged"/>
    <s v=""/>
    <s v=""/>
    <n v="325"/>
    <m/>
    <m/>
    <n v="3"/>
    <s v="Flagged"/>
    <n v="325"/>
    <m/>
    <x v="2"/>
    <x v="2"/>
    <n v="325"/>
    <n v="0"/>
    <n v="0"/>
  </r>
  <r>
    <s v="Host CommunitySD10064"/>
    <x v="9"/>
    <x v="9"/>
    <x v="105"/>
    <x v="105"/>
    <m/>
    <m/>
    <x v="102"/>
    <x v="0"/>
    <n v="0"/>
    <n v="52613.216199999995"/>
    <n v="20355.900000000001"/>
    <n v="135706"/>
    <n v="7884"/>
    <n v="42971"/>
    <n v="27141"/>
    <n v="61189.835399999989"/>
    <n v="14928"/>
    <n v="42971"/>
    <n v="0"/>
    <n v="13571"/>
    <n v="0"/>
    <n v="0.38769999999999999"/>
    <n v="0.15000000000000002"/>
    <n v="1"/>
    <n v="5.8096178503529688E-2"/>
    <n v="0.31664775323124988"/>
    <n v="0.19999852622581168"/>
    <n v="0.45089999999999991"/>
    <n v="0.1"/>
    <n v="0.30000000000000004"/>
    <n v="0"/>
    <n v="0.1"/>
    <n v="135706"/>
    <s v="Health "/>
    <n v="1"/>
    <s v=""/>
    <s v="Flagged"/>
    <s v=""/>
    <n v="61189.835399999989"/>
    <s v="WASH"/>
    <n v="0.45089999999999991"/>
    <n v="74516.164600000018"/>
    <n v="1.217786648924374"/>
    <s v="Flagged"/>
    <n v="52613.216199999995"/>
    <s v="Education"/>
    <n v="0.38769999999999999"/>
    <n v="83092.783800000005"/>
    <n v="1.5793139025019347"/>
    <s v="Flagged"/>
    <s v=""/>
    <s v=""/>
    <n v="135706"/>
    <m/>
    <m/>
    <n v="3"/>
    <s v="Flagged"/>
    <n v="135706"/>
    <m/>
    <x v="2"/>
    <x v="2"/>
    <n v="135706"/>
    <n v="0"/>
    <n v="0"/>
  </r>
  <r>
    <s v="Host CommunitySD10065"/>
    <x v="9"/>
    <x v="9"/>
    <x v="106"/>
    <x v="106"/>
    <m/>
    <m/>
    <x v="103"/>
    <x v="0"/>
    <n v="0"/>
    <n v="0"/>
    <n v="2382"/>
    <n v="2382"/>
    <n v="459"/>
    <n v="262.02000000000004"/>
    <n v="0"/>
    <n v="2259.3269999999998"/>
    <n v="262"/>
    <n v="0"/>
    <n v="0"/>
    <n v="238"/>
    <n v="0"/>
    <n v="0"/>
    <n v="1"/>
    <n v="1"/>
    <n v="0.19269521410579346"/>
    <n v="0.11000000000000001"/>
    <n v="0"/>
    <n v="0.9484999999999999"/>
    <n v="0.1"/>
    <n v="0"/>
    <n v="0"/>
    <n v="0.1"/>
    <n v="2382"/>
    <s v="Food Security and Livlihoods_x000a_Health "/>
    <n v="1"/>
    <s v="Flagged"/>
    <s v="Flagged"/>
    <s v=""/>
    <n v="2259.3269999999998"/>
    <s v="WASH"/>
    <n v="0.9484999999999999"/>
    <n v="122.67300000000023"/>
    <n v="5.4296257248286878E-2"/>
    <s v=""/>
    <n v="459"/>
    <s v="Nutrition"/>
    <n v="0.19269521410579346"/>
    <n v="1923"/>
    <n v="4.1895424836601309"/>
    <s v="Flagged"/>
    <s v=""/>
    <s v=""/>
    <n v="2382"/>
    <m/>
    <m/>
    <n v="3"/>
    <s v="Flagged"/>
    <n v="2382"/>
    <m/>
    <x v="2"/>
    <x v="2"/>
    <n v="2382"/>
    <n v="0"/>
    <n v="0"/>
  </r>
  <r>
    <s v="Host CommunitySD10066"/>
    <x v="9"/>
    <x v="9"/>
    <x v="107"/>
    <x v="107"/>
    <m/>
    <m/>
    <x v="34"/>
    <x v="0"/>
    <n v="0"/>
    <n v="0"/>
    <n v="0"/>
    <n v="0"/>
    <n v="0"/>
    <n v="0"/>
    <n v="0"/>
    <n v="0"/>
    <n v="0"/>
    <n v="0"/>
    <n v="0"/>
    <n v="0"/>
    <e v="#DIV/0!"/>
    <e v="#DIV/0!"/>
    <e v="#DIV/0!"/>
    <e v="#DIV/0!"/>
    <e v="#DIV/0!"/>
    <e v="#DIV/0!"/>
    <e v="#DIV/0!"/>
    <e v="#DIV/0!"/>
    <s v=""/>
    <s v=""/>
    <s v=""/>
    <s v=""/>
    <n v="0"/>
    <s v="Site Management _x000a_Education_x000a_Food Security and Livlihoods_x000a_Health _x000a_Nutrition_x000a_Protection_x000a_Shelter NFI _x000a_WASH"/>
    <e v="#DIV/0!"/>
    <s v=""/>
    <s v=""/>
    <s v=""/>
    <s v="NA"/>
    <s v=""/>
    <s v=""/>
    <s v=""/>
    <s v=""/>
    <s v=""/>
    <n v="0"/>
    <s v="Site Management _x000a_Education_x000a_Food Security and Livlihoods_x000a_Health _x000a_Nutrition_x000a_Protection_x000a_Shelter NFI _x000a_WASH"/>
    <s v=""/>
    <n v="0"/>
    <s v=""/>
    <s v=""/>
    <s v=""/>
    <s v=""/>
    <n v="0"/>
    <m/>
    <m/>
    <n v="0"/>
    <s v=""/>
    <n v="0"/>
    <m/>
    <x v="2"/>
    <x v="2"/>
    <n v="0"/>
    <n v="0"/>
    <n v="0"/>
  </r>
  <r>
    <s v="Host CommunitySD10067"/>
    <x v="9"/>
    <x v="9"/>
    <x v="108"/>
    <x v="108"/>
    <m/>
    <m/>
    <x v="104"/>
    <x v="0"/>
    <n v="0"/>
    <n v="0"/>
    <n v="100"/>
    <n v="100"/>
    <n v="16"/>
    <n v="11.000000000000002"/>
    <n v="0"/>
    <n v="83.789999999999992"/>
    <n v="11"/>
    <n v="0"/>
    <n v="0"/>
    <n v="10"/>
    <n v="0"/>
    <n v="0"/>
    <n v="1"/>
    <n v="1"/>
    <n v="0.16"/>
    <n v="0.11000000000000001"/>
    <n v="0"/>
    <n v="0.83789999999999987"/>
    <n v="0.1"/>
    <n v="0"/>
    <n v="0"/>
    <n v="0.1"/>
    <n v="100"/>
    <s v="Food Security and Livlihoods_x000a_Health "/>
    <n v="1"/>
    <s v="Flagged"/>
    <s v="Flagged"/>
    <s v=""/>
    <n v="83.789999999999992"/>
    <s v="WASH"/>
    <n v="0.83789999999999987"/>
    <n v="16.210000000000008"/>
    <n v="0.19345984007638153"/>
    <s v=""/>
    <n v="16"/>
    <s v="Nutrition"/>
    <n v="0.16"/>
    <n v="84"/>
    <n v="5.25"/>
    <s v="Flagged"/>
    <s v=""/>
    <s v=""/>
    <n v="100"/>
    <m/>
    <m/>
    <n v="3"/>
    <s v="Flagged"/>
    <n v="100"/>
    <m/>
    <x v="2"/>
    <x v="2"/>
    <n v="100"/>
    <n v="0"/>
    <n v="0"/>
  </r>
  <r>
    <s v="Host CommunitySD10068"/>
    <x v="9"/>
    <x v="9"/>
    <x v="109"/>
    <x v="109"/>
    <m/>
    <m/>
    <x v="105"/>
    <x v="0"/>
    <n v="0"/>
    <n v="0"/>
    <n v="419.25"/>
    <n v="2795"/>
    <n v="2936"/>
    <n v="307.45000000000005"/>
    <n v="0"/>
    <n v="2505.7175000000002"/>
    <n v="307"/>
    <n v="0"/>
    <n v="0"/>
    <n v="280"/>
    <n v="0"/>
    <n v="0"/>
    <n v="0.15"/>
    <n v="1"/>
    <n v="1.0504472271914131"/>
    <n v="0.11000000000000001"/>
    <n v="0"/>
    <n v="0.89650000000000007"/>
    <n v="0.1"/>
    <n v="0"/>
    <n v="0"/>
    <n v="0.1"/>
    <n v="2936"/>
    <s v="Nutrition"/>
    <n v="1.0504472271914131"/>
    <s v="Flagged"/>
    <s v="Flagged"/>
    <s v="Flagged"/>
    <n v="2795"/>
    <s v="Health "/>
    <n v="1"/>
    <n v="141"/>
    <n v="5.0447227191413237E-2"/>
    <s v=""/>
    <n v="2505.7175000000002"/>
    <s v="WASH"/>
    <n v="0.89650000000000007"/>
    <n v="430.2824999999998"/>
    <n v="0.17172027572940676"/>
    <s v=""/>
    <s v=""/>
    <s v=""/>
    <n v="2936"/>
    <m/>
    <m/>
    <n v="3"/>
    <s v="Flagged"/>
    <n v="2795"/>
    <m/>
    <x v="2"/>
    <x v="2"/>
    <n v="2795"/>
    <n v="0"/>
    <n v="0"/>
  </r>
  <r>
    <s v="Host CommunitySD10069"/>
    <x v="9"/>
    <x v="9"/>
    <x v="110"/>
    <x v="110"/>
    <m/>
    <m/>
    <x v="34"/>
    <x v="0"/>
    <n v="0"/>
    <n v="0"/>
    <n v="0"/>
    <n v="0"/>
    <n v="0"/>
    <n v="0"/>
    <n v="0"/>
    <n v="0"/>
    <n v="0"/>
    <n v="0"/>
    <n v="0"/>
    <n v="0"/>
    <e v="#DIV/0!"/>
    <e v="#DIV/0!"/>
    <e v="#DIV/0!"/>
    <e v="#DIV/0!"/>
    <e v="#DIV/0!"/>
    <e v="#DIV/0!"/>
    <e v="#DIV/0!"/>
    <e v="#DIV/0!"/>
    <s v=""/>
    <s v=""/>
    <s v=""/>
    <s v=""/>
    <n v="0"/>
    <s v="Site Management _x000a_Education_x000a_Food Security and Livlihoods_x000a_Health _x000a_Nutrition_x000a_Protection_x000a_Shelter NFI _x000a_WASH"/>
    <e v="#DIV/0!"/>
    <s v=""/>
    <s v=""/>
    <s v=""/>
    <s v="NA"/>
    <s v=""/>
    <s v=""/>
    <s v=""/>
    <s v=""/>
    <s v=""/>
    <n v="0"/>
    <s v="Site Management _x000a_Education_x000a_Food Security and Livlihoods_x000a_Health _x000a_Nutrition_x000a_Protection_x000a_Shelter NFI _x000a_WASH"/>
    <s v=""/>
    <n v="0"/>
    <s v=""/>
    <s v=""/>
    <s v=""/>
    <s v=""/>
    <n v="0"/>
    <m/>
    <m/>
    <n v="0"/>
    <s v=""/>
    <n v="0"/>
    <m/>
    <x v="2"/>
    <x v="2"/>
    <n v="0"/>
    <n v="0"/>
    <n v="0"/>
  </r>
  <r>
    <s v="Host CommunitySD10070"/>
    <x v="9"/>
    <x v="9"/>
    <x v="111"/>
    <x v="111"/>
    <m/>
    <m/>
    <x v="106"/>
    <x v="0"/>
    <n v="0"/>
    <n v="0"/>
    <n v="2075"/>
    <n v="2075"/>
    <n v="467"/>
    <n v="547"/>
    <n v="0"/>
    <n v="2042.2149999999999"/>
    <n v="228"/>
    <n v="547"/>
    <n v="0"/>
    <n v="208"/>
    <n v="0"/>
    <n v="0"/>
    <n v="1"/>
    <n v="1"/>
    <n v="0.22506024096385543"/>
    <n v="0.26361445783132531"/>
    <n v="0"/>
    <n v="0.98419999999999996"/>
    <n v="0.1"/>
    <n v="0.25"/>
    <n v="0"/>
    <n v="0.1"/>
    <n v="2075"/>
    <s v="Food Security and Livlihoods_x000a_Health "/>
    <n v="1"/>
    <s v="Flagged"/>
    <s v="Flagged"/>
    <s v=""/>
    <n v="2042.2149999999999"/>
    <s v="WASH"/>
    <n v="0.98419999999999996"/>
    <n v="32.785000000000082"/>
    <n v="1.6053647632595043E-2"/>
    <s v=""/>
    <n v="547"/>
    <s v="Protection"/>
    <n v="0.26361445783132531"/>
    <n v="1528"/>
    <n v="2.7934186471663618"/>
    <s v="Flagged"/>
    <s v=""/>
    <s v=""/>
    <n v="2075"/>
    <m/>
    <m/>
    <n v="3"/>
    <s v="Flagged"/>
    <n v="2075"/>
    <m/>
    <x v="2"/>
    <x v="2"/>
    <n v="2075"/>
    <n v="0"/>
    <n v="0"/>
  </r>
  <r>
    <s v="Host CommunitySD10071"/>
    <x v="9"/>
    <x v="9"/>
    <x v="112"/>
    <x v="112"/>
    <m/>
    <m/>
    <x v="107"/>
    <x v="0"/>
    <n v="0"/>
    <n v="0"/>
    <n v="2755"/>
    <n v="2755"/>
    <n v="285"/>
    <n v="727"/>
    <n v="0"/>
    <n v="2575.9250000000002"/>
    <n v="303"/>
    <n v="727"/>
    <n v="0"/>
    <n v="276"/>
    <n v="0"/>
    <n v="0"/>
    <n v="1"/>
    <n v="1"/>
    <n v="0.10344827586206896"/>
    <n v="0.26388384754990923"/>
    <n v="0"/>
    <n v="0.93500000000000005"/>
    <n v="0.1"/>
    <n v="0.25"/>
    <n v="0"/>
    <n v="0.1"/>
    <n v="2755"/>
    <s v="Food Security and Livlihoods_x000a_Health "/>
    <n v="1"/>
    <s v="Flagged"/>
    <s v="Flagged"/>
    <s v=""/>
    <n v="2575.9250000000002"/>
    <s v="WASH"/>
    <n v="0.93500000000000005"/>
    <n v="179.07499999999982"/>
    <n v="6.9518716577540038E-2"/>
    <s v=""/>
    <n v="727"/>
    <s v="Protection"/>
    <n v="0.26388384754990923"/>
    <n v="2028"/>
    <n v="2.7895460797799174"/>
    <s v="Flagged"/>
    <s v=""/>
    <s v=""/>
    <n v="2755"/>
    <m/>
    <m/>
    <n v="3"/>
    <s v="Flagged"/>
    <n v="2755"/>
    <m/>
    <x v="2"/>
    <x v="2"/>
    <n v="2755"/>
    <n v="0"/>
    <n v="0"/>
  </r>
  <r>
    <s v="Host CommunitySD10072"/>
    <x v="9"/>
    <x v="9"/>
    <x v="113"/>
    <x v="113"/>
    <m/>
    <m/>
    <x v="34"/>
    <x v="0"/>
    <n v="0"/>
    <n v="0"/>
    <n v="0"/>
    <n v="0"/>
    <n v="0"/>
    <n v="0"/>
    <n v="0"/>
    <n v="0"/>
    <n v="0"/>
    <n v="0"/>
    <n v="0"/>
    <n v="0"/>
    <e v="#DIV/0!"/>
    <e v="#DIV/0!"/>
    <e v="#DIV/0!"/>
    <e v="#DIV/0!"/>
    <e v="#DIV/0!"/>
    <e v="#DIV/0!"/>
    <e v="#DIV/0!"/>
    <e v="#DIV/0!"/>
    <s v=""/>
    <s v=""/>
    <s v=""/>
    <s v=""/>
    <n v="0"/>
    <s v="Site Management _x000a_Education_x000a_Food Security and Livlihoods_x000a_Health _x000a_Nutrition_x000a_Protection_x000a_Shelter NFI _x000a_WASH"/>
    <e v="#DIV/0!"/>
    <s v=""/>
    <s v=""/>
    <s v=""/>
    <s v="NA"/>
    <s v=""/>
    <s v=""/>
    <s v=""/>
    <s v=""/>
    <s v=""/>
    <n v="0"/>
    <s v="Site Management _x000a_Education_x000a_Food Security and Livlihoods_x000a_Health _x000a_Nutrition_x000a_Protection_x000a_Shelter NFI _x000a_WASH"/>
    <s v=""/>
    <n v="0"/>
    <s v=""/>
    <s v=""/>
    <s v=""/>
    <s v=""/>
    <n v="0"/>
    <m/>
    <m/>
    <n v="0"/>
    <s v=""/>
    <n v="0"/>
    <m/>
    <x v="2"/>
    <x v="2"/>
    <n v="0"/>
    <n v="0"/>
    <n v="0"/>
  </r>
  <r>
    <s v="Host CommunitySD11052"/>
    <x v="10"/>
    <x v="10"/>
    <x v="114"/>
    <x v="114"/>
    <m/>
    <m/>
    <x v="108"/>
    <x v="0"/>
    <n v="0"/>
    <n v="12967.7896"/>
    <n v="33448"/>
    <n v="33448"/>
    <n v="1931"/>
    <n v="10591"/>
    <n v="6690"/>
    <n v="20035.351999999999"/>
    <n v="3679"/>
    <n v="10591"/>
    <n v="0"/>
    <n v="0"/>
    <n v="0"/>
    <n v="0.38769999999999999"/>
    <n v="1"/>
    <n v="1"/>
    <n v="5.7731403970342023E-2"/>
    <n v="0.31664075580004786"/>
    <n v="0.20001195886151638"/>
    <n v="0.59899999999999998"/>
    <n v="0.1"/>
    <n v="0.30000000000000004"/>
    <n v="0"/>
    <n v="0"/>
    <n v="33448"/>
    <s v="Food Security and Livlihoods_x000a_Health "/>
    <n v="1"/>
    <s v=""/>
    <s v="Flagged"/>
    <s v=""/>
    <n v="20035.351999999999"/>
    <s v="WASH"/>
    <n v="0.59899999999999998"/>
    <n v="13412.648000000001"/>
    <n v="0.66944908180300511"/>
    <s v="Flagged"/>
    <n v="12967.7896"/>
    <s v="Education"/>
    <n v="0.38769999999999999"/>
    <n v="20480.2104"/>
    <n v="1.5793139025019345"/>
    <s v="Flagged"/>
    <s v=""/>
    <s v=""/>
    <n v="33448"/>
    <m/>
    <m/>
    <n v="3"/>
    <s v="Flagged"/>
    <n v="33448"/>
    <m/>
    <x v="2"/>
    <x v="2"/>
    <n v="33448"/>
    <n v="0"/>
    <n v="0"/>
  </r>
  <r>
    <s v="Host CommunitySD11053"/>
    <x v="10"/>
    <x v="10"/>
    <x v="115"/>
    <x v="115"/>
    <m/>
    <m/>
    <x v="109"/>
    <x v="0"/>
    <n v="0"/>
    <n v="17669.815200000001"/>
    <n v="45576"/>
    <n v="45576"/>
    <n v="5182"/>
    <n v="14432"/>
    <n v="9115"/>
    <n v="15044.637600000002"/>
    <n v="5013"/>
    <n v="14432"/>
    <n v="0"/>
    <n v="0"/>
    <n v="0"/>
    <n v="0.38770000000000004"/>
    <n v="1"/>
    <n v="1"/>
    <n v="0.11370019308407935"/>
    <n v="0.31665789011760576"/>
    <n v="0.19999561172546954"/>
    <n v="0.33010000000000006"/>
    <n v="0.1"/>
    <n v="0.30000000000000004"/>
    <n v="0"/>
    <n v="0"/>
    <n v="45576"/>
    <s v="Food Security and Livlihoods_x000a_Health "/>
    <n v="1"/>
    <s v=""/>
    <s v="Flagged"/>
    <s v=""/>
    <n v="17669.815200000001"/>
    <s v="Education"/>
    <n v="0.38770000000000004"/>
    <n v="27906.184799999999"/>
    <n v="1.5793139025019343"/>
    <s v="Flagged"/>
    <n v="15044.637600000002"/>
    <s v="WASH"/>
    <n v="0.33010000000000006"/>
    <n v="30531.362399999998"/>
    <n v="2.0293850348379276"/>
    <s v="Flagged"/>
    <s v=""/>
    <s v=""/>
    <n v="45576"/>
    <m/>
    <m/>
    <n v="3"/>
    <s v="Flagged"/>
    <n v="45576"/>
    <m/>
    <x v="2"/>
    <x v="2"/>
    <n v="45576"/>
    <n v="0"/>
    <n v="0"/>
  </r>
  <r>
    <s v="Host CommunitySD11054"/>
    <x v="10"/>
    <x v="10"/>
    <x v="116"/>
    <x v="116"/>
    <m/>
    <m/>
    <x v="34"/>
    <x v="0"/>
    <n v="0"/>
    <n v="0"/>
    <n v="0"/>
    <n v="0"/>
    <n v="0"/>
    <n v="0"/>
    <n v="0"/>
    <n v="0"/>
    <n v="0"/>
    <n v="0"/>
    <n v="0"/>
    <n v="0"/>
    <e v="#DIV/0!"/>
    <e v="#DIV/0!"/>
    <e v="#DIV/0!"/>
    <e v="#DIV/0!"/>
    <e v="#DIV/0!"/>
    <e v="#DIV/0!"/>
    <e v="#DIV/0!"/>
    <e v="#DIV/0!"/>
    <s v=""/>
    <s v=""/>
    <s v=""/>
    <s v=""/>
    <n v="0"/>
    <s v="Site Management _x000a_Education_x000a_Food Security and Livlihoods_x000a_Health _x000a_Nutrition_x000a_Protection_x000a_Shelter NFI _x000a_WASH"/>
    <e v="#DIV/0!"/>
    <s v=""/>
    <s v=""/>
    <s v=""/>
    <s v="NA"/>
    <s v=""/>
    <s v=""/>
    <s v=""/>
    <s v=""/>
    <s v=""/>
    <n v="0"/>
    <s v="Site Management _x000a_Education_x000a_Food Security and Livlihoods_x000a_Health _x000a_Nutrition_x000a_Protection_x000a_Shelter NFI _x000a_WASH"/>
    <s v=""/>
    <n v="0"/>
    <s v=""/>
    <s v=""/>
    <s v=""/>
    <s v=""/>
    <n v="0"/>
    <m/>
    <m/>
    <n v="0"/>
    <s v=""/>
    <n v="0"/>
    <m/>
    <x v="2"/>
    <x v="2"/>
    <n v="0"/>
    <n v="0"/>
    <n v="0"/>
  </r>
  <r>
    <s v="Host CommunitySD11055"/>
    <x v="10"/>
    <x v="10"/>
    <x v="117"/>
    <x v="117"/>
    <m/>
    <m/>
    <x v="110"/>
    <x v="0"/>
    <n v="0"/>
    <n v="267.51299999999998"/>
    <n v="690"/>
    <n v="690"/>
    <n v="113"/>
    <n v="75.90000000000002"/>
    <n v="0"/>
    <n v="690"/>
    <n v="76"/>
    <n v="0"/>
    <n v="0"/>
    <n v="0"/>
    <n v="0"/>
    <n v="0.38769999999999999"/>
    <n v="1"/>
    <n v="1"/>
    <n v="0.16376811594202897"/>
    <n v="0.11000000000000003"/>
    <n v="0"/>
    <n v="1"/>
    <n v="0.1"/>
    <n v="0"/>
    <n v="0"/>
    <n v="0"/>
    <n v="690"/>
    <s v="Food Security and Livlihoods_x000a_Health _x000a_WASH"/>
    <n v="1"/>
    <s v="Flagged"/>
    <s v="Flagged"/>
    <s v=""/>
    <n v="267.51299999999998"/>
    <s v="Education"/>
    <n v="0.38769999999999999"/>
    <n v="422.48700000000002"/>
    <n v="1.5793139025019347"/>
    <s v="Flagged"/>
    <n v="113"/>
    <s v="Nutrition"/>
    <n v="0.16376811594202897"/>
    <n v="577"/>
    <n v="5.1061946902654869"/>
    <s v="Flagged"/>
    <s v=""/>
    <s v=""/>
    <n v="690"/>
    <m/>
    <m/>
    <n v="4"/>
    <s v="Flagged"/>
    <n v="690"/>
    <m/>
    <x v="2"/>
    <x v="2"/>
    <n v="690"/>
    <n v="0"/>
    <n v="0"/>
  </r>
  <r>
    <s v="Host CommunitySD11056"/>
    <x v="10"/>
    <x v="10"/>
    <x v="118"/>
    <x v="118"/>
    <m/>
    <m/>
    <x v="111"/>
    <x v="0"/>
    <n v="0"/>
    <n v="0"/>
    <n v="28823"/>
    <n v="28823"/>
    <n v="2573"/>
    <n v="7606"/>
    <n v="0"/>
    <n v="24831.014500000005"/>
    <n v="3171"/>
    <n v="7606"/>
    <n v="0"/>
    <n v="0"/>
    <n v="0"/>
    <n v="0"/>
    <n v="1"/>
    <n v="1"/>
    <n v="8.9268986573222769E-2"/>
    <n v="0.26388647954758354"/>
    <n v="0"/>
    <n v="0.86150000000000015"/>
    <n v="0.1"/>
    <n v="0.25"/>
    <n v="0"/>
    <n v="0"/>
    <n v="28823"/>
    <s v="Food Security and Livlihoods_x000a_Health "/>
    <n v="1"/>
    <s v="Flagged"/>
    <s v="Flagged"/>
    <s v=""/>
    <n v="24831.014500000005"/>
    <s v="WASH"/>
    <n v="0.86150000000000015"/>
    <n v="3991.9854999999952"/>
    <n v="0.16076610562971538"/>
    <s v=""/>
    <n v="7606"/>
    <s v="Protection"/>
    <n v="0.26388647954758354"/>
    <n v="21217"/>
    <n v="2.7895082829345252"/>
    <s v="Flagged"/>
    <s v=""/>
    <s v=""/>
    <n v="28823"/>
    <m/>
    <m/>
    <n v="3"/>
    <s v="Flagged"/>
    <n v="28823"/>
    <m/>
    <x v="2"/>
    <x v="2"/>
    <n v="28823"/>
    <n v="0"/>
    <n v="0"/>
  </r>
  <r>
    <s v="Host CommunitySD11057"/>
    <x v="10"/>
    <x v="10"/>
    <x v="119"/>
    <x v="119"/>
    <m/>
    <m/>
    <x v="112"/>
    <x v="0"/>
    <n v="0"/>
    <n v="1323.9955"/>
    <n v="3415"/>
    <n v="3415"/>
    <n v="243"/>
    <n v="902"/>
    <n v="683"/>
    <n v="3235.7125000000001"/>
    <n v="376"/>
    <n v="902"/>
    <n v="0"/>
    <n v="0"/>
    <n v="0"/>
    <n v="0.38769999999999999"/>
    <n v="1"/>
    <n v="1"/>
    <n v="7.1156661786237183E-2"/>
    <n v="0.26412884333821374"/>
    <n v="0.2"/>
    <n v="0.94750000000000001"/>
    <n v="0.1"/>
    <n v="0.25"/>
    <n v="0"/>
    <n v="0"/>
    <n v="3415"/>
    <s v="Food Security and Livlihoods_x000a_Health "/>
    <n v="1"/>
    <s v=""/>
    <s v="Flagged"/>
    <s v=""/>
    <n v="3235.7125000000001"/>
    <s v="WASH"/>
    <n v="0.94750000000000001"/>
    <n v="179.28749999999991"/>
    <n v="5.5408970976253268E-2"/>
    <s v=""/>
    <n v="1323.9955"/>
    <s v="Education"/>
    <n v="0.38769999999999999"/>
    <n v="2091.0045"/>
    <n v="1.5793139025019345"/>
    <s v="Flagged"/>
    <s v=""/>
    <s v=""/>
    <n v="3415"/>
    <m/>
    <m/>
    <n v="2"/>
    <s v="Flagged"/>
    <n v="3415"/>
    <m/>
    <x v="2"/>
    <x v="0"/>
    <n v="0"/>
    <n v="3415"/>
    <n v="0"/>
  </r>
  <r>
    <s v="Host CommunitySD11058"/>
    <x v="10"/>
    <x v="10"/>
    <x v="120"/>
    <x v="120"/>
    <m/>
    <m/>
    <x v="34"/>
    <x v="0"/>
    <n v="0"/>
    <n v="0"/>
    <n v="0"/>
    <n v="0"/>
    <n v="0"/>
    <n v="0"/>
    <n v="0"/>
    <n v="0"/>
    <n v="0"/>
    <n v="0"/>
    <n v="0"/>
    <n v="0"/>
    <e v="#DIV/0!"/>
    <e v="#DIV/0!"/>
    <e v="#DIV/0!"/>
    <e v="#DIV/0!"/>
    <e v="#DIV/0!"/>
    <e v="#DIV/0!"/>
    <e v="#DIV/0!"/>
    <e v="#DIV/0!"/>
    <s v=""/>
    <s v=""/>
    <s v=""/>
    <s v=""/>
    <n v="0"/>
    <s v="Site Management _x000a_Education_x000a_Food Security and Livlihoods_x000a_Health _x000a_Nutrition_x000a_Protection_x000a_Shelter NFI _x000a_WASH"/>
    <e v="#DIV/0!"/>
    <s v=""/>
    <s v=""/>
    <s v=""/>
    <s v="NA"/>
    <s v=""/>
    <s v=""/>
    <s v=""/>
    <s v=""/>
    <s v=""/>
    <n v="0"/>
    <s v="Site Management _x000a_Education_x000a_Food Security and Livlihoods_x000a_Health _x000a_Nutrition_x000a_Protection_x000a_Shelter NFI _x000a_WASH"/>
    <s v=""/>
    <n v="0"/>
    <s v=""/>
    <s v=""/>
    <s v=""/>
    <s v=""/>
    <n v="0"/>
    <m/>
    <m/>
    <n v="0"/>
    <s v=""/>
    <n v="0"/>
    <m/>
    <x v="2"/>
    <x v="0"/>
    <n v="0"/>
    <n v="0"/>
    <n v="0"/>
  </r>
  <r>
    <s v="Host CommunitySD11059"/>
    <x v="10"/>
    <x v="10"/>
    <x v="121"/>
    <x v="121"/>
    <m/>
    <m/>
    <x v="113"/>
    <x v="0"/>
    <n v="0"/>
    <n v="719.18349999999998"/>
    <n v="1855"/>
    <n v="1855"/>
    <n v="231"/>
    <n v="204.05000000000004"/>
    <n v="371"/>
    <n v="1565.991"/>
    <n v="204"/>
    <n v="0"/>
    <n v="0"/>
    <n v="0"/>
    <n v="0"/>
    <n v="0.38769999999999999"/>
    <n v="1"/>
    <n v="1"/>
    <n v="0.12452830188679245"/>
    <n v="0.11000000000000003"/>
    <n v="0.2"/>
    <n v="0.84419999999999995"/>
    <n v="0.1"/>
    <n v="0"/>
    <n v="0"/>
    <n v="0"/>
    <n v="1855"/>
    <s v="Food Security and Livlihoods_x000a_Health "/>
    <n v="1"/>
    <s v=""/>
    <s v="Flagged"/>
    <s v=""/>
    <n v="1565.991"/>
    <s v="WASH"/>
    <n v="0.84419999999999995"/>
    <n v="289.00900000000001"/>
    <n v="0.18455342335939351"/>
    <s v=""/>
    <n v="719.18349999999998"/>
    <s v="Education"/>
    <n v="0.38769999999999999"/>
    <n v="1135.8164999999999"/>
    <n v="1.5793139025019345"/>
    <s v="Flagged"/>
    <s v=""/>
    <s v=""/>
    <n v="1855"/>
    <m/>
    <m/>
    <n v="2"/>
    <s v="Flagged"/>
    <n v="1855"/>
    <m/>
    <x v="2"/>
    <x v="2"/>
    <n v="1855"/>
    <n v="0"/>
    <n v="0"/>
  </r>
  <r>
    <s v="Host CommunitySD11060"/>
    <x v="10"/>
    <x v="10"/>
    <x v="122"/>
    <x v="122"/>
    <m/>
    <m/>
    <x v="114"/>
    <x v="0"/>
    <n v="0"/>
    <n v="0"/>
    <n v="18506"/>
    <n v="18506"/>
    <n v="710"/>
    <n v="4884"/>
    <n v="0"/>
    <n v="14249.62"/>
    <n v="2036"/>
    <n v="4884"/>
    <n v="0"/>
    <n v="0"/>
    <n v="0"/>
    <n v="0"/>
    <n v="1"/>
    <n v="1"/>
    <n v="3.8365935372311685E-2"/>
    <n v="0.26391440613854966"/>
    <n v="0"/>
    <n v="0.77"/>
    <n v="0.1"/>
    <n v="0.25"/>
    <n v="0"/>
    <n v="0"/>
    <n v="18506"/>
    <s v="Food Security and Livlihoods_x000a_Health "/>
    <n v="1"/>
    <s v="Flagged"/>
    <s v="Flagged"/>
    <s v=""/>
    <n v="14249.62"/>
    <s v="WASH"/>
    <n v="0.77"/>
    <n v="4256.3799999999992"/>
    <n v="0.29870129870129863"/>
    <s v=""/>
    <n v="4884"/>
    <s v="Protection"/>
    <n v="0.26391440613854966"/>
    <n v="13622"/>
    <n v="2.7891072891072892"/>
    <s v="Flagged"/>
    <s v=""/>
    <s v=""/>
    <n v="18506"/>
    <m/>
    <m/>
    <n v="3"/>
    <s v="Flagged"/>
    <n v="18506"/>
    <m/>
    <x v="2"/>
    <x v="2"/>
    <n v="18506"/>
    <n v="0"/>
    <n v="0"/>
  </r>
  <r>
    <s v="Host CommunitySD11061"/>
    <x v="10"/>
    <x v="10"/>
    <x v="123"/>
    <x v="123"/>
    <m/>
    <m/>
    <x v="115"/>
    <x v="0"/>
    <n v="0"/>
    <n v="28499.051599999999"/>
    <n v="73508"/>
    <n v="73508"/>
    <n v="6318"/>
    <n v="8085.880000000001"/>
    <n v="0"/>
    <n v="46435.003599999996"/>
    <n v="8086"/>
    <n v="0"/>
    <n v="0"/>
    <n v="0"/>
    <n v="0"/>
    <n v="0.38769999999999999"/>
    <n v="1"/>
    <n v="1"/>
    <n v="8.5949828590085431E-2"/>
    <n v="0.11000000000000001"/>
    <n v="0"/>
    <n v="0.63169999999999993"/>
    <n v="0.1"/>
    <n v="0"/>
    <n v="0"/>
    <n v="0"/>
    <n v="73508"/>
    <s v="Food Security and Livlihoods_x000a_Health "/>
    <n v="1"/>
    <s v="Flagged"/>
    <s v="Flagged"/>
    <s v=""/>
    <n v="46435.003599999996"/>
    <s v="WASH"/>
    <n v="0.63169999999999993"/>
    <n v="27072.996400000004"/>
    <n v="0.58302991926547421"/>
    <s v="Flagged"/>
    <n v="28499.051599999999"/>
    <s v="Education"/>
    <n v="0.38769999999999999"/>
    <n v="45008.948400000001"/>
    <n v="1.5793139025019345"/>
    <s v="Flagged"/>
    <s v=""/>
    <s v=""/>
    <n v="73508"/>
    <m/>
    <m/>
    <n v="4"/>
    <s v="Flagged"/>
    <n v="73508"/>
    <m/>
    <x v="2"/>
    <x v="2"/>
    <n v="73508"/>
    <n v="0"/>
    <n v="0"/>
  </r>
  <r>
    <s v="Host CommunitySD11062"/>
    <x v="10"/>
    <x v="10"/>
    <x v="124"/>
    <x v="124"/>
    <m/>
    <m/>
    <x v="116"/>
    <x v="0"/>
    <n v="0"/>
    <n v="926.99069999999995"/>
    <n v="2391"/>
    <n v="2391"/>
    <n v="241"/>
    <n v="631"/>
    <n v="0"/>
    <n v="2370.9155999999998"/>
    <n v="263"/>
    <n v="631"/>
    <n v="0"/>
    <n v="0"/>
    <n v="0"/>
    <n v="0.38769999999999999"/>
    <n v="1"/>
    <n v="1"/>
    <n v="0.10079464659138436"/>
    <n v="0.26390631534922626"/>
    <n v="0"/>
    <n v="0.99159999999999993"/>
    <n v="0.1"/>
    <n v="0.25"/>
    <n v="0"/>
    <n v="0"/>
    <n v="2391"/>
    <s v="Food Security and Livlihoods_x000a_Health "/>
    <n v="1"/>
    <s v="Flagged"/>
    <s v="Flagged"/>
    <s v=""/>
    <n v="2370.9155999999998"/>
    <s v="WASH"/>
    <n v="0.99159999999999993"/>
    <n v="20.084400000000187"/>
    <n v="8.471157724889147E-3"/>
    <s v=""/>
    <n v="926.99069999999995"/>
    <s v="Education"/>
    <n v="0.38769999999999999"/>
    <n v="1464.0093000000002"/>
    <n v="1.5793139025019347"/>
    <s v="Flagged"/>
    <s v=""/>
    <s v=""/>
    <n v="2391"/>
    <m/>
    <m/>
    <n v="3"/>
    <s v="Flagged"/>
    <n v="2391"/>
    <m/>
    <x v="2"/>
    <x v="2"/>
    <n v="2391"/>
    <n v="0"/>
    <n v="0"/>
  </r>
  <r>
    <s v="Host CommunitySD12073"/>
    <x v="11"/>
    <x v="11"/>
    <x v="125"/>
    <x v="125"/>
    <m/>
    <m/>
    <x v="117"/>
    <x v="0"/>
    <n v="0"/>
    <n v="0"/>
    <n v="1038.0999999999999"/>
    <n v="2966"/>
    <n v="272"/>
    <n v="783"/>
    <n v="0"/>
    <n v="2909.9425999999999"/>
    <n v="326"/>
    <n v="783"/>
    <n v="0"/>
    <n v="297"/>
    <n v="0"/>
    <n v="0"/>
    <n v="0.35"/>
    <n v="1"/>
    <n v="9.1706001348617672E-2"/>
    <n v="0.26399190829399866"/>
    <n v="0"/>
    <n v="0.98109999999999997"/>
    <n v="0.1"/>
    <n v="0.25"/>
    <n v="0"/>
    <n v="0.1"/>
    <n v="2966"/>
    <s v="Health "/>
    <n v="1"/>
    <s v="Flagged"/>
    <s v="Flagged"/>
    <s v=""/>
    <n v="2909.9425999999999"/>
    <s v="WASH"/>
    <n v="0.98109999999999997"/>
    <n v="56.057400000000143"/>
    <n v="1.9264091326062632E-2"/>
    <s v=""/>
    <n v="1038.0999999999999"/>
    <s v="Food Security and Livlihoods"/>
    <n v="0.35"/>
    <n v="1927.9"/>
    <n v="1.8571428571428574"/>
    <s v="Flagged"/>
    <s v=""/>
    <s v=""/>
    <n v="2966"/>
    <m/>
    <m/>
    <n v="3"/>
    <s v="Flagged"/>
    <n v="2966"/>
    <m/>
    <x v="2"/>
    <x v="2"/>
    <n v="2966"/>
    <n v="0"/>
    <n v="0"/>
  </r>
  <r>
    <s v="Host CommunitySD12074"/>
    <x v="11"/>
    <x v="11"/>
    <x v="126"/>
    <x v="126"/>
    <m/>
    <m/>
    <x v="118"/>
    <x v="0"/>
    <n v="0"/>
    <n v="0"/>
    <n v="2391.4"/>
    <n v="11957"/>
    <n v="932"/>
    <n v="3786"/>
    <n v="0"/>
    <n v="10494.658899999999"/>
    <n v="1315"/>
    <n v="3786"/>
    <n v="0"/>
    <n v="1196"/>
    <n v="0"/>
    <n v="0"/>
    <n v="0.2"/>
    <n v="1"/>
    <n v="7.7945973070168109E-2"/>
    <n v="0.31663460734297899"/>
    <n v="0"/>
    <n v="0.87769999999999992"/>
    <n v="0.1"/>
    <n v="0.30000000000000004"/>
    <n v="0"/>
    <n v="0.1"/>
    <n v="11957"/>
    <s v="Health "/>
    <n v="1"/>
    <s v="Flagged"/>
    <s v="Flagged"/>
    <s v=""/>
    <n v="10494.658899999999"/>
    <s v="WASH"/>
    <n v="0.87769999999999992"/>
    <n v="1462.3411000000015"/>
    <n v="0.1393414606357527"/>
    <s v=""/>
    <n v="3786"/>
    <s v="Protection"/>
    <n v="0.31663460734297899"/>
    <n v="8171"/>
    <n v="2.1582144743792919"/>
    <s v="Flagged"/>
    <s v=""/>
    <s v=""/>
    <n v="11957"/>
    <m/>
    <m/>
    <n v="3"/>
    <s v="Flagged"/>
    <n v="11957"/>
    <m/>
    <x v="2"/>
    <x v="2"/>
    <n v="11957"/>
    <n v="0"/>
    <n v="0"/>
  </r>
  <r>
    <s v="Host CommunitySD12075"/>
    <x v="11"/>
    <x v="11"/>
    <x v="127"/>
    <x v="127"/>
    <m/>
    <m/>
    <x v="119"/>
    <x v="0"/>
    <n v="0"/>
    <n v="0"/>
    <n v="4377.8999999999996"/>
    <n v="14593"/>
    <n v="1038"/>
    <n v="4620"/>
    <n v="0"/>
    <n v="10714.1806"/>
    <n v="1605"/>
    <n v="4620"/>
    <n v="0"/>
    <n v="1459"/>
    <n v="0"/>
    <n v="0"/>
    <n v="0.3"/>
    <n v="1"/>
    <n v="7.1129993832659499E-2"/>
    <n v="0.31659014596039198"/>
    <n v="0"/>
    <n v="0.73419999999999996"/>
    <n v="0.1"/>
    <n v="0.30000000000000004"/>
    <n v="0"/>
    <n v="0.1"/>
    <n v="14593"/>
    <s v="Health "/>
    <n v="1"/>
    <s v="Flagged"/>
    <s v="Flagged"/>
    <s v=""/>
    <n v="10714.1806"/>
    <s v="WASH"/>
    <n v="0.73419999999999996"/>
    <n v="3878.8194000000003"/>
    <n v="0.3620266957232362"/>
    <s v="Flagged"/>
    <n v="4620"/>
    <s v="Protection"/>
    <n v="0.31659014596039198"/>
    <n v="9973"/>
    <n v="2.1586580086580085"/>
    <s v="Flagged"/>
    <s v=""/>
    <s v=""/>
    <n v="14593"/>
    <m/>
    <m/>
    <n v="4"/>
    <s v="Flagged"/>
    <n v="14593"/>
    <m/>
    <x v="2"/>
    <x v="2"/>
    <n v="14593"/>
    <n v="0"/>
    <n v="0"/>
  </r>
  <r>
    <s v="Host CommunitySD12076"/>
    <x v="11"/>
    <x v="11"/>
    <x v="128"/>
    <x v="128"/>
    <m/>
    <m/>
    <x v="120"/>
    <x v="0"/>
    <n v="0"/>
    <n v="7267.4364999999998"/>
    <n v="18745"/>
    <n v="18745"/>
    <n v="950"/>
    <n v="5935"/>
    <n v="3749"/>
    <n v="13509.521499999999"/>
    <n v="2062"/>
    <n v="5935"/>
    <n v="0"/>
    <n v="1875"/>
    <n v="0"/>
    <n v="0.38769999999999999"/>
    <n v="1"/>
    <n v="1"/>
    <n v="5.0680181381701786E-2"/>
    <n v="0.31661776473726327"/>
    <n v="0.2"/>
    <n v="0.7206999999999999"/>
    <n v="0.1"/>
    <n v="0.30000000000000004"/>
    <n v="0"/>
    <n v="0.1"/>
    <n v="18745"/>
    <s v="Food Security and Livlihoods_x000a_Health "/>
    <n v="1"/>
    <s v=""/>
    <s v="Flagged"/>
    <s v=""/>
    <n v="13509.521499999999"/>
    <s v="WASH"/>
    <n v="0.7206999999999999"/>
    <n v="5235.4785000000011"/>
    <n v="0.38753989177188858"/>
    <s v="Flagged"/>
    <n v="7267.4364999999998"/>
    <s v="Education"/>
    <n v="0.38769999999999999"/>
    <n v="11477.5635"/>
    <n v="1.5793139025019345"/>
    <s v="Flagged"/>
    <s v=""/>
    <s v=""/>
    <n v="18745"/>
    <m/>
    <m/>
    <n v="3"/>
    <s v="Flagged"/>
    <n v="18745"/>
    <m/>
    <x v="2"/>
    <x v="2"/>
    <n v="18745"/>
    <n v="0"/>
    <n v="0"/>
  </r>
  <r>
    <s v="Host CommunitySD12077"/>
    <x v="11"/>
    <x v="11"/>
    <x v="129"/>
    <x v="129"/>
    <m/>
    <m/>
    <x v="121"/>
    <x v="0"/>
    <n v="0"/>
    <n v="11893.0852"/>
    <n v="30676"/>
    <n v="30676"/>
    <n v="3104"/>
    <n v="9713"/>
    <n v="6135"/>
    <n v="28838.507600000001"/>
    <n v="3374"/>
    <n v="9713"/>
    <n v="0"/>
    <n v="3068"/>
    <n v="0"/>
    <n v="0.38769999999999999"/>
    <n v="1"/>
    <n v="1"/>
    <n v="0.10118659538401356"/>
    <n v="0.31663189464076152"/>
    <n v="0.1999934802451428"/>
    <n v="0.94010000000000005"/>
    <n v="0.1"/>
    <n v="0.30000000000000004"/>
    <n v="0"/>
    <n v="0.1"/>
    <n v="30676"/>
    <s v="Food Security and Livlihoods_x000a_Health "/>
    <n v="1"/>
    <s v=""/>
    <s v="Flagged"/>
    <s v=""/>
    <n v="28838.507600000001"/>
    <s v="WASH"/>
    <n v="0.94010000000000005"/>
    <n v="1837.4923999999992"/>
    <n v="6.3716625890862646E-2"/>
    <s v=""/>
    <n v="11893.0852"/>
    <s v="Education"/>
    <n v="0.38769999999999999"/>
    <n v="18782.914799999999"/>
    <n v="1.5793139025019345"/>
    <s v="Flagged"/>
    <s v=""/>
    <s v=""/>
    <n v="30676"/>
    <m/>
    <m/>
    <n v="2"/>
    <s v="Flagged"/>
    <n v="30676"/>
    <m/>
    <x v="2"/>
    <x v="2"/>
    <n v="30676"/>
    <n v="0"/>
    <n v="0"/>
  </r>
  <r>
    <s v="Host CommunitySD12078"/>
    <x v="11"/>
    <x v="11"/>
    <x v="130"/>
    <x v="130"/>
    <m/>
    <m/>
    <x v="122"/>
    <x v="0"/>
    <n v="0"/>
    <n v="3239.2334999999998"/>
    <n v="8355"/>
    <n v="8355"/>
    <n v="949"/>
    <n v="2204"/>
    <n v="0"/>
    <n v="8035.8389999999999"/>
    <n v="919"/>
    <n v="2204"/>
    <n v="0"/>
    <n v="836"/>
    <n v="0"/>
    <n v="0.38769999999999999"/>
    <n v="1"/>
    <n v="1"/>
    <n v="0.11358467983243567"/>
    <n v="0.26379413524835427"/>
    <n v="0"/>
    <n v="0.96179999999999999"/>
    <n v="0.1"/>
    <n v="0.25"/>
    <n v="0"/>
    <n v="0.1"/>
    <n v="8355"/>
    <s v="Food Security and Livlihoods_x000a_Health "/>
    <n v="1"/>
    <s v="Flagged"/>
    <s v="Flagged"/>
    <s v=""/>
    <n v="8035.8389999999999"/>
    <s v="WASH"/>
    <n v="0.96179999999999999"/>
    <n v="319.16100000000006"/>
    <n v="3.9717196922437102E-2"/>
    <s v=""/>
    <n v="3239.2334999999998"/>
    <s v="Education"/>
    <n v="0.38769999999999999"/>
    <n v="5115.7664999999997"/>
    <n v="1.5793139025019345"/>
    <s v="Flagged"/>
    <s v=""/>
    <s v=""/>
    <n v="8355"/>
    <m/>
    <m/>
    <n v="3"/>
    <s v="Flagged"/>
    <n v="8355"/>
    <m/>
    <x v="2"/>
    <x v="2"/>
    <n v="8355"/>
    <n v="0"/>
    <n v="0"/>
  </r>
  <r>
    <s v="Host CommunitySD12079"/>
    <x v="11"/>
    <x v="11"/>
    <x v="131"/>
    <x v="131"/>
    <m/>
    <m/>
    <x v="123"/>
    <x v="0"/>
    <n v="0"/>
    <n v="4730.7154"/>
    <n v="12202"/>
    <n v="12202"/>
    <n v="473"/>
    <n v="3864"/>
    <n v="2440"/>
    <n v="10915.9092"/>
    <n v="1342"/>
    <n v="3864"/>
    <n v="0"/>
    <n v="1220"/>
    <n v="0"/>
    <n v="0.38769999999999999"/>
    <n v="1"/>
    <n v="1"/>
    <n v="3.8764137026716931E-2"/>
    <n v="0.31666939845926895"/>
    <n v="0.19996721848877233"/>
    <n v="0.89459999999999995"/>
    <n v="0.1"/>
    <n v="0.30000000000000004"/>
    <n v="0"/>
    <n v="0.1"/>
    <n v="12202"/>
    <s v="Food Security and Livlihoods_x000a_Health "/>
    <n v="1"/>
    <s v=""/>
    <s v="Flagged"/>
    <s v=""/>
    <n v="10915.9092"/>
    <s v="WASH"/>
    <n v="0.89459999999999995"/>
    <n v="1286.0907999999999"/>
    <n v="0.11781801922646992"/>
    <s v=""/>
    <n v="4730.7154"/>
    <s v="Education"/>
    <n v="0.38769999999999999"/>
    <n v="7471.2846"/>
    <n v="1.5793139025019345"/>
    <s v="Flagged"/>
    <s v=""/>
    <s v=""/>
    <n v="12202"/>
    <m/>
    <m/>
    <n v="2"/>
    <s v="Flagged"/>
    <n v="12202"/>
    <m/>
    <x v="2"/>
    <x v="2"/>
    <n v="12202"/>
    <n v="0"/>
    <n v="0"/>
  </r>
  <r>
    <s v="Host CommunitySD12080"/>
    <x v="11"/>
    <x v="11"/>
    <x v="132"/>
    <x v="132"/>
    <m/>
    <m/>
    <x v="124"/>
    <x v="0"/>
    <n v="0"/>
    <n v="28052.8089"/>
    <n v="14471.4"/>
    <n v="72357"/>
    <n v="7732"/>
    <n v="22911"/>
    <n v="21707"/>
    <n v="31439.116500000004"/>
    <n v="7959"/>
    <n v="22911"/>
    <n v="0"/>
    <n v="7236"/>
    <n v="0"/>
    <n v="0.38769999999999999"/>
    <n v="0.19999999999999998"/>
    <n v="1"/>
    <n v="0.10685904611855107"/>
    <n v="0.31663833492267507"/>
    <n v="0.29999861796370775"/>
    <n v="0.43450000000000005"/>
    <n v="0.1"/>
    <n v="0.30000000000000004"/>
    <n v="0"/>
    <n v="0.1"/>
    <n v="72357"/>
    <s v="Health "/>
    <n v="1"/>
    <s v=""/>
    <s v="Flagged"/>
    <s v=""/>
    <n v="31439.116500000004"/>
    <s v="WASH"/>
    <n v="0.43450000000000005"/>
    <n v="40917.883499999996"/>
    <n v="1.3014959723820481"/>
    <s v="Flagged"/>
    <n v="28052.8089"/>
    <s v="Education"/>
    <n v="0.38769999999999999"/>
    <n v="44304.191099999996"/>
    <n v="1.5793139025019343"/>
    <s v="Flagged"/>
    <s v=""/>
    <s v=""/>
    <n v="72357"/>
    <m/>
    <m/>
    <n v="3"/>
    <s v="Flagged"/>
    <n v="72357"/>
    <m/>
    <x v="2"/>
    <x v="2"/>
    <n v="72357"/>
    <n v="0"/>
    <n v="0"/>
  </r>
  <r>
    <s v="Host CommunitySD12081"/>
    <x v="11"/>
    <x v="11"/>
    <x v="133"/>
    <x v="133"/>
    <m/>
    <m/>
    <x v="125"/>
    <x v="0"/>
    <n v="0"/>
    <n v="0"/>
    <n v="11212.2"/>
    <n v="37374"/>
    <n v="2091"/>
    <n v="11834"/>
    <n v="0"/>
    <n v="22988.7474"/>
    <n v="4111"/>
    <n v="11834"/>
    <n v="0"/>
    <n v="3737"/>
    <n v="0"/>
    <n v="0"/>
    <n v="0.30000000000000004"/>
    <n v="1"/>
    <n v="5.5947985230374059E-2"/>
    <n v="0.31663723444105529"/>
    <n v="0"/>
    <n v="0.61509999999999998"/>
    <n v="0.1"/>
    <n v="0.30000000000000004"/>
    <n v="0"/>
    <n v="0.1"/>
    <n v="37374"/>
    <s v="Health "/>
    <n v="1"/>
    <s v="Flagged"/>
    <s v="Flagged"/>
    <s v=""/>
    <n v="22988.7474"/>
    <s v="WASH"/>
    <n v="0.61509999999999998"/>
    <n v="14385.2526"/>
    <n v="0.62575191025849453"/>
    <s v="Flagged"/>
    <n v="11834"/>
    <s v="Protection"/>
    <n v="0.31663723444105529"/>
    <n v="25540"/>
    <n v="2.1581882710833193"/>
    <s v="Flagged"/>
    <s v=""/>
    <s v=""/>
    <n v="37374"/>
    <m/>
    <m/>
    <n v="4"/>
    <s v="Flagged"/>
    <n v="37374"/>
    <m/>
    <x v="2"/>
    <x v="2"/>
    <n v="37374"/>
    <n v="0"/>
    <n v="0"/>
  </r>
  <r>
    <s v="Host CommunitySD12082"/>
    <x v="11"/>
    <x v="11"/>
    <x v="134"/>
    <x v="134"/>
    <m/>
    <m/>
    <x v="126"/>
    <x v="0"/>
    <n v="0"/>
    <n v="16131.0339"/>
    <n v="41607"/>
    <n v="41607"/>
    <n v="2211"/>
    <n v="13175"/>
    <n v="8321"/>
    <n v="36705.695399999997"/>
    <n v="4577"/>
    <n v="13175"/>
    <n v="0"/>
    <n v="4161"/>
    <n v="0"/>
    <n v="0.38769999999999999"/>
    <n v="1"/>
    <n v="1"/>
    <n v="5.3140096618357488E-2"/>
    <n v="0.31665344773715959"/>
    <n v="0.19999038623308577"/>
    <n v="0.88219999999999987"/>
    <n v="0.1"/>
    <n v="0.30000000000000004"/>
    <n v="0"/>
    <n v="0.1"/>
    <n v="41607"/>
    <s v="Food Security and Livlihoods_x000a_Health "/>
    <n v="1"/>
    <s v=""/>
    <s v="Flagged"/>
    <s v=""/>
    <n v="36705.695399999997"/>
    <s v="WASH"/>
    <n v="0.88219999999999987"/>
    <n v="4901.3046000000031"/>
    <n v="0.13352981183405133"/>
    <s v=""/>
    <n v="16131.0339"/>
    <s v="Education"/>
    <n v="0.38769999999999999"/>
    <n v="25475.966099999998"/>
    <n v="1.5793139025019343"/>
    <s v="Flagged"/>
    <s v=""/>
    <s v=""/>
    <n v="41607"/>
    <m/>
    <m/>
    <n v="2"/>
    <s v="Flagged"/>
    <n v="41607"/>
    <m/>
    <x v="2"/>
    <x v="2"/>
    <n v="41607"/>
    <n v="0"/>
    <n v="0"/>
  </r>
  <r>
    <s v="Host CommunitySD12083"/>
    <x v="11"/>
    <x v="11"/>
    <x v="135"/>
    <x v="135"/>
    <m/>
    <m/>
    <x v="127"/>
    <x v="0"/>
    <n v="0"/>
    <n v="17707.4221"/>
    <n v="45673"/>
    <n v="45673"/>
    <n v="3482"/>
    <n v="14462"/>
    <n v="9135"/>
    <n v="36588.640299999999"/>
    <n v="5024"/>
    <n v="14462"/>
    <n v="0"/>
    <n v="4567"/>
    <n v="0"/>
    <n v="0.38769999999999999"/>
    <n v="1"/>
    <n v="1"/>
    <n v="7.6237602084382461E-2"/>
    <n v="0.31664221750268212"/>
    <n v="0.20000875790948699"/>
    <n v="0.80110000000000003"/>
    <n v="0.1"/>
    <n v="0.30000000000000004"/>
    <n v="0"/>
    <n v="0.1"/>
    <n v="45673"/>
    <s v="Food Security and Livlihoods_x000a_Health "/>
    <n v="1"/>
    <s v=""/>
    <s v="Flagged"/>
    <s v=""/>
    <n v="36588.640299999999"/>
    <s v="WASH"/>
    <n v="0.80110000000000003"/>
    <n v="9084.3597000000009"/>
    <n v="0.24828361003620025"/>
    <s v=""/>
    <n v="17707.4221"/>
    <s v="Education"/>
    <n v="0.38769999999999999"/>
    <n v="27965.5779"/>
    <n v="1.5793139025019345"/>
    <s v="Flagged"/>
    <s v=""/>
    <s v=""/>
    <n v="45673"/>
    <m/>
    <m/>
    <n v="2"/>
    <s v="Flagged"/>
    <n v="45673"/>
    <m/>
    <x v="2"/>
    <x v="2"/>
    <n v="45673"/>
    <n v="0"/>
    <n v="0"/>
  </r>
  <r>
    <s v="Host CommunitySD12084"/>
    <x v="11"/>
    <x v="11"/>
    <x v="136"/>
    <x v="136"/>
    <m/>
    <m/>
    <x v="128"/>
    <x v="0"/>
    <n v="0"/>
    <n v="0"/>
    <n v="36565"/>
    <n v="36565"/>
    <n v="2038"/>
    <n v="11578"/>
    <n v="7313"/>
    <n v="29120.365999999998"/>
    <n v="4022"/>
    <n v="11578"/>
    <n v="0"/>
    <n v="3657"/>
    <n v="0"/>
    <n v="0"/>
    <n v="1"/>
    <n v="1"/>
    <n v="5.5736359907014907E-2"/>
    <n v="0.31664159715575002"/>
    <n v="0.2"/>
    <n v="0.7964"/>
    <n v="0.1"/>
    <n v="0.30000000000000004"/>
    <n v="0"/>
    <n v="0.1"/>
    <n v="36565"/>
    <s v="Food Security and Livlihoods_x000a_Health "/>
    <n v="1"/>
    <s v="Flagged"/>
    <s v="Flagged"/>
    <s v=""/>
    <n v="29120.365999999998"/>
    <s v="WASH"/>
    <n v="0.7964"/>
    <n v="7444.6340000000018"/>
    <n v="0.25565042692114526"/>
    <s v=""/>
    <n v="11578"/>
    <s v="Protection"/>
    <n v="0.31664159715575002"/>
    <n v="24987"/>
    <n v="2.1581447572983246"/>
    <s v="Flagged"/>
    <s v=""/>
    <s v=""/>
    <n v="36565"/>
    <m/>
    <m/>
    <n v="3"/>
    <s v="Flagged"/>
    <n v="36565"/>
    <m/>
    <x v="2"/>
    <x v="2"/>
    <n v="36565"/>
    <n v="0"/>
    <n v="0"/>
  </r>
  <r>
    <s v="Host CommunitySD13023"/>
    <x v="12"/>
    <x v="12"/>
    <x v="137"/>
    <x v="137"/>
    <m/>
    <m/>
    <x v="129"/>
    <x v="0"/>
    <n v="0"/>
    <n v="12640.5708"/>
    <n v="32604"/>
    <n v="32604"/>
    <n v="2647"/>
    <n v="11184"/>
    <n v="6521"/>
    <n v="27684.056399999998"/>
    <n v="3586"/>
    <n v="11184"/>
    <n v="3260.4"/>
    <n v="3260"/>
    <n v="0"/>
    <n v="0.38769999999999999"/>
    <n v="1"/>
    <n v="1"/>
    <n v="8.1186357502146977E-2"/>
    <n v="0.3430253956569746"/>
    <n v="0.20000613421666052"/>
    <n v="0.84909999999999997"/>
    <n v="0.1"/>
    <n v="0.35000000000000003"/>
    <n v="0.1"/>
    <n v="0.1"/>
    <n v="32604"/>
    <s v="Food Security and Livlihoods_x000a_Health "/>
    <n v="1"/>
    <s v=""/>
    <s v="Flagged"/>
    <s v=""/>
    <n v="27684.056399999998"/>
    <s v="WASH"/>
    <n v="0.84909999999999997"/>
    <n v="4919.9436000000023"/>
    <n v="0.17771758332351911"/>
    <s v=""/>
    <n v="12640.5708"/>
    <s v="Education"/>
    <n v="0.38769999999999999"/>
    <n v="19963.429199999999"/>
    <n v="1.5793139025019345"/>
    <s v="Flagged"/>
    <s v=""/>
    <s v=""/>
    <n v="32604"/>
    <m/>
    <m/>
    <n v="2"/>
    <s v="Flagged"/>
    <n v="32604"/>
    <m/>
    <x v="2"/>
    <x v="1"/>
    <n v="0"/>
    <n v="29343.600000000002"/>
    <n v="3260.4"/>
  </r>
  <r>
    <s v="Host CommunitySD13024"/>
    <x v="12"/>
    <x v="12"/>
    <x v="138"/>
    <x v="138"/>
    <m/>
    <m/>
    <x v="130"/>
    <x v="0"/>
    <n v="0"/>
    <n v="11913.71084"/>
    <n v="30729"/>
    <n v="30729"/>
    <n v="3013"/>
    <n v="10542"/>
    <n v="6146"/>
    <n v="16513.872080000001"/>
    <n v="3380"/>
    <n v="10542"/>
    <n v="3072.92"/>
    <n v="3073"/>
    <n v="0"/>
    <n v="0.38770252334927918"/>
    <n v="1"/>
    <n v="1"/>
    <n v="9.8050701291939213E-2"/>
    <n v="0.34306355559894564"/>
    <n v="0.20000650850987667"/>
    <n v="0.53740349767320772"/>
    <n v="0.1"/>
    <n v="0.35000000000000003"/>
    <n v="0.1"/>
    <n v="0.1"/>
    <n v="30729"/>
    <s v="Food Security and Livlihoods_x000a_Health "/>
    <n v="1"/>
    <s v=""/>
    <s v="Flagged"/>
    <s v=""/>
    <n v="16513.872080000001"/>
    <s v="WASH"/>
    <n v="0.53740349767320772"/>
    <n v="14215.127919999999"/>
    <n v="0.86079920270279808"/>
    <s v="Flagged"/>
    <n v="11913.71084"/>
    <s v="Education"/>
    <n v="0.38770252334927918"/>
    <n v="18815.28916"/>
    <n v="1.5792971151211859"/>
    <s v="Flagged"/>
    <s v=""/>
    <s v=""/>
    <n v="30729"/>
    <m/>
    <m/>
    <n v="3"/>
    <s v="Flagged"/>
    <n v="30729"/>
    <m/>
    <x v="0"/>
    <x v="1"/>
    <n v="0"/>
    <n v="27656.100000000002"/>
    <n v="3072.9"/>
  </r>
  <r>
    <s v="Host CommunitySD13025"/>
    <x v="12"/>
    <x v="12"/>
    <x v="139"/>
    <x v="139"/>
    <m/>
    <m/>
    <x v="131"/>
    <x v="0"/>
    <n v="0"/>
    <n v="1407.3509999999999"/>
    <n v="3630"/>
    <n v="3630"/>
    <n v="294"/>
    <n v="958"/>
    <n v="726"/>
    <n v="3452.8560000000002"/>
    <n v="399"/>
    <n v="958"/>
    <n v="0"/>
    <n v="363"/>
    <n v="0"/>
    <n v="0.38769999999999999"/>
    <n v="1"/>
    <n v="1"/>
    <n v="8.0991735537190079E-2"/>
    <n v="0.26391184573002757"/>
    <n v="0.2"/>
    <n v="0.95120000000000005"/>
    <n v="0.1"/>
    <n v="0.25"/>
    <n v="0"/>
    <n v="0.1"/>
    <n v="3630"/>
    <s v="Food Security and Livlihoods_x000a_Health "/>
    <n v="1"/>
    <s v=""/>
    <s v="Flagged"/>
    <s v=""/>
    <n v="3452.8560000000002"/>
    <s v="WASH"/>
    <n v="0.95120000000000005"/>
    <n v="177.14399999999978"/>
    <n v="5.1303616484440637E-2"/>
    <s v=""/>
    <n v="1407.3509999999999"/>
    <s v="Education"/>
    <n v="0.38769999999999999"/>
    <n v="2222.6490000000003"/>
    <n v="1.5793139025019349"/>
    <s v="Flagged"/>
    <s v=""/>
    <s v=""/>
    <n v="3630"/>
    <m/>
    <m/>
    <n v="2"/>
    <s v="Flagged"/>
    <n v="3630"/>
    <m/>
    <x v="0"/>
    <x v="2"/>
    <n v="3630"/>
    <n v="0"/>
    <n v="0"/>
  </r>
  <r>
    <s v="Host CommunitySD13026"/>
    <x v="12"/>
    <x v="12"/>
    <x v="140"/>
    <x v="140"/>
    <m/>
    <m/>
    <x v="132"/>
    <x v="0"/>
    <n v="0"/>
    <n v="0"/>
    <n v="3540.6"/>
    <n v="7868"/>
    <n v="717"/>
    <n v="2076"/>
    <n v="0"/>
    <n v="6877.4187999999995"/>
    <n v="865"/>
    <n v="2076"/>
    <n v="0"/>
    <n v="787"/>
    <n v="0"/>
    <n v="0"/>
    <n v="0.45"/>
    <n v="1"/>
    <n v="9.1128622267412307E-2"/>
    <n v="0.26385358413828164"/>
    <n v="0"/>
    <n v="0.87409999999999988"/>
    <n v="0.1"/>
    <n v="0.25"/>
    <n v="0"/>
    <n v="0.1"/>
    <n v="7868"/>
    <s v="Health "/>
    <n v="1"/>
    <s v="Flagged"/>
    <s v="Flagged"/>
    <s v=""/>
    <n v="6877.4187999999995"/>
    <s v="WASH"/>
    <n v="0.87409999999999988"/>
    <n v="990.58120000000054"/>
    <n v="0.1440338634023568"/>
    <s v=""/>
    <n v="3540.6"/>
    <s v="Food Security and Livlihoods"/>
    <n v="0.45"/>
    <n v="4327.3999999999996"/>
    <n v="1.2222222222222221"/>
    <s v="Flagged"/>
    <s v=""/>
    <s v=""/>
    <n v="7868"/>
    <m/>
    <m/>
    <n v="3"/>
    <s v="Flagged"/>
    <n v="7868"/>
    <m/>
    <x v="0"/>
    <x v="2"/>
    <n v="7868"/>
    <n v="0"/>
    <n v="0"/>
  </r>
  <r>
    <s v="Host CommunitySD13027"/>
    <x v="12"/>
    <x v="12"/>
    <x v="141"/>
    <x v="141"/>
    <m/>
    <m/>
    <x v="133"/>
    <x v="0"/>
    <n v="0"/>
    <n v="1363.9286"/>
    <n v="3518"/>
    <n v="3518"/>
    <n v="301"/>
    <n v="928"/>
    <n v="704"/>
    <n v="3062.4189999999999"/>
    <n v="387"/>
    <n v="928"/>
    <n v="0"/>
    <n v="352"/>
    <n v="0"/>
    <n v="0.38769999999999999"/>
    <n v="1"/>
    <n v="1"/>
    <n v="8.5559977259806713E-2"/>
    <n v="0.26378624218305857"/>
    <n v="0.20011370096645822"/>
    <n v="0.87049999999999994"/>
    <n v="0.1"/>
    <n v="0.25"/>
    <n v="0"/>
    <n v="0.1"/>
    <n v="3518"/>
    <s v="Food Security and Livlihoods_x000a_Health "/>
    <n v="1"/>
    <s v=""/>
    <s v="Flagged"/>
    <s v=""/>
    <n v="3062.4189999999999"/>
    <s v="WASH"/>
    <n v="0.87049999999999994"/>
    <n v="455.58100000000013"/>
    <n v="0.14876507754164278"/>
    <s v=""/>
    <n v="1363.9286"/>
    <s v="Education"/>
    <n v="0.38769999999999999"/>
    <n v="2154.0713999999998"/>
    <n v="1.5793139025019345"/>
    <s v="Flagged"/>
    <s v=""/>
    <s v=""/>
    <n v="3518"/>
    <m/>
    <m/>
    <n v="2"/>
    <s v="Flagged"/>
    <n v="3518"/>
    <m/>
    <x v="0"/>
    <x v="2"/>
    <n v="3518"/>
    <n v="0"/>
    <n v="0"/>
  </r>
  <r>
    <s v="Host CommunitySD13028"/>
    <x v="12"/>
    <x v="12"/>
    <x v="142"/>
    <x v="142"/>
    <m/>
    <m/>
    <x v="134"/>
    <x v="0"/>
    <n v="0"/>
    <n v="0"/>
    <n v="7955"/>
    <n v="7955"/>
    <n v="810"/>
    <n v="2099"/>
    <n v="0"/>
    <n v="7312.2359999999999"/>
    <n v="875"/>
    <n v="2099"/>
    <n v="0"/>
    <n v="796"/>
    <n v="0"/>
    <n v="0"/>
    <n v="1"/>
    <n v="1"/>
    <n v="0.10182275298554368"/>
    <n v="0.26385920804525453"/>
    <n v="0"/>
    <n v="0.91920000000000002"/>
    <n v="0.1"/>
    <n v="0.25"/>
    <n v="0"/>
    <n v="0.1"/>
    <n v="7955"/>
    <s v="Food Security and Livlihoods_x000a_Health "/>
    <n v="1"/>
    <s v="Flagged"/>
    <s v="Flagged"/>
    <s v=""/>
    <n v="7312.2359999999999"/>
    <s v="WASH"/>
    <n v="0.91920000000000002"/>
    <n v="642.76400000000012"/>
    <n v="8.7902523933855545E-2"/>
    <s v=""/>
    <n v="2099"/>
    <s v="Protection"/>
    <n v="0.26385920804525453"/>
    <n v="5856"/>
    <n v="2.7898999523582657"/>
    <s v="Flagged"/>
    <s v=""/>
    <s v=""/>
    <n v="7955"/>
    <m/>
    <m/>
    <n v="3"/>
    <s v="Flagged"/>
    <n v="7955"/>
    <m/>
    <x v="0"/>
    <x v="2"/>
    <n v="7955"/>
    <n v="0"/>
    <n v="0"/>
  </r>
  <r>
    <s v="Host CommunitySD13029"/>
    <x v="12"/>
    <x v="12"/>
    <x v="143"/>
    <x v="143"/>
    <m/>
    <m/>
    <x v="135"/>
    <x v="0"/>
    <n v="0"/>
    <n v="0"/>
    <n v="2525.85"/>
    <n v="5613"/>
    <n v="721"/>
    <n v="1482"/>
    <n v="1123"/>
    <n v="3860.6214"/>
    <n v="617"/>
    <n v="1482"/>
    <n v="0"/>
    <n v="561"/>
    <n v="0"/>
    <n v="0"/>
    <n v="0.45"/>
    <n v="1"/>
    <n v="0.12845180830215572"/>
    <n v="0.26402993051843932"/>
    <n v="0.20007126313914128"/>
    <n v="0.68779999999999997"/>
    <n v="0.1"/>
    <n v="0.25"/>
    <n v="0"/>
    <n v="0.1"/>
    <n v="5613"/>
    <s v="Health "/>
    <n v="1"/>
    <s v="Flagged"/>
    <s v="Flagged"/>
    <s v=""/>
    <n v="3860.6214"/>
    <s v="WASH"/>
    <n v="0.68779999999999997"/>
    <n v="1752.3786"/>
    <n v="0.45391102064553651"/>
    <s v="Flagged"/>
    <n v="2525.85"/>
    <s v="Food Security and Livlihoods"/>
    <n v="0.45"/>
    <n v="3087.15"/>
    <n v="1.2222222222222223"/>
    <s v="Flagged"/>
    <s v=""/>
    <s v=""/>
    <n v="5613"/>
    <m/>
    <m/>
    <n v="4"/>
    <s v="Flagged"/>
    <n v="5613"/>
    <m/>
    <x v="0"/>
    <x v="2"/>
    <n v="5613"/>
    <n v="0"/>
    <n v="0"/>
  </r>
  <r>
    <s v="Host CommunitySD13030"/>
    <x v="12"/>
    <x v="12"/>
    <x v="136"/>
    <x v="144"/>
    <m/>
    <m/>
    <x v="136"/>
    <x v="0"/>
    <n v="0"/>
    <n v="12324.2076"/>
    <n v="9536.4"/>
    <n v="31788"/>
    <n v="2632"/>
    <n v="10066"/>
    <n v="6358"/>
    <n v="25935.8292"/>
    <n v="3497"/>
    <n v="10066"/>
    <n v="3178.8"/>
    <n v="3179"/>
    <n v="0"/>
    <n v="0.38769999999999999"/>
    <n v="0.3"/>
    <n v="1"/>
    <n v="8.2798540329684159E-2"/>
    <n v="0.3166603749842708"/>
    <n v="0.20001258336479175"/>
    <n v="0.81589999999999996"/>
    <n v="0.1"/>
    <n v="0.30000000000000004"/>
    <n v="0.1"/>
    <n v="0.1"/>
    <n v="31788"/>
    <s v="Health "/>
    <n v="1"/>
    <s v=""/>
    <s v="Flagged"/>
    <s v=""/>
    <n v="25935.8292"/>
    <s v="WASH"/>
    <n v="0.81589999999999996"/>
    <n v="5852.1707999999999"/>
    <n v="0.22564039710748865"/>
    <s v=""/>
    <n v="12324.2076"/>
    <s v="Education"/>
    <n v="0.38769999999999999"/>
    <n v="19463.792399999998"/>
    <n v="1.5793139025019345"/>
    <s v="Flagged"/>
    <s v=""/>
    <s v=""/>
    <n v="31788"/>
    <m/>
    <m/>
    <n v="2"/>
    <s v="Flagged"/>
    <n v="31788"/>
    <m/>
    <x v="2"/>
    <x v="0"/>
    <n v="0"/>
    <n v="31788"/>
    <n v="0"/>
  </r>
  <r>
    <s v="Host CommunitySD14037"/>
    <x v="13"/>
    <x v="13"/>
    <x v="144"/>
    <x v="145"/>
    <m/>
    <m/>
    <x v="137"/>
    <x v="0"/>
    <n v="0"/>
    <n v="20624.089199999999"/>
    <n v="53196"/>
    <n v="53196"/>
    <n v="5118"/>
    <n v="16844"/>
    <n v="10639"/>
    <n v="45386.8272"/>
    <n v="5852"/>
    <n v="16844"/>
    <n v="0"/>
    <n v="0"/>
    <n v="0"/>
    <n v="0.38769999999999999"/>
    <n v="1"/>
    <n v="1"/>
    <n v="9.6210241371531696E-2"/>
    <n v="0.31664034889841342"/>
    <n v="0.19999624031882096"/>
    <n v="0.85319999999999996"/>
    <n v="0.1"/>
    <n v="0.30000000000000004"/>
    <n v="0"/>
    <n v="0"/>
    <n v="53196"/>
    <s v="Food Security and Livlihoods_x000a_Health "/>
    <n v="1"/>
    <s v=""/>
    <s v="Flagged"/>
    <s v=""/>
    <n v="45386.8272"/>
    <s v="WASH"/>
    <n v="0.85319999999999996"/>
    <n v="7809.1728000000003"/>
    <n v="0.17205813408345055"/>
    <s v=""/>
    <n v="20624.089199999999"/>
    <s v="Education"/>
    <n v="0.38769999999999999"/>
    <n v="32571.910800000001"/>
    <n v="1.5793139025019347"/>
    <s v="Flagged"/>
    <s v=""/>
    <s v=""/>
    <n v="53196"/>
    <m/>
    <m/>
    <n v="2"/>
    <s v="Flagged"/>
    <n v="53196"/>
    <m/>
    <x v="2"/>
    <x v="2"/>
    <n v="53196"/>
    <n v="0"/>
    <n v="0"/>
  </r>
  <r>
    <s v="Host CommunitySD14038"/>
    <x v="13"/>
    <x v="13"/>
    <x v="145"/>
    <x v="146"/>
    <m/>
    <m/>
    <x v="138"/>
    <x v="0"/>
    <n v="0"/>
    <n v="19695.935399999998"/>
    <n v="15240.6"/>
    <n v="50802"/>
    <n v="3185"/>
    <n v="16087"/>
    <n v="10160"/>
    <n v="22246.195799999998"/>
    <n v="5588"/>
    <n v="16087"/>
    <n v="0"/>
    <n v="0"/>
    <n v="0"/>
    <n v="0.38769999999999999"/>
    <n v="0.3"/>
    <n v="1"/>
    <n v="6.2694382110940514E-2"/>
    <n v="0.31666076138734695"/>
    <n v="0.19999212629424037"/>
    <n v="0.43789999999999996"/>
    <n v="0.1"/>
    <n v="0.30000000000000004"/>
    <n v="0"/>
    <n v="0"/>
    <n v="50802"/>
    <s v="Health "/>
    <n v="1"/>
    <s v=""/>
    <s v="Flagged"/>
    <s v=""/>
    <n v="22246.195799999998"/>
    <s v="WASH"/>
    <n v="0.43789999999999996"/>
    <n v="28555.804200000002"/>
    <n v="1.2836263987211693"/>
    <s v="Flagged"/>
    <n v="19695.935399999998"/>
    <s v="Education"/>
    <n v="0.38769999999999999"/>
    <n v="31106.064600000002"/>
    <n v="1.5793139025019347"/>
    <s v="Flagged"/>
    <s v=""/>
    <s v=""/>
    <n v="50802"/>
    <m/>
    <m/>
    <n v="3"/>
    <s v="Flagged"/>
    <n v="50802"/>
    <m/>
    <x v="2"/>
    <x v="2"/>
    <n v="50802"/>
    <n v="0"/>
    <n v="0"/>
  </r>
  <r>
    <s v="Host CommunitySD14039"/>
    <x v="13"/>
    <x v="13"/>
    <x v="146"/>
    <x v="147"/>
    <m/>
    <m/>
    <x v="139"/>
    <x v="0"/>
    <n v="0"/>
    <n v="13929.6733"/>
    <n v="35929"/>
    <n v="35929"/>
    <n v="4044"/>
    <n v="11377"/>
    <n v="7186"/>
    <n v="33615.172400000003"/>
    <n v="3952"/>
    <n v="11377"/>
    <n v="0"/>
    <n v="0"/>
    <n v="0"/>
    <n v="0.38769999999999999"/>
    <n v="1"/>
    <n v="1"/>
    <n v="0.11255531743160122"/>
    <n v="0.31665228645383953"/>
    <n v="0.20000556653399762"/>
    <n v="0.9356000000000001"/>
    <n v="0.1"/>
    <n v="0.30000000000000004"/>
    <n v="0"/>
    <n v="0"/>
    <n v="35929"/>
    <s v="Food Security and Livlihoods_x000a_Health "/>
    <n v="1"/>
    <s v=""/>
    <s v="Flagged"/>
    <s v=""/>
    <n v="33615.172400000003"/>
    <s v="WASH"/>
    <n v="0.9356000000000001"/>
    <n v="2313.8275999999969"/>
    <n v="6.8832834544677118E-2"/>
    <s v=""/>
    <n v="13929.6733"/>
    <s v="Education"/>
    <n v="0.38769999999999999"/>
    <n v="21999.326699999998"/>
    <n v="1.5793139025019343"/>
    <s v="Flagged"/>
    <s v=""/>
    <s v=""/>
    <n v="35929"/>
    <m/>
    <m/>
    <n v="2"/>
    <s v="Flagged"/>
    <n v="35929"/>
    <m/>
    <x v="2"/>
    <x v="2"/>
    <n v="35929"/>
    <n v="0"/>
    <n v="0"/>
  </r>
  <r>
    <s v="Host CommunitySD14040"/>
    <x v="13"/>
    <x v="13"/>
    <x v="147"/>
    <x v="148"/>
    <m/>
    <m/>
    <x v="140"/>
    <x v="0"/>
    <n v="0"/>
    <n v="25887.892100000001"/>
    <n v="66773"/>
    <n v="66773"/>
    <n v="5766"/>
    <n v="21144"/>
    <n v="20032"/>
    <n v="57771.999599999996"/>
    <n v="7345"/>
    <n v="21144"/>
    <n v="0"/>
    <n v="0"/>
    <n v="0"/>
    <n v="0.38769999999999999"/>
    <n v="1"/>
    <n v="1"/>
    <n v="8.6352268132328935E-2"/>
    <n v="0.31665493537807199"/>
    <n v="0.30000149761130995"/>
    <n v="0.86519999999999997"/>
    <n v="0.1"/>
    <n v="0.30000000000000004"/>
    <n v="0"/>
    <n v="0"/>
    <n v="66773"/>
    <s v="Food Security and Livlihoods_x000a_Health "/>
    <n v="1"/>
    <s v=""/>
    <s v="Flagged"/>
    <s v=""/>
    <n v="57771.999599999996"/>
    <s v="WASH"/>
    <n v="0.86519999999999997"/>
    <n v="9001.0004000000044"/>
    <n v="0.15580212667591317"/>
    <s v=""/>
    <n v="25887.892100000001"/>
    <s v="Education"/>
    <n v="0.38769999999999999"/>
    <n v="40885.107900000003"/>
    <n v="1.5793139025019345"/>
    <s v="Flagged"/>
    <s v=""/>
    <s v=""/>
    <n v="66773"/>
    <m/>
    <m/>
    <n v="2"/>
    <s v="Flagged"/>
    <n v="66773"/>
    <m/>
    <x v="2"/>
    <x v="0"/>
    <n v="0"/>
    <n v="66773"/>
    <n v="0"/>
  </r>
  <r>
    <s v="Host CommunitySD14041"/>
    <x v="13"/>
    <x v="13"/>
    <x v="148"/>
    <x v="149"/>
    <m/>
    <m/>
    <x v="141"/>
    <x v="0"/>
    <n v="0"/>
    <n v="24263.816800000001"/>
    <n v="12516.8"/>
    <n v="62584"/>
    <n v="11532"/>
    <n v="19817"/>
    <n v="18775"/>
    <n v="37875.836800000005"/>
    <n v="6884"/>
    <n v="19817"/>
    <n v="0"/>
    <n v="0"/>
    <n v="0"/>
    <n v="0.38769999999999999"/>
    <n v="0.19999999999999998"/>
    <n v="1"/>
    <n v="0.1842643487153266"/>
    <n v="0.31664642720184072"/>
    <n v="0.29999680429502751"/>
    <n v="0.60520000000000007"/>
    <n v="0.1"/>
    <n v="0.30000000000000004"/>
    <n v="0"/>
    <n v="0"/>
    <n v="62584"/>
    <s v="Health "/>
    <n v="1"/>
    <s v=""/>
    <s v="Flagged"/>
    <s v=""/>
    <n v="37875.836800000005"/>
    <s v="WASH"/>
    <n v="0.60520000000000007"/>
    <n v="24708.163199999995"/>
    <n v="0.65234633179114321"/>
    <s v="Flagged"/>
    <n v="24263.816800000001"/>
    <s v="Education"/>
    <n v="0.38769999999999999"/>
    <n v="38320.183199999999"/>
    <n v="1.5793139025019345"/>
    <s v="Flagged"/>
    <s v=""/>
    <s v=""/>
    <n v="62584"/>
    <m/>
    <m/>
    <n v="3"/>
    <s v="Flagged"/>
    <n v="62584"/>
    <m/>
    <x v="2"/>
    <x v="2"/>
    <n v="62584"/>
    <n v="0"/>
    <n v="0"/>
  </r>
  <r>
    <s v="Host CommunitySD14042"/>
    <x v="13"/>
    <x v="13"/>
    <x v="149"/>
    <x v="150"/>
    <m/>
    <m/>
    <x v="142"/>
    <x v="0"/>
    <n v="0"/>
    <n v="14364.285"/>
    <n v="14820"/>
    <n v="37050"/>
    <n v="3305"/>
    <n v="11730"/>
    <n v="7410"/>
    <n v="28161.705000000002"/>
    <n v="4076"/>
    <n v="11730"/>
    <n v="0"/>
    <n v="0"/>
    <n v="0"/>
    <n v="0.38769999999999999"/>
    <n v="0.4"/>
    <n v="1"/>
    <n v="8.9203778677462889E-2"/>
    <n v="0.31659919028340083"/>
    <n v="0.2"/>
    <n v="0.7601"/>
    <n v="0.1"/>
    <n v="0.30000000000000004"/>
    <n v="0"/>
    <n v="0"/>
    <n v="37050"/>
    <s v="Health "/>
    <n v="1"/>
    <s v=""/>
    <s v="Flagged"/>
    <s v=""/>
    <n v="28161.705000000002"/>
    <s v="WASH"/>
    <n v="0.7601"/>
    <n v="8888.2949999999983"/>
    <n v="0.31561636626759626"/>
    <s v="Flagged"/>
    <n v="14820"/>
    <s v="Food Security and Livlihoods"/>
    <n v="0.4"/>
    <n v="22230"/>
    <n v="1.5"/>
    <s v="Flagged"/>
    <s v=""/>
    <s v=""/>
    <n v="37050"/>
    <m/>
    <m/>
    <n v="3"/>
    <s v="Flagged"/>
    <n v="37050"/>
    <m/>
    <x v="2"/>
    <x v="2"/>
    <n v="37050"/>
    <n v="0"/>
    <n v="0"/>
  </r>
  <r>
    <s v="Host CommunitySD14043"/>
    <x v="13"/>
    <x v="13"/>
    <x v="150"/>
    <x v="151"/>
    <m/>
    <m/>
    <x v="143"/>
    <x v="0"/>
    <n v="0"/>
    <n v="19343.128399999998"/>
    <n v="14967.6"/>
    <n v="49892"/>
    <n v="2843"/>
    <n v="15798"/>
    <n v="9978"/>
    <n v="24486.993599999998"/>
    <n v="5488"/>
    <n v="15798"/>
    <n v="0"/>
    <n v="0"/>
    <n v="0"/>
    <n v="0.38769999999999993"/>
    <n v="0.3"/>
    <n v="1"/>
    <n v="5.6983083460274191E-2"/>
    <n v="0.31664395093401748"/>
    <n v="0.19999198268259441"/>
    <n v="0.49079999999999996"/>
    <n v="0.1"/>
    <n v="0.30000000000000004"/>
    <n v="0"/>
    <n v="0"/>
    <n v="49892"/>
    <s v="Health "/>
    <n v="1"/>
    <s v=""/>
    <s v="Flagged"/>
    <s v=""/>
    <n v="24486.993599999998"/>
    <s v="WASH"/>
    <n v="0.49079999999999996"/>
    <n v="25405.006400000002"/>
    <n v="1.0374898125509373"/>
    <s v="Flagged"/>
    <n v="19343.128399999998"/>
    <s v="Education"/>
    <n v="0.38769999999999993"/>
    <n v="30548.871600000002"/>
    <n v="1.5793139025019347"/>
    <s v="Flagged"/>
    <s v=""/>
    <s v=""/>
    <n v="49892"/>
    <m/>
    <m/>
    <n v="3"/>
    <s v="Flagged"/>
    <n v="49892"/>
    <m/>
    <x v="2"/>
    <x v="2"/>
    <n v="49892"/>
    <n v="0"/>
    <n v="0"/>
  </r>
  <r>
    <s v="Host CommunitySD15030"/>
    <x v="14"/>
    <x v="14"/>
    <x v="151"/>
    <x v="152"/>
    <m/>
    <m/>
    <x v="144"/>
    <x v="0"/>
    <n v="0"/>
    <n v="22421.466400000001"/>
    <n v="8674.7999999999993"/>
    <n v="57832"/>
    <n v="3805"/>
    <n v="18311"/>
    <n v="11566"/>
    <n v="23190.631999999998"/>
    <n v="6362"/>
    <n v="18311"/>
    <n v="0"/>
    <n v="5783"/>
    <n v="0"/>
    <n v="0.38770000000000004"/>
    <n v="0.15"/>
    <n v="1"/>
    <n v="6.5794024069719181E-2"/>
    <n v="0.31662401438649884"/>
    <n v="0.19999308341402683"/>
    <n v="0.40099999999999997"/>
    <n v="0.1"/>
    <n v="0.30000000000000004"/>
    <n v="0"/>
    <n v="0.1"/>
    <n v="57832"/>
    <s v="Health "/>
    <n v="1"/>
    <s v=""/>
    <s v="Flagged"/>
    <s v=""/>
    <n v="23190.631999999998"/>
    <s v="WASH"/>
    <n v="0.40099999999999997"/>
    <n v="34641.368000000002"/>
    <n v="1.4937655860349131"/>
    <s v="Flagged"/>
    <n v="22421.466400000001"/>
    <s v="Education"/>
    <n v="0.38770000000000004"/>
    <n v="35410.533599999995"/>
    <n v="1.5793139025019343"/>
    <s v="Flagged"/>
    <s v=""/>
    <s v=""/>
    <n v="57832"/>
    <m/>
    <m/>
    <n v="3"/>
    <s v="Flagged"/>
    <n v="57832"/>
    <m/>
    <x v="2"/>
    <x v="2"/>
    <n v="57832"/>
    <n v="0"/>
    <n v="0"/>
  </r>
  <r>
    <s v="Host CommunitySD15031"/>
    <x v="14"/>
    <x v="14"/>
    <x v="152"/>
    <x v="153"/>
    <m/>
    <m/>
    <x v="145"/>
    <x v="0"/>
    <n v="0"/>
    <n v="0"/>
    <n v="22104"/>
    <n v="22104"/>
    <n v="1431"/>
    <n v="6999"/>
    <n v="4421"/>
    <n v="12285.403200000001"/>
    <n v="2431"/>
    <n v="6999"/>
    <n v="0"/>
    <n v="2210"/>
    <n v="0"/>
    <n v="0"/>
    <n v="1"/>
    <n v="1"/>
    <n v="6.473941368078176E-2"/>
    <n v="0.31663952225841474"/>
    <n v="0.20000904813608397"/>
    <n v="0.55580000000000007"/>
    <n v="0.1"/>
    <n v="0.30000000000000004"/>
    <n v="0"/>
    <n v="0.1"/>
    <n v="22104"/>
    <s v="Food Security and Livlihoods_x000a_Health "/>
    <n v="1"/>
    <s v="Flagged"/>
    <s v="Flagged"/>
    <s v=""/>
    <n v="12285.403200000001"/>
    <s v="WASH"/>
    <n v="0.55580000000000007"/>
    <n v="9818.5967999999993"/>
    <n v="0.79920834832673615"/>
    <s v="Flagged"/>
    <n v="6999"/>
    <s v="Protection"/>
    <n v="0.31663952225841474"/>
    <n v="15105"/>
    <n v="2.158165452207458"/>
    <s v="Flagged"/>
    <s v=""/>
    <s v=""/>
    <n v="22104"/>
    <m/>
    <m/>
    <n v="4"/>
    <s v="Flagged"/>
    <n v="22104"/>
    <m/>
    <x v="2"/>
    <x v="2"/>
    <n v="22104"/>
    <n v="0"/>
    <n v="0"/>
  </r>
  <r>
    <s v="Host CommunitySD15032"/>
    <x v="14"/>
    <x v="14"/>
    <x v="153"/>
    <x v="154"/>
    <m/>
    <m/>
    <x v="146"/>
    <x v="0"/>
    <n v="0"/>
    <n v="16687.771099999998"/>
    <n v="43043"/>
    <n v="43043"/>
    <n v="3753"/>
    <n v="13628"/>
    <n v="8609"/>
    <n v="22588.966399999998"/>
    <n v="4735"/>
    <n v="13628"/>
    <n v="0"/>
    <n v="4304"/>
    <n v="0"/>
    <n v="0.38769999999999993"/>
    <n v="1"/>
    <n v="1"/>
    <n v="8.7191877889552308E-2"/>
    <n v="0.31661361893920031"/>
    <n v="0.20000929303254886"/>
    <n v="0.52479999999999993"/>
    <n v="0.1"/>
    <n v="0.30000000000000004"/>
    <n v="0"/>
    <n v="0.1"/>
    <n v="43043"/>
    <s v="Food Security and Livlihoods_x000a_Health "/>
    <n v="1"/>
    <s v=""/>
    <s v="Flagged"/>
    <s v=""/>
    <n v="22588.966399999998"/>
    <s v="WASH"/>
    <n v="0.52479999999999993"/>
    <n v="20454.033600000002"/>
    <n v="0.90548780487804903"/>
    <s v="Flagged"/>
    <n v="16687.771099999998"/>
    <s v="Education"/>
    <n v="0.38769999999999993"/>
    <n v="26355.228900000002"/>
    <n v="1.5793139025019347"/>
    <s v="Flagged"/>
    <s v=""/>
    <s v=""/>
    <n v="43043"/>
    <m/>
    <m/>
    <n v="3"/>
    <s v="Flagged"/>
    <n v="43043"/>
    <m/>
    <x v="2"/>
    <x v="2"/>
    <n v="43043"/>
    <n v="0"/>
    <n v="0"/>
  </r>
  <r>
    <s v="Host CommunitySD15033"/>
    <x v="14"/>
    <x v="14"/>
    <x v="154"/>
    <x v="155"/>
    <m/>
    <m/>
    <x v="147"/>
    <x v="0"/>
    <n v="0"/>
    <n v="0"/>
    <n v="14376"/>
    <n v="14376"/>
    <n v="1026"/>
    <n v="4552"/>
    <n v="0"/>
    <n v="6742.3439999999991"/>
    <n v="1581"/>
    <n v="4552"/>
    <n v="0"/>
    <n v="1438"/>
    <n v="0"/>
    <n v="0"/>
    <n v="1"/>
    <n v="1"/>
    <n v="7.136894824707847E-2"/>
    <n v="0.31663884251530328"/>
    <n v="0"/>
    <n v="0.46899999999999992"/>
    <n v="0.1"/>
    <n v="0.30000000000000004"/>
    <n v="0"/>
    <n v="0.1"/>
    <n v="14376"/>
    <s v="Food Security and Livlihoods_x000a_Health "/>
    <n v="1"/>
    <s v="Flagged"/>
    <s v="Flagged"/>
    <s v=""/>
    <n v="6742.3439999999991"/>
    <s v="WASH"/>
    <n v="0.46899999999999992"/>
    <n v="7633.6560000000009"/>
    <n v="1.1321961620469085"/>
    <s v="Flagged"/>
    <n v="4552"/>
    <s v="Protection"/>
    <n v="0.31663884251530328"/>
    <n v="9824"/>
    <n v="2.1581722319859402"/>
    <s v="Flagged"/>
    <s v=""/>
    <s v=""/>
    <n v="14376"/>
    <m/>
    <m/>
    <n v="4"/>
    <s v="Flagged"/>
    <n v="14376"/>
    <m/>
    <x v="2"/>
    <x v="2"/>
    <n v="14376"/>
    <n v="0"/>
    <n v="0"/>
  </r>
  <r>
    <s v="Host CommunitySD15034"/>
    <x v="14"/>
    <x v="14"/>
    <x v="155"/>
    <x v="156"/>
    <m/>
    <m/>
    <x v="148"/>
    <x v="0"/>
    <n v="0"/>
    <n v="0"/>
    <n v="41234"/>
    <n v="41234"/>
    <n v="3013"/>
    <n v="13056"/>
    <n v="8247"/>
    <n v="30133.807199999999"/>
    <n v="4536"/>
    <n v="13056"/>
    <n v="0"/>
    <n v="0"/>
    <n v="0"/>
    <n v="0"/>
    <n v="1"/>
    <n v="1"/>
    <n v="7.3070766842896637E-2"/>
    <n v="0.316631905708881"/>
    <n v="0.20000485036620264"/>
    <n v="0.73080000000000001"/>
    <n v="0.1"/>
    <n v="0.30000000000000004"/>
    <n v="0"/>
    <n v="0"/>
    <n v="41234"/>
    <s v="Food Security and Livlihoods_x000a_Health "/>
    <n v="1"/>
    <s v="Flagged"/>
    <s v="Flagged"/>
    <s v=""/>
    <n v="30133.807199999999"/>
    <s v="WASH"/>
    <n v="0.73080000000000001"/>
    <n v="11100.192800000001"/>
    <n v="0.3683634373289546"/>
    <s v="Flagged"/>
    <n v="13056"/>
    <s v="Protection"/>
    <n v="0.316631905708881"/>
    <n v="28178"/>
    <n v="2.1582414215686274"/>
    <s v="Flagged"/>
    <s v=""/>
    <s v=""/>
    <n v="41234"/>
    <m/>
    <m/>
    <n v="4"/>
    <s v="Flagged"/>
    <n v="41234"/>
    <m/>
    <x v="2"/>
    <x v="2"/>
    <n v="41234"/>
    <n v="0"/>
    <n v="0"/>
  </r>
  <r>
    <s v="Host CommunitySD15035"/>
    <x v="14"/>
    <x v="14"/>
    <x v="156"/>
    <x v="157"/>
    <m/>
    <m/>
    <x v="149"/>
    <x v="0"/>
    <n v="0"/>
    <n v="28059.0121"/>
    <n v="72373"/>
    <n v="72373"/>
    <n v="3625"/>
    <n v="22917"/>
    <n v="21712"/>
    <n v="59845.233699999997"/>
    <n v="7961"/>
    <n v="22917"/>
    <n v="0"/>
    <n v="7237"/>
    <n v="0"/>
    <n v="0.38769999999999999"/>
    <n v="1"/>
    <n v="1"/>
    <n v="5.0087739903002498E-2"/>
    <n v="0.31665123733989192"/>
    <n v="0.30000138173075597"/>
    <n v="0.82689999999999997"/>
    <n v="0.1"/>
    <n v="0.30000000000000004"/>
    <n v="0"/>
    <n v="0.1"/>
    <n v="72373"/>
    <s v="Food Security and Livlihoods_x000a_Health "/>
    <n v="1"/>
    <s v=""/>
    <s v="Flagged"/>
    <s v=""/>
    <n v="59845.233699999997"/>
    <s v="WASH"/>
    <n v="0.82689999999999997"/>
    <n v="12527.766300000003"/>
    <n v="0.20933607449510225"/>
    <s v=""/>
    <n v="28059.0121"/>
    <s v="Education"/>
    <n v="0.38769999999999999"/>
    <n v="44313.9879"/>
    <n v="1.5793139025019345"/>
    <s v="Flagged"/>
    <s v=""/>
    <s v=""/>
    <n v="72373"/>
    <m/>
    <m/>
    <n v="2"/>
    <s v="Flagged"/>
    <n v="72373"/>
    <m/>
    <x v="0"/>
    <x v="0"/>
    <n v="0"/>
    <n v="72373"/>
    <n v="0"/>
  </r>
  <r>
    <s v="Host CommunitySD15036"/>
    <x v="14"/>
    <x v="14"/>
    <x v="157"/>
    <x v="158"/>
    <m/>
    <m/>
    <x v="150"/>
    <x v="0"/>
    <n v="0"/>
    <n v="0"/>
    <n v="29708"/>
    <n v="29708"/>
    <n v="2720"/>
    <n v="9406"/>
    <n v="5942"/>
    <n v="19895.4476"/>
    <n v="3268"/>
    <n v="9406"/>
    <n v="0"/>
    <n v="0"/>
    <n v="0"/>
    <n v="0"/>
    <n v="1"/>
    <n v="1"/>
    <n v="9.1557829540864416E-2"/>
    <n v="0.31661505318432748"/>
    <n v="0.20001346438669718"/>
    <n v="0.66969999999999996"/>
    <n v="0.1"/>
    <n v="0.30000000000000004"/>
    <n v="0"/>
    <n v="0"/>
    <n v="29708"/>
    <s v="Food Security and Livlihoods_x000a_Health "/>
    <n v="1"/>
    <s v="Flagged"/>
    <s v="Flagged"/>
    <s v=""/>
    <n v="19895.4476"/>
    <s v="WASH"/>
    <n v="0.66969999999999996"/>
    <n v="9812.5524000000005"/>
    <n v="0.49320591309541589"/>
    <s v="Flagged"/>
    <n v="9406"/>
    <s v="Protection"/>
    <n v="0.31661505318432748"/>
    <n v="20302"/>
    <n v="2.1584095258345735"/>
    <s v="Flagged"/>
    <s v=""/>
    <s v=""/>
    <n v="29708"/>
    <m/>
    <m/>
    <n v="4"/>
    <s v="Flagged"/>
    <n v="29708"/>
    <m/>
    <x v="2"/>
    <x v="2"/>
    <n v="29708"/>
    <n v="0"/>
    <n v="0"/>
  </r>
  <r>
    <s v="Host CommunitySD15037"/>
    <x v="14"/>
    <x v="14"/>
    <x v="158"/>
    <x v="159"/>
    <m/>
    <m/>
    <x v="151"/>
    <x v="0"/>
    <n v="0"/>
    <n v="0"/>
    <n v="9110"/>
    <n v="9110"/>
    <n v="816"/>
    <n v="2404"/>
    <n v="0"/>
    <n v="4367.3339999999989"/>
    <n v="1002"/>
    <n v="2404"/>
    <n v="0"/>
    <n v="911"/>
    <n v="0"/>
    <n v="0"/>
    <n v="1"/>
    <n v="1"/>
    <n v="8.9571899012074643E-2"/>
    <n v="0.26388583973655322"/>
    <n v="0"/>
    <n v="0.47939999999999988"/>
    <n v="0.1"/>
    <n v="0.25"/>
    <n v="0"/>
    <n v="0.1"/>
    <n v="9110"/>
    <s v="Food Security and Livlihoods_x000a_Health "/>
    <n v="1"/>
    <s v="Flagged"/>
    <s v="Flagged"/>
    <s v=""/>
    <n v="4367.3339999999989"/>
    <s v="WASH"/>
    <n v="0.47939999999999988"/>
    <n v="4742.6660000000011"/>
    <n v="1.0859407592824368"/>
    <s v="Flagged"/>
    <n v="2404"/>
    <s v="Protection"/>
    <n v="0.26388583973655322"/>
    <n v="6706"/>
    <n v="2.7895174708818637"/>
    <s v="Flagged"/>
    <s v=""/>
    <s v=""/>
    <n v="9110"/>
    <m/>
    <m/>
    <n v="4"/>
    <s v="Flagged"/>
    <n v="9110"/>
    <m/>
    <x v="2"/>
    <x v="2"/>
    <n v="9110"/>
    <n v="0"/>
    <n v="0"/>
  </r>
  <r>
    <s v="Host CommunitySD16008"/>
    <x v="15"/>
    <x v="15"/>
    <x v="159"/>
    <x v="160"/>
    <m/>
    <m/>
    <x v="152"/>
    <x v="0"/>
    <n v="0"/>
    <n v="0"/>
    <n v="5620"/>
    <n v="28100"/>
    <n v="5622"/>
    <n v="8898"/>
    <n v="5620"/>
    <n v="26561.243999999995"/>
    <n v="3091"/>
    <n v="8898"/>
    <n v="0"/>
    <n v="2810"/>
    <n v="0"/>
    <n v="0"/>
    <n v="0.2"/>
    <n v="1"/>
    <n v="0.20007117437722419"/>
    <n v="0.31665480427046261"/>
    <n v="0.2"/>
    <n v="0.94523999999999986"/>
    <n v="0.1"/>
    <n v="0.30000000000000004"/>
    <n v="0"/>
    <n v="0.1"/>
    <n v="28100"/>
    <s v="Health "/>
    <n v="1"/>
    <s v="Flagged"/>
    <s v="Flagged"/>
    <s v=""/>
    <n v="26561.243999999995"/>
    <s v="WASH"/>
    <n v="0.94523999999999986"/>
    <n v="1538.7560000000049"/>
    <n v="5.7932376962464754E-2"/>
    <s v=""/>
    <n v="8898"/>
    <s v="Protection"/>
    <n v="0.31665480427046261"/>
    <n v="19202"/>
    <n v="2.1580130366374468"/>
    <s v="Flagged"/>
    <s v=""/>
    <s v=""/>
    <n v="28100"/>
    <m/>
    <m/>
    <n v="3"/>
    <s v="Flagged"/>
    <n v="28100"/>
    <m/>
    <x v="2"/>
    <x v="2"/>
    <n v="28100"/>
    <n v="0"/>
    <n v="0"/>
  </r>
  <r>
    <s v="Host CommunitySD16009"/>
    <x v="15"/>
    <x v="15"/>
    <x v="160"/>
    <x v="161"/>
    <m/>
    <m/>
    <x v="153"/>
    <x v="0"/>
    <n v="0"/>
    <n v="37167.248200000002"/>
    <n v="19173.2"/>
    <n v="95866"/>
    <n v="11374"/>
    <n v="30355"/>
    <n v="19173"/>
    <n v="47856.30720000001"/>
    <n v="10545"/>
    <n v="30355"/>
    <n v="0"/>
    <n v="9587"/>
    <n v="0"/>
    <n v="0.38770000000000004"/>
    <n v="0.2"/>
    <n v="1"/>
    <n v="0.11864477499843532"/>
    <n v="0.31663989318423635"/>
    <n v="0.19999791375461581"/>
    <n v="0.49920000000000009"/>
    <n v="0.1"/>
    <n v="0.30000000000000004"/>
    <n v="0"/>
    <n v="0.1"/>
    <n v="95866"/>
    <s v="Health "/>
    <n v="1"/>
    <s v=""/>
    <s v="Flagged"/>
    <s v=""/>
    <n v="47856.30720000001"/>
    <s v="WASH"/>
    <n v="0.49920000000000009"/>
    <n v="48009.69279999999"/>
    <n v="1.0032051282051277"/>
    <s v="Flagged"/>
    <n v="37167.248200000002"/>
    <s v="Education"/>
    <n v="0.38770000000000004"/>
    <n v="58698.751799999998"/>
    <n v="1.5793139025019343"/>
    <s v="Flagged"/>
    <s v=""/>
    <s v=""/>
    <n v="95866"/>
    <m/>
    <m/>
    <n v="3"/>
    <s v="Flagged"/>
    <n v="95866"/>
    <m/>
    <x v="2"/>
    <x v="2"/>
    <n v="95866"/>
    <n v="0"/>
    <n v="0"/>
  </r>
  <r>
    <s v="Host CommunitySD16010"/>
    <x v="15"/>
    <x v="15"/>
    <x v="161"/>
    <x v="162"/>
    <m/>
    <m/>
    <x v="154"/>
    <x v="0"/>
    <n v="0"/>
    <n v="39208.101000000002"/>
    <n v="20226"/>
    <n v="101130"/>
    <n v="14807"/>
    <n v="32022"/>
    <n v="20226"/>
    <n v="109499.51880000002"/>
    <n v="11124"/>
    <n v="32022"/>
    <n v="0"/>
    <n v="10113"/>
    <n v="0"/>
    <n v="0.38770000000000004"/>
    <n v="0.2"/>
    <n v="1"/>
    <n v="0.14641550479580737"/>
    <n v="0.31664194601008605"/>
    <n v="0.2"/>
    <n v="1.0827600000000002"/>
    <n v="0.1"/>
    <n v="0.30000000000000004"/>
    <n v="0"/>
    <n v="0.1"/>
    <n v="109499.51880000002"/>
    <s v="WASH"/>
    <n v="1.0827600000000002"/>
    <s v=""/>
    <s v="Flagged"/>
    <s v=""/>
    <n v="101130"/>
    <s v="Health "/>
    <n v="1"/>
    <n v="8369.5188000000198"/>
    <n v="8.2760000000000195E-2"/>
    <s v=""/>
    <n v="39208.101000000002"/>
    <s v="Education"/>
    <n v="0.38770000000000004"/>
    <n v="70291.417800000025"/>
    <n v="1.7927779210729951"/>
    <s v="Flagged"/>
    <s v=""/>
    <s v=""/>
    <n v="109499.51880000002"/>
    <m/>
    <m/>
    <n v="2"/>
    <s v="Flagged"/>
    <n v="101130"/>
    <m/>
    <x v="2"/>
    <x v="0"/>
    <n v="0"/>
    <n v="101130"/>
    <n v="0"/>
  </r>
  <r>
    <s v="Host CommunitySD16011"/>
    <x v="15"/>
    <x v="15"/>
    <x v="162"/>
    <x v="163"/>
    <m/>
    <m/>
    <x v="155"/>
    <x v="0"/>
    <n v="0"/>
    <n v="42609.393100000001"/>
    <n v="21980.6"/>
    <n v="109903"/>
    <n v="8438"/>
    <n v="34801"/>
    <n v="21981"/>
    <n v="83640.579119999995"/>
    <n v="12089"/>
    <n v="34801"/>
    <n v="0"/>
    <n v="10990"/>
    <n v="0"/>
    <n v="0.38769999999999999"/>
    <n v="0.19999999999999998"/>
    <n v="1"/>
    <n v="7.6776794082054178E-2"/>
    <n v="0.31665195672547608"/>
    <n v="0.20000363957307807"/>
    <n v="0.76103999999999994"/>
    <n v="0.1"/>
    <n v="0.30000000000000004"/>
    <n v="0"/>
    <n v="0.1"/>
    <n v="109903"/>
    <s v="Health "/>
    <n v="1"/>
    <s v=""/>
    <s v="Flagged"/>
    <s v=""/>
    <n v="83640.579119999995"/>
    <s v="WASH"/>
    <n v="0.76103999999999994"/>
    <n v="26262.420880000005"/>
    <n v="0.31399138021654588"/>
    <s v="Flagged"/>
    <n v="42609.393100000001"/>
    <s v="Education"/>
    <n v="0.38769999999999999"/>
    <n v="67293.606899999999"/>
    <n v="1.5793139025019345"/>
    <s v="Flagged"/>
    <s v=""/>
    <s v=""/>
    <n v="109903"/>
    <m/>
    <m/>
    <n v="3"/>
    <s v="Flagged"/>
    <n v="109903"/>
    <m/>
    <x v="2"/>
    <x v="2"/>
    <n v="109903"/>
    <n v="0"/>
    <n v="0"/>
  </r>
  <r>
    <s v="Host CommunitySD16012"/>
    <x v="15"/>
    <x v="15"/>
    <x v="163"/>
    <x v="164"/>
    <m/>
    <m/>
    <x v="156"/>
    <x v="0"/>
    <n v="0"/>
    <n v="40173.861700000001"/>
    <n v="20724.2"/>
    <n v="103621"/>
    <n v="7294"/>
    <n v="32811"/>
    <n v="20724"/>
    <n v="52386.632759999993"/>
    <n v="11398"/>
    <n v="32811"/>
    <n v="0"/>
    <n v="10362"/>
    <n v="0"/>
    <n v="0.38769999999999999"/>
    <n v="0.2"/>
    <n v="1"/>
    <n v="7.0391136931703027E-2"/>
    <n v="0.31664430955115275"/>
    <n v="0.19999806988930816"/>
    <n v="0.5055599999999999"/>
    <n v="0.1"/>
    <n v="0.30000000000000004"/>
    <n v="0"/>
    <n v="0.1"/>
    <n v="103621"/>
    <s v="Health "/>
    <n v="1"/>
    <s v=""/>
    <s v="Flagged"/>
    <s v=""/>
    <n v="52386.632759999993"/>
    <s v="WASH"/>
    <n v="0.5055599999999999"/>
    <n v="51234.367240000007"/>
    <n v="0.97800458897064668"/>
    <s v="Flagged"/>
    <n v="40173.861700000001"/>
    <s v="Education"/>
    <n v="0.38769999999999999"/>
    <n v="63447.138299999999"/>
    <n v="1.5793139025019345"/>
    <s v="Flagged"/>
    <s v=""/>
    <s v=""/>
    <n v="103621"/>
    <m/>
    <m/>
    <n v="3"/>
    <s v="Flagged"/>
    <n v="103621"/>
    <m/>
    <x v="2"/>
    <x v="2"/>
    <n v="103621"/>
    <n v="0"/>
    <n v="0"/>
  </r>
  <r>
    <s v="Host CommunitySD16013"/>
    <x v="15"/>
    <x v="15"/>
    <x v="164"/>
    <x v="165"/>
    <m/>
    <m/>
    <x v="157"/>
    <x v="0"/>
    <n v="0"/>
    <n v="19282.647199999999"/>
    <n v="7460.4"/>
    <n v="49736"/>
    <n v="6840"/>
    <n v="15748"/>
    <n v="9947"/>
    <n v="23521.149119999998"/>
    <n v="5471"/>
    <n v="15748"/>
    <n v="0"/>
    <n v="4974"/>
    <n v="0"/>
    <n v="0.38769999999999999"/>
    <n v="0.15"/>
    <n v="1"/>
    <n v="0.13752613800868585"/>
    <n v="0.31663181598841883"/>
    <n v="0.19999597876789449"/>
    <n v="0.47291999999999995"/>
    <n v="0.1"/>
    <n v="0.30000000000000004"/>
    <n v="0"/>
    <n v="0.1"/>
    <n v="49736"/>
    <s v="Health "/>
    <n v="1"/>
    <s v=""/>
    <s v="Flagged"/>
    <s v=""/>
    <n v="23521.149119999998"/>
    <s v="WASH"/>
    <n v="0.47291999999999995"/>
    <n v="26214.850880000002"/>
    <n v="1.1145225408102852"/>
    <s v="Flagged"/>
    <n v="19282.647199999999"/>
    <s v="Education"/>
    <n v="0.38769999999999999"/>
    <n v="30453.352800000001"/>
    <n v="1.5793139025019345"/>
    <s v="Flagged"/>
    <s v=""/>
    <s v=""/>
    <n v="49736"/>
    <m/>
    <m/>
    <n v="3"/>
    <s v="Flagged"/>
    <n v="49736"/>
    <m/>
    <x v="2"/>
    <x v="2"/>
    <n v="49736"/>
    <n v="0"/>
    <n v="0"/>
  </r>
  <r>
    <s v="Host CommunitySD16014"/>
    <x v="15"/>
    <x v="15"/>
    <x v="165"/>
    <x v="166"/>
    <m/>
    <m/>
    <x v="158"/>
    <x v="0"/>
    <n v="0"/>
    <n v="12077.6304"/>
    <n v="31152"/>
    <n v="31152"/>
    <n v="5046"/>
    <n v="9864"/>
    <n v="6230"/>
    <n v="27049.904639999997"/>
    <n v="3427"/>
    <n v="9864"/>
    <n v="0"/>
    <n v="3115"/>
    <n v="0"/>
    <n v="0.38769999999999999"/>
    <n v="1"/>
    <n v="1"/>
    <n v="0.16197996918335902"/>
    <n v="0.31664098613251157"/>
    <n v="0.19998715973292244"/>
    <n v="0.86831999999999987"/>
    <n v="0.1"/>
    <n v="0.30000000000000004"/>
    <n v="0"/>
    <n v="0.1"/>
    <n v="31152"/>
    <s v="Food Security and Livlihoods_x000a_Health "/>
    <n v="1"/>
    <s v=""/>
    <s v="Flagged"/>
    <s v=""/>
    <n v="27049.904639999997"/>
    <s v="WASH"/>
    <n v="0.86831999999999987"/>
    <n v="4102.095360000003"/>
    <n v="0.15164916159941047"/>
    <s v=""/>
    <n v="12077.6304"/>
    <s v="Education"/>
    <n v="0.38769999999999999"/>
    <n v="19074.369599999998"/>
    <n v="1.5793139025019343"/>
    <s v="Flagged"/>
    <s v=""/>
    <s v=""/>
    <n v="31152"/>
    <m/>
    <m/>
    <n v="2"/>
    <s v="Flagged"/>
    <n v="31152"/>
    <m/>
    <x v="2"/>
    <x v="2"/>
    <n v="31152"/>
    <n v="0"/>
    <n v="0"/>
  </r>
  <r>
    <s v="Host CommunitySD17014"/>
    <x v="16"/>
    <x v="16"/>
    <x v="166"/>
    <x v="167"/>
    <m/>
    <m/>
    <x v="159"/>
    <x v="0"/>
    <n v="0"/>
    <n v="8775.5895"/>
    <n v="22635"/>
    <n v="22635"/>
    <n v="957"/>
    <n v="7166"/>
    <n v="4527"/>
    <n v="10649.7675"/>
    <n v="2490"/>
    <n v="7166"/>
    <n v="0"/>
    <n v="2264"/>
    <n v="0"/>
    <n v="0.38769999999999999"/>
    <n v="1"/>
    <n v="1"/>
    <n v="4.2279655400927769E-2"/>
    <n v="0.31658935277225536"/>
    <n v="0.2"/>
    <n v="0.47049999999999997"/>
    <n v="0.1"/>
    <n v="0.30000000000000004"/>
    <n v="0"/>
    <n v="0.1"/>
    <n v="22635"/>
    <s v="Food Security and Livlihoods_x000a_Health "/>
    <n v="1"/>
    <s v=""/>
    <s v="Flagged"/>
    <s v=""/>
    <n v="10649.7675"/>
    <s v="WASH"/>
    <n v="0.47049999999999997"/>
    <n v="11985.2325"/>
    <n v="1.1253985122210415"/>
    <s v="Flagged"/>
    <n v="8775.5895"/>
    <s v="Education"/>
    <n v="0.38769999999999999"/>
    <n v="13859.4105"/>
    <n v="1.5793139025019345"/>
    <s v="Flagged"/>
    <s v=""/>
    <s v=""/>
    <n v="22635"/>
    <m/>
    <m/>
    <n v="3"/>
    <s v="Flagged"/>
    <n v="22635"/>
    <m/>
    <x v="2"/>
    <x v="2"/>
    <n v="22635"/>
    <n v="0"/>
    <n v="0"/>
  </r>
  <r>
    <s v="Host CommunitySD17015"/>
    <x v="16"/>
    <x v="16"/>
    <x v="167"/>
    <x v="168"/>
    <m/>
    <m/>
    <x v="160"/>
    <x v="0"/>
    <n v="0"/>
    <n v="17353.452000000001"/>
    <n v="11190"/>
    <n v="44760"/>
    <n v="4635"/>
    <n v="14173"/>
    <n v="8952"/>
    <n v="13052.015999999998"/>
    <n v="4924"/>
    <n v="14173"/>
    <n v="0"/>
    <n v="0"/>
    <n v="0"/>
    <n v="0.38770000000000004"/>
    <n v="0.25"/>
    <n v="1"/>
    <n v="0.10355227882037533"/>
    <n v="0.3166443252904379"/>
    <n v="0.2"/>
    <n v="0.29159999999999997"/>
    <n v="0.1"/>
    <n v="0.30000000000000004"/>
    <n v="0"/>
    <n v="0"/>
    <n v="44760"/>
    <s v="Health "/>
    <n v="1"/>
    <s v=""/>
    <s v="Flagged"/>
    <s v=""/>
    <n v="17353.452000000001"/>
    <s v="Education"/>
    <n v="0.38770000000000004"/>
    <n v="27406.547999999999"/>
    <n v="1.5793139025019343"/>
    <s v="Flagged"/>
    <n v="14173"/>
    <s v="Protection"/>
    <n v="0.3166443252904379"/>
    <n v="30587"/>
    <n v="2.1581175474493755"/>
    <s v="Flagged"/>
    <s v=""/>
    <s v=""/>
    <n v="44760"/>
    <m/>
    <m/>
    <n v="3"/>
    <s v="Flagged"/>
    <n v="44760"/>
    <m/>
    <x v="2"/>
    <x v="2"/>
    <n v="44760"/>
    <n v="0"/>
    <n v="0"/>
  </r>
  <r>
    <s v="Host CommunitySD17016"/>
    <x v="16"/>
    <x v="16"/>
    <x v="168"/>
    <x v="169"/>
    <m/>
    <m/>
    <x v="161"/>
    <x v="0"/>
    <n v="0"/>
    <n v="17175.885399999999"/>
    <n v="8860.4"/>
    <n v="44302"/>
    <n v="3727"/>
    <n v="14028"/>
    <n v="8860"/>
    <n v="11252.708000000004"/>
    <n v="4873"/>
    <n v="14028"/>
    <n v="0"/>
    <n v="0"/>
    <n v="0"/>
    <n v="0.38769999999999999"/>
    <n v="0.19999999999999998"/>
    <n v="1"/>
    <n v="8.4127127443456282E-2"/>
    <n v="0.31664484673378179"/>
    <n v="0.19999097106225452"/>
    <n v="0.25400000000000011"/>
    <n v="0.1"/>
    <n v="0.30000000000000004"/>
    <n v="0"/>
    <n v="0"/>
    <n v="44302"/>
    <s v="Health "/>
    <n v="1"/>
    <s v=""/>
    <s v="Flagged"/>
    <s v=""/>
    <n v="17175.885399999999"/>
    <s v="Education"/>
    <n v="0.38769999999999999"/>
    <n v="27126.114600000001"/>
    <n v="1.5793139025019347"/>
    <s v="Flagged"/>
    <n v="14028"/>
    <s v="Protection"/>
    <n v="0.31664484673378179"/>
    <n v="30274"/>
    <n v="2.1581123467351011"/>
    <s v="Flagged"/>
    <s v=""/>
    <s v=""/>
    <n v="44302"/>
    <m/>
    <m/>
    <n v="3"/>
    <s v="Flagged"/>
    <n v="44302"/>
    <m/>
    <x v="2"/>
    <x v="2"/>
    <n v="44302"/>
    <n v="0"/>
    <n v="0"/>
  </r>
  <r>
    <s v="Host CommunitySD17017"/>
    <x v="16"/>
    <x v="16"/>
    <x v="169"/>
    <x v="170"/>
    <m/>
    <m/>
    <x v="162"/>
    <x v="0"/>
    <n v="0"/>
    <n v="19746.3364"/>
    <n v="50932"/>
    <n v="50932"/>
    <n v="23344"/>
    <n v="16128"/>
    <n v="15280"/>
    <n v="21992.437600000005"/>
    <n v="5603"/>
    <n v="16128"/>
    <n v="0"/>
    <n v="0"/>
    <n v="0"/>
    <n v="0.38769999999999999"/>
    <n v="1"/>
    <n v="1"/>
    <n v="0.45833660567030549"/>
    <n v="0.31665750412314458"/>
    <n v="0.30000785360873322"/>
    <n v="0.43180000000000007"/>
    <n v="0.1"/>
    <n v="0.30000000000000004"/>
    <n v="0"/>
    <n v="0"/>
    <n v="50932"/>
    <s v="Food Security and Livlihoods_x000a_Health "/>
    <n v="1"/>
    <s v=""/>
    <s v="Flagged"/>
    <s v=""/>
    <n v="23344"/>
    <s v="Nutrition"/>
    <n v="0.45833660567030549"/>
    <n v="27588"/>
    <n v="1.1818026045236463"/>
    <s v="Flagged"/>
    <n v="21992.437600000005"/>
    <s v="WASH"/>
    <n v="0.43180000000000007"/>
    <n v="28939.562399999995"/>
    <n v="1.3158869847151453"/>
    <s v="Flagged"/>
    <s v=""/>
    <s v=""/>
    <n v="50932"/>
    <m/>
    <m/>
    <n v="3"/>
    <s v="Flagged"/>
    <n v="50932"/>
    <m/>
    <x v="2"/>
    <x v="2"/>
    <n v="50932"/>
    <n v="0"/>
    <n v="0"/>
  </r>
  <r>
    <s v="Host CommunitySD17018"/>
    <x v="16"/>
    <x v="16"/>
    <x v="170"/>
    <x v="171"/>
    <m/>
    <m/>
    <x v="163"/>
    <x v="0"/>
    <n v="0"/>
    <n v="15628.187"/>
    <n v="8062"/>
    <n v="40310"/>
    <n v="3291"/>
    <n v="12764"/>
    <n v="8062"/>
    <n v="12701.681000000002"/>
    <n v="4434"/>
    <n v="12764"/>
    <n v="0"/>
    <n v="0"/>
    <n v="0"/>
    <n v="0.38769999999999999"/>
    <n v="0.2"/>
    <n v="1"/>
    <n v="8.164227238898536E-2"/>
    <n v="0.31664599354998757"/>
    <n v="0.2"/>
    <n v="0.31510000000000005"/>
    <n v="0.1"/>
    <n v="0.30000000000000004"/>
    <n v="0"/>
    <n v="0"/>
    <n v="40310"/>
    <s v="Health "/>
    <n v="1"/>
    <s v=""/>
    <s v="Flagged"/>
    <s v=""/>
    <n v="15628.187"/>
    <s v="Education"/>
    <n v="0.38769999999999999"/>
    <n v="24681.813000000002"/>
    <n v="1.5793139025019347"/>
    <s v="Flagged"/>
    <n v="12764"/>
    <s v="Protection"/>
    <n v="0.31664599354998757"/>
    <n v="27546"/>
    <n v="2.1581009088060168"/>
    <s v="Flagged"/>
    <s v=""/>
    <s v=""/>
    <n v="40310"/>
    <m/>
    <m/>
    <n v="3"/>
    <s v="Flagged"/>
    <n v="40310"/>
    <m/>
    <x v="2"/>
    <x v="2"/>
    <n v="40310"/>
    <n v="0"/>
    <n v="0"/>
  </r>
  <r>
    <s v="Host CommunitySD17019"/>
    <x v="16"/>
    <x v="16"/>
    <x v="171"/>
    <x v="172"/>
    <m/>
    <m/>
    <x v="164"/>
    <x v="0"/>
    <n v="0"/>
    <n v="27069.214"/>
    <n v="69820"/>
    <n v="69820"/>
    <n v="5603"/>
    <n v="22109"/>
    <n v="20946"/>
    <n v="15793.284000000005"/>
    <n v="7680"/>
    <n v="22109"/>
    <n v="0"/>
    <n v="0"/>
    <n v="0"/>
    <n v="0.38769999999999999"/>
    <n v="1"/>
    <n v="1"/>
    <n v="8.0249212260097388E-2"/>
    <n v="0.31665711830421084"/>
    <n v="0.3"/>
    <n v="0.22620000000000007"/>
    <n v="0.1"/>
    <n v="0.30000000000000004"/>
    <n v="0"/>
    <n v="0"/>
    <n v="69820"/>
    <s v="Food Security and Livlihoods_x000a_Health "/>
    <n v="1"/>
    <s v=""/>
    <s v="Flagged"/>
    <s v=""/>
    <n v="27069.214"/>
    <s v="Education"/>
    <n v="0.38769999999999999"/>
    <n v="42750.786"/>
    <n v="1.5793139025019345"/>
    <s v="Flagged"/>
    <n v="22109"/>
    <s v="Protection"/>
    <n v="0.31665711830421084"/>
    <n v="47711"/>
    <n v="2.1579899588402913"/>
    <s v="Flagged"/>
    <s v=""/>
    <s v=""/>
    <n v="69820"/>
    <m/>
    <m/>
    <n v="3"/>
    <s v="Flagged"/>
    <n v="69820"/>
    <m/>
    <x v="2"/>
    <x v="2"/>
    <n v="69820"/>
    <n v="0"/>
    <n v="0"/>
  </r>
  <r>
    <s v="Host CommunitySD17020"/>
    <x v="16"/>
    <x v="16"/>
    <x v="172"/>
    <x v="173"/>
    <m/>
    <m/>
    <x v="165"/>
    <x v="0"/>
    <n v="0"/>
    <n v="26164.709899999998"/>
    <n v="67487"/>
    <n v="67487"/>
    <n v="5409"/>
    <n v="21370"/>
    <n v="20246"/>
    <n v="29903.489700000002"/>
    <n v="7424"/>
    <n v="21370"/>
    <n v="0"/>
    <n v="0"/>
    <n v="0"/>
    <n v="0.38769999999999999"/>
    <n v="1"/>
    <n v="1"/>
    <n v="8.0148769392623762E-2"/>
    <n v="0.3166535777260806"/>
    <n v="0.29999851823314122"/>
    <n v="0.44310000000000005"/>
    <n v="0.1"/>
    <n v="0.30000000000000004"/>
    <n v="0"/>
    <n v="0"/>
    <n v="67487"/>
    <s v="Food Security and Livlihoods_x000a_Health "/>
    <n v="1"/>
    <s v=""/>
    <s v="Flagged"/>
    <s v=""/>
    <n v="29903.489700000002"/>
    <s v="WASH"/>
    <n v="0.44310000000000005"/>
    <n v="37583.510299999994"/>
    <n v="1.2568269013766642"/>
    <s v="Flagged"/>
    <n v="26164.709899999998"/>
    <s v="Education"/>
    <n v="0.38769999999999999"/>
    <n v="41322.290099999998"/>
    <n v="1.5793139025019345"/>
    <s v="Flagged"/>
    <s v=""/>
    <s v=""/>
    <n v="67487"/>
    <m/>
    <m/>
    <n v="3"/>
    <s v="Flagged"/>
    <n v="67487"/>
    <m/>
    <x v="2"/>
    <x v="2"/>
    <n v="67487"/>
    <n v="0"/>
    <n v="0"/>
  </r>
  <r>
    <s v="Host CommunitySD18021"/>
    <x v="17"/>
    <x v="17"/>
    <x v="173"/>
    <x v="174"/>
    <m/>
    <m/>
    <x v="166"/>
    <x v="0"/>
    <n v="0"/>
    <n v="0"/>
    <n v="20041"/>
    <n v="20041"/>
    <n v="2293"/>
    <n v="5288"/>
    <n v="4008"/>
    <n v="19305.495299999999"/>
    <n v="2205"/>
    <n v="5288"/>
    <n v="0"/>
    <n v="2004"/>
    <n v="0"/>
    <n v="0"/>
    <n v="1"/>
    <n v="1"/>
    <n v="0.11441544833092161"/>
    <n v="0.26385908886782095"/>
    <n v="0.19999002045806097"/>
    <n v="0.96329999999999993"/>
    <n v="0.1"/>
    <n v="0.25"/>
    <n v="0"/>
    <n v="0.1"/>
    <n v="20041"/>
    <s v="Food Security and Livlihoods_x000a_Health "/>
    <n v="1"/>
    <s v="Flagged"/>
    <s v="Flagged"/>
    <s v=""/>
    <n v="19305.495299999999"/>
    <s v="WASH"/>
    <n v="0.96329999999999993"/>
    <n v="735.50470000000132"/>
    <n v="3.8098204090106995E-2"/>
    <s v=""/>
    <n v="5288"/>
    <s v="Protection"/>
    <n v="0.26385908886782095"/>
    <n v="14753"/>
    <n v="2.7899016641452343"/>
    <s v="Flagged"/>
    <s v=""/>
    <s v=""/>
    <n v="20041"/>
    <m/>
    <m/>
    <n v="3"/>
    <s v="Flagged"/>
    <n v="20041"/>
    <m/>
    <x v="1"/>
    <x v="2"/>
    <n v="20041"/>
    <n v="0"/>
    <n v="0"/>
  </r>
  <r>
    <s v="Host CommunitySD18022"/>
    <x v="17"/>
    <x v="17"/>
    <x v="174"/>
    <x v="175"/>
    <m/>
    <m/>
    <x v="167"/>
    <x v="0"/>
    <n v="0"/>
    <n v="13944.793599999999"/>
    <n v="35968"/>
    <n v="35968"/>
    <n v="4113"/>
    <n v="9490"/>
    <n v="7194"/>
    <n v="34086.873599999999"/>
    <n v="3956"/>
    <n v="9490"/>
    <n v="3596.8"/>
    <n v="3597"/>
    <n v="0"/>
    <n v="0.38769999999999999"/>
    <n v="1"/>
    <n v="1"/>
    <n v="0.11435164590747331"/>
    <n v="0.26384564056939502"/>
    <n v="0.20001112099644128"/>
    <n v="0.94769999999999999"/>
    <n v="0.1"/>
    <n v="0.25"/>
    <n v="0.1"/>
    <n v="0.1"/>
    <n v="35968"/>
    <s v="Food Security and Livlihoods_x000a_Health "/>
    <n v="1"/>
    <s v=""/>
    <s v="Flagged"/>
    <s v=""/>
    <n v="34086.873599999999"/>
    <s v="WASH"/>
    <n v="0.94769999999999999"/>
    <n v="1881.126400000001"/>
    <n v="5.5186240371425589E-2"/>
    <s v=""/>
    <n v="13944.793599999999"/>
    <s v="Education"/>
    <n v="0.38769999999999999"/>
    <n v="22023.206400000003"/>
    <n v="1.5793139025019347"/>
    <s v="Flagged"/>
    <s v=""/>
    <s v=""/>
    <n v="35968"/>
    <m/>
    <m/>
    <n v="2"/>
    <s v="Flagged"/>
    <n v="35968"/>
    <m/>
    <x v="1"/>
    <x v="0"/>
    <n v="0"/>
    <n v="35968"/>
    <n v="0"/>
  </r>
  <r>
    <s v="Host CommunitySD18028"/>
    <x v="17"/>
    <x v="17"/>
    <x v="175"/>
    <x v="176"/>
    <m/>
    <m/>
    <x v="168"/>
    <x v="0"/>
    <n v="0"/>
    <n v="4033.6307999999999"/>
    <n v="10404"/>
    <n v="10404"/>
    <n v="1038"/>
    <n v="2745"/>
    <n v="2081"/>
    <n v="5730.5231999999996"/>
    <n v="1144"/>
    <n v="2745"/>
    <n v="0"/>
    <n v="1040"/>
    <n v="0"/>
    <n v="0.38769999999999999"/>
    <n v="1"/>
    <n v="1"/>
    <n v="9.9769319492502881E-2"/>
    <n v="0.26384083044982698"/>
    <n v="0.20001922337562475"/>
    <n v="0.55079999999999996"/>
    <n v="0.1"/>
    <n v="0.25"/>
    <n v="0"/>
    <n v="0.1"/>
    <n v="10404"/>
    <s v="Food Security and Livlihoods_x000a_Health "/>
    <n v="1"/>
    <s v=""/>
    <s v="Flagged"/>
    <s v=""/>
    <n v="5730.5231999999996"/>
    <s v="WASH"/>
    <n v="0.55079999999999996"/>
    <n v="4673.4768000000004"/>
    <n v="0.81554103122730581"/>
    <s v="Flagged"/>
    <n v="4033.6307999999999"/>
    <s v="Education"/>
    <n v="0.38769999999999999"/>
    <n v="6370.3692000000001"/>
    <n v="1.5793139025019345"/>
    <s v="Flagged"/>
    <s v=""/>
    <s v=""/>
    <n v="10404"/>
    <m/>
    <m/>
    <n v="3"/>
    <s v="Flagged"/>
    <n v="10404"/>
    <m/>
    <x v="1"/>
    <x v="0"/>
    <n v="0"/>
    <n v="10404"/>
    <n v="0"/>
  </r>
  <r>
    <s v="Host CommunitySD18029"/>
    <x v="17"/>
    <x v="17"/>
    <x v="176"/>
    <x v="177"/>
    <m/>
    <m/>
    <x v="169"/>
    <x v="0"/>
    <n v="0"/>
    <n v="0"/>
    <n v="4607"/>
    <n v="4607"/>
    <n v="507"/>
    <n v="1215"/>
    <n v="0"/>
    <n v="3370.9418999999998"/>
    <n v="507"/>
    <n v="1215"/>
    <n v="0"/>
    <n v="461"/>
    <n v="0"/>
    <n v="0"/>
    <n v="1"/>
    <n v="1"/>
    <n v="0.11004992402865205"/>
    <n v="0.26372910787931408"/>
    <n v="0"/>
    <n v="0.73169999999999991"/>
    <n v="0.1"/>
    <n v="0.25"/>
    <n v="0"/>
    <n v="0.1"/>
    <n v="4607"/>
    <s v="Food Security and Livlihoods_x000a_Health "/>
    <n v="1"/>
    <s v="Flagged"/>
    <s v="Flagged"/>
    <s v=""/>
    <n v="3370.9418999999998"/>
    <s v="WASH"/>
    <n v="0.73169999999999991"/>
    <n v="1236.0581000000002"/>
    <n v="0.36668033347000145"/>
    <s v="Flagged"/>
    <n v="1215"/>
    <s v="Protection"/>
    <n v="0.26372910787931408"/>
    <n v="3392"/>
    <n v="2.791769547325103"/>
    <s v="Flagged"/>
    <s v=""/>
    <s v=""/>
    <n v="4607"/>
    <m/>
    <m/>
    <n v="4"/>
    <s v="Flagged"/>
    <n v="4607"/>
    <m/>
    <x v="1"/>
    <x v="2"/>
    <n v="4607"/>
    <n v="0"/>
    <n v="0"/>
  </r>
  <r>
    <s v="Host CommunitySD18085"/>
    <x v="17"/>
    <x v="17"/>
    <x v="177"/>
    <x v="178"/>
    <m/>
    <m/>
    <x v="170"/>
    <x v="0"/>
    <n v="0"/>
    <n v="8022.6760999999997"/>
    <n v="20693"/>
    <n v="20693"/>
    <n v="1320"/>
    <n v="2276.2300000000005"/>
    <n v="0"/>
    <n v="7201.1639999999998"/>
    <n v="2276"/>
    <n v="0"/>
    <n v="0"/>
    <n v="2069"/>
    <n v="0"/>
    <n v="0.38769999999999999"/>
    <n v="1"/>
    <n v="1"/>
    <n v="6.3789687333881018E-2"/>
    <n v="0.11000000000000003"/>
    <n v="0"/>
    <n v="0.34799999999999998"/>
    <n v="0.1"/>
    <n v="0"/>
    <n v="0"/>
    <n v="0.1"/>
    <n v="20693"/>
    <s v="Food Security and Livlihoods_x000a_Health "/>
    <n v="1"/>
    <s v="Flagged"/>
    <s v="Flagged"/>
    <s v=""/>
    <n v="8022.6760999999997"/>
    <s v="Education"/>
    <n v="0.38769999999999999"/>
    <n v="12670.323899999999"/>
    <n v="1.5793139025019345"/>
    <s v="Flagged"/>
    <n v="7201.1639999999998"/>
    <s v="WASH"/>
    <n v="0.34799999999999998"/>
    <n v="13491.835999999999"/>
    <n v="1.8735632183908046"/>
    <s v="Flagged"/>
    <s v=""/>
    <s v=""/>
    <n v="20693"/>
    <m/>
    <m/>
    <n v="4"/>
    <s v="Flagged"/>
    <n v="20693"/>
    <m/>
    <x v="1"/>
    <x v="0"/>
    <n v="0"/>
    <n v="20693"/>
    <n v="0"/>
  </r>
  <r>
    <s v="Host CommunitySD18086"/>
    <x v="17"/>
    <x v="17"/>
    <x v="178"/>
    <x v="179"/>
    <m/>
    <m/>
    <x v="171"/>
    <x v="0"/>
    <n v="0"/>
    <n v="7982.3553000000002"/>
    <n v="20589"/>
    <n v="20589"/>
    <n v="1544"/>
    <n v="6520"/>
    <n v="4118"/>
    <n v="11041.880700000002"/>
    <n v="2265"/>
    <n v="6520"/>
    <n v="2058.9"/>
    <n v="2059"/>
    <n v="0"/>
    <n v="0.38769999999999999"/>
    <n v="1"/>
    <n v="1"/>
    <n v="7.4991500315702564E-2"/>
    <n v="0.31667395211035021"/>
    <n v="0.20000971392491135"/>
    <n v="0.53630000000000011"/>
    <n v="0.1"/>
    <n v="0.30000000000000004"/>
    <n v="0.1"/>
    <n v="0.1"/>
    <n v="20589"/>
    <s v="Food Security and Livlihoods_x000a_Health "/>
    <n v="1"/>
    <s v=""/>
    <s v="Flagged"/>
    <s v=""/>
    <n v="11041.880700000002"/>
    <s v="WASH"/>
    <n v="0.53630000000000011"/>
    <n v="9547.1192999999985"/>
    <n v="0.8646280067126606"/>
    <s v="Flagged"/>
    <n v="7982.3553000000002"/>
    <s v="Education"/>
    <n v="0.38769999999999999"/>
    <n v="12606.644700000001"/>
    <n v="1.5793139025019345"/>
    <s v="Flagged"/>
    <s v=""/>
    <s v=""/>
    <n v="20589"/>
    <m/>
    <m/>
    <n v="3"/>
    <s v="Flagged"/>
    <n v="20589"/>
    <m/>
    <x v="1"/>
    <x v="2"/>
    <n v="20589"/>
    <n v="0"/>
    <n v="0"/>
  </r>
  <r>
    <s v="Host CommunitySD18087"/>
    <x v="17"/>
    <x v="17"/>
    <x v="179"/>
    <x v="180"/>
    <m/>
    <m/>
    <x v="172"/>
    <x v="0"/>
    <n v="0"/>
    <n v="0"/>
    <n v="21945"/>
    <n v="21945"/>
    <n v="1809"/>
    <n v="5792"/>
    <n v="0"/>
    <n v="18719.084999999999"/>
    <n v="2414"/>
    <n v="5792"/>
    <n v="0"/>
    <n v="2195"/>
    <n v="0"/>
    <n v="0"/>
    <n v="1"/>
    <n v="1"/>
    <n v="8.243335611756665E-2"/>
    <n v="0.2639325586694008"/>
    <n v="0"/>
    <n v="0.85299999999999998"/>
    <n v="0.1"/>
    <n v="0.25"/>
    <n v="0"/>
    <n v="0.1"/>
    <n v="21945"/>
    <s v="Food Security and Livlihoods_x000a_Health "/>
    <n v="1"/>
    <s v="Flagged"/>
    <s v="Flagged"/>
    <s v=""/>
    <n v="18719.084999999999"/>
    <s v="WASH"/>
    <n v="0.85299999999999998"/>
    <n v="3225.9150000000009"/>
    <n v="0.17233294255568588"/>
    <s v=""/>
    <n v="5792"/>
    <s v="Protection"/>
    <n v="0.2639325586694008"/>
    <n v="16153"/>
    <n v="2.788846685082873"/>
    <s v="Flagged"/>
    <s v=""/>
    <s v=""/>
    <n v="21945"/>
    <m/>
    <m/>
    <n v="3"/>
    <s v="Flagged"/>
    <n v="21945"/>
    <m/>
    <x v="1"/>
    <x v="0"/>
    <n v="0"/>
    <n v="21945"/>
    <n v="0"/>
  </r>
  <r>
    <s v="Host CommunitySD18092"/>
    <x v="17"/>
    <x v="17"/>
    <x v="180"/>
    <x v="181"/>
    <m/>
    <m/>
    <x v="173"/>
    <x v="0"/>
    <n v="0"/>
    <n v="2787.1752999999999"/>
    <n v="7189"/>
    <n v="7189"/>
    <n v="688"/>
    <n v="1897"/>
    <n v="1438"/>
    <n v="6013.5985000000001"/>
    <n v="791"/>
    <n v="1897"/>
    <n v="718.90000000000009"/>
    <n v="719"/>
    <n v="0"/>
    <n v="0.38769999999999999"/>
    <n v="1"/>
    <n v="1"/>
    <n v="9.5701766587842532E-2"/>
    <n v="0.26387536514118792"/>
    <n v="0.20002782028098484"/>
    <n v="0.83650000000000002"/>
    <n v="0.1"/>
    <n v="0.25"/>
    <n v="0.1"/>
    <n v="0.1"/>
    <n v="7189"/>
    <s v="Food Security and Livlihoods_x000a_Health "/>
    <n v="1"/>
    <s v=""/>
    <s v="Flagged"/>
    <s v=""/>
    <n v="6013.5985000000001"/>
    <s v="WASH"/>
    <n v="0.83650000000000002"/>
    <n v="1175.4014999999999"/>
    <n v="0.19545726240286909"/>
    <s v=""/>
    <n v="2787.1752999999999"/>
    <s v="Education"/>
    <n v="0.38769999999999999"/>
    <n v="4401.8247000000001"/>
    <n v="1.5793139025019347"/>
    <s v="Flagged"/>
    <s v=""/>
    <s v=""/>
    <n v="7189"/>
    <m/>
    <m/>
    <n v="2"/>
    <s v="Flagged"/>
    <n v="7189"/>
    <m/>
    <x v="1"/>
    <x v="2"/>
    <n v="7189"/>
    <n v="0"/>
    <n v="0"/>
  </r>
  <r>
    <s v="Host CommunitySD18100"/>
    <x v="17"/>
    <x v="17"/>
    <x v="181"/>
    <x v="182"/>
    <m/>
    <m/>
    <x v="174"/>
    <x v="0"/>
    <n v="0"/>
    <n v="7859.8420999999998"/>
    <n v="20273"/>
    <n v="20273"/>
    <n v="2189"/>
    <n v="5348"/>
    <n v="4055"/>
    <n v="18328.819299999999"/>
    <n v="2230"/>
    <n v="5348"/>
    <n v="0"/>
    <n v="2027"/>
    <n v="0"/>
    <n v="0.38769999999999999"/>
    <n v="1"/>
    <n v="1"/>
    <n v="0.1079761258817146"/>
    <n v="0.26379914171558227"/>
    <n v="0.20001973067626894"/>
    <n v="0.90410000000000001"/>
    <n v="0.1"/>
    <n v="0.25"/>
    <n v="0"/>
    <n v="0.1"/>
    <n v="20273"/>
    <s v="Food Security and Livlihoods_x000a_Health "/>
    <n v="1"/>
    <s v=""/>
    <s v="Flagged"/>
    <s v=""/>
    <n v="18328.819299999999"/>
    <s v="WASH"/>
    <n v="0.90410000000000001"/>
    <n v="1944.1807000000008"/>
    <n v="0.1060723371308484"/>
    <s v=""/>
    <n v="7859.8420999999998"/>
    <s v="Education"/>
    <n v="0.38769999999999999"/>
    <n v="12413.1579"/>
    <n v="1.5793139025019345"/>
    <s v="Flagged"/>
    <s v=""/>
    <s v=""/>
    <n v="20273"/>
    <m/>
    <m/>
    <n v="2"/>
    <s v="Flagged"/>
    <n v="20273"/>
    <m/>
    <x v="1"/>
    <x v="2"/>
    <n v="20273"/>
    <n v="0"/>
    <n v="0"/>
  </r>
  <r>
    <s v="Host CommunitySD18102"/>
    <x v="17"/>
    <x v="17"/>
    <x v="182"/>
    <x v="183"/>
    <m/>
    <m/>
    <x v="175"/>
    <x v="0"/>
    <n v="0"/>
    <n v="8482.1005999999998"/>
    <n v="21878"/>
    <n v="21878"/>
    <n v="2234"/>
    <n v="5773"/>
    <n v="4376"/>
    <n v="21438.252199999999"/>
    <n v="2407"/>
    <n v="5773"/>
    <n v="2187.8000000000002"/>
    <n v="2188"/>
    <n v="0"/>
    <n v="0.38769999999999999"/>
    <n v="1"/>
    <n v="1"/>
    <n v="0.1021117103940031"/>
    <n v="0.26387238321601608"/>
    <n v="0.20001828320687448"/>
    <n v="0.97989999999999999"/>
    <n v="0.1"/>
    <n v="0.25"/>
    <n v="0.1"/>
    <n v="0.1"/>
    <n v="21878"/>
    <s v="Food Security and Livlihoods_x000a_Health "/>
    <n v="1"/>
    <s v=""/>
    <s v="Flagged"/>
    <s v=""/>
    <n v="21438.252199999999"/>
    <s v="WASH"/>
    <n v="0.97989999999999999"/>
    <n v="439.74780000000101"/>
    <n v="2.0512297173180986E-2"/>
    <s v=""/>
    <n v="8482.1005999999998"/>
    <s v="Education"/>
    <n v="0.38769999999999999"/>
    <n v="13395.8994"/>
    <n v="1.5793139025019345"/>
    <s v="Flagged"/>
    <s v=""/>
    <s v=""/>
    <n v="21878"/>
    <m/>
    <m/>
    <n v="2"/>
    <s v="Flagged"/>
    <n v="21878"/>
    <m/>
    <x v="0"/>
    <x v="0"/>
    <n v="0"/>
    <n v="21878"/>
    <n v="0"/>
  </r>
  <r>
    <s v="Host CommunitySD18103"/>
    <x v="17"/>
    <x v="17"/>
    <x v="183"/>
    <x v="184"/>
    <m/>
    <m/>
    <x v="176"/>
    <x v="0"/>
    <n v="0"/>
    <n v="3190.7709999999997"/>
    <n v="8230"/>
    <n v="8230"/>
    <n v="1227"/>
    <n v="2171"/>
    <n v="1646"/>
    <n v="7115.6580000000004"/>
    <n v="905"/>
    <n v="2171"/>
    <n v="0"/>
    <n v="823"/>
    <n v="0"/>
    <n v="0.38769999999999999"/>
    <n v="1"/>
    <n v="1"/>
    <n v="0.14908869987849332"/>
    <n v="0.26379100850546783"/>
    <n v="0.2"/>
    <n v="0.86460000000000004"/>
    <n v="0.1"/>
    <n v="0.25"/>
    <n v="0"/>
    <n v="0.1"/>
    <n v="8230"/>
    <s v="Food Security and Livlihoods_x000a_Health "/>
    <n v="1"/>
    <s v=""/>
    <s v="Flagged"/>
    <s v=""/>
    <n v="7115.6580000000004"/>
    <s v="WASH"/>
    <n v="0.86460000000000004"/>
    <n v="1114.3419999999996"/>
    <n v="0.15660421003932448"/>
    <s v=""/>
    <n v="3190.7709999999997"/>
    <s v="Education"/>
    <n v="0.38769999999999999"/>
    <n v="5039.2290000000003"/>
    <n v="1.5793139025019347"/>
    <s v="Flagged"/>
    <s v=""/>
    <s v=""/>
    <n v="8230"/>
    <m/>
    <m/>
    <n v="2"/>
    <s v="Flagged"/>
    <n v="8230"/>
    <m/>
    <x v="1"/>
    <x v="2"/>
    <n v="8230"/>
    <n v="0"/>
    <n v="0"/>
  </r>
  <r>
    <s v="Host CommunitySD18104"/>
    <x v="17"/>
    <x v="17"/>
    <x v="184"/>
    <x v="185"/>
    <m/>
    <m/>
    <x v="177"/>
    <x v="0"/>
    <n v="0"/>
    <n v="0"/>
    <n v="34635"/>
    <n v="34635"/>
    <n v="2801"/>
    <n v="9140"/>
    <n v="6927"/>
    <n v="32293.673999999995"/>
    <n v="3810"/>
    <n v="9140"/>
    <n v="0"/>
    <n v="3464"/>
    <n v="0"/>
    <n v="0"/>
    <n v="1"/>
    <n v="1"/>
    <n v="8.0871950339252208E-2"/>
    <n v="0.26389490399884508"/>
    <n v="0.2"/>
    <n v="0.9323999999999999"/>
    <n v="0.1"/>
    <n v="0.25"/>
    <n v="0"/>
    <n v="0.1"/>
    <n v="34635"/>
    <s v="Food Security and Livlihoods_x000a_Health "/>
    <n v="1"/>
    <s v="Flagged"/>
    <s v="Flagged"/>
    <s v=""/>
    <n v="32293.673999999995"/>
    <s v="WASH"/>
    <n v="0.9323999999999999"/>
    <n v="2341.3260000000046"/>
    <n v="7.2501072501072655E-2"/>
    <s v=""/>
    <n v="9140"/>
    <s v="Protection"/>
    <n v="0.26389490399884508"/>
    <n v="25495"/>
    <n v="2.7893873085339167"/>
    <s v="Flagged"/>
    <s v=""/>
    <s v=""/>
    <n v="34635"/>
    <m/>
    <m/>
    <n v="3"/>
    <s v="Flagged"/>
    <n v="34635"/>
    <m/>
    <x v="0"/>
    <x v="2"/>
    <n v="34635"/>
    <n v="0"/>
    <n v="0"/>
  </r>
  <r>
    <s v="Host CommunitySD18105"/>
    <x v="17"/>
    <x v="17"/>
    <x v="185"/>
    <x v="186"/>
    <m/>
    <m/>
    <x v="178"/>
    <x v="0"/>
    <n v="0"/>
    <n v="1592.6715999999999"/>
    <n v="4108"/>
    <n v="4108"/>
    <n v="345"/>
    <n v="1083"/>
    <n v="0"/>
    <n v="2237.6275999999998"/>
    <n v="452"/>
    <n v="1083"/>
    <n v="0"/>
    <n v="411"/>
    <n v="0"/>
    <n v="0.38769999999999999"/>
    <n v="1"/>
    <n v="1"/>
    <n v="8.3982473222979553E-2"/>
    <n v="0.26363193768257059"/>
    <n v="0"/>
    <n v="0.54469999999999996"/>
    <n v="0.1"/>
    <n v="0.25"/>
    <n v="0"/>
    <n v="0.1"/>
    <n v="4108"/>
    <s v="Food Security and Livlihoods_x000a_Health "/>
    <n v="1"/>
    <s v="Flagged"/>
    <s v="Flagged"/>
    <s v=""/>
    <n v="2237.6275999999998"/>
    <s v="WASH"/>
    <n v="0.54469999999999996"/>
    <n v="1870.3724000000002"/>
    <n v="0.83587295759133484"/>
    <s v="Flagged"/>
    <n v="1592.6715999999999"/>
    <s v="Education"/>
    <n v="0.38769999999999999"/>
    <n v="2515.3284000000003"/>
    <n v="1.5793139025019347"/>
    <s v="Flagged"/>
    <s v=""/>
    <s v=""/>
    <n v="4108"/>
    <m/>
    <m/>
    <n v="4"/>
    <s v="Flagged"/>
    <n v="4108"/>
    <m/>
    <x v="1"/>
    <x v="2"/>
    <n v="4108"/>
    <n v="0"/>
    <n v="0"/>
  </r>
  <r>
    <s v="Host CommunitySD18106"/>
    <x v="17"/>
    <x v="17"/>
    <x v="186"/>
    <x v="187"/>
    <m/>
    <m/>
    <x v="179"/>
    <x v="0"/>
    <n v="0"/>
    <n v="6234.6036999999997"/>
    <n v="16081"/>
    <n v="16081"/>
    <n v="1538"/>
    <n v="1768.9100000000003"/>
    <n v="0"/>
    <n v="16081"/>
    <n v="1769"/>
    <n v="0"/>
    <n v="0"/>
    <n v="1608"/>
    <n v="0"/>
    <n v="0.38769999999999999"/>
    <n v="1"/>
    <n v="1"/>
    <n v="9.564081835706735E-2"/>
    <n v="0.11000000000000001"/>
    <n v="0"/>
    <n v="1"/>
    <n v="0.1"/>
    <n v="0"/>
    <n v="0"/>
    <n v="0.1"/>
    <n v="16081"/>
    <s v="Food Security and Livlihoods_x000a_Health _x000a_WASH"/>
    <n v="1"/>
    <s v="Flagged"/>
    <s v="Flagged"/>
    <s v=""/>
    <n v="6234.6036999999997"/>
    <s v="Education"/>
    <n v="0.38769999999999999"/>
    <n v="9846.3963000000003"/>
    <n v="1.5793139025019347"/>
    <s v="Flagged"/>
    <n v="1768.9100000000003"/>
    <s v="Protection"/>
    <n v="0.11000000000000001"/>
    <n v="14312.09"/>
    <n v="8.0909090909090899"/>
    <s v="Flagged"/>
    <s v=""/>
    <s v=""/>
    <n v="16081"/>
    <m/>
    <m/>
    <n v="4"/>
    <s v="Flagged"/>
    <n v="16081"/>
    <m/>
    <x v="1"/>
    <x v="2"/>
    <n v="16081"/>
    <n v="0"/>
    <n v="0"/>
  </r>
  <r>
    <s v="Host CommunitySD19101"/>
    <x v="18"/>
    <x v="18"/>
    <x v="187"/>
    <x v="188"/>
    <m/>
    <m/>
    <x v="34"/>
    <x v="0"/>
    <n v="0"/>
    <n v="0"/>
    <n v="0"/>
    <n v="0"/>
    <n v="0"/>
    <n v="0"/>
    <n v="0"/>
    <n v="0"/>
    <n v="0"/>
    <n v="0"/>
    <n v="0"/>
    <n v="0"/>
    <e v="#DIV/0!"/>
    <e v="#DIV/0!"/>
    <e v="#DIV/0!"/>
    <e v="#DIV/0!"/>
    <e v="#DIV/0!"/>
    <e v="#DIV/0!"/>
    <e v="#DIV/0!"/>
    <e v="#DIV/0!"/>
    <s v=""/>
    <s v=""/>
    <s v=""/>
    <s v=""/>
    <n v="0"/>
    <s v="Site Management _x000a_Education_x000a_Food Security and Livlihoods_x000a_Health _x000a_Nutrition_x000a_Protection_x000a_Shelter NFI _x000a_WASH"/>
    <e v="#DIV/0!"/>
    <s v=""/>
    <s v=""/>
    <s v=""/>
    <s v="NA"/>
    <s v=""/>
    <s v=""/>
    <s v=""/>
    <s v=""/>
    <s v=""/>
    <n v="0"/>
    <s v="Site Management _x000a_Education_x000a_Food Security and Livlihoods_x000a_Health _x000a_Nutrition_x000a_Protection_x000a_Shelter NFI _x000a_WASH"/>
    <s v=""/>
    <n v="0"/>
    <s v=""/>
    <s v=""/>
    <s v=""/>
    <s v=""/>
    <n v="0"/>
    <m/>
    <m/>
    <n v="0"/>
    <s v=""/>
    <n v="0"/>
    <m/>
    <x v="0"/>
    <x v="2"/>
    <n v="0"/>
    <n v="0"/>
    <n v="0"/>
  </r>
  <r>
    <s v="Host CommunitySDTEMP"/>
    <x v="1"/>
    <x v="1"/>
    <x v="188"/>
    <x v="189"/>
    <m/>
    <m/>
    <x v="34"/>
    <x v="0"/>
    <n v="0"/>
    <n v="0"/>
    <n v="0"/>
    <n v="0"/>
    <n v="0"/>
    <n v="0"/>
    <n v="0"/>
    <n v="0"/>
    <n v="0"/>
    <n v="0"/>
    <n v="0"/>
    <n v="0"/>
    <e v="#DIV/0!"/>
    <e v="#DIV/0!"/>
    <e v="#DIV/0!"/>
    <e v="#DIV/0!"/>
    <e v="#DIV/0!"/>
    <e v="#DIV/0!"/>
    <e v="#DIV/0!"/>
    <e v="#DIV/0!"/>
    <s v=""/>
    <s v=""/>
    <s v=""/>
    <s v=""/>
    <n v="0"/>
    <s v="Site Management _x000a_Education_x000a_Food Security and Livlihoods_x000a_Health _x000a_Nutrition_x000a_Protection_x000a_Shelter NFI _x000a_WASH"/>
    <e v="#DIV/0!"/>
    <s v=""/>
    <s v=""/>
    <s v=""/>
    <s v="NA"/>
    <s v=""/>
    <s v=""/>
    <s v=""/>
    <s v=""/>
    <s v=""/>
    <n v="0"/>
    <s v="Site Management _x000a_Education_x000a_Food Security and Livlihoods_x000a_Health _x000a_Nutrition_x000a_Protection_x000a_Shelter NFI _x000a_WASH"/>
    <s v=""/>
    <n v="0"/>
    <s v=""/>
    <s v=""/>
    <s v=""/>
    <s v=""/>
    <n v="0"/>
    <m/>
    <m/>
    <n v="0"/>
    <s v=""/>
    <n v="0"/>
    <m/>
    <x v="3"/>
    <x v="3"/>
    <n v="0"/>
    <n v="0"/>
    <n v="0"/>
  </r>
  <r>
    <s v="IDPsSD01001"/>
    <x v="0"/>
    <x v="0"/>
    <x v="0"/>
    <x v="0"/>
    <m/>
    <m/>
    <x v="180"/>
    <x v="1"/>
    <n v="0"/>
    <n v="2861.2260000000001"/>
    <n v="7380"/>
    <n v="7380"/>
    <n v="761"/>
    <n v="7380"/>
    <n v="5904"/>
    <n v="6015.880799999999"/>
    <n v="4059"/>
    <n v="3505"/>
    <n v="5166"/>
    <n v="7380"/>
    <n v="0"/>
    <n v="0.38769999999999999"/>
    <n v="1"/>
    <n v="1"/>
    <n v="0.10311653116531165"/>
    <n v="1"/>
    <n v="0.8"/>
    <n v="0.81515999999999988"/>
    <n v="0.55000000000000004"/>
    <n v="0.45"/>
    <n v="0.70000000000000007"/>
    <n v="1"/>
    <n v="7380"/>
    <s v="Food Security and Livlihoods_x000a_Health _x000a_Protection"/>
    <n v="1"/>
    <s v=""/>
    <s v="Flagged"/>
    <s v=""/>
    <n v="6015.880799999999"/>
    <s v="WASH"/>
    <n v="0.81515999999999988"/>
    <n v="1364.119200000001"/>
    <n v="0.22675303007998451"/>
    <s v=""/>
    <n v="5904"/>
    <s v="Shelter NFI "/>
    <n v="0.8"/>
    <n v="1476"/>
    <n v="0.25"/>
    <s v=""/>
    <s v=""/>
    <s v=""/>
    <n v="7380"/>
    <m/>
    <m/>
    <n v="1"/>
    <s v="Flagged"/>
    <n v="7380"/>
    <m/>
    <x v="0"/>
    <x v="0"/>
    <n v="0"/>
    <n v="7380"/>
    <n v="0"/>
  </r>
  <r>
    <s v="IDPsSD01002"/>
    <x v="0"/>
    <x v="0"/>
    <x v="1"/>
    <x v="1"/>
    <m/>
    <m/>
    <x v="181"/>
    <x v="1"/>
    <n v="0"/>
    <n v="1229.009"/>
    <n v="3170"/>
    <n v="3170"/>
    <n v="304"/>
    <n v="3170"/>
    <n v="2536"/>
    <n v="1827.8219999999999"/>
    <n v="1744"/>
    <n v="1505"/>
    <n v="2219"/>
    <n v="3170"/>
    <n v="0"/>
    <n v="0.38769999999999999"/>
    <n v="1"/>
    <n v="1"/>
    <n v="9.5899053627760258E-2"/>
    <n v="1"/>
    <n v="0.8"/>
    <n v="0.5766"/>
    <n v="0.55000000000000004"/>
    <n v="0.45"/>
    <n v="0.70000000000000007"/>
    <n v="1"/>
    <n v="3170"/>
    <s v="Food Security and Livlihoods_x000a_Health _x000a_Protection"/>
    <n v="1"/>
    <s v=""/>
    <s v="Flagged"/>
    <s v=""/>
    <n v="2536"/>
    <s v="Shelter NFI "/>
    <n v="0.8"/>
    <n v="634"/>
    <n v="0.25"/>
    <s v=""/>
    <n v="1827.8219999999999"/>
    <s v="WASH"/>
    <n v="0.5766"/>
    <n v="1342.1780000000001"/>
    <n v="0.73430454387790511"/>
    <s v="Flagged"/>
    <s v=""/>
    <s v=""/>
    <n v="3170"/>
    <m/>
    <m/>
    <n v="2"/>
    <s v="Flagged"/>
    <n v="3170"/>
    <m/>
    <x v="1"/>
    <x v="0"/>
    <n v="0"/>
    <n v="3170"/>
    <n v="0"/>
  </r>
  <r>
    <s v="IDPsSD01003"/>
    <x v="0"/>
    <x v="0"/>
    <x v="2"/>
    <x v="2"/>
    <m/>
    <m/>
    <x v="182"/>
    <x v="1"/>
    <n v="0"/>
    <n v="1725.2649999999999"/>
    <n v="4450"/>
    <n v="4450"/>
    <n v="468"/>
    <n v="4450"/>
    <n v="3560"/>
    <n v="3405.8519999999999"/>
    <n v="2448"/>
    <n v="2113"/>
    <n v="3115"/>
    <n v="4450"/>
    <n v="0"/>
    <n v="0.38769999999999999"/>
    <n v="1"/>
    <n v="1"/>
    <n v="0.10516853932584269"/>
    <n v="1"/>
    <n v="0.8"/>
    <n v="0.76535999999999993"/>
    <n v="0.55000000000000004"/>
    <n v="0.45"/>
    <n v="0.70000000000000007"/>
    <n v="1"/>
    <n v="4450"/>
    <s v="Food Security and Livlihoods_x000a_Health _x000a_Protection"/>
    <n v="1"/>
    <s v=""/>
    <s v="Flagged"/>
    <s v=""/>
    <n v="3560"/>
    <s v="Shelter NFI "/>
    <n v="0.8"/>
    <n v="890"/>
    <n v="0.25"/>
    <s v=""/>
    <n v="3405.8519999999999"/>
    <s v="WASH"/>
    <n v="0.76535999999999993"/>
    <n v="1044.1480000000001"/>
    <n v="0.30657468380892655"/>
    <s v=""/>
    <s v=""/>
    <s v=""/>
    <n v="4450"/>
    <m/>
    <m/>
    <n v="1"/>
    <s v="Flagged"/>
    <n v="4450"/>
    <m/>
    <x v="0"/>
    <x v="0"/>
    <n v="0"/>
    <n v="4450"/>
    <n v="0"/>
  </r>
  <r>
    <s v="IDPsSD01004"/>
    <x v="0"/>
    <x v="0"/>
    <x v="3"/>
    <x v="3"/>
    <m/>
    <m/>
    <x v="183"/>
    <x v="1"/>
    <n v="0"/>
    <n v="3586.2249999999999"/>
    <n v="9250"/>
    <n v="9250"/>
    <n v="467"/>
    <n v="9250"/>
    <n v="7400"/>
    <n v="4685.3100000000004"/>
    <n v="5088"/>
    <n v="3662"/>
    <n v="6475"/>
    <n v="9250"/>
    <n v="0"/>
    <n v="0.38769999999999999"/>
    <n v="1"/>
    <n v="1"/>
    <n v="5.0486486486486487E-2"/>
    <n v="1"/>
    <n v="0.8"/>
    <n v="0.50652000000000008"/>
    <n v="0.55000000000000004"/>
    <n v="0.4"/>
    <n v="0.70000000000000007"/>
    <n v="1"/>
    <n v="9250"/>
    <s v="Food Security and Livlihoods_x000a_Health _x000a_Protection"/>
    <n v="1"/>
    <s v=""/>
    <s v="Flagged"/>
    <s v=""/>
    <n v="7400"/>
    <s v="Shelter NFI "/>
    <n v="0.8"/>
    <n v="1850"/>
    <n v="0.25"/>
    <s v=""/>
    <n v="4685.3100000000004"/>
    <s v="WASH"/>
    <n v="0.50652000000000008"/>
    <n v="4564.6899999999996"/>
    <n v="0.974255705598989"/>
    <s v="Flagged"/>
    <s v=""/>
    <s v=""/>
    <n v="9250"/>
    <m/>
    <m/>
    <n v="2"/>
    <s v="Flagged"/>
    <n v="9250"/>
    <m/>
    <x v="0"/>
    <x v="0"/>
    <n v="0"/>
    <n v="9250"/>
    <n v="0"/>
  </r>
  <r>
    <s v="IDPsSD01005"/>
    <x v="0"/>
    <x v="0"/>
    <x v="4"/>
    <x v="4"/>
    <m/>
    <m/>
    <x v="184"/>
    <x v="1"/>
    <n v="0"/>
    <n v="3630.8105"/>
    <n v="9365"/>
    <n v="9365"/>
    <n v="393"/>
    <n v="9365"/>
    <n v="7492"/>
    <n v="5060.4714000000004"/>
    <n v="5151"/>
    <n v="3708"/>
    <n v="6555.5"/>
    <n v="9365"/>
    <n v="0"/>
    <n v="0.38769999999999999"/>
    <n v="1"/>
    <n v="1"/>
    <n v="4.1964762413240791E-2"/>
    <n v="1"/>
    <n v="0.8"/>
    <n v="0.54036000000000006"/>
    <n v="0.55000000000000004"/>
    <n v="0.4"/>
    <n v="0.70000000000000007"/>
    <n v="1"/>
    <n v="9365"/>
    <s v="Food Security and Livlihoods_x000a_Health _x000a_Protection"/>
    <n v="1"/>
    <s v=""/>
    <s v="Flagged"/>
    <s v=""/>
    <n v="7492"/>
    <s v="Shelter NFI "/>
    <n v="0.8"/>
    <n v="1873"/>
    <n v="0.25"/>
    <s v=""/>
    <n v="5060.4714000000004"/>
    <s v="WASH"/>
    <n v="0.54036000000000006"/>
    <n v="4304.5285999999996"/>
    <n v="0.85061810644755331"/>
    <s v="Flagged"/>
    <s v=""/>
    <s v="Flagged"/>
    <n v="9365"/>
    <m/>
    <m/>
    <n v="3"/>
    <s v="Flagged"/>
    <n v="9365"/>
    <m/>
    <x v="0"/>
    <x v="1"/>
    <n v="0"/>
    <n v="0"/>
    <n v="9365"/>
  </r>
  <r>
    <s v="IDPsSD01006"/>
    <x v="0"/>
    <x v="0"/>
    <x v="5"/>
    <x v="5"/>
    <m/>
    <m/>
    <x v="185"/>
    <x v="1"/>
    <n v="0"/>
    <n v="1543.046"/>
    <n v="3980"/>
    <n v="3980"/>
    <n v="362"/>
    <n v="3980"/>
    <n v="3184"/>
    <n v="2210.3328000000001"/>
    <n v="2189"/>
    <n v="1891"/>
    <n v="2786"/>
    <n v="3980"/>
    <n v="0"/>
    <n v="0.38769999999999999"/>
    <n v="1"/>
    <n v="1"/>
    <n v="9.0954773869346736E-2"/>
    <n v="1"/>
    <n v="0.8"/>
    <n v="0.55536000000000008"/>
    <n v="0.55000000000000004"/>
    <n v="0.5"/>
    <n v="0.70000000000000007"/>
    <n v="1"/>
    <n v="3980"/>
    <s v="Food Security and Livlihoods_x000a_Health _x000a_Protection"/>
    <n v="1"/>
    <s v=""/>
    <s v="Flagged"/>
    <s v=""/>
    <n v="3184"/>
    <s v="Shelter NFI "/>
    <n v="0.8"/>
    <n v="796"/>
    <n v="0.25"/>
    <s v=""/>
    <n v="2210.3328000000001"/>
    <s v="WASH"/>
    <n v="0.55536000000000008"/>
    <n v="1769.6671999999999"/>
    <n v="0.80063382310573306"/>
    <s v="Flagged"/>
    <s v=""/>
    <s v=""/>
    <n v="3980"/>
    <m/>
    <m/>
    <n v="2"/>
    <s v="Flagged"/>
    <n v="3980"/>
    <m/>
    <x v="0"/>
    <x v="1"/>
    <n v="0"/>
    <n v="0"/>
    <n v="3980"/>
  </r>
  <r>
    <s v="IDPsSD01007"/>
    <x v="0"/>
    <x v="0"/>
    <x v="6"/>
    <x v="6"/>
    <m/>
    <m/>
    <x v="186"/>
    <x v="1"/>
    <n v="0"/>
    <n v="1242.5785000000001"/>
    <n v="3205"/>
    <n v="3205"/>
    <n v="223"/>
    <n v="3205"/>
    <n v="2564"/>
    <n v="1350.7151999999996"/>
    <n v="1763"/>
    <n v="1522"/>
    <n v="2243.5"/>
    <n v="3205"/>
    <n v="0"/>
    <n v="0.38770000000000004"/>
    <n v="1"/>
    <n v="1"/>
    <n v="6.9578783151326054E-2"/>
    <n v="1"/>
    <n v="0.8"/>
    <n v="0.42143999999999987"/>
    <n v="0.55000000000000004"/>
    <n v="0.45"/>
    <n v="0.70000000000000007"/>
    <n v="1"/>
    <n v="3205"/>
    <s v="Food Security and Livlihoods_x000a_Health _x000a_Protection"/>
    <n v="1"/>
    <s v=""/>
    <s v="Flagged"/>
    <s v=""/>
    <n v="2564"/>
    <s v="Shelter NFI "/>
    <n v="0.8"/>
    <n v="641"/>
    <n v="0.25"/>
    <s v=""/>
    <n v="1350.7151999999996"/>
    <s v="WASH"/>
    <n v="0.42143999999999987"/>
    <n v="1854.2848000000004"/>
    <n v="1.3728170083523166"/>
    <s v="Flagged"/>
    <s v=""/>
    <s v=""/>
    <n v="3205"/>
    <m/>
    <m/>
    <n v="2"/>
    <s v="Flagged"/>
    <n v="3205"/>
    <m/>
    <x v="0"/>
    <x v="1"/>
    <n v="0"/>
    <n v="0"/>
    <n v="3205"/>
  </r>
  <r>
    <s v="IDPsSD02113"/>
    <x v="1"/>
    <x v="1"/>
    <x v="7"/>
    <x v="7"/>
    <m/>
    <m/>
    <x v="7"/>
    <x v="1"/>
    <n v="44216"/>
    <n v="21387.858199999999"/>
    <n v="55166"/>
    <n v="55166"/>
    <n v="7698"/>
    <n v="55166"/>
    <n v="33100"/>
    <n v="40341.792479999989"/>
    <n v="30341"/>
    <n v="21835"/>
    <n v="22066.400000000001"/>
    <n v="55166"/>
    <n v="0.80150817532538154"/>
    <n v="0.38769999999999999"/>
    <n v="1"/>
    <n v="1"/>
    <n v="0.13954247181234819"/>
    <n v="1"/>
    <n v="0.60000725084291051"/>
    <n v="0.73127999999999982"/>
    <n v="0.55000000000000004"/>
    <n v="0.4"/>
    <n v="0.4"/>
    <n v="1"/>
    <n v="55166"/>
    <s v="Food Security and Livlihoods_x000a_Health _x000a_Protection"/>
    <n v="1"/>
    <s v=""/>
    <s v="Flagged"/>
    <s v=""/>
    <n v="44216"/>
    <s v="Site Management "/>
    <n v="0.80150817532538154"/>
    <n v="10950"/>
    <n v="0.24764791025872987"/>
    <s v=""/>
    <n v="40341.792479999989"/>
    <s v="WASH"/>
    <n v="0.73127999999999982"/>
    <n v="14824.207520000011"/>
    <n v="0.36746526638223426"/>
    <s v=""/>
    <s v=""/>
    <s v=""/>
    <n v="55166"/>
    <m/>
    <m/>
    <n v="1"/>
    <s v="Flagged"/>
    <n v="55166"/>
    <m/>
    <x v="1"/>
    <x v="0"/>
    <n v="0"/>
    <n v="55166"/>
    <n v="0"/>
  </r>
  <r>
    <s v="IDPsSD02114"/>
    <x v="1"/>
    <x v="1"/>
    <x v="8"/>
    <x v="8"/>
    <m/>
    <m/>
    <x v="187"/>
    <x v="1"/>
    <n v="535902"/>
    <n v="215463.8873"/>
    <n v="555749"/>
    <n v="555749"/>
    <n v="92305"/>
    <n v="555749"/>
    <n v="444599"/>
    <n v="379865.55648000003"/>
    <n v="305662"/>
    <n v="263962"/>
    <n v="389024.3"/>
    <n v="555749"/>
    <n v="0.96428783497586146"/>
    <n v="0.38769999999999999"/>
    <n v="1"/>
    <n v="1"/>
    <n v="0.16609116705563123"/>
    <n v="1"/>
    <n v="0.79999964012530833"/>
    <n v="0.68352000000000002"/>
    <n v="0.55000000000000004"/>
    <n v="0.45"/>
    <n v="0.70000000000000007"/>
    <n v="1"/>
    <n v="555749"/>
    <s v="Food Security and Livlihoods_x000a_Health _x000a_Protection"/>
    <n v="1"/>
    <s v=""/>
    <s v="Flagged"/>
    <s v=""/>
    <n v="535902"/>
    <s v="Site Management "/>
    <n v="0.96428783497586146"/>
    <n v="19847"/>
    <n v="3.7034756354706641E-2"/>
    <s v=""/>
    <n v="444599"/>
    <s v="Shelter NFI "/>
    <n v="0.79999964012530833"/>
    <n v="111150"/>
    <n v="0.25000056230445861"/>
    <s v=""/>
    <s v=""/>
    <s v=""/>
    <n v="555749"/>
    <m/>
    <m/>
    <n v="1"/>
    <s v="Flagged"/>
    <n v="555749"/>
    <m/>
    <x v="1"/>
    <x v="0"/>
    <n v="0"/>
    <n v="555749"/>
    <n v="0"/>
  </r>
  <r>
    <s v="IDPsSD02116"/>
    <x v="1"/>
    <x v="1"/>
    <x v="9"/>
    <x v="9"/>
    <m/>
    <m/>
    <x v="9"/>
    <x v="1"/>
    <n v="0"/>
    <n v="678.47500000000002"/>
    <n v="1750"/>
    <n v="1750"/>
    <n v="271"/>
    <n v="1750"/>
    <n v="0"/>
    <n v="0"/>
    <n v="963"/>
    <n v="694"/>
    <n v="0"/>
    <n v="1750"/>
    <n v="0"/>
    <n v="0.38769999999999999"/>
    <n v="1"/>
    <n v="1"/>
    <n v="0.15485714285714286"/>
    <n v="1"/>
    <n v="0"/>
    <n v="0"/>
    <n v="0.55000000000000004"/>
    <n v="0.4"/>
    <n v="0"/>
    <n v="1"/>
    <n v="1750"/>
    <s v="Food Security and Livlihoods_x000a_Health _x000a_Protection"/>
    <n v="1"/>
    <s v="Flagged"/>
    <s v="Flagged"/>
    <s v=""/>
    <n v="678.47500000000002"/>
    <s v="Education"/>
    <n v="0.38769999999999999"/>
    <n v="1071.5250000000001"/>
    <n v="1.5793139025019345"/>
    <s v="Flagged"/>
    <n v="271"/>
    <s v="Nutrition"/>
    <n v="0.15485714285714286"/>
    <n v="1479"/>
    <n v="5.4575645756457565"/>
    <s v="Flagged"/>
    <s v=""/>
    <s v=""/>
    <n v="1750"/>
    <m/>
    <m/>
    <n v="4"/>
    <s v="Flagged"/>
    <n v="1750"/>
    <m/>
    <x v="1"/>
    <x v="2"/>
    <n v="1750"/>
    <n v="0"/>
    <n v="0"/>
  </r>
  <r>
    <s v="IDPsSD02117"/>
    <x v="1"/>
    <x v="1"/>
    <x v="10"/>
    <x v="10"/>
    <m/>
    <m/>
    <x v="10"/>
    <x v="1"/>
    <n v="0"/>
    <n v="1546.923"/>
    <n v="3990"/>
    <n v="3990"/>
    <n v="583"/>
    <n v="3990"/>
    <n v="1596"/>
    <n v="0"/>
    <n v="2195"/>
    <n v="1579"/>
    <n v="0"/>
    <n v="3990"/>
    <n v="0"/>
    <n v="0.38769999999999999"/>
    <n v="1"/>
    <n v="1"/>
    <n v="0.14611528822055136"/>
    <n v="1"/>
    <n v="0.4"/>
    <n v="0"/>
    <n v="0.55000000000000004"/>
    <n v="0.4"/>
    <n v="0"/>
    <n v="1"/>
    <n v="3990"/>
    <s v="Food Security and Livlihoods_x000a_Health _x000a_Protection"/>
    <n v="1"/>
    <s v="Flagged"/>
    <s v="Flagged"/>
    <s v=""/>
    <n v="1596"/>
    <s v="Shelter NFI "/>
    <n v="0.4"/>
    <n v="2394"/>
    <n v="1.5"/>
    <s v="Flagged"/>
    <n v="1546.923"/>
    <s v="Education"/>
    <n v="0.38769999999999999"/>
    <n v="2443.0770000000002"/>
    <n v="1.5793139025019347"/>
    <s v="Flagged"/>
    <s v=""/>
    <s v=""/>
    <n v="3990"/>
    <m/>
    <m/>
    <n v="4"/>
    <s v="Flagged"/>
    <n v="3990"/>
    <m/>
    <x v="0"/>
    <x v="2"/>
    <n v="3990"/>
    <n v="0"/>
    <n v="0"/>
  </r>
  <r>
    <s v="IDPsSD02118"/>
    <x v="1"/>
    <x v="1"/>
    <x v="11"/>
    <x v="11"/>
    <m/>
    <m/>
    <x v="11"/>
    <x v="1"/>
    <n v="9307"/>
    <n v="4476.3841999999995"/>
    <n v="11546"/>
    <n v="11546"/>
    <n v="1537"/>
    <n v="11546"/>
    <n v="4618"/>
    <n v="12606.846479999998"/>
    <n v="6350"/>
    <n v="4570"/>
    <n v="4618.4000000000005"/>
    <n v="11546"/>
    <n v="0.80608002771522602"/>
    <n v="0.38769999999999993"/>
    <n v="1"/>
    <n v="1"/>
    <n v="0.13311969513251343"/>
    <n v="1"/>
    <n v="0.3999653559674346"/>
    <n v="1.09188"/>
    <n v="0.55000000000000004"/>
    <n v="0.4"/>
    <n v="0.4"/>
    <n v="1"/>
    <n v="12606.846479999998"/>
    <s v="WASH"/>
    <n v="1.09188"/>
    <s v=""/>
    <s v="Flagged"/>
    <s v=""/>
    <n v="11546"/>
    <s v="Food Security and Livlihoods_x000a_Health _x000a_Protection"/>
    <n v="1"/>
    <n v="1060.8464799999983"/>
    <n v="9.1879999999999851E-2"/>
    <s v=""/>
    <n v="9307"/>
    <s v="Site Management "/>
    <n v="0.80608002771522602"/>
    <n v="3299.8464799999983"/>
    <n v="0.35455533254539578"/>
    <s v=""/>
    <s v=""/>
    <s v=""/>
    <n v="12606.846479999998"/>
    <m/>
    <m/>
    <n v="1"/>
    <s v="Flagged"/>
    <n v="11546"/>
    <m/>
    <x v="0"/>
    <x v="0"/>
    <n v="0"/>
    <n v="11546"/>
    <n v="0"/>
  </r>
  <r>
    <s v="IDPsSD02119"/>
    <x v="1"/>
    <x v="1"/>
    <x v="12"/>
    <x v="12"/>
    <m/>
    <m/>
    <x v="12"/>
    <x v="1"/>
    <n v="0"/>
    <n v="135.69499999999999"/>
    <n v="350"/>
    <n v="350"/>
    <n v="50"/>
    <n v="350"/>
    <n v="140"/>
    <n v="0"/>
    <n v="193"/>
    <n v="138"/>
    <n v="0"/>
    <n v="350"/>
    <n v="0"/>
    <n v="0.38769999999999999"/>
    <n v="1"/>
    <n v="1"/>
    <n v="0.14285714285714285"/>
    <n v="1"/>
    <n v="0.4"/>
    <n v="0"/>
    <n v="0.55000000000000004"/>
    <n v="0.4"/>
    <n v="0"/>
    <n v="1"/>
    <n v="350"/>
    <s v="Food Security and Livlihoods_x000a_Health _x000a_Protection"/>
    <n v="1"/>
    <s v="Flagged"/>
    <s v="Flagged"/>
    <s v=""/>
    <n v="140"/>
    <s v="Shelter NFI "/>
    <n v="0.4"/>
    <n v="210"/>
    <n v="1.5"/>
    <s v="Flagged"/>
    <n v="135.69499999999999"/>
    <s v="Education"/>
    <n v="0.38769999999999999"/>
    <n v="214.30500000000001"/>
    <n v="1.5793139025019347"/>
    <s v="Flagged"/>
    <s v=""/>
    <s v=""/>
    <n v="350"/>
    <m/>
    <m/>
    <n v="4"/>
    <s v="Flagged"/>
    <n v="350"/>
    <m/>
    <x v="0"/>
    <x v="2"/>
    <n v="350"/>
    <n v="0"/>
    <n v="0"/>
  </r>
  <r>
    <s v="IDPsSD02120"/>
    <x v="1"/>
    <x v="1"/>
    <x v="13"/>
    <x v="13"/>
    <m/>
    <m/>
    <x v="13"/>
    <x v="1"/>
    <n v="277"/>
    <n v="320.62790000000001"/>
    <n v="827"/>
    <n v="827"/>
    <n v="58"/>
    <n v="827"/>
    <n v="0"/>
    <n v="0"/>
    <n v="455"/>
    <n v="327"/>
    <n v="330.8"/>
    <n v="827"/>
    <n v="0.33494558645707379"/>
    <n v="0.38769999999999999"/>
    <n v="1"/>
    <n v="1"/>
    <n v="7.0133010882708582E-2"/>
    <n v="1"/>
    <n v="0"/>
    <n v="0"/>
    <n v="0.55000000000000004"/>
    <n v="0.4"/>
    <n v="0.4"/>
    <n v="1"/>
    <n v="827"/>
    <s v="Food Security and Livlihoods_x000a_Health _x000a_Protection"/>
    <n v="1"/>
    <s v="Flagged"/>
    <s v="Flagged"/>
    <s v=""/>
    <n v="320.62790000000001"/>
    <s v="Education"/>
    <n v="0.38769999999999999"/>
    <n v="506.37209999999999"/>
    <n v="1.5793139025019345"/>
    <s v="Flagged"/>
    <n v="277"/>
    <s v="Site Management "/>
    <n v="0.33494558645707379"/>
    <n v="550"/>
    <n v="1.9855595667870036"/>
    <s v="Flagged"/>
    <s v=""/>
    <s v="Flagged"/>
    <n v="827"/>
    <m/>
    <m/>
    <n v="5"/>
    <s v="Flagged"/>
    <n v="827"/>
    <m/>
    <x v="0"/>
    <x v="2"/>
    <n v="827"/>
    <n v="0"/>
    <n v="0"/>
  </r>
  <r>
    <s v="IDPsSD02124"/>
    <x v="1"/>
    <x v="1"/>
    <x v="14"/>
    <x v="14"/>
    <m/>
    <m/>
    <x v="188"/>
    <x v="1"/>
    <n v="44839"/>
    <n v="31963.926499999998"/>
    <n v="82445"/>
    <n v="82445"/>
    <n v="9497"/>
    <n v="82445"/>
    <n v="49467"/>
    <n v="77297.134199999986"/>
    <n v="45345"/>
    <n v="32632"/>
    <n v="24733.5"/>
    <n v="82445"/>
    <n v="0.54386560737461342"/>
    <n v="0.38769999999999999"/>
    <n v="1"/>
    <n v="1"/>
    <n v="0.11519194614591546"/>
    <n v="1"/>
    <n v="0.6"/>
    <n v="0.93755999999999984"/>
    <n v="0.55000000000000004"/>
    <n v="0.4"/>
    <n v="0.30000000000000004"/>
    <n v="1"/>
    <n v="82445"/>
    <s v="Food Security and Livlihoods_x000a_Health _x000a_Protection"/>
    <n v="1"/>
    <s v=""/>
    <s v="Flagged"/>
    <s v=""/>
    <n v="77297.134199999986"/>
    <s v="WASH"/>
    <n v="0.93755999999999984"/>
    <n v="5147.8658000000141"/>
    <n v="6.6598404368787265E-2"/>
    <s v=""/>
    <n v="49467"/>
    <s v="Shelter NFI "/>
    <n v="0.6"/>
    <n v="32978"/>
    <n v="0.66666666666666663"/>
    <s v="Flagged"/>
    <s v=""/>
    <s v=""/>
    <n v="82445"/>
    <m/>
    <m/>
    <n v="2"/>
    <s v="Flagged"/>
    <n v="82445"/>
    <m/>
    <x v="0"/>
    <x v="1"/>
    <n v="0"/>
    <n v="0"/>
    <n v="82445"/>
  </r>
  <r>
    <s v="IDPsSD02126"/>
    <x v="1"/>
    <x v="1"/>
    <x v="15"/>
    <x v="15"/>
    <m/>
    <m/>
    <x v="15"/>
    <x v="1"/>
    <n v="1073"/>
    <n v="3031.0385999999999"/>
    <n v="7818"/>
    <n v="7818"/>
    <n v="1108"/>
    <n v="7818"/>
    <n v="3127"/>
    <n v="0"/>
    <n v="4300"/>
    <n v="3095"/>
    <n v="0"/>
    <n v="7818"/>
    <n v="0.13724737784599642"/>
    <n v="0.38769999999999999"/>
    <n v="1"/>
    <n v="1"/>
    <n v="0.14172422614479407"/>
    <n v="1"/>
    <n v="0.39997441800972117"/>
    <n v="0"/>
    <n v="0.55000000000000004"/>
    <n v="0.4"/>
    <n v="0"/>
    <n v="1"/>
    <n v="7818"/>
    <s v="Food Security and Livlihoods_x000a_Health _x000a_Protection"/>
    <n v="1"/>
    <s v=""/>
    <s v="Flagged"/>
    <s v=""/>
    <n v="3127"/>
    <s v="Shelter NFI "/>
    <n v="0.39997441800972117"/>
    <n v="4691"/>
    <n v="1.5001598976654942"/>
    <s v="Flagged"/>
    <n v="3031.0385999999999"/>
    <s v="Education"/>
    <n v="0.38769999999999999"/>
    <n v="4786.9614000000001"/>
    <n v="1.5793139025019347"/>
    <s v="Flagged"/>
    <s v=""/>
    <s v="Flagged"/>
    <n v="7818"/>
    <m/>
    <m/>
    <n v="4"/>
    <s v="Flagged"/>
    <n v="7818"/>
    <m/>
    <x v="1"/>
    <x v="2"/>
    <n v="7818"/>
    <n v="0"/>
    <n v="0"/>
  </r>
  <r>
    <s v="IDPsSD02128"/>
    <x v="1"/>
    <x v="1"/>
    <x v="16"/>
    <x v="16"/>
    <m/>
    <m/>
    <x v="189"/>
    <x v="1"/>
    <n v="53225"/>
    <n v="44423.518939999994"/>
    <n v="114582"/>
    <n v="114582"/>
    <n v="16746"/>
    <n v="114582"/>
    <n v="68749"/>
    <n v="83667.922439999995"/>
    <n v="63020"/>
    <n v="54423"/>
    <n v="45832.880000000005"/>
    <n v="114582"/>
    <n v="0.46451449616868268"/>
    <n v="0.38770067672060177"/>
    <n v="1"/>
    <n v="1"/>
    <n v="0.14614860972927685"/>
    <n v="1"/>
    <n v="0.59999825452514355"/>
    <n v="0.73020127454574013"/>
    <n v="0.55000000000000004"/>
    <n v="0.45"/>
    <n v="0.4"/>
    <n v="1"/>
    <n v="114582"/>
    <s v="Food Security and Livlihoods_x000a_Health _x000a_Protection"/>
    <n v="1"/>
    <s v=""/>
    <s v="Flagged"/>
    <s v=""/>
    <n v="83667.922439999995"/>
    <s v="WASH"/>
    <n v="0.73020127454574013"/>
    <n v="30914.077560000005"/>
    <n v="0.36948542115610833"/>
    <s v="Flagged"/>
    <n v="68749"/>
    <s v="Shelter NFI "/>
    <n v="0.59999825452514355"/>
    <n v="45833"/>
    <n v="0.6666715152220396"/>
    <s v="Flagged"/>
    <s v=""/>
    <s v=""/>
    <n v="114582"/>
    <m/>
    <m/>
    <n v="3"/>
    <s v="Flagged"/>
    <n v="114582"/>
    <m/>
    <x v="0"/>
    <x v="1"/>
    <n v="0"/>
    <n v="0"/>
    <n v="114582"/>
  </r>
  <r>
    <s v="IDPsSD02129"/>
    <x v="1"/>
    <x v="1"/>
    <x v="17"/>
    <x v="17"/>
    <m/>
    <m/>
    <x v="17"/>
    <x v="1"/>
    <n v="11529"/>
    <n v="8356.4858000000004"/>
    <n v="21554"/>
    <n v="21554"/>
    <n v="3713"/>
    <n v="21554"/>
    <n v="8622"/>
    <n v="19181.33568"/>
    <n v="11855"/>
    <n v="8531"/>
    <n v="10777"/>
    <n v="21554"/>
    <n v="0.53488911570938114"/>
    <n v="0.38770000000000004"/>
    <n v="1"/>
    <n v="1"/>
    <n v="0.17226500881506912"/>
    <n v="1"/>
    <n v="0.40001855804027092"/>
    <n v="0.88992000000000004"/>
    <n v="0.55000000000000004"/>
    <n v="0.4"/>
    <n v="0.5"/>
    <n v="1"/>
    <n v="21554"/>
    <s v="Food Security and Livlihoods_x000a_Health _x000a_Protection"/>
    <n v="1"/>
    <s v=""/>
    <s v="Flagged"/>
    <s v=""/>
    <n v="19181.33568"/>
    <s v="WASH"/>
    <n v="0.88992000000000004"/>
    <n v="2372.6643199999999"/>
    <n v="0.12369651204602661"/>
    <s v=""/>
    <n v="11529"/>
    <s v="Site Management "/>
    <n v="0.53488911570938114"/>
    <n v="10025"/>
    <n v="0.86954636134964003"/>
    <s v="Flagged"/>
    <s v=""/>
    <s v=""/>
    <n v="21554"/>
    <m/>
    <m/>
    <n v="2"/>
    <s v="Flagged"/>
    <n v="21554"/>
    <m/>
    <x v="1"/>
    <x v="0"/>
    <n v="0"/>
    <n v="21554"/>
    <n v="0"/>
  </r>
  <r>
    <s v="IDPsSD02133"/>
    <x v="1"/>
    <x v="1"/>
    <x v="18"/>
    <x v="18"/>
    <m/>
    <m/>
    <x v="18"/>
    <x v="1"/>
    <n v="0"/>
    <n v="30490.2788"/>
    <n v="78644"/>
    <n v="78644"/>
    <n v="9980"/>
    <n v="78644"/>
    <n v="47186"/>
    <n v="72487.747679999986"/>
    <n v="43254"/>
    <n v="31128"/>
    <n v="23593.200000000001"/>
    <n v="78644"/>
    <n v="0"/>
    <n v="0.38769999999999999"/>
    <n v="1"/>
    <n v="1"/>
    <n v="0.12690097146635471"/>
    <n v="1"/>
    <n v="0.59999491378871883"/>
    <n v="0.92171999999999987"/>
    <n v="0.55000000000000004"/>
    <n v="0.4"/>
    <n v="0.30000000000000004"/>
    <n v="1"/>
    <n v="78644"/>
    <s v="Food Security and Livlihoods_x000a_Health _x000a_Protection"/>
    <n v="1"/>
    <s v=""/>
    <s v="Flagged"/>
    <s v=""/>
    <n v="72487.747679999986"/>
    <s v="WASH"/>
    <n v="0.92171999999999987"/>
    <n v="6156.2523200000142"/>
    <n v="8.492817775463285E-2"/>
    <s v=""/>
    <n v="47186"/>
    <s v="Shelter NFI "/>
    <n v="0.59999491378871883"/>
    <n v="31458"/>
    <n v="0.66668079515110412"/>
    <s v="Flagged"/>
    <s v=""/>
    <s v=""/>
    <n v="78644"/>
    <m/>
    <m/>
    <n v="2"/>
    <s v="Flagged"/>
    <n v="78644"/>
    <m/>
    <x v="0"/>
    <x v="0"/>
    <n v="0"/>
    <n v="78644"/>
    <n v="0"/>
  </r>
  <r>
    <s v="IDPsSD02136"/>
    <x v="1"/>
    <x v="1"/>
    <x v="19"/>
    <x v="19"/>
    <m/>
    <m/>
    <x v="19"/>
    <x v="1"/>
    <n v="0"/>
    <n v="290.77499999999998"/>
    <n v="750"/>
    <n v="750"/>
    <n v="117"/>
    <n v="750"/>
    <n v="0"/>
    <n v="0"/>
    <n v="413"/>
    <n v="297"/>
    <n v="225"/>
    <n v="750"/>
    <n v="0"/>
    <n v="0.38769999999999999"/>
    <n v="1"/>
    <n v="1"/>
    <n v="0.156"/>
    <n v="1"/>
    <n v="0"/>
    <n v="0"/>
    <n v="0.55000000000000004"/>
    <n v="0.4"/>
    <n v="0.30000000000000004"/>
    <n v="1"/>
    <n v="750"/>
    <s v="Food Security and Livlihoods_x000a_Health _x000a_Protection"/>
    <n v="1"/>
    <s v="Flagged"/>
    <s v="Flagged"/>
    <s v=""/>
    <n v="290.77499999999998"/>
    <s v="Education"/>
    <n v="0.38769999999999999"/>
    <n v="459.22500000000002"/>
    <n v="1.5793139025019347"/>
    <s v="Flagged"/>
    <n v="117"/>
    <s v="Nutrition"/>
    <n v="0.156"/>
    <n v="633"/>
    <n v="5.4102564102564106"/>
    <s v="Flagged"/>
    <s v=""/>
    <s v=""/>
    <n v="750"/>
    <m/>
    <m/>
    <n v="4"/>
    <s v="Flagged"/>
    <n v="750"/>
    <m/>
    <x v="1"/>
    <x v="2"/>
    <n v="750"/>
    <n v="0"/>
    <n v="0"/>
  </r>
  <r>
    <s v="IDPsSD02168"/>
    <x v="1"/>
    <x v="1"/>
    <x v="20"/>
    <x v="20"/>
    <m/>
    <m/>
    <x v="20"/>
    <x v="1"/>
    <n v="0"/>
    <n v="98.863500000000002"/>
    <n v="255"/>
    <n v="255"/>
    <n v="42"/>
    <n v="255"/>
    <n v="0"/>
    <n v="0"/>
    <n v="140"/>
    <n v="101"/>
    <n v="76.5"/>
    <n v="255"/>
    <n v="0"/>
    <n v="0.38769999999999999"/>
    <n v="1"/>
    <n v="1"/>
    <n v="0.16470588235294117"/>
    <n v="1"/>
    <n v="0"/>
    <n v="0"/>
    <n v="0.55000000000000004"/>
    <n v="0.4"/>
    <n v="0.30000000000000004"/>
    <n v="1"/>
    <n v="255"/>
    <s v="Food Security and Livlihoods_x000a_Health _x000a_Protection"/>
    <n v="1"/>
    <s v="Flagged"/>
    <s v="Flagged"/>
    <s v=""/>
    <n v="98.863500000000002"/>
    <s v="Education"/>
    <n v="0.38769999999999999"/>
    <n v="156.13650000000001"/>
    <n v="1.5793139025019345"/>
    <s v="Flagged"/>
    <n v="42"/>
    <s v="Nutrition"/>
    <n v="0.16470588235294117"/>
    <n v="213"/>
    <n v="5.0714285714285712"/>
    <s v="Flagged"/>
    <s v=""/>
    <s v=""/>
    <n v="255"/>
    <m/>
    <m/>
    <n v="4"/>
    <s v="Flagged"/>
    <n v="255"/>
    <m/>
    <x v="0"/>
    <x v="2"/>
    <n v="255"/>
    <n v="0"/>
    <n v="0"/>
  </r>
  <r>
    <s v="IDPsSD02169"/>
    <x v="1"/>
    <x v="1"/>
    <x v="21"/>
    <x v="21"/>
    <m/>
    <m/>
    <x v="190"/>
    <x v="1"/>
    <n v="0"/>
    <n v="3935.9303999999997"/>
    <n v="10152"/>
    <n v="10152"/>
    <n v="1254"/>
    <n v="10152"/>
    <n v="0"/>
    <n v="5419.9497600000004"/>
    <n v="5584"/>
    <n v="4018"/>
    <n v="3045.6"/>
    <n v="10152"/>
    <n v="0"/>
    <n v="0.38769999999999999"/>
    <n v="1"/>
    <n v="1"/>
    <n v="0.12352245862884161"/>
    <n v="1"/>
    <n v="0"/>
    <n v="0.53388000000000002"/>
    <n v="0.55000000000000004"/>
    <n v="0.4"/>
    <n v="0.30000000000000004"/>
    <n v="1"/>
    <n v="10152"/>
    <s v="Food Security and Livlihoods_x000a_Health _x000a_Protection"/>
    <n v="1"/>
    <s v="Flagged"/>
    <s v="Flagged"/>
    <s v=""/>
    <n v="5419.9497600000004"/>
    <s v="WASH"/>
    <n v="0.53388000000000002"/>
    <n v="4732.0502399999996"/>
    <n v="0.87308009290477251"/>
    <s v="Flagged"/>
    <n v="3935.9303999999997"/>
    <s v="Education"/>
    <n v="0.38769999999999999"/>
    <n v="6216.0696000000007"/>
    <n v="1.5793139025019347"/>
    <s v="Flagged"/>
    <s v=""/>
    <s v=""/>
    <n v="10152"/>
    <m/>
    <m/>
    <n v="4"/>
    <s v="Flagged"/>
    <n v="10152"/>
    <m/>
    <x v="1"/>
    <x v="2"/>
    <n v="10152"/>
    <n v="0"/>
    <n v="0"/>
  </r>
  <r>
    <s v="IDPsSD02170"/>
    <x v="1"/>
    <x v="1"/>
    <x v="22"/>
    <x v="22"/>
    <m/>
    <m/>
    <x v="191"/>
    <x v="1"/>
    <n v="91662"/>
    <n v="41642.004059999999"/>
    <n v="107407.8"/>
    <n v="107407.8"/>
    <n v="7879"/>
    <n v="107408"/>
    <n v="64445"/>
    <n v="108151.061976"/>
    <n v="59074"/>
    <n v="42512"/>
    <n v="32222.34"/>
    <n v="107408"/>
    <n v="0.85340011917175629"/>
    <n v="0.38769927807984506"/>
    <n v="0.99999813794130799"/>
    <n v="0.99999813794130799"/>
    <n v="7.3355802174884549E-2"/>
    <n v="1"/>
    <n v="0.6000018620586921"/>
    <n v="1.0069181250558616"/>
    <n v="0.55000000000000004"/>
    <n v="0.4"/>
    <n v="0.30000000000000004"/>
    <n v="1"/>
    <n v="108151.061976"/>
    <s v="WASH"/>
    <n v="1.0069181250558616"/>
    <s v=""/>
    <s v="Flagged"/>
    <s v=""/>
    <n v="107408"/>
    <s v="Protection"/>
    <n v="1"/>
    <n v="743.06197599999723"/>
    <n v="6.9181250558617352E-3"/>
    <s v=""/>
    <n v="107407.8"/>
    <s v="Food Security and Livlihoods_x000a_Health "/>
    <n v="0.99999813794130799"/>
    <n v="743.26197599999432"/>
    <n v="6.919999999999947E-3"/>
    <s v=""/>
    <s v=""/>
    <s v=""/>
    <n v="108151.061976"/>
    <m/>
    <m/>
    <n v="1"/>
    <s v="Flagged"/>
    <n v="107408"/>
    <m/>
    <x v="0"/>
    <x v="1"/>
    <n v="0"/>
    <n v="0"/>
    <n v="107408"/>
  </r>
  <r>
    <s v="IDPsSD02171"/>
    <x v="1"/>
    <x v="1"/>
    <x v="23"/>
    <x v="23"/>
    <m/>
    <m/>
    <x v="23"/>
    <x v="1"/>
    <n v="4815"/>
    <n v="1866.7755"/>
    <n v="4815"/>
    <n v="4815"/>
    <n v="654"/>
    <n v="4815"/>
    <n v="0"/>
    <n v="0"/>
    <n v="2648"/>
    <n v="1905"/>
    <n v="1444.5"/>
    <n v="4815"/>
    <n v="1"/>
    <n v="0.38769999999999999"/>
    <n v="1"/>
    <n v="1"/>
    <n v="0.13582554517133957"/>
    <n v="1"/>
    <n v="0"/>
    <n v="0"/>
    <n v="0.55000000000000004"/>
    <n v="0.4"/>
    <n v="0.30000000000000004"/>
    <n v="1"/>
    <n v="4815"/>
    <s v="Site Management _x000a_Food Security and Livlihoods_x000a_Health _x000a_Protection"/>
    <n v="1"/>
    <s v="Flagged"/>
    <s v="Flagged"/>
    <s v=""/>
    <n v="1866.7755"/>
    <s v="Education"/>
    <n v="0.38769999999999999"/>
    <n v="2948.2245000000003"/>
    <n v="1.5793139025019347"/>
    <s v="Flagged"/>
    <n v="654"/>
    <s v="Nutrition"/>
    <n v="0.13582554517133957"/>
    <n v="4161"/>
    <n v="6.3623853211009171"/>
    <s v="Flagged"/>
    <s v=""/>
    <s v="Flagged"/>
    <n v="4815"/>
    <m/>
    <m/>
    <n v="5"/>
    <s v="Flagged"/>
    <n v="4815"/>
    <m/>
    <x v="0"/>
    <x v="0"/>
    <n v="0"/>
    <n v="4815"/>
    <n v="0"/>
  </r>
  <r>
    <s v="IDPsSD03141"/>
    <x v="2"/>
    <x v="2"/>
    <x v="24"/>
    <x v="24"/>
    <m/>
    <m/>
    <x v="192"/>
    <x v="1"/>
    <n v="0"/>
    <n v="13519.099"/>
    <n v="34870"/>
    <n v="34870"/>
    <n v="2664"/>
    <n v="34870"/>
    <n v="20922"/>
    <n v="36362.436000000002"/>
    <n v="19179"/>
    <n v="13800"/>
    <n v="0"/>
    <n v="34870"/>
    <n v="0"/>
    <n v="0.38769999999999999"/>
    <n v="1"/>
    <n v="1"/>
    <n v="7.6398049899627188E-2"/>
    <n v="1"/>
    <n v="0.6"/>
    <n v="1.0427999999999999"/>
    <n v="0.55000000000000004"/>
    <n v="0.4"/>
    <n v="0"/>
    <n v="1"/>
    <n v="36362.436000000002"/>
    <s v="WASH"/>
    <n v="1.0427999999999999"/>
    <s v=""/>
    <s v="Flagged"/>
    <s v=""/>
    <n v="34870"/>
    <s v="Food Security and Livlihoods_x000a_Health _x000a_Protection"/>
    <n v="1"/>
    <n v="1492.4360000000015"/>
    <n v="4.2800000000000046E-2"/>
    <s v=""/>
    <n v="20922"/>
    <s v="Shelter NFI "/>
    <n v="0.6"/>
    <n v="15440.436000000002"/>
    <n v="0.7380000000000001"/>
    <s v="Flagged"/>
    <s v=""/>
    <s v=""/>
    <n v="36362.436000000002"/>
    <m/>
    <m/>
    <n v="2"/>
    <s v="Flagged"/>
    <n v="34870"/>
    <m/>
    <x v="1"/>
    <x v="2"/>
    <n v="34870"/>
    <n v="0"/>
    <n v="0"/>
  </r>
  <r>
    <s v="IDPsSD03143"/>
    <x v="2"/>
    <x v="2"/>
    <x v="25"/>
    <x v="25"/>
    <m/>
    <m/>
    <x v="25"/>
    <x v="1"/>
    <n v="3610"/>
    <n v="1399.597"/>
    <n v="3610"/>
    <n v="3610"/>
    <n v="295"/>
    <n v="3610"/>
    <n v="1444"/>
    <n v="0"/>
    <n v="1986"/>
    <n v="1429"/>
    <n v="0"/>
    <n v="3610"/>
    <n v="1"/>
    <n v="0.38769999999999999"/>
    <n v="1"/>
    <n v="1"/>
    <n v="8.1717451523545703E-2"/>
    <n v="1"/>
    <n v="0.4"/>
    <n v="0"/>
    <n v="0.55000000000000004"/>
    <n v="0.4"/>
    <n v="0"/>
    <n v="1"/>
    <n v="3610"/>
    <s v="Site Management _x000a_Food Security and Livlihoods_x000a_Health _x000a_Protection"/>
    <n v="1"/>
    <s v=""/>
    <s v="Flagged"/>
    <s v=""/>
    <n v="1444"/>
    <s v="Shelter NFI "/>
    <n v="0.4"/>
    <n v="2166"/>
    <n v="1.5"/>
    <s v="Flagged"/>
    <n v="1399.597"/>
    <s v="Education"/>
    <n v="0.38769999999999999"/>
    <n v="2210.4030000000002"/>
    <n v="1.5793139025019347"/>
    <s v="Flagged"/>
    <s v=""/>
    <s v=""/>
    <n v="3610"/>
    <m/>
    <m/>
    <n v="3"/>
    <s v="Flagged"/>
    <n v="3610"/>
    <m/>
    <x v="1"/>
    <x v="2"/>
    <n v="3610"/>
    <n v="0"/>
    <n v="0"/>
  </r>
  <r>
    <s v="IDPsSD03144"/>
    <x v="2"/>
    <x v="2"/>
    <x v="26"/>
    <x v="26"/>
    <m/>
    <m/>
    <x v="193"/>
    <x v="1"/>
    <n v="92611"/>
    <n v="49652.506379999999"/>
    <n v="128069"/>
    <n v="128069"/>
    <n v="18326"/>
    <n v="128069"/>
    <n v="76842"/>
    <n v="116891.50276799999"/>
    <n v="70438"/>
    <n v="50690"/>
    <n v="51227.76"/>
    <n v="128069"/>
    <n v="0.72313362328120001"/>
    <n v="0.38770121090974397"/>
    <n v="1"/>
    <n v="1"/>
    <n v="0.14309473799280076"/>
    <n v="1"/>
    <n v="0.60000468497450588"/>
    <n v="0.91272285071328729"/>
    <n v="0.55000000000000004"/>
    <n v="0.4"/>
    <n v="0.4"/>
    <n v="1"/>
    <n v="128069"/>
    <s v="Food Security and Livlihoods_x000a_Health _x000a_Protection"/>
    <n v="1"/>
    <s v=""/>
    <s v="Flagged"/>
    <s v=""/>
    <n v="116891.50276799999"/>
    <s v="WASH"/>
    <n v="0.91272285071328729"/>
    <n v="11177.497232000009"/>
    <n v="9.562283799348964E-2"/>
    <s v=""/>
    <n v="92611"/>
    <s v="Site Management "/>
    <n v="0.72313362328120001"/>
    <n v="35458"/>
    <n v="0.38287028538726503"/>
    <s v=""/>
    <s v=""/>
    <s v=""/>
    <n v="128069"/>
    <m/>
    <m/>
    <n v="1"/>
    <s v="Flagged"/>
    <n v="128069"/>
    <m/>
    <x v="1"/>
    <x v="0"/>
    <n v="0"/>
    <n v="128069"/>
    <n v="0"/>
  </r>
  <r>
    <s v="IDPsSD03145"/>
    <x v="2"/>
    <x v="2"/>
    <x v="27"/>
    <x v="27"/>
    <m/>
    <m/>
    <x v="194"/>
    <x v="1"/>
    <n v="38343"/>
    <n v="20489.169600000001"/>
    <n v="52848"/>
    <n v="52848"/>
    <n v="5400"/>
    <n v="52848"/>
    <n v="31709"/>
    <n v="38285.205119999991"/>
    <n v="29066"/>
    <n v="20916"/>
    <n v="21139.200000000001"/>
    <n v="52848"/>
    <n v="0.72553360581289739"/>
    <n v="0.38770000000000004"/>
    <n v="1"/>
    <n v="1"/>
    <n v="0.10217983651226158"/>
    <n v="1"/>
    <n v="0.60000378443838931"/>
    <n v="0.72443999999999986"/>
    <n v="0.55000000000000004"/>
    <n v="0.4"/>
    <n v="0.4"/>
    <n v="1"/>
    <n v="52848"/>
    <s v="Food Security and Livlihoods_x000a_Health _x000a_Protection"/>
    <n v="1"/>
    <s v=""/>
    <s v="Flagged"/>
    <s v=""/>
    <n v="38343"/>
    <s v="Site Management "/>
    <n v="0.72553360581289739"/>
    <n v="14505"/>
    <n v="0.37829590798842033"/>
    <s v="Flagged"/>
    <n v="38285.205119999991"/>
    <s v="WASH"/>
    <n v="0.72443999999999986"/>
    <n v="14562.794880000009"/>
    <n v="0.38037656672740355"/>
    <s v=""/>
    <s v=""/>
    <s v=""/>
    <n v="52848"/>
    <m/>
    <m/>
    <n v="2"/>
    <s v="Flagged"/>
    <n v="52848"/>
    <m/>
    <x v="1"/>
    <x v="0"/>
    <n v="0"/>
    <n v="52848"/>
    <n v="0"/>
  </r>
  <r>
    <s v="IDPsSD03146"/>
    <x v="2"/>
    <x v="2"/>
    <x v="28"/>
    <x v="28"/>
    <m/>
    <m/>
    <x v="195"/>
    <x v="1"/>
    <n v="696"/>
    <n v="363.2749"/>
    <n v="937"/>
    <n v="937"/>
    <n v="48"/>
    <n v="937"/>
    <n v="375"/>
    <n v="0"/>
    <n v="515"/>
    <n v="370"/>
    <n v="281.09999999999997"/>
    <n v="937"/>
    <n v="0.74279615795090714"/>
    <n v="0.38769999999999999"/>
    <n v="1"/>
    <n v="1"/>
    <n v="5.1227321237993596E-2"/>
    <n v="1"/>
    <n v="0.400213447171825"/>
    <n v="0"/>
    <n v="0.55000000000000004"/>
    <n v="0.4"/>
    <n v="0.30000000000000004"/>
    <n v="1"/>
    <n v="937"/>
    <s v="Food Security and Livlihoods_x000a_Health _x000a_Protection"/>
    <n v="1"/>
    <s v=""/>
    <s v="Flagged"/>
    <s v=""/>
    <n v="696"/>
    <s v="Site Management "/>
    <n v="0.74279615795090714"/>
    <n v="241"/>
    <n v="0.34626436781609193"/>
    <s v="Flagged"/>
    <n v="375"/>
    <s v="Shelter NFI "/>
    <n v="0.400213447171825"/>
    <n v="562"/>
    <n v="1.4986666666666666"/>
    <s v="Flagged"/>
    <s v=""/>
    <s v=""/>
    <n v="937"/>
    <m/>
    <m/>
    <n v="3"/>
    <s v="Flagged"/>
    <n v="937"/>
    <m/>
    <x v="1"/>
    <x v="2"/>
    <n v="937"/>
    <n v="0"/>
    <n v="0"/>
  </r>
  <r>
    <s v="IDPsSD03147"/>
    <x v="2"/>
    <x v="2"/>
    <x v="29"/>
    <x v="29"/>
    <m/>
    <m/>
    <x v="29"/>
    <x v="1"/>
    <n v="3275"/>
    <n v="1482.5647999999999"/>
    <n v="3824"/>
    <n v="3824"/>
    <n v="808"/>
    <n v="3824"/>
    <n v="1530"/>
    <n v="0"/>
    <n v="2103"/>
    <n v="1514"/>
    <n v="1147.2"/>
    <n v="3824"/>
    <n v="0.85643305439330542"/>
    <n v="0.38769999999999999"/>
    <n v="1"/>
    <n v="1"/>
    <n v="0.21129707112970711"/>
    <n v="1"/>
    <n v="0.40010460251046026"/>
    <n v="0"/>
    <n v="0.55000000000000004"/>
    <n v="0.4"/>
    <n v="0.30000000000000004"/>
    <n v="1"/>
    <n v="3824"/>
    <s v="Food Security and Livlihoods_x000a_Health _x000a_Protection"/>
    <n v="1"/>
    <s v=""/>
    <s v="Flagged"/>
    <s v=""/>
    <n v="3275"/>
    <s v="Site Management "/>
    <n v="0.85643305439330542"/>
    <n v="549"/>
    <n v="0.16763358778625953"/>
    <s v=""/>
    <n v="1530"/>
    <s v="Shelter NFI "/>
    <n v="0.40010460251046026"/>
    <n v="2294"/>
    <n v="1.4993464052287582"/>
    <s v="Flagged"/>
    <s v=""/>
    <s v=""/>
    <n v="3824"/>
    <m/>
    <m/>
    <n v="2"/>
    <s v="Flagged"/>
    <n v="3824"/>
    <m/>
    <x v="1"/>
    <x v="0"/>
    <n v="0"/>
    <n v="3824"/>
    <n v="0"/>
  </r>
  <r>
    <s v="IDPsSD03149"/>
    <x v="2"/>
    <x v="2"/>
    <x v="30"/>
    <x v="30"/>
    <m/>
    <m/>
    <x v="30"/>
    <x v="1"/>
    <n v="802"/>
    <n v="1456.5889"/>
    <n v="3757"/>
    <n v="3757"/>
    <n v="336"/>
    <n v="3757"/>
    <n v="0"/>
    <n v="0"/>
    <n v="2066"/>
    <n v="1487"/>
    <n v="0"/>
    <n v="3757"/>
    <n v="0.21346819270694703"/>
    <n v="0.38769999999999999"/>
    <n v="1"/>
    <n v="1"/>
    <n v="8.9433058291189776E-2"/>
    <n v="1"/>
    <n v="0"/>
    <n v="0"/>
    <n v="0.55000000000000004"/>
    <n v="0.4"/>
    <n v="0"/>
    <n v="1"/>
    <n v="3757"/>
    <s v="Food Security and Livlihoods_x000a_Health _x000a_Protection"/>
    <n v="1"/>
    <s v="Flagged"/>
    <s v="Flagged"/>
    <s v=""/>
    <n v="1456.5889"/>
    <s v="Education"/>
    <n v="0.38769999999999999"/>
    <n v="2300.4111000000003"/>
    <n v="1.5793139025019347"/>
    <s v="Flagged"/>
    <n v="802"/>
    <s v="Site Management "/>
    <n v="0.21346819270694703"/>
    <n v="2955"/>
    <n v="3.6845386533665834"/>
    <s v="Flagged"/>
    <s v=""/>
    <s v="Flagged"/>
    <n v="3757"/>
    <m/>
    <m/>
    <n v="5"/>
    <s v="Flagged"/>
    <n v="3757"/>
    <m/>
    <x v="1"/>
    <x v="2"/>
    <n v="3757"/>
    <n v="0"/>
    <n v="0"/>
  </r>
  <r>
    <s v="IDPsSD03150"/>
    <x v="2"/>
    <x v="2"/>
    <x v="31"/>
    <x v="31"/>
    <m/>
    <m/>
    <x v="31"/>
    <x v="1"/>
    <n v="1205"/>
    <n v="3258.6185"/>
    <n v="8405"/>
    <n v="8405"/>
    <n v="544"/>
    <n v="4622.75"/>
    <n v="0"/>
    <n v="0"/>
    <n v="4623"/>
    <n v="3326"/>
    <n v="3362"/>
    <n v="0"/>
    <n v="0.14336704342653184"/>
    <n v="0.38769999999999999"/>
    <n v="1"/>
    <n v="1"/>
    <n v="6.4723378941106482E-2"/>
    <n v="0.55000000000000004"/>
    <n v="0"/>
    <n v="0"/>
    <n v="0.55000000000000004"/>
    <n v="0.4"/>
    <n v="0.4"/>
    <n v="0"/>
    <n v="8405"/>
    <s v="Food Security and Livlihoods_x000a_Health "/>
    <n v="1"/>
    <s v="Flagged"/>
    <s v="Flagged"/>
    <s v=""/>
    <n v="4622.75"/>
    <s v="Protection"/>
    <n v="0.55000000000000004"/>
    <n v="3782.25"/>
    <n v="0.81818181818181823"/>
    <s v="Flagged"/>
    <n v="3258.6185"/>
    <s v="Education"/>
    <n v="0.38769999999999999"/>
    <n v="5146.3814999999995"/>
    <n v="1.5793139025019343"/>
    <s v="Flagged"/>
    <s v=""/>
    <s v=""/>
    <n v="8405"/>
    <m/>
    <m/>
    <n v="4"/>
    <s v="Flagged"/>
    <n v="8405"/>
    <m/>
    <x v="1"/>
    <x v="0"/>
    <n v="0"/>
    <n v="8405"/>
    <n v="0"/>
  </r>
  <r>
    <s v="IDPsSD03151"/>
    <x v="2"/>
    <x v="2"/>
    <x v="32"/>
    <x v="32"/>
    <m/>
    <m/>
    <x v="32"/>
    <x v="1"/>
    <n v="19239"/>
    <n v="8901.0104499999998"/>
    <n v="22958.5"/>
    <n v="22958.5"/>
    <n v="2506"/>
    <n v="12627.175000000001"/>
    <n v="9183"/>
    <n v="20734.28052"/>
    <n v="12627"/>
    <n v="9089"/>
    <n v="0"/>
    <n v="0"/>
    <n v="0.8379720371096302"/>
    <n v="0.38769155668800903"/>
    <n v="0.99997822204799858"/>
    <n v="0.99997822204799858"/>
    <n v="0.10915109543098567"/>
    <n v="0.5499880221263993"/>
    <n v="0.3999738664575983"/>
    <n v="0.90310033189598848"/>
    <n v="0.55000000000000004"/>
    <n v="0.4"/>
    <n v="0"/>
    <n v="0"/>
    <n v="22958.5"/>
    <s v="Food Security and Livlihoods_x000a_Health "/>
    <n v="0.99997822204799858"/>
    <s v=""/>
    <s v="Flagged"/>
    <s v=""/>
    <n v="20734.28052"/>
    <s v="WASH"/>
    <n v="0.90310033189598848"/>
    <n v="2224.2194799999997"/>
    <n v="0.10727256621489945"/>
    <s v=""/>
    <n v="19239"/>
    <s v="Site Management "/>
    <n v="0.8379720371096302"/>
    <n v="3719.5"/>
    <n v="0.19333125422319247"/>
    <s v=""/>
    <s v=""/>
    <s v=""/>
    <n v="22958.5"/>
    <m/>
    <m/>
    <n v="1"/>
    <s v="Flagged"/>
    <n v="22959"/>
    <m/>
    <x v="1"/>
    <x v="0"/>
    <n v="0"/>
    <n v="22959"/>
    <n v="0"/>
  </r>
  <r>
    <s v="IDPsSD03153"/>
    <x v="2"/>
    <x v="2"/>
    <x v="33"/>
    <x v="33"/>
    <m/>
    <m/>
    <x v="196"/>
    <x v="1"/>
    <n v="134897"/>
    <n v="52817.146399999998"/>
    <n v="136232"/>
    <n v="136232"/>
    <n v="15489"/>
    <n v="136232"/>
    <n v="81739"/>
    <n v="117426.53471999998"/>
    <n v="74928"/>
    <n v="53921"/>
    <n v="40869.599999999999"/>
    <n v="136232"/>
    <n v="0.99020054025485937"/>
    <n v="0.38769999999999999"/>
    <n v="1"/>
    <n v="1"/>
    <n v="0.11369575430148571"/>
    <n v="1"/>
    <n v="0.59999853191614305"/>
    <n v="0.86195999999999984"/>
    <n v="0.55000000000000004"/>
    <n v="0.4"/>
    <n v="0.30000000000000004"/>
    <n v="1"/>
    <n v="136232"/>
    <s v="Food Security and Livlihoods_x000a_Health _x000a_Protection"/>
    <n v="1"/>
    <s v=""/>
    <s v="Flagged"/>
    <s v=""/>
    <n v="134897"/>
    <s v="Site Management "/>
    <n v="0.99020054025485937"/>
    <n v="1335"/>
    <n v="9.8964395056969391E-3"/>
    <s v=""/>
    <n v="117426.53471999998"/>
    <s v="WASH"/>
    <n v="0.86195999999999984"/>
    <n v="18805.465280000019"/>
    <n v="0.1601466425356167"/>
    <s v=""/>
    <s v=""/>
    <s v=""/>
    <n v="136232"/>
    <m/>
    <m/>
    <n v="1"/>
    <s v="Flagged"/>
    <n v="136232"/>
    <m/>
    <x v="1"/>
    <x v="0"/>
    <n v="0"/>
    <n v="136232"/>
    <n v="0"/>
  </r>
  <r>
    <s v="IDPsSD03154"/>
    <x v="2"/>
    <x v="2"/>
    <x v="34"/>
    <x v="34"/>
    <m/>
    <m/>
    <x v="34"/>
    <x v="1"/>
    <n v="0"/>
    <n v="0"/>
    <n v="0"/>
    <n v="0"/>
    <n v="0"/>
    <n v="0"/>
    <n v="0"/>
    <n v="0"/>
    <n v="0"/>
    <n v="0"/>
    <n v="0"/>
    <n v="0"/>
    <e v="#DIV/0!"/>
    <e v="#DIV/0!"/>
    <e v="#DIV/0!"/>
    <e v="#DIV/0!"/>
    <e v="#DIV/0!"/>
    <e v="#DIV/0!"/>
    <e v="#DIV/0!"/>
    <e v="#DIV/0!"/>
    <s v=""/>
    <s v=""/>
    <s v=""/>
    <s v=""/>
    <n v="0"/>
    <s v="Site Management _x000a_Education_x000a_Food Security and Livlihoods_x000a_Health _x000a_Nutrition_x000a_Protection_x000a_Shelter NFI _x000a_WASH"/>
    <e v="#DIV/0!"/>
    <s v=""/>
    <s v=""/>
    <s v=""/>
    <s v="NA"/>
    <s v=""/>
    <s v=""/>
    <s v=""/>
    <s v=""/>
    <s v=""/>
    <n v="0"/>
    <s v="Site Management _x000a_Education_x000a_Food Security and Livlihoods_x000a_Health _x000a_Nutrition_x000a_Protection_x000a_Shelter NFI _x000a_WASH"/>
    <s v=""/>
    <n v="0"/>
    <s v=""/>
    <s v=""/>
    <s v=""/>
    <s v=""/>
    <n v="0"/>
    <m/>
    <m/>
    <n v="0"/>
    <s v=""/>
    <n v="0"/>
    <m/>
    <x v="1"/>
    <x v="2"/>
    <n v="0"/>
    <n v="0"/>
    <n v="0"/>
  </r>
  <r>
    <s v="IDPsSD03156"/>
    <x v="2"/>
    <x v="2"/>
    <x v="35"/>
    <x v="35"/>
    <m/>
    <m/>
    <x v="35"/>
    <x v="1"/>
    <n v="500"/>
    <n v="1919.115"/>
    <n v="4950"/>
    <n v="4950"/>
    <n v="592"/>
    <n v="2722.5"/>
    <n v="0"/>
    <n v="0"/>
    <n v="2723"/>
    <n v="1959"/>
    <n v="0"/>
    <n v="0"/>
    <n v="0.10101010101010101"/>
    <n v="0.38769999999999999"/>
    <n v="1"/>
    <n v="1"/>
    <n v="0.1195959595959596"/>
    <n v="0.55000000000000004"/>
    <n v="0"/>
    <n v="0"/>
    <n v="0.55000000000000004"/>
    <n v="0.4"/>
    <n v="0"/>
    <n v="0"/>
    <n v="4950"/>
    <s v="Food Security and Livlihoods_x000a_Health "/>
    <n v="1"/>
    <s v="Flagged"/>
    <s v="Flagged"/>
    <s v=""/>
    <n v="2722.5"/>
    <s v="Protection"/>
    <n v="0.55000000000000004"/>
    <n v="2227.5"/>
    <n v="0.81818181818181823"/>
    <s v="Flagged"/>
    <n v="1919.115"/>
    <s v="Education"/>
    <n v="0.38769999999999999"/>
    <n v="3030.8850000000002"/>
    <n v="1.5793139025019345"/>
    <s v="Flagged"/>
    <s v=""/>
    <s v=""/>
    <n v="4950"/>
    <m/>
    <m/>
    <n v="4"/>
    <s v="Flagged"/>
    <n v="4950"/>
    <m/>
    <x v="1"/>
    <x v="2"/>
    <n v="4950"/>
    <n v="0"/>
    <n v="0"/>
  </r>
  <r>
    <s v="IDPsSD03157"/>
    <x v="2"/>
    <x v="2"/>
    <x v="36"/>
    <x v="36"/>
    <m/>
    <m/>
    <x v="36"/>
    <x v="1"/>
    <n v="3732"/>
    <n v="1446.8963999999999"/>
    <n v="3732"/>
    <n v="3732"/>
    <n v="415"/>
    <n v="3732"/>
    <n v="1493"/>
    <n v="0"/>
    <n v="2053"/>
    <n v="1477"/>
    <n v="1119.5999999999999"/>
    <n v="3732"/>
    <n v="1"/>
    <n v="0.38769999999999999"/>
    <n v="1"/>
    <n v="1"/>
    <n v="0.11120042872454448"/>
    <n v="1"/>
    <n v="0.40005359056806"/>
    <n v="0"/>
    <n v="0.55000000000000004"/>
    <n v="0.4"/>
    <n v="0.30000000000000004"/>
    <n v="1"/>
    <n v="3732"/>
    <s v="Site Management _x000a_Food Security and Livlihoods_x000a_Health _x000a_Protection"/>
    <n v="1"/>
    <s v=""/>
    <s v="Flagged"/>
    <s v=""/>
    <n v="1493"/>
    <s v="Shelter NFI "/>
    <n v="0.40005359056806"/>
    <n v="2239"/>
    <n v="1.4996651038178164"/>
    <s v="Flagged"/>
    <n v="1446.8963999999999"/>
    <s v="Education"/>
    <n v="0.38769999999999999"/>
    <n v="2285.1036000000004"/>
    <n v="1.5793139025019349"/>
    <s v="Flagged"/>
    <s v=""/>
    <s v=""/>
    <n v="3732"/>
    <m/>
    <m/>
    <n v="3"/>
    <s v="Flagged"/>
    <n v="3732"/>
    <m/>
    <x v="1"/>
    <x v="1"/>
    <n v="0"/>
    <n v="0"/>
    <n v="3732"/>
  </r>
  <r>
    <s v="IDPsSD03158"/>
    <x v="2"/>
    <x v="2"/>
    <x v="37"/>
    <x v="37"/>
    <m/>
    <m/>
    <x v="37"/>
    <x v="1"/>
    <n v="3393"/>
    <n v="2694.5149999999999"/>
    <n v="6950"/>
    <n v="6950"/>
    <n v="430"/>
    <n v="6950"/>
    <n v="0"/>
    <n v="0"/>
    <n v="3823"/>
    <n v="2751"/>
    <n v="0"/>
    <n v="6950"/>
    <n v="0.48820143884892087"/>
    <n v="0.38769999999999999"/>
    <n v="1"/>
    <n v="1"/>
    <n v="6.1870503597122303E-2"/>
    <n v="1"/>
    <n v="0"/>
    <n v="0"/>
    <n v="0.55000000000000004"/>
    <n v="0.4"/>
    <n v="0"/>
    <n v="1"/>
    <n v="6950"/>
    <s v="Food Security and Livlihoods_x000a_Health _x000a_Protection"/>
    <n v="1"/>
    <s v="Flagged"/>
    <s v="Flagged"/>
    <s v=""/>
    <n v="3393"/>
    <s v="Site Management "/>
    <n v="0.48820143884892087"/>
    <n v="3557"/>
    <n v="1.0483348069554965"/>
    <s v="Flagged"/>
    <n v="2694.5149999999999"/>
    <s v="Education"/>
    <n v="0.38769999999999999"/>
    <n v="4255.4850000000006"/>
    <n v="1.5793139025019347"/>
    <s v="Flagged"/>
    <s v=""/>
    <s v=""/>
    <n v="6950"/>
    <m/>
    <m/>
    <n v="4"/>
    <s v="Flagged"/>
    <n v="6950"/>
    <m/>
    <x v="1"/>
    <x v="0"/>
    <n v="0"/>
    <n v="6950"/>
    <n v="0"/>
  </r>
  <r>
    <s v="IDPsSD03159"/>
    <x v="2"/>
    <x v="2"/>
    <x v="38"/>
    <x v="38"/>
    <m/>
    <m/>
    <x v="38"/>
    <x v="1"/>
    <n v="6329"/>
    <n v="4232.5208999999995"/>
    <n v="10917"/>
    <n v="10917"/>
    <n v="962"/>
    <n v="6004.35"/>
    <n v="0"/>
    <n v="12827.911679999999"/>
    <n v="6004"/>
    <n v="4320"/>
    <n v="3275.1"/>
    <n v="0"/>
    <n v="0.57973802326646517"/>
    <n v="0.38769999999999993"/>
    <n v="1"/>
    <n v="1"/>
    <n v="8.8119446734450851E-2"/>
    <n v="0.55000000000000004"/>
    <n v="0"/>
    <n v="1.1750399999999999"/>
    <n v="0.55000000000000004"/>
    <n v="0.4"/>
    <n v="0.30000000000000004"/>
    <n v="0"/>
    <n v="12827.911679999999"/>
    <s v="WASH"/>
    <n v="1.1750399999999999"/>
    <s v=""/>
    <s v="Flagged"/>
    <s v=""/>
    <n v="10917"/>
    <s v="Food Security and Livlihoods_x000a_Health "/>
    <n v="1"/>
    <n v="1910.9116799999993"/>
    <n v="0.17503999999999992"/>
    <s v=""/>
    <n v="6329"/>
    <s v="Site Management "/>
    <n v="0.57973802326646517"/>
    <n v="6498.9116799999993"/>
    <n v="1.0268465286775161"/>
    <s v="Flagged"/>
    <s v=""/>
    <s v=""/>
    <n v="12827.911679999999"/>
    <m/>
    <m/>
    <n v="2"/>
    <s v="Flagged"/>
    <n v="10917"/>
    <m/>
    <x v="1"/>
    <x v="0"/>
    <n v="0"/>
    <n v="10917"/>
    <n v="0"/>
  </r>
  <r>
    <s v="IDPsSD03161"/>
    <x v="2"/>
    <x v="2"/>
    <x v="39"/>
    <x v="39"/>
    <m/>
    <m/>
    <x v="197"/>
    <x v="1"/>
    <n v="1401"/>
    <n v="16659.8567"/>
    <n v="42971"/>
    <n v="42971"/>
    <n v="4232"/>
    <n v="42971"/>
    <n v="17188"/>
    <n v="41030.429639999995"/>
    <n v="23634"/>
    <n v="17008"/>
    <n v="12891.3"/>
    <n v="42971"/>
    <n v="3.2603383677363804E-2"/>
    <n v="0.38769999999999999"/>
    <n v="1"/>
    <n v="1"/>
    <n v="9.8485024784156758E-2"/>
    <n v="1"/>
    <n v="0.39999069139652321"/>
    <n v="0.95483999999999991"/>
    <n v="0.55000000000000004"/>
    <n v="0.4"/>
    <n v="0.30000000000000004"/>
    <n v="1"/>
    <n v="42971"/>
    <s v="Food Security and Livlihoods_x000a_Health _x000a_Protection"/>
    <n v="1"/>
    <s v=""/>
    <s v="Flagged"/>
    <s v=""/>
    <n v="41030.429639999995"/>
    <s v="WASH"/>
    <n v="0.95483999999999991"/>
    <n v="1940.5703600000052"/>
    <n v="4.7295882032591982E-2"/>
    <s v=""/>
    <n v="17188"/>
    <s v="Shelter NFI "/>
    <n v="0.39999069139652321"/>
    <n v="25783"/>
    <n v="1.5000581801256692"/>
    <s v="Flagged"/>
    <s v=""/>
    <s v=""/>
    <n v="42971"/>
    <m/>
    <m/>
    <n v="2"/>
    <s v="Flagged"/>
    <n v="42971"/>
    <m/>
    <x v="1"/>
    <x v="0"/>
    <n v="0"/>
    <n v="42971"/>
    <n v="0"/>
  </r>
  <r>
    <s v="IDPsSD03162"/>
    <x v="2"/>
    <x v="2"/>
    <x v="40"/>
    <x v="40"/>
    <m/>
    <m/>
    <x v="198"/>
    <x v="1"/>
    <n v="419705"/>
    <n v="167864.67889000001"/>
    <n v="432975.7"/>
    <n v="432975.7"/>
    <n v="39170"/>
    <n v="432976"/>
    <n v="346381"/>
    <n v="265812.44174400001"/>
    <n v="238137"/>
    <n v="171373"/>
    <n v="303082.99"/>
    <n v="432976"/>
    <n v="0.96934934037914344"/>
    <n v="0.38769973137079194"/>
    <n v="0.99999930712094898"/>
    <n v="0.99999930712094898"/>
    <n v="9.0466908096522677E-2"/>
    <n v="1"/>
    <n v="0.80000046191936736"/>
    <n v="0.61391957462769298"/>
    <n v="0.55000000000000004"/>
    <n v="0.4"/>
    <n v="0.70000000000000007"/>
    <n v="1"/>
    <n v="432976"/>
    <s v="Protection"/>
    <n v="1"/>
    <s v=""/>
    <s v="Flagged"/>
    <s v=""/>
    <n v="432975.7"/>
    <s v="Food Security and Livlihoods_x000a_Health "/>
    <n v="0.99999930712094898"/>
    <n v="0.29999999998835847"/>
    <n v="6.9287953108767642E-7"/>
    <s v=""/>
    <n v="419705"/>
    <s v="Site Management "/>
    <n v="0.96934934037914344"/>
    <n v="13271"/>
    <n v="3.1619828212673187E-2"/>
    <s v=""/>
    <s v=""/>
    <s v=""/>
    <n v="432976"/>
    <m/>
    <m/>
    <n v="1"/>
    <s v="Flagged"/>
    <n v="432976"/>
    <m/>
    <x v="1"/>
    <x v="0"/>
    <n v="0"/>
    <n v="432976"/>
    <n v="0"/>
  </r>
  <r>
    <s v="IDPsSD03164"/>
    <x v="2"/>
    <x v="2"/>
    <x v="41"/>
    <x v="41"/>
    <m/>
    <m/>
    <x v="199"/>
    <x v="1"/>
    <n v="305428"/>
    <n v="118414.37744499999"/>
    <n v="305427.84999999998"/>
    <n v="305427.84999999998"/>
    <n v="43760"/>
    <n v="305428"/>
    <n v="183257"/>
    <n v="188058.035802"/>
    <n v="167985"/>
    <n v="145068"/>
    <n v="122171.14"/>
    <n v="305428"/>
    <n v="1"/>
    <n v="0.38769980959506001"/>
    <n v="0.99999950888589118"/>
    <n v="0.99999950888589118"/>
    <n v="0.14327435598569876"/>
    <n v="1"/>
    <n v="0.6000006548188116"/>
    <n v="0.61571969761122092"/>
    <n v="0.55000000000000004"/>
    <n v="0.45"/>
    <n v="0.4"/>
    <n v="1"/>
    <n v="305428"/>
    <s v="Site Management _x000a_Protection"/>
    <n v="1"/>
    <s v=""/>
    <s v="Flagged"/>
    <s v=""/>
    <n v="305427.84999999998"/>
    <s v="Food Security and Livlihoods_x000a_Health "/>
    <n v="0.99999950888589118"/>
    <n v="0.15000000002328306"/>
    <n v="4.9111434999553276E-7"/>
    <s v=""/>
    <n v="188058.035802"/>
    <s v="WASH"/>
    <n v="0.61571969761122092"/>
    <n v="117369.964198"/>
    <n v="0.62411565502882793"/>
    <s v="Flagged"/>
    <s v=""/>
    <s v=""/>
    <n v="305428"/>
    <m/>
    <m/>
    <n v="2"/>
    <s v="Flagged"/>
    <n v="305428"/>
    <m/>
    <x v="0"/>
    <x v="1"/>
    <n v="0"/>
    <n v="0"/>
    <n v="305428"/>
  </r>
  <r>
    <s v="IDPsSD03166"/>
    <x v="2"/>
    <x v="2"/>
    <x v="42"/>
    <x v="42"/>
    <m/>
    <m/>
    <x v="200"/>
    <x v="1"/>
    <n v="0"/>
    <n v="4315.1009999999997"/>
    <n v="11130"/>
    <n v="11130"/>
    <n v="952"/>
    <n v="11130"/>
    <n v="0"/>
    <n v="10011.657600000002"/>
    <n v="6122"/>
    <n v="4404"/>
    <n v="4452"/>
    <n v="11130"/>
    <n v="0"/>
    <n v="0.38769999999999999"/>
    <n v="1"/>
    <n v="1"/>
    <n v="8.5534591194968548E-2"/>
    <n v="1"/>
    <n v="0"/>
    <n v="0.89952000000000021"/>
    <n v="0.55000000000000004"/>
    <n v="0.4"/>
    <n v="0.4"/>
    <n v="1"/>
    <n v="11130"/>
    <s v="Food Security and Livlihoods_x000a_Health _x000a_Protection"/>
    <n v="1"/>
    <s v="Flagged"/>
    <s v="Flagged"/>
    <s v=""/>
    <n v="10011.657600000002"/>
    <s v="WASH"/>
    <n v="0.89952000000000021"/>
    <n v="1118.3423999999977"/>
    <n v="0.11170401992173579"/>
    <s v=""/>
    <n v="4315.1009999999997"/>
    <s v="Education"/>
    <n v="0.38769999999999999"/>
    <n v="6814.8990000000003"/>
    <n v="1.5793139025019347"/>
    <s v="Flagged"/>
    <s v=""/>
    <s v=""/>
    <n v="11130"/>
    <m/>
    <m/>
    <n v="3"/>
    <s v="Flagged"/>
    <n v="11130"/>
    <m/>
    <x v="1"/>
    <x v="0"/>
    <n v="0"/>
    <n v="11130"/>
    <n v="0"/>
  </r>
  <r>
    <s v="IDPsSD03167"/>
    <x v="2"/>
    <x v="2"/>
    <x v="43"/>
    <x v="43"/>
    <m/>
    <m/>
    <x v="43"/>
    <x v="1"/>
    <n v="87826"/>
    <n v="50164.154070000004"/>
    <n v="129389"/>
    <n v="129389.1"/>
    <n v="19697"/>
    <n v="129389"/>
    <n v="103511"/>
    <n v="40338.345816000008"/>
    <n v="71164"/>
    <n v="61455"/>
    <n v="64694.55"/>
    <n v="129389"/>
    <n v="0.67877485721351893"/>
    <n v="0.38770029963907293"/>
    <n v="1"/>
    <n v="1.0000007728632265"/>
    <n v="0.15223086970298866"/>
    <n v="1"/>
    <n v="0.79999845427354721"/>
    <n v="0.31176024094783955"/>
    <n v="0.55000000000000004"/>
    <n v="0.45"/>
    <n v="0.5"/>
    <n v="1"/>
    <n v="129389.1"/>
    <s v="Health "/>
    <n v="1.0000007728632265"/>
    <s v=""/>
    <s v="Flagged"/>
    <s v=""/>
    <n v="129389"/>
    <s v="Food Security and Livlihoods_x000a_Protection"/>
    <n v="1"/>
    <n v="0.10000000000582077"/>
    <n v="7.7286322643981143E-7"/>
    <s v=""/>
    <n v="103511"/>
    <s v="Shelter NFI "/>
    <n v="0.79999845427354721"/>
    <n v="25878.100000000006"/>
    <n v="0.2500033812831487"/>
    <s v=""/>
    <s v=""/>
    <s v=""/>
    <n v="129389.1"/>
    <m/>
    <m/>
    <n v="1"/>
    <s v="Flagged"/>
    <n v="129389"/>
    <m/>
    <x v="0"/>
    <x v="1"/>
    <n v="0"/>
    <n v="0"/>
    <n v="129389"/>
  </r>
  <r>
    <s v="IDPsSD03172"/>
    <x v="2"/>
    <x v="2"/>
    <x v="44"/>
    <x v="44"/>
    <m/>
    <m/>
    <x v="201"/>
    <x v="1"/>
    <n v="4427"/>
    <n v="2010.9999"/>
    <n v="5187"/>
    <n v="5187"/>
    <n v="672"/>
    <n v="2852.8500000000004"/>
    <n v="0"/>
    <n v="0"/>
    <n v="2853"/>
    <n v="2053"/>
    <n v="0"/>
    <n v="0"/>
    <n v="0.85347985347985345"/>
    <n v="0.38769999999999999"/>
    <n v="1"/>
    <n v="1"/>
    <n v="0.12955465587044535"/>
    <n v="0.55000000000000004"/>
    <n v="0"/>
    <n v="0"/>
    <n v="0.55000000000000004"/>
    <n v="0.4"/>
    <n v="0"/>
    <n v="0"/>
    <n v="5187"/>
    <s v="Food Security and Livlihoods_x000a_Health "/>
    <n v="1"/>
    <s v="Flagged"/>
    <s v="Flagged"/>
    <s v=""/>
    <n v="4427"/>
    <s v="Site Management "/>
    <n v="0.85347985347985345"/>
    <n v="760"/>
    <n v="0.17167381974248927"/>
    <s v=""/>
    <n v="2852.8500000000004"/>
    <s v="Protection"/>
    <n v="0.55000000000000004"/>
    <n v="2334.1499999999996"/>
    <n v="0.8181818181818179"/>
    <s v="Flagged"/>
    <s v=""/>
    <s v=""/>
    <n v="5187"/>
    <m/>
    <m/>
    <n v="3"/>
    <s v="Flagged"/>
    <n v="5187"/>
    <m/>
    <x v="1"/>
    <x v="2"/>
    <n v="5187"/>
    <n v="0"/>
    <n v="0"/>
  </r>
  <r>
    <s v="IDPsSD04111"/>
    <x v="3"/>
    <x v="3"/>
    <x v="45"/>
    <x v="45"/>
    <m/>
    <m/>
    <x v="45"/>
    <x v="1"/>
    <n v="8189"/>
    <n v="9943.7296000000006"/>
    <n v="25648"/>
    <n v="25648"/>
    <n v="1312"/>
    <n v="25648"/>
    <n v="15389"/>
    <n v="19826.929920000002"/>
    <n v="14106"/>
    <n v="12181"/>
    <n v="12824"/>
    <n v="25648"/>
    <n v="0.31928415470991889"/>
    <n v="0.38770000000000004"/>
    <n v="1"/>
    <n v="1"/>
    <n v="5.1154086088583905E-2"/>
    <n v="1"/>
    <n v="0.60000779787897696"/>
    <n v="0.77304000000000006"/>
    <n v="0.55000000000000004"/>
    <n v="0.45"/>
    <n v="0.5"/>
    <n v="1"/>
    <n v="25648"/>
    <s v="Food Security and Livlihoods_x000a_Health _x000a_Protection"/>
    <n v="1"/>
    <s v=""/>
    <s v="Flagged"/>
    <s v=""/>
    <n v="19826.929920000002"/>
    <s v="WASH"/>
    <n v="0.77304000000000006"/>
    <n v="5821.0700799999977"/>
    <n v="0.29359412190830991"/>
    <s v=""/>
    <n v="15389"/>
    <s v="Shelter NFI "/>
    <n v="0.60000779787897696"/>
    <n v="10259"/>
    <n v="0.66664500617324063"/>
    <s v="Flagged"/>
    <s v=""/>
    <s v=""/>
    <n v="25648"/>
    <m/>
    <m/>
    <n v="2"/>
    <s v="Flagged"/>
    <n v="25648"/>
    <m/>
    <x v="0"/>
    <x v="0"/>
    <n v="0"/>
    <n v="25648"/>
    <n v="0"/>
  </r>
  <r>
    <s v="IDPsSD04115"/>
    <x v="3"/>
    <x v="3"/>
    <x v="46"/>
    <x v="46"/>
    <m/>
    <m/>
    <x v="202"/>
    <x v="1"/>
    <n v="10914"/>
    <n v="6237.2361830000027"/>
    <n v="16087.790000000008"/>
    <n v="16087.790000000008"/>
    <n v="1473"/>
    <n v="16088"/>
    <n v="12870"/>
    <n v="9399.7739412000046"/>
    <n v="8848"/>
    <n v="7640"/>
    <n v="14479.011000000008"/>
    <n v="16088"/>
    <n v="0.67839383391347585"/>
    <n v="0.38769493927150689"/>
    <n v="0.999986946792641"/>
    <n v="0.999986946792641"/>
    <n v="9.1558925907508706E-2"/>
    <n v="1"/>
    <n v="0.79997513674788667"/>
    <n v="0.58427237327200432"/>
    <n v="0.55000000000000004"/>
    <n v="0.45"/>
    <n v="0.9"/>
    <n v="1"/>
    <n v="16088"/>
    <s v="Protection"/>
    <n v="1"/>
    <s v=""/>
    <s v="Flagged"/>
    <s v=""/>
    <n v="16087.790000000008"/>
    <s v="Food Security and Livlihoods_x000a_Health "/>
    <n v="0.999986946792641"/>
    <n v="0.20999999999185093"/>
    <n v="1.3053377747462567E-5"/>
    <s v=""/>
    <n v="12870"/>
    <s v="Shelter NFI "/>
    <n v="0.79997513674788667"/>
    <n v="3218"/>
    <n v="0.25003885003885001"/>
    <s v=""/>
    <s v="Flagged"/>
    <s v=""/>
    <n v="16088"/>
    <m/>
    <m/>
    <n v="2"/>
    <s v="Flagged"/>
    <n v="16088"/>
    <m/>
    <x v="1"/>
    <x v="0"/>
    <n v="0"/>
    <n v="16088"/>
    <n v="0"/>
  </r>
  <r>
    <s v="IDPsSD04121"/>
    <x v="3"/>
    <x v="3"/>
    <x v="47"/>
    <x v="47"/>
    <m/>
    <m/>
    <x v="47"/>
    <x v="1"/>
    <n v="4981"/>
    <n v="3027.9369999999999"/>
    <n v="7810"/>
    <n v="7810"/>
    <n v="589"/>
    <n v="7810"/>
    <n v="4686"/>
    <n v="0"/>
    <n v="4296"/>
    <n v="3710"/>
    <n v="2343"/>
    <n v="7810"/>
    <n v="0.6377720870678617"/>
    <n v="0.38769999999999999"/>
    <n v="1"/>
    <n v="1"/>
    <n v="7.5416133162612031E-2"/>
    <n v="1"/>
    <n v="0.6"/>
    <n v="0"/>
    <n v="0.55000000000000004"/>
    <n v="0.5"/>
    <n v="0.30000000000000004"/>
    <n v="1"/>
    <n v="7810"/>
    <s v="Food Security and Livlihoods_x000a_Health _x000a_Protection"/>
    <n v="1"/>
    <s v=""/>
    <s v="Flagged"/>
    <s v=""/>
    <n v="4981"/>
    <s v="Site Management "/>
    <n v="0.6377720870678617"/>
    <n v="2829"/>
    <n v="0.56795824131700456"/>
    <s v="Flagged"/>
    <n v="4686"/>
    <s v="Shelter NFI "/>
    <n v="0.6"/>
    <n v="3124"/>
    <n v="0.66666666666666663"/>
    <s v="Flagged"/>
    <s v=""/>
    <s v=""/>
    <n v="7810"/>
    <m/>
    <m/>
    <n v="3"/>
    <s v="Flagged"/>
    <n v="7810"/>
    <m/>
    <x v="0"/>
    <x v="1"/>
    <n v="0"/>
    <n v="0"/>
    <n v="7810"/>
  </r>
  <r>
    <s v="IDPsSD04122"/>
    <x v="3"/>
    <x v="3"/>
    <x v="48"/>
    <x v="48"/>
    <m/>
    <m/>
    <x v="203"/>
    <x v="1"/>
    <n v="40567"/>
    <n v="15727.8259"/>
    <n v="40567"/>
    <n v="40567"/>
    <n v="2175"/>
    <n v="40567"/>
    <n v="24340"/>
    <n v="47331.952919999996"/>
    <n v="22312"/>
    <n v="16057"/>
    <n v="20283.5"/>
    <n v="40567"/>
    <n v="1"/>
    <n v="0.38769999999999999"/>
    <n v="1"/>
    <n v="1"/>
    <n v="5.3615007271920527E-2"/>
    <n v="1"/>
    <n v="0.59999506988438878"/>
    <n v="1.1667599999999998"/>
    <n v="0.55000000000000004"/>
    <n v="0.4"/>
    <n v="0.5"/>
    <n v="1"/>
    <n v="47331.952919999996"/>
    <s v="WASH"/>
    <n v="1.1667599999999998"/>
    <s v=""/>
    <s v="Flagged"/>
    <s v=""/>
    <n v="40567"/>
    <s v="Site Management _x000a_Food Security and Livlihoods_x000a_Health _x000a_Protection"/>
    <n v="1"/>
    <n v="6764.9529199999961"/>
    <n v="0.16675999999999991"/>
    <s v=""/>
    <n v="24340"/>
    <s v="Shelter NFI "/>
    <n v="0.59999506988438878"/>
    <n v="22991.952919999996"/>
    <n v="0.94461597863599001"/>
    <s v="Flagged"/>
    <s v=""/>
    <s v=""/>
    <n v="47331.952919999996"/>
    <m/>
    <m/>
    <n v="2"/>
    <s v="Flagged"/>
    <n v="40567"/>
    <m/>
    <x v="0"/>
    <x v="0"/>
    <n v="0"/>
    <n v="40567"/>
    <n v="0"/>
  </r>
  <r>
    <s v="IDPsSD04123"/>
    <x v="3"/>
    <x v="3"/>
    <x v="49"/>
    <x v="49"/>
    <m/>
    <m/>
    <x v="204"/>
    <x v="1"/>
    <n v="3276"/>
    <n v="19887.071499999998"/>
    <n v="51295"/>
    <n v="51295"/>
    <n v="2436"/>
    <n v="51295"/>
    <n v="30777"/>
    <n v="60175.190400000007"/>
    <n v="28212"/>
    <n v="20303"/>
    <n v="35906.5"/>
    <n v="51295"/>
    <n v="6.3865873866848624E-2"/>
    <n v="0.38769999999999999"/>
    <n v="1"/>
    <n v="1"/>
    <n v="4.7490008772784871E-2"/>
    <n v="1"/>
    <n v="0.6"/>
    <n v="1.1731200000000002"/>
    <n v="0.55000000000000004"/>
    <n v="0.4"/>
    <n v="0.70000000000000007"/>
    <n v="1"/>
    <n v="60175.190400000007"/>
    <s v="WASH"/>
    <n v="1.1731200000000002"/>
    <s v=""/>
    <s v="Flagged"/>
    <s v=""/>
    <n v="51295"/>
    <s v="Food Security and Livlihoods_x000a_Health _x000a_Protection"/>
    <n v="1"/>
    <n v="8880.1904000000068"/>
    <n v="0.17312000000000013"/>
    <s v=""/>
    <n v="30777"/>
    <s v="Shelter NFI "/>
    <n v="0.6"/>
    <n v="29398.190400000007"/>
    <n v="0.95520000000000027"/>
    <s v="Flagged"/>
    <s v=""/>
    <s v=""/>
    <n v="60175.190400000007"/>
    <m/>
    <m/>
    <n v="2"/>
    <s v="Flagged"/>
    <n v="51295"/>
    <m/>
    <x v="0"/>
    <x v="0"/>
    <n v="0"/>
    <n v="51295"/>
    <n v="0"/>
  </r>
  <r>
    <s v="IDPsSD04125"/>
    <x v="3"/>
    <x v="3"/>
    <x v="50"/>
    <x v="50"/>
    <m/>
    <m/>
    <x v="50"/>
    <x v="1"/>
    <n v="35351"/>
    <n v="14889.03695"/>
    <n v="38403.5"/>
    <n v="38403.5"/>
    <n v="2461"/>
    <n v="38404"/>
    <n v="23042"/>
    <n v="16664.046719999995"/>
    <n v="21122"/>
    <n v="15200"/>
    <n v="11521.05"/>
    <n v="38404"/>
    <n v="0.92050307259660447"/>
    <n v="0.38769495234871365"/>
    <n v="0.99998698052286217"/>
    <n v="0.99998698052286217"/>
    <n v="6.4081866472242469E-2"/>
    <n v="1"/>
    <n v="0.59998958441828976"/>
    <n v="0.43391435058848021"/>
    <n v="0.55000000000000004"/>
    <n v="0.4"/>
    <n v="0.30000000000000004"/>
    <n v="1"/>
    <n v="38404"/>
    <s v="Protection"/>
    <n v="1"/>
    <s v=""/>
    <s v="Flagged"/>
    <s v=""/>
    <n v="38403.5"/>
    <s v="Food Security and Livlihoods_x000a_Health "/>
    <n v="0.99998698052286217"/>
    <n v="0.5"/>
    <n v="1.3019646646790005E-5"/>
    <s v=""/>
    <n v="35351"/>
    <s v="Site Management "/>
    <n v="0.92050307259660447"/>
    <n v="3053"/>
    <n v="8.6362479137789591E-2"/>
    <s v=""/>
    <s v=""/>
    <s v=""/>
    <n v="38404"/>
    <m/>
    <m/>
    <n v="1"/>
    <s v="Flagged"/>
    <n v="38404"/>
    <m/>
    <x v="0"/>
    <x v="0"/>
    <n v="0"/>
    <n v="38404"/>
    <n v="0"/>
  </r>
  <r>
    <s v="IDPsSD04127"/>
    <x v="3"/>
    <x v="3"/>
    <x v="51"/>
    <x v="51"/>
    <m/>
    <m/>
    <x v="205"/>
    <x v="1"/>
    <n v="10479"/>
    <n v="14877.212099999999"/>
    <n v="38373"/>
    <n v="38373"/>
    <n v="5143"/>
    <n v="21105.15"/>
    <n v="23024"/>
    <n v="37791.265319999991"/>
    <n v="21105"/>
    <n v="15189"/>
    <n v="0"/>
    <n v="0"/>
    <n v="0.27308263622859824"/>
    <n v="0.38769999999999999"/>
    <n v="1"/>
    <n v="1"/>
    <n v="0.13402652906991896"/>
    <n v="0.55000000000000004"/>
    <n v="0.60000521199801948"/>
    <n v="0.98483999999999983"/>
    <n v="0.55000000000000004"/>
    <n v="0.4"/>
    <n v="0"/>
    <n v="0"/>
    <n v="38373"/>
    <s v="Food Security and Livlihoods_x000a_Health "/>
    <n v="1"/>
    <s v=""/>
    <s v="Flagged"/>
    <s v=""/>
    <n v="37791.265319999991"/>
    <s v="WASH"/>
    <n v="0.98483999999999983"/>
    <n v="581.73468000000867"/>
    <n v="1.5393363388977123E-2"/>
    <s v=""/>
    <n v="23024"/>
    <s v="Shelter NFI "/>
    <n v="0.60000521199801948"/>
    <n v="15349"/>
    <n v="0.66665218902015289"/>
    <s v="Flagged"/>
    <s v=""/>
    <s v=""/>
    <n v="38373"/>
    <m/>
    <m/>
    <n v="2"/>
    <s v="Flagged"/>
    <n v="38373"/>
    <m/>
    <x v="0"/>
    <x v="0"/>
    <n v="0"/>
    <n v="38373"/>
    <n v="0"/>
  </r>
  <r>
    <s v="IDPsSD04134"/>
    <x v="3"/>
    <x v="3"/>
    <x v="52"/>
    <x v="52"/>
    <m/>
    <m/>
    <x v="52"/>
    <x v="1"/>
    <n v="3349"/>
    <n v="1381.7628"/>
    <n v="3564"/>
    <n v="3564"/>
    <n v="244"/>
    <n v="3564"/>
    <n v="2138"/>
    <n v="0"/>
    <n v="1960"/>
    <n v="1410"/>
    <n v="1782"/>
    <n v="3564"/>
    <n v="0.93967452300785637"/>
    <n v="0.38769999999999999"/>
    <n v="1"/>
    <n v="1"/>
    <n v="6.8462401795735123E-2"/>
    <n v="1"/>
    <n v="0.59988776655443321"/>
    <n v="0"/>
    <n v="0.55000000000000004"/>
    <n v="0.4"/>
    <n v="0.5"/>
    <n v="1"/>
    <n v="3564"/>
    <s v="Food Security and Livlihoods_x000a_Health _x000a_Protection"/>
    <n v="1"/>
    <s v=""/>
    <s v="Flagged"/>
    <s v=""/>
    <n v="3349"/>
    <s v="Site Management "/>
    <n v="0.93967452300785637"/>
    <n v="215"/>
    <n v="6.4198268139743206E-2"/>
    <s v=""/>
    <n v="2138"/>
    <s v="Shelter NFI "/>
    <n v="0.59988776655443321"/>
    <n v="1426"/>
    <n v="0.66697848456501407"/>
    <s v="Flagged"/>
    <s v=""/>
    <s v=""/>
    <n v="3564"/>
    <m/>
    <m/>
    <n v="2"/>
    <s v="Flagged"/>
    <n v="3564"/>
    <m/>
    <x v="0"/>
    <x v="0"/>
    <n v="0"/>
    <n v="3564"/>
    <n v="0"/>
  </r>
  <r>
    <s v="IDPsSD05139"/>
    <x v="4"/>
    <x v="4"/>
    <x v="53"/>
    <x v="53"/>
    <m/>
    <m/>
    <x v="206"/>
    <x v="1"/>
    <n v="1902"/>
    <n v="19315.989399999999"/>
    <n v="49822"/>
    <n v="49822"/>
    <n v="7819"/>
    <n v="49822"/>
    <n v="19929"/>
    <n v="33031.985999999997"/>
    <n v="27402"/>
    <n v="19720"/>
    <n v="14946.599999999999"/>
    <n v="49822"/>
    <n v="3.8175906226165145E-2"/>
    <n v="0.38769999999999999"/>
    <n v="1"/>
    <n v="1"/>
    <n v="0.15693870177833086"/>
    <n v="1"/>
    <n v="0.40000401429087551"/>
    <n v="0.66299999999999992"/>
    <n v="0.55000000000000004"/>
    <n v="0.4"/>
    <n v="0.30000000000000004"/>
    <n v="1"/>
    <n v="49822"/>
    <s v="Food Security and Livlihoods_x000a_Health _x000a_Protection"/>
    <n v="1"/>
    <s v=""/>
    <s v="Flagged"/>
    <s v=""/>
    <n v="33031.985999999997"/>
    <s v="WASH"/>
    <n v="0.66299999999999992"/>
    <n v="16790.014000000003"/>
    <n v="0.50829562594268485"/>
    <s v="Flagged"/>
    <n v="19929"/>
    <s v="Shelter NFI "/>
    <n v="0.40000401429087551"/>
    <n v="29893"/>
    <n v="1.499974910933815"/>
    <s v="Flagged"/>
    <s v=""/>
    <s v=""/>
    <n v="49822"/>
    <m/>
    <m/>
    <n v="3"/>
    <s v="Flagged"/>
    <n v="49822"/>
    <m/>
    <x v="1"/>
    <x v="0"/>
    <n v="0"/>
    <n v="49822"/>
    <n v="0"/>
  </r>
  <r>
    <s v="IDPsSD05140"/>
    <x v="4"/>
    <x v="4"/>
    <x v="54"/>
    <x v="54"/>
    <m/>
    <m/>
    <x v="207"/>
    <x v="1"/>
    <n v="0"/>
    <n v="15802.652"/>
    <n v="40760"/>
    <n v="40760"/>
    <n v="3931"/>
    <n v="40760"/>
    <n v="16304"/>
    <n v="48300.6"/>
    <n v="22418"/>
    <n v="16134"/>
    <n v="0"/>
    <n v="40760"/>
    <n v="0"/>
    <n v="0.38769999999999999"/>
    <n v="1"/>
    <n v="1"/>
    <n v="9.6442590775269871E-2"/>
    <n v="1"/>
    <n v="0.4"/>
    <n v="1.1850000000000001"/>
    <n v="0.55000000000000004"/>
    <n v="0.4"/>
    <n v="0"/>
    <n v="1"/>
    <n v="48300.6"/>
    <s v="WASH"/>
    <n v="1.1850000000000001"/>
    <s v=""/>
    <s v="Flagged"/>
    <s v=""/>
    <n v="40760"/>
    <s v="Food Security and Livlihoods_x000a_Health _x000a_Protection"/>
    <n v="1"/>
    <n v="7540.5999999999985"/>
    <n v="0.18499999999999997"/>
    <s v=""/>
    <n v="16304"/>
    <s v="Shelter NFI "/>
    <n v="0.4"/>
    <n v="31996.6"/>
    <n v="1.9624999999999999"/>
    <s v="Flagged"/>
    <s v=""/>
    <s v=""/>
    <n v="48300.6"/>
    <m/>
    <m/>
    <n v="2"/>
    <s v="Flagged"/>
    <n v="40760"/>
    <m/>
    <x v="1"/>
    <x v="2"/>
    <n v="40760"/>
    <n v="0"/>
    <n v="0"/>
  </r>
  <r>
    <s v="IDPsSD05142"/>
    <x v="4"/>
    <x v="4"/>
    <x v="55"/>
    <x v="55"/>
    <m/>
    <m/>
    <x v="208"/>
    <x v="1"/>
    <n v="80252"/>
    <n v="60010.144499999995"/>
    <n v="154785"/>
    <n v="154785"/>
    <n v="17832"/>
    <n v="154785"/>
    <n v="123828"/>
    <n v="86760.088199999998"/>
    <n v="85132"/>
    <n v="61265"/>
    <n v="46435.5"/>
    <n v="154785"/>
    <n v="0.51847401233969703"/>
    <n v="0.38769999999999999"/>
    <n v="1"/>
    <n v="1"/>
    <n v="0.11520496172109701"/>
    <n v="1"/>
    <n v="0.8"/>
    <n v="0.56052000000000002"/>
    <n v="0.55000000000000004"/>
    <n v="0.4"/>
    <n v="0.30000000000000004"/>
    <n v="1"/>
    <n v="154785"/>
    <s v="Food Security and Livlihoods_x000a_Health _x000a_Protection"/>
    <n v="1"/>
    <s v=""/>
    <s v="Flagged"/>
    <s v=""/>
    <n v="123828"/>
    <s v="Shelter NFI "/>
    <n v="0.8"/>
    <n v="30957"/>
    <n v="0.25"/>
    <s v=""/>
    <n v="86760.088199999998"/>
    <s v="WASH"/>
    <n v="0.56052000000000002"/>
    <n v="68024.911800000002"/>
    <n v="0.78405766074359529"/>
    <s v="Flagged"/>
    <s v=""/>
    <s v=""/>
    <n v="154785"/>
    <m/>
    <m/>
    <n v="2"/>
    <s v="Flagged"/>
    <n v="154785"/>
    <m/>
    <x v="1"/>
    <x v="0"/>
    <n v="0"/>
    <n v="154785"/>
    <n v="0"/>
  </r>
  <r>
    <s v="IDPsSD05148"/>
    <x v="4"/>
    <x v="4"/>
    <x v="56"/>
    <x v="56"/>
    <m/>
    <m/>
    <x v="209"/>
    <x v="1"/>
    <n v="5272"/>
    <n v="29978.9025"/>
    <n v="77325"/>
    <n v="77325"/>
    <n v="21726"/>
    <n v="77325"/>
    <n v="46395"/>
    <n v="91138.338000000003"/>
    <n v="42529"/>
    <n v="30605"/>
    <n v="30930"/>
    <n v="77325"/>
    <n v="6.8179760750080823E-2"/>
    <n v="0.38769999999999999"/>
    <n v="1"/>
    <n v="1"/>
    <n v="0.28096993210475268"/>
    <n v="1"/>
    <n v="0.6"/>
    <n v="1.1786400000000001"/>
    <n v="0.55000000000000004"/>
    <n v="0.4"/>
    <n v="0.4"/>
    <n v="1"/>
    <n v="91138.338000000003"/>
    <s v="WASH"/>
    <n v="1.1786400000000001"/>
    <s v=""/>
    <s v="Flagged"/>
    <s v=""/>
    <n v="77325"/>
    <s v="Food Security and Livlihoods_x000a_Health _x000a_Protection"/>
    <n v="1"/>
    <n v="13813.338000000003"/>
    <n v="0.17864000000000005"/>
    <s v=""/>
    <n v="46395"/>
    <s v="Shelter NFI "/>
    <n v="0.6"/>
    <n v="44743.338000000003"/>
    <n v="0.96440000000000003"/>
    <s v="Flagged"/>
    <s v=""/>
    <s v=""/>
    <n v="91138.338000000003"/>
    <m/>
    <m/>
    <n v="2"/>
    <s v="Flagged"/>
    <n v="77325"/>
    <m/>
    <x v="1"/>
    <x v="0"/>
    <n v="0"/>
    <n v="77325"/>
    <n v="0"/>
  </r>
  <r>
    <s v="IDPsSD05152"/>
    <x v="4"/>
    <x v="4"/>
    <x v="57"/>
    <x v="57"/>
    <m/>
    <m/>
    <x v="210"/>
    <x v="1"/>
    <n v="7098"/>
    <n v="16019.763999999999"/>
    <n v="41320"/>
    <n v="41320"/>
    <n v="4286"/>
    <n v="41320"/>
    <n v="24792"/>
    <n v="47719.641600000003"/>
    <n v="22726"/>
    <n v="16356"/>
    <n v="0"/>
    <n v="41320"/>
    <n v="0.1717812197483059"/>
    <n v="0.38769999999999999"/>
    <n v="1"/>
    <n v="1"/>
    <n v="0.1037270087124879"/>
    <n v="1"/>
    <n v="0.6"/>
    <n v="1.1548800000000001"/>
    <n v="0.55000000000000004"/>
    <n v="0.4"/>
    <n v="0"/>
    <n v="1"/>
    <n v="47719.641600000003"/>
    <s v="WASH"/>
    <n v="1.1548800000000001"/>
    <s v=""/>
    <s v="Flagged"/>
    <s v=""/>
    <n v="41320"/>
    <s v="Food Security and Livlihoods_x000a_Health _x000a_Protection"/>
    <n v="1"/>
    <n v="6399.6416000000027"/>
    <n v="0.15488000000000007"/>
    <s v=""/>
    <n v="24792"/>
    <s v="Shelter NFI "/>
    <n v="0.6"/>
    <n v="22927.641600000003"/>
    <n v="0.92480000000000007"/>
    <s v="Flagged"/>
    <s v=""/>
    <s v=""/>
    <n v="47719.641600000003"/>
    <m/>
    <m/>
    <n v="2"/>
    <s v="Flagged"/>
    <n v="41320"/>
    <m/>
    <x v="1"/>
    <x v="0"/>
    <n v="0"/>
    <n v="41320"/>
    <n v="0"/>
  </r>
  <r>
    <s v="IDPsSD05155"/>
    <x v="4"/>
    <x v="4"/>
    <x v="58"/>
    <x v="58"/>
    <m/>
    <m/>
    <x v="211"/>
    <x v="1"/>
    <n v="0"/>
    <n v="13203.511199999999"/>
    <n v="34056"/>
    <n v="34056"/>
    <n v="4478"/>
    <n v="34056"/>
    <n v="13622"/>
    <n v="31749.72768"/>
    <n v="18731"/>
    <n v="13479"/>
    <n v="0"/>
    <n v="34056"/>
    <n v="0"/>
    <n v="0.38769999999999999"/>
    <n v="1"/>
    <n v="1"/>
    <n v="0.13148931172186987"/>
    <n v="1"/>
    <n v="0.39998825463941745"/>
    <n v="0.93228"/>
    <n v="0.55000000000000004"/>
    <n v="0.4"/>
    <n v="0"/>
    <n v="1"/>
    <n v="34056"/>
    <s v="Food Security and Livlihoods_x000a_Health _x000a_Protection"/>
    <n v="1"/>
    <s v=""/>
    <s v="Flagged"/>
    <s v=""/>
    <n v="31749.72768"/>
    <s v="WASH"/>
    <n v="0.93228"/>
    <n v="2306.27232"/>
    <n v="7.2639121294031841E-2"/>
    <s v=""/>
    <n v="13622"/>
    <s v="Shelter NFI "/>
    <n v="0.39998825463941745"/>
    <n v="20434"/>
    <n v="1.5000734106592277"/>
    <s v="Flagged"/>
    <s v=""/>
    <s v=""/>
    <n v="34056"/>
    <m/>
    <m/>
    <n v="2"/>
    <s v="Flagged"/>
    <n v="34056"/>
    <m/>
    <x v="1"/>
    <x v="2"/>
    <n v="34056"/>
    <n v="0"/>
    <n v="0"/>
  </r>
  <r>
    <s v="IDPsSD05160"/>
    <x v="4"/>
    <x v="4"/>
    <x v="59"/>
    <x v="59"/>
    <m/>
    <m/>
    <x v="212"/>
    <x v="1"/>
    <n v="0"/>
    <n v="19353.984"/>
    <n v="49920"/>
    <n v="49920"/>
    <n v="7818"/>
    <n v="49920"/>
    <n v="29952"/>
    <n v="55920.383999999998"/>
    <n v="27456"/>
    <n v="19759"/>
    <n v="14976"/>
    <n v="49920"/>
    <n v="0"/>
    <n v="0.38769999999999999"/>
    <n v="1"/>
    <n v="1"/>
    <n v="0.15661057692307692"/>
    <n v="1"/>
    <n v="0.6"/>
    <n v="1.1201999999999999"/>
    <n v="0.55000000000000004"/>
    <n v="0.4"/>
    <n v="0.30000000000000004"/>
    <n v="1"/>
    <n v="55920.383999999998"/>
    <s v="WASH"/>
    <n v="1.1201999999999999"/>
    <s v=""/>
    <s v="Flagged"/>
    <s v=""/>
    <n v="49920"/>
    <s v="Food Security and Livlihoods_x000a_Health _x000a_Protection"/>
    <n v="1"/>
    <n v="6000.3839999999982"/>
    <n v="0.12019999999999996"/>
    <s v=""/>
    <n v="29952"/>
    <s v="Shelter NFI "/>
    <n v="0.6"/>
    <n v="25968.383999999998"/>
    <n v="0.86699999999999999"/>
    <s v="Flagged"/>
    <s v=""/>
    <s v=""/>
    <n v="55920.383999999998"/>
    <m/>
    <m/>
    <n v="2"/>
    <s v="Flagged"/>
    <n v="49920"/>
    <m/>
    <x v="1"/>
    <x v="0"/>
    <n v="0"/>
    <n v="49920"/>
    <n v="0"/>
  </r>
  <r>
    <s v="IDPsSD05163"/>
    <x v="4"/>
    <x v="4"/>
    <x v="60"/>
    <x v="60"/>
    <m/>
    <m/>
    <x v="213"/>
    <x v="1"/>
    <n v="5360"/>
    <n v="2174.9969999999998"/>
    <n v="5610"/>
    <n v="5610"/>
    <n v="659"/>
    <n v="5610"/>
    <n v="2244"/>
    <n v="0"/>
    <n v="3086"/>
    <n v="2221"/>
    <n v="0"/>
    <n v="5610"/>
    <n v="0.9554367201426025"/>
    <n v="0.38769999999999999"/>
    <n v="1"/>
    <n v="1"/>
    <n v="0.11746880570409982"/>
    <n v="1"/>
    <n v="0.4"/>
    <n v="0"/>
    <n v="0.55000000000000004"/>
    <n v="0.4"/>
    <n v="0"/>
    <n v="1"/>
    <n v="5610"/>
    <s v="Food Security and Livlihoods_x000a_Health _x000a_Protection"/>
    <n v="1"/>
    <s v=""/>
    <s v="Flagged"/>
    <s v=""/>
    <n v="5360"/>
    <s v="Site Management "/>
    <n v="0.9554367201426025"/>
    <n v="250"/>
    <n v="4.6641791044776122E-2"/>
    <s v=""/>
    <n v="2244"/>
    <s v="Shelter NFI "/>
    <n v="0.4"/>
    <n v="3366"/>
    <n v="1.5"/>
    <s v="Flagged"/>
    <s v=""/>
    <s v=""/>
    <n v="5610"/>
    <m/>
    <m/>
    <n v="2"/>
    <s v="Flagged"/>
    <n v="5610"/>
    <m/>
    <x v="1"/>
    <x v="0"/>
    <n v="0"/>
    <n v="5610"/>
    <n v="0"/>
  </r>
  <r>
    <s v="IDPsSD05165"/>
    <x v="4"/>
    <x v="4"/>
    <x v="61"/>
    <x v="61"/>
    <m/>
    <m/>
    <x v="214"/>
    <x v="1"/>
    <n v="1957"/>
    <n v="25247.7994"/>
    <n v="65122"/>
    <n v="65122"/>
    <n v="9279"/>
    <n v="65122"/>
    <n v="39073"/>
    <n v="74692.329119999995"/>
    <n v="35817"/>
    <n v="25777"/>
    <n v="19536.599999999999"/>
    <n v="65122"/>
    <n v="3.0051288351094867E-2"/>
    <n v="0.38769999999999999"/>
    <n v="1"/>
    <n v="1"/>
    <n v="0.14248641012253924"/>
    <n v="1"/>
    <n v="0.59999692884125178"/>
    <n v="1.14696"/>
    <n v="0.55000000000000004"/>
    <n v="0.4"/>
    <n v="0.30000000000000004"/>
    <n v="1"/>
    <n v="74692.329119999995"/>
    <s v="WASH"/>
    <n v="1.14696"/>
    <s v=""/>
    <s v="Flagged"/>
    <s v=""/>
    <n v="65122"/>
    <s v="Food Security and Livlihoods_x000a_Health _x000a_Protection"/>
    <n v="1"/>
    <n v="9570.3291199999949"/>
    <n v="0.14695999999999992"/>
    <s v=""/>
    <n v="39073"/>
    <s v="Shelter NFI "/>
    <n v="0.59999692884125178"/>
    <n v="35619.329119999995"/>
    <n v="0.91160978476185583"/>
    <s v="Flagged"/>
    <s v=""/>
    <s v=""/>
    <n v="74692.329119999995"/>
    <m/>
    <m/>
    <n v="2"/>
    <s v="Flagged"/>
    <n v="65122"/>
    <m/>
    <x v="1"/>
    <x v="0"/>
    <n v="0"/>
    <n v="65122"/>
    <n v="0"/>
  </r>
  <r>
    <s v="IDPsSD06110"/>
    <x v="5"/>
    <x v="5"/>
    <x v="62"/>
    <x v="62"/>
    <m/>
    <m/>
    <x v="215"/>
    <x v="1"/>
    <n v="75900"/>
    <n v="29426.43"/>
    <n v="75900"/>
    <n v="75900"/>
    <n v="8547"/>
    <n v="75900"/>
    <n v="45540"/>
    <n v="77545.511999999988"/>
    <n v="41745"/>
    <n v="30043"/>
    <n v="22770"/>
    <n v="75900"/>
    <n v="1"/>
    <n v="0.38769999999999999"/>
    <n v="1"/>
    <n v="1"/>
    <n v="0.11260869565217391"/>
    <n v="1"/>
    <n v="0.6"/>
    <n v="1.0216799999999999"/>
    <n v="0.55000000000000004"/>
    <n v="0.4"/>
    <n v="0.30000000000000004"/>
    <n v="1"/>
    <n v="77545.511999999988"/>
    <s v="WASH"/>
    <n v="1.0216799999999999"/>
    <s v=""/>
    <s v="Flagged"/>
    <s v=""/>
    <n v="75900"/>
    <s v="Site Management _x000a_Food Security and Livlihoods_x000a_Health _x000a_Protection"/>
    <n v="1"/>
    <n v="1645.5119999999879"/>
    <n v="2.1679999999999842E-2"/>
    <s v=""/>
    <n v="45540"/>
    <s v="Shelter NFI "/>
    <n v="0.6"/>
    <n v="32005.511999999988"/>
    <n v="0.70279999999999976"/>
    <s v="Flagged"/>
    <s v=""/>
    <s v=""/>
    <n v="77545.511999999988"/>
    <m/>
    <m/>
    <n v="2"/>
    <s v="Flagged"/>
    <n v="75900"/>
    <m/>
    <x v="1"/>
    <x v="0"/>
    <n v="0"/>
    <n v="75900"/>
    <n v="0"/>
  </r>
  <r>
    <s v="IDPsSD06112"/>
    <x v="5"/>
    <x v="5"/>
    <x v="63"/>
    <x v="63"/>
    <m/>
    <m/>
    <x v="63"/>
    <x v="1"/>
    <n v="29435"/>
    <n v="11411.949499999999"/>
    <n v="29435"/>
    <n v="29435"/>
    <n v="3135"/>
    <n v="29435"/>
    <n v="11774"/>
    <n v="17470.261200000001"/>
    <n v="16189"/>
    <n v="11649"/>
    <n v="8830.5"/>
    <n v="29435"/>
    <n v="1"/>
    <n v="0.38769999999999993"/>
    <n v="1"/>
    <n v="1"/>
    <n v="0.10650586037030746"/>
    <n v="1"/>
    <n v="0.4"/>
    <n v="0.59352000000000005"/>
    <n v="0.55000000000000004"/>
    <n v="0.4"/>
    <n v="0.30000000000000004"/>
    <n v="1"/>
    <n v="29435"/>
    <s v="Site Management _x000a_Food Security and Livlihoods_x000a_Health _x000a_Protection"/>
    <n v="1"/>
    <s v=""/>
    <s v="Flagged"/>
    <s v=""/>
    <n v="17470.261200000001"/>
    <s v="WASH"/>
    <n v="0.59352000000000005"/>
    <n v="11964.738799999999"/>
    <n v="0.68486318910904431"/>
    <s v="Flagged"/>
    <n v="11774"/>
    <s v="Shelter NFI "/>
    <n v="0.4"/>
    <n v="17661"/>
    <n v="1.5"/>
    <s v="Flagged"/>
    <s v=""/>
    <s v=""/>
    <n v="29435"/>
    <m/>
    <m/>
    <n v="3"/>
    <s v="Flagged"/>
    <n v="29435"/>
    <m/>
    <x v="1"/>
    <x v="0"/>
    <n v="0"/>
    <n v="29435"/>
    <n v="0"/>
  </r>
  <r>
    <s v="IDPsSD06130"/>
    <x v="5"/>
    <x v="5"/>
    <x v="64"/>
    <x v="64"/>
    <m/>
    <m/>
    <x v="216"/>
    <x v="1"/>
    <n v="25730"/>
    <n v="9975.5209999999988"/>
    <n v="25730"/>
    <n v="25730"/>
    <n v="2257"/>
    <n v="25730"/>
    <n v="10292"/>
    <n v="27467.2896"/>
    <n v="14152"/>
    <n v="10184"/>
    <n v="0"/>
    <n v="25730"/>
    <n v="1"/>
    <n v="0.38769999999999993"/>
    <n v="1"/>
    <n v="1"/>
    <n v="8.7718616401088217E-2"/>
    <n v="1"/>
    <n v="0.4"/>
    <n v="1.06752"/>
    <n v="0.55000000000000004"/>
    <n v="0.4"/>
    <n v="0"/>
    <n v="1"/>
    <n v="27467.2896"/>
    <s v="WASH"/>
    <n v="1.06752"/>
    <s v=""/>
    <s v="Flagged"/>
    <s v=""/>
    <n v="25730"/>
    <s v="Site Management _x000a_Food Security and Livlihoods_x000a_Health _x000a_Protection"/>
    <n v="1"/>
    <n v="1737.2896000000001"/>
    <n v="6.7519999999999997E-2"/>
    <s v=""/>
    <n v="10292"/>
    <s v="Shelter NFI "/>
    <n v="0.4"/>
    <n v="17175.2896"/>
    <n v="1.6688000000000001"/>
    <s v="Flagged"/>
    <s v=""/>
    <s v=""/>
    <n v="27467.2896"/>
    <m/>
    <m/>
    <n v="2"/>
    <s v="Flagged"/>
    <n v="25730"/>
    <m/>
    <x v="1"/>
    <x v="0"/>
    <n v="0"/>
    <n v="25730"/>
    <n v="0"/>
  </r>
  <r>
    <s v="IDPsSD06131"/>
    <x v="5"/>
    <x v="5"/>
    <x v="65"/>
    <x v="65"/>
    <m/>
    <m/>
    <x v="65"/>
    <x v="1"/>
    <n v="37999"/>
    <n v="16554.79"/>
    <n v="42700"/>
    <n v="42700"/>
    <n v="3748"/>
    <n v="42700"/>
    <n v="17080"/>
    <n v="37702.391999999993"/>
    <n v="23485"/>
    <n v="16900"/>
    <n v="17080"/>
    <n v="42700"/>
    <n v="0.88990632318501173"/>
    <n v="0.38770000000000004"/>
    <n v="1"/>
    <n v="1"/>
    <n v="8.7775175644028106E-2"/>
    <n v="1"/>
    <n v="0.4"/>
    <n v="0.88295999999999986"/>
    <n v="0.55000000000000004"/>
    <n v="0.4"/>
    <n v="0.4"/>
    <n v="1"/>
    <n v="42700"/>
    <s v="Food Security and Livlihoods_x000a_Health _x000a_Protection"/>
    <n v="1"/>
    <s v=""/>
    <s v="Flagged"/>
    <s v=""/>
    <n v="37999"/>
    <s v="Site Management "/>
    <n v="0.88990632318501173"/>
    <n v="4701"/>
    <n v="0.12371378194163005"/>
    <s v=""/>
    <n v="37702.391999999993"/>
    <s v="WASH"/>
    <n v="0.88295999999999986"/>
    <n v="4997.6080000000075"/>
    <n v="0.13255413608770522"/>
    <s v=""/>
    <s v=""/>
    <s v=""/>
    <n v="42700"/>
    <m/>
    <m/>
    <n v="1"/>
    <s v="Flagged"/>
    <n v="42700"/>
    <m/>
    <x v="1"/>
    <x v="0"/>
    <n v="0"/>
    <n v="42700"/>
    <n v="0"/>
  </r>
  <r>
    <s v="IDPsSD06132"/>
    <x v="5"/>
    <x v="5"/>
    <x v="66"/>
    <x v="66"/>
    <m/>
    <m/>
    <x v="66"/>
    <x v="1"/>
    <n v="101587"/>
    <n v="43351.838599999995"/>
    <n v="111818"/>
    <n v="111818"/>
    <n v="10885"/>
    <n v="111818"/>
    <n v="67091"/>
    <n v="132893.45663999999"/>
    <n v="61500"/>
    <n v="44259"/>
    <n v="44727.200000000004"/>
    <n v="111818"/>
    <n v="0.9085031032570785"/>
    <n v="0.38769999999999993"/>
    <n v="1"/>
    <n v="1"/>
    <n v="9.7345686740954049E-2"/>
    <n v="1"/>
    <n v="0.60000178862079445"/>
    <n v="1.18848"/>
    <n v="0.55000000000000004"/>
    <n v="0.4"/>
    <n v="0.4"/>
    <n v="1"/>
    <n v="132893.45663999999"/>
    <s v="WASH"/>
    <n v="1.18848"/>
    <s v=""/>
    <s v="Flagged"/>
    <s v=""/>
    <n v="111818"/>
    <s v="Food Security and Livlihoods_x000a_Health _x000a_Protection"/>
    <n v="1"/>
    <n v="21075.456639999989"/>
    <n v="0.1884799999999999"/>
    <s v=""/>
    <n v="101587"/>
    <s v="Site Management "/>
    <n v="0.9085031032570785"/>
    <n v="31306.456639999989"/>
    <n v="0.30817384744110948"/>
    <s v=""/>
    <s v=""/>
    <s v=""/>
    <n v="132893.45663999999"/>
    <m/>
    <m/>
    <n v="1"/>
    <s v="Flagged"/>
    <n v="111818"/>
    <m/>
    <x v="1"/>
    <x v="0"/>
    <n v="0"/>
    <n v="111818"/>
    <n v="0"/>
  </r>
  <r>
    <s v="IDPsSD06135"/>
    <x v="5"/>
    <x v="5"/>
    <x v="67"/>
    <x v="67"/>
    <m/>
    <m/>
    <x v="67"/>
    <x v="1"/>
    <n v="17354"/>
    <n v="19512.1656"/>
    <n v="50328"/>
    <n v="50328"/>
    <n v="6997"/>
    <n v="50328"/>
    <n v="30197"/>
    <n v="60284.891519999997"/>
    <n v="27680"/>
    <n v="19920"/>
    <n v="25164"/>
    <n v="50328"/>
    <n v="0.34481799395962487"/>
    <n v="0.38769999999999999"/>
    <n v="1"/>
    <n v="1"/>
    <n v="0.13902797647432841"/>
    <n v="1"/>
    <n v="0.60000397393101257"/>
    <n v="1.19784"/>
    <n v="0.55000000000000004"/>
    <n v="0.4"/>
    <n v="0.5"/>
    <n v="1"/>
    <n v="60284.891519999997"/>
    <s v="WASH"/>
    <n v="1.19784"/>
    <s v=""/>
    <s v="Flagged"/>
    <s v=""/>
    <n v="50328"/>
    <s v="Food Security and Livlihoods_x000a_Health _x000a_Protection"/>
    <n v="1"/>
    <n v="9956.8915199999974"/>
    <n v="0.19783999999999996"/>
    <s v=""/>
    <n v="30197"/>
    <s v="Shelter NFI "/>
    <n v="0.60000397393101257"/>
    <n v="30087.891519999997"/>
    <n v="0.99638677749445304"/>
    <s v="Flagged"/>
    <s v=""/>
    <s v=""/>
    <n v="60284.891519999997"/>
    <m/>
    <m/>
    <n v="2"/>
    <s v="Flagged"/>
    <n v="50328"/>
    <m/>
    <x v="1"/>
    <x v="0"/>
    <n v="0"/>
    <n v="50328"/>
    <n v="0"/>
  </r>
  <r>
    <s v="IDPsSD06137"/>
    <x v="5"/>
    <x v="5"/>
    <x v="68"/>
    <x v="68"/>
    <m/>
    <m/>
    <x v="68"/>
    <x v="1"/>
    <n v="54306"/>
    <n v="21054.358660000002"/>
    <n v="54305.8"/>
    <n v="54305.8"/>
    <n v="6563"/>
    <n v="54306"/>
    <n v="21722"/>
    <n v="36656.414999999994"/>
    <n v="29868"/>
    <n v="21495"/>
    <n v="16291.74"/>
    <n v="54306"/>
    <n v="1"/>
    <n v="0.38769857216513831"/>
    <n v="0.99999631716569082"/>
    <n v="0.99999631716569082"/>
    <n v="0.12085220785916842"/>
    <n v="1"/>
    <n v="0.39999263433138144"/>
    <n v="0.67499751408684117"/>
    <n v="0.55000000000000004"/>
    <n v="0.4"/>
    <n v="0.30000000000000004"/>
    <n v="1"/>
    <n v="54306"/>
    <s v="Site Management _x000a_Protection"/>
    <n v="1"/>
    <s v=""/>
    <s v="Flagged"/>
    <s v=""/>
    <n v="54305.8"/>
    <s v="Food Security and Livlihoods_x000a_Health "/>
    <n v="0.99999631716569082"/>
    <n v="0.19999999999708962"/>
    <n v="3.6828478725493336E-6"/>
    <s v=""/>
    <n v="36656.414999999994"/>
    <s v="WASH"/>
    <n v="0.67499751408684117"/>
    <n v="17649.585000000006"/>
    <n v="0.48148693755240413"/>
    <s v=""/>
    <s v=""/>
    <s v=""/>
    <n v="54306"/>
    <m/>
    <m/>
    <n v="1"/>
    <s v="Flagged"/>
    <n v="54306"/>
    <m/>
    <x v="1"/>
    <x v="2"/>
    <n v="54306"/>
    <n v="0"/>
    <n v="0"/>
  </r>
  <r>
    <s v="IDPsSD06138"/>
    <x v="5"/>
    <x v="5"/>
    <x v="69"/>
    <x v="69"/>
    <m/>
    <m/>
    <x v="217"/>
    <x v="1"/>
    <n v="171569"/>
    <n v="104199.4151"/>
    <n v="268763"/>
    <n v="268763"/>
    <n v="30992"/>
    <n v="268763"/>
    <n v="215010"/>
    <n v="225470.65596"/>
    <n v="147820"/>
    <n v="127652"/>
    <n v="241886.7"/>
    <n v="268763"/>
    <n v="0.6383653999992559"/>
    <n v="0.38769999999999999"/>
    <n v="1"/>
    <n v="1"/>
    <n v="0.11531349181248907"/>
    <n v="1"/>
    <n v="0.79999851169989922"/>
    <n v="0.83892"/>
    <n v="0.55000000000000004"/>
    <n v="0.45"/>
    <n v="0.9"/>
    <n v="1"/>
    <n v="268763"/>
    <s v="Food Security and Livlihoods_x000a_Health _x000a_Protection"/>
    <n v="1"/>
    <s v=""/>
    <s v="Flagged"/>
    <s v=""/>
    <n v="225470.65596"/>
    <s v="WASH"/>
    <n v="0.83892"/>
    <n v="43292.344039999996"/>
    <n v="0.19200877318457063"/>
    <s v=""/>
    <n v="215010"/>
    <s v="Shelter NFI "/>
    <n v="0.79999851169989922"/>
    <n v="53753"/>
    <n v="0.25000232547323381"/>
    <s v=""/>
    <s v=""/>
    <s v=""/>
    <n v="268763"/>
    <m/>
    <m/>
    <n v="1"/>
    <s v="Flagged"/>
    <n v="268763"/>
    <m/>
    <x v="0"/>
    <x v="1"/>
    <n v="0"/>
    <n v="0"/>
    <n v="268763"/>
  </r>
  <r>
    <s v="IDPsSD06139"/>
    <x v="5"/>
    <x v="5"/>
    <x v="70"/>
    <x v="70"/>
    <m/>
    <m/>
    <x v="218"/>
    <x v="1"/>
    <n v="77407"/>
    <n v="32888.591"/>
    <n v="84830"/>
    <n v="84830"/>
    <n v="8831"/>
    <n v="84830"/>
    <n v="50898"/>
    <n v="68539.246799999994"/>
    <n v="46657"/>
    <n v="33576"/>
    <n v="33932"/>
    <n v="84830"/>
    <n v="0.91249557939408232"/>
    <n v="0.38769999999999999"/>
    <n v="1"/>
    <n v="1"/>
    <n v="0.10410232229164211"/>
    <n v="1"/>
    <n v="0.6"/>
    <n v="0.8079599999999999"/>
    <n v="0.55000000000000004"/>
    <n v="0.4"/>
    <n v="0.4"/>
    <n v="1"/>
    <n v="84830"/>
    <s v="Food Security and Livlihoods_x000a_Health _x000a_Protection"/>
    <n v="1"/>
    <s v=""/>
    <s v="Flagged"/>
    <s v=""/>
    <n v="77407"/>
    <s v="Site Management "/>
    <n v="0.91249557939408232"/>
    <n v="7423"/>
    <n v="9.5895720025320708E-2"/>
    <s v=""/>
    <n v="68539.246799999994"/>
    <s v="WASH"/>
    <n v="0.8079599999999999"/>
    <n v="16290.753200000006"/>
    <n v="0.23768503391257004"/>
    <s v=""/>
    <s v=""/>
    <s v=""/>
    <n v="84830"/>
    <m/>
    <m/>
    <n v="1"/>
    <s v="Flagged"/>
    <n v="84830"/>
    <m/>
    <x v="1"/>
    <x v="0"/>
    <n v="0"/>
    <n v="84830"/>
    <n v="0"/>
  </r>
  <r>
    <s v="IDPsSD07088"/>
    <x v="6"/>
    <x v="6"/>
    <x v="71"/>
    <x v="71"/>
    <m/>
    <m/>
    <x v="219"/>
    <x v="1"/>
    <n v="4934"/>
    <n v="19869.625"/>
    <n v="51250"/>
    <n v="51250"/>
    <n v="5978"/>
    <n v="51250"/>
    <n v="30750"/>
    <n v="57508.65"/>
    <n v="28188"/>
    <n v="20286"/>
    <n v="20500"/>
    <n v="51250"/>
    <n v="9.6273170731707311E-2"/>
    <n v="0.38769999999999999"/>
    <n v="1"/>
    <n v="1"/>
    <n v="0.11664390243902439"/>
    <n v="1"/>
    <n v="0.6"/>
    <n v="1.12212"/>
    <n v="0.55000000000000004"/>
    <n v="0.4"/>
    <n v="0.4"/>
    <n v="1"/>
    <n v="57508.65"/>
    <s v="WASH"/>
    <n v="1.12212"/>
    <s v=""/>
    <s v="Flagged"/>
    <s v=""/>
    <n v="51250"/>
    <s v="Food Security and Livlihoods_x000a_Health _x000a_Protection"/>
    <n v="1"/>
    <n v="6258.6500000000015"/>
    <n v="0.12212000000000003"/>
    <s v=""/>
    <n v="30750"/>
    <s v="Shelter NFI "/>
    <n v="0.6"/>
    <n v="26758.65"/>
    <n v="0.87020000000000008"/>
    <s v="Flagged"/>
    <s v=""/>
    <s v=""/>
    <n v="57508.65"/>
    <m/>
    <m/>
    <n v="2"/>
    <s v="Flagged"/>
    <n v="51250"/>
    <m/>
    <x v="2"/>
    <x v="0"/>
    <n v="0"/>
    <n v="51250"/>
    <n v="0"/>
  </r>
  <r>
    <s v="IDPsSD07089"/>
    <x v="6"/>
    <x v="6"/>
    <x v="72"/>
    <x v="72"/>
    <m/>
    <m/>
    <x v="72"/>
    <x v="1"/>
    <n v="6643"/>
    <n v="6340.0581000000002"/>
    <n v="16353"/>
    <n v="16353"/>
    <n v="1789"/>
    <n v="16353"/>
    <n v="6541"/>
    <n v="18656.156519999997"/>
    <n v="8994"/>
    <n v="6472"/>
    <n v="4905.8999999999996"/>
    <n v="16353"/>
    <n v="0.40622515746346238"/>
    <n v="0.38769999999999999"/>
    <n v="1"/>
    <n v="1"/>
    <n v="0.10939888705436311"/>
    <n v="1"/>
    <n v="0.39998776982816608"/>
    <n v="1.1408399999999999"/>
    <n v="0.55000000000000004"/>
    <n v="0.4"/>
    <n v="0.30000000000000004"/>
    <n v="1"/>
    <n v="18656.156519999997"/>
    <s v="WASH"/>
    <n v="1.1408399999999999"/>
    <s v=""/>
    <s v="Flagged"/>
    <s v=""/>
    <n v="16353"/>
    <s v="Food Security and Livlihoods_x000a_Health _x000a_Protection"/>
    <n v="1"/>
    <n v="2303.1565199999968"/>
    <n v="0.1408399999999998"/>
    <s v=""/>
    <n v="6643"/>
    <s v="Site Management "/>
    <n v="0.40622515746346238"/>
    <n v="12013.156519999997"/>
    <n v="1.8083932741231366"/>
    <s v="Flagged"/>
    <s v=""/>
    <s v=""/>
    <n v="18656.156519999997"/>
    <m/>
    <m/>
    <n v="2"/>
    <s v="Flagged"/>
    <n v="16353"/>
    <m/>
    <x v="2"/>
    <x v="2"/>
    <n v="16353"/>
    <n v="0"/>
    <n v="0"/>
  </r>
  <r>
    <s v="IDPsSD07090"/>
    <x v="6"/>
    <x v="6"/>
    <x v="73"/>
    <x v="73"/>
    <m/>
    <m/>
    <x v="73"/>
    <x v="1"/>
    <n v="3028"/>
    <n v="12876.6801"/>
    <n v="33213"/>
    <n v="33213"/>
    <n v="2030"/>
    <n v="33213"/>
    <n v="13285"/>
    <n v="34845.751080000002"/>
    <n v="18267"/>
    <n v="13147"/>
    <n v="0"/>
    <n v="33213"/>
    <n v="9.1169120525095598E-2"/>
    <n v="0.38769999999999999"/>
    <n v="1"/>
    <n v="1"/>
    <n v="6.1120645530364615E-2"/>
    <n v="1"/>
    <n v="0.39999397826152411"/>
    <n v="1.0491600000000001"/>
    <n v="0.55000000000000004"/>
    <n v="0.4"/>
    <n v="0"/>
    <n v="1"/>
    <n v="34845.751080000002"/>
    <s v="WASH"/>
    <n v="1.0491600000000001"/>
    <s v=""/>
    <s v="Flagged"/>
    <s v=""/>
    <n v="33213"/>
    <s v="Food Security and Livlihoods_x000a_Health _x000a_Protection"/>
    <n v="1"/>
    <n v="1632.7510800000018"/>
    <n v="4.9160000000000058E-2"/>
    <s v=""/>
    <n v="13285"/>
    <s v="Shelter NFI "/>
    <n v="0.39999397826152411"/>
    <n v="21560.751080000002"/>
    <n v="1.6229394866390667"/>
    <s v="Flagged"/>
    <s v=""/>
    <s v=""/>
    <n v="34845.751080000002"/>
    <m/>
    <m/>
    <n v="2"/>
    <s v="Flagged"/>
    <n v="33213"/>
    <m/>
    <x v="2"/>
    <x v="0"/>
    <n v="0"/>
    <n v="33213"/>
    <n v="0"/>
  </r>
  <r>
    <s v="IDPsSD07091"/>
    <x v="6"/>
    <x v="6"/>
    <x v="74"/>
    <x v="74"/>
    <m/>
    <m/>
    <x v="34"/>
    <x v="1"/>
    <n v="0"/>
    <n v="0"/>
    <n v="0"/>
    <n v="0"/>
    <n v="0"/>
    <n v="0"/>
    <n v="0"/>
    <n v="0"/>
    <n v="0"/>
    <n v="0"/>
    <n v="0"/>
    <n v="0"/>
    <e v="#DIV/0!"/>
    <e v="#DIV/0!"/>
    <e v="#DIV/0!"/>
    <e v="#DIV/0!"/>
    <e v="#DIV/0!"/>
    <e v="#DIV/0!"/>
    <e v="#DIV/0!"/>
    <e v="#DIV/0!"/>
    <s v=""/>
    <s v=""/>
    <s v=""/>
    <s v=""/>
    <n v="0"/>
    <s v="Site Management _x000a_Education_x000a_Food Security and Livlihoods_x000a_Health _x000a_Nutrition_x000a_Protection_x000a_Shelter NFI _x000a_WASH"/>
    <e v="#DIV/0!"/>
    <s v=""/>
    <s v=""/>
    <s v=""/>
    <s v="NA"/>
    <s v=""/>
    <s v=""/>
    <s v=""/>
    <s v=""/>
    <s v=""/>
    <n v="0"/>
    <s v="Site Management _x000a_Education_x000a_Food Security and Livlihoods_x000a_Health _x000a_Nutrition_x000a_Protection_x000a_Shelter NFI _x000a_WASH"/>
    <s v=""/>
    <n v="0"/>
    <s v=""/>
    <s v=""/>
    <s v=""/>
    <s v=""/>
    <n v="0"/>
    <m/>
    <m/>
    <n v="0"/>
    <s v=""/>
    <n v="0"/>
    <m/>
    <x v="0"/>
    <x v="2"/>
    <n v="0"/>
    <n v="0"/>
    <n v="0"/>
  </r>
  <r>
    <s v="IDPsSD07093"/>
    <x v="6"/>
    <x v="6"/>
    <x v="75"/>
    <x v="75"/>
    <m/>
    <m/>
    <x v="220"/>
    <x v="1"/>
    <n v="3908"/>
    <n v="0"/>
    <n v="20189"/>
    <n v="20189"/>
    <n v="1389"/>
    <n v="20189"/>
    <n v="8076"/>
    <n v="21261.439679999999"/>
    <n v="11104"/>
    <n v="7991"/>
    <n v="14132.3"/>
    <n v="20189"/>
    <n v="0.19357075635246918"/>
    <n v="0"/>
    <n v="1"/>
    <n v="1"/>
    <n v="6.8799841497845363E-2"/>
    <n v="1"/>
    <n v="0.40001981276932985"/>
    <n v="1.0531200000000001"/>
    <n v="0.55000000000000004"/>
    <n v="0.4"/>
    <n v="0.70000000000000007"/>
    <n v="1"/>
    <n v="21261.439679999999"/>
    <s v="WASH"/>
    <n v="1.0531200000000001"/>
    <s v=""/>
    <s v="Flagged"/>
    <s v=""/>
    <n v="20189"/>
    <s v="Food Security and Livlihoods_x000a_Health _x000a_Protection"/>
    <n v="1"/>
    <n v="1072.4396799999995"/>
    <n v="5.3119999999999973E-2"/>
    <s v=""/>
    <n v="8076"/>
    <s v="Shelter NFI "/>
    <n v="0.40001981276932985"/>
    <n v="13185.439679999999"/>
    <n v="1.6326695988112927"/>
    <s v="Flagged"/>
    <s v=""/>
    <s v=""/>
    <n v="21261.439679999999"/>
    <m/>
    <m/>
    <n v="2"/>
    <s v="Flagged"/>
    <n v="20189"/>
    <m/>
    <x v="2"/>
    <x v="2"/>
    <n v="20189"/>
    <n v="0"/>
    <n v="0"/>
  </r>
  <r>
    <s v="IDPsSD07094"/>
    <x v="6"/>
    <x v="6"/>
    <x v="76"/>
    <x v="76"/>
    <m/>
    <m/>
    <x v="221"/>
    <x v="1"/>
    <n v="30"/>
    <n v="0"/>
    <n v="5092"/>
    <n v="5092"/>
    <n v="248"/>
    <n v="5092"/>
    <n v="0"/>
    <n v="0"/>
    <n v="2801"/>
    <n v="2015"/>
    <n v="0"/>
    <n v="5092"/>
    <n v="5.8915946582875096E-3"/>
    <n v="0"/>
    <n v="1"/>
    <n v="1"/>
    <n v="4.8703849175176749E-2"/>
    <n v="1"/>
    <n v="0"/>
    <n v="0"/>
    <n v="0.55000000000000004"/>
    <n v="0.4"/>
    <n v="0"/>
    <n v="1"/>
    <n v="5092"/>
    <s v="Food Security and Livlihoods_x000a_Health _x000a_Protection"/>
    <n v="1"/>
    <s v="Flagged"/>
    <s v="Flagged"/>
    <s v=""/>
    <n v="248"/>
    <s v="Nutrition"/>
    <n v="4.8703849175176749E-2"/>
    <n v="4844"/>
    <n v="19.532258064516128"/>
    <s v="Flagged"/>
    <n v="30"/>
    <s v="Site Management "/>
    <n v="5.8915946582875096E-3"/>
    <n v="5062"/>
    <n v="168.73333333333332"/>
    <s v="Flagged"/>
    <s v=""/>
    <s v=""/>
    <n v="5092"/>
    <m/>
    <m/>
    <n v="4"/>
    <s v="Flagged"/>
    <n v="5092"/>
    <m/>
    <x v="2"/>
    <x v="2"/>
    <n v="5092"/>
    <n v="0"/>
    <n v="0"/>
  </r>
  <r>
    <s v="IDPsSD07095"/>
    <x v="6"/>
    <x v="6"/>
    <x v="77"/>
    <x v="77"/>
    <m/>
    <m/>
    <x v="222"/>
    <x v="1"/>
    <n v="4095"/>
    <n v="15548.708499999999"/>
    <n v="40105"/>
    <n v="40105"/>
    <n v="1860"/>
    <n v="40105"/>
    <n v="16042"/>
    <n v="26883.183599999997"/>
    <n v="22058"/>
    <n v="15874"/>
    <n v="12031.5"/>
    <n v="40105"/>
    <n v="0.10210696920583469"/>
    <n v="0.38769999999999999"/>
    <n v="1"/>
    <n v="1"/>
    <n v="4.6378257075177662E-2"/>
    <n v="1"/>
    <n v="0.4"/>
    <n v="0.67031999999999992"/>
    <n v="0.55000000000000004"/>
    <n v="0.4"/>
    <n v="0.30000000000000004"/>
    <n v="1"/>
    <n v="40105"/>
    <s v="Food Security and Livlihoods_x000a_Health _x000a_Protection"/>
    <n v="1"/>
    <s v=""/>
    <s v="Flagged"/>
    <s v=""/>
    <n v="26883.183599999997"/>
    <s v="WASH"/>
    <n v="0.67031999999999992"/>
    <n v="13221.816400000003"/>
    <n v="0.49182480009547697"/>
    <s v="Flagged"/>
    <n v="16042"/>
    <s v="Shelter NFI "/>
    <n v="0.4"/>
    <n v="24063"/>
    <n v="1.5"/>
    <s v="Flagged"/>
    <s v=""/>
    <s v=""/>
    <n v="40105"/>
    <m/>
    <m/>
    <n v="3"/>
    <s v="Flagged"/>
    <n v="40105"/>
    <m/>
    <x v="0"/>
    <x v="2"/>
    <n v="40105"/>
    <n v="0"/>
    <n v="0"/>
  </r>
  <r>
    <s v="IDPsSD07096"/>
    <x v="6"/>
    <x v="6"/>
    <x v="78"/>
    <x v="78"/>
    <m/>
    <m/>
    <x v="34"/>
    <x v="1"/>
    <n v="0"/>
    <n v="0"/>
    <n v="0"/>
    <n v="0"/>
    <n v="0"/>
    <n v="0"/>
    <n v="0"/>
    <n v="0"/>
    <n v="0"/>
    <n v="0"/>
    <n v="0"/>
    <n v="0"/>
    <e v="#DIV/0!"/>
    <e v="#DIV/0!"/>
    <e v="#DIV/0!"/>
    <e v="#DIV/0!"/>
    <e v="#DIV/0!"/>
    <e v="#DIV/0!"/>
    <e v="#DIV/0!"/>
    <e v="#DIV/0!"/>
    <s v=""/>
    <s v=""/>
    <s v=""/>
    <s v=""/>
    <n v="0"/>
    <s v="Site Management _x000a_Education_x000a_Food Security and Livlihoods_x000a_Health _x000a_Nutrition_x000a_Protection_x000a_Shelter NFI _x000a_WASH"/>
    <e v="#DIV/0!"/>
    <s v=""/>
    <s v=""/>
    <s v=""/>
    <s v="NA"/>
    <s v=""/>
    <s v=""/>
    <s v=""/>
    <s v=""/>
    <s v=""/>
    <n v="0"/>
    <s v="Site Management _x000a_Education_x000a_Food Security and Livlihoods_x000a_Health _x000a_Nutrition_x000a_Protection_x000a_Shelter NFI _x000a_WASH"/>
    <s v=""/>
    <n v="0"/>
    <s v=""/>
    <s v=""/>
    <s v=""/>
    <s v=""/>
    <n v="0"/>
    <m/>
    <m/>
    <n v="0"/>
    <s v=""/>
    <n v="0"/>
    <m/>
    <x v="0"/>
    <x v="2"/>
    <n v="0"/>
    <n v="0"/>
    <n v="0"/>
  </r>
  <r>
    <s v="IDPsSD07097"/>
    <x v="6"/>
    <x v="6"/>
    <x v="79"/>
    <x v="79"/>
    <m/>
    <m/>
    <x v="77"/>
    <x v="1"/>
    <n v="8188"/>
    <n v="8198.6918999999998"/>
    <n v="21147"/>
    <n v="21147"/>
    <n v="2034"/>
    <n v="21147"/>
    <n v="8459"/>
    <n v="19354.580279999998"/>
    <n v="11631"/>
    <n v="8369"/>
    <n v="6344.0999999999995"/>
    <n v="21147"/>
    <n v="0.38719440109708231"/>
    <n v="0.38769999999999999"/>
    <n v="1"/>
    <n v="1"/>
    <n v="9.6183855866080289E-2"/>
    <n v="1"/>
    <n v="0.40000945760627987"/>
    <n v="0.91523999999999994"/>
    <n v="0.55000000000000004"/>
    <n v="0.4"/>
    <n v="0.30000000000000004"/>
    <n v="1"/>
    <n v="21147"/>
    <s v="Food Security and Livlihoods_x000a_Health _x000a_Protection"/>
    <n v="1"/>
    <s v=""/>
    <s v="Flagged"/>
    <s v=""/>
    <n v="19354.580279999998"/>
    <s v="WASH"/>
    <n v="0.91523999999999994"/>
    <n v="1792.4197200000017"/>
    <n v="9.260958874175089E-2"/>
    <s v=""/>
    <n v="8459"/>
    <s v="Shelter NFI "/>
    <n v="0.40000945760627987"/>
    <n v="12688"/>
    <n v="1.4999408913583165"/>
    <s v="Flagged"/>
    <s v=""/>
    <s v=""/>
    <n v="21147"/>
    <m/>
    <m/>
    <n v="2"/>
    <s v="Flagged"/>
    <n v="21147"/>
    <m/>
    <x v="0"/>
    <x v="2"/>
    <n v="21147"/>
    <n v="0"/>
    <n v="0"/>
  </r>
  <r>
    <s v="IDPsSD07098"/>
    <x v="6"/>
    <x v="6"/>
    <x v="80"/>
    <x v="80"/>
    <m/>
    <m/>
    <x v="223"/>
    <x v="1"/>
    <n v="26355"/>
    <n v="28201.918320000001"/>
    <n v="72741.600000000006"/>
    <n v="72741.600000000006"/>
    <n v="5603"/>
    <n v="72742"/>
    <n v="58193"/>
    <n v="61146.588959999994"/>
    <n v="40008"/>
    <n v="28793"/>
    <n v="36370.800000000003"/>
    <n v="72742"/>
    <n v="0.36230788265376263"/>
    <n v="0.38769786808171347"/>
    <n v="0.99999450111352461"/>
    <n v="0.99999450111352461"/>
    <n v="7.7025652305408157E-2"/>
    <n v="1"/>
    <n v="0.7999917516702868"/>
    <n v="0.84059537763602865"/>
    <n v="0.55000000000000004"/>
    <n v="0.4"/>
    <n v="0.5"/>
    <n v="1"/>
    <n v="72742"/>
    <s v="Protection"/>
    <n v="1"/>
    <s v=""/>
    <s v="Flagged"/>
    <s v=""/>
    <n v="72741.600000000006"/>
    <s v="Food Security and Livlihoods_x000a_Health "/>
    <n v="0.99999450111352461"/>
    <n v="0.39999999999417923"/>
    <n v="5.4989167133274383E-6"/>
    <s v=""/>
    <n v="61146.588959999994"/>
    <s v="WASH"/>
    <n v="0.84059537763602865"/>
    <n v="11595.411040000006"/>
    <n v="0.18963299894921903"/>
    <s v=""/>
    <s v=""/>
    <s v=""/>
    <n v="72742"/>
    <m/>
    <m/>
    <n v="1"/>
    <s v="Flagged"/>
    <n v="72742"/>
    <m/>
    <x v="0"/>
    <x v="1"/>
    <n v="0"/>
    <n v="0"/>
    <n v="72742"/>
  </r>
  <r>
    <s v="IDPsSD07099"/>
    <x v="6"/>
    <x v="6"/>
    <x v="81"/>
    <x v="81"/>
    <m/>
    <m/>
    <x v="34"/>
    <x v="1"/>
    <n v="0"/>
    <n v="0"/>
    <n v="0"/>
    <n v="0"/>
    <n v="0"/>
    <n v="0"/>
    <n v="0"/>
    <n v="0"/>
    <n v="0"/>
    <n v="0"/>
    <n v="0"/>
    <n v="0"/>
    <e v="#DIV/0!"/>
    <e v="#DIV/0!"/>
    <e v="#DIV/0!"/>
    <e v="#DIV/0!"/>
    <e v="#DIV/0!"/>
    <e v="#DIV/0!"/>
    <e v="#DIV/0!"/>
    <e v="#DIV/0!"/>
    <s v=""/>
    <s v=""/>
    <s v=""/>
    <s v=""/>
    <n v="0"/>
    <s v="Site Management _x000a_Education_x000a_Food Security and Livlihoods_x000a_Health _x000a_Nutrition_x000a_Protection_x000a_Shelter NFI _x000a_WASH"/>
    <e v="#DIV/0!"/>
    <s v=""/>
    <s v=""/>
    <s v=""/>
    <s v="NA"/>
    <s v=""/>
    <s v=""/>
    <s v=""/>
    <s v=""/>
    <s v=""/>
    <n v="0"/>
    <s v="Site Management _x000a_Education_x000a_Food Security and Livlihoods_x000a_Health _x000a_Nutrition_x000a_Protection_x000a_Shelter NFI _x000a_WASH"/>
    <s v=""/>
    <n v="0"/>
    <s v=""/>
    <s v=""/>
    <s v=""/>
    <s v=""/>
    <n v="0"/>
    <m/>
    <m/>
    <n v="0"/>
    <s v=""/>
    <n v="0"/>
    <m/>
    <x v="0"/>
    <x v="2"/>
    <n v="0"/>
    <n v="0"/>
    <n v="0"/>
  </r>
  <r>
    <s v="IDPsSD07103"/>
    <x v="6"/>
    <x v="6"/>
    <x v="82"/>
    <x v="82"/>
    <m/>
    <m/>
    <x v="224"/>
    <x v="1"/>
    <n v="718"/>
    <n v="2796.6157950000002"/>
    <n v="7213"/>
    <n v="7213"/>
    <n v="596"/>
    <n v="7213"/>
    <n v="2885"/>
    <n v="0"/>
    <n v="3967"/>
    <n v="2854"/>
    <n v="3606.6750000000002"/>
    <n v="7213"/>
    <n v="9.9542492721475112E-2"/>
    <n v="0.38771881256065438"/>
    <n v="1"/>
    <n v="1"/>
    <n v="8.2628587272979337E-2"/>
    <n v="1"/>
    <n v="0.39997227228615001"/>
    <n v="0"/>
    <n v="0.55000000000000004"/>
    <n v="0.4"/>
    <n v="0.5"/>
    <n v="1"/>
    <n v="7213"/>
    <s v="Food Security and Livlihoods_x000a_Health _x000a_Protection"/>
    <n v="1"/>
    <s v=""/>
    <s v="Flagged"/>
    <s v=""/>
    <n v="2885"/>
    <s v="Shelter NFI "/>
    <n v="0.39997227228615001"/>
    <n v="4328"/>
    <n v="1.5001733102253032"/>
    <s v="Flagged"/>
    <n v="2796.6157950000002"/>
    <s v="Education"/>
    <n v="0.38771881256065438"/>
    <n v="4416.3842050000003"/>
    <n v="1.5791887512385305"/>
    <s v="Flagged"/>
    <s v=""/>
    <s v=""/>
    <n v="7213"/>
    <m/>
    <m/>
    <n v="3"/>
    <s v="Flagged"/>
    <n v="7213"/>
    <m/>
    <x v="0"/>
    <x v="0"/>
    <n v="0"/>
    <n v="7213"/>
    <n v="0"/>
  </r>
  <r>
    <s v="IDPsSD07104"/>
    <x v="6"/>
    <x v="6"/>
    <x v="83"/>
    <x v="83"/>
    <m/>
    <m/>
    <x v="80"/>
    <x v="1"/>
    <n v="12434"/>
    <n v="8313.0633999999991"/>
    <n v="21442"/>
    <n v="21442"/>
    <n v="1237"/>
    <n v="21442"/>
    <n v="12865"/>
    <n v="22161.593519999999"/>
    <n v="11793"/>
    <n v="8487"/>
    <n v="10721"/>
    <n v="21442"/>
    <n v="0.57988993564033209"/>
    <n v="0.38769999999999993"/>
    <n v="1"/>
    <n v="1"/>
    <n v="5.7690513944594721E-2"/>
    <n v="1"/>
    <n v="0.59999067251189253"/>
    <n v="1.03356"/>
    <n v="0.55000000000000004"/>
    <n v="0.4"/>
    <n v="0.5"/>
    <n v="1"/>
    <n v="22161.593519999999"/>
    <s v="WASH"/>
    <n v="1.03356"/>
    <s v=""/>
    <s v="Flagged"/>
    <s v=""/>
    <n v="21442"/>
    <s v="Food Security and Livlihoods_x000a_Health _x000a_Protection"/>
    <n v="1"/>
    <n v="719.59351999999853"/>
    <n v="3.355999999999993E-2"/>
    <s v=""/>
    <n v="12865"/>
    <s v="Shelter NFI "/>
    <n v="0.59999067251189253"/>
    <n v="9296.5935199999985"/>
    <n v="0.72262677963466759"/>
    <s v="Flagged"/>
    <s v=""/>
    <s v=""/>
    <n v="22161.593519999999"/>
    <m/>
    <m/>
    <n v="2"/>
    <s v="Flagged"/>
    <n v="21442"/>
    <m/>
    <x v="0"/>
    <x v="0"/>
    <n v="0"/>
    <n v="21442"/>
    <n v="0"/>
  </r>
  <r>
    <s v="IDPsSD07105"/>
    <x v="6"/>
    <x v="6"/>
    <x v="84"/>
    <x v="84"/>
    <m/>
    <m/>
    <x v="225"/>
    <x v="1"/>
    <n v="3760"/>
    <n v="2190.8926999999999"/>
    <n v="5651"/>
    <n v="5651"/>
    <n v="431"/>
    <n v="5651"/>
    <n v="3391"/>
    <n v="0"/>
    <n v="3108"/>
    <n v="2237"/>
    <n v="0"/>
    <n v="5651"/>
    <n v="0.66536896124579725"/>
    <n v="0.38769999999999999"/>
    <n v="1"/>
    <n v="1"/>
    <n v="7.6269686781100687E-2"/>
    <n v="1"/>
    <n v="0.60007078393204738"/>
    <n v="0"/>
    <n v="0.55000000000000004"/>
    <n v="0.4"/>
    <n v="0"/>
    <n v="1"/>
    <n v="5651"/>
    <s v="Food Security and Livlihoods_x000a_Health _x000a_Protection"/>
    <n v="1"/>
    <s v=""/>
    <s v="Flagged"/>
    <s v=""/>
    <n v="3760"/>
    <s v="Site Management "/>
    <n v="0.66536896124579725"/>
    <n v="1891"/>
    <n v="0.50292553191489364"/>
    <s v="Flagged"/>
    <n v="3391"/>
    <s v="Shelter NFI "/>
    <n v="0.60007078393204738"/>
    <n v="2260"/>
    <n v="0.66647006782659979"/>
    <s v="Flagged"/>
    <s v=""/>
    <s v=""/>
    <n v="5651"/>
    <m/>
    <m/>
    <n v="3"/>
    <s v="Flagged"/>
    <n v="5651"/>
    <m/>
    <x v="2"/>
    <x v="0"/>
    <n v="0"/>
    <n v="5651"/>
    <n v="0"/>
  </r>
  <r>
    <s v="IDPsSD07106"/>
    <x v="6"/>
    <x v="6"/>
    <x v="85"/>
    <x v="85"/>
    <m/>
    <m/>
    <x v="226"/>
    <x v="1"/>
    <n v="154"/>
    <n v="773.07380000000001"/>
    <n v="1994"/>
    <n v="1994"/>
    <n v="596"/>
    <n v="1994"/>
    <n v="0"/>
    <n v="0"/>
    <n v="1097"/>
    <n v="686"/>
    <n v="0"/>
    <n v="1994"/>
    <n v="7.7231695085255764E-2"/>
    <n v="0.38769999999999999"/>
    <n v="1"/>
    <n v="1"/>
    <n v="0.29889669007021064"/>
    <n v="1"/>
    <n v="0"/>
    <n v="0"/>
    <n v="0.55000000000000004"/>
    <n v="0.35000000000000003"/>
    <n v="0"/>
    <n v="1"/>
    <n v="1994"/>
    <s v="Food Security and Livlihoods_x000a_Health _x000a_Protection"/>
    <n v="1"/>
    <s v="Flagged"/>
    <s v="Flagged"/>
    <s v=""/>
    <n v="773.07380000000001"/>
    <s v="Education"/>
    <n v="0.38769999999999999"/>
    <n v="1220.9261999999999"/>
    <n v="1.5793139025019343"/>
    <s v="Flagged"/>
    <n v="596"/>
    <s v="Nutrition"/>
    <n v="0.29889669007021064"/>
    <n v="1398"/>
    <n v="2.3456375838926173"/>
    <s v="Flagged"/>
    <s v=""/>
    <s v="Flagged"/>
    <n v="1994"/>
    <m/>
    <m/>
    <n v="5"/>
    <s v="Flagged"/>
    <n v="1994"/>
    <m/>
    <x v="2"/>
    <x v="2"/>
    <n v="1994"/>
    <n v="0"/>
    <n v="0"/>
  </r>
  <r>
    <s v="IDPsSD07107"/>
    <x v="6"/>
    <x v="6"/>
    <x v="86"/>
    <x v="86"/>
    <m/>
    <m/>
    <x v="83"/>
    <x v="1"/>
    <n v="1299"/>
    <n v="1576.3881999999999"/>
    <n v="4066"/>
    <n v="4066"/>
    <n v="220"/>
    <n v="4066"/>
    <n v="0"/>
    <n v="0"/>
    <n v="2236"/>
    <n v="1610"/>
    <n v="1219.8"/>
    <n v="4066"/>
    <n v="0.31947860304968029"/>
    <n v="0.38769999999999999"/>
    <n v="1"/>
    <n v="1"/>
    <n v="5.4107230693556323E-2"/>
    <n v="1"/>
    <n v="0"/>
    <n v="0"/>
    <n v="0.55000000000000004"/>
    <n v="0.4"/>
    <n v="0.30000000000000004"/>
    <n v="1"/>
    <n v="4066"/>
    <s v="Food Security and Livlihoods_x000a_Health _x000a_Protection"/>
    <n v="1"/>
    <s v="Flagged"/>
    <s v="Flagged"/>
    <s v=""/>
    <n v="1576.3881999999999"/>
    <s v="Education"/>
    <n v="0.38769999999999999"/>
    <n v="2489.6118000000001"/>
    <n v="1.5793139025019347"/>
    <s v="Flagged"/>
    <n v="1299"/>
    <s v="Site Management "/>
    <n v="0.31947860304968029"/>
    <n v="2767"/>
    <n v="2.130100076982294"/>
    <s v="Flagged"/>
    <s v=""/>
    <s v="Flagged"/>
    <n v="4066"/>
    <m/>
    <m/>
    <n v="5"/>
    <s v="Flagged"/>
    <n v="4066"/>
    <m/>
    <x v="0"/>
    <x v="1"/>
    <n v="0"/>
    <n v="0"/>
    <n v="4066"/>
  </r>
  <r>
    <s v="IDPsSD07108"/>
    <x v="6"/>
    <x v="6"/>
    <x v="87"/>
    <x v="87"/>
    <m/>
    <m/>
    <x v="227"/>
    <x v="1"/>
    <n v="9413"/>
    <n v="6030.2857999999997"/>
    <n v="15554"/>
    <n v="15554"/>
    <n v="4237"/>
    <n v="15554"/>
    <n v="6222"/>
    <n v="17582.241600000001"/>
    <n v="8555"/>
    <n v="6157"/>
    <n v="4666.2"/>
    <n v="15554"/>
    <n v="0.60518194676610515"/>
    <n v="0.38769999999999999"/>
    <n v="1"/>
    <n v="1"/>
    <n v="0.27240581200977243"/>
    <n v="1"/>
    <n v="0.40002571685740002"/>
    <n v="1.1304000000000001"/>
    <n v="0.55000000000000004"/>
    <n v="0.4"/>
    <n v="0.30000000000000004"/>
    <n v="1"/>
    <n v="17582.241600000001"/>
    <s v="WASH"/>
    <n v="1.1304000000000001"/>
    <s v=""/>
    <s v="Flagged"/>
    <s v=""/>
    <n v="15554"/>
    <s v="Food Security and Livlihoods_x000a_Health _x000a_Protection"/>
    <n v="1"/>
    <n v="2028.2416000000012"/>
    <n v="0.13040000000000007"/>
    <s v=""/>
    <n v="9413"/>
    <s v="Site Management "/>
    <n v="0.60518194676610515"/>
    <n v="8169.2416000000012"/>
    <n v="0.86786801232338273"/>
    <s v="Flagged"/>
    <s v=""/>
    <s v=""/>
    <n v="17582.241600000001"/>
    <m/>
    <m/>
    <n v="2"/>
    <s v="Flagged"/>
    <n v="15554"/>
    <m/>
    <x v="2"/>
    <x v="1"/>
    <n v="0"/>
    <n v="0"/>
    <n v="15554"/>
  </r>
  <r>
    <s v="IDPsSD08104"/>
    <x v="7"/>
    <x v="7"/>
    <x v="88"/>
    <x v="88"/>
    <m/>
    <m/>
    <x v="85"/>
    <x v="1"/>
    <n v="32683"/>
    <n v="15994.9512"/>
    <n v="41256"/>
    <n v="41256"/>
    <n v="1730"/>
    <n v="22690.800000000003"/>
    <n v="16502"/>
    <n v="33343.099199999997"/>
    <n v="22691"/>
    <n v="14152"/>
    <n v="20628"/>
    <n v="0"/>
    <n v="0.79219992243552451"/>
    <n v="0.38769999999999999"/>
    <n v="1"/>
    <n v="1"/>
    <n v="4.1933294551095596E-2"/>
    <n v="0.55000000000000004"/>
    <n v="0.39999030444056621"/>
    <n v="0.80819999999999992"/>
    <n v="0.55000000000000004"/>
    <n v="0.35000000000000003"/>
    <n v="0.5"/>
    <n v="0"/>
    <n v="41256"/>
    <s v="Food Security and Livlihoods_x000a_Health "/>
    <n v="1"/>
    <s v=""/>
    <s v="Flagged"/>
    <s v=""/>
    <n v="33343.099199999997"/>
    <s v="WASH"/>
    <n v="0.80819999999999992"/>
    <n v="7912.9008000000031"/>
    <n v="0.23731749566938887"/>
    <s v=""/>
    <n v="32683"/>
    <s v="Site Management "/>
    <n v="0.79219992243552451"/>
    <n v="8573"/>
    <n v="0.2623076216993544"/>
    <s v=""/>
    <s v=""/>
    <s v=""/>
    <n v="41256"/>
    <m/>
    <m/>
    <n v="1"/>
    <s v="Flagged"/>
    <n v="41256"/>
    <m/>
    <x v="1"/>
    <x v="2"/>
    <n v="41256"/>
    <n v="0"/>
    <n v="0"/>
  </r>
  <r>
    <s v="IDPsSD08105"/>
    <x v="7"/>
    <x v="7"/>
    <x v="89"/>
    <x v="89"/>
    <m/>
    <m/>
    <x v="228"/>
    <x v="1"/>
    <n v="13987"/>
    <n v="0"/>
    <n v="49284"/>
    <n v="49284"/>
    <n v="3249"/>
    <n v="27106.2"/>
    <n v="19714"/>
    <n v="37838.283839999996"/>
    <n v="27106"/>
    <n v="19507"/>
    <n v="14785.199999999999"/>
    <n v="0"/>
    <n v="0.28380407434461491"/>
    <n v="0"/>
    <n v="1"/>
    <n v="1"/>
    <n v="6.5924032140248362E-2"/>
    <n v="0.55000000000000004"/>
    <n v="0.40000811622433247"/>
    <n v="0.76775999999999989"/>
    <n v="0.55000000000000004"/>
    <n v="0.4"/>
    <n v="0.30000000000000004"/>
    <n v="0"/>
    <n v="49284"/>
    <s v="Food Security and Livlihoods_x000a_Health "/>
    <n v="1"/>
    <s v=""/>
    <s v="Flagged"/>
    <s v=""/>
    <n v="37838.283839999996"/>
    <s v="WASH"/>
    <n v="0.76775999999999989"/>
    <n v="11445.716160000004"/>
    <n v="0.30249036157132447"/>
    <s v="Flagged"/>
    <n v="27106.2"/>
    <s v="Protection"/>
    <n v="0.55000000000000004"/>
    <n v="22177.8"/>
    <n v="0.81818181818181812"/>
    <s v="Flagged"/>
    <s v=""/>
    <s v=""/>
    <n v="49284"/>
    <m/>
    <m/>
    <n v="3"/>
    <s v="Flagged"/>
    <n v="49284"/>
    <m/>
    <x v="2"/>
    <x v="2"/>
    <n v="49284"/>
    <n v="0"/>
    <n v="0"/>
  </r>
  <r>
    <s v="IDPsSD08106"/>
    <x v="7"/>
    <x v="7"/>
    <x v="90"/>
    <x v="90"/>
    <m/>
    <m/>
    <x v="87"/>
    <x v="1"/>
    <n v="4937"/>
    <n v="7411.2731999999996"/>
    <n v="19116"/>
    <n v="19116"/>
    <n v="1730"/>
    <n v="19116"/>
    <n v="7646"/>
    <n v="16385.470560000002"/>
    <n v="10514"/>
    <n v="6556"/>
    <n v="9558"/>
    <n v="19116"/>
    <n v="0.25826532747436703"/>
    <n v="0.38769999999999999"/>
    <n v="1"/>
    <n v="1"/>
    <n v="9.0500104624398406E-2"/>
    <n v="1"/>
    <n v="0.39997907512031805"/>
    <n v="0.85716000000000003"/>
    <n v="0.55000000000000004"/>
    <n v="0.35000000000000003"/>
    <n v="0.5"/>
    <n v="1"/>
    <n v="19116"/>
    <s v="Food Security and Livlihoods_x000a_Health _x000a_Protection"/>
    <n v="1"/>
    <s v=""/>
    <s v="Flagged"/>
    <s v=""/>
    <n v="16385.470560000002"/>
    <s v="WASH"/>
    <n v="0.85716000000000003"/>
    <n v="2730.5294399999984"/>
    <n v="0.16664333379999055"/>
    <s v=""/>
    <n v="7646"/>
    <s v="Shelter NFI "/>
    <n v="0.39997907512031805"/>
    <n v="11470"/>
    <n v="1.5001307873397856"/>
    <s v="Flagged"/>
    <s v=""/>
    <s v=""/>
    <n v="19116"/>
    <m/>
    <m/>
    <n v="2"/>
    <s v="Flagged"/>
    <n v="19116"/>
    <m/>
    <x v="1"/>
    <x v="0"/>
    <n v="0"/>
    <n v="19116"/>
    <n v="0"/>
  </r>
  <r>
    <s v="IDPsSD08107"/>
    <x v="7"/>
    <x v="7"/>
    <x v="91"/>
    <x v="91"/>
    <m/>
    <m/>
    <x v="229"/>
    <x v="1"/>
    <n v="11020"/>
    <n v="0"/>
    <n v="32755"/>
    <n v="32755"/>
    <n v="2360"/>
    <n v="32755"/>
    <n v="19653"/>
    <n v="21983.845799999996"/>
    <n v="18015"/>
    <n v="12965"/>
    <n v="0"/>
    <n v="32755"/>
    <n v="0.3364371851625706"/>
    <n v="0"/>
    <n v="1"/>
    <n v="1"/>
    <n v="7.2050068691802777E-2"/>
    <n v="1"/>
    <n v="0.6"/>
    <n v="0.67115999999999987"/>
    <n v="0.55000000000000004"/>
    <n v="0.4"/>
    <n v="0"/>
    <n v="1"/>
    <n v="32755"/>
    <s v="Food Security and Livlihoods_x000a_Health _x000a_Protection"/>
    <n v="1"/>
    <s v=""/>
    <s v="Flagged"/>
    <s v=""/>
    <n v="21983.845799999996"/>
    <s v="WASH"/>
    <n v="0.67115999999999987"/>
    <n v="10771.154200000004"/>
    <n v="0.4899576852017406"/>
    <s v="Flagged"/>
    <n v="19653"/>
    <s v="Shelter NFI "/>
    <n v="0.6"/>
    <n v="13102"/>
    <n v="0.66666666666666663"/>
    <s v="Flagged"/>
    <s v=""/>
    <s v=""/>
    <n v="32755"/>
    <m/>
    <m/>
    <n v="3"/>
    <s v="Flagged"/>
    <n v="32755"/>
    <m/>
    <x v="2"/>
    <x v="2"/>
    <n v="32755"/>
    <n v="0"/>
    <n v="0"/>
  </r>
  <r>
    <s v="IDPsSD08108"/>
    <x v="7"/>
    <x v="7"/>
    <x v="92"/>
    <x v="92"/>
    <m/>
    <m/>
    <x v="89"/>
    <x v="1"/>
    <n v="15272"/>
    <n v="0"/>
    <n v="16752"/>
    <n v="16752"/>
    <n v="1203"/>
    <n v="9213.6"/>
    <n v="6701"/>
    <n v="20102.399999999998"/>
    <n v="9214"/>
    <n v="5748"/>
    <n v="5025.5999999999995"/>
    <n v="0"/>
    <n v="0.91165234001910223"/>
    <n v="0"/>
    <n v="1"/>
    <n v="1"/>
    <n v="7.1812320916905439E-2"/>
    <n v="0.55000000000000004"/>
    <n v="0.40001193887297037"/>
    <n v="1.2"/>
    <n v="0.55000000000000004"/>
    <n v="0.35000000000000003"/>
    <n v="0.30000000000000004"/>
    <n v="0"/>
    <n v="20102.399999999998"/>
    <s v="WASH"/>
    <n v="1.2"/>
    <s v=""/>
    <s v="Flagged"/>
    <s v=""/>
    <n v="16752"/>
    <s v="Food Security and Livlihoods_x000a_Health "/>
    <n v="1"/>
    <n v="3350.3999999999978"/>
    <n v="0.19999999999999987"/>
    <s v=""/>
    <n v="15272"/>
    <s v="Site Management "/>
    <n v="0.91165234001910223"/>
    <n v="4830.3999999999978"/>
    <n v="0.31629125196437913"/>
    <s v=""/>
    <s v=""/>
    <s v=""/>
    <n v="20102.399999999998"/>
    <m/>
    <m/>
    <n v="1"/>
    <s v="Flagged"/>
    <n v="16752"/>
    <m/>
    <x v="2"/>
    <x v="2"/>
    <n v="16752"/>
    <n v="0"/>
    <n v="0"/>
  </r>
  <r>
    <s v="IDPsSD08109"/>
    <x v="7"/>
    <x v="7"/>
    <x v="93"/>
    <x v="93"/>
    <m/>
    <m/>
    <x v="90"/>
    <x v="1"/>
    <n v="2000"/>
    <n v="11406.521699999999"/>
    <n v="29421"/>
    <n v="29421"/>
    <n v="1336"/>
    <n v="29421"/>
    <n v="11768"/>
    <n v="22552.961759999998"/>
    <n v="16182"/>
    <n v="10092"/>
    <n v="14710.5"/>
    <n v="29421"/>
    <n v="6.7978654702423438E-2"/>
    <n v="0.38769999999999999"/>
    <n v="1"/>
    <n v="1"/>
    <n v="4.5409741341218855E-2"/>
    <n v="1"/>
    <n v="0.39998640426905951"/>
    <n v="0.76655999999999991"/>
    <n v="0.55000000000000004"/>
    <n v="0.35000000000000003"/>
    <n v="0.5"/>
    <n v="1"/>
    <n v="29421"/>
    <s v="Food Security and Livlihoods_x000a_Health _x000a_Protection"/>
    <n v="1"/>
    <s v=""/>
    <s v="Flagged"/>
    <s v=""/>
    <n v="22552.961759999998"/>
    <s v="WASH"/>
    <n v="0.76655999999999991"/>
    <n v="6868.0382400000017"/>
    <n v="0.30452932581924452"/>
    <s v="Flagged"/>
    <n v="11768"/>
    <s v="Shelter NFI "/>
    <n v="0.39998640426905951"/>
    <n v="17653"/>
    <n v="1.5000849762066621"/>
    <s v="Flagged"/>
    <s v=""/>
    <s v=""/>
    <n v="29421"/>
    <m/>
    <m/>
    <n v="3"/>
    <s v="Flagged"/>
    <n v="29421"/>
    <m/>
    <x v="1"/>
    <x v="0"/>
    <n v="0"/>
    <n v="29421"/>
    <n v="0"/>
  </r>
  <r>
    <s v="IDPsSD08110"/>
    <x v="7"/>
    <x v="7"/>
    <x v="94"/>
    <x v="94"/>
    <m/>
    <m/>
    <x v="230"/>
    <x v="1"/>
    <n v="859"/>
    <n v="3024.4476999999997"/>
    <n v="7801"/>
    <n v="7801"/>
    <n v="511"/>
    <n v="7801"/>
    <n v="3120"/>
    <n v="4636.6023600000008"/>
    <n v="4291"/>
    <n v="2677"/>
    <n v="0"/>
    <n v="7801"/>
    <n v="0.11011408793744391"/>
    <n v="0.38769999999999999"/>
    <n v="1"/>
    <n v="1"/>
    <n v="6.5504422509934629E-2"/>
    <n v="1"/>
    <n v="0.39994872452249713"/>
    <n v="0.59436000000000011"/>
    <n v="0.55000000000000004"/>
    <n v="0.35000000000000003"/>
    <n v="0"/>
    <n v="1"/>
    <n v="7801"/>
    <s v="Food Security and Livlihoods_x000a_Health _x000a_Protection"/>
    <n v="1"/>
    <s v=""/>
    <s v="Flagged"/>
    <s v=""/>
    <n v="4636.6023600000008"/>
    <s v="WASH"/>
    <n v="0.59436000000000011"/>
    <n v="3164.3976399999992"/>
    <n v="0.68248199744262705"/>
    <s v="Flagged"/>
    <n v="3120"/>
    <s v="Shelter NFI "/>
    <n v="0.39994872452249713"/>
    <n v="4681"/>
    <n v="1.5003205128205128"/>
    <s v="Flagged"/>
    <s v=""/>
    <s v=""/>
    <n v="7801"/>
    <m/>
    <m/>
    <n v="3"/>
    <s v="Flagged"/>
    <n v="7801"/>
    <m/>
    <x v="2"/>
    <x v="1"/>
    <n v="0"/>
    <n v="0"/>
    <n v="7801"/>
  </r>
  <r>
    <s v="IDPsSD09044"/>
    <x v="8"/>
    <x v="8"/>
    <x v="95"/>
    <x v="95"/>
    <m/>
    <m/>
    <x v="231"/>
    <x v="1"/>
    <n v="1545"/>
    <n v="27228.946400000001"/>
    <n v="70232"/>
    <n v="70232"/>
    <n v="4543"/>
    <n v="70232"/>
    <n v="42139"/>
    <n v="53129.103360000001"/>
    <n v="38628"/>
    <n v="27798"/>
    <n v="0"/>
    <n v="70232"/>
    <n v="2.1998519193530016E-2"/>
    <n v="0.38769999999999999"/>
    <n v="1"/>
    <n v="1"/>
    <n v="6.468561339560315E-2"/>
    <n v="1"/>
    <n v="0.59999715229525008"/>
    <n v="0.75648000000000004"/>
    <n v="0.55000000000000004"/>
    <n v="0.4"/>
    <n v="0"/>
    <n v="1"/>
    <n v="70232"/>
    <s v="Food Security and Livlihoods_x000a_Health _x000a_Protection"/>
    <n v="1"/>
    <s v=""/>
    <s v="Flagged"/>
    <s v=""/>
    <n v="53129.103360000001"/>
    <s v="WASH"/>
    <n v="0.75648000000000004"/>
    <n v="17102.896639999999"/>
    <n v="0.32191201353637899"/>
    <s v="Flagged"/>
    <n v="42139"/>
    <s v="Shelter NFI "/>
    <n v="0.59999715229525008"/>
    <n v="28093"/>
    <n v="0.66667457699518262"/>
    <s v="Flagged"/>
    <s v=""/>
    <s v=""/>
    <n v="70232"/>
    <m/>
    <m/>
    <n v="3"/>
    <s v="Flagged"/>
    <n v="70232"/>
    <m/>
    <x v="2"/>
    <x v="0"/>
    <n v="0"/>
    <n v="70232"/>
    <n v="0"/>
  </r>
  <r>
    <s v="IDPsSD09045"/>
    <x v="8"/>
    <x v="8"/>
    <x v="96"/>
    <x v="96"/>
    <m/>
    <m/>
    <x v="232"/>
    <x v="1"/>
    <n v="625"/>
    <n v="0"/>
    <n v="20065"/>
    <n v="20065"/>
    <n v="735"/>
    <n v="20065"/>
    <n v="8026"/>
    <n v="15308.7924"/>
    <n v="11036"/>
    <n v="7941"/>
    <n v="0"/>
    <n v="20065"/>
    <n v="3.1148766508846251E-2"/>
    <n v="0"/>
    <n v="1"/>
    <n v="1"/>
    <n v="3.6630949414403188E-2"/>
    <n v="1"/>
    <n v="0.4"/>
    <n v="0.76295999999999997"/>
    <n v="0.55000000000000004"/>
    <n v="0.4"/>
    <n v="0"/>
    <n v="1"/>
    <n v="20065"/>
    <s v="Food Security and Livlihoods_x000a_Health _x000a_Protection"/>
    <n v="1"/>
    <s v=""/>
    <s v="Flagged"/>
    <s v=""/>
    <n v="15308.7924"/>
    <s v="WASH"/>
    <n v="0.76295999999999997"/>
    <n v="4756.2075999999997"/>
    <n v="0.31068470168816187"/>
    <s v="Flagged"/>
    <n v="8026"/>
    <s v="Shelter NFI "/>
    <n v="0.4"/>
    <n v="12039"/>
    <n v="1.5"/>
    <s v="Flagged"/>
    <s v=""/>
    <s v=""/>
    <n v="20065"/>
    <m/>
    <m/>
    <n v="3"/>
    <s v="Flagged"/>
    <n v="20065"/>
    <m/>
    <x v="2"/>
    <x v="2"/>
    <n v="20065"/>
    <n v="0"/>
    <n v="0"/>
  </r>
  <r>
    <s v="IDPsSD09046"/>
    <x v="8"/>
    <x v="8"/>
    <x v="97"/>
    <x v="97"/>
    <m/>
    <m/>
    <x v="233"/>
    <x v="1"/>
    <n v="3928"/>
    <n v="0"/>
    <n v="21720"/>
    <n v="21720"/>
    <n v="1477"/>
    <n v="21720"/>
    <n v="8688"/>
    <n v="7123.2911999999997"/>
    <n v="11946"/>
    <n v="8597"/>
    <n v="0"/>
    <n v="21720"/>
    <n v="0.18084714548802946"/>
    <n v="0"/>
    <n v="1"/>
    <n v="1"/>
    <n v="6.8001841620626155E-2"/>
    <n v="1"/>
    <n v="0.4"/>
    <n v="0.32795999999999997"/>
    <n v="0.55000000000000004"/>
    <n v="0.4"/>
    <n v="0"/>
    <n v="1"/>
    <n v="21720"/>
    <s v="Food Security and Livlihoods_x000a_Health _x000a_Protection"/>
    <n v="1"/>
    <s v=""/>
    <s v="Flagged"/>
    <s v=""/>
    <n v="8688"/>
    <s v="Shelter NFI "/>
    <n v="0.4"/>
    <n v="13032"/>
    <n v="1.5"/>
    <s v="Flagged"/>
    <n v="7123.2911999999997"/>
    <s v="WASH"/>
    <n v="0.32795999999999997"/>
    <n v="14596.7088"/>
    <n v="2.0491523356506893"/>
    <s v="Flagged"/>
    <s v=""/>
    <s v=""/>
    <n v="21720"/>
    <m/>
    <m/>
    <n v="3"/>
    <s v="Flagged"/>
    <n v="21720"/>
    <m/>
    <x v="2"/>
    <x v="2"/>
    <n v="21720"/>
    <n v="0"/>
    <n v="0"/>
  </r>
  <r>
    <s v="IDPsSD09047"/>
    <x v="8"/>
    <x v="8"/>
    <x v="98"/>
    <x v="98"/>
    <m/>
    <m/>
    <x v="95"/>
    <x v="1"/>
    <n v="1923"/>
    <n v="0"/>
    <n v="21256"/>
    <n v="21256"/>
    <n v="2195"/>
    <n v="21256"/>
    <n v="8502"/>
    <n v="13312.20768"/>
    <n v="11691"/>
    <n v="8413"/>
    <n v="0"/>
    <n v="21256"/>
    <n v="9.0468573579224693E-2"/>
    <n v="0"/>
    <n v="1"/>
    <n v="1"/>
    <n v="0.10326496048174633"/>
    <n v="1"/>
    <n v="0.39998118178396685"/>
    <n v="0.62627999999999995"/>
    <n v="0.55000000000000004"/>
    <n v="0.4"/>
    <n v="0"/>
    <n v="1"/>
    <n v="21256"/>
    <s v="Food Security and Livlihoods_x000a_Health _x000a_Protection"/>
    <n v="1"/>
    <s v=""/>
    <s v="Flagged"/>
    <s v=""/>
    <n v="13312.20768"/>
    <s v="WASH"/>
    <n v="0.62627999999999995"/>
    <n v="7943.7923200000005"/>
    <n v="0.59672989717059466"/>
    <s v="Flagged"/>
    <n v="8502"/>
    <s v="Shelter NFI "/>
    <n v="0.39998118178396685"/>
    <n v="12754"/>
    <n v="1.5001176193836745"/>
    <s v="Flagged"/>
    <s v=""/>
    <s v=""/>
    <n v="21256"/>
    <m/>
    <m/>
    <n v="3"/>
    <s v="Flagged"/>
    <n v="21256"/>
    <m/>
    <x v="2"/>
    <x v="2"/>
    <n v="21256"/>
    <n v="0"/>
    <n v="0"/>
  </r>
  <r>
    <s v="IDPsSD09048"/>
    <x v="8"/>
    <x v="8"/>
    <x v="99"/>
    <x v="99"/>
    <m/>
    <m/>
    <x v="96"/>
    <x v="1"/>
    <n v="322"/>
    <n v="0"/>
    <n v="19986"/>
    <n v="19986"/>
    <n v="1095"/>
    <n v="19986"/>
    <n v="7994"/>
    <n v="20831.807519999998"/>
    <n v="10992"/>
    <n v="7911"/>
    <n v="0"/>
    <n v="19986"/>
    <n v="1.6111277894526169E-2"/>
    <n v="0"/>
    <n v="1"/>
    <n v="1"/>
    <n v="5.4788351846292403E-2"/>
    <n v="1"/>
    <n v="0.39997998599019313"/>
    <n v="1.0423199999999999"/>
    <n v="0.55000000000000004"/>
    <n v="0.4"/>
    <n v="0"/>
    <n v="1"/>
    <n v="20831.807519999998"/>
    <s v="WASH"/>
    <n v="1.0423199999999999"/>
    <s v=""/>
    <s v="Flagged"/>
    <s v=""/>
    <n v="19986"/>
    <s v="Food Security and Livlihoods_x000a_Health _x000a_Protection"/>
    <n v="1"/>
    <n v="845.80751999999848"/>
    <n v="4.2319999999999927E-2"/>
    <s v=""/>
    <n v="7994"/>
    <s v="Shelter NFI "/>
    <n v="0.39997998599019313"/>
    <n v="12837.807519999998"/>
    <n v="1.6059303877908429"/>
    <s v="Flagged"/>
    <s v=""/>
    <s v=""/>
    <n v="20831.807519999998"/>
    <m/>
    <m/>
    <n v="2"/>
    <s v="Flagged"/>
    <n v="19986"/>
    <m/>
    <x v="1"/>
    <x v="2"/>
    <n v="19986"/>
    <n v="0"/>
    <n v="0"/>
  </r>
  <r>
    <s v="IDPsSD09049"/>
    <x v="8"/>
    <x v="8"/>
    <x v="100"/>
    <x v="100"/>
    <m/>
    <m/>
    <x v="234"/>
    <x v="1"/>
    <n v="42691"/>
    <n v="19538.141499999998"/>
    <n v="50395"/>
    <n v="50395"/>
    <n v="4268"/>
    <n v="50395"/>
    <n v="30237"/>
    <n v="55690.506600000008"/>
    <n v="27717"/>
    <n v="19946"/>
    <n v="0"/>
    <n v="50395"/>
    <n v="0.84712769123921028"/>
    <n v="0.38769999999999993"/>
    <n v="1"/>
    <n v="1"/>
    <n v="8.4690941561662861E-2"/>
    <n v="1"/>
    <n v="0.6"/>
    <n v="1.1050800000000001"/>
    <n v="0.55000000000000004"/>
    <n v="0.4"/>
    <n v="0"/>
    <n v="1"/>
    <n v="55690.506600000008"/>
    <s v="WASH"/>
    <n v="1.1050800000000001"/>
    <s v=""/>
    <s v="Flagged"/>
    <s v=""/>
    <n v="50395"/>
    <s v="Food Security and Livlihoods_x000a_Health _x000a_Protection"/>
    <n v="1"/>
    <n v="5295.5066000000079"/>
    <n v="0.10508000000000016"/>
    <s v=""/>
    <n v="42691"/>
    <s v="Site Management "/>
    <n v="0.84712769123921028"/>
    <n v="12999.506600000008"/>
    <n v="0.30450227448408346"/>
    <s v=""/>
    <s v=""/>
    <s v=""/>
    <n v="55690.506600000008"/>
    <m/>
    <m/>
    <n v="1"/>
    <s v="Flagged"/>
    <n v="50395"/>
    <m/>
    <x v="0"/>
    <x v="0"/>
    <n v="0"/>
    <n v="50395"/>
    <n v="0"/>
  </r>
  <r>
    <s v="IDPsSD09050"/>
    <x v="8"/>
    <x v="8"/>
    <x v="101"/>
    <x v="101"/>
    <m/>
    <m/>
    <x v="235"/>
    <x v="1"/>
    <n v="827"/>
    <n v="0"/>
    <n v="29922"/>
    <n v="29922"/>
    <n v="1375"/>
    <n v="29922"/>
    <n v="11969"/>
    <n v="9220.7635199999986"/>
    <n v="16457"/>
    <n v="11842"/>
    <n v="0"/>
    <n v="29922"/>
    <n v="2.7638526836441413E-2"/>
    <n v="0"/>
    <n v="1"/>
    <n v="1"/>
    <n v="4.595281064099993E-2"/>
    <n v="1"/>
    <n v="0.40000668404518414"/>
    <n v="0.30815999999999993"/>
    <n v="0.55000000000000004"/>
    <n v="0.4"/>
    <n v="0"/>
    <n v="1"/>
    <n v="29922"/>
    <s v="Food Security and Livlihoods_x000a_Health _x000a_Protection"/>
    <n v="1"/>
    <s v=""/>
    <s v="Flagged"/>
    <s v=""/>
    <n v="11969"/>
    <s v="Shelter NFI "/>
    <n v="0.40000668404518414"/>
    <n v="17953"/>
    <n v="1.4999582254156572"/>
    <s v="Flagged"/>
    <n v="9220.7635199999986"/>
    <s v="WASH"/>
    <n v="0.30815999999999993"/>
    <n v="20701.23648"/>
    <n v="2.2450674974039462"/>
    <s v="Flagged"/>
    <s v=""/>
    <s v=""/>
    <n v="29922"/>
    <m/>
    <m/>
    <n v="3"/>
    <s v="Flagged"/>
    <n v="29922"/>
    <m/>
    <x v="0"/>
    <x v="2"/>
    <n v="29922"/>
    <n v="0"/>
    <n v="0"/>
  </r>
  <r>
    <s v="IDPsSD09051"/>
    <x v="8"/>
    <x v="8"/>
    <x v="102"/>
    <x v="102"/>
    <m/>
    <m/>
    <x v="236"/>
    <x v="1"/>
    <n v="64900"/>
    <n v="36053.386099999996"/>
    <n v="92993"/>
    <n v="92993"/>
    <n v="8835"/>
    <n v="92993"/>
    <n v="55796"/>
    <n v="68349.854999999996"/>
    <n v="51146"/>
    <n v="36806"/>
    <n v="0"/>
    <n v="92993"/>
    <n v="0.69790199262310071"/>
    <n v="0.38769999999999993"/>
    <n v="1"/>
    <n v="1"/>
    <n v="9.5007151075887433E-2"/>
    <n v="1"/>
    <n v="0.60000215069951501"/>
    <n v="0.73499999999999999"/>
    <n v="0.55000000000000004"/>
    <n v="0.4"/>
    <n v="0"/>
    <n v="1"/>
    <n v="92993"/>
    <s v="Food Security and Livlihoods_x000a_Health _x000a_Protection"/>
    <n v="1"/>
    <s v=""/>
    <s v="Flagged"/>
    <s v=""/>
    <n v="68349.854999999996"/>
    <s v="WASH"/>
    <n v="0.73499999999999999"/>
    <n v="24643.145000000004"/>
    <n v="0.3605442176870749"/>
    <s v="Flagged"/>
    <n v="64900"/>
    <s v="Site Management "/>
    <n v="0.69790199262310071"/>
    <n v="28093"/>
    <n v="0.43286594761171032"/>
    <s v=""/>
    <s v=""/>
    <s v=""/>
    <n v="92993"/>
    <m/>
    <m/>
    <n v="2"/>
    <s v="Flagged"/>
    <n v="92993"/>
    <m/>
    <x v="2"/>
    <x v="0"/>
    <n v="0"/>
    <n v="92993"/>
    <n v="0"/>
  </r>
  <r>
    <s v="IDPsSD09052"/>
    <x v="8"/>
    <x v="8"/>
    <x v="103"/>
    <x v="103"/>
    <m/>
    <m/>
    <x v="237"/>
    <x v="1"/>
    <n v="0"/>
    <n v="0"/>
    <n v="4085"/>
    <n v="4085"/>
    <n v="349"/>
    <n v="4085"/>
    <n v="0"/>
    <n v="4142.1900000000005"/>
    <n v="2247"/>
    <n v="1402"/>
    <n v="0"/>
    <n v="4085"/>
    <n v="0"/>
    <n v="0"/>
    <n v="1"/>
    <n v="1"/>
    <n v="8.5434516523867812E-2"/>
    <n v="1"/>
    <n v="0"/>
    <n v="1.0140000000000002"/>
    <n v="0.55000000000000004"/>
    <n v="0.35000000000000003"/>
    <n v="0"/>
    <n v="1"/>
    <n v="4142.1900000000005"/>
    <s v="WASH"/>
    <n v="1.0140000000000002"/>
    <s v="Flagged"/>
    <s v="Flagged"/>
    <s v=""/>
    <n v="4085"/>
    <s v="Food Security and Livlihoods_x000a_Health _x000a_Protection"/>
    <n v="1"/>
    <n v="57.190000000000509"/>
    <n v="1.4000000000000125E-2"/>
    <s v=""/>
    <n v="349"/>
    <s v="Nutrition"/>
    <n v="8.5434516523867812E-2"/>
    <n v="3793.1900000000005"/>
    <n v="10.868739255014328"/>
    <s v="Flagged"/>
    <s v=""/>
    <s v=""/>
    <n v="4142.1900000000005"/>
    <m/>
    <m/>
    <n v="3"/>
    <s v="Flagged"/>
    <n v="4085"/>
    <m/>
    <x v="2"/>
    <x v="2"/>
    <n v="4085"/>
    <n v="0"/>
    <n v="0"/>
  </r>
  <r>
    <s v="IDPsSD10063"/>
    <x v="9"/>
    <x v="9"/>
    <x v="104"/>
    <x v="104"/>
    <m/>
    <m/>
    <x v="101"/>
    <x v="1"/>
    <n v="150"/>
    <n v="126.0025"/>
    <n v="325"/>
    <n v="325"/>
    <n v="56"/>
    <n v="325"/>
    <n v="0"/>
    <n v="0"/>
    <n v="179"/>
    <n v="0"/>
    <n v="0"/>
    <n v="325"/>
    <n v="0.46153846153846156"/>
    <n v="0.38769999999999999"/>
    <n v="1"/>
    <n v="1"/>
    <n v="0.1723076923076923"/>
    <n v="1"/>
    <n v="0"/>
    <n v="0"/>
    <n v="0.55000000000000004"/>
    <n v="0"/>
    <n v="0"/>
    <n v="1"/>
    <n v="325"/>
    <s v="Food Security and Livlihoods_x000a_Health _x000a_Protection"/>
    <n v="1"/>
    <s v="Flagged"/>
    <s v="Flagged"/>
    <s v=""/>
    <n v="150"/>
    <s v="Site Management "/>
    <n v="0.46153846153846156"/>
    <n v="175"/>
    <n v="1.1666666666666667"/>
    <s v="Flagged"/>
    <n v="126.0025"/>
    <s v="Education"/>
    <n v="0.38769999999999999"/>
    <n v="198.9975"/>
    <n v="1.5793139025019345"/>
    <s v="Flagged"/>
    <s v=""/>
    <s v=""/>
    <n v="325"/>
    <m/>
    <m/>
    <n v="4"/>
    <s v="Flagged"/>
    <n v="325"/>
    <m/>
    <x v="2"/>
    <x v="2"/>
    <n v="325"/>
    <n v="0"/>
    <n v="0"/>
  </r>
  <r>
    <s v="IDPsSD10064"/>
    <x v="9"/>
    <x v="9"/>
    <x v="105"/>
    <x v="105"/>
    <m/>
    <m/>
    <x v="238"/>
    <x v="1"/>
    <n v="4367"/>
    <n v="44288.909500000002"/>
    <n v="114235"/>
    <n v="114235"/>
    <n v="6637"/>
    <n v="114235"/>
    <n v="68541"/>
    <n v="61810.273799999995"/>
    <n v="62829"/>
    <n v="45215"/>
    <n v="0"/>
    <n v="114235"/>
    <n v="3.8228213769860374E-2"/>
    <n v="0.38769999999999999"/>
    <n v="1"/>
    <n v="1"/>
    <n v="5.8099531667177309E-2"/>
    <n v="1"/>
    <n v="0.6"/>
    <n v="0.54108000000000001"/>
    <n v="0.55000000000000004"/>
    <n v="0.4"/>
    <n v="0"/>
    <n v="1"/>
    <n v="114235"/>
    <s v="Food Security and Livlihoods_x000a_Health _x000a_Protection"/>
    <n v="1"/>
    <s v=""/>
    <s v="Flagged"/>
    <s v=""/>
    <n v="68541"/>
    <s v="Shelter NFI "/>
    <n v="0.6"/>
    <n v="45694"/>
    <n v="0.66666666666666663"/>
    <s v="Flagged"/>
    <n v="61810.273799999995"/>
    <s v="WASH"/>
    <n v="0.54108000000000001"/>
    <n v="52424.726200000005"/>
    <n v="0.84815554077031141"/>
    <s v="Flagged"/>
    <s v=""/>
    <s v="Flagged"/>
    <n v="114235"/>
    <m/>
    <m/>
    <n v="4"/>
    <s v="Flagged"/>
    <n v="114235"/>
    <m/>
    <x v="2"/>
    <x v="2"/>
    <n v="114235"/>
    <n v="0"/>
    <n v="0"/>
  </r>
  <r>
    <s v="IDPsSD10065"/>
    <x v="9"/>
    <x v="9"/>
    <x v="106"/>
    <x v="106"/>
    <m/>
    <m/>
    <x v="239"/>
    <x v="1"/>
    <n v="1000"/>
    <n v="0"/>
    <n v="2350"/>
    <n v="2350"/>
    <n v="453"/>
    <n v="2350"/>
    <n v="0"/>
    <n v="0"/>
    <n v="1293"/>
    <n v="0"/>
    <n v="0"/>
    <n v="2350"/>
    <n v="0.42553191489361702"/>
    <n v="0"/>
    <n v="1"/>
    <n v="1"/>
    <n v="0.19276595744680852"/>
    <n v="1"/>
    <n v="0"/>
    <n v="0"/>
    <n v="0.55000000000000004"/>
    <n v="0"/>
    <n v="0"/>
    <n v="1"/>
    <n v="2350"/>
    <s v="Food Security and Livlihoods_x000a_Health _x000a_Protection"/>
    <n v="1"/>
    <s v="Flagged"/>
    <s v="Flagged"/>
    <s v=""/>
    <n v="1000"/>
    <s v="Site Management "/>
    <n v="0.42553191489361702"/>
    <n v="1350"/>
    <n v="1.35"/>
    <s v="Flagged"/>
    <n v="453"/>
    <s v="Nutrition"/>
    <n v="0.19276595744680852"/>
    <n v="1897"/>
    <n v="4.187637969094923"/>
    <s v="Flagged"/>
    <s v=""/>
    <s v=""/>
    <n v="2350"/>
    <m/>
    <m/>
    <n v="4"/>
    <s v="Flagged"/>
    <n v="2350"/>
    <m/>
    <x v="2"/>
    <x v="2"/>
    <n v="2350"/>
    <n v="0"/>
    <n v="0"/>
  </r>
  <r>
    <s v="IDPsSD10066"/>
    <x v="9"/>
    <x v="9"/>
    <x v="107"/>
    <x v="107"/>
    <m/>
    <m/>
    <x v="34"/>
    <x v="1"/>
    <n v="0"/>
    <n v="0"/>
    <n v="0"/>
    <n v="0"/>
    <n v="0"/>
    <n v="0"/>
    <n v="0"/>
    <n v="0"/>
    <n v="0"/>
    <n v="0"/>
    <n v="0"/>
    <n v="0"/>
    <e v="#DIV/0!"/>
    <e v="#DIV/0!"/>
    <e v="#DIV/0!"/>
    <e v="#DIV/0!"/>
    <e v="#DIV/0!"/>
    <e v="#DIV/0!"/>
    <e v="#DIV/0!"/>
    <e v="#DIV/0!"/>
    <s v=""/>
    <s v=""/>
    <s v=""/>
    <s v=""/>
    <n v="0"/>
    <s v="Site Management _x000a_Education_x000a_Food Security and Livlihoods_x000a_Health _x000a_Nutrition_x000a_Protection_x000a_Shelter NFI _x000a_WASH"/>
    <e v="#DIV/0!"/>
    <s v=""/>
    <s v=""/>
    <s v=""/>
    <s v="NA"/>
    <s v=""/>
    <s v=""/>
    <s v=""/>
    <s v=""/>
    <s v=""/>
    <n v="0"/>
    <s v="Site Management _x000a_Education_x000a_Food Security and Livlihoods_x000a_Health _x000a_Nutrition_x000a_Protection_x000a_Shelter NFI _x000a_WASH"/>
    <s v=""/>
    <n v="0"/>
    <s v=""/>
    <s v=""/>
    <s v=""/>
    <s v=""/>
    <n v="0"/>
    <m/>
    <m/>
    <n v="0"/>
    <s v=""/>
    <n v="0"/>
    <m/>
    <x v="2"/>
    <x v="2"/>
    <n v="0"/>
    <n v="0"/>
    <n v="0"/>
  </r>
  <r>
    <s v="IDPsSD10067"/>
    <x v="9"/>
    <x v="9"/>
    <x v="108"/>
    <x v="108"/>
    <m/>
    <m/>
    <x v="104"/>
    <x v="1"/>
    <n v="0"/>
    <n v="0"/>
    <n v="100"/>
    <n v="100"/>
    <n v="16"/>
    <n v="100"/>
    <n v="0"/>
    <n v="0"/>
    <n v="55"/>
    <n v="0"/>
    <n v="0"/>
    <n v="100"/>
    <n v="0"/>
    <n v="0"/>
    <n v="1"/>
    <n v="1"/>
    <n v="0.16"/>
    <n v="1"/>
    <n v="0"/>
    <n v="0"/>
    <n v="0.55000000000000004"/>
    <n v="0"/>
    <n v="0"/>
    <n v="1"/>
    <n v="100"/>
    <s v="Food Security and Livlihoods_x000a_Health _x000a_Protection"/>
    <n v="1"/>
    <s v="Flagged"/>
    <s v="Flagged"/>
    <s v=""/>
    <n v="16"/>
    <s v="Nutrition"/>
    <n v="0.16"/>
    <n v="84"/>
    <n v="5.25"/>
    <s v="Flagged"/>
    <n v="0"/>
    <s v="Site Management _x000a_Education_x000a_Shelter NFI _x000a_WASH"/>
    <n v="0"/>
    <n v="100"/>
    <s v=""/>
    <s v=""/>
    <s v=""/>
    <s v=""/>
    <n v="100"/>
    <m/>
    <m/>
    <n v="3"/>
    <s v="Flagged"/>
    <n v="100"/>
    <m/>
    <x v="2"/>
    <x v="2"/>
    <n v="100"/>
    <n v="0"/>
    <n v="0"/>
  </r>
  <r>
    <s v="IDPsSD10068"/>
    <x v="9"/>
    <x v="9"/>
    <x v="109"/>
    <x v="109"/>
    <m/>
    <m/>
    <x v="240"/>
    <x v="1"/>
    <n v="415"/>
    <n v="0"/>
    <n v="1790"/>
    <n v="1790"/>
    <n v="276"/>
    <n v="1790"/>
    <n v="0"/>
    <n v="0"/>
    <n v="985"/>
    <n v="0"/>
    <n v="0"/>
    <n v="1790"/>
    <n v="0.23184357541899442"/>
    <n v="0"/>
    <n v="1"/>
    <n v="1"/>
    <n v="0.15418994413407822"/>
    <n v="1"/>
    <n v="0"/>
    <n v="0"/>
    <n v="0.55000000000000004"/>
    <n v="0"/>
    <n v="0"/>
    <n v="1"/>
    <n v="1790"/>
    <s v="Food Security and Livlihoods_x000a_Health _x000a_Protection"/>
    <n v="1"/>
    <s v="Flagged"/>
    <s v="Flagged"/>
    <s v=""/>
    <n v="415"/>
    <s v="Site Management "/>
    <n v="0.23184357541899442"/>
    <n v="1375"/>
    <n v="3.3132530120481927"/>
    <s v="Flagged"/>
    <n v="276"/>
    <s v="Nutrition"/>
    <n v="0.15418994413407822"/>
    <n v="1514"/>
    <n v="5.4855072463768115"/>
    <s v="Flagged"/>
    <s v=""/>
    <s v=""/>
    <n v="1790"/>
    <m/>
    <m/>
    <n v="4"/>
    <s v="Flagged"/>
    <n v="1790"/>
    <m/>
    <x v="2"/>
    <x v="2"/>
    <n v="1790"/>
    <n v="0"/>
    <n v="0"/>
  </r>
  <r>
    <s v="IDPsSD10069"/>
    <x v="9"/>
    <x v="9"/>
    <x v="110"/>
    <x v="110"/>
    <m/>
    <m/>
    <x v="34"/>
    <x v="1"/>
    <n v="0"/>
    <n v="0"/>
    <n v="0"/>
    <n v="0"/>
    <n v="0"/>
    <n v="0"/>
    <n v="0"/>
    <n v="0"/>
    <n v="0"/>
    <n v="0"/>
    <n v="0"/>
    <n v="0"/>
    <e v="#DIV/0!"/>
    <e v="#DIV/0!"/>
    <e v="#DIV/0!"/>
    <e v="#DIV/0!"/>
    <e v="#DIV/0!"/>
    <e v="#DIV/0!"/>
    <e v="#DIV/0!"/>
    <e v="#DIV/0!"/>
    <s v=""/>
    <s v=""/>
    <s v=""/>
    <s v=""/>
    <n v="0"/>
    <s v="Site Management _x000a_Education_x000a_Food Security and Livlihoods_x000a_Health _x000a_Nutrition_x000a_Protection_x000a_Shelter NFI _x000a_WASH"/>
    <e v="#DIV/0!"/>
    <s v=""/>
    <s v=""/>
    <s v=""/>
    <s v="NA"/>
    <s v=""/>
    <s v=""/>
    <s v=""/>
    <s v=""/>
    <s v=""/>
    <n v="0"/>
    <s v="Site Management _x000a_Education_x000a_Food Security and Livlihoods_x000a_Health _x000a_Nutrition_x000a_Protection_x000a_Shelter NFI _x000a_WASH"/>
    <s v=""/>
    <n v="0"/>
    <s v=""/>
    <s v=""/>
    <s v=""/>
    <s v=""/>
    <n v="0"/>
    <m/>
    <m/>
    <n v="0"/>
    <s v=""/>
    <n v="0"/>
    <m/>
    <x v="2"/>
    <x v="2"/>
    <n v="0"/>
    <n v="0"/>
    <n v="0"/>
  </r>
  <r>
    <s v="IDPsSD10070"/>
    <x v="9"/>
    <x v="9"/>
    <x v="111"/>
    <x v="111"/>
    <m/>
    <m/>
    <x v="106"/>
    <x v="1"/>
    <n v="351"/>
    <n v="0"/>
    <n v="2075"/>
    <n v="2075"/>
    <n v="467"/>
    <n v="2075"/>
    <n v="0"/>
    <n v="0"/>
    <n v="1141"/>
    <n v="711"/>
    <n v="0"/>
    <n v="2075"/>
    <n v="0.16915662650602409"/>
    <n v="0"/>
    <n v="1"/>
    <n v="1"/>
    <n v="0.22506024096385543"/>
    <n v="1"/>
    <n v="0"/>
    <n v="0"/>
    <n v="0.55000000000000004"/>
    <n v="0.35000000000000003"/>
    <n v="0"/>
    <n v="1"/>
    <n v="2075"/>
    <s v="Food Security and Livlihoods_x000a_Health _x000a_Protection"/>
    <n v="1"/>
    <s v="Flagged"/>
    <s v="Flagged"/>
    <s v=""/>
    <n v="467"/>
    <s v="Nutrition"/>
    <n v="0.22506024096385543"/>
    <n v="1608"/>
    <n v="3.4432548179871518"/>
    <s v="Flagged"/>
    <n v="351"/>
    <s v="Site Management "/>
    <n v="0.16915662650602409"/>
    <n v="1724"/>
    <n v="4.9116809116809117"/>
    <s v="Flagged"/>
    <s v=""/>
    <s v=""/>
    <n v="2075"/>
    <m/>
    <m/>
    <n v="4"/>
    <s v="Flagged"/>
    <n v="2075"/>
    <m/>
    <x v="2"/>
    <x v="2"/>
    <n v="2075"/>
    <n v="0"/>
    <n v="0"/>
  </r>
  <r>
    <s v="IDPsSD10071"/>
    <x v="9"/>
    <x v="9"/>
    <x v="112"/>
    <x v="112"/>
    <m/>
    <m/>
    <x v="241"/>
    <x v="1"/>
    <n v="291"/>
    <n v="0"/>
    <n v="2687"/>
    <n v="2687"/>
    <n v="278"/>
    <n v="2687"/>
    <n v="0"/>
    <n v="0"/>
    <n v="1478"/>
    <n v="922"/>
    <n v="0"/>
    <n v="2687"/>
    <n v="0.10829921845924823"/>
    <n v="0"/>
    <n v="1"/>
    <n v="1"/>
    <n v="0.10346110904354298"/>
    <n v="1"/>
    <n v="0"/>
    <n v="0"/>
    <n v="0.55000000000000004"/>
    <n v="0.35000000000000003"/>
    <n v="0"/>
    <n v="1"/>
    <n v="2687"/>
    <s v="Food Security and Livlihoods_x000a_Health _x000a_Protection"/>
    <n v="1"/>
    <s v="Flagged"/>
    <s v="Flagged"/>
    <s v=""/>
    <n v="291"/>
    <s v="Site Management "/>
    <n v="0.10829921845924823"/>
    <n v="2396"/>
    <n v="8.2336769759450164"/>
    <s v="Flagged"/>
    <n v="278"/>
    <s v="Nutrition"/>
    <n v="0.10346110904354298"/>
    <n v="2409"/>
    <n v="8.6654676258992804"/>
    <s v="Flagged"/>
    <s v=""/>
    <s v=""/>
    <n v="2687"/>
    <m/>
    <m/>
    <n v="4"/>
    <s v="Flagged"/>
    <n v="2687"/>
    <m/>
    <x v="2"/>
    <x v="2"/>
    <n v="2687"/>
    <n v="0"/>
    <n v="0"/>
  </r>
  <r>
    <s v="IDPsSD10072"/>
    <x v="9"/>
    <x v="9"/>
    <x v="113"/>
    <x v="113"/>
    <m/>
    <m/>
    <x v="34"/>
    <x v="1"/>
    <n v="0"/>
    <n v="0"/>
    <n v="0"/>
    <n v="0"/>
    <n v="0"/>
    <n v="0"/>
    <n v="0"/>
    <n v="0"/>
    <n v="0"/>
    <n v="0"/>
    <n v="0"/>
    <n v="0"/>
    <e v="#DIV/0!"/>
    <e v="#DIV/0!"/>
    <e v="#DIV/0!"/>
    <e v="#DIV/0!"/>
    <e v="#DIV/0!"/>
    <e v="#DIV/0!"/>
    <e v="#DIV/0!"/>
    <e v="#DIV/0!"/>
    <s v=""/>
    <s v=""/>
    <s v=""/>
    <s v=""/>
    <n v="0"/>
    <s v="Site Management _x000a_Education_x000a_Food Security and Livlihoods_x000a_Health _x000a_Nutrition_x000a_Protection_x000a_Shelter NFI _x000a_WASH"/>
    <e v="#DIV/0!"/>
    <s v=""/>
    <s v=""/>
    <s v=""/>
    <s v="NA"/>
    <s v=""/>
    <s v=""/>
    <s v=""/>
    <s v=""/>
    <s v=""/>
    <n v="0"/>
    <s v="Site Management _x000a_Education_x000a_Food Security and Livlihoods_x000a_Health _x000a_Nutrition_x000a_Protection_x000a_Shelter NFI _x000a_WASH"/>
    <s v=""/>
    <n v="0"/>
    <s v=""/>
    <s v=""/>
    <s v=""/>
    <s v=""/>
    <n v="0"/>
    <m/>
    <m/>
    <n v="0"/>
    <s v=""/>
    <n v="0"/>
    <m/>
    <x v="2"/>
    <x v="2"/>
    <n v="0"/>
    <n v="0"/>
    <n v="0"/>
  </r>
  <r>
    <s v="IDPsSD11052"/>
    <x v="10"/>
    <x v="10"/>
    <x v="114"/>
    <x v="114"/>
    <m/>
    <m/>
    <x v="242"/>
    <x v="1"/>
    <n v="0"/>
    <n v="12549.849"/>
    <n v="32370"/>
    <n v="32370"/>
    <n v="1869"/>
    <n v="17803.5"/>
    <n v="12948"/>
    <n v="23267.556"/>
    <n v="17804"/>
    <n v="12812"/>
    <n v="0"/>
    <n v="0"/>
    <n v="0"/>
    <n v="0.38769999999999999"/>
    <n v="1"/>
    <n v="1"/>
    <n v="5.7738646895273402E-2"/>
    <n v="0.55000000000000004"/>
    <n v="0.4"/>
    <n v="0.71879999999999999"/>
    <n v="0.55000000000000004"/>
    <n v="0.4"/>
    <n v="0"/>
    <n v="0"/>
    <n v="32370"/>
    <s v="Food Security and Livlihoods_x000a_Health "/>
    <n v="1"/>
    <s v=""/>
    <s v="Flagged"/>
    <s v=""/>
    <n v="23267.556"/>
    <s v="WASH"/>
    <n v="0.71879999999999999"/>
    <n v="9102.4439999999995"/>
    <n v="0.39120756816917079"/>
    <s v="Flagged"/>
    <n v="17803.5"/>
    <s v="Protection"/>
    <n v="0.55000000000000004"/>
    <n v="14566.5"/>
    <n v="0.81818181818181823"/>
    <s v="Flagged"/>
    <s v=""/>
    <s v=""/>
    <n v="32370"/>
    <m/>
    <m/>
    <n v="3"/>
    <s v="Flagged"/>
    <n v="32370"/>
    <m/>
    <x v="2"/>
    <x v="2"/>
    <n v="32370"/>
    <n v="0"/>
    <n v="0"/>
  </r>
  <r>
    <s v="IDPsSD11053"/>
    <x v="10"/>
    <x v="10"/>
    <x v="115"/>
    <x v="115"/>
    <m/>
    <m/>
    <x v="243"/>
    <x v="1"/>
    <n v="310"/>
    <n v="15261.8105"/>
    <n v="39365"/>
    <n v="39365"/>
    <n v="4476"/>
    <n v="21650.75"/>
    <n v="15746"/>
    <n v="15593.263800000001"/>
    <n v="21651"/>
    <n v="15580"/>
    <n v="0"/>
    <n v="0"/>
    <n v="7.8750158770481398E-3"/>
    <n v="0.38769999999999999"/>
    <n v="1"/>
    <n v="1"/>
    <n v="0.11370506795376603"/>
    <n v="0.55000000000000004"/>
    <n v="0.4"/>
    <n v="0.39612000000000003"/>
    <n v="0.55000000000000004"/>
    <n v="0.4"/>
    <n v="0"/>
    <n v="0"/>
    <n v="39365"/>
    <s v="Food Security and Livlihoods_x000a_Health "/>
    <n v="1"/>
    <s v=""/>
    <s v="Flagged"/>
    <s v=""/>
    <n v="21650.75"/>
    <s v="Protection"/>
    <n v="0.55000000000000004"/>
    <n v="17714.25"/>
    <n v="0.81818181818181823"/>
    <s v="Flagged"/>
    <n v="15746"/>
    <s v="Shelter NFI "/>
    <n v="0.4"/>
    <n v="23619"/>
    <n v="1.5"/>
    <s v="Flagged"/>
    <s v=""/>
    <s v=""/>
    <n v="39365"/>
    <m/>
    <m/>
    <n v="3"/>
    <s v="Flagged"/>
    <n v="39365"/>
    <m/>
    <x v="2"/>
    <x v="2"/>
    <n v="39365"/>
    <n v="0"/>
    <n v="0"/>
  </r>
  <r>
    <s v="IDPsSD11054"/>
    <x v="10"/>
    <x v="10"/>
    <x v="116"/>
    <x v="116"/>
    <m/>
    <m/>
    <x v="34"/>
    <x v="1"/>
    <n v="0"/>
    <n v="0"/>
    <n v="0"/>
    <n v="0"/>
    <n v="0"/>
    <n v="0"/>
    <n v="0"/>
    <n v="0"/>
    <n v="0"/>
    <n v="0"/>
    <n v="0"/>
    <n v="0"/>
    <e v="#DIV/0!"/>
    <e v="#DIV/0!"/>
    <e v="#DIV/0!"/>
    <e v="#DIV/0!"/>
    <e v="#DIV/0!"/>
    <e v="#DIV/0!"/>
    <e v="#DIV/0!"/>
    <e v="#DIV/0!"/>
    <s v=""/>
    <s v=""/>
    <s v=""/>
    <s v=""/>
    <n v="0"/>
    <s v="Site Management _x000a_Education_x000a_Food Security and Livlihoods_x000a_Health _x000a_Nutrition_x000a_Protection_x000a_Shelter NFI _x000a_WASH"/>
    <e v="#DIV/0!"/>
    <s v=""/>
    <s v=""/>
    <s v=""/>
    <s v="NA"/>
    <s v=""/>
    <s v=""/>
    <s v=""/>
    <s v=""/>
    <s v=""/>
    <n v="0"/>
    <s v="Site Management _x000a_Education_x000a_Food Security and Livlihoods_x000a_Health _x000a_Nutrition_x000a_Protection_x000a_Shelter NFI _x000a_WASH"/>
    <s v=""/>
    <n v="0"/>
    <s v=""/>
    <s v=""/>
    <s v=""/>
    <s v=""/>
    <n v="0"/>
    <m/>
    <m/>
    <n v="0"/>
    <s v=""/>
    <n v="0"/>
    <m/>
    <x v="2"/>
    <x v="2"/>
    <n v="0"/>
    <n v="0"/>
    <n v="0"/>
  </r>
  <r>
    <s v="IDPsSD11055"/>
    <x v="10"/>
    <x v="10"/>
    <x v="117"/>
    <x v="117"/>
    <m/>
    <m/>
    <x v="110"/>
    <x v="1"/>
    <n v="0"/>
    <n v="267.51299999999998"/>
    <n v="690"/>
    <n v="690"/>
    <n v="113"/>
    <n v="379.50000000000006"/>
    <n v="0"/>
    <n v="0"/>
    <n v="380"/>
    <n v="0"/>
    <n v="0"/>
    <n v="0"/>
    <n v="0"/>
    <n v="0.38769999999999999"/>
    <n v="1"/>
    <n v="1"/>
    <n v="0.16376811594202897"/>
    <n v="0.55000000000000004"/>
    <n v="0"/>
    <n v="0"/>
    <n v="0.55000000000000004"/>
    <n v="0"/>
    <n v="0"/>
    <n v="0"/>
    <n v="690"/>
    <s v="Food Security and Livlihoods_x000a_Health "/>
    <n v="1"/>
    <s v="Flagged"/>
    <s v="Flagged"/>
    <s v=""/>
    <n v="379.50000000000006"/>
    <s v="Protection"/>
    <n v="0.55000000000000004"/>
    <n v="310.49999999999994"/>
    <n v="0.8181818181818179"/>
    <s v="Flagged"/>
    <n v="267.51299999999998"/>
    <s v="Education"/>
    <n v="0.38769999999999999"/>
    <n v="422.48700000000002"/>
    <n v="1.5793139025019347"/>
    <s v="Flagged"/>
    <s v=""/>
    <s v=""/>
    <n v="690"/>
    <m/>
    <m/>
    <n v="4"/>
    <s v="Flagged"/>
    <n v="690"/>
    <m/>
    <x v="2"/>
    <x v="2"/>
    <n v="690"/>
    <n v="0"/>
    <n v="0"/>
  </r>
  <r>
    <s v="IDPsSD11056"/>
    <x v="10"/>
    <x v="10"/>
    <x v="118"/>
    <x v="118"/>
    <m/>
    <m/>
    <x v="244"/>
    <x v="1"/>
    <n v="0"/>
    <n v="0"/>
    <n v="2545"/>
    <n v="2545"/>
    <n v="227"/>
    <n v="1399.75"/>
    <n v="0"/>
    <n v="0"/>
    <n v="1400"/>
    <n v="872"/>
    <n v="0"/>
    <n v="0"/>
    <n v="0"/>
    <n v="0"/>
    <n v="1"/>
    <n v="1"/>
    <n v="8.9194499017681728E-2"/>
    <n v="0.55000000000000004"/>
    <n v="0"/>
    <n v="0"/>
    <n v="0.55000000000000004"/>
    <n v="0.35000000000000003"/>
    <n v="0"/>
    <n v="0"/>
    <n v="2545"/>
    <s v="Food Security and Livlihoods_x000a_Health "/>
    <n v="1"/>
    <s v="Flagged"/>
    <s v="Flagged"/>
    <s v=""/>
    <n v="1399.75"/>
    <s v="Protection"/>
    <n v="0.55000000000000004"/>
    <n v="1145.25"/>
    <n v="0.81818181818181823"/>
    <s v="Flagged"/>
    <n v="227"/>
    <s v="Nutrition"/>
    <n v="8.9194499017681728E-2"/>
    <n v="2318"/>
    <n v="10.211453744493392"/>
    <s v="Flagged"/>
    <s v=""/>
    <s v="Flagged"/>
    <n v="2545"/>
    <m/>
    <m/>
    <n v="5"/>
    <s v="Flagged"/>
    <n v="2545"/>
    <m/>
    <x v="2"/>
    <x v="2"/>
    <n v="2545"/>
    <n v="0"/>
    <n v="0"/>
  </r>
  <r>
    <s v="IDPsSD11057"/>
    <x v="10"/>
    <x v="10"/>
    <x v="119"/>
    <x v="119"/>
    <m/>
    <m/>
    <x v="112"/>
    <x v="1"/>
    <n v="1498"/>
    <n v="1323.9955"/>
    <n v="3415"/>
    <n v="3415"/>
    <n v="243"/>
    <n v="1878.2500000000002"/>
    <n v="1366"/>
    <n v="0"/>
    <n v="1878"/>
    <n v="1171"/>
    <n v="0"/>
    <n v="0"/>
    <n v="0.43865300146412883"/>
    <n v="0.38769999999999999"/>
    <n v="1"/>
    <n v="1"/>
    <n v="7.1156661786237183E-2"/>
    <n v="0.55000000000000004"/>
    <n v="0.4"/>
    <n v="0"/>
    <n v="0.55000000000000004"/>
    <n v="0.35000000000000003"/>
    <n v="0"/>
    <n v="0"/>
    <n v="3415"/>
    <s v="Food Security and Livlihoods_x000a_Health "/>
    <n v="1"/>
    <s v=""/>
    <s v="Flagged"/>
    <s v=""/>
    <n v="1878.2500000000002"/>
    <s v="Protection"/>
    <n v="0.55000000000000004"/>
    <n v="1536.7499999999998"/>
    <n v="0.81818181818181801"/>
    <s v="Flagged"/>
    <n v="1498"/>
    <s v="Site Management "/>
    <n v="0.43865300146412883"/>
    <n v="1917"/>
    <n v="1.2797062750333779"/>
    <s v="Flagged"/>
    <s v=""/>
    <s v=""/>
    <n v="3415"/>
    <m/>
    <m/>
    <n v="3"/>
    <s v="Flagged"/>
    <n v="3415"/>
    <m/>
    <x v="2"/>
    <x v="0"/>
    <n v="0"/>
    <n v="3415"/>
    <n v="0"/>
  </r>
  <r>
    <s v="IDPsSD11058"/>
    <x v="10"/>
    <x v="10"/>
    <x v="120"/>
    <x v="120"/>
    <m/>
    <m/>
    <x v="34"/>
    <x v="1"/>
    <n v="0"/>
    <n v="0"/>
    <n v="0"/>
    <n v="0"/>
    <n v="0"/>
    <n v="0"/>
    <n v="0"/>
    <n v="0"/>
    <n v="0"/>
    <n v="0"/>
    <n v="0"/>
    <n v="0"/>
    <e v="#DIV/0!"/>
    <e v="#DIV/0!"/>
    <e v="#DIV/0!"/>
    <e v="#DIV/0!"/>
    <e v="#DIV/0!"/>
    <e v="#DIV/0!"/>
    <e v="#DIV/0!"/>
    <e v="#DIV/0!"/>
    <s v=""/>
    <s v=""/>
    <s v=""/>
    <s v=""/>
    <n v="0"/>
    <s v="Site Management _x000a_Education_x000a_Food Security and Livlihoods_x000a_Health _x000a_Nutrition_x000a_Protection_x000a_Shelter NFI _x000a_WASH"/>
    <e v="#DIV/0!"/>
    <s v=""/>
    <s v=""/>
    <s v=""/>
    <s v="NA"/>
    <s v=""/>
    <s v=""/>
    <s v=""/>
    <s v=""/>
    <s v=""/>
    <n v="0"/>
    <s v="Site Management _x000a_Education_x000a_Food Security and Livlihoods_x000a_Health _x000a_Nutrition_x000a_Protection_x000a_Shelter NFI _x000a_WASH"/>
    <s v=""/>
    <n v="0"/>
    <s v=""/>
    <s v=""/>
    <s v=""/>
    <s v=""/>
    <n v="0"/>
    <m/>
    <m/>
    <n v="0"/>
    <s v=""/>
    <n v="0"/>
    <m/>
    <x v="2"/>
    <x v="0"/>
    <n v="0"/>
    <n v="0"/>
    <n v="0"/>
  </r>
  <r>
    <s v="IDPsSD11059"/>
    <x v="10"/>
    <x v="10"/>
    <x v="121"/>
    <x v="121"/>
    <m/>
    <m/>
    <x v="113"/>
    <x v="1"/>
    <n v="1000"/>
    <n v="719.18349999999998"/>
    <n v="1855"/>
    <n v="1855"/>
    <n v="231"/>
    <n v="1020.2500000000001"/>
    <n v="742"/>
    <n v="0"/>
    <n v="1020"/>
    <n v="0"/>
    <n v="0"/>
    <n v="0"/>
    <n v="0.53908355795148244"/>
    <n v="0.38769999999999999"/>
    <n v="1"/>
    <n v="1"/>
    <n v="0.12452830188679245"/>
    <n v="0.55000000000000004"/>
    <n v="0.4"/>
    <n v="0"/>
    <n v="0.55000000000000004"/>
    <n v="0"/>
    <n v="0"/>
    <n v="0"/>
    <n v="1855"/>
    <s v="Food Security and Livlihoods_x000a_Health "/>
    <n v="1"/>
    <s v=""/>
    <s v="Flagged"/>
    <s v=""/>
    <n v="1020.2500000000001"/>
    <s v="Protection"/>
    <n v="0.55000000000000004"/>
    <n v="834.74999999999989"/>
    <n v="0.81818181818181801"/>
    <s v="Flagged"/>
    <n v="1000"/>
    <s v="Site Management "/>
    <n v="0.53908355795148244"/>
    <n v="855"/>
    <n v="0.85499999999999998"/>
    <s v="Flagged"/>
    <s v=""/>
    <s v=""/>
    <n v="1855"/>
    <m/>
    <m/>
    <n v="3"/>
    <s v="Flagged"/>
    <n v="1855"/>
    <m/>
    <x v="2"/>
    <x v="2"/>
    <n v="1855"/>
    <n v="0"/>
    <n v="0"/>
  </r>
  <r>
    <s v="IDPsSD11060"/>
    <x v="10"/>
    <x v="10"/>
    <x v="122"/>
    <x v="122"/>
    <m/>
    <m/>
    <x v="245"/>
    <x v="1"/>
    <n v="0"/>
    <n v="0"/>
    <n v="7729"/>
    <n v="7729"/>
    <n v="296"/>
    <n v="4250.9500000000007"/>
    <n v="0"/>
    <n v="0"/>
    <n v="4251"/>
    <n v="2652"/>
    <n v="0"/>
    <n v="0"/>
    <n v="0"/>
    <n v="0"/>
    <n v="1"/>
    <n v="1"/>
    <n v="3.829732177513262E-2"/>
    <n v="0.55000000000000004"/>
    <n v="0"/>
    <n v="0"/>
    <n v="0.55000000000000004"/>
    <n v="0.35000000000000003"/>
    <n v="0"/>
    <n v="0"/>
    <n v="7729"/>
    <s v="Food Security and Livlihoods_x000a_Health "/>
    <n v="1"/>
    <s v="Flagged"/>
    <s v="Flagged"/>
    <s v=""/>
    <n v="4250.9500000000007"/>
    <s v="Protection"/>
    <n v="0.55000000000000004"/>
    <n v="3478.0499999999993"/>
    <n v="0.8181818181818179"/>
    <s v="Flagged"/>
    <n v="296"/>
    <s v="Nutrition"/>
    <n v="3.829732177513262E-2"/>
    <n v="7433"/>
    <n v="25.111486486486488"/>
    <s v="Flagged"/>
    <s v=""/>
    <s v=""/>
    <n v="7729"/>
    <m/>
    <m/>
    <n v="4"/>
    <s v="Flagged"/>
    <n v="7729"/>
    <m/>
    <x v="2"/>
    <x v="2"/>
    <n v="7729"/>
    <n v="0"/>
    <n v="0"/>
  </r>
  <r>
    <s v="IDPsSD11061"/>
    <x v="10"/>
    <x v="10"/>
    <x v="123"/>
    <x v="123"/>
    <m/>
    <m/>
    <x v="34"/>
    <x v="1"/>
    <n v="0"/>
    <n v="0"/>
    <n v="0"/>
    <n v="0"/>
    <n v="0"/>
    <n v="0"/>
    <n v="0"/>
    <n v="0"/>
    <n v="0"/>
    <n v="0"/>
    <n v="0"/>
    <n v="0"/>
    <e v="#DIV/0!"/>
    <e v="#DIV/0!"/>
    <e v="#DIV/0!"/>
    <e v="#DIV/0!"/>
    <e v="#DIV/0!"/>
    <e v="#DIV/0!"/>
    <e v="#DIV/0!"/>
    <e v="#DIV/0!"/>
    <s v=""/>
    <s v=""/>
    <s v=""/>
    <s v=""/>
    <n v="0"/>
    <s v="Site Management _x000a_Education_x000a_Food Security and Livlihoods_x000a_Health _x000a_Nutrition_x000a_Protection_x000a_Shelter NFI _x000a_WASH"/>
    <e v="#DIV/0!"/>
    <s v=""/>
    <s v=""/>
    <s v=""/>
    <s v="NA"/>
    <s v=""/>
    <s v=""/>
    <s v=""/>
    <s v=""/>
    <s v=""/>
    <n v="0"/>
    <s v="Site Management _x000a_Education_x000a_Food Security and Livlihoods_x000a_Health _x000a_Nutrition_x000a_Protection_x000a_Shelter NFI _x000a_WASH"/>
    <s v=""/>
    <n v="0"/>
    <s v=""/>
    <s v=""/>
    <s v=""/>
    <s v=""/>
    <n v="0"/>
    <m/>
    <m/>
    <n v="0"/>
    <s v=""/>
    <n v="0"/>
    <m/>
    <x v="2"/>
    <x v="2"/>
    <n v="0"/>
    <n v="0"/>
    <n v="0"/>
  </r>
  <r>
    <s v="IDPsSD11062"/>
    <x v="10"/>
    <x v="10"/>
    <x v="124"/>
    <x v="124"/>
    <m/>
    <m/>
    <x v="116"/>
    <x v="1"/>
    <n v="0"/>
    <n v="926.99069999999995"/>
    <n v="2391"/>
    <n v="2391"/>
    <n v="241"/>
    <n v="1315.0500000000002"/>
    <n v="0"/>
    <n v="0"/>
    <n v="1315"/>
    <n v="821"/>
    <n v="0"/>
    <n v="0"/>
    <n v="0"/>
    <n v="0.38769999999999999"/>
    <n v="1"/>
    <n v="1"/>
    <n v="0.10079464659138436"/>
    <n v="0.55000000000000004"/>
    <n v="0"/>
    <n v="0"/>
    <n v="0.55000000000000004"/>
    <n v="0.35000000000000003"/>
    <n v="0"/>
    <n v="0"/>
    <n v="2391"/>
    <s v="Food Security and Livlihoods_x000a_Health "/>
    <n v="1"/>
    <s v="Flagged"/>
    <s v="Flagged"/>
    <s v=""/>
    <n v="1315.0500000000002"/>
    <s v="Protection"/>
    <n v="0.55000000000000004"/>
    <n v="1075.9499999999998"/>
    <n v="0.8181818181818179"/>
    <s v="Flagged"/>
    <n v="926.99069999999995"/>
    <s v="Education"/>
    <n v="0.38769999999999999"/>
    <n v="1464.0093000000002"/>
    <n v="1.5793139025019347"/>
    <s v="Flagged"/>
    <s v=""/>
    <s v=""/>
    <n v="2391"/>
    <m/>
    <m/>
    <n v="4"/>
    <s v="Flagged"/>
    <n v="2391"/>
    <m/>
    <x v="2"/>
    <x v="2"/>
    <n v="2391"/>
    <n v="0"/>
    <n v="0"/>
  </r>
  <r>
    <s v="IDPsSD12073"/>
    <x v="11"/>
    <x v="11"/>
    <x v="125"/>
    <x v="125"/>
    <m/>
    <m/>
    <x v="117"/>
    <x v="1"/>
    <n v="0"/>
    <n v="0"/>
    <n v="2966"/>
    <n v="2966"/>
    <n v="272"/>
    <n v="2966"/>
    <n v="0"/>
    <n v="0"/>
    <n v="1631"/>
    <n v="1017"/>
    <n v="0"/>
    <n v="2966"/>
    <n v="0"/>
    <n v="0"/>
    <n v="1"/>
    <n v="1"/>
    <n v="9.1706001348617672E-2"/>
    <n v="1"/>
    <n v="0"/>
    <n v="0"/>
    <n v="0.55000000000000004"/>
    <n v="0.35000000000000003"/>
    <n v="0"/>
    <n v="1"/>
    <n v="2966"/>
    <s v="Food Security and Livlihoods_x000a_Health _x000a_Protection"/>
    <n v="1"/>
    <s v="Flagged"/>
    <s v="Flagged"/>
    <s v=""/>
    <n v="272"/>
    <s v="Nutrition"/>
    <n v="9.1706001348617672E-2"/>
    <n v="2694"/>
    <n v="9.9044117647058822"/>
    <s v="Flagged"/>
    <n v="0"/>
    <s v="Site Management _x000a_Education_x000a_Shelter NFI _x000a_WASH"/>
    <n v="0"/>
    <n v="2966"/>
    <s v=""/>
    <s v=""/>
    <s v=""/>
    <s v=""/>
    <n v="2966"/>
    <m/>
    <m/>
    <n v="3"/>
    <s v="Flagged"/>
    <n v="2966"/>
    <m/>
    <x v="2"/>
    <x v="2"/>
    <n v="2966"/>
    <n v="0"/>
    <n v="0"/>
  </r>
  <r>
    <s v="IDPsSD12074"/>
    <x v="11"/>
    <x v="11"/>
    <x v="126"/>
    <x v="126"/>
    <m/>
    <m/>
    <x v="246"/>
    <x v="1"/>
    <n v="807"/>
    <n v="0"/>
    <n v="11951"/>
    <n v="11951"/>
    <n v="931"/>
    <n v="11951"/>
    <n v="0"/>
    <n v="12587.27124"/>
    <n v="6573"/>
    <n v="4730"/>
    <n v="0"/>
    <n v="11951"/>
    <n v="6.7525730064429759E-2"/>
    <n v="0"/>
    <n v="1"/>
    <n v="1"/>
    <n v="7.7901430842607311E-2"/>
    <n v="1"/>
    <n v="0"/>
    <n v="1.05324"/>
    <n v="0.55000000000000004"/>
    <n v="0.4"/>
    <n v="0"/>
    <n v="1"/>
    <n v="12587.27124"/>
    <s v="WASH"/>
    <n v="1.05324"/>
    <s v="Flagged"/>
    <s v="Flagged"/>
    <s v=""/>
    <n v="11951"/>
    <s v="Food Security and Livlihoods_x000a_Health _x000a_Protection"/>
    <n v="1"/>
    <n v="636.27124000000003"/>
    <n v="5.3240000000000003E-2"/>
    <s v=""/>
    <n v="931"/>
    <s v="Nutrition"/>
    <n v="7.7901430842607311E-2"/>
    <n v="11656.27124"/>
    <n v="12.520162448979592"/>
    <s v="Flagged"/>
    <s v=""/>
    <s v=""/>
    <n v="12587.27124"/>
    <m/>
    <m/>
    <n v="3"/>
    <s v="Flagged"/>
    <n v="11951"/>
    <m/>
    <x v="2"/>
    <x v="2"/>
    <n v="11951"/>
    <n v="0"/>
    <n v="0"/>
  </r>
  <r>
    <s v="IDPsSD12075"/>
    <x v="11"/>
    <x v="11"/>
    <x v="127"/>
    <x v="127"/>
    <m/>
    <m/>
    <x v="247"/>
    <x v="1"/>
    <n v="0"/>
    <n v="0"/>
    <n v="13130"/>
    <n v="13130"/>
    <n v="934"/>
    <n v="13130"/>
    <n v="0"/>
    <n v="11568.055200000001"/>
    <n v="7222"/>
    <n v="5198"/>
    <n v="0"/>
    <n v="13130"/>
    <n v="0"/>
    <n v="0"/>
    <n v="1"/>
    <n v="1"/>
    <n v="7.1134805788271138E-2"/>
    <n v="1"/>
    <n v="0"/>
    <n v="0.88104000000000005"/>
    <n v="0.55000000000000004"/>
    <n v="0.4"/>
    <n v="0"/>
    <n v="1"/>
    <n v="13130"/>
    <s v="Food Security and Livlihoods_x000a_Health _x000a_Protection"/>
    <n v="1"/>
    <s v="Flagged"/>
    <s v="Flagged"/>
    <s v=""/>
    <n v="11568.055200000001"/>
    <s v="WASH"/>
    <n v="0.88104000000000005"/>
    <n v="1561.9447999999993"/>
    <n v="0.13502224643603009"/>
    <s v=""/>
    <n v="934"/>
    <s v="Nutrition"/>
    <n v="7.1134805788271138E-2"/>
    <n v="12196"/>
    <n v="13.057815845824411"/>
    <s v="Flagged"/>
    <s v=""/>
    <s v=""/>
    <n v="13130"/>
    <m/>
    <m/>
    <n v="3"/>
    <s v="Flagged"/>
    <n v="13130"/>
    <m/>
    <x v="2"/>
    <x v="2"/>
    <n v="13130"/>
    <n v="0"/>
    <n v="0"/>
  </r>
  <r>
    <s v="IDPsSD12076"/>
    <x v="11"/>
    <x v="11"/>
    <x v="128"/>
    <x v="128"/>
    <m/>
    <m/>
    <x v="120"/>
    <x v="1"/>
    <n v="0"/>
    <n v="7267.4364999999998"/>
    <n v="18745"/>
    <n v="18745"/>
    <n v="950"/>
    <n v="18745"/>
    <n v="0"/>
    <n v="16211.425799999997"/>
    <n v="10310"/>
    <n v="7419"/>
    <n v="0"/>
    <n v="18745"/>
    <n v="0"/>
    <n v="0.38769999999999999"/>
    <n v="1"/>
    <n v="1"/>
    <n v="5.0680181381701786E-2"/>
    <n v="1"/>
    <n v="0"/>
    <n v="0.86483999999999983"/>
    <n v="0.55000000000000004"/>
    <n v="0.4"/>
    <n v="0"/>
    <n v="1"/>
    <n v="18745"/>
    <s v="Food Security and Livlihoods_x000a_Health _x000a_Protection"/>
    <n v="1"/>
    <s v="Flagged"/>
    <s v="Flagged"/>
    <s v=""/>
    <n v="16211.425799999997"/>
    <s v="WASH"/>
    <n v="0.86483999999999983"/>
    <n v="2533.5742000000027"/>
    <n v="0.15628324314324057"/>
    <s v=""/>
    <n v="7267.4364999999998"/>
    <s v="Education"/>
    <n v="0.38769999999999999"/>
    <n v="11477.5635"/>
    <n v="1.5793139025019345"/>
    <s v="Flagged"/>
    <s v=""/>
    <s v=""/>
    <n v="18745"/>
    <m/>
    <m/>
    <n v="3"/>
    <s v="Flagged"/>
    <n v="18745"/>
    <m/>
    <x v="2"/>
    <x v="2"/>
    <n v="18745"/>
    <n v="0"/>
    <n v="0"/>
  </r>
  <r>
    <s v="IDPsSD12077"/>
    <x v="11"/>
    <x v="11"/>
    <x v="129"/>
    <x v="129"/>
    <m/>
    <m/>
    <x v="248"/>
    <x v="1"/>
    <n v="3406"/>
    <n v="10673.380999999999"/>
    <n v="27530"/>
    <n v="27530"/>
    <n v="2786"/>
    <n v="27530"/>
    <n v="11012"/>
    <n v="31057.143599999999"/>
    <n v="15142"/>
    <n v="10896"/>
    <n v="0"/>
    <n v="27530"/>
    <n v="0.12371957864148202"/>
    <n v="0.38769999999999999"/>
    <n v="1"/>
    <n v="1"/>
    <n v="0.10119869233563386"/>
    <n v="1"/>
    <n v="0.4"/>
    <n v="1.12812"/>
    <n v="0.55000000000000004"/>
    <n v="0.4"/>
    <n v="0"/>
    <n v="1"/>
    <n v="31057.143599999999"/>
    <s v="WASH"/>
    <n v="1.12812"/>
    <s v=""/>
    <s v="Flagged"/>
    <s v=""/>
    <n v="27530"/>
    <s v="Food Security and Livlihoods_x000a_Health _x000a_Protection"/>
    <n v="1"/>
    <n v="3527.1435999999994"/>
    <n v="0.12811999999999998"/>
    <s v=""/>
    <n v="11012"/>
    <s v="Shelter NFI "/>
    <n v="0.4"/>
    <n v="20045.143599999999"/>
    <n v="1.8203"/>
    <s v="Flagged"/>
    <s v=""/>
    <s v=""/>
    <n v="31057.143599999999"/>
    <m/>
    <m/>
    <n v="2"/>
    <s v="Flagged"/>
    <n v="27530"/>
    <m/>
    <x v="2"/>
    <x v="2"/>
    <n v="27530"/>
    <n v="0"/>
    <n v="0"/>
  </r>
  <r>
    <s v="IDPsSD12078"/>
    <x v="11"/>
    <x v="11"/>
    <x v="130"/>
    <x v="130"/>
    <m/>
    <m/>
    <x v="122"/>
    <x v="1"/>
    <n v="0"/>
    <n v="3239.2334999999998"/>
    <n v="8355"/>
    <n v="8355"/>
    <n v="949"/>
    <n v="8355"/>
    <n v="0"/>
    <n v="0"/>
    <n v="4595"/>
    <n v="2866"/>
    <n v="0"/>
    <n v="8355"/>
    <n v="0"/>
    <n v="0.38769999999999999"/>
    <n v="1"/>
    <n v="1"/>
    <n v="0.11358467983243567"/>
    <n v="1"/>
    <n v="0"/>
    <n v="0"/>
    <n v="0.55000000000000004"/>
    <n v="0.35000000000000003"/>
    <n v="0"/>
    <n v="1"/>
    <n v="8355"/>
    <s v="Food Security and Livlihoods_x000a_Health _x000a_Protection"/>
    <n v="1"/>
    <s v="Flagged"/>
    <s v="Flagged"/>
    <s v=""/>
    <n v="3239.2334999999998"/>
    <s v="Education"/>
    <n v="0.38769999999999999"/>
    <n v="5115.7664999999997"/>
    <n v="1.5793139025019345"/>
    <s v="Flagged"/>
    <n v="949"/>
    <s v="Nutrition"/>
    <n v="0.11358467983243567"/>
    <n v="7406"/>
    <n v="7.8040042149631192"/>
    <s v="Flagged"/>
    <s v=""/>
    <s v=""/>
    <n v="8355"/>
    <m/>
    <m/>
    <n v="4"/>
    <s v="Flagged"/>
    <n v="8355"/>
    <m/>
    <x v="2"/>
    <x v="2"/>
    <n v="8355"/>
    <n v="0"/>
    <n v="0"/>
  </r>
  <r>
    <s v="IDPsSD12079"/>
    <x v="11"/>
    <x v="11"/>
    <x v="131"/>
    <x v="131"/>
    <m/>
    <m/>
    <x v="123"/>
    <x v="1"/>
    <n v="0"/>
    <n v="4730.7154"/>
    <n v="12202"/>
    <n v="12202"/>
    <n v="473"/>
    <n v="12202"/>
    <n v="0"/>
    <n v="13099.091039999999"/>
    <n v="6711"/>
    <n v="4830"/>
    <n v="0"/>
    <n v="12202"/>
    <n v="0"/>
    <n v="0.38769999999999999"/>
    <n v="1"/>
    <n v="1"/>
    <n v="3.8764137026716931E-2"/>
    <n v="1"/>
    <n v="0"/>
    <n v="1.07352"/>
    <n v="0.55000000000000004"/>
    <n v="0.4"/>
    <n v="0"/>
    <n v="1"/>
    <n v="13099.091039999999"/>
    <s v="WASH"/>
    <n v="1.07352"/>
    <s v="Flagged"/>
    <s v="Flagged"/>
    <s v=""/>
    <n v="12202"/>
    <s v="Food Security and Livlihoods_x000a_Health _x000a_Protection"/>
    <n v="1"/>
    <n v="897.09103999999934"/>
    <n v="7.3519999999999947E-2"/>
    <s v=""/>
    <n v="4730.7154"/>
    <s v="Education"/>
    <n v="0.38769999999999999"/>
    <n v="8368.3756399999984"/>
    <n v="1.7689450606138764"/>
    <s v="Flagged"/>
    <s v=""/>
    <s v=""/>
    <n v="13099.091039999999"/>
    <m/>
    <m/>
    <n v="3"/>
    <s v="Flagged"/>
    <n v="12202"/>
    <m/>
    <x v="2"/>
    <x v="2"/>
    <n v="12202"/>
    <n v="0"/>
    <n v="0"/>
  </r>
  <r>
    <s v="IDPsSD12080"/>
    <x v="11"/>
    <x v="11"/>
    <x v="132"/>
    <x v="132"/>
    <m/>
    <m/>
    <x v="249"/>
    <x v="1"/>
    <n v="364"/>
    <n v="28052.033499999998"/>
    <n v="72355"/>
    <n v="72355"/>
    <n v="7732"/>
    <n v="72355"/>
    <n v="43413"/>
    <n v="37725.896999999997"/>
    <n v="39795"/>
    <n v="28638"/>
    <n v="0"/>
    <n v="72355"/>
    <n v="5.0307511574873886E-3"/>
    <n v="0.38769999999999999"/>
    <n v="1"/>
    <n v="1"/>
    <n v="0.10686199986179255"/>
    <n v="1"/>
    <n v="0.6"/>
    <n v="0.52139999999999997"/>
    <n v="0.55000000000000004"/>
    <n v="0.4"/>
    <n v="0"/>
    <n v="1"/>
    <n v="72355"/>
    <s v="Food Security and Livlihoods_x000a_Health _x000a_Protection"/>
    <n v="1"/>
    <s v=""/>
    <s v="Flagged"/>
    <s v=""/>
    <n v="43413"/>
    <s v="Shelter NFI "/>
    <n v="0.6"/>
    <n v="28942"/>
    <n v="0.66666666666666663"/>
    <s v="Flagged"/>
    <n v="37725.896999999997"/>
    <s v="WASH"/>
    <n v="0.52139999999999997"/>
    <n v="34629.103000000003"/>
    <n v="0.91791331031837375"/>
    <s v="Flagged"/>
    <s v=""/>
    <s v="Flagged"/>
    <n v="72355"/>
    <m/>
    <m/>
    <n v="4"/>
    <s v="Flagged"/>
    <n v="72355"/>
    <m/>
    <x v="2"/>
    <x v="2"/>
    <n v="72355"/>
    <n v="0"/>
    <n v="0"/>
  </r>
  <r>
    <s v="IDPsSD12081"/>
    <x v="11"/>
    <x v="11"/>
    <x v="133"/>
    <x v="133"/>
    <m/>
    <m/>
    <x v="250"/>
    <x v="1"/>
    <n v="7311"/>
    <n v="0"/>
    <n v="18325"/>
    <n v="18325"/>
    <n v="1025"/>
    <n v="18325"/>
    <n v="0"/>
    <n v="13526.049000000001"/>
    <n v="10079"/>
    <n v="7253"/>
    <n v="0"/>
    <n v="18325"/>
    <n v="0.3989631650750341"/>
    <n v="0"/>
    <n v="1"/>
    <n v="1"/>
    <n v="5.593451568894952E-2"/>
    <n v="1"/>
    <n v="0"/>
    <n v="0.73812"/>
    <n v="0.55000000000000004"/>
    <n v="0.4"/>
    <n v="0"/>
    <n v="1"/>
    <n v="18325"/>
    <s v="Food Security and Livlihoods_x000a_Health _x000a_Protection"/>
    <n v="1"/>
    <s v="Flagged"/>
    <s v="Flagged"/>
    <s v=""/>
    <n v="13526.049000000001"/>
    <s v="WASH"/>
    <n v="0.73812"/>
    <n v="4798.9509999999991"/>
    <n v="0.35479325854874538"/>
    <s v="Flagged"/>
    <n v="7311"/>
    <s v="Site Management "/>
    <n v="0.3989631650750341"/>
    <n v="11014"/>
    <n v="1.506497059225824"/>
    <s v="Flagged"/>
    <s v=""/>
    <s v=""/>
    <n v="18325"/>
    <m/>
    <m/>
    <n v="4"/>
    <s v="Flagged"/>
    <n v="18325"/>
    <m/>
    <x v="2"/>
    <x v="2"/>
    <n v="18325"/>
    <n v="0"/>
    <n v="0"/>
  </r>
  <r>
    <s v="IDPsSD12082"/>
    <x v="11"/>
    <x v="11"/>
    <x v="134"/>
    <x v="134"/>
    <m/>
    <m/>
    <x v="251"/>
    <x v="1"/>
    <n v="0"/>
    <n v="6901.0599999999995"/>
    <n v="17800"/>
    <n v="17800"/>
    <n v="946"/>
    <n v="17800"/>
    <n v="0"/>
    <n v="18843.791999999998"/>
    <n v="9790"/>
    <n v="7046"/>
    <n v="0"/>
    <n v="17800"/>
    <n v="0"/>
    <n v="0.38769999999999999"/>
    <n v="1"/>
    <n v="1"/>
    <n v="5.3146067415730337E-2"/>
    <n v="1"/>
    <n v="0"/>
    <n v="1.0586399999999998"/>
    <n v="0.55000000000000004"/>
    <n v="0.4"/>
    <n v="0"/>
    <n v="1"/>
    <n v="18843.791999999998"/>
    <s v="WASH"/>
    <n v="1.0586399999999998"/>
    <s v="Flagged"/>
    <s v="Flagged"/>
    <s v=""/>
    <n v="17800"/>
    <s v="Food Security and Livlihoods_x000a_Health _x000a_Protection"/>
    <n v="1"/>
    <n v="1043.7919999999976"/>
    <n v="5.8639999999999866E-2"/>
    <s v=""/>
    <n v="6901.0599999999995"/>
    <s v="Education"/>
    <n v="0.38769999999999999"/>
    <n v="11942.731999999998"/>
    <n v="1.7305648697446478"/>
    <s v="Flagged"/>
    <s v=""/>
    <s v=""/>
    <n v="18843.791999999998"/>
    <m/>
    <m/>
    <n v="3"/>
    <s v="Flagged"/>
    <n v="17800"/>
    <m/>
    <x v="2"/>
    <x v="2"/>
    <n v="17800"/>
    <n v="0"/>
    <n v="0"/>
  </r>
  <r>
    <s v="IDPsSD12083"/>
    <x v="11"/>
    <x v="11"/>
    <x v="135"/>
    <x v="135"/>
    <m/>
    <m/>
    <x v="252"/>
    <x v="1"/>
    <n v="466"/>
    <n v="10826.522499999999"/>
    <n v="27925"/>
    <n v="27925"/>
    <n v="2129"/>
    <n v="27925"/>
    <n v="11170"/>
    <n v="26844.860999999997"/>
    <n v="15359"/>
    <n v="11053"/>
    <n v="0"/>
    <n v="27925"/>
    <n v="1.6687555953446731E-2"/>
    <n v="0.38769999999999999"/>
    <n v="1"/>
    <n v="1"/>
    <n v="7.6239928379588179E-2"/>
    <n v="1"/>
    <n v="0.4"/>
    <n v="0.96131999999999995"/>
    <n v="0.55000000000000004"/>
    <n v="0.4"/>
    <n v="0"/>
    <n v="1"/>
    <n v="27925"/>
    <s v="Food Security and Livlihoods_x000a_Health _x000a_Protection"/>
    <n v="1"/>
    <s v=""/>
    <s v="Flagged"/>
    <s v=""/>
    <n v="26844.860999999997"/>
    <s v="WASH"/>
    <n v="0.96131999999999995"/>
    <n v="1080.1390000000029"/>
    <n v="4.0236341696833634E-2"/>
    <s v=""/>
    <n v="11170"/>
    <s v="Shelter NFI "/>
    <n v="0.4"/>
    <n v="16755"/>
    <n v="1.5"/>
    <s v="Flagged"/>
    <s v=""/>
    <s v=""/>
    <n v="27925"/>
    <m/>
    <m/>
    <n v="2"/>
    <s v="Flagged"/>
    <n v="27925"/>
    <m/>
    <x v="2"/>
    <x v="2"/>
    <n v="27925"/>
    <n v="0"/>
    <n v="0"/>
  </r>
  <r>
    <s v="IDPsSD12084"/>
    <x v="11"/>
    <x v="11"/>
    <x v="136"/>
    <x v="136"/>
    <m/>
    <m/>
    <x v="128"/>
    <x v="1"/>
    <n v="0"/>
    <n v="0"/>
    <n v="36565"/>
    <n v="36565"/>
    <n v="2038"/>
    <n v="36565"/>
    <n v="14626"/>
    <n v="34944.439199999993"/>
    <n v="20111"/>
    <n v="14473"/>
    <n v="0"/>
    <n v="36565"/>
    <n v="0"/>
    <n v="0"/>
    <n v="1"/>
    <n v="1"/>
    <n v="5.5736359907014907E-2"/>
    <n v="1"/>
    <n v="0.4"/>
    <n v="0.95567999999999986"/>
    <n v="0.55000000000000004"/>
    <n v="0.4"/>
    <n v="0"/>
    <n v="1"/>
    <n v="36565"/>
    <s v="Food Security and Livlihoods_x000a_Health _x000a_Protection"/>
    <n v="1"/>
    <s v="Flagged"/>
    <s v="Flagged"/>
    <s v=""/>
    <n v="34944.439199999993"/>
    <s v="WASH"/>
    <n v="0.95567999999999986"/>
    <n v="1620.5608000000066"/>
    <n v="4.6375355767621154E-2"/>
    <s v=""/>
    <n v="14626"/>
    <s v="Shelter NFI "/>
    <n v="0.4"/>
    <n v="21939"/>
    <n v="1.5"/>
    <s v="Flagged"/>
    <s v=""/>
    <s v=""/>
    <n v="36565"/>
    <m/>
    <m/>
    <n v="3"/>
    <s v="Flagged"/>
    <n v="36565"/>
    <m/>
    <x v="2"/>
    <x v="2"/>
    <n v="36565"/>
    <n v="0"/>
    <n v="0"/>
  </r>
  <r>
    <s v="IDPsSD13023"/>
    <x v="12"/>
    <x v="12"/>
    <x v="137"/>
    <x v="137"/>
    <m/>
    <m/>
    <x v="253"/>
    <x v="1"/>
    <n v="5675"/>
    <n v="12262.1756"/>
    <n v="31628"/>
    <n v="31628"/>
    <n v="2567"/>
    <n v="31628"/>
    <n v="12651"/>
    <n v="32226.401760000001"/>
    <n v="17395"/>
    <n v="15023"/>
    <n v="9488.4"/>
    <n v="31628"/>
    <n v="0.17942961932464904"/>
    <n v="0.38769999999999999"/>
    <n v="1"/>
    <n v="1"/>
    <n v="8.11622612874668E-2"/>
    <n v="1"/>
    <n v="0.39999367648918682"/>
    <n v="1.01892"/>
    <n v="0.55000000000000004"/>
    <n v="0.45"/>
    <n v="0.30000000000000004"/>
    <n v="1"/>
    <n v="32226.401760000001"/>
    <s v="WASH"/>
    <n v="1.01892"/>
    <s v=""/>
    <s v="Flagged"/>
    <s v=""/>
    <n v="31628"/>
    <s v="Food Security and Livlihoods_x000a_Health _x000a_Protection"/>
    <n v="1"/>
    <n v="598.40176000000065"/>
    <n v="1.892000000000002E-2"/>
    <s v=""/>
    <n v="12651"/>
    <s v="Shelter NFI "/>
    <n v="0.39999367648918682"/>
    <n v="19575.401760000001"/>
    <n v="1.5473402703343611"/>
    <s v="Flagged"/>
    <s v=""/>
    <s v=""/>
    <n v="32226.401760000001"/>
    <m/>
    <m/>
    <n v="2"/>
    <s v="Flagged"/>
    <n v="31628"/>
    <m/>
    <x v="2"/>
    <x v="1"/>
    <n v="0"/>
    <n v="0"/>
    <n v="31628"/>
  </r>
  <r>
    <s v="IDPsSD13024"/>
    <x v="12"/>
    <x v="12"/>
    <x v="138"/>
    <x v="138"/>
    <m/>
    <m/>
    <x v="254"/>
    <x v="1"/>
    <n v="5894"/>
    <n v="8257.6998399999993"/>
    <n v="21299"/>
    <n v="21299"/>
    <n v="2088"/>
    <n v="21299"/>
    <n v="17039"/>
    <n v="13735.428096"/>
    <n v="11715"/>
    <n v="10116"/>
    <n v="6389.76"/>
    <n v="21299"/>
    <n v="0.27672660688295225"/>
    <n v="0.38770364054650452"/>
    <n v="1"/>
    <n v="1"/>
    <n v="9.8032771491619319E-2"/>
    <n v="1"/>
    <n v="0.79999060988778814"/>
    <n v="0.6448860554955631"/>
    <n v="0.55000000000000004"/>
    <n v="0.45"/>
    <n v="0.30000000000000004"/>
    <n v="1"/>
    <n v="21299"/>
    <s v="Food Security and Livlihoods_x000a_Health _x000a_Protection"/>
    <n v="1"/>
    <s v=""/>
    <s v="Flagged"/>
    <s v=""/>
    <n v="17039"/>
    <s v="Shelter NFI "/>
    <n v="0.79999060988778814"/>
    <n v="4260"/>
    <n v="0.25001467222254825"/>
    <s v=""/>
    <n v="13735.428096"/>
    <s v="WASH"/>
    <n v="0.6448860554955631"/>
    <n v="7563.5719040000004"/>
    <n v="0.55066153389151717"/>
    <s v="Flagged"/>
    <s v=""/>
    <s v=""/>
    <n v="21299"/>
    <m/>
    <m/>
    <n v="2"/>
    <s v="Flagged"/>
    <n v="21299"/>
    <m/>
    <x v="0"/>
    <x v="1"/>
    <n v="0"/>
    <n v="0"/>
    <n v="21299"/>
  </r>
  <r>
    <s v="IDPsSD13025"/>
    <x v="12"/>
    <x v="12"/>
    <x v="139"/>
    <x v="139"/>
    <m/>
    <m/>
    <x v="131"/>
    <x v="1"/>
    <n v="0"/>
    <n v="1407.3509999999999"/>
    <n v="3630"/>
    <n v="3630"/>
    <n v="294"/>
    <n v="3630"/>
    <n v="1452"/>
    <n v="0"/>
    <n v="1997"/>
    <n v="1245"/>
    <n v="0"/>
    <n v="3630"/>
    <n v="0"/>
    <n v="0.38769999999999999"/>
    <n v="1"/>
    <n v="1"/>
    <n v="8.0991735537190079E-2"/>
    <n v="1"/>
    <n v="0.4"/>
    <n v="0"/>
    <n v="0.55000000000000004"/>
    <n v="0.35000000000000003"/>
    <n v="0"/>
    <n v="1"/>
    <n v="3630"/>
    <s v="Food Security and Livlihoods_x000a_Health _x000a_Protection"/>
    <n v="1"/>
    <s v="Flagged"/>
    <s v="Flagged"/>
    <s v=""/>
    <n v="1452"/>
    <s v="Shelter NFI "/>
    <n v="0.4"/>
    <n v="2178"/>
    <n v="1.5"/>
    <s v="Flagged"/>
    <n v="1407.3509999999999"/>
    <s v="Education"/>
    <n v="0.38769999999999999"/>
    <n v="2222.6490000000003"/>
    <n v="1.5793139025019349"/>
    <s v="Flagged"/>
    <s v=""/>
    <s v=""/>
    <n v="3630"/>
    <m/>
    <m/>
    <n v="4"/>
    <s v="Flagged"/>
    <n v="3630"/>
    <m/>
    <x v="0"/>
    <x v="2"/>
    <n v="3630"/>
    <n v="0"/>
    <n v="0"/>
  </r>
  <r>
    <s v="IDPsSD13026"/>
    <x v="12"/>
    <x v="12"/>
    <x v="140"/>
    <x v="140"/>
    <m/>
    <m/>
    <x v="132"/>
    <x v="1"/>
    <n v="0"/>
    <n v="0"/>
    <n v="7868"/>
    <n v="7868"/>
    <n v="717"/>
    <n v="7868"/>
    <n v="0"/>
    <n v="0"/>
    <n v="4327"/>
    <n v="2699"/>
    <n v="0"/>
    <n v="7868"/>
    <n v="0"/>
    <n v="0"/>
    <n v="1"/>
    <n v="1"/>
    <n v="9.1128622267412307E-2"/>
    <n v="1"/>
    <n v="0"/>
    <n v="0"/>
    <n v="0.55000000000000004"/>
    <n v="0.35000000000000003"/>
    <n v="0"/>
    <n v="1"/>
    <n v="7868"/>
    <s v="Food Security and Livlihoods_x000a_Health _x000a_Protection"/>
    <n v="1"/>
    <s v="Flagged"/>
    <s v="Flagged"/>
    <s v=""/>
    <n v="717"/>
    <s v="Nutrition"/>
    <n v="9.1128622267412307E-2"/>
    <n v="7151"/>
    <n v="9.9735006973500706"/>
    <s v="Flagged"/>
    <n v="0"/>
    <s v="Site Management _x000a_Education_x000a_Shelter NFI _x000a_WASH"/>
    <n v="0"/>
    <n v="7868"/>
    <s v=""/>
    <s v=""/>
    <s v=""/>
    <s v=""/>
    <n v="7868"/>
    <m/>
    <m/>
    <n v="3"/>
    <s v="Flagged"/>
    <n v="7868"/>
    <m/>
    <x v="0"/>
    <x v="2"/>
    <n v="7868"/>
    <n v="0"/>
    <n v="0"/>
  </r>
  <r>
    <s v="IDPsSD13027"/>
    <x v="12"/>
    <x v="12"/>
    <x v="141"/>
    <x v="141"/>
    <m/>
    <m/>
    <x v="133"/>
    <x v="1"/>
    <n v="145"/>
    <n v="1363.9286"/>
    <n v="3518"/>
    <n v="3518"/>
    <n v="301"/>
    <n v="3518"/>
    <n v="0"/>
    <n v="0"/>
    <n v="1935"/>
    <n v="1206"/>
    <n v="0"/>
    <n v="3518"/>
    <n v="4.1216600341102902E-2"/>
    <n v="0.38769999999999999"/>
    <n v="1"/>
    <n v="1"/>
    <n v="8.5559977259806713E-2"/>
    <n v="1"/>
    <n v="0"/>
    <n v="0"/>
    <n v="0.55000000000000004"/>
    <n v="0.35000000000000003"/>
    <n v="0"/>
    <n v="1"/>
    <n v="3518"/>
    <s v="Food Security and Livlihoods_x000a_Health _x000a_Protection"/>
    <n v="1"/>
    <s v="Flagged"/>
    <s v="Flagged"/>
    <s v=""/>
    <n v="1363.9286"/>
    <s v="Education"/>
    <n v="0.38769999999999999"/>
    <n v="2154.0713999999998"/>
    <n v="1.5793139025019345"/>
    <s v="Flagged"/>
    <n v="301"/>
    <s v="Nutrition"/>
    <n v="8.5559977259806713E-2"/>
    <n v="3217"/>
    <n v="10.687707641196013"/>
    <s v="Flagged"/>
    <s v=""/>
    <s v="Flagged"/>
    <n v="3518"/>
    <m/>
    <m/>
    <n v="5"/>
    <s v="Flagged"/>
    <n v="3518"/>
    <m/>
    <x v="0"/>
    <x v="2"/>
    <n v="3518"/>
    <n v="0"/>
    <n v="0"/>
  </r>
  <r>
    <s v="IDPsSD13028"/>
    <x v="12"/>
    <x v="12"/>
    <x v="142"/>
    <x v="142"/>
    <m/>
    <m/>
    <x v="134"/>
    <x v="1"/>
    <n v="0"/>
    <n v="0"/>
    <n v="7955"/>
    <n v="7955"/>
    <n v="810"/>
    <n v="7955"/>
    <n v="0"/>
    <n v="0"/>
    <n v="4375"/>
    <n v="2730"/>
    <n v="0"/>
    <n v="7955"/>
    <n v="0"/>
    <n v="0"/>
    <n v="1"/>
    <n v="1"/>
    <n v="0.10182275298554368"/>
    <n v="1"/>
    <n v="0"/>
    <n v="0"/>
    <n v="0.55000000000000004"/>
    <n v="0.35000000000000003"/>
    <n v="0"/>
    <n v="1"/>
    <n v="7955"/>
    <s v="Food Security and Livlihoods_x000a_Health _x000a_Protection"/>
    <n v="1"/>
    <s v="Flagged"/>
    <s v="Flagged"/>
    <s v=""/>
    <n v="810"/>
    <s v="Nutrition"/>
    <n v="0.10182275298554368"/>
    <n v="7145"/>
    <n v="8.8209876543209873"/>
    <s v="Flagged"/>
    <n v="0"/>
    <s v="Site Management _x000a_Education_x000a_Shelter NFI _x000a_WASH"/>
    <n v="0"/>
    <n v="7955"/>
    <s v=""/>
    <s v=""/>
    <s v=""/>
    <s v=""/>
    <n v="7955"/>
    <m/>
    <m/>
    <n v="3"/>
    <s v="Flagged"/>
    <n v="7955"/>
    <m/>
    <x v="0"/>
    <x v="2"/>
    <n v="7955"/>
    <n v="0"/>
    <n v="0"/>
  </r>
  <r>
    <s v="IDPsSD13029"/>
    <x v="12"/>
    <x v="12"/>
    <x v="143"/>
    <x v="143"/>
    <m/>
    <m/>
    <x v="135"/>
    <x v="1"/>
    <n v="0"/>
    <n v="0"/>
    <n v="5613"/>
    <n v="5613"/>
    <n v="721"/>
    <n v="5613"/>
    <n v="2245"/>
    <n v="0"/>
    <n v="3087"/>
    <n v="1926"/>
    <n v="0"/>
    <n v="5613"/>
    <n v="0"/>
    <n v="0"/>
    <n v="1"/>
    <n v="1"/>
    <n v="0.12845180830215572"/>
    <n v="1"/>
    <n v="0.39996436843042937"/>
    <n v="0"/>
    <n v="0.55000000000000004"/>
    <n v="0.35000000000000003"/>
    <n v="0"/>
    <n v="1"/>
    <n v="5613"/>
    <s v="Food Security and Livlihoods_x000a_Health _x000a_Protection"/>
    <n v="1"/>
    <s v="Flagged"/>
    <s v="Flagged"/>
    <s v=""/>
    <n v="2245"/>
    <s v="Shelter NFI "/>
    <n v="0.39996436843042937"/>
    <n v="3368"/>
    <n v="1.5002227171492204"/>
    <s v="Flagged"/>
    <n v="721"/>
    <s v="Nutrition"/>
    <n v="0.12845180830215572"/>
    <n v="4892"/>
    <n v="6.7850208044382798"/>
    <s v="Flagged"/>
    <s v=""/>
    <s v=""/>
    <n v="5613"/>
    <m/>
    <m/>
    <n v="4"/>
    <s v="Flagged"/>
    <n v="5613"/>
    <m/>
    <x v="0"/>
    <x v="2"/>
    <n v="5613"/>
    <n v="0"/>
    <n v="0"/>
  </r>
  <r>
    <s v="IDPsSD13030"/>
    <x v="12"/>
    <x v="12"/>
    <x v="136"/>
    <x v="144"/>
    <m/>
    <m/>
    <x v="255"/>
    <x v="1"/>
    <n v="2162"/>
    <n v="11859.355299999999"/>
    <n v="30589"/>
    <n v="30589"/>
    <n v="2533"/>
    <n v="30589"/>
    <n v="12236"/>
    <n v="29949.078119999998"/>
    <n v="16824"/>
    <n v="12109"/>
    <n v="9176.6999999999989"/>
    <n v="30589"/>
    <n v="7.0679002255712844E-2"/>
    <n v="0.38769999999999999"/>
    <n v="1"/>
    <n v="1"/>
    <n v="8.2807545195985488E-2"/>
    <n v="1"/>
    <n v="0.40001307659616203"/>
    <n v="0.97907999999999995"/>
    <n v="0.55000000000000004"/>
    <n v="0.4"/>
    <n v="0.30000000000000004"/>
    <n v="1"/>
    <n v="30589"/>
    <s v="Food Security and Livlihoods_x000a_Health _x000a_Protection"/>
    <n v="1"/>
    <s v=""/>
    <s v="Flagged"/>
    <s v=""/>
    <n v="29949.078119999998"/>
    <s v="WASH"/>
    <n v="0.97907999999999995"/>
    <n v="639.92188000000169"/>
    <n v="2.1366997589573944E-2"/>
    <s v=""/>
    <n v="12236"/>
    <s v="Shelter NFI "/>
    <n v="0.40001307659616203"/>
    <n v="18353"/>
    <n v="1.499918273945734"/>
    <s v="Flagged"/>
    <s v=""/>
    <s v=""/>
    <n v="30589"/>
    <m/>
    <m/>
    <n v="2"/>
    <s v="Flagged"/>
    <n v="30589"/>
    <m/>
    <x v="2"/>
    <x v="0"/>
    <n v="0"/>
    <n v="30589"/>
    <n v="0"/>
  </r>
  <r>
    <s v="IDPsSD14037"/>
    <x v="13"/>
    <x v="13"/>
    <x v="144"/>
    <x v="145"/>
    <m/>
    <m/>
    <x v="137"/>
    <x v="1"/>
    <n v="0"/>
    <n v="20624.089199999999"/>
    <n v="53196"/>
    <n v="53196"/>
    <n v="5118"/>
    <n v="29257.800000000003"/>
    <n v="31918"/>
    <n v="54464.192640000001"/>
    <n v="29258"/>
    <n v="21056"/>
    <n v="0"/>
    <n v="0"/>
    <n v="0"/>
    <n v="0.38769999999999999"/>
    <n v="1"/>
    <n v="1"/>
    <n v="9.6210241371531696E-2"/>
    <n v="0.55000000000000004"/>
    <n v="0.60000751936235808"/>
    <n v="1.0238400000000001"/>
    <n v="0.55000000000000004"/>
    <n v="0.4"/>
    <n v="0"/>
    <n v="0"/>
    <n v="54464.192640000001"/>
    <s v="WASH"/>
    <n v="1.0238400000000001"/>
    <s v=""/>
    <s v="Flagged"/>
    <s v=""/>
    <n v="53196"/>
    <s v="Food Security and Livlihoods_x000a_Health "/>
    <n v="1"/>
    <n v="1268.1926400000011"/>
    <n v="2.3840000000000021E-2"/>
    <s v=""/>
    <n v="31918"/>
    <s v="Shelter NFI "/>
    <n v="0.60000751936235808"/>
    <n v="22546.192640000001"/>
    <n v="0.70637861520145373"/>
    <s v="Flagged"/>
    <s v=""/>
    <s v=""/>
    <n v="54464.192640000001"/>
    <m/>
    <m/>
    <n v="2"/>
    <s v="Flagged"/>
    <n v="53196"/>
    <m/>
    <x v="2"/>
    <x v="2"/>
    <n v="53196"/>
    <n v="0"/>
    <n v="0"/>
  </r>
  <r>
    <s v="IDPsSD14038"/>
    <x v="13"/>
    <x v="13"/>
    <x v="145"/>
    <x v="146"/>
    <m/>
    <m/>
    <x v="256"/>
    <x v="1"/>
    <n v="2387"/>
    <n v="19685.0798"/>
    <n v="50774"/>
    <n v="50774"/>
    <n v="3184"/>
    <n v="27925.7"/>
    <n v="30464"/>
    <n v="26680.721519999996"/>
    <n v="27926"/>
    <n v="20097"/>
    <n v="0"/>
    <n v="0"/>
    <n v="4.7012250364359714E-2"/>
    <n v="0.38769999999999999"/>
    <n v="1"/>
    <n v="1"/>
    <n v="6.2709260645212123E-2"/>
    <n v="0.55000000000000004"/>
    <n v="0.59999212195218021"/>
    <n v="0.52547999999999995"/>
    <n v="0.55000000000000004"/>
    <n v="0.4"/>
    <n v="0"/>
    <n v="0"/>
    <n v="50774"/>
    <s v="Food Security and Livlihoods_x000a_Health "/>
    <n v="1"/>
    <s v=""/>
    <s v="Flagged"/>
    <s v=""/>
    <n v="30464"/>
    <s v="Shelter NFI "/>
    <n v="0.59999212195218021"/>
    <n v="20310"/>
    <n v="0.66668855042016806"/>
    <s v="Flagged"/>
    <n v="27925.7"/>
    <s v="Protection"/>
    <n v="0.55000000000000004"/>
    <n v="22848.3"/>
    <n v="0.81818181818181812"/>
    <s v="Flagged"/>
    <s v=""/>
    <s v="Flagged"/>
    <n v="50774"/>
    <m/>
    <m/>
    <n v="4"/>
    <s v="Flagged"/>
    <n v="50774"/>
    <m/>
    <x v="2"/>
    <x v="2"/>
    <n v="50774"/>
    <n v="0"/>
    <n v="0"/>
  </r>
  <r>
    <s v="IDPsSD14039"/>
    <x v="13"/>
    <x v="13"/>
    <x v="146"/>
    <x v="147"/>
    <m/>
    <m/>
    <x v="139"/>
    <x v="1"/>
    <n v="11437"/>
    <n v="13929.6733"/>
    <n v="35929"/>
    <n v="35929"/>
    <n v="4044"/>
    <n v="19760.95"/>
    <n v="14372"/>
    <n v="40338.206880000005"/>
    <n v="19761"/>
    <n v="14222"/>
    <n v="0"/>
    <n v="0"/>
    <n v="0.31832224665312142"/>
    <n v="0.38769999999999999"/>
    <n v="1"/>
    <n v="1"/>
    <n v="0.11255531743160122"/>
    <n v="0.55000000000000004"/>
    <n v="0.40001113306799524"/>
    <n v="1.1227200000000002"/>
    <n v="0.55000000000000004"/>
    <n v="0.4"/>
    <n v="0"/>
    <n v="0"/>
    <n v="40338.206880000005"/>
    <s v="WASH"/>
    <n v="1.1227200000000002"/>
    <s v=""/>
    <s v="Flagged"/>
    <s v=""/>
    <n v="35929"/>
    <s v="Food Security and Livlihoods_x000a_Health "/>
    <n v="1"/>
    <n v="4409.2068800000052"/>
    <n v="0.12272000000000015"/>
    <s v=""/>
    <n v="19760.95"/>
    <s v="Protection"/>
    <n v="0.55000000000000004"/>
    <n v="20577.256880000004"/>
    <n v="1.0413090909090912"/>
    <s v="Flagged"/>
    <s v=""/>
    <s v=""/>
    <n v="40338.206880000005"/>
    <m/>
    <m/>
    <n v="2"/>
    <s v="Flagged"/>
    <n v="35929"/>
    <m/>
    <x v="2"/>
    <x v="2"/>
    <n v="35929"/>
    <n v="0"/>
    <n v="0"/>
  </r>
  <r>
    <s v="IDPsSD14040"/>
    <x v="13"/>
    <x v="13"/>
    <x v="147"/>
    <x v="148"/>
    <m/>
    <m/>
    <x v="257"/>
    <x v="1"/>
    <n v="406"/>
    <n v="22085.718199999999"/>
    <n v="56966"/>
    <n v="56966"/>
    <n v="4919"/>
    <n v="31331.300000000003"/>
    <n v="34180"/>
    <n v="59144.379840000001"/>
    <n v="31331"/>
    <n v="22549"/>
    <n v="0"/>
    <n v="0"/>
    <n v="7.1270582452691075E-3"/>
    <n v="0.38769999999999999"/>
    <n v="1"/>
    <n v="1"/>
    <n v="8.6349752483937781E-2"/>
    <n v="0.55000000000000004"/>
    <n v="0.60000702173226139"/>
    <n v="1.0382400000000001"/>
    <n v="0.55000000000000004"/>
    <n v="0.4"/>
    <n v="0"/>
    <n v="0"/>
    <n v="59144.379840000001"/>
    <s v="WASH"/>
    <n v="1.0382400000000001"/>
    <s v=""/>
    <s v="Flagged"/>
    <s v=""/>
    <n v="56966"/>
    <s v="Food Security and Livlihoods_x000a_Health "/>
    <n v="1"/>
    <n v="2178.3798400000014"/>
    <n v="3.8240000000000024E-2"/>
    <s v=""/>
    <n v="34180"/>
    <s v="Shelter NFI "/>
    <n v="0.60000702173226139"/>
    <n v="24964.379840000001"/>
    <n v="0.73037974956114693"/>
    <s v="Flagged"/>
    <s v=""/>
    <s v=""/>
    <n v="59144.379840000001"/>
    <m/>
    <m/>
    <n v="2"/>
    <s v="Flagged"/>
    <n v="56966"/>
    <m/>
    <x v="2"/>
    <x v="0"/>
    <n v="0"/>
    <n v="56966"/>
    <n v="0"/>
  </r>
  <r>
    <s v="IDPsSD14041"/>
    <x v="13"/>
    <x v="13"/>
    <x v="148"/>
    <x v="149"/>
    <m/>
    <m/>
    <x v="141"/>
    <x v="1"/>
    <n v="2056"/>
    <n v="24263.816800000001"/>
    <n v="62584"/>
    <n v="62584"/>
    <n v="5355"/>
    <n v="34421.200000000004"/>
    <n v="37550"/>
    <n v="45451.004160000004"/>
    <n v="34421"/>
    <n v="24771"/>
    <n v="0"/>
    <n v="0"/>
    <n v="3.2851847117474117E-2"/>
    <n v="0.38769999999999999"/>
    <n v="1"/>
    <n v="1"/>
    <n v="8.5565000639140992E-2"/>
    <n v="0.55000000000000004"/>
    <n v="0.59999360859005502"/>
    <n v="0.72624000000000011"/>
    <n v="0.55000000000000004"/>
    <n v="0.4"/>
    <n v="0"/>
    <n v="0"/>
    <n v="62584"/>
    <s v="Food Security and Livlihoods_x000a_Health "/>
    <n v="1"/>
    <s v=""/>
    <s v="Flagged"/>
    <s v=""/>
    <n v="45451.004160000004"/>
    <s v="WASH"/>
    <n v="0.72624000000000011"/>
    <n v="17132.995839999996"/>
    <n v="0.3769552764926194"/>
    <s v="Flagged"/>
    <n v="37550"/>
    <s v="Shelter NFI "/>
    <n v="0.59999360859005502"/>
    <n v="25034"/>
    <n v="0.66668442077230361"/>
    <s v="Flagged"/>
    <s v=""/>
    <s v=""/>
    <n v="62584"/>
    <m/>
    <m/>
    <n v="3"/>
    <s v="Flagged"/>
    <n v="62584"/>
    <m/>
    <x v="2"/>
    <x v="2"/>
    <n v="62584"/>
    <n v="0"/>
    <n v="0"/>
  </r>
  <r>
    <s v="IDPsSD14042"/>
    <x v="13"/>
    <x v="13"/>
    <x v="149"/>
    <x v="150"/>
    <m/>
    <m/>
    <x v="142"/>
    <x v="1"/>
    <n v="0"/>
    <n v="14364.285"/>
    <n v="37050"/>
    <n v="37050"/>
    <n v="3305"/>
    <n v="20377.5"/>
    <n v="22230"/>
    <n v="33794.046000000002"/>
    <n v="20378"/>
    <n v="14664"/>
    <n v="0"/>
    <n v="0"/>
    <n v="0"/>
    <n v="0.38769999999999999"/>
    <n v="1"/>
    <n v="1"/>
    <n v="8.9203778677462889E-2"/>
    <n v="0.55000000000000004"/>
    <n v="0.6"/>
    <n v="0.91212000000000004"/>
    <n v="0.55000000000000004"/>
    <n v="0.4"/>
    <n v="0"/>
    <n v="0"/>
    <n v="37050"/>
    <s v="Food Security and Livlihoods_x000a_Health "/>
    <n v="1"/>
    <s v=""/>
    <s v="Flagged"/>
    <s v=""/>
    <n v="33794.046000000002"/>
    <s v="WASH"/>
    <n v="0.91212000000000004"/>
    <n v="3255.9539999999979"/>
    <n v="9.6346971889663569E-2"/>
    <s v=""/>
    <n v="22230"/>
    <s v="Shelter NFI "/>
    <n v="0.6"/>
    <n v="14820"/>
    <n v="0.66666666666666663"/>
    <s v="Flagged"/>
    <s v=""/>
    <s v=""/>
    <n v="37050"/>
    <m/>
    <m/>
    <n v="2"/>
    <s v="Flagged"/>
    <n v="37050"/>
    <m/>
    <x v="2"/>
    <x v="2"/>
    <n v="37050"/>
    <n v="0"/>
    <n v="0"/>
  </r>
  <r>
    <s v="IDPsSD14043"/>
    <x v="13"/>
    <x v="13"/>
    <x v="150"/>
    <x v="151"/>
    <m/>
    <m/>
    <x v="258"/>
    <x v="1"/>
    <n v="44"/>
    <n v="19339.6391"/>
    <n v="49883"/>
    <n v="49883"/>
    <n v="2843"/>
    <n v="27435.65"/>
    <n v="19953"/>
    <n v="29379.091679999998"/>
    <n v="27436"/>
    <n v="19744"/>
    <n v="0"/>
    <n v="0"/>
    <n v="8.8206402982980172E-4"/>
    <n v="0.38769999999999999"/>
    <n v="1"/>
    <n v="1"/>
    <n v="5.6993364472866508E-2"/>
    <n v="0.55000000000000004"/>
    <n v="0.39999599061804625"/>
    <n v="0.58895999999999993"/>
    <n v="0.55000000000000004"/>
    <n v="0.4"/>
    <n v="0"/>
    <n v="0"/>
    <n v="49883"/>
    <s v="Food Security and Livlihoods_x000a_Health "/>
    <n v="1"/>
    <s v=""/>
    <s v="Flagged"/>
    <s v=""/>
    <n v="29379.091679999998"/>
    <s v="WASH"/>
    <n v="0.58895999999999993"/>
    <n v="20503.908320000002"/>
    <n v="0.69790817712578113"/>
    <s v="Flagged"/>
    <n v="27435.65"/>
    <s v="Protection"/>
    <n v="0.55000000000000004"/>
    <n v="22447.35"/>
    <n v="0.81818181818181812"/>
    <s v="Flagged"/>
    <s v=""/>
    <s v=""/>
    <n v="49883"/>
    <m/>
    <m/>
    <n v="3"/>
    <s v="Flagged"/>
    <n v="49883"/>
    <m/>
    <x v="2"/>
    <x v="2"/>
    <n v="49883"/>
    <n v="0"/>
    <n v="0"/>
  </r>
  <r>
    <s v="IDPsSD15030"/>
    <x v="14"/>
    <x v="14"/>
    <x v="151"/>
    <x v="152"/>
    <m/>
    <m/>
    <x v="259"/>
    <x v="1"/>
    <n v="4095"/>
    <n v="22367.963799999998"/>
    <n v="57694"/>
    <n v="57694"/>
    <n v="3796"/>
    <n v="57694"/>
    <n v="34616"/>
    <n v="27762.352800000001"/>
    <n v="31732"/>
    <n v="22835"/>
    <n v="0"/>
    <n v="57694"/>
    <n v="7.0977917981072558E-2"/>
    <n v="0.38769999999999993"/>
    <n v="1"/>
    <n v="1"/>
    <n v="6.5795403334835509E-2"/>
    <n v="1"/>
    <n v="0.59999306687003851"/>
    <n v="0.48120000000000002"/>
    <n v="0.55000000000000004"/>
    <n v="0.4"/>
    <n v="0"/>
    <n v="1"/>
    <n v="57694"/>
    <s v="Food Security and Livlihoods_x000a_Health _x000a_Protection"/>
    <n v="1"/>
    <s v=""/>
    <s v="Flagged"/>
    <s v=""/>
    <n v="34616"/>
    <s v="Shelter NFI "/>
    <n v="0.59999306687003851"/>
    <n v="23078"/>
    <n v="0.66668592558354522"/>
    <s v="Flagged"/>
    <n v="27762.352800000001"/>
    <s v="WASH"/>
    <n v="0.48120000000000002"/>
    <n v="29931.647199999999"/>
    <n v="1.0781379883624271"/>
    <s v="Flagged"/>
    <s v=""/>
    <s v=""/>
    <n v="57694"/>
    <m/>
    <m/>
    <n v="3"/>
    <s v="Flagged"/>
    <n v="57694"/>
    <m/>
    <x v="2"/>
    <x v="2"/>
    <n v="57694"/>
    <n v="0"/>
    <n v="0"/>
  </r>
  <r>
    <s v="IDPsSD15031"/>
    <x v="14"/>
    <x v="14"/>
    <x v="152"/>
    <x v="153"/>
    <m/>
    <m/>
    <x v="260"/>
    <x v="1"/>
    <n v="0"/>
    <n v="0"/>
    <n v="21966"/>
    <n v="21966"/>
    <n v="1422"/>
    <n v="21966"/>
    <n v="8786"/>
    <n v="14650.443359999999"/>
    <n v="12081"/>
    <n v="8693"/>
    <n v="0"/>
    <n v="21966"/>
    <n v="0"/>
    <n v="0"/>
    <n v="1"/>
    <n v="1"/>
    <n v="6.4736410816716744E-2"/>
    <n v="1"/>
    <n v="0.39998179003915141"/>
    <n v="0.66696"/>
    <n v="0.55000000000000004"/>
    <n v="0.4"/>
    <n v="0"/>
    <n v="1"/>
    <n v="21966"/>
    <s v="Food Security and Livlihoods_x000a_Health _x000a_Protection"/>
    <n v="1"/>
    <s v="Flagged"/>
    <s v="Flagged"/>
    <s v=""/>
    <n v="14650.443359999999"/>
    <s v="WASH"/>
    <n v="0.66696"/>
    <n v="7315.5566400000007"/>
    <n v="0.49934029027228027"/>
    <s v="Flagged"/>
    <n v="8786"/>
    <s v="Shelter NFI "/>
    <n v="0.39998179003915141"/>
    <n v="13180"/>
    <n v="1.5001138174368314"/>
    <s v="Flagged"/>
    <s v=""/>
    <s v=""/>
    <n v="21966"/>
    <m/>
    <m/>
    <n v="4"/>
    <s v="Flagged"/>
    <n v="21966"/>
    <m/>
    <x v="2"/>
    <x v="2"/>
    <n v="21966"/>
    <n v="0"/>
    <n v="0"/>
  </r>
  <r>
    <s v="IDPsSD15032"/>
    <x v="14"/>
    <x v="14"/>
    <x v="153"/>
    <x v="154"/>
    <m/>
    <m/>
    <x v="261"/>
    <x v="1"/>
    <n v="1244"/>
    <n v="16682.3433"/>
    <n v="43029"/>
    <n v="43029"/>
    <n v="3752"/>
    <n v="43029"/>
    <n v="17212"/>
    <n v="27097.943040000002"/>
    <n v="23666"/>
    <n v="17030"/>
    <n v="0"/>
    <n v="43029"/>
    <n v="2.8910734620837111E-2"/>
    <n v="0.38769999999999999"/>
    <n v="1"/>
    <n v="1"/>
    <n v="8.7197006669920279E-2"/>
    <n v="1"/>
    <n v="0.40000929605614816"/>
    <n v="0.6297600000000001"/>
    <n v="0.55000000000000004"/>
    <n v="0.4"/>
    <n v="0"/>
    <n v="1"/>
    <n v="43029"/>
    <s v="Food Security and Livlihoods_x000a_Health _x000a_Protection"/>
    <n v="1"/>
    <s v=""/>
    <s v="Flagged"/>
    <s v=""/>
    <n v="27097.943040000002"/>
    <s v="WASH"/>
    <n v="0.6297600000000001"/>
    <n v="15931.056959999998"/>
    <n v="0.58790650406504052"/>
    <s v="Flagged"/>
    <n v="17212"/>
    <s v="Shelter NFI "/>
    <n v="0.40000929605614816"/>
    <n v="25817"/>
    <n v="1.4999419009993029"/>
    <s v="Flagged"/>
    <s v=""/>
    <s v=""/>
    <n v="43029"/>
    <m/>
    <m/>
    <n v="3"/>
    <s v="Flagged"/>
    <n v="43029"/>
    <m/>
    <x v="2"/>
    <x v="2"/>
    <n v="43029"/>
    <n v="0"/>
    <n v="0"/>
  </r>
  <r>
    <s v="IDPsSD15033"/>
    <x v="14"/>
    <x v="14"/>
    <x v="154"/>
    <x v="155"/>
    <m/>
    <m/>
    <x v="262"/>
    <x v="1"/>
    <n v="0"/>
    <n v="0"/>
    <n v="14210"/>
    <n v="14210"/>
    <n v="1014"/>
    <n v="14210"/>
    <n v="0"/>
    <n v="7997.387999999999"/>
    <n v="7816"/>
    <n v="5624"/>
    <n v="0"/>
    <n v="14210"/>
    <n v="0"/>
    <n v="0"/>
    <n v="1"/>
    <n v="1"/>
    <n v="7.1358198451794516E-2"/>
    <n v="1"/>
    <n v="0"/>
    <n v="0.56279999999999997"/>
    <n v="0.55000000000000004"/>
    <n v="0.4"/>
    <n v="0"/>
    <n v="1"/>
    <n v="14210"/>
    <s v="Food Security and Livlihoods_x000a_Health _x000a_Protection"/>
    <n v="1"/>
    <s v="Flagged"/>
    <s v="Flagged"/>
    <s v=""/>
    <n v="7997.387999999999"/>
    <s v="WASH"/>
    <n v="0.56279999999999997"/>
    <n v="6212.612000000001"/>
    <n v="0.77683013503909049"/>
    <s v="Flagged"/>
    <n v="1014"/>
    <s v="Nutrition"/>
    <n v="7.1358198451794516E-2"/>
    <n v="13196"/>
    <n v="13.013806706114398"/>
    <s v="Flagged"/>
    <s v=""/>
    <s v=""/>
    <n v="14210"/>
    <m/>
    <m/>
    <n v="4"/>
    <s v="Flagged"/>
    <n v="14210"/>
    <m/>
    <x v="2"/>
    <x v="2"/>
    <n v="14210"/>
    <n v="0"/>
    <n v="0"/>
  </r>
  <r>
    <s v="IDPsSD15034"/>
    <x v="14"/>
    <x v="14"/>
    <x v="155"/>
    <x v="156"/>
    <m/>
    <m/>
    <x v="263"/>
    <x v="1"/>
    <n v="1902"/>
    <n v="0"/>
    <n v="21980"/>
    <n v="21980"/>
    <n v="1606"/>
    <n v="12089.000000000002"/>
    <n v="8792"/>
    <n v="19275.5808"/>
    <n v="12089"/>
    <n v="8700"/>
    <n v="0"/>
    <n v="0"/>
    <n v="8.6533212010919014E-2"/>
    <n v="0"/>
    <n v="1"/>
    <n v="1"/>
    <n v="7.3066424021838036E-2"/>
    <n v="0.55000000000000004"/>
    <n v="0.4"/>
    <n v="0.87695999999999996"/>
    <n v="0.55000000000000004"/>
    <n v="0.4"/>
    <n v="0"/>
    <n v="0"/>
    <n v="21980"/>
    <s v="Food Security and Livlihoods_x000a_Health "/>
    <n v="1"/>
    <s v=""/>
    <s v="Flagged"/>
    <s v=""/>
    <n v="19275.5808"/>
    <s v="WASH"/>
    <n v="0.87695999999999996"/>
    <n v="2704.4192000000003"/>
    <n v="0.14030286444079548"/>
    <s v=""/>
    <n v="12089.000000000002"/>
    <s v="Protection"/>
    <n v="0.55000000000000004"/>
    <n v="9890.9999999999982"/>
    <n v="0.8181818181818179"/>
    <s v="Flagged"/>
    <s v=""/>
    <s v=""/>
    <n v="21980"/>
    <m/>
    <m/>
    <n v="2"/>
    <s v="Flagged"/>
    <n v="21980"/>
    <m/>
    <x v="2"/>
    <x v="2"/>
    <n v="21980"/>
    <n v="0"/>
    <n v="0"/>
  </r>
  <r>
    <s v="IDPsSD15035"/>
    <x v="14"/>
    <x v="14"/>
    <x v="156"/>
    <x v="157"/>
    <m/>
    <m/>
    <x v="264"/>
    <x v="1"/>
    <n v="1320"/>
    <n v="28005.5095"/>
    <n v="72235"/>
    <n v="72235"/>
    <n v="3618"/>
    <n v="72235"/>
    <n v="43341"/>
    <n v="71677.345799999996"/>
    <n v="39729"/>
    <n v="28591"/>
    <n v="0"/>
    <n v="72235"/>
    <n v="1.8273690039454556E-2"/>
    <n v="0.38769999999999999"/>
    <n v="1"/>
    <n v="1"/>
    <n v="5.0086523153595901E-2"/>
    <n v="1"/>
    <n v="0.6"/>
    <n v="0.99227999999999994"/>
    <n v="0.55000000000000004"/>
    <n v="0.4"/>
    <n v="0"/>
    <n v="1"/>
    <n v="72235"/>
    <s v="Food Security and Livlihoods_x000a_Health _x000a_Protection"/>
    <n v="1"/>
    <s v=""/>
    <s v="Flagged"/>
    <s v=""/>
    <n v="71677.345799999996"/>
    <s v="WASH"/>
    <n v="0.99227999999999994"/>
    <n v="557.65420000000449"/>
    <n v="7.7800620792518871E-3"/>
    <s v=""/>
    <n v="43341"/>
    <s v="Shelter NFI "/>
    <n v="0.6"/>
    <n v="28894"/>
    <n v="0.66666666666666663"/>
    <s v="Flagged"/>
    <s v=""/>
    <s v=""/>
    <n v="72235"/>
    <m/>
    <m/>
    <n v="2"/>
    <s v="Flagged"/>
    <n v="72235"/>
    <m/>
    <x v="0"/>
    <x v="0"/>
    <n v="0"/>
    <n v="72235"/>
    <n v="0"/>
  </r>
  <r>
    <s v="IDPsSD15036"/>
    <x v="14"/>
    <x v="14"/>
    <x v="157"/>
    <x v="158"/>
    <m/>
    <m/>
    <x v="265"/>
    <x v="1"/>
    <n v="550"/>
    <n v="0"/>
    <n v="29680"/>
    <n v="29680"/>
    <n v="2718"/>
    <n v="16324.000000000002"/>
    <n v="11872"/>
    <n v="23852.035199999998"/>
    <n v="16324"/>
    <n v="11748"/>
    <n v="0"/>
    <n v="0"/>
    <n v="1.8530997304582211E-2"/>
    <n v="0"/>
    <n v="1"/>
    <n v="1"/>
    <n v="9.1576819407008084E-2"/>
    <n v="0.55000000000000004"/>
    <n v="0.4"/>
    <n v="0.80363999999999991"/>
    <n v="0.55000000000000004"/>
    <n v="0.4"/>
    <n v="0"/>
    <n v="0"/>
    <n v="29680"/>
    <s v="Food Security and Livlihoods_x000a_Health "/>
    <n v="1"/>
    <s v=""/>
    <s v="Flagged"/>
    <s v=""/>
    <n v="23852.035199999998"/>
    <s v="WASH"/>
    <n v="0.80363999999999991"/>
    <n v="5827.9648000000016"/>
    <n v="0.24433826091284663"/>
    <s v=""/>
    <n v="16324.000000000002"/>
    <s v="Protection"/>
    <n v="0.55000000000000004"/>
    <n v="13355.999999999998"/>
    <n v="0.81818181818181801"/>
    <s v="Flagged"/>
    <s v=""/>
    <s v=""/>
    <n v="29680"/>
    <m/>
    <m/>
    <n v="2"/>
    <s v="Flagged"/>
    <n v="29680"/>
    <m/>
    <x v="2"/>
    <x v="2"/>
    <n v="29680"/>
    <n v="0"/>
    <n v="0"/>
  </r>
  <r>
    <s v="IDPsSD15037"/>
    <x v="14"/>
    <x v="14"/>
    <x v="158"/>
    <x v="159"/>
    <m/>
    <m/>
    <x v="151"/>
    <x v="1"/>
    <n v="465"/>
    <n v="0"/>
    <n v="9110"/>
    <n v="9110"/>
    <n v="816"/>
    <n v="9110"/>
    <n v="0"/>
    <n v="5240.8007999999982"/>
    <n v="5011"/>
    <n v="3125"/>
    <n v="0"/>
    <n v="9110"/>
    <n v="5.1042810098792538E-2"/>
    <n v="0"/>
    <n v="1"/>
    <n v="1"/>
    <n v="8.9571899012074643E-2"/>
    <n v="1"/>
    <n v="0"/>
    <n v="0.57527999999999979"/>
    <n v="0.55000000000000004"/>
    <n v="0.35000000000000003"/>
    <n v="0"/>
    <n v="1"/>
    <n v="9110"/>
    <s v="Food Security and Livlihoods_x000a_Health _x000a_Protection"/>
    <n v="1"/>
    <s v="Flagged"/>
    <s v="Flagged"/>
    <s v=""/>
    <n v="5240.8007999999982"/>
    <s v="WASH"/>
    <n v="0.57527999999999979"/>
    <n v="3869.1992000000018"/>
    <n v="0.73828396606869762"/>
    <s v="Flagged"/>
    <n v="816"/>
    <s v="Nutrition"/>
    <n v="8.9571899012074643E-2"/>
    <n v="8294"/>
    <n v="10.16421568627451"/>
    <s v="Flagged"/>
    <s v=""/>
    <s v=""/>
    <n v="9110"/>
    <m/>
    <m/>
    <n v="4"/>
    <s v="Flagged"/>
    <n v="9110"/>
    <m/>
    <x v="2"/>
    <x v="2"/>
    <n v="9110"/>
    <n v="0"/>
    <n v="0"/>
  </r>
  <r>
    <s v="IDPsSD16008"/>
    <x v="15"/>
    <x v="15"/>
    <x v="159"/>
    <x v="160"/>
    <m/>
    <m/>
    <x v="152"/>
    <x v="1"/>
    <n v="5"/>
    <n v="0"/>
    <n v="28100"/>
    <n v="28100"/>
    <n v="5622"/>
    <n v="28100"/>
    <n v="11240"/>
    <n v="26561.243999999995"/>
    <n v="15455"/>
    <n v="11123"/>
    <n v="0"/>
    <n v="28100"/>
    <n v="1.7793594306049823E-4"/>
    <n v="0"/>
    <n v="1"/>
    <n v="1"/>
    <n v="0.20007117437722419"/>
    <n v="1"/>
    <n v="0.4"/>
    <n v="0.94523999999999986"/>
    <n v="0.55000000000000004"/>
    <n v="0.4"/>
    <n v="0"/>
    <n v="1"/>
    <n v="28100"/>
    <s v="Food Security and Livlihoods_x000a_Health _x000a_Protection"/>
    <n v="1"/>
    <s v=""/>
    <s v="Flagged"/>
    <s v=""/>
    <n v="26561.243999999995"/>
    <s v="WASH"/>
    <n v="0.94523999999999986"/>
    <n v="1538.7560000000049"/>
    <n v="5.7932376962464754E-2"/>
    <s v=""/>
    <n v="11240"/>
    <s v="Shelter NFI "/>
    <n v="0.4"/>
    <n v="16860"/>
    <n v="1.5"/>
    <s v="Flagged"/>
    <s v=""/>
    <s v=""/>
    <n v="28100"/>
    <m/>
    <m/>
    <n v="2"/>
    <s v="Flagged"/>
    <n v="28100"/>
    <m/>
    <x v="2"/>
    <x v="2"/>
    <n v="28100"/>
    <n v="0"/>
    <n v="0"/>
  </r>
  <r>
    <s v="IDPsSD16009"/>
    <x v="15"/>
    <x v="15"/>
    <x v="160"/>
    <x v="161"/>
    <m/>
    <m/>
    <x v="153"/>
    <x v="1"/>
    <n v="0"/>
    <n v="37167.248200000002"/>
    <n v="95866"/>
    <n v="95866"/>
    <n v="11374"/>
    <n v="95866"/>
    <n v="57520"/>
    <n v="47856.30720000001"/>
    <n v="52726"/>
    <n v="37945"/>
    <n v="0"/>
    <n v="95866"/>
    <n v="0"/>
    <n v="0.38770000000000004"/>
    <n v="1"/>
    <n v="1"/>
    <n v="0.11864477499843532"/>
    <n v="1"/>
    <n v="0.60000417249076832"/>
    <n v="0.49920000000000009"/>
    <n v="0.55000000000000004"/>
    <n v="0.4"/>
    <n v="0"/>
    <n v="1"/>
    <n v="95866"/>
    <s v="Food Security and Livlihoods_x000a_Health _x000a_Protection"/>
    <n v="1"/>
    <s v=""/>
    <s v="Flagged"/>
    <s v=""/>
    <n v="57520"/>
    <s v="Shelter NFI "/>
    <n v="0.60000417249076832"/>
    <n v="38346"/>
    <n v="0.66665507649513212"/>
    <s v="Flagged"/>
    <n v="47856.30720000001"/>
    <s v="WASH"/>
    <n v="0.49920000000000009"/>
    <n v="48009.69279999999"/>
    <n v="1.0032051282051277"/>
    <s v="Flagged"/>
    <s v=""/>
    <s v="Flagged"/>
    <n v="95866"/>
    <m/>
    <m/>
    <n v="4"/>
    <s v="Flagged"/>
    <n v="95866"/>
    <m/>
    <x v="2"/>
    <x v="2"/>
    <n v="95866"/>
    <n v="0"/>
    <n v="0"/>
  </r>
  <r>
    <s v="IDPsSD16010"/>
    <x v="15"/>
    <x v="15"/>
    <x v="161"/>
    <x v="162"/>
    <m/>
    <m/>
    <x v="266"/>
    <x v="1"/>
    <n v="10000"/>
    <n v="38770"/>
    <n v="100000"/>
    <n v="100000"/>
    <n v="14642"/>
    <n v="100000"/>
    <n v="60000"/>
    <n v="108276.00000000001"/>
    <n v="55000"/>
    <n v="39580"/>
    <n v="0"/>
    <n v="100000"/>
    <n v="0.1"/>
    <n v="0.38769999999999999"/>
    <n v="1"/>
    <n v="1"/>
    <n v="0.14641999999999999"/>
    <n v="1"/>
    <n v="0.6"/>
    <n v="1.0827600000000002"/>
    <n v="0.55000000000000004"/>
    <n v="0.4"/>
    <n v="0"/>
    <n v="1"/>
    <n v="108276.00000000001"/>
    <s v="WASH"/>
    <n v="1.0827600000000002"/>
    <s v=""/>
    <s v="Flagged"/>
    <s v=""/>
    <n v="100000"/>
    <s v="Food Security and Livlihoods_x000a_Health _x000a_Protection"/>
    <n v="1"/>
    <n v="8276.0000000000146"/>
    <n v="8.2760000000000139E-2"/>
    <s v=""/>
    <n v="60000"/>
    <s v="Shelter NFI "/>
    <n v="0.6"/>
    <n v="48276.000000000015"/>
    <n v="0.8046000000000002"/>
    <s v="Flagged"/>
    <s v=""/>
    <s v=""/>
    <n v="108276.00000000001"/>
    <m/>
    <m/>
    <n v="2"/>
    <s v="Flagged"/>
    <n v="100000"/>
    <m/>
    <x v="2"/>
    <x v="0"/>
    <n v="0"/>
    <n v="100000"/>
    <n v="0"/>
  </r>
  <r>
    <s v="IDPsSD16011"/>
    <x v="15"/>
    <x v="15"/>
    <x v="162"/>
    <x v="163"/>
    <m/>
    <m/>
    <x v="155"/>
    <x v="1"/>
    <n v="2082"/>
    <n v="42609.393100000001"/>
    <n v="109903"/>
    <n v="109903"/>
    <n v="8438"/>
    <n v="109903"/>
    <n v="65942"/>
    <n v="83640.579119999995"/>
    <n v="60447"/>
    <n v="43501"/>
    <n v="0"/>
    <n v="109903"/>
    <n v="1.8943977871395686E-2"/>
    <n v="0.38769999999999999"/>
    <n v="1"/>
    <n v="1"/>
    <n v="7.6776794082054178E-2"/>
    <n v="1"/>
    <n v="0.60000181978653899"/>
    <n v="0.76103999999999994"/>
    <n v="0.55000000000000004"/>
    <n v="0.4"/>
    <n v="0"/>
    <n v="1"/>
    <n v="109903"/>
    <s v="Food Security and Livlihoods_x000a_Health _x000a_Protection"/>
    <n v="1"/>
    <s v=""/>
    <s v="Flagged"/>
    <s v=""/>
    <n v="83640.579119999995"/>
    <s v="WASH"/>
    <n v="0.76103999999999994"/>
    <n v="26262.420880000005"/>
    <n v="0.31399138021654588"/>
    <s v="Flagged"/>
    <n v="65942"/>
    <s v="Shelter NFI "/>
    <n v="0.60000181978653899"/>
    <n v="43961"/>
    <n v="0.66666161171938976"/>
    <s v="Flagged"/>
    <s v=""/>
    <s v=""/>
    <n v="109903"/>
    <m/>
    <m/>
    <n v="3"/>
    <s v="Flagged"/>
    <n v="109903"/>
    <m/>
    <x v="2"/>
    <x v="2"/>
    <n v="109903"/>
    <n v="0"/>
    <n v="0"/>
  </r>
  <r>
    <s v="IDPsSD16012"/>
    <x v="15"/>
    <x v="15"/>
    <x v="163"/>
    <x v="164"/>
    <m/>
    <m/>
    <x v="267"/>
    <x v="1"/>
    <n v="0"/>
    <n v="39589.985500000003"/>
    <n v="102115"/>
    <n v="102115"/>
    <n v="7188"/>
    <n v="102115"/>
    <n v="61269"/>
    <n v="51625.259399999988"/>
    <n v="56163"/>
    <n v="40418"/>
    <n v="0"/>
    <n v="102115"/>
    <n v="0"/>
    <n v="0.38770000000000004"/>
    <n v="1"/>
    <n v="1"/>
    <n v="7.0391225579004069E-2"/>
    <n v="1"/>
    <n v="0.6"/>
    <n v="0.5055599999999999"/>
    <n v="0.55000000000000004"/>
    <n v="0.4"/>
    <n v="0"/>
    <n v="1"/>
    <n v="102115"/>
    <s v="Food Security and Livlihoods_x000a_Health _x000a_Protection"/>
    <n v="1"/>
    <s v=""/>
    <s v="Flagged"/>
    <s v=""/>
    <n v="61269"/>
    <s v="Shelter NFI "/>
    <n v="0.6"/>
    <n v="40846"/>
    <n v="0.66666666666666663"/>
    <s v="Flagged"/>
    <n v="51625.259399999988"/>
    <s v="WASH"/>
    <n v="0.5055599999999999"/>
    <n v="50489.740600000012"/>
    <n v="0.9780045889706469"/>
    <s v="Flagged"/>
    <s v=""/>
    <s v="Flagged"/>
    <n v="102115"/>
    <m/>
    <m/>
    <n v="4"/>
    <s v="Flagged"/>
    <n v="102115"/>
    <m/>
    <x v="2"/>
    <x v="2"/>
    <n v="102115"/>
    <n v="0"/>
    <n v="0"/>
  </r>
  <r>
    <s v="IDPsSD16013"/>
    <x v="15"/>
    <x v="15"/>
    <x v="164"/>
    <x v="165"/>
    <m/>
    <m/>
    <x v="268"/>
    <x v="1"/>
    <n v="0"/>
    <n v="18844.546200000001"/>
    <n v="48606"/>
    <n v="48606"/>
    <n v="6684"/>
    <n v="48606"/>
    <n v="19442"/>
    <n v="22986.749519999998"/>
    <n v="26733"/>
    <n v="19238"/>
    <n v="0"/>
    <n v="48606"/>
    <n v="0"/>
    <n v="0.38769999999999999"/>
    <n v="1"/>
    <n v="1"/>
    <n v="0.13751388717442292"/>
    <n v="1"/>
    <n v="0.39999177056330493"/>
    <n v="0.47291999999999995"/>
    <n v="0.55000000000000004"/>
    <n v="0.4"/>
    <n v="0"/>
    <n v="1"/>
    <n v="48606"/>
    <s v="Food Security and Livlihoods_x000a_Health _x000a_Protection"/>
    <n v="1"/>
    <s v=""/>
    <s v="Flagged"/>
    <s v=""/>
    <n v="22986.749519999998"/>
    <s v="WASH"/>
    <n v="0.47291999999999995"/>
    <n v="25619.250480000002"/>
    <n v="1.1145225408102852"/>
    <s v="Flagged"/>
    <n v="19442"/>
    <s v="Shelter NFI "/>
    <n v="0.39999177056330493"/>
    <n v="29164"/>
    <n v="1.5000514350375476"/>
    <s v="Flagged"/>
    <s v=""/>
    <s v=""/>
    <n v="48606"/>
    <m/>
    <m/>
    <n v="3"/>
    <s v="Flagged"/>
    <n v="48606"/>
    <m/>
    <x v="2"/>
    <x v="2"/>
    <n v="48606"/>
    <n v="0"/>
    <n v="0"/>
  </r>
  <r>
    <s v="IDPsSD16014"/>
    <x v="15"/>
    <x v="15"/>
    <x v="165"/>
    <x v="166"/>
    <m/>
    <m/>
    <x v="158"/>
    <x v="1"/>
    <n v="0"/>
    <n v="12077.6304"/>
    <n v="31152"/>
    <n v="31152"/>
    <n v="5046"/>
    <n v="31152"/>
    <n v="12461"/>
    <n v="27049.904639999997"/>
    <n v="17134"/>
    <n v="12330"/>
    <n v="0"/>
    <n v="31152"/>
    <n v="0"/>
    <n v="0.38769999999999999"/>
    <n v="1"/>
    <n v="1"/>
    <n v="0.16197996918335902"/>
    <n v="1"/>
    <n v="0.40000642013353876"/>
    <n v="0.86831999999999987"/>
    <n v="0.55000000000000004"/>
    <n v="0.4"/>
    <n v="0"/>
    <n v="1"/>
    <n v="31152"/>
    <s v="Food Security and Livlihoods_x000a_Health _x000a_Protection"/>
    <n v="1"/>
    <s v=""/>
    <s v="Flagged"/>
    <s v=""/>
    <n v="27049.904639999997"/>
    <s v="WASH"/>
    <n v="0.86831999999999987"/>
    <n v="4102.095360000003"/>
    <n v="0.15164916159941047"/>
    <s v=""/>
    <n v="12461"/>
    <s v="Shelter NFI "/>
    <n v="0.40000642013353876"/>
    <n v="18691"/>
    <n v="1.4999598748094054"/>
    <s v="Flagged"/>
    <s v=""/>
    <s v=""/>
    <n v="31152"/>
    <m/>
    <m/>
    <n v="2"/>
    <s v="Flagged"/>
    <n v="31152"/>
    <m/>
    <x v="2"/>
    <x v="2"/>
    <n v="31152"/>
    <n v="0"/>
    <n v="0"/>
  </r>
  <r>
    <s v="IDPsSD17014"/>
    <x v="16"/>
    <x v="16"/>
    <x v="166"/>
    <x v="167"/>
    <m/>
    <m/>
    <x v="269"/>
    <x v="1"/>
    <n v="0"/>
    <n v="20239.878499999999"/>
    <n v="52205"/>
    <n v="52205"/>
    <n v="2208"/>
    <n v="52205"/>
    <n v="31323"/>
    <n v="29474.942999999999"/>
    <n v="28713"/>
    <n v="20663"/>
    <n v="0"/>
    <n v="52205"/>
    <n v="0"/>
    <n v="0.38769999999999999"/>
    <n v="1"/>
    <n v="1"/>
    <n v="4.2294799348721386E-2"/>
    <n v="1"/>
    <n v="0.6"/>
    <n v="0.56459999999999999"/>
    <n v="0.55000000000000004"/>
    <n v="0.4"/>
    <n v="0"/>
    <n v="1"/>
    <n v="52205"/>
    <s v="Food Security and Livlihoods_x000a_Health _x000a_Protection"/>
    <n v="1"/>
    <s v=""/>
    <s v="Flagged"/>
    <s v=""/>
    <n v="31323"/>
    <s v="Shelter NFI "/>
    <n v="0.6"/>
    <n v="20882"/>
    <n v="0.66666666666666663"/>
    <s v="Flagged"/>
    <n v="29474.942999999999"/>
    <s v="WASH"/>
    <n v="0.56459999999999999"/>
    <n v="22730.057000000001"/>
    <n v="0.77116542685086786"/>
    <s v="Flagged"/>
    <s v=""/>
    <s v="Flagged"/>
    <n v="52205"/>
    <m/>
    <m/>
    <n v="4"/>
    <s v="Flagged"/>
    <n v="52205"/>
    <m/>
    <x v="2"/>
    <x v="2"/>
    <n v="52205"/>
    <n v="0"/>
    <n v="0"/>
  </r>
  <r>
    <s v="IDPsSD17015"/>
    <x v="16"/>
    <x v="16"/>
    <x v="167"/>
    <x v="168"/>
    <m/>
    <m/>
    <x v="160"/>
    <x v="1"/>
    <n v="0"/>
    <n v="17353.452000000001"/>
    <n v="44760"/>
    <n v="44760"/>
    <n v="4635"/>
    <n v="24618.000000000004"/>
    <n v="17904"/>
    <n v="15662.419199999997"/>
    <n v="24618"/>
    <n v="17717"/>
    <n v="0"/>
    <n v="0"/>
    <n v="0"/>
    <n v="0.38770000000000004"/>
    <n v="1"/>
    <n v="1"/>
    <n v="0.10355227882037533"/>
    <n v="0.55000000000000004"/>
    <n v="0.4"/>
    <n v="0.3499199999999999"/>
    <n v="0.55000000000000004"/>
    <n v="0.4"/>
    <n v="0"/>
    <n v="0"/>
    <n v="44760"/>
    <s v="Food Security and Livlihoods_x000a_Health "/>
    <n v="1"/>
    <s v=""/>
    <s v="Flagged"/>
    <s v=""/>
    <n v="24618.000000000004"/>
    <s v="Protection"/>
    <n v="0.55000000000000004"/>
    <n v="20141.999999999996"/>
    <n v="0.8181818181818179"/>
    <s v="Flagged"/>
    <n v="17904"/>
    <s v="Shelter NFI "/>
    <n v="0.4"/>
    <n v="26856"/>
    <n v="1.5"/>
    <s v="Flagged"/>
    <s v=""/>
    <s v=""/>
    <n v="44760"/>
    <m/>
    <m/>
    <n v="3"/>
    <s v="Flagged"/>
    <n v="44760"/>
    <m/>
    <x v="2"/>
    <x v="2"/>
    <n v="44760"/>
    <n v="0"/>
    <n v="0"/>
  </r>
  <r>
    <s v="IDPsSD17016"/>
    <x v="16"/>
    <x v="16"/>
    <x v="168"/>
    <x v="169"/>
    <m/>
    <m/>
    <x v="161"/>
    <x v="1"/>
    <n v="1347"/>
    <n v="17175.885399999999"/>
    <n v="44302"/>
    <n v="44302"/>
    <n v="3727"/>
    <n v="24366.100000000002"/>
    <n v="17721"/>
    <n v="13503.249600000005"/>
    <n v="24366"/>
    <n v="17535"/>
    <n v="0"/>
    <n v="0"/>
    <n v="3.0404947857884519E-2"/>
    <n v="0.38769999999999999"/>
    <n v="1"/>
    <n v="1"/>
    <n v="8.4127127443456282E-2"/>
    <n v="0.55000000000000004"/>
    <n v="0.40000451446887275"/>
    <n v="0.30480000000000013"/>
    <n v="0.55000000000000004"/>
    <n v="0.4"/>
    <n v="0"/>
    <n v="0"/>
    <n v="44302"/>
    <s v="Food Security and Livlihoods_x000a_Health "/>
    <n v="1"/>
    <s v=""/>
    <s v="Flagged"/>
    <s v=""/>
    <n v="24366.100000000002"/>
    <s v="Protection"/>
    <n v="0.55000000000000004"/>
    <n v="19935.899999999998"/>
    <n v="0.81818181818181801"/>
    <s v="Flagged"/>
    <n v="17721"/>
    <s v="Shelter NFI "/>
    <n v="0.40000451446887275"/>
    <n v="26581"/>
    <n v="1.4999717848879861"/>
    <s v="Flagged"/>
    <s v=""/>
    <s v=""/>
    <n v="44302"/>
    <m/>
    <m/>
    <n v="3"/>
    <s v="Flagged"/>
    <n v="44302"/>
    <m/>
    <x v="2"/>
    <x v="2"/>
    <n v="44302"/>
    <n v="0"/>
    <n v="0"/>
  </r>
  <r>
    <s v="IDPsSD17017"/>
    <x v="16"/>
    <x v="16"/>
    <x v="169"/>
    <x v="170"/>
    <m/>
    <m/>
    <x v="270"/>
    <x v="1"/>
    <n v="0"/>
    <n v="19404.772699999998"/>
    <n v="50051"/>
    <n v="50051"/>
    <n v="6070"/>
    <n v="27528.050000000003"/>
    <n v="30031"/>
    <n v="25934.426160000003"/>
    <n v="27528"/>
    <n v="19811"/>
    <n v="0"/>
    <n v="0"/>
    <n v="0"/>
    <n v="0.38769999999999993"/>
    <n v="1"/>
    <n v="1"/>
    <n v="0.12127629817586062"/>
    <n v="0.55000000000000004"/>
    <n v="0.60000799184831477"/>
    <n v="0.51816000000000006"/>
    <n v="0.55000000000000004"/>
    <n v="0.4"/>
    <n v="0"/>
    <n v="0"/>
    <n v="50051"/>
    <s v="Food Security and Livlihoods_x000a_Health "/>
    <n v="1"/>
    <s v=""/>
    <s v="Flagged"/>
    <s v=""/>
    <n v="30031"/>
    <s v="Shelter NFI "/>
    <n v="0.60000799184831477"/>
    <n v="20020"/>
    <n v="0.66664446738370353"/>
    <s v="Flagged"/>
    <n v="27528.050000000003"/>
    <s v="Protection"/>
    <n v="0.55000000000000004"/>
    <n v="22522.949999999997"/>
    <n v="0.81818181818181801"/>
    <s v="Flagged"/>
    <s v=""/>
    <s v=""/>
    <n v="50051"/>
    <m/>
    <m/>
    <n v="3"/>
    <s v="Flagged"/>
    <n v="50051"/>
    <m/>
    <x v="2"/>
    <x v="2"/>
    <n v="50051"/>
    <n v="0"/>
    <n v="0"/>
  </r>
  <r>
    <s v="IDPsSD17018"/>
    <x v="16"/>
    <x v="16"/>
    <x v="170"/>
    <x v="171"/>
    <m/>
    <m/>
    <x v="163"/>
    <x v="1"/>
    <n v="0"/>
    <n v="15628.187"/>
    <n v="40310"/>
    <n v="40310"/>
    <n v="3291"/>
    <n v="22170.5"/>
    <n v="16124"/>
    <n v="15242.017200000002"/>
    <n v="22171"/>
    <n v="15954"/>
    <n v="0"/>
    <n v="0"/>
    <n v="0"/>
    <n v="0.38769999999999999"/>
    <n v="1"/>
    <n v="1"/>
    <n v="8.164227238898536E-2"/>
    <n v="0.55000000000000004"/>
    <n v="0.4"/>
    <n v="0.37812000000000007"/>
    <n v="0.55000000000000004"/>
    <n v="0.4"/>
    <n v="0"/>
    <n v="0"/>
    <n v="40310"/>
    <s v="Food Security and Livlihoods_x000a_Health "/>
    <n v="1"/>
    <s v=""/>
    <s v="Flagged"/>
    <s v=""/>
    <n v="22170.5"/>
    <s v="Protection"/>
    <n v="0.55000000000000004"/>
    <n v="18139.5"/>
    <n v="0.81818181818181823"/>
    <s v="Flagged"/>
    <n v="16124"/>
    <s v="Shelter NFI "/>
    <n v="0.4"/>
    <n v="24186"/>
    <n v="1.5"/>
    <s v="Flagged"/>
    <s v=""/>
    <s v="Flagged"/>
    <n v="40310"/>
    <m/>
    <m/>
    <n v="4"/>
    <s v="Flagged"/>
    <n v="40310"/>
    <m/>
    <x v="2"/>
    <x v="2"/>
    <n v="40310"/>
    <n v="0"/>
    <n v="0"/>
  </r>
  <r>
    <s v="IDPsSD17019"/>
    <x v="16"/>
    <x v="16"/>
    <x v="171"/>
    <x v="172"/>
    <m/>
    <m/>
    <x v="271"/>
    <x v="1"/>
    <n v="0"/>
    <n v="26983.919999999998"/>
    <n v="69600"/>
    <n v="69600"/>
    <n v="5585"/>
    <n v="38280"/>
    <n v="41760"/>
    <n v="18892.224000000002"/>
    <n v="38280"/>
    <n v="27549"/>
    <n v="0"/>
    <n v="0"/>
    <n v="0"/>
    <n v="0.38769999999999999"/>
    <n v="1"/>
    <n v="1"/>
    <n v="8.0244252873563224E-2"/>
    <n v="0.55000000000000004"/>
    <n v="0.6"/>
    <n v="0.27144000000000001"/>
    <n v="0.55000000000000004"/>
    <n v="0.4"/>
    <n v="0"/>
    <n v="0"/>
    <n v="69600"/>
    <s v="Food Security and Livlihoods_x000a_Health "/>
    <n v="1"/>
    <s v=""/>
    <s v="Flagged"/>
    <s v=""/>
    <n v="41760"/>
    <s v="Shelter NFI "/>
    <n v="0.6"/>
    <n v="27840"/>
    <n v="0.66666666666666663"/>
    <s v="Flagged"/>
    <n v="38280"/>
    <s v="Protection"/>
    <n v="0.55000000000000004"/>
    <n v="31320"/>
    <n v="0.81818181818181823"/>
    <s v="Flagged"/>
    <s v=""/>
    <s v="Flagged"/>
    <n v="69600"/>
    <m/>
    <m/>
    <n v="4"/>
    <s v="Flagged"/>
    <n v="69600"/>
    <m/>
    <x v="2"/>
    <x v="2"/>
    <n v="69600"/>
    <n v="0"/>
    <n v="0"/>
  </r>
  <r>
    <s v="IDPsSD17020"/>
    <x v="16"/>
    <x v="16"/>
    <x v="172"/>
    <x v="173"/>
    <m/>
    <m/>
    <x v="272"/>
    <x v="1"/>
    <n v="0"/>
    <n v="26147.651099999999"/>
    <n v="67443"/>
    <n v="67443"/>
    <n v="5406"/>
    <n v="37093.65"/>
    <n v="40466"/>
    <n v="35860.791960000002"/>
    <n v="37094"/>
    <n v="26695"/>
    <n v="0"/>
    <n v="0"/>
    <n v="0"/>
    <n v="0.38769999999999999"/>
    <n v="1"/>
    <n v="1"/>
    <n v="8.0156576664739118E-2"/>
    <n v="0.55000000000000004"/>
    <n v="0.60000296546713516"/>
    <n v="0.53172000000000008"/>
    <n v="0.55000000000000004"/>
    <n v="0.4"/>
    <n v="0"/>
    <n v="0"/>
    <n v="67443"/>
    <s v="Food Security and Livlihoods_x000a_Health "/>
    <n v="1"/>
    <s v=""/>
    <s v="Flagged"/>
    <s v=""/>
    <n v="40466"/>
    <s v="Shelter NFI "/>
    <n v="0.60000296546713516"/>
    <n v="26977"/>
    <n v="0.66665842929867047"/>
    <s v="Flagged"/>
    <n v="37093.65"/>
    <s v="Protection"/>
    <n v="0.55000000000000004"/>
    <n v="30349.35"/>
    <n v="0.81818181818181812"/>
    <s v="Flagged"/>
    <s v=""/>
    <s v=""/>
    <n v="67443"/>
    <m/>
    <m/>
    <n v="3"/>
    <s v="Flagged"/>
    <n v="67443"/>
    <m/>
    <x v="2"/>
    <x v="2"/>
    <n v="67443"/>
    <n v="0"/>
    <n v="0"/>
  </r>
  <r>
    <s v="IDPsSD18021"/>
    <x v="17"/>
    <x v="17"/>
    <x v="173"/>
    <x v="174"/>
    <m/>
    <m/>
    <x v="273"/>
    <x v="1"/>
    <n v="1149"/>
    <n v="0"/>
    <n v="12124"/>
    <n v="12124"/>
    <n v="1387"/>
    <n v="12124"/>
    <n v="4850"/>
    <n v="14014.859040000001"/>
    <n v="6668"/>
    <n v="4159"/>
    <n v="0"/>
    <n v="12124"/>
    <n v="9.4770702738370169E-2"/>
    <n v="0"/>
    <n v="1"/>
    <n v="1"/>
    <n v="0.11440118772682283"/>
    <n v="1"/>
    <n v="0.40003299241174528"/>
    <n v="1.1559600000000001"/>
    <n v="0.55000000000000004"/>
    <n v="0.35000000000000003"/>
    <n v="0"/>
    <n v="1"/>
    <n v="14014.859040000001"/>
    <s v="WASH"/>
    <n v="1.1559600000000001"/>
    <s v=""/>
    <s v="Flagged"/>
    <s v=""/>
    <n v="12124"/>
    <s v="Food Security and Livlihoods_x000a_Health _x000a_Protection"/>
    <n v="1"/>
    <n v="1890.8590400000012"/>
    <n v="0.1559600000000001"/>
    <s v=""/>
    <n v="4850"/>
    <s v="Shelter NFI "/>
    <n v="0.40003299241174528"/>
    <n v="9164.8590400000012"/>
    <n v="1.8896616577319589"/>
    <s v="Flagged"/>
    <s v=""/>
    <s v=""/>
    <n v="14014.859040000001"/>
    <m/>
    <m/>
    <n v="2"/>
    <s v="Flagged"/>
    <n v="12124"/>
    <m/>
    <x v="1"/>
    <x v="2"/>
    <n v="12124"/>
    <n v="0"/>
    <n v="0"/>
  </r>
  <r>
    <s v="IDPsSD18022"/>
    <x v="17"/>
    <x v="17"/>
    <x v="174"/>
    <x v="175"/>
    <m/>
    <m/>
    <x v="167"/>
    <x v="1"/>
    <n v="4963"/>
    <n v="13944.793599999999"/>
    <n v="35968"/>
    <n v="35968"/>
    <n v="4113"/>
    <n v="35968"/>
    <n v="21581"/>
    <n v="40904.248319999999"/>
    <n v="19782"/>
    <n v="12338"/>
    <n v="10790.4"/>
    <n v="35968"/>
    <n v="0.13798376334519574"/>
    <n v="0.38769999999999999"/>
    <n v="1"/>
    <n v="1"/>
    <n v="0.11435164590747331"/>
    <n v="1"/>
    <n v="0.60000556049822062"/>
    <n v="1.13724"/>
    <n v="0.55000000000000004"/>
    <n v="0.35000000000000003"/>
    <n v="0.30000000000000004"/>
    <n v="1"/>
    <n v="40904.248319999999"/>
    <s v="WASH"/>
    <n v="1.13724"/>
    <s v=""/>
    <s v="Flagged"/>
    <s v=""/>
    <n v="35968"/>
    <s v="Food Security and Livlihoods_x000a_Health _x000a_Protection"/>
    <n v="1"/>
    <n v="4936.2483199999988"/>
    <n v="0.13723999999999997"/>
    <s v=""/>
    <n v="21581"/>
    <s v="Shelter NFI "/>
    <n v="0.60000556049822062"/>
    <n v="19323.248319999999"/>
    <n v="0.89538243454890876"/>
    <s v="Flagged"/>
    <s v=""/>
    <s v=""/>
    <n v="40904.248319999999"/>
    <m/>
    <m/>
    <n v="2"/>
    <s v="Flagged"/>
    <n v="35968"/>
    <m/>
    <x v="1"/>
    <x v="0"/>
    <n v="0"/>
    <n v="35968"/>
    <n v="0"/>
  </r>
  <r>
    <s v="IDPsSD18028"/>
    <x v="17"/>
    <x v="17"/>
    <x v="175"/>
    <x v="176"/>
    <m/>
    <m/>
    <x v="274"/>
    <x v="1"/>
    <n v="6040"/>
    <n v="3797.5214999999998"/>
    <n v="9795"/>
    <n v="9795"/>
    <n v="977"/>
    <n v="9795"/>
    <n v="3918"/>
    <n v="0"/>
    <n v="5387"/>
    <n v="3359"/>
    <n v="0"/>
    <n v="9795"/>
    <n v="0.61664114344053089"/>
    <n v="0.38769999999999999"/>
    <n v="1"/>
    <n v="1"/>
    <n v="9.9744767738642159E-2"/>
    <n v="1"/>
    <n v="0.4"/>
    <n v="0"/>
    <n v="0.55000000000000004"/>
    <n v="0.35000000000000003"/>
    <n v="0"/>
    <n v="1"/>
    <n v="9795"/>
    <s v="Food Security and Livlihoods_x000a_Health _x000a_Protection"/>
    <n v="1"/>
    <s v=""/>
    <s v="Flagged"/>
    <s v=""/>
    <n v="6040"/>
    <s v="Site Management "/>
    <n v="0.61664114344053089"/>
    <n v="3755"/>
    <n v="0.62168874172185429"/>
    <s v="Flagged"/>
    <n v="3918"/>
    <s v="Shelter NFI "/>
    <n v="0.4"/>
    <n v="5877"/>
    <n v="1.5"/>
    <s v="Flagged"/>
    <s v=""/>
    <s v=""/>
    <n v="9795"/>
    <m/>
    <m/>
    <n v="3"/>
    <s v="Flagged"/>
    <n v="9795"/>
    <m/>
    <x v="1"/>
    <x v="0"/>
    <n v="0"/>
    <n v="9795"/>
    <n v="0"/>
  </r>
  <r>
    <s v="IDPsSD18029"/>
    <x v="17"/>
    <x v="17"/>
    <x v="176"/>
    <x v="177"/>
    <m/>
    <m/>
    <x v="275"/>
    <x v="1"/>
    <n v="812"/>
    <n v="0"/>
    <n v="4603"/>
    <n v="4603"/>
    <n v="506"/>
    <n v="4603"/>
    <n v="0"/>
    <n v="0"/>
    <n v="2532"/>
    <n v="1579"/>
    <n v="0"/>
    <n v="4603"/>
    <n v="0.17640669128829026"/>
    <n v="0"/>
    <n v="1"/>
    <n v="1"/>
    <n v="0.10992830762546166"/>
    <n v="1"/>
    <n v="0"/>
    <n v="0"/>
    <n v="0.55000000000000004"/>
    <n v="0.35000000000000003"/>
    <n v="0"/>
    <n v="1"/>
    <n v="4603"/>
    <s v="Food Security and Livlihoods_x000a_Health _x000a_Protection"/>
    <n v="1"/>
    <s v="Flagged"/>
    <s v="Flagged"/>
    <s v=""/>
    <n v="812"/>
    <s v="Site Management "/>
    <n v="0.17640669128829026"/>
    <n v="3791"/>
    <n v="4.6687192118226601"/>
    <s v="Flagged"/>
    <n v="506"/>
    <s v="Nutrition"/>
    <n v="0.10992830762546166"/>
    <n v="4097"/>
    <n v="8.0968379446640313"/>
    <s v="Flagged"/>
    <s v=""/>
    <s v=""/>
    <n v="4603"/>
    <m/>
    <m/>
    <n v="4"/>
    <s v="Flagged"/>
    <n v="4603"/>
    <m/>
    <x v="1"/>
    <x v="2"/>
    <n v="4603"/>
    <n v="0"/>
    <n v="0"/>
  </r>
  <r>
    <s v="IDPsSD18085"/>
    <x v="17"/>
    <x v="17"/>
    <x v="177"/>
    <x v="178"/>
    <m/>
    <m/>
    <x v="276"/>
    <x v="1"/>
    <n v="7740"/>
    <n v="4547.7209999999995"/>
    <n v="11730"/>
    <n v="11730"/>
    <n v="748"/>
    <n v="11730"/>
    <n v="4692"/>
    <n v="4898.4479999999994"/>
    <n v="6452"/>
    <n v="0"/>
    <n v="0"/>
    <n v="11730"/>
    <n v="0.65984654731457804"/>
    <n v="0.38769999999999999"/>
    <n v="1"/>
    <n v="1"/>
    <n v="6.3768115942028983E-2"/>
    <n v="1"/>
    <n v="0.4"/>
    <n v="0.41759999999999997"/>
    <n v="0.55000000000000004"/>
    <n v="0"/>
    <n v="0"/>
    <n v="1"/>
    <n v="11730"/>
    <s v="Food Security and Livlihoods_x000a_Health _x000a_Protection"/>
    <n v="1"/>
    <s v=""/>
    <s v="Flagged"/>
    <s v=""/>
    <n v="7740"/>
    <s v="Site Management "/>
    <n v="0.65984654731457804"/>
    <n v="3990"/>
    <n v="0.51550387596899228"/>
    <s v="Flagged"/>
    <n v="4898.4479999999994"/>
    <s v="WASH"/>
    <n v="0.41759999999999997"/>
    <n v="6831.5520000000006"/>
    <n v="1.3946360153256707"/>
    <s v="Flagged"/>
    <s v=""/>
    <s v=""/>
    <n v="11730"/>
    <m/>
    <m/>
    <n v="3"/>
    <s v="Flagged"/>
    <n v="11730"/>
    <m/>
    <x v="1"/>
    <x v="0"/>
    <n v="0"/>
    <n v="11730"/>
    <n v="0"/>
  </r>
  <r>
    <s v="IDPsSD18086"/>
    <x v="17"/>
    <x v="17"/>
    <x v="178"/>
    <x v="179"/>
    <m/>
    <m/>
    <x v="277"/>
    <x v="1"/>
    <n v="8391"/>
    <n v="6942.1561999999994"/>
    <n v="17906"/>
    <n v="17906"/>
    <n v="1343"/>
    <n v="17906"/>
    <n v="7162"/>
    <n v="11523.585359999999"/>
    <n v="9848"/>
    <n v="7088"/>
    <n v="5371.8"/>
    <n v="17906"/>
    <n v="0.46861387244499053"/>
    <n v="0.38769999999999999"/>
    <n v="1"/>
    <n v="1"/>
    <n v="7.5002792360102766E-2"/>
    <n v="1"/>
    <n v="0.39997766111917793"/>
    <n v="0.64355999999999991"/>
    <n v="0.55000000000000004"/>
    <n v="0.4"/>
    <n v="0.30000000000000004"/>
    <n v="1"/>
    <n v="17906"/>
    <s v="Food Security and Livlihoods_x000a_Health _x000a_Protection"/>
    <n v="1"/>
    <s v=""/>
    <s v="Flagged"/>
    <s v=""/>
    <n v="11523.585359999999"/>
    <s v="WASH"/>
    <n v="0.64355999999999991"/>
    <n v="6382.4146400000009"/>
    <n v="0.5538566722605508"/>
    <s v="Flagged"/>
    <n v="8391"/>
    <s v="Site Management "/>
    <n v="0.46861387244499053"/>
    <n v="9515"/>
    <n v="1.1339530449290907"/>
    <s v="Flagged"/>
    <s v=""/>
    <s v=""/>
    <n v="17906"/>
    <m/>
    <m/>
    <n v="3"/>
    <s v="Flagged"/>
    <n v="17906"/>
    <m/>
    <x v="1"/>
    <x v="2"/>
    <n v="17906"/>
    <n v="0"/>
    <n v="0"/>
  </r>
  <r>
    <s v="IDPsSD18087"/>
    <x v="17"/>
    <x v="17"/>
    <x v="179"/>
    <x v="180"/>
    <m/>
    <m/>
    <x v="278"/>
    <x v="1"/>
    <n v="5406"/>
    <n v="0"/>
    <n v="18772"/>
    <n v="18772"/>
    <n v="1547"/>
    <n v="18772"/>
    <n v="0"/>
    <n v="19215.019199999999"/>
    <n v="10325"/>
    <n v="6440"/>
    <n v="0"/>
    <n v="18772"/>
    <n v="0.28798210100149157"/>
    <n v="0"/>
    <n v="1"/>
    <n v="1"/>
    <n v="8.2409972299168979E-2"/>
    <n v="1"/>
    <n v="0"/>
    <n v="1.0235999999999998"/>
    <n v="0.55000000000000004"/>
    <n v="0.35000000000000003"/>
    <n v="0"/>
    <n v="1"/>
    <n v="19215.019199999999"/>
    <s v="WASH"/>
    <n v="1.0235999999999998"/>
    <s v="Flagged"/>
    <s v="Flagged"/>
    <s v=""/>
    <n v="18772"/>
    <s v="Food Security and Livlihoods_x000a_Health _x000a_Protection"/>
    <n v="1"/>
    <n v="443.01919999999882"/>
    <n v="2.3599999999999937E-2"/>
    <s v=""/>
    <n v="5406"/>
    <s v="Site Management "/>
    <n v="0.28798210100149157"/>
    <n v="13809.019199999999"/>
    <n v="2.5543875693673694"/>
    <s v="Flagged"/>
    <s v=""/>
    <s v=""/>
    <n v="19215.019199999999"/>
    <m/>
    <m/>
    <n v="3"/>
    <s v="Flagged"/>
    <n v="18772"/>
    <m/>
    <x v="1"/>
    <x v="0"/>
    <n v="0"/>
    <n v="18772"/>
    <n v="0"/>
  </r>
  <r>
    <s v="IDPsSD18092"/>
    <x v="17"/>
    <x v="17"/>
    <x v="180"/>
    <x v="181"/>
    <m/>
    <m/>
    <x v="173"/>
    <x v="1"/>
    <n v="2605"/>
    <n v="2787.1752999999999"/>
    <n v="7189"/>
    <n v="7189"/>
    <n v="688"/>
    <n v="7189"/>
    <n v="2876"/>
    <n v="0"/>
    <n v="3954"/>
    <n v="2466"/>
    <n v="2156.6999999999998"/>
    <n v="7189"/>
    <n v="0.36235915982751427"/>
    <n v="0.38769999999999999"/>
    <n v="1"/>
    <n v="1"/>
    <n v="9.5701766587842532E-2"/>
    <n v="1"/>
    <n v="0.40005564056196968"/>
    <n v="0"/>
    <n v="0.55000000000000004"/>
    <n v="0.35000000000000003"/>
    <n v="0.30000000000000004"/>
    <n v="1"/>
    <n v="7189"/>
    <s v="Food Security and Livlihoods_x000a_Health _x000a_Protection"/>
    <n v="1"/>
    <s v=""/>
    <s v="Flagged"/>
    <s v=""/>
    <n v="2876"/>
    <s v="Shelter NFI "/>
    <n v="0.40005564056196968"/>
    <n v="4313"/>
    <n v="1.4996522948539639"/>
    <s v="Flagged"/>
    <n v="2787.1752999999999"/>
    <s v="Education"/>
    <n v="0.38769999999999999"/>
    <n v="4401.8247000000001"/>
    <n v="1.5793139025019347"/>
    <s v="Flagged"/>
    <s v=""/>
    <s v=""/>
    <n v="7189"/>
    <m/>
    <m/>
    <n v="3"/>
    <s v="Flagged"/>
    <n v="7189"/>
    <m/>
    <x v="1"/>
    <x v="2"/>
    <n v="7189"/>
    <n v="0"/>
    <n v="0"/>
  </r>
  <r>
    <s v="IDPsSD18100"/>
    <x v="17"/>
    <x v="17"/>
    <x v="181"/>
    <x v="182"/>
    <m/>
    <m/>
    <x v="279"/>
    <x v="1"/>
    <n v="0"/>
    <n v="5510.7677999999996"/>
    <n v="14214"/>
    <n v="14214"/>
    <n v="1535"/>
    <n v="14214"/>
    <n v="5686"/>
    <n v="15421.052879999999"/>
    <n v="7818"/>
    <n v="4877"/>
    <n v="0"/>
    <n v="14214"/>
    <n v="0"/>
    <n v="0.38769999999999999"/>
    <n v="1"/>
    <n v="1"/>
    <n v="0.10799212044463205"/>
    <n v="1"/>
    <n v="0.40002814126917124"/>
    <n v="1.0849199999999999"/>
    <n v="0.55000000000000004"/>
    <n v="0.35000000000000003"/>
    <n v="0"/>
    <n v="1"/>
    <n v="15421.052879999999"/>
    <s v="WASH"/>
    <n v="1.0849199999999999"/>
    <s v=""/>
    <s v="Flagged"/>
    <s v=""/>
    <n v="14214"/>
    <s v="Food Security and Livlihoods_x000a_Health _x000a_Protection"/>
    <n v="1"/>
    <n v="1207.0528799999993"/>
    <n v="8.4919999999999954E-2"/>
    <s v=""/>
    <n v="5686"/>
    <s v="Shelter NFI "/>
    <n v="0.40002814126917124"/>
    <n v="9735.0528799999993"/>
    <n v="1.7121091945128384"/>
    <s v="Flagged"/>
    <s v=""/>
    <s v=""/>
    <n v="15421.052879999999"/>
    <m/>
    <m/>
    <n v="2"/>
    <s v="Flagged"/>
    <n v="14214"/>
    <m/>
    <x v="1"/>
    <x v="2"/>
    <n v="14214"/>
    <n v="0"/>
    <n v="0"/>
  </r>
  <r>
    <s v="IDPsSD18102"/>
    <x v="17"/>
    <x v="17"/>
    <x v="182"/>
    <x v="183"/>
    <m/>
    <m/>
    <x v="280"/>
    <x v="1"/>
    <n v="17466"/>
    <n v="8481.3251999999993"/>
    <n v="21876"/>
    <n v="21876"/>
    <n v="2233"/>
    <n v="21876"/>
    <n v="13126"/>
    <n v="25723.550879999999"/>
    <n v="12032"/>
    <n v="7503"/>
    <n v="6562.8"/>
    <n v="21876"/>
    <n v="0.79840921557871636"/>
    <n v="0.38769999999999999"/>
    <n v="1"/>
    <n v="1"/>
    <n v="0.10207533369903091"/>
    <n v="1"/>
    <n v="0.60001828487840558"/>
    <n v="1.17588"/>
    <n v="0.55000000000000004"/>
    <n v="0.35000000000000003"/>
    <n v="0.30000000000000004"/>
    <n v="1"/>
    <n v="25723.550879999999"/>
    <s v="WASH"/>
    <n v="1.17588"/>
    <s v=""/>
    <s v="Flagged"/>
    <s v=""/>
    <n v="21876"/>
    <s v="Food Security and Livlihoods_x000a_Health _x000a_Protection"/>
    <n v="1"/>
    <n v="3847.5508799999989"/>
    <n v="0.17587999999999995"/>
    <s v=""/>
    <n v="17466"/>
    <s v="Site Management "/>
    <n v="0.79840921557871636"/>
    <n v="8257.5508799999989"/>
    <n v="0.47277859154929569"/>
    <s v=""/>
    <s v=""/>
    <s v=""/>
    <n v="25723.550879999999"/>
    <m/>
    <m/>
    <n v="1"/>
    <s v="Flagged"/>
    <n v="21876"/>
    <m/>
    <x v="0"/>
    <x v="0"/>
    <n v="0"/>
    <n v="21876"/>
    <n v="0"/>
  </r>
  <r>
    <s v="IDPsSD18103"/>
    <x v="17"/>
    <x v="17"/>
    <x v="183"/>
    <x v="184"/>
    <m/>
    <m/>
    <x v="176"/>
    <x v="1"/>
    <n v="0"/>
    <n v="3190.7709999999997"/>
    <n v="8230"/>
    <n v="8230"/>
    <n v="1227"/>
    <n v="8230"/>
    <n v="3292"/>
    <n v="0"/>
    <n v="4527"/>
    <n v="2823"/>
    <n v="0"/>
    <n v="8230"/>
    <n v="0"/>
    <n v="0.38769999999999999"/>
    <n v="1"/>
    <n v="1"/>
    <n v="0.14908869987849332"/>
    <n v="1"/>
    <n v="0.4"/>
    <n v="0"/>
    <n v="0.55000000000000004"/>
    <n v="0.35000000000000003"/>
    <n v="0"/>
    <n v="1"/>
    <n v="8230"/>
    <s v="Food Security and Livlihoods_x000a_Health _x000a_Protection"/>
    <n v="1"/>
    <s v="Flagged"/>
    <s v="Flagged"/>
    <s v=""/>
    <n v="3292"/>
    <s v="Shelter NFI "/>
    <n v="0.4"/>
    <n v="4938"/>
    <n v="1.5"/>
    <s v="Flagged"/>
    <n v="3190.7709999999997"/>
    <s v="Education"/>
    <n v="0.38769999999999999"/>
    <n v="5039.2290000000003"/>
    <n v="1.5793139025019347"/>
    <s v="Flagged"/>
    <s v=""/>
    <s v=""/>
    <n v="8230"/>
    <m/>
    <m/>
    <n v="4"/>
    <s v="Flagged"/>
    <n v="8230"/>
    <m/>
    <x v="1"/>
    <x v="2"/>
    <n v="8230"/>
    <n v="0"/>
    <n v="0"/>
  </r>
  <r>
    <s v="IDPsSD18104"/>
    <x v="17"/>
    <x v="17"/>
    <x v="184"/>
    <x v="185"/>
    <m/>
    <m/>
    <x v="281"/>
    <x v="1"/>
    <n v="28639"/>
    <n v="0"/>
    <n v="31158"/>
    <n v="31158"/>
    <n v="2520"/>
    <n v="31158"/>
    <n v="12463"/>
    <n v="34862.063040000001"/>
    <n v="17137"/>
    <n v="10687"/>
    <n v="0"/>
    <n v="31158"/>
    <n v="0.91915398934463055"/>
    <n v="0"/>
    <n v="1"/>
    <n v="1"/>
    <n v="8.0878105141536691E-2"/>
    <n v="1"/>
    <n v="0.39999358110276656"/>
    <n v="1.1188800000000001"/>
    <n v="0.55000000000000004"/>
    <n v="0.35000000000000003"/>
    <n v="0"/>
    <n v="1"/>
    <n v="34862.063040000001"/>
    <s v="WASH"/>
    <n v="1.1188800000000001"/>
    <s v=""/>
    <s v="Flagged"/>
    <s v=""/>
    <n v="31158"/>
    <s v="Food Security and Livlihoods_x000a_Health _x000a_Protection"/>
    <n v="1"/>
    <n v="3704.0630400000009"/>
    <n v="0.11888000000000003"/>
    <s v=""/>
    <n v="28639"/>
    <s v="Site Management "/>
    <n v="0.91915398934463055"/>
    <n v="6223.0630400000009"/>
    <n v="0.21729330772722513"/>
    <s v=""/>
    <s v=""/>
    <s v=""/>
    <n v="34862.063040000001"/>
    <m/>
    <m/>
    <n v="1"/>
    <s v="Flagged"/>
    <n v="31158"/>
    <m/>
    <x v="0"/>
    <x v="2"/>
    <n v="31158"/>
    <n v="0"/>
    <n v="0"/>
  </r>
  <r>
    <s v="IDPsSD18105"/>
    <x v="17"/>
    <x v="17"/>
    <x v="185"/>
    <x v="186"/>
    <m/>
    <m/>
    <x v="178"/>
    <x v="1"/>
    <n v="0"/>
    <n v="1592.6715999999999"/>
    <n v="4108"/>
    <n v="4108"/>
    <n v="345"/>
    <n v="4108"/>
    <n v="0"/>
    <n v="0"/>
    <n v="2259"/>
    <n v="1408"/>
    <n v="0"/>
    <n v="4108"/>
    <n v="0"/>
    <n v="0.38769999999999999"/>
    <n v="1"/>
    <n v="1"/>
    <n v="8.3982473222979553E-2"/>
    <n v="1"/>
    <n v="0"/>
    <n v="0"/>
    <n v="0.55000000000000004"/>
    <n v="0.35000000000000003"/>
    <n v="0"/>
    <n v="1"/>
    <n v="4108"/>
    <s v="Food Security and Livlihoods_x000a_Health _x000a_Protection"/>
    <n v="1"/>
    <s v="Flagged"/>
    <s v="Flagged"/>
    <s v=""/>
    <n v="1592.6715999999999"/>
    <s v="Education"/>
    <n v="0.38769999999999999"/>
    <n v="2515.3284000000003"/>
    <n v="1.5793139025019347"/>
    <s v="Flagged"/>
    <n v="345"/>
    <s v="Nutrition"/>
    <n v="8.3982473222979553E-2"/>
    <n v="3763"/>
    <n v="10.907246376811594"/>
    <s v="Flagged"/>
    <s v=""/>
    <s v="Flagged"/>
    <n v="4108"/>
    <m/>
    <m/>
    <n v="5"/>
    <s v="Flagged"/>
    <n v="4108"/>
    <m/>
    <x v="1"/>
    <x v="2"/>
    <n v="4108"/>
    <n v="0"/>
    <n v="0"/>
  </r>
  <r>
    <s v="IDPsSD18106"/>
    <x v="17"/>
    <x v="17"/>
    <x v="186"/>
    <x v="187"/>
    <m/>
    <m/>
    <x v="282"/>
    <x v="1"/>
    <n v="2324"/>
    <n v="1691.1474000000001"/>
    <n v="4362"/>
    <n v="4362"/>
    <n v="417"/>
    <n v="4362"/>
    <n v="0"/>
    <n v="0"/>
    <n v="2399"/>
    <n v="0"/>
    <n v="0"/>
    <n v="4362"/>
    <n v="0.53278312700596053"/>
    <n v="0.38769999999999999"/>
    <n v="1"/>
    <n v="1"/>
    <n v="9.5598349381017883E-2"/>
    <n v="1"/>
    <n v="0"/>
    <n v="0"/>
    <n v="0.55000000000000004"/>
    <n v="0"/>
    <n v="0"/>
    <n v="1"/>
    <n v="4362"/>
    <s v="Food Security and Livlihoods_x000a_Health _x000a_Protection"/>
    <n v="1"/>
    <s v="Flagged"/>
    <s v="Flagged"/>
    <s v=""/>
    <n v="2324"/>
    <s v="Site Management "/>
    <n v="0.53278312700596053"/>
    <n v="2038"/>
    <n v="0.87693631669535288"/>
    <s v="Flagged"/>
    <n v="1691.1474000000001"/>
    <s v="Education"/>
    <n v="0.38769999999999999"/>
    <n v="2670.8526000000002"/>
    <n v="1.5793139025019345"/>
    <s v="Flagged"/>
    <s v=""/>
    <s v=""/>
    <n v="4362"/>
    <m/>
    <m/>
    <n v="4"/>
    <s v="Flagged"/>
    <n v="4362"/>
    <m/>
    <x v="1"/>
    <x v="2"/>
    <n v="4362"/>
    <n v="0"/>
    <n v="0"/>
  </r>
  <r>
    <s v="IDPsSD19101"/>
    <x v="18"/>
    <x v="18"/>
    <x v="187"/>
    <x v="188"/>
    <m/>
    <m/>
    <x v="34"/>
    <x v="1"/>
    <n v="0"/>
    <n v="0"/>
    <n v="0"/>
    <n v="0"/>
    <n v="0"/>
    <n v="0"/>
    <n v="0"/>
    <n v="0"/>
    <n v="0"/>
    <n v="0"/>
    <n v="0"/>
    <n v="0"/>
    <e v="#DIV/0!"/>
    <e v="#DIV/0!"/>
    <e v="#DIV/0!"/>
    <e v="#DIV/0!"/>
    <e v="#DIV/0!"/>
    <e v="#DIV/0!"/>
    <e v="#DIV/0!"/>
    <e v="#DIV/0!"/>
    <s v=""/>
    <s v=""/>
    <s v=""/>
    <s v=""/>
    <n v="0"/>
    <s v="Site Management _x000a_Education_x000a_Food Security and Livlihoods_x000a_Health _x000a_Nutrition_x000a_Protection_x000a_Shelter NFI _x000a_WASH"/>
    <e v="#DIV/0!"/>
    <s v=""/>
    <s v=""/>
    <s v=""/>
    <s v="NA"/>
    <s v=""/>
    <s v=""/>
    <s v=""/>
    <s v=""/>
    <s v=""/>
    <n v="0"/>
    <s v="Site Management _x000a_Education_x000a_Food Security and Livlihoods_x000a_Health _x000a_Nutrition_x000a_Protection_x000a_Shelter NFI _x000a_WASH"/>
    <s v=""/>
    <n v="0"/>
    <s v=""/>
    <s v=""/>
    <s v=""/>
    <s v=""/>
    <n v="0"/>
    <m/>
    <m/>
    <n v="0"/>
    <s v=""/>
    <n v="0"/>
    <m/>
    <x v="0"/>
    <x v="2"/>
    <n v="0"/>
    <n v="0"/>
    <n v="0"/>
  </r>
  <r>
    <s v="IDPsSDTEMP"/>
    <x v="1"/>
    <x v="1"/>
    <x v="188"/>
    <x v="189"/>
    <m/>
    <m/>
    <x v="34"/>
    <x v="1"/>
    <n v="0"/>
    <n v="0"/>
    <n v="0"/>
    <n v="0"/>
    <n v="0"/>
    <n v="0"/>
    <n v="0"/>
    <n v="0"/>
    <n v="0"/>
    <n v="0"/>
    <n v="0"/>
    <n v="0"/>
    <e v="#DIV/0!"/>
    <e v="#DIV/0!"/>
    <e v="#DIV/0!"/>
    <e v="#DIV/0!"/>
    <e v="#DIV/0!"/>
    <e v="#DIV/0!"/>
    <e v="#DIV/0!"/>
    <e v="#DIV/0!"/>
    <s v=""/>
    <s v=""/>
    <s v=""/>
    <s v=""/>
    <n v="0"/>
    <s v="Site Management _x000a_Education_x000a_Food Security and Livlihoods_x000a_Health _x000a_Nutrition_x000a_Protection_x000a_Shelter NFI _x000a_WASH"/>
    <e v="#DIV/0!"/>
    <s v=""/>
    <s v=""/>
    <s v=""/>
    <s v="NA"/>
    <s v=""/>
    <s v=""/>
    <s v=""/>
    <s v=""/>
    <s v=""/>
    <n v="0"/>
    <s v="Site Management _x000a_Education_x000a_Food Security and Livlihoods_x000a_Health _x000a_Nutrition_x000a_Protection_x000a_Shelter NFI _x000a_WASH"/>
    <s v=""/>
    <n v="0"/>
    <s v=""/>
    <s v=""/>
    <s v=""/>
    <s v=""/>
    <n v="0"/>
    <m/>
    <m/>
    <n v="0"/>
    <s v=""/>
    <n v="0"/>
    <m/>
    <x v="3"/>
    <x v="3"/>
    <n v="0"/>
    <n v="0"/>
    <n v="0"/>
  </r>
  <r>
    <s v="Non-displaced PopulationSD01001"/>
    <x v="0"/>
    <x v="0"/>
    <x v="0"/>
    <x v="0"/>
    <m/>
    <m/>
    <x v="283"/>
    <x v="2"/>
    <n v="0"/>
    <n v="329686.8982"/>
    <n v="510219.6"/>
    <n v="25000"/>
    <n v="139862"/>
    <n v="425183"/>
    <n v="255110"/>
    <n v="577653.62379999994"/>
    <n v="93540"/>
    <n v="89754"/>
    <n v="425183"/>
    <n v="85037"/>
    <n v="0"/>
    <n v="0.38769999999999999"/>
    <n v="0.6"/>
    <n v="2.9399105796798084E-2"/>
    <n v="0.16447270939807096"/>
    <n v="0.5"/>
    <n v="0.30000023519284635"/>
    <n v="0.6792999999999999"/>
    <n v="0.1"/>
    <n v="0.1"/>
    <n v="0.5"/>
    <n v="0.1"/>
    <n v="577653.62379999994"/>
    <s v="WASH"/>
    <n v="0.6792999999999999"/>
    <s v=""/>
    <s v=""/>
    <s v=""/>
    <n v="510219.6"/>
    <s v="Food Security and Livlihoods"/>
    <n v="0.6"/>
    <n v="67434.023799999966"/>
    <n v="0.1321666666666666"/>
    <s v=""/>
    <n v="425183"/>
    <s v="Protection"/>
    <n v="0.5"/>
    <n v="152470.62379999994"/>
    <n v="0.35859999999999986"/>
    <s v=""/>
    <s v=""/>
    <s v=""/>
    <n v="577653.62379999994"/>
    <m/>
    <m/>
    <n v="0"/>
    <s v=""/>
    <n v="577654"/>
    <m/>
    <x v="0"/>
    <x v="0"/>
    <n v="0"/>
    <n v="577654"/>
    <n v="0"/>
  </r>
  <r>
    <s v="Non-displaced PopulationSD01002"/>
    <x v="0"/>
    <x v="0"/>
    <x v="1"/>
    <x v="1"/>
    <m/>
    <m/>
    <x v="284"/>
    <x v="2"/>
    <n v="0"/>
    <n v="381329.70130000002"/>
    <n v="590141.4"/>
    <n v="1910"/>
    <n v="150118"/>
    <n v="491784.5"/>
    <n v="295071"/>
    <n v="472604.9045"/>
    <n v="108193"/>
    <n v="415256"/>
    <n v="491784.5"/>
    <n v="98357"/>
    <n v="0"/>
    <n v="0.38769999999999999"/>
    <n v="0.6"/>
    <n v="1.9419074818340146E-3"/>
    <n v="0.15262579442825058"/>
    <n v="0.5"/>
    <n v="0.30000030501164637"/>
    <n v="0.48049999999999998"/>
    <n v="0.1"/>
    <n v="0.4"/>
    <n v="0.5"/>
    <n v="0.1"/>
    <n v="590141.4"/>
    <s v="Food Security and Livlihoods"/>
    <n v="0.6"/>
    <s v=""/>
    <s v=""/>
    <s v=""/>
    <n v="491784.5"/>
    <s v="Protection"/>
    <n v="0.5"/>
    <n v="98356.900000000023"/>
    <n v="0.20000000000000004"/>
    <s v=""/>
    <n v="472604.9045"/>
    <s v="WASH"/>
    <n v="0.48049999999999998"/>
    <n v="117536.49550000002"/>
    <n v="0.2486992715920916"/>
    <s v=""/>
    <s v=""/>
    <s v=""/>
    <n v="590141.4"/>
    <m/>
    <m/>
    <n v="0"/>
    <s v=""/>
    <n v="590141"/>
    <m/>
    <x v="1"/>
    <x v="0"/>
    <n v="0"/>
    <n v="590141"/>
    <n v="0"/>
  </r>
  <r>
    <s v="Non-displaced PopulationSD01003"/>
    <x v="0"/>
    <x v="0"/>
    <x v="2"/>
    <x v="2"/>
    <m/>
    <m/>
    <x v="285"/>
    <x v="2"/>
    <n v="0"/>
    <n v="137878.91409999999"/>
    <n v="195598.15"/>
    <n v="15000"/>
    <n v="65076"/>
    <n v="177816.5"/>
    <n v="106690"/>
    <n v="226822.7274"/>
    <n v="39120"/>
    <n v="37536"/>
    <n v="177816.5"/>
    <n v="35563"/>
    <n v="0"/>
    <n v="0.38769999999999999"/>
    <n v="0.54999999999999993"/>
    <n v="4.2178313036191802E-2"/>
    <n v="0.18298639327621452"/>
    <n v="0.5"/>
    <n v="0.30000028118875355"/>
    <n v="0.63780000000000003"/>
    <n v="0.1"/>
    <n v="0.1"/>
    <n v="0.5"/>
    <n v="0.1"/>
    <n v="226822.7274"/>
    <s v="WASH"/>
    <n v="0.63780000000000003"/>
    <s v=""/>
    <s v=""/>
    <s v=""/>
    <n v="195598.15"/>
    <s v="Food Security and Livlihoods"/>
    <n v="0.54999999999999993"/>
    <n v="31224.577400000009"/>
    <n v="0.15963636363636369"/>
    <s v=""/>
    <n v="177816.5"/>
    <s v="Protection"/>
    <n v="0.5"/>
    <n v="49006.227400000003"/>
    <n v="0.27560000000000001"/>
    <s v=""/>
    <s v=""/>
    <s v=""/>
    <n v="226822.7274"/>
    <m/>
    <m/>
    <n v="0"/>
    <s v=""/>
    <n v="226823"/>
    <m/>
    <x v="0"/>
    <x v="0"/>
    <n v="0"/>
    <n v="226823"/>
    <n v="0"/>
  </r>
  <r>
    <s v="Non-displaced PopulationSD01004"/>
    <x v="0"/>
    <x v="0"/>
    <x v="3"/>
    <x v="3"/>
    <m/>
    <m/>
    <x v="286"/>
    <x v="2"/>
    <n v="0"/>
    <n v="207367.1605"/>
    <n v="240689.25"/>
    <n v="18420"/>
    <n v="58008"/>
    <n v="267432.5"/>
    <n v="160460"/>
    <n v="225766.5165"/>
    <n v="58835"/>
    <n v="42340"/>
    <n v="267432.5"/>
    <n v="53487"/>
    <n v="0"/>
    <n v="0.38769999999999999"/>
    <n v="0.45"/>
    <n v="3.443859665523076E-2"/>
    <n v="0.10845353500415993"/>
    <n v="0.5"/>
    <n v="0.30000093481532725"/>
    <n v="0.42209999999999998"/>
    <n v="0.1"/>
    <n v="0.1"/>
    <n v="0.5"/>
    <n v="0.1"/>
    <n v="267432.5"/>
    <s v="Protection"/>
    <n v="0.5"/>
    <s v=""/>
    <s v=""/>
    <s v=""/>
    <n v="240689.25"/>
    <s v="Food Security and Livlihoods"/>
    <n v="0.45"/>
    <n v="26743.25"/>
    <n v="0.1111111111111111"/>
    <s v=""/>
    <n v="225766.5165"/>
    <s v="WASH"/>
    <n v="0.42209999999999998"/>
    <n v="41665.983500000002"/>
    <n v="0.18455342335939351"/>
    <s v=""/>
    <s v=""/>
    <s v=""/>
    <n v="267432.5"/>
    <m/>
    <m/>
    <n v="0"/>
    <s v=""/>
    <n v="267433"/>
    <m/>
    <x v="0"/>
    <x v="0"/>
    <n v="0"/>
    <n v="267433"/>
    <n v="0"/>
  </r>
  <r>
    <s v="Non-displaced PopulationSD01005"/>
    <x v="0"/>
    <x v="0"/>
    <x v="4"/>
    <x v="4"/>
    <m/>
    <m/>
    <x v="287"/>
    <x v="2"/>
    <n v="0"/>
    <n v="273880.97249999997"/>
    <n v="388533.75"/>
    <n v="425"/>
    <n v="51204"/>
    <n v="353212.5"/>
    <n v="211928"/>
    <n v="318103.17749999999"/>
    <n v="77707"/>
    <n v="223684"/>
    <n v="353212.5"/>
    <n v="70643"/>
    <n v="0"/>
    <n v="0.38769999999999999"/>
    <n v="0.55000000000000004"/>
    <n v="6.0162083731464771E-4"/>
    <n v="7.2483278479668761E-2"/>
    <n v="0.5"/>
    <n v="0.30000070778922039"/>
    <n v="0.45029999999999998"/>
    <n v="0.1"/>
    <n v="0.30000000000000004"/>
    <n v="0.5"/>
    <n v="0.1"/>
    <n v="388533.75"/>
    <s v="Food Security and Livlihoods"/>
    <n v="0.55000000000000004"/>
    <s v=""/>
    <s v=""/>
    <s v=""/>
    <n v="353212.5"/>
    <s v="Protection"/>
    <n v="0.5"/>
    <n v="35321.25"/>
    <n v="0.1"/>
    <s v=""/>
    <n v="318103.17749999999"/>
    <s v="WASH"/>
    <n v="0.45029999999999998"/>
    <n v="70430.572500000009"/>
    <n v="0.22140795025538534"/>
    <s v=""/>
    <s v=""/>
    <s v=""/>
    <n v="388533.75"/>
    <m/>
    <m/>
    <n v="0"/>
    <s v=""/>
    <n v="388534"/>
    <m/>
    <x v="0"/>
    <x v="1"/>
    <n v="0"/>
    <n v="349680.60000000003"/>
    <n v="38853.4"/>
  </r>
  <r>
    <s v="Non-displaced PopulationSD01006"/>
    <x v="0"/>
    <x v="0"/>
    <x v="5"/>
    <x v="5"/>
    <m/>
    <m/>
    <x v="288"/>
    <x v="2"/>
    <n v="0"/>
    <n v="107241.30929999999"/>
    <n v="152134.95000000001"/>
    <n v="40000"/>
    <n v="43835"/>
    <n v="138304.5"/>
    <n v="82983"/>
    <n v="128014.64520000003"/>
    <n v="30427"/>
    <n v="116780"/>
    <n v="138304.5"/>
    <n v="27661"/>
    <n v="0"/>
    <n v="0.38769999999999999"/>
    <n v="0.55000000000000004"/>
    <n v="0.14460845453329429"/>
    <n v="0.15847279011167387"/>
    <n v="0.5"/>
    <n v="0.30000108456340902"/>
    <n v="0.4628000000000001"/>
    <n v="0.1"/>
    <n v="0.4"/>
    <n v="0.5"/>
    <n v="0.1"/>
    <n v="152134.95000000001"/>
    <s v="Food Security and Livlihoods"/>
    <n v="0.55000000000000004"/>
    <s v=""/>
    <s v=""/>
    <s v=""/>
    <n v="138304.5"/>
    <s v="Protection"/>
    <n v="0.5"/>
    <n v="13830.450000000012"/>
    <n v="0.10000000000000009"/>
    <s v=""/>
    <n v="128014.64520000003"/>
    <s v="WASH"/>
    <n v="0.4628000000000001"/>
    <n v="24120.304799999984"/>
    <n v="0.18841832324978375"/>
    <s v=""/>
    <s v=""/>
    <s v=""/>
    <n v="152134.95000000001"/>
    <m/>
    <m/>
    <n v="0"/>
    <s v=""/>
    <n v="152135"/>
    <m/>
    <x v="0"/>
    <x v="1"/>
    <n v="0"/>
    <n v="136921.5"/>
    <n v="15213.5"/>
  </r>
  <r>
    <s v="Non-displaced PopulationSD01007"/>
    <x v="0"/>
    <x v="0"/>
    <x v="6"/>
    <x v="6"/>
    <m/>
    <m/>
    <x v="289"/>
    <x v="2"/>
    <n v="0"/>
    <n v="147011.1876"/>
    <n v="246472.2"/>
    <n v="1820"/>
    <n v="39097"/>
    <n v="189594"/>
    <n v="113756"/>
    <n v="133170.82559999995"/>
    <n v="41711"/>
    <n v="160092"/>
    <n v="189594"/>
    <n v="37919"/>
    <n v="0"/>
    <n v="0.38769999999999999"/>
    <n v="0.65"/>
    <n v="4.7997299492599978E-3"/>
    <n v="0.10310716583858139"/>
    <n v="0.5"/>
    <n v="0.29999894511429687"/>
    <n v="0.3511999999999999"/>
    <n v="0.1"/>
    <n v="0.4"/>
    <n v="0.5"/>
    <n v="0.1"/>
    <n v="246472.2"/>
    <s v="Food Security and Livlihoods"/>
    <n v="0.65"/>
    <s v=""/>
    <s v=""/>
    <s v=""/>
    <n v="189594"/>
    <s v="Protection"/>
    <n v="0.5"/>
    <n v="56878.200000000012"/>
    <n v="0.30000000000000004"/>
    <s v="Flagged"/>
    <n v="147011.1876"/>
    <s v="Education"/>
    <n v="0.38769999999999999"/>
    <n v="99461.012400000007"/>
    <n v="0.67655403662625746"/>
    <s v="Flagged"/>
    <s v=""/>
    <s v=""/>
    <n v="246472.2"/>
    <m/>
    <m/>
    <n v="2"/>
    <s v="Flagged"/>
    <n v="246472"/>
    <m/>
    <x v="0"/>
    <x v="1"/>
    <n v="0"/>
    <n v="221824.80000000002"/>
    <n v="24647.200000000001"/>
  </r>
  <r>
    <s v="Non-displaced PopulationSD02113"/>
    <x v="1"/>
    <x v="1"/>
    <x v="7"/>
    <x v="7"/>
    <m/>
    <m/>
    <x v="34"/>
    <x v="2"/>
    <n v="0"/>
    <n v="0"/>
    <n v="0"/>
    <n v="0"/>
    <n v="3008"/>
    <n v="0"/>
    <n v="0"/>
    <n v="0"/>
    <n v="0"/>
    <n v="0"/>
    <n v="0"/>
    <n v="0"/>
    <e v="#DIV/0!"/>
    <e v="#DIV/0!"/>
    <e v="#DIV/0!"/>
    <e v="#DIV/0!"/>
    <e v="#DIV/0!"/>
    <e v="#DIV/0!"/>
    <e v="#DIV/0!"/>
    <e v="#DIV/0!"/>
    <s v=""/>
    <s v=""/>
    <s v=""/>
    <s v=""/>
    <n v="3008"/>
    <s v="Nutrition"/>
    <e v="#DIV/0!"/>
    <s v="Flagged"/>
    <s v=""/>
    <s v="Flagged"/>
    <n v="0"/>
    <s v="Site Management _x000a_Education_x000a_Food Security and Livlihoods_x000a_Health _x000a_Protection_x000a_Shelter NFI _x000a_WASH"/>
    <s v=""/>
    <n v="3008"/>
    <s v=""/>
    <s v=""/>
    <s v="NA"/>
    <s v=""/>
    <s v=""/>
    <s v=""/>
    <s v=""/>
    <s v=""/>
    <s v=""/>
    <s v=""/>
    <n v="3008"/>
    <m/>
    <m/>
    <n v="2"/>
    <s v="Flagged"/>
    <n v="0"/>
    <m/>
    <x v="1"/>
    <x v="0"/>
    <n v="0"/>
    <n v="0"/>
    <n v="0"/>
  </r>
  <r>
    <s v="Non-displaced PopulationSD02114"/>
    <x v="1"/>
    <x v="1"/>
    <x v="8"/>
    <x v="8"/>
    <m/>
    <m/>
    <x v="34"/>
    <x v="2"/>
    <n v="0"/>
    <n v="0"/>
    <n v="0"/>
    <n v="28060"/>
    <n v="0"/>
    <n v="0"/>
    <n v="0"/>
    <n v="0"/>
    <n v="0"/>
    <n v="0"/>
    <n v="0"/>
    <n v="0"/>
    <e v="#DIV/0!"/>
    <e v="#DIV/0!"/>
    <e v="#DIV/0!"/>
    <e v="#DIV/0!"/>
    <e v="#DIV/0!"/>
    <e v="#DIV/0!"/>
    <e v="#DIV/0!"/>
    <e v="#DIV/0!"/>
    <s v=""/>
    <s v=""/>
    <s v=""/>
    <s v=""/>
    <n v="28060"/>
    <s v="Health "/>
    <e v="#DIV/0!"/>
    <s v="Flagged"/>
    <s v=""/>
    <s v=""/>
    <n v="0"/>
    <s v="Site Management _x000a_Education_x000a_Food Security and Livlihoods_x000a_Nutrition_x000a_Protection_x000a_Shelter NFI _x000a_WASH"/>
    <s v=""/>
    <n v="28060"/>
    <s v=""/>
    <s v=""/>
    <s v="NA"/>
    <s v=""/>
    <s v=""/>
    <s v=""/>
    <s v=""/>
    <s v=""/>
    <s v=""/>
    <s v=""/>
    <n v="28060"/>
    <m/>
    <m/>
    <n v="1"/>
    <s v="Flagged"/>
    <n v="0"/>
    <m/>
    <x v="1"/>
    <x v="0"/>
    <n v="0"/>
    <n v="0"/>
    <n v="0"/>
  </r>
  <r>
    <s v="Non-displaced PopulationSD02116"/>
    <x v="1"/>
    <x v="1"/>
    <x v="9"/>
    <x v="9"/>
    <m/>
    <m/>
    <x v="290"/>
    <x v="2"/>
    <n v="0"/>
    <n v="4214.6867000000002"/>
    <n v="4891.95"/>
    <n v="9000"/>
    <n v="3775"/>
    <n v="1195.8100000000002"/>
    <n v="0"/>
    <n v="5688.7942999999996"/>
    <n v="1196"/>
    <n v="862"/>
    <n v="0"/>
    <n v="1087"/>
    <n v="0"/>
    <n v="0.38770000000000004"/>
    <n v="0.44999999999999996"/>
    <n v="0.82789071842516793"/>
    <n v="0.34725416245055651"/>
    <n v="0.11000000000000001"/>
    <n v="0"/>
    <n v="0.52329999999999999"/>
    <n v="0.1"/>
    <n v="0.1"/>
    <n v="0"/>
    <n v="0.1"/>
    <n v="9000"/>
    <s v="Health "/>
    <n v="0.82789071842516793"/>
    <s v="Flagged"/>
    <s v=""/>
    <s v=""/>
    <n v="5688.7942999999996"/>
    <s v="WASH"/>
    <n v="0.52329999999999999"/>
    <n v="3311.2057000000004"/>
    <n v="0.58205755479680477"/>
    <s v="Flagged"/>
    <n v="4891.95"/>
    <s v="Food Security and Livlihoods"/>
    <n v="0.44999999999999996"/>
    <n v="4108.05"/>
    <n v="0.83975715205592871"/>
    <s v="Flagged"/>
    <s v=""/>
    <s v=""/>
    <n v="9000"/>
    <m/>
    <m/>
    <n v="3"/>
    <s v="Flagged"/>
    <n v="9000"/>
    <m/>
    <x v="1"/>
    <x v="2"/>
    <n v="9000"/>
    <n v="0"/>
    <n v="0"/>
  </r>
  <r>
    <s v="Non-displaced PopulationSD02117"/>
    <x v="1"/>
    <x v="1"/>
    <x v="10"/>
    <x v="10"/>
    <m/>
    <m/>
    <x v="291"/>
    <x v="2"/>
    <n v="0"/>
    <n v="13648.978499999999"/>
    <n v="14082"/>
    <n v="0"/>
    <n v="13079"/>
    <n v="3872.55"/>
    <n v="7041"/>
    <n v="10846.660500000002"/>
    <n v="3873"/>
    <n v="2787"/>
    <n v="0"/>
    <n v="3521"/>
    <n v="0"/>
    <n v="0.38769999999999999"/>
    <n v="0.4"/>
    <n v="0"/>
    <n v="0.37150972873171423"/>
    <n v="0.11"/>
    <n v="0.2"/>
    <n v="0.30810000000000004"/>
    <n v="0.1"/>
    <n v="0.1"/>
    <n v="0"/>
    <n v="0.1"/>
    <n v="14082"/>
    <s v="Food Security and Livlihoods"/>
    <n v="0.4"/>
    <s v="Flagged"/>
    <s v=""/>
    <s v=""/>
    <n v="13648.978499999999"/>
    <s v="Education"/>
    <n v="0.38769999999999999"/>
    <n v="433.02150000000074"/>
    <n v="3.1725561000773853E-2"/>
    <s v=""/>
    <n v="13079"/>
    <s v="Nutrition"/>
    <n v="0.37150972873171423"/>
    <n v="1003"/>
    <n v="7.6687820169737742E-2"/>
    <s v=""/>
    <s v=""/>
    <s v=""/>
    <n v="14082"/>
    <m/>
    <m/>
    <n v="1"/>
    <s v="Flagged"/>
    <n v="14082"/>
    <m/>
    <x v="0"/>
    <x v="2"/>
    <n v="14082"/>
    <n v="0"/>
    <n v="0"/>
  </r>
  <r>
    <s v="Non-displaced PopulationSD02118"/>
    <x v="1"/>
    <x v="1"/>
    <x v="11"/>
    <x v="11"/>
    <m/>
    <m/>
    <x v="292"/>
    <x v="2"/>
    <n v="0"/>
    <n v="4570.2075999999997"/>
    <n v="4125.8"/>
    <n v="0"/>
    <n v="5750"/>
    <n v="1768.2"/>
    <n v="2358"/>
    <n v="10725.9012"/>
    <n v="1297"/>
    <n v="933"/>
    <n v="1768.2"/>
    <n v="1179"/>
    <n v="0"/>
    <n v="0.38769999999999999"/>
    <n v="0.35000000000000003"/>
    <n v="0"/>
    <n v="0.48778418730912793"/>
    <n v="0.15"/>
    <n v="0.2000339328130302"/>
    <n v="0.90990000000000004"/>
    <n v="0.1"/>
    <n v="0.1"/>
    <n v="0.15000000000000002"/>
    <n v="0.1"/>
    <n v="10725.9012"/>
    <s v="WASH"/>
    <n v="0.90990000000000004"/>
    <s v="Flagged"/>
    <s v="Flagged"/>
    <s v=""/>
    <n v="5750"/>
    <s v="Nutrition"/>
    <n v="0.48778418730912793"/>
    <n v="4975.9012000000002"/>
    <n v="0.86537412173913053"/>
    <s v="Flagged"/>
    <n v="4570.2075999999997"/>
    <s v="Education"/>
    <n v="0.38769999999999999"/>
    <n v="6155.6936000000005"/>
    <n v="1.3469177198865103"/>
    <s v="Flagged"/>
    <s v=""/>
    <s v=""/>
    <n v="10725.9012"/>
    <m/>
    <m/>
    <n v="4"/>
    <s v="Flagged"/>
    <n v="10726"/>
    <m/>
    <x v="0"/>
    <x v="0"/>
    <n v="0"/>
    <n v="10726"/>
    <n v="0"/>
  </r>
  <r>
    <s v="Non-displaced PopulationSD02119"/>
    <x v="1"/>
    <x v="1"/>
    <x v="12"/>
    <x v="12"/>
    <m/>
    <m/>
    <x v="293"/>
    <x v="2"/>
    <n v="0"/>
    <n v="14512.774099999999"/>
    <n v="13101.55"/>
    <n v="0"/>
    <n v="15157"/>
    <n v="4117.63"/>
    <n v="7487"/>
    <n v="7991.9454999999971"/>
    <n v="4118"/>
    <n v="2964"/>
    <n v="0"/>
    <n v="3743"/>
    <n v="0"/>
    <n v="0.38769999999999999"/>
    <n v="0.35"/>
    <n v="0"/>
    <n v="0.40491010605615368"/>
    <n v="0.11"/>
    <n v="0.2000106857585553"/>
    <n v="0.21349999999999991"/>
    <n v="0.1"/>
    <n v="0.1"/>
    <n v="0"/>
    <n v="0.1"/>
    <n v="15157"/>
    <s v="Nutrition"/>
    <n v="0.40491010605615368"/>
    <s v="Flagged"/>
    <s v=""/>
    <s v="Flagged"/>
    <n v="14512.774099999999"/>
    <s v="Education"/>
    <n v="0.38769999999999999"/>
    <n v="644.22590000000127"/>
    <n v="4.4390265814169966E-2"/>
    <s v=""/>
    <n v="13101.55"/>
    <s v="Food Security and Livlihoods"/>
    <n v="0.35"/>
    <n v="2055.4500000000007"/>
    <n v="0.15688601730329624"/>
    <s v=""/>
    <s v=""/>
    <s v=""/>
    <n v="15157"/>
    <m/>
    <m/>
    <n v="2"/>
    <s v="Flagged"/>
    <n v="15157"/>
    <m/>
    <x v="0"/>
    <x v="2"/>
    <n v="15157"/>
    <n v="0"/>
    <n v="0"/>
  </r>
  <r>
    <s v="Non-displaced PopulationSD02120"/>
    <x v="1"/>
    <x v="1"/>
    <x v="13"/>
    <x v="13"/>
    <m/>
    <m/>
    <x v="294"/>
    <x v="2"/>
    <n v="0"/>
    <n v="15899.1893"/>
    <n v="14353.15"/>
    <n v="0"/>
    <n v="8262"/>
    <n v="6151.3499999999995"/>
    <n v="0"/>
    <n v="40283.140700000004"/>
    <n v="4511"/>
    <n v="3246"/>
    <n v="6151.3499999999995"/>
    <n v="4101"/>
    <n v="0"/>
    <n v="0.38769999999999999"/>
    <n v="0.35"/>
    <n v="0"/>
    <n v="0.20146797044551196"/>
    <n v="0.15"/>
    <n v="0"/>
    <n v="0.98230000000000006"/>
    <n v="0.1"/>
    <n v="0.1"/>
    <n v="0.15000000000000002"/>
    <n v="0.1"/>
    <n v="40283.140700000004"/>
    <s v="WASH"/>
    <n v="0.98230000000000006"/>
    <s v="Flagged"/>
    <s v="Flagged"/>
    <s v=""/>
    <n v="15899.1893"/>
    <s v="Education"/>
    <n v="0.38769999999999999"/>
    <n v="24383.951400000005"/>
    <n v="1.5336600464276506"/>
    <s v="Flagged"/>
    <n v="14353.15"/>
    <s v="Food Security and Livlihoods"/>
    <n v="0.35"/>
    <n v="25929.990700000002"/>
    <n v="1.8065714285714287"/>
    <s v="Flagged"/>
    <s v=""/>
    <s v=""/>
    <n v="40283.140700000004"/>
    <m/>
    <m/>
    <n v="4"/>
    <s v="Flagged"/>
    <n v="40283"/>
    <m/>
    <x v="0"/>
    <x v="2"/>
    <n v="40283"/>
    <n v="0"/>
    <n v="0"/>
  </r>
  <r>
    <s v="Non-displaced PopulationSD02124"/>
    <x v="1"/>
    <x v="1"/>
    <x v="14"/>
    <x v="14"/>
    <m/>
    <m/>
    <x v="295"/>
    <x v="2"/>
    <n v="0"/>
    <n v="24269.632300000001"/>
    <n v="28169.55"/>
    <n v="71145"/>
    <n v="10903"/>
    <n v="6885.8900000000012"/>
    <n v="12520"/>
    <n v="48908.598700000002"/>
    <n v="6886"/>
    <n v="4956"/>
    <n v="6259.9000000000005"/>
    <n v="6260"/>
    <n v="0"/>
    <n v="0.38770000000000004"/>
    <n v="0.45"/>
    <n v="1.1365197527117046"/>
    <n v="0.17417211137558108"/>
    <n v="0.11000000000000001"/>
    <n v="0.20000319493921628"/>
    <n v="0.78129999999999999"/>
    <n v="0.1"/>
    <n v="0.1"/>
    <n v="0.1"/>
    <n v="0.1"/>
    <n v="71145"/>
    <s v="Health "/>
    <n v="1.1365197527117046"/>
    <s v=""/>
    <s v="Flagged"/>
    <s v=""/>
    <n v="48908.598700000002"/>
    <s v="WASH"/>
    <n v="0.78129999999999999"/>
    <n v="22236.401299999998"/>
    <n v="0.45465218573109512"/>
    <s v="Flagged"/>
    <n v="28169.55"/>
    <s v="Food Security and Livlihoods"/>
    <n v="0.45"/>
    <n v="42975.45"/>
    <n v="1.5255994504704546"/>
    <s v="Flagged"/>
    <s v=""/>
    <s v=""/>
    <n v="71145"/>
    <m/>
    <m/>
    <n v="3"/>
    <s v="Flagged"/>
    <n v="62599"/>
    <m/>
    <x v="0"/>
    <x v="1"/>
    <n v="0"/>
    <n v="56339.1"/>
    <n v="6259.9000000000005"/>
  </r>
  <r>
    <s v="Non-displaced PopulationSD02126"/>
    <x v="1"/>
    <x v="1"/>
    <x v="15"/>
    <x v="15"/>
    <m/>
    <m/>
    <x v="296"/>
    <x v="2"/>
    <n v="0"/>
    <n v="7535.7249000000002"/>
    <n v="6802.95"/>
    <n v="0"/>
    <n v="8761"/>
    <n v="2138.0700000000002"/>
    <n v="3887"/>
    <n v="12606.838199999998"/>
    <n v="2138"/>
    <n v="1538"/>
    <n v="0"/>
    <n v="1944"/>
    <n v="0"/>
    <n v="0.38769999999999999"/>
    <n v="0.35"/>
    <n v="0"/>
    <n v="0.45073828265678861"/>
    <n v="0.11000000000000001"/>
    <n v="0.19997942069249369"/>
    <n v="0.64859999999999995"/>
    <n v="0.1"/>
    <n v="0.1"/>
    <n v="0"/>
    <n v="0.1"/>
    <n v="12606.838199999998"/>
    <s v="WASH"/>
    <n v="0.64859999999999995"/>
    <s v="Flagged"/>
    <s v=""/>
    <s v=""/>
    <n v="8761"/>
    <s v="Nutrition"/>
    <n v="0.45073828265678861"/>
    <n v="3845.8381999999983"/>
    <n v="0.43897251455313302"/>
    <s v="Flagged"/>
    <n v="7535.7249000000002"/>
    <s v="Education"/>
    <n v="0.38769999999999999"/>
    <n v="5071.1132999999982"/>
    <n v="0.67294299716275441"/>
    <s v="Flagged"/>
    <s v=""/>
    <s v=""/>
    <n v="12606.838199999998"/>
    <m/>
    <m/>
    <n v="3"/>
    <s v="Flagged"/>
    <n v="12607"/>
    <m/>
    <x v="1"/>
    <x v="2"/>
    <n v="12607"/>
    <n v="0"/>
    <n v="0"/>
  </r>
  <r>
    <s v="Non-displaced PopulationSD02128"/>
    <x v="1"/>
    <x v="1"/>
    <x v="16"/>
    <x v="16"/>
    <m/>
    <m/>
    <x v="297"/>
    <x v="2"/>
    <n v="0"/>
    <n v="35785.950639999995"/>
    <n v="41536.44"/>
    <n v="15000"/>
    <n v="15528"/>
    <n v="13845.48"/>
    <n v="18461"/>
    <n v="56166.497199999998"/>
    <n v="10153"/>
    <n v="9742"/>
    <n v="13845.48"/>
    <n v="9230"/>
    <n v="0"/>
    <n v="0.38770084005936961"/>
    <n v="0.45000097504956504"/>
    <n v="0.16250826083659253"/>
    <n v="0.16822855161804059"/>
    <n v="0.15000032501652166"/>
    <n v="0.20000433355362232"/>
    <n v="0.6085013184836896"/>
    <n v="0.1"/>
    <n v="0.1"/>
    <n v="0.15000000000000002"/>
    <n v="0.1"/>
    <n v="56166.497199999998"/>
    <s v="WASH"/>
    <n v="0.6085013184836896"/>
    <s v=""/>
    <s v=""/>
    <s v=""/>
    <n v="41536.44"/>
    <s v="Food Security and Livlihoods"/>
    <n v="0.45000097504956504"/>
    <n v="14630.057199999996"/>
    <n v="0.3522222222222221"/>
    <s v="Flagged"/>
    <n v="35785.950639999995"/>
    <s v="Education"/>
    <n v="0.38770084005936961"/>
    <n v="20380.546560000003"/>
    <n v="0.56951250967242728"/>
    <s v="Flagged"/>
    <s v=""/>
    <s v=""/>
    <n v="56166.497199999998"/>
    <m/>
    <m/>
    <n v="2"/>
    <s v="Flagged"/>
    <n v="56166"/>
    <m/>
    <x v="0"/>
    <x v="1"/>
    <n v="0"/>
    <n v="50549.4"/>
    <n v="5616.6"/>
  </r>
  <r>
    <s v="Non-displaced PopulationSD02129"/>
    <x v="1"/>
    <x v="1"/>
    <x v="17"/>
    <x v="17"/>
    <m/>
    <m/>
    <x v="298"/>
    <x v="2"/>
    <n v="0"/>
    <n v="18889.131699999998"/>
    <n v="19488.400000000001"/>
    <n v="0"/>
    <n v="22668"/>
    <n v="19488.400000000001"/>
    <n v="9744"/>
    <n v="36131.493600000002"/>
    <n v="5359"/>
    <n v="3857"/>
    <n v="19488.400000000001"/>
    <n v="4872"/>
    <n v="0"/>
    <n v="0.38769999999999993"/>
    <n v="0.4"/>
    <n v="0"/>
    <n v="0.46526138626054475"/>
    <n v="0.4"/>
    <n v="0.19999589499394513"/>
    <n v="0.74160000000000004"/>
    <n v="0.1"/>
    <n v="0.1"/>
    <n v="0.4"/>
    <n v="0.1"/>
    <n v="36131.493600000002"/>
    <s v="WASH"/>
    <n v="0.74160000000000004"/>
    <s v="Flagged"/>
    <s v=""/>
    <s v=""/>
    <n v="22668"/>
    <s v="Nutrition"/>
    <n v="0.46526138626054475"/>
    <n v="13463.493600000002"/>
    <n v="0.59394272101641088"/>
    <s v="Flagged"/>
    <n v="19488.400000000001"/>
    <s v="Food Security and Livlihoods_x000a_Protection"/>
    <n v="0.4"/>
    <n v="16643.0936"/>
    <n v="0.85399999999999998"/>
    <s v="Flagged"/>
    <s v=""/>
    <s v=""/>
    <n v="36131.493600000002"/>
    <m/>
    <m/>
    <n v="3"/>
    <s v="Flagged"/>
    <n v="36131"/>
    <m/>
    <x v="1"/>
    <x v="0"/>
    <n v="0"/>
    <n v="36131"/>
    <n v="0"/>
  </r>
  <r>
    <s v="Non-displaced PopulationSD02133"/>
    <x v="1"/>
    <x v="1"/>
    <x v="18"/>
    <x v="18"/>
    <m/>
    <m/>
    <x v="34"/>
    <x v="2"/>
    <n v="0"/>
    <n v="0"/>
    <n v="0"/>
    <n v="0"/>
    <n v="1551"/>
    <n v="0"/>
    <n v="0"/>
    <n v="0"/>
    <n v="0"/>
    <n v="0"/>
    <n v="0"/>
    <n v="0"/>
    <e v="#DIV/0!"/>
    <e v="#DIV/0!"/>
    <e v="#DIV/0!"/>
    <e v="#DIV/0!"/>
    <e v="#DIV/0!"/>
    <e v="#DIV/0!"/>
    <e v="#DIV/0!"/>
    <e v="#DIV/0!"/>
    <s v=""/>
    <s v=""/>
    <s v=""/>
    <s v=""/>
    <n v="1551"/>
    <s v="Nutrition"/>
    <e v="#DIV/0!"/>
    <s v="Flagged"/>
    <s v=""/>
    <s v="Flagged"/>
    <n v="0"/>
    <s v="Site Management _x000a_Education_x000a_Food Security and Livlihoods_x000a_Health _x000a_Protection_x000a_Shelter NFI _x000a_WASH"/>
    <s v=""/>
    <n v="1551"/>
    <s v=""/>
    <s v=""/>
    <s v="NA"/>
    <s v=""/>
    <s v=""/>
    <s v=""/>
    <s v=""/>
    <s v=""/>
    <s v=""/>
    <s v=""/>
    <n v="1551"/>
    <m/>
    <m/>
    <n v="2"/>
    <s v="Flagged"/>
    <n v="0"/>
    <m/>
    <x v="0"/>
    <x v="0"/>
    <n v="0"/>
    <n v="0"/>
    <n v="0"/>
  </r>
  <r>
    <s v="Non-displaced PopulationSD02136"/>
    <x v="1"/>
    <x v="1"/>
    <x v="19"/>
    <x v="19"/>
    <m/>
    <m/>
    <x v="299"/>
    <x v="2"/>
    <n v="0"/>
    <n v="21068.7811"/>
    <n v="21737.200000000001"/>
    <n v="0"/>
    <n v="21063"/>
    <n v="5977.7300000000005"/>
    <n v="0"/>
    <n v="43164.644899999999"/>
    <n v="5978"/>
    <n v="4302"/>
    <n v="5434.3"/>
    <n v="5434"/>
    <n v="0"/>
    <n v="0.38769999999999999"/>
    <n v="0.4"/>
    <n v="0"/>
    <n v="0.38759361831330624"/>
    <n v="0.11000000000000001"/>
    <n v="0"/>
    <n v="0.79430000000000001"/>
    <n v="0.1"/>
    <n v="0.1"/>
    <n v="0.1"/>
    <n v="0.1"/>
    <n v="43164.644899999999"/>
    <s v="WASH"/>
    <n v="0.79430000000000001"/>
    <s v="Flagged"/>
    <s v=""/>
    <s v=""/>
    <n v="21737.200000000001"/>
    <s v="Food Security and Livlihoods"/>
    <n v="0.4"/>
    <n v="21427.444899999999"/>
    <n v="0.9857499999999999"/>
    <s v="Flagged"/>
    <n v="21068.7811"/>
    <s v="Education"/>
    <n v="0.38769999999999999"/>
    <n v="22095.863799999999"/>
    <n v="1.0487490327572866"/>
    <s v="Flagged"/>
    <s v=""/>
    <s v=""/>
    <n v="43164.644899999999"/>
    <m/>
    <m/>
    <n v="3"/>
    <s v="Flagged"/>
    <n v="43165"/>
    <m/>
    <x v="1"/>
    <x v="2"/>
    <n v="43165"/>
    <n v="0"/>
    <n v="0"/>
  </r>
  <r>
    <s v="Non-displaced PopulationSD02168"/>
    <x v="1"/>
    <x v="1"/>
    <x v="20"/>
    <x v="20"/>
    <m/>
    <m/>
    <x v="300"/>
    <x v="2"/>
    <n v="0"/>
    <n v="18278.891899999999"/>
    <n v="21216.15"/>
    <n v="0"/>
    <n v="17199"/>
    <n v="5186.170000000001"/>
    <n v="0"/>
    <n v="43271.516600000003"/>
    <n v="5186"/>
    <n v="3732"/>
    <n v="4714.7"/>
    <n v="4715"/>
    <n v="0"/>
    <n v="0.38769999999999999"/>
    <n v="0.45"/>
    <n v="0"/>
    <n v="0.36479521496595751"/>
    <n v="0.11000000000000001"/>
    <n v="0"/>
    <n v="0.91780000000000006"/>
    <n v="0.1"/>
    <n v="0.1"/>
    <n v="0.1"/>
    <n v="0.1"/>
    <n v="43271.516600000003"/>
    <s v="WASH"/>
    <n v="0.91780000000000006"/>
    <s v="Flagged"/>
    <s v="Flagged"/>
    <s v=""/>
    <n v="21216.15"/>
    <s v="Food Security and Livlihoods"/>
    <n v="0.45"/>
    <n v="22055.366600000001"/>
    <n v="1.0395555555555556"/>
    <s v="Flagged"/>
    <n v="18278.891899999999"/>
    <s v="Education"/>
    <n v="0.38769999999999999"/>
    <n v="24992.624700000004"/>
    <n v="1.3672942997162758"/>
    <s v="Flagged"/>
    <s v=""/>
    <s v=""/>
    <n v="43271.516600000003"/>
    <m/>
    <m/>
    <n v="4"/>
    <s v="Flagged"/>
    <n v="43272"/>
    <m/>
    <x v="0"/>
    <x v="2"/>
    <n v="43272"/>
    <n v="0"/>
    <n v="0"/>
  </r>
  <r>
    <s v="Non-displaced PopulationSD02169"/>
    <x v="1"/>
    <x v="1"/>
    <x v="21"/>
    <x v="21"/>
    <m/>
    <m/>
    <x v="301"/>
    <x v="2"/>
    <n v="0"/>
    <n v="8148.6786000000002"/>
    <n v="8407.2000000000007"/>
    <n v="1730"/>
    <n v="11205"/>
    <n v="2311.9800000000005"/>
    <n v="0"/>
    <n v="9350.9081999999999"/>
    <n v="2312"/>
    <n v="1664"/>
    <n v="2101.8000000000002"/>
    <n v="2102"/>
    <n v="0"/>
    <n v="0.38769999999999999"/>
    <n v="0.4"/>
    <n v="8.2310400609001813E-2"/>
    <n v="0.53311447330859263"/>
    <n v="0.11000000000000003"/>
    <n v="0"/>
    <n v="0.44490000000000002"/>
    <n v="0.1"/>
    <n v="0.1"/>
    <n v="0.1"/>
    <n v="0.1"/>
    <n v="11205"/>
    <s v="Nutrition"/>
    <n v="0.53311447330859263"/>
    <s v="Flagged"/>
    <s v=""/>
    <s v="Flagged"/>
    <n v="9350.9081999999999"/>
    <s v="WASH"/>
    <n v="0.44490000000000002"/>
    <n v="1854.0918000000001"/>
    <n v="0.19827932863248515"/>
    <s v=""/>
    <n v="8407.2000000000007"/>
    <s v="Food Security and Livlihoods"/>
    <n v="0.4"/>
    <n v="2797.7999999999993"/>
    <n v="0.33278618327148146"/>
    <s v=""/>
    <s v=""/>
    <s v=""/>
    <n v="11205"/>
    <m/>
    <m/>
    <n v="2"/>
    <s v="Flagged"/>
    <n v="11205"/>
    <m/>
    <x v="1"/>
    <x v="2"/>
    <n v="11205"/>
    <n v="0"/>
    <n v="0"/>
  </r>
  <r>
    <s v="Non-displaced PopulationSD02170"/>
    <x v="1"/>
    <x v="1"/>
    <x v="22"/>
    <x v="22"/>
    <m/>
    <m/>
    <x v="302"/>
    <x v="2"/>
    <n v="0"/>
    <n v="13642.310060000002"/>
    <n v="17593.900000000001"/>
    <n v="0"/>
    <n v="2581"/>
    <n v="3870.6580000000013"/>
    <n v="7038"/>
    <n v="29526.082980000003"/>
    <n v="3871"/>
    <n v="2785"/>
    <n v="3518.7800000000007"/>
    <n v="3519"/>
    <n v="0"/>
    <n v="0.38769779640786639"/>
    <n v="0.49999715812208712"/>
    <n v="0"/>
    <n v="7.3348868932590655E-2"/>
    <n v="0.10999937478685919"/>
    <n v="0.20001136751165169"/>
    <n v="0.83909523076048664"/>
    <n v="0.1"/>
    <n v="0.1"/>
    <n v="0.1"/>
    <n v="0.1"/>
    <n v="29526.082980000003"/>
    <s v="WASH"/>
    <n v="0.83909523076048664"/>
    <s v="Flagged"/>
    <s v=""/>
    <s v=""/>
    <n v="17593.900000000001"/>
    <s v="Food Security and Livlihoods"/>
    <n v="0.49999715812208712"/>
    <n v="11932.182980000001"/>
    <n v="0.67820000000000003"/>
    <s v="Flagged"/>
    <n v="13642.310060000002"/>
    <s v="Education"/>
    <n v="0.38769779640786639"/>
    <n v="15883.772920000001"/>
    <n v="1.1643022955893731"/>
    <s v="Flagged"/>
    <s v=""/>
    <s v=""/>
    <n v="29526.082980000003"/>
    <m/>
    <m/>
    <n v="3"/>
    <s v="Flagged"/>
    <n v="29526"/>
    <m/>
    <x v="0"/>
    <x v="1"/>
    <n v="0"/>
    <n v="26573.4"/>
    <n v="2952.6000000000004"/>
  </r>
  <r>
    <s v="Non-displaced PopulationSD02171"/>
    <x v="1"/>
    <x v="1"/>
    <x v="23"/>
    <x v="23"/>
    <m/>
    <m/>
    <x v="303"/>
    <x v="2"/>
    <n v="0"/>
    <n v="3878.5508"/>
    <n v="3501.4"/>
    <n v="0"/>
    <n v="4412"/>
    <n v="1100.4400000000003"/>
    <n v="0"/>
    <n v="10004"/>
    <n v="1100"/>
    <n v="793"/>
    <n v="1000.4000000000001"/>
    <n v="1000"/>
    <n v="0"/>
    <n v="0.38769999999999999"/>
    <n v="0.35000000000000003"/>
    <n v="0"/>
    <n v="0.44102359056377449"/>
    <n v="0.11000000000000003"/>
    <n v="0"/>
    <n v="1"/>
    <n v="0.1"/>
    <n v="0.1"/>
    <n v="0.1"/>
    <n v="0.1"/>
    <n v="10004"/>
    <s v="WASH"/>
    <n v="1"/>
    <s v="Flagged"/>
    <s v="Flagged"/>
    <s v=""/>
    <n v="4412"/>
    <s v="Nutrition"/>
    <n v="0.44102359056377449"/>
    <n v="5592"/>
    <n v="1.2674524025385312"/>
    <s v="Flagged"/>
    <n v="3878.5508"/>
    <s v="Education"/>
    <n v="0.38769999999999999"/>
    <n v="6125.4492"/>
    <n v="1.5793139025019345"/>
    <s v="Flagged"/>
    <s v=""/>
    <s v=""/>
    <n v="10004"/>
    <m/>
    <m/>
    <n v="4"/>
    <s v="Flagged"/>
    <n v="10004"/>
    <m/>
    <x v="0"/>
    <x v="0"/>
    <n v="0"/>
    <n v="10004"/>
    <n v="0"/>
  </r>
  <r>
    <s v="Non-displaced PopulationSD03141"/>
    <x v="2"/>
    <x v="2"/>
    <x v="24"/>
    <x v="24"/>
    <m/>
    <m/>
    <x v="304"/>
    <x v="2"/>
    <n v="0"/>
    <n v="5812.7861000000003"/>
    <n v="5997.2"/>
    <n v="0"/>
    <n v="5773"/>
    <n v="1649.2300000000005"/>
    <n v="2999"/>
    <n v="13028.917000000001"/>
    <n v="1649"/>
    <n v="1187"/>
    <n v="0"/>
    <n v="1499"/>
    <n v="0"/>
    <n v="0.38770000000000004"/>
    <n v="0.39999999999999997"/>
    <n v="0"/>
    <n v="0.38504635496565065"/>
    <n v="0.11000000000000003"/>
    <n v="0.20002667911692124"/>
    <n v="0.86900000000000011"/>
    <n v="0.1"/>
    <n v="0.1"/>
    <n v="0"/>
    <n v="0.1"/>
    <n v="13028.917000000001"/>
    <s v="WASH"/>
    <n v="0.86900000000000011"/>
    <s v="Flagged"/>
    <s v=""/>
    <s v=""/>
    <n v="5997.2"/>
    <s v="Food Security and Livlihoods"/>
    <n v="0.39999999999999997"/>
    <n v="7031.7170000000015"/>
    <n v="1.1725000000000003"/>
    <s v="Flagged"/>
    <n v="5812.7861000000003"/>
    <s v="Education"/>
    <n v="0.38770000000000004"/>
    <n v="7216.130900000001"/>
    <n v="1.2414237812741813"/>
    <s v="Flagged"/>
    <s v=""/>
    <s v=""/>
    <n v="13028.917000000001"/>
    <m/>
    <m/>
    <n v="3"/>
    <s v="Flagged"/>
    <n v="13029"/>
    <m/>
    <x v="1"/>
    <x v="2"/>
    <n v="13029"/>
    <n v="0"/>
    <n v="0"/>
  </r>
  <r>
    <s v="Non-displaced PopulationSD03143"/>
    <x v="2"/>
    <x v="2"/>
    <x v="25"/>
    <x v="25"/>
    <m/>
    <m/>
    <x v="305"/>
    <x v="2"/>
    <n v="0"/>
    <n v="34223.8298"/>
    <n v="30895.9"/>
    <n v="0"/>
    <n v="20411"/>
    <n v="9710.1400000000012"/>
    <n v="17655"/>
    <n v="86234.870599999995"/>
    <n v="9710"/>
    <n v="6988"/>
    <n v="0"/>
    <n v="8827"/>
    <n v="0"/>
    <n v="0.38769999999999999"/>
    <n v="0.35000000000000003"/>
    <n v="0"/>
    <n v="0.23122323674015"/>
    <n v="0.11000000000000001"/>
    <n v="0.20000226567279153"/>
    <n v="0.97689999999999999"/>
    <n v="0.1"/>
    <n v="0.1"/>
    <n v="0"/>
    <n v="0.1"/>
    <n v="86234.870599999995"/>
    <s v="WASH"/>
    <n v="0.97689999999999999"/>
    <s v="Flagged"/>
    <s v="Flagged"/>
    <s v=""/>
    <n v="34223.8298"/>
    <s v="Education"/>
    <n v="0.38769999999999999"/>
    <n v="52011.040799999995"/>
    <n v="1.5197317513541397"/>
    <s v="Flagged"/>
    <n v="30895.9"/>
    <s v="Food Security and Livlihoods"/>
    <n v="0.35000000000000003"/>
    <n v="55338.970599999993"/>
    <n v="1.7911428571428569"/>
    <s v="Flagged"/>
    <s v=""/>
    <s v=""/>
    <n v="86234.870599999995"/>
    <m/>
    <m/>
    <n v="4"/>
    <s v="Flagged"/>
    <n v="86235"/>
    <m/>
    <x v="1"/>
    <x v="2"/>
    <n v="86235"/>
    <n v="0"/>
    <n v="0"/>
  </r>
  <r>
    <s v="Non-displaced PopulationSD03144"/>
    <x v="2"/>
    <x v="2"/>
    <x v="26"/>
    <x v="26"/>
    <m/>
    <m/>
    <x v="34"/>
    <x v="2"/>
    <n v="0"/>
    <n v="0"/>
    <n v="0"/>
    <n v="690"/>
    <n v="0"/>
    <n v="0"/>
    <n v="0"/>
    <n v="0"/>
    <n v="0"/>
    <n v="0"/>
    <n v="0"/>
    <n v="0"/>
    <e v="#DIV/0!"/>
    <e v="#DIV/0!"/>
    <e v="#DIV/0!"/>
    <e v="#DIV/0!"/>
    <e v="#DIV/0!"/>
    <e v="#DIV/0!"/>
    <e v="#DIV/0!"/>
    <e v="#DIV/0!"/>
    <s v=""/>
    <s v=""/>
    <s v=""/>
    <s v=""/>
    <n v="690"/>
    <s v="Health "/>
    <e v="#DIV/0!"/>
    <s v="Flagged"/>
    <s v=""/>
    <s v=""/>
    <n v="0"/>
    <s v="Site Management _x000a_Education_x000a_Food Security and Livlihoods_x000a_Nutrition_x000a_Protection_x000a_Shelter NFI _x000a_WASH"/>
    <s v=""/>
    <n v="690"/>
    <s v=""/>
    <s v=""/>
    <s v="NA"/>
    <s v=""/>
    <s v=""/>
    <s v=""/>
    <s v=""/>
    <s v=""/>
    <s v=""/>
    <s v=""/>
    <n v="690"/>
    <m/>
    <m/>
    <n v="1"/>
    <s v="Flagged"/>
    <n v="0"/>
    <m/>
    <x v="1"/>
    <x v="0"/>
    <n v="0"/>
    <n v="0"/>
    <n v="0"/>
  </r>
  <r>
    <s v="Non-displaced PopulationSD03145"/>
    <x v="2"/>
    <x v="2"/>
    <x v="27"/>
    <x v="27"/>
    <m/>
    <m/>
    <x v="306"/>
    <x v="2"/>
    <n v="0"/>
    <n v="5630.0824750000002"/>
    <n v="7986.9624999999996"/>
    <n v="0"/>
    <n v="1484"/>
    <n v="2178.2624999999998"/>
    <n v="2904"/>
    <n v="8766.7804749999996"/>
    <n v="1597"/>
    <n v="1149"/>
    <n v="2178.2624999999998"/>
    <n v="1452"/>
    <n v="0"/>
    <n v="0.38769332564385073"/>
    <n v="0.54999053160721656"/>
    <n v="0"/>
    <n v="0.10218978102189781"/>
    <n v="0.14999741771105907"/>
    <n v="0.19997245558463023"/>
    <n v="0.60368960714777575"/>
    <n v="0.1"/>
    <n v="0.1"/>
    <n v="0.15000000000000002"/>
    <n v="0.1"/>
    <n v="8766.7804749999996"/>
    <s v="WASH"/>
    <n v="0.60368960714777575"/>
    <s v="Flagged"/>
    <s v=""/>
    <s v=""/>
    <n v="7986.9624999999996"/>
    <s v="Food Security and Livlihoods"/>
    <n v="0.54999053160721656"/>
    <n v="779.81797499999993"/>
    <n v="9.7636363636363632E-2"/>
    <s v=""/>
    <n v="5630.0824750000002"/>
    <s v="Education"/>
    <n v="0.38769332564385073"/>
    <n v="3136.6979999999994"/>
    <n v="0.55713180294041775"/>
    <s v="Flagged"/>
    <s v=""/>
    <s v=""/>
    <n v="8766.7804749999996"/>
    <m/>
    <m/>
    <n v="2"/>
    <s v="Flagged"/>
    <n v="8767"/>
    <m/>
    <x v="1"/>
    <x v="0"/>
    <n v="0"/>
    <n v="8767"/>
    <n v="0"/>
  </r>
  <r>
    <s v="Non-displaced PopulationSD03146"/>
    <x v="2"/>
    <x v="2"/>
    <x v="28"/>
    <x v="28"/>
    <m/>
    <m/>
    <x v="307"/>
    <x v="2"/>
    <n v="0"/>
    <n v="11627.510699999999"/>
    <n v="13495.95"/>
    <n v="0"/>
    <n v="3610"/>
    <n v="3299.0100000000007"/>
    <n v="5998"/>
    <n v="29772.065699999996"/>
    <n v="3299"/>
    <n v="2373"/>
    <n v="2999.1000000000004"/>
    <n v="2999"/>
    <n v="0"/>
    <n v="0.38769999999999999"/>
    <n v="0.45"/>
    <n v="0"/>
    <n v="0.12036944416658331"/>
    <n v="0.11000000000000003"/>
    <n v="0.19999333133273314"/>
    <n v="0.9926999999999998"/>
    <n v="0.1"/>
    <n v="0.1"/>
    <n v="0.1"/>
    <n v="0.1"/>
    <n v="29772.065699999996"/>
    <s v="WASH"/>
    <n v="0.9926999999999998"/>
    <s v="Flagged"/>
    <s v="Flagged"/>
    <s v=""/>
    <n v="13495.95"/>
    <s v="Food Security and Livlihoods"/>
    <n v="0.45"/>
    <n v="16276.115699999995"/>
    <n v="1.2059999999999995"/>
    <s v="Flagged"/>
    <n v="11627.510699999999"/>
    <s v="Education"/>
    <n v="0.38769999999999999"/>
    <n v="18144.554999999997"/>
    <n v="1.5604849110136703"/>
    <s v="Flagged"/>
    <s v=""/>
    <s v=""/>
    <n v="29772.065699999996"/>
    <m/>
    <m/>
    <n v="4"/>
    <s v="Flagged"/>
    <n v="29772"/>
    <m/>
    <x v="1"/>
    <x v="2"/>
    <n v="29772"/>
    <n v="0"/>
    <n v="0"/>
  </r>
  <r>
    <s v="Non-displaced PopulationSD03147"/>
    <x v="2"/>
    <x v="2"/>
    <x v="29"/>
    <x v="29"/>
    <m/>
    <m/>
    <x v="308"/>
    <x v="2"/>
    <n v="0"/>
    <n v="2540.9857999999999"/>
    <n v="4587.8"/>
    <n v="0"/>
    <n v="1446"/>
    <n v="720.94"/>
    <n v="1311"/>
    <n v="3932.4"/>
    <n v="721"/>
    <n v="520"/>
    <n v="655.40000000000009"/>
    <n v="655"/>
    <n v="0"/>
    <n v="0.38769999999999999"/>
    <n v="0.70000000000000007"/>
    <n v="0"/>
    <n v="0.22062862374122674"/>
    <n v="0.11000000000000001"/>
    <n v="0.20003051571559352"/>
    <n v="0.6"/>
    <n v="0.1"/>
    <n v="0.1"/>
    <n v="0.1"/>
    <n v="0.1"/>
    <n v="4587.8"/>
    <s v="Food Security and Livlihoods"/>
    <n v="0.70000000000000007"/>
    <s v="Flagged"/>
    <s v=""/>
    <s v=""/>
    <n v="3932.4"/>
    <s v="WASH"/>
    <n v="0.6"/>
    <n v="655.40000000000009"/>
    <n v="0.16666666666666669"/>
    <s v=""/>
    <n v="2540.9857999999999"/>
    <s v="Education"/>
    <n v="0.38769999999999999"/>
    <n v="2046.8142000000003"/>
    <n v="0.80551973175135427"/>
    <s v="Flagged"/>
    <s v=""/>
    <s v=""/>
    <n v="4587.8"/>
    <m/>
    <m/>
    <n v="2"/>
    <s v="Flagged"/>
    <n v="4588"/>
    <m/>
    <x v="1"/>
    <x v="0"/>
    <n v="0"/>
    <n v="4588"/>
    <n v="0"/>
  </r>
  <r>
    <s v="Non-displaced PopulationSD03149"/>
    <x v="2"/>
    <x v="2"/>
    <x v="30"/>
    <x v="30"/>
    <m/>
    <m/>
    <x v="309"/>
    <x v="2"/>
    <n v="0"/>
    <n v="55274.776699999995"/>
    <n v="64156.95"/>
    <n v="0"/>
    <n v="27731"/>
    <n v="15682.810000000001"/>
    <n v="28514"/>
    <n v="76432.313099999999"/>
    <n v="15683"/>
    <n v="11287"/>
    <n v="0"/>
    <n v="14257"/>
    <n v="0"/>
    <n v="0.38769999999999999"/>
    <n v="0.44999999999999996"/>
    <n v="0"/>
    <n v="0.19450659671321657"/>
    <n v="0.11000000000000001"/>
    <n v="0.19999859719017191"/>
    <n v="0.53610000000000002"/>
    <n v="0.1"/>
    <n v="0.1"/>
    <n v="0"/>
    <n v="0.1"/>
    <n v="76432.313099999999"/>
    <s v="WASH"/>
    <n v="0.53610000000000002"/>
    <s v="Flagged"/>
    <s v=""/>
    <s v=""/>
    <n v="64156.95"/>
    <s v="Food Security and Livlihoods"/>
    <n v="0.44999999999999996"/>
    <n v="12275.363100000002"/>
    <n v="0.19133333333333338"/>
    <s v=""/>
    <n v="55274.776699999995"/>
    <s v="Education"/>
    <n v="0.38769999999999999"/>
    <n v="21157.536400000005"/>
    <n v="0.38277018313128719"/>
    <s v=""/>
    <s v=""/>
    <s v=""/>
    <n v="76432.313099999999"/>
    <m/>
    <m/>
    <n v="1"/>
    <s v="Flagged"/>
    <n v="76432"/>
    <m/>
    <x v="1"/>
    <x v="2"/>
    <n v="76432"/>
    <n v="0"/>
    <n v="0"/>
  </r>
  <r>
    <s v="Non-displaced PopulationSD03150"/>
    <x v="2"/>
    <x v="2"/>
    <x v="31"/>
    <x v="31"/>
    <m/>
    <m/>
    <x v="310"/>
    <x v="2"/>
    <n v="0"/>
    <n v="12853.418099999999"/>
    <n v="19891.8"/>
    <n v="0"/>
    <n v="3292"/>
    <n v="4972.95"/>
    <n v="0"/>
    <n v="20180.231099999997"/>
    <n v="3647"/>
    <n v="2625"/>
    <n v="4972.95"/>
    <n v="0"/>
    <n v="0"/>
    <n v="0.38769999999999999"/>
    <n v="0.6"/>
    <n v="0"/>
    <n v="9.9297197840316112E-2"/>
    <n v="0.15"/>
    <n v="0"/>
    <n v="0.60869999999999991"/>
    <n v="0.1"/>
    <n v="0.1"/>
    <n v="0.15000000000000002"/>
    <n v="0"/>
    <n v="20180.231099999997"/>
    <s v="WASH"/>
    <n v="0.60869999999999991"/>
    <s v="Flagged"/>
    <s v=""/>
    <s v=""/>
    <n v="19891.8"/>
    <s v="Food Security and Livlihoods"/>
    <n v="0.6"/>
    <n v="288.43109999999797"/>
    <n v="1.4499999999999898E-2"/>
    <s v=""/>
    <n v="12853.418099999999"/>
    <s v="Education"/>
    <n v="0.38769999999999999"/>
    <n v="7326.8129999999983"/>
    <n v="0.57002837245292748"/>
    <s v="Flagged"/>
    <s v=""/>
    <s v=""/>
    <n v="20180.231099999997"/>
    <m/>
    <m/>
    <n v="2"/>
    <s v="Flagged"/>
    <n v="20180"/>
    <m/>
    <x v="1"/>
    <x v="0"/>
    <n v="0"/>
    <n v="20180"/>
    <n v="0"/>
  </r>
  <r>
    <s v="Non-displaced PopulationSD03151"/>
    <x v="2"/>
    <x v="2"/>
    <x v="32"/>
    <x v="32"/>
    <m/>
    <m/>
    <x v="311"/>
    <x v="2"/>
    <n v="0"/>
    <n v="18207.748950000001"/>
    <n v="25829.924999999999"/>
    <n v="0"/>
    <n v="8548"/>
    <n v="5165.9850000000006"/>
    <n v="0"/>
    <n v="35344.730100000001"/>
    <n v="5166"/>
    <n v="3718"/>
    <n v="0"/>
    <n v="0"/>
    <n v="0"/>
    <n v="0.38769587237032621"/>
    <n v="0.54999414445106887"/>
    <n v="0"/>
    <n v="0.18201175368367259"/>
    <n v="0.1099988288902138"/>
    <n v="0"/>
    <n v="0.75259198747977174"/>
    <n v="0.1"/>
    <n v="0.1"/>
    <n v="0"/>
    <n v="0"/>
    <n v="35344.730100000001"/>
    <s v="WASH"/>
    <n v="0.75259198747977174"/>
    <s v="Flagged"/>
    <s v=""/>
    <s v=""/>
    <n v="25829.924999999999"/>
    <s v="Food Security and Livlihoods"/>
    <n v="0.54999414445106887"/>
    <n v="9514.8051000000014"/>
    <n v="0.36836363636363645"/>
    <s v="Flagged"/>
    <n v="18207.748950000001"/>
    <s v="Education"/>
    <n v="0.38769587237032621"/>
    <n v="17136.98115"/>
    <n v="0.94119164302295577"/>
    <s v="Flagged"/>
    <s v=""/>
    <s v=""/>
    <n v="35344.730100000001"/>
    <m/>
    <m/>
    <n v="3"/>
    <s v="Flagged"/>
    <n v="35345"/>
    <m/>
    <x v="1"/>
    <x v="0"/>
    <n v="0"/>
    <n v="35345"/>
    <n v="0"/>
  </r>
  <r>
    <s v="Non-displaced PopulationSD03153"/>
    <x v="2"/>
    <x v="2"/>
    <x v="33"/>
    <x v="33"/>
    <m/>
    <m/>
    <x v="312"/>
    <x v="2"/>
    <n v="0"/>
    <n v="26286.428314999997"/>
    <n v="37290.522499999999"/>
    <n v="0"/>
    <n v="7709"/>
    <n v="7458.1045000000004"/>
    <n v="13560"/>
    <n v="48701.422384999998"/>
    <n v="7458"/>
    <n v="5368"/>
    <n v="6780.0950000000003"/>
    <n v="6780"/>
    <n v="0"/>
    <n v="0.38769971408976267"/>
    <n v="0.54999959440126256"/>
    <n v="0"/>
    <n v="0.11370038789988349"/>
    <n v="0.10999991888025251"/>
    <n v="0.19999705019100014"/>
    <n v="0.71829947028804886"/>
    <n v="0.1"/>
    <n v="0.1"/>
    <n v="0.1"/>
    <n v="0.1"/>
    <n v="48701.422384999998"/>
    <s v="WASH"/>
    <n v="0.71829947028804886"/>
    <s v="Flagged"/>
    <s v=""/>
    <s v=""/>
    <n v="37290.522499999999"/>
    <s v="Food Security and Livlihoods"/>
    <n v="0.54999959440126256"/>
    <n v="11410.899884999999"/>
    <n v="0.30599999999999999"/>
    <s v="Flagged"/>
    <n v="26286.428314999997"/>
    <s v="Education"/>
    <n v="0.38769971408976267"/>
    <n v="22414.994070000001"/>
    <n v="0.85272117616713961"/>
    <s v="Flagged"/>
    <s v=""/>
    <s v=""/>
    <n v="48701.422384999998"/>
    <m/>
    <m/>
    <n v="3"/>
    <s v="Flagged"/>
    <n v="48701"/>
    <m/>
    <x v="1"/>
    <x v="0"/>
    <n v="0"/>
    <n v="48701"/>
    <n v="0"/>
  </r>
  <r>
    <s v="Non-displaced PopulationSD03154"/>
    <x v="2"/>
    <x v="2"/>
    <x v="34"/>
    <x v="34"/>
    <m/>
    <m/>
    <x v="313"/>
    <x v="2"/>
    <n v="0"/>
    <n v="11057.9794"/>
    <n v="14261"/>
    <n v="0"/>
    <n v="8610"/>
    <n v="3137.42"/>
    <n v="0"/>
    <n v="26785.010199999997"/>
    <n v="3137"/>
    <n v="2258"/>
    <n v="0"/>
    <n v="0"/>
    <n v="0"/>
    <n v="0.38769999999999999"/>
    <n v="0.5"/>
    <n v="0"/>
    <n v="0.30187223897342402"/>
    <n v="0.11"/>
    <n v="0"/>
    <n v="0.93909999999999993"/>
    <n v="0.1"/>
    <n v="0.1"/>
    <n v="0"/>
    <n v="0"/>
    <n v="26785.010199999997"/>
    <s v="WASH"/>
    <n v="0.93909999999999993"/>
    <s v="Flagged"/>
    <s v="Flagged"/>
    <s v=""/>
    <n v="14261"/>
    <s v="Food Security and Livlihoods"/>
    <n v="0.5"/>
    <n v="12524.010199999997"/>
    <n v="0.87819999999999976"/>
    <s v="Flagged"/>
    <n v="11057.9794"/>
    <s v="Education"/>
    <n v="0.38769999999999999"/>
    <n v="15727.030799999997"/>
    <n v="1.4222336858395663"/>
    <s v="Flagged"/>
    <s v=""/>
    <s v=""/>
    <n v="26785.010199999997"/>
    <m/>
    <m/>
    <n v="4"/>
    <s v="Flagged"/>
    <n v="26785"/>
    <m/>
    <x v="1"/>
    <x v="2"/>
    <n v="26785"/>
    <n v="0"/>
    <n v="0"/>
  </r>
  <r>
    <s v="Non-displaced PopulationSD03156"/>
    <x v="2"/>
    <x v="2"/>
    <x v="35"/>
    <x v="35"/>
    <m/>
    <m/>
    <x v="314"/>
    <x v="2"/>
    <n v="0"/>
    <n v="29376.028999999999"/>
    <n v="37885"/>
    <n v="0"/>
    <n v="17676"/>
    <n v="8334.7000000000007"/>
    <n v="0"/>
    <n v="71693.574000000008"/>
    <n v="8335"/>
    <n v="5998"/>
    <n v="0"/>
    <n v="0"/>
    <n v="0"/>
    <n v="0.38769999999999999"/>
    <n v="0.5"/>
    <n v="0"/>
    <n v="0.23328494126963178"/>
    <n v="0.11000000000000001"/>
    <n v="0"/>
    <n v="0.94620000000000015"/>
    <n v="0.1"/>
    <n v="0.1"/>
    <n v="0"/>
    <n v="0"/>
    <n v="71693.574000000008"/>
    <s v="WASH"/>
    <n v="0.94620000000000015"/>
    <s v="Flagged"/>
    <s v="Flagged"/>
    <s v=""/>
    <n v="37885"/>
    <s v="Food Security and Livlihoods"/>
    <n v="0.5"/>
    <n v="33808.574000000008"/>
    <n v="0.89240000000000019"/>
    <s v="Flagged"/>
    <n v="29376.028999999999"/>
    <s v="Education"/>
    <n v="0.38769999999999999"/>
    <n v="42317.545000000013"/>
    <n v="1.440546814547331"/>
    <s v="Flagged"/>
    <s v=""/>
    <s v=""/>
    <n v="71693.574000000008"/>
    <m/>
    <m/>
    <n v="4"/>
    <s v="Flagged"/>
    <n v="71694"/>
    <m/>
    <x v="1"/>
    <x v="2"/>
    <n v="71694"/>
    <n v="0"/>
    <n v="0"/>
  </r>
  <r>
    <s v="Non-displaced PopulationSD03157"/>
    <x v="2"/>
    <x v="2"/>
    <x v="36"/>
    <x v="36"/>
    <m/>
    <m/>
    <x v="315"/>
    <x v="2"/>
    <n v="0"/>
    <n v="33850.087"/>
    <n v="34924"/>
    <n v="0"/>
    <n v="23899"/>
    <n v="9604.1000000000022"/>
    <n v="17462"/>
    <n v="65456.307000000001"/>
    <n v="9604"/>
    <n v="6912"/>
    <n v="8731"/>
    <n v="8731"/>
    <n v="0"/>
    <n v="0.38769999999999999"/>
    <n v="0.4"/>
    <n v="0"/>
    <n v="0.27372580460428358"/>
    <n v="0.11000000000000003"/>
    <n v="0.2"/>
    <n v="0.74970000000000003"/>
    <n v="0.1"/>
    <n v="0.1"/>
    <n v="0.1"/>
    <n v="0.1"/>
    <n v="65456.307000000001"/>
    <s v="WASH"/>
    <n v="0.74970000000000003"/>
    <s v="Flagged"/>
    <s v=""/>
    <s v=""/>
    <n v="34924"/>
    <s v="Food Security and Livlihoods"/>
    <n v="0.4"/>
    <n v="30532.307000000001"/>
    <n v="0.87424999999999997"/>
    <s v="Flagged"/>
    <n v="33850.087"/>
    <s v="Education"/>
    <n v="0.38769999999999999"/>
    <n v="31606.22"/>
    <n v="0.93371163270570035"/>
    <s v="Flagged"/>
    <s v=""/>
    <s v=""/>
    <n v="65456.307000000001"/>
    <m/>
    <m/>
    <n v="3"/>
    <s v="Flagged"/>
    <n v="65456"/>
    <m/>
    <x v="1"/>
    <x v="1"/>
    <n v="0"/>
    <n v="58910.400000000001"/>
    <n v="6545.6"/>
  </r>
  <r>
    <s v="Non-displaced PopulationSD03158"/>
    <x v="2"/>
    <x v="2"/>
    <x v="37"/>
    <x v="37"/>
    <m/>
    <m/>
    <x v="316"/>
    <x v="2"/>
    <n v="0"/>
    <n v="44891.782999999996"/>
    <n v="57895"/>
    <n v="0"/>
    <n v="13993"/>
    <n v="12736.900000000001"/>
    <n v="23158"/>
    <n v="95109.906000000003"/>
    <n v="12737"/>
    <n v="9165"/>
    <n v="0"/>
    <n v="11579"/>
    <n v="0"/>
    <n v="0.38769999999999999"/>
    <n v="0.5"/>
    <n v="0"/>
    <n v="0.12084808705414975"/>
    <n v="0.11000000000000001"/>
    <n v="0.2"/>
    <n v="0.82140000000000002"/>
    <n v="0.1"/>
    <n v="0.1"/>
    <n v="0"/>
    <n v="0.1"/>
    <n v="95109.906000000003"/>
    <s v="WASH"/>
    <n v="0.82140000000000002"/>
    <s v="Flagged"/>
    <s v=""/>
    <s v=""/>
    <n v="57895"/>
    <s v="Food Security and Livlihoods"/>
    <n v="0.5"/>
    <n v="37214.906000000003"/>
    <n v="0.64280000000000004"/>
    <s v="Flagged"/>
    <n v="44891.782999999996"/>
    <s v="Education"/>
    <n v="0.38769999999999999"/>
    <n v="50218.123000000007"/>
    <n v="1.1186484395150893"/>
    <s v="Flagged"/>
    <s v=""/>
    <s v=""/>
    <n v="95109.906000000003"/>
    <m/>
    <m/>
    <n v="3"/>
    <s v="Flagged"/>
    <n v="95110"/>
    <m/>
    <x v="1"/>
    <x v="0"/>
    <n v="0"/>
    <n v="95110"/>
    <n v="0"/>
  </r>
  <r>
    <s v="Non-displaced PopulationSD03159"/>
    <x v="2"/>
    <x v="2"/>
    <x v="38"/>
    <x v="38"/>
    <m/>
    <m/>
    <x v="317"/>
    <x v="2"/>
    <n v="0"/>
    <n v="17706.646700000001"/>
    <n v="18268.400000000001"/>
    <n v="0"/>
    <n v="10263"/>
    <n v="5023.8100000000013"/>
    <n v="0"/>
    <n v="44721.0432"/>
    <n v="5024"/>
    <n v="3614"/>
    <n v="4567.1000000000004"/>
    <n v="0"/>
    <n v="0"/>
    <n v="0.38770000000000004"/>
    <n v="0.4"/>
    <n v="0"/>
    <n v="0.22471590287053053"/>
    <n v="0.11000000000000003"/>
    <n v="0"/>
    <n v="0.97919999999999996"/>
    <n v="0.1"/>
    <n v="0.1"/>
    <n v="0.1"/>
    <n v="0"/>
    <n v="44721.0432"/>
    <s v="WASH"/>
    <n v="0.97919999999999996"/>
    <s v="Flagged"/>
    <s v="Flagged"/>
    <s v=""/>
    <n v="18268.400000000001"/>
    <s v="Food Security and Livlihoods"/>
    <n v="0.4"/>
    <n v="26452.643199999999"/>
    <n v="1.4479999999999997"/>
    <s v="Flagged"/>
    <n v="17706.646700000001"/>
    <s v="Education"/>
    <n v="0.38770000000000004"/>
    <n v="27014.396499999999"/>
    <n v="1.5256641733298941"/>
    <s v="Flagged"/>
    <s v=""/>
    <s v=""/>
    <n v="44721.0432"/>
    <m/>
    <m/>
    <n v="4"/>
    <s v="Flagged"/>
    <n v="44721"/>
    <m/>
    <x v="1"/>
    <x v="0"/>
    <n v="0"/>
    <n v="44721"/>
    <n v="0"/>
  </r>
  <r>
    <s v="Non-displaced PopulationSD03161"/>
    <x v="2"/>
    <x v="2"/>
    <x v="39"/>
    <x v="39"/>
    <m/>
    <m/>
    <x v="318"/>
    <x v="2"/>
    <n v="0"/>
    <n v="21999.648799999999"/>
    <n v="31209.200000000001"/>
    <n v="0"/>
    <n v="9040"/>
    <n v="6241.84"/>
    <n v="11349"/>
    <n v="45151.200799999991"/>
    <n v="6242"/>
    <n v="4491"/>
    <n v="5674.4000000000005"/>
    <n v="5674"/>
    <n v="0"/>
    <n v="0.38769999999999999"/>
    <n v="0.55000000000000004"/>
    <n v="0"/>
    <n v="0.15931199774425489"/>
    <n v="0.11"/>
    <n v="0.20000352460172"/>
    <n v="0.79569999999999985"/>
    <n v="0.1"/>
    <n v="0.1"/>
    <n v="0.1"/>
    <n v="0.1"/>
    <n v="45151.200799999991"/>
    <s v="WASH"/>
    <n v="0.79569999999999985"/>
    <s v="Flagged"/>
    <s v=""/>
    <s v=""/>
    <n v="31209.200000000001"/>
    <s v="Food Security and Livlihoods"/>
    <n v="0.55000000000000004"/>
    <n v="13942.000799999991"/>
    <n v="0.44672727272727242"/>
    <s v="Flagged"/>
    <n v="21999.648799999999"/>
    <s v="Education"/>
    <n v="0.38769999999999999"/>
    <n v="23151.551999999992"/>
    <n v="1.0523600722207889"/>
    <s v="Flagged"/>
    <s v=""/>
    <s v=""/>
    <n v="45151.200799999991"/>
    <m/>
    <m/>
    <n v="3"/>
    <s v="Flagged"/>
    <n v="45151"/>
    <m/>
    <x v="1"/>
    <x v="0"/>
    <n v="0"/>
    <n v="45151"/>
    <n v="0"/>
  </r>
  <r>
    <s v="Non-displaced PopulationSD03162"/>
    <x v="2"/>
    <x v="2"/>
    <x v="40"/>
    <x v="40"/>
    <m/>
    <m/>
    <x v="319"/>
    <x v="2"/>
    <n v="0"/>
    <n v="76809.359964999996"/>
    <n v="118869.27"/>
    <n v="0"/>
    <n v="17923"/>
    <n v="99057.725000000006"/>
    <n v="59435"/>
    <n v="101355.86421999999"/>
    <n v="21793"/>
    <n v="15683"/>
    <n v="99057.725000000006"/>
    <n v="19812"/>
    <n v="0"/>
    <n v="0.38770088062488955"/>
    <n v="0.60000136284481242"/>
    <n v="0"/>
    <n v="9.0467657673573426E-2"/>
    <n v="0.50000113570401028"/>
    <n v="0.30000252378668957"/>
    <n v="0.51160116205234329"/>
    <n v="0.1"/>
    <n v="0.1"/>
    <n v="0.5"/>
    <n v="0.1"/>
    <n v="118869.27"/>
    <s v="Food Security and Livlihoods"/>
    <n v="0.60000136284481242"/>
    <s v="Flagged"/>
    <s v=""/>
    <s v=""/>
    <n v="101355.86421999999"/>
    <s v="WASH"/>
    <n v="0.51160116205234329"/>
    <n v="17513.405780000016"/>
    <n v="0.17279124315871791"/>
    <s v=""/>
    <n v="99057.725000000006"/>
    <s v="Protection"/>
    <n v="0.50000113570401028"/>
    <n v="19811.544999999998"/>
    <n v="0.19999999999999998"/>
    <s v=""/>
    <s v=""/>
    <s v=""/>
    <n v="118869.27"/>
    <m/>
    <m/>
    <n v="1"/>
    <s v="Flagged"/>
    <n v="118869"/>
    <m/>
    <x v="1"/>
    <x v="0"/>
    <n v="0"/>
    <n v="118869"/>
    <n v="0"/>
  </r>
  <r>
    <s v="Non-displaced PopulationSD03164"/>
    <x v="2"/>
    <x v="2"/>
    <x v="41"/>
    <x v="41"/>
    <m/>
    <m/>
    <x v="34"/>
    <x v="2"/>
    <n v="0"/>
    <n v="0"/>
    <n v="0"/>
    <n v="15325"/>
    <n v="0"/>
    <n v="0"/>
    <n v="0"/>
    <n v="0"/>
    <n v="0"/>
    <n v="0"/>
    <n v="0"/>
    <n v="0"/>
    <e v="#DIV/0!"/>
    <e v="#DIV/0!"/>
    <e v="#DIV/0!"/>
    <e v="#DIV/0!"/>
    <e v="#DIV/0!"/>
    <e v="#DIV/0!"/>
    <e v="#DIV/0!"/>
    <e v="#DIV/0!"/>
    <s v=""/>
    <s v=""/>
    <s v=""/>
    <s v=""/>
    <n v="15325"/>
    <s v="Health "/>
    <e v="#DIV/0!"/>
    <s v="Flagged"/>
    <s v=""/>
    <s v=""/>
    <n v="0"/>
    <s v="Site Management _x000a_Education_x000a_Food Security and Livlihoods_x000a_Nutrition_x000a_Protection_x000a_Shelter NFI _x000a_WASH"/>
    <s v=""/>
    <n v="15325"/>
    <s v=""/>
    <s v=""/>
    <s v="NA"/>
    <s v=""/>
    <s v=""/>
    <s v=""/>
    <s v=""/>
    <s v=""/>
    <s v=""/>
    <s v=""/>
    <n v="15325"/>
    <m/>
    <m/>
    <n v="1"/>
    <s v="Flagged"/>
    <n v="0"/>
    <m/>
    <x v="0"/>
    <x v="1"/>
    <n v="0"/>
    <n v="0"/>
    <n v="0"/>
  </r>
  <r>
    <s v="Non-displaced PopulationSD03166"/>
    <x v="2"/>
    <x v="2"/>
    <x v="42"/>
    <x v="42"/>
    <m/>
    <m/>
    <x v="320"/>
    <x v="2"/>
    <n v="0"/>
    <n v="20805.145099999998"/>
    <n v="29514.65"/>
    <n v="0"/>
    <n v="8032"/>
    <n v="8049.45"/>
    <n v="0"/>
    <n v="40225.784800000009"/>
    <n v="5903"/>
    <n v="4248"/>
    <n v="8049.45"/>
    <n v="5366"/>
    <n v="0"/>
    <n v="0.38769999999999993"/>
    <n v="0.55000000000000004"/>
    <n v="0"/>
    <n v="0.14967482250340086"/>
    <n v="0.15"/>
    <n v="0"/>
    <n v="0.74960000000000016"/>
    <n v="0.1"/>
    <n v="0.1"/>
    <n v="0.15000000000000002"/>
    <n v="0.1"/>
    <n v="40225.784800000009"/>
    <s v="WASH"/>
    <n v="0.74960000000000016"/>
    <s v="Flagged"/>
    <s v=""/>
    <s v=""/>
    <n v="29514.65"/>
    <s v="Food Security and Livlihoods"/>
    <n v="0.55000000000000004"/>
    <n v="10711.134800000007"/>
    <n v="0.36290909090909113"/>
    <s v="Flagged"/>
    <n v="20805.145099999998"/>
    <s v="Education"/>
    <n v="0.38769999999999993"/>
    <n v="19420.639700000011"/>
    <n v="0.93345370131545069"/>
    <s v="Flagged"/>
    <s v=""/>
    <s v=""/>
    <n v="40225.784800000009"/>
    <m/>
    <m/>
    <n v="3"/>
    <s v="Flagged"/>
    <n v="40226"/>
    <m/>
    <x v="1"/>
    <x v="0"/>
    <n v="0"/>
    <n v="40226"/>
    <n v="0"/>
  </r>
  <r>
    <s v="Non-displaced PopulationSD03167"/>
    <x v="2"/>
    <x v="2"/>
    <x v="43"/>
    <x v="43"/>
    <m/>
    <m/>
    <x v="321"/>
    <x v="2"/>
    <n v="0"/>
    <n v="28142.328829999999"/>
    <n v="50811.53"/>
    <n v="5000"/>
    <n v="11050"/>
    <n v="29035.16"/>
    <n v="21776"/>
    <n v="18858.33642"/>
    <n v="7985"/>
    <n v="7661"/>
    <n v="29035.16"/>
    <n v="7259"/>
    <n v="0"/>
    <n v="0.38769946588967874"/>
    <n v="0.69999903565327604"/>
    <n v="6.8881908855458196E-2"/>
    <n v="0.15222901857056262"/>
    <n v="0.39999944894472916"/>
    <n v="0.29999448944729157"/>
    <n v="0.2597996420896016"/>
    <n v="0.1"/>
    <n v="0.1"/>
    <n v="0.4"/>
    <n v="0.1"/>
    <n v="50811.53"/>
    <s v="Food Security and Livlihoods"/>
    <n v="0.69999903565327604"/>
    <s v=""/>
    <s v=""/>
    <s v=""/>
    <n v="29035.16"/>
    <s v="Protection"/>
    <n v="0.39999944894472916"/>
    <n v="21776.37"/>
    <n v="0.75"/>
    <s v="Flagged"/>
    <n v="28142.328829999999"/>
    <s v="Education"/>
    <n v="0.38769946588967874"/>
    <n v="22669.20117"/>
    <n v="0.80551973175135416"/>
    <s v="Flagged"/>
    <s v=""/>
    <s v=""/>
    <n v="50811.53"/>
    <m/>
    <m/>
    <n v="2"/>
    <s v="Flagged"/>
    <n v="50812"/>
    <m/>
    <x v="0"/>
    <x v="1"/>
    <n v="0"/>
    <n v="45730.8"/>
    <n v="5081.2000000000007"/>
  </r>
  <r>
    <s v="Non-displaced PopulationSD03172"/>
    <x v="2"/>
    <x v="2"/>
    <x v="44"/>
    <x v="44"/>
    <m/>
    <m/>
    <x v="322"/>
    <x v="2"/>
    <n v="0"/>
    <n v="28348.2363"/>
    <n v="32903.550000000003"/>
    <n v="0"/>
    <n v="21001"/>
    <n v="8043.0900000000011"/>
    <n v="0"/>
    <n v="53654.722199999997"/>
    <n v="8043"/>
    <n v="5788"/>
    <n v="0"/>
    <n v="0"/>
    <n v="0"/>
    <n v="0.38769999999999999"/>
    <n v="0.45000000000000007"/>
    <n v="0"/>
    <n v="0.28721672889399474"/>
    <n v="0.11000000000000001"/>
    <n v="0"/>
    <n v="0.73380000000000001"/>
    <n v="0.1"/>
    <n v="0.1"/>
    <n v="0"/>
    <n v="0"/>
    <n v="53654.722199999997"/>
    <s v="WASH"/>
    <n v="0.73380000000000001"/>
    <s v="Flagged"/>
    <s v=""/>
    <s v=""/>
    <n v="32903.550000000003"/>
    <s v="Food Security and Livlihoods"/>
    <n v="0.45000000000000007"/>
    <n v="20751.172199999994"/>
    <n v="0.63066666666666638"/>
    <s v="Flagged"/>
    <n v="28348.2363"/>
    <s v="Education"/>
    <n v="0.38769999999999999"/>
    <n v="25306.485899999996"/>
    <n v="0.89270054165591939"/>
    <s v="Flagged"/>
    <s v=""/>
    <s v=""/>
    <n v="53654.722199999997"/>
    <m/>
    <m/>
    <n v="3"/>
    <s v="Flagged"/>
    <n v="53655"/>
    <m/>
    <x v="1"/>
    <x v="2"/>
    <n v="53655"/>
    <n v="0"/>
    <n v="0"/>
  </r>
  <r>
    <s v="Non-displaced PopulationSD04111"/>
    <x v="3"/>
    <x v="3"/>
    <x v="45"/>
    <x v="45"/>
    <m/>
    <m/>
    <x v="323"/>
    <x v="2"/>
    <n v="0"/>
    <n v="44992.1973"/>
    <n v="69629.399999999994"/>
    <n v="0"/>
    <n v="8557"/>
    <n v="46419.600000000006"/>
    <n v="23210"/>
    <n v="74758.765799999994"/>
    <n v="12765"/>
    <n v="12248"/>
    <n v="46419.600000000006"/>
    <n v="11605"/>
    <n v="0"/>
    <n v="0.38769999999999999"/>
    <n v="0.6"/>
    <n v="0"/>
    <n v="7.3736094236055455E-2"/>
    <n v="0.40000000000000008"/>
    <n v="0.20000172340993891"/>
    <n v="0.64419999999999999"/>
    <n v="0.1"/>
    <n v="0.1"/>
    <n v="0.4"/>
    <n v="0.1"/>
    <n v="74758.765799999994"/>
    <s v="WASH"/>
    <n v="0.64419999999999999"/>
    <s v="Flagged"/>
    <s v=""/>
    <s v=""/>
    <n v="69629.399999999994"/>
    <s v="Food Security and Livlihoods"/>
    <n v="0.6"/>
    <n v="5129.3657999999996"/>
    <n v="7.3666666666666672E-2"/>
    <s v=""/>
    <n v="46419.600000000006"/>
    <s v="Protection"/>
    <n v="0.40000000000000008"/>
    <n v="28339.165799999988"/>
    <n v="0.61049999999999971"/>
    <s v="Flagged"/>
    <s v=""/>
    <s v=""/>
    <n v="74758.765799999994"/>
    <m/>
    <m/>
    <n v="2"/>
    <s v="Flagged"/>
    <n v="74759"/>
    <m/>
    <x v="0"/>
    <x v="0"/>
    <n v="0"/>
    <n v="74759"/>
    <n v="0"/>
  </r>
  <r>
    <s v="Non-displaced PopulationSD04115"/>
    <x v="3"/>
    <x v="3"/>
    <x v="46"/>
    <x v="46"/>
    <m/>
    <m/>
    <x v="324"/>
    <x v="2"/>
    <n v="0"/>
    <n v="177958.64611699997"/>
    <n v="321307.84699999995"/>
    <n v="34090"/>
    <n v="54587"/>
    <n v="321307.84699999995"/>
    <n v="137703"/>
    <n v="223492.55814899996"/>
    <n v="50491"/>
    <n v="48448"/>
    <n v="321307.84699999995"/>
    <n v="45901"/>
    <n v="0"/>
    <n v="0.38770017737483409"/>
    <n v="0.70000032025376291"/>
    <n v="7.4268372653378684E-2"/>
    <n v="0.11892307591757061"/>
    <n v="0.70000032025376291"/>
    <n v="0.29999934642089188"/>
    <n v="0.48690022275936734"/>
    <n v="0.1"/>
    <n v="0.1"/>
    <n v="0.70000000000000007"/>
    <n v="0.1"/>
    <n v="321307.84699999995"/>
    <s v="Food Security and Livlihoods_x000a_Protection"/>
    <n v="0.70000032025376291"/>
    <s v=""/>
    <s v=""/>
    <s v=""/>
    <n v="223492.55814899996"/>
    <s v="WASH"/>
    <n v="0.48690022275936734"/>
    <n v="97815.28885099999"/>
    <n v="0.43766687204764843"/>
    <s v="Flagged"/>
    <n v="177958.64611699997"/>
    <s v="Education"/>
    <n v="0.38770017737483409"/>
    <n v="143349.20088299998"/>
    <n v="0.80551973175135416"/>
    <s v="Flagged"/>
    <s v=""/>
    <s v=""/>
    <n v="321307.84699999995"/>
    <m/>
    <m/>
    <n v="2"/>
    <s v="Flagged"/>
    <n v="321308"/>
    <m/>
    <x v="1"/>
    <x v="0"/>
    <n v="0"/>
    <n v="321308"/>
    <n v="0"/>
  </r>
  <r>
    <s v="Non-displaced PopulationSD04121"/>
    <x v="3"/>
    <x v="3"/>
    <x v="47"/>
    <x v="47"/>
    <m/>
    <m/>
    <x v="325"/>
    <x v="2"/>
    <n v="0"/>
    <n v="19806.817599999998"/>
    <n v="33207.199999999997"/>
    <n v="2520"/>
    <n v="5150"/>
    <n v="5619.68"/>
    <n v="10218"/>
    <n v="49478.728000000003"/>
    <n v="5620"/>
    <n v="5391"/>
    <n v="5108.8"/>
    <n v="5109"/>
    <n v="0"/>
    <n v="0.38769999999999999"/>
    <n v="0.64999999999999991"/>
    <n v="4.9326652051362357E-2"/>
    <n v="0.10080645161290322"/>
    <n v="0.11"/>
    <n v="0.20000782962730973"/>
    <n v="0.96850000000000003"/>
    <n v="0.1"/>
    <n v="0.1"/>
    <n v="0.1"/>
    <n v="0.1"/>
    <n v="49478.728000000003"/>
    <s v="WASH"/>
    <n v="0.96850000000000003"/>
    <s v=""/>
    <s v="Flagged"/>
    <s v=""/>
    <n v="33207.199999999997"/>
    <s v="Food Security and Livlihoods"/>
    <n v="0.64999999999999991"/>
    <n v="16271.528000000006"/>
    <n v="0.49000000000000021"/>
    <s v="Flagged"/>
    <n v="19806.817599999998"/>
    <s v="Education"/>
    <n v="0.38769999999999999"/>
    <n v="29671.910400000004"/>
    <n v="1.4980655145731239"/>
    <s v="Flagged"/>
    <s v=""/>
    <s v=""/>
    <n v="49478.728000000003"/>
    <m/>
    <m/>
    <n v="3"/>
    <s v="Flagged"/>
    <n v="49479"/>
    <m/>
    <x v="0"/>
    <x v="1"/>
    <n v="0"/>
    <n v="44531.1"/>
    <n v="4947.9000000000005"/>
  </r>
  <r>
    <s v="Non-displaced PopulationSD04122"/>
    <x v="3"/>
    <x v="3"/>
    <x v="48"/>
    <x v="48"/>
    <m/>
    <m/>
    <x v="326"/>
    <x v="2"/>
    <n v="0"/>
    <n v="13236.465699999999"/>
    <n v="18777.55"/>
    <n v="0"/>
    <n v="2393"/>
    <n v="13656.400000000001"/>
    <n v="6828"/>
    <n v="33195.294300000001"/>
    <n v="3756"/>
    <n v="2702"/>
    <n v="13656.400000000001"/>
    <n v="3414"/>
    <n v="0"/>
    <n v="0.38769999999999999"/>
    <n v="0.54999999999999993"/>
    <n v="0"/>
    <n v="7.0091678626870921E-2"/>
    <n v="0.4"/>
    <n v="0.19999414194077503"/>
    <n v="0.97230000000000005"/>
    <n v="0.1"/>
    <n v="0.1"/>
    <n v="0.4"/>
    <n v="0.1"/>
    <n v="33195.294300000001"/>
    <s v="WASH"/>
    <n v="0.97230000000000005"/>
    <s v="Flagged"/>
    <s v="Flagged"/>
    <s v=""/>
    <n v="18777.55"/>
    <s v="Food Security and Livlihoods"/>
    <n v="0.54999999999999993"/>
    <n v="14417.744300000002"/>
    <n v="0.76781818181818196"/>
    <s v="Flagged"/>
    <n v="13656.400000000001"/>
    <s v="Protection"/>
    <n v="0.4"/>
    <n v="19538.8943"/>
    <n v="1.4307499999999997"/>
    <s v="Flagged"/>
    <s v=""/>
    <s v=""/>
    <n v="33195.294300000001"/>
    <m/>
    <m/>
    <n v="4"/>
    <s v="Flagged"/>
    <n v="33195"/>
    <m/>
    <x v="0"/>
    <x v="0"/>
    <n v="0"/>
    <n v="33195"/>
    <n v="0"/>
  </r>
  <r>
    <s v="Non-displaced PopulationSD04123"/>
    <x v="3"/>
    <x v="3"/>
    <x v="49"/>
    <x v="49"/>
    <m/>
    <m/>
    <x v="327"/>
    <x v="2"/>
    <n v="0"/>
    <n v="12241.12349"/>
    <n v="18944.22"/>
    <n v="0"/>
    <n v="1499"/>
    <n v="15786.85"/>
    <n v="6315"/>
    <n v="30866.449120000001"/>
    <n v="3473"/>
    <n v="2498"/>
    <n v="15786.85"/>
    <n v="3157"/>
    <n v="0"/>
    <n v="0.38769631627288276"/>
    <n v="0.59999429910686009"/>
    <n v="0"/>
    <n v="4.7475771204155318E-2"/>
    <n v="0.49999524925571676"/>
    <n v="0.20000633432571102"/>
    <n v="0.97759071134477737"/>
    <n v="0.1"/>
    <n v="0.1"/>
    <n v="0.5"/>
    <n v="0.1"/>
    <n v="30866.449120000001"/>
    <s v="WASH"/>
    <n v="0.97759071134477737"/>
    <s v="Flagged"/>
    <s v="Flagged"/>
    <s v=""/>
    <n v="18944.22"/>
    <s v="Food Security and Livlihoods"/>
    <n v="0.59999429910686009"/>
    <n v="11922.22912"/>
    <n v="0.6293333333333333"/>
    <s v="Flagged"/>
    <n v="15786.85"/>
    <s v="Protection"/>
    <n v="0.49999524925571676"/>
    <n v="15079.599120000001"/>
    <n v="0.95520000000000005"/>
    <s v="Flagged"/>
    <s v=""/>
    <s v=""/>
    <n v="30866.449120000001"/>
    <m/>
    <m/>
    <n v="4"/>
    <s v="Flagged"/>
    <n v="30866"/>
    <m/>
    <x v="0"/>
    <x v="0"/>
    <n v="0"/>
    <n v="30866"/>
    <n v="0"/>
  </r>
  <r>
    <s v="Non-displaced PopulationSD04125"/>
    <x v="3"/>
    <x v="3"/>
    <x v="50"/>
    <x v="50"/>
    <m/>
    <m/>
    <x v="328"/>
    <x v="2"/>
    <n v="0"/>
    <n v="81401.685849999994"/>
    <n v="125976.3"/>
    <n v="33340"/>
    <n v="19637"/>
    <n v="23095.655000000002"/>
    <n v="41992"/>
    <n v="75921.716799999995"/>
    <n v="23096"/>
    <n v="16621"/>
    <n v="20996.050000000003"/>
    <n v="20996"/>
    <n v="0"/>
    <n v="0.38769907673329806"/>
    <n v="0.59999857116321609"/>
    <n v="0.15879139459232905"/>
    <n v="9.3526893089669036E-2"/>
    <n v="0.10999973804658962"/>
    <n v="0.19999904744214403"/>
    <n v="0.36159913888769818"/>
    <n v="0.1"/>
    <n v="0.1"/>
    <n v="0.1"/>
    <n v="0.1"/>
    <n v="125976.3"/>
    <s v="Food Security and Livlihoods"/>
    <n v="0.59999857116321609"/>
    <s v=""/>
    <s v=""/>
    <s v=""/>
    <n v="81401.685849999994"/>
    <s v="Education"/>
    <n v="0.38769907673329806"/>
    <n v="44574.614150000009"/>
    <n v="0.54758834150116087"/>
    <s v="Flagged"/>
    <n v="75921.716799999995"/>
    <s v="WASH"/>
    <n v="0.36159913888769818"/>
    <n v="50054.583200000008"/>
    <n v="0.65929203539823023"/>
    <s v="Flagged"/>
    <s v=""/>
    <s v=""/>
    <n v="125976.3"/>
    <m/>
    <m/>
    <n v="2"/>
    <s v="Flagged"/>
    <n v="125976"/>
    <m/>
    <x v="0"/>
    <x v="0"/>
    <n v="0"/>
    <n v="125976"/>
    <n v="0"/>
  </r>
  <r>
    <s v="Non-displaced PopulationSD04127"/>
    <x v="3"/>
    <x v="3"/>
    <x v="51"/>
    <x v="51"/>
    <m/>
    <m/>
    <x v="329"/>
    <x v="2"/>
    <n v="0"/>
    <n v="5574.7576849999996"/>
    <n v="7189.5249999999996"/>
    <n v="0"/>
    <n v="1927"/>
    <n v="1581.6955"/>
    <n v="2876"/>
    <n v="11800.886334999997"/>
    <n v="1582"/>
    <n v="1137"/>
    <n v="0"/>
    <n v="0"/>
    <n v="0"/>
    <n v="0.38770134814660268"/>
    <n v="0.50000173864663744"/>
    <n v="0"/>
    <n v="0.13401488281521665"/>
    <n v="0.11000038250226024"/>
    <n v="0.20001390917309966"/>
    <n v="0.82070285381459052"/>
    <n v="0.1"/>
    <n v="0.1"/>
    <n v="0"/>
    <n v="0"/>
    <n v="11800.886334999997"/>
    <s v="WASH"/>
    <n v="0.82070285381459052"/>
    <s v="Flagged"/>
    <s v=""/>
    <s v=""/>
    <n v="7189.5249999999996"/>
    <s v="Food Security and Livlihoods"/>
    <n v="0.50000173864663744"/>
    <n v="4611.3613349999978"/>
    <n v="0.64139999999999975"/>
    <s v="Flagged"/>
    <n v="5574.7576849999996"/>
    <s v="Education"/>
    <n v="0.38770134814660268"/>
    <n v="6226.1286499999978"/>
    <n v="1.1168429197833374"/>
    <s v="Flagged"/>
    <s v=""/>
    <s v=""/>
    <n v="11800.886334999997"/>
    <m/>
    <m/>
    <n v="3"/>
    <s v="Flagged"/>
    <n v="11801"/>
    <m/>
    <x v="0"/>
    <x v="0"/>
    <n v="0"/>
    <n v="11801"/>
    <n v="0"/>
  </r>
  <r>
    <s v="Non-displaced PopulationSD04134"/>
    <x v="3"/>
    <x v="3"/>
    <x v="52"/>
    <x v="52"/>
    <m/>
    <m/>
    <x v="330"/>
    <x v="2"/>
    <n v="0"/>
    <n v="41660.303500000002"/>
    <n v="59100.25"/>
    <n v="0"/>
    <n v="12301"/>
    <n v="42982"/>
    <n v="21491"/>
    <n v="69931.714000000007"/>
    <n v="11820"/>
    <n v="8507"/>
    <n v="42982"/>
    <n v="10746"/>
    <n v="0"/>
    <n v="0.38769999999999999"/>
    <n v="0.55000000000000004"/>
    <n v="0"/>
    <n v="0.11447582709040995"/>
    <n v="0.4"/>
    <n v="0.2"/>
    <n v="0.65080000000000005"/>
    <n v="0.1"/>
    <n v="0.1"/>
    <n v="0.4"/>
    <n v="0.1"/>
    <n v="69931.714000000007"/>
    <s v="WASH"/>
    <n v="0.65080000000000005"/>
    <s v="Flagged"/>
    <s v=""/>
    <s v=""/>
    <n v="59100.25"/>
    <s v="Food Security and Livlihoods"/>
    <n v="0.55000000000000004"/>
    <n v="10831.464000000007"/>
    <n v="0.18327272727272739"/>
    <s v=""/>
    <n v="42982"/>
    <s v="Protection"/>
    <n v="0.4"/>
    <n v="26949.714000000007"/>
    <n v="0.62700000000000011"/>
    <s v="Flagged"/>
    <s v=""/>
    <s v=""/>
    <n v="69931.714000000007"/>
    <m/>
    <m/>
    <n v="2"/>
    <s v="Flagged"/>
    <n v="69932"/>
    <m/>
    <x v="0"/>
    <x v="0"/>
    <n v="0"/>
    <n v="69932"/>
    <n v="0"/>
  </r>
  <r>
    <s v="Non-displaced PopulationSD05139"/>
    <x v="4"/>
    <x v="4"/>
    <x v="53"/>
    <x v="53"/>
    <m/>
    <m/>
    <x v="331"/>
    <x v="2"/>
    <n v="0"/>
    <n v="6665.3383999999996"/>
    <n v="8596"/>
    <n v="0"/>
    <n v="5879"/>
    <n v="1891.1200000000001"/>
    <n v="3438"/>
    <n v="0"/>
    <n v="1891"/>
    <n v="1361"/>
    <n v="1719.2"/>
    <n v="1719"/>
    <n v="0"/>
    <n v="0.38769999999999999"/>
    <n v="0.5"/>
    <n v="0"/>
    <n v="0.34196137738483018"/>
    <n v="0.11"/>
    <n v="0.19997673336435551"/>
    <n v="0"/>
    <n v="0.1"/>
    <n v="0.1"/>
    <n v="0.1"/>
    <n v="0.1"/>
    <n v="8596"/>
    <s v="Food Security and Livlihoods"/>
    <n v="0.5"/>
    <s v="Flagged"/>
    <s v=""/>
    <s v=""/>
    <n v="6665.3383999999996"/>
    <s v="Education"/>
    <n v="0.38769999999999999"/>
    <n v="1930.6616000000004"/>
    <n v="0.2896569512509673"/>
    <s v=""/>
    <n v="5879"/>
    <s v="Nutrition"/>
    <n v="0.34196137738483018"/>
    <n v="2717"/>
    <n v="0.46215342745364857"/>
    <s v=""/>
    <s v=""/>
    <s v=""/>
    <n v="8596"/>
    <m/>
    <m/>
    <n v="1"/>
    <s v="Flagged"/>
    <n v="8596"/>
    <m/>
    <x v="1"/>
    <x v="0"/>
    <n v="0"/>
    <n v="8596"/>
    <n v="0"/>
  </r>
  <r>
    <s v="Non-displaced PopulationSD05140"/>
    <x v="4"/>
    <x v="4"/>
    <x v="54"/>
    <x v="54"/>
    <m/>
    <m/>
    <x v="332"/>
    <x v="2"/>
    <n v="0"/>
    <n v="1320.8939"/>
    <n v="1873.85"/>
    <n v="0"/>
    <n v="526"/>
    <n v="374.77000000000004"/>
    <n v="681"/>
    <n v="3364.4124999999999"/>
    <n v="375"/>
    <n v="270"/>
    <n v="0"/>
    <n v="341"/>
    <n v="0"/>
    <n v="0.38769999999999999"/>
    <n v="0.54999999999999993"/>
    <n v="0"/>
    <n v="0.1543880246551218"/>
    <n v="0.11000000000000001"/>
    <n v="0.19988259465805694"/>
    <n v="0.98749999999999993"/>
    <n v="0.1"/>
    <n v="0.1"/>
    <n v="0"/>
    <n v="0.1"/>
    <n v="3364.4124999999999"/>
    <s v="WASH"/>
    <n v="0.98749999999999993"/>
    <s v="Flagged"/>
    <s v="Flagged"/>
    <s v=""/>
    <n v="1873.85"/>
    <s v="Food Security and Livlihoods"/>
    <n v="0.54999999999999993"/>
    <n v="1490.5625"/>
    <n v="0.79545454545454553"/>
    <s v="Flagged"/>
    <n v="1320.8939"/>
    <s v="Education"/>
    <n v="0.38769999999999999"/>
    <n v="2043.5185999999999"/>
    <n v="1.5470724787206602"/>
    <s v="Flagged"/>
    <s v=""/>
    <s v=""/>
    <n v="3364.4124999999999"/>
    <m/>
    <m/>
    <n v="4"/>
    <s v="Flagged"/>
    <n v="3364"/>
    <m/>
    <x v="1"/>
    <x v="2"/>
    <n v="3364"/>
    <n v="0"/>
    <n v="0"/>
  </r>
  <r>
    <s v="Non-displaced PopulationSD05142"/>
    <x v="4"/>
    <x v="4"/>
    <x v="55"/>
    <x v="55"/>
    <m/>
    <m/>
    <x v="34"/>
    <x v="2"/>
    <n v="0"/>
    <n v="0"/>
    <n v="0"/>
    <n v="5790"/>
    <n v="0"/>
    <n v="0"/>
    <n v="0"/>
    <n v="0"/>
    <n v="0"/>
    <n v="0"/>
    <n v="0"/>
    <n v="0"/>
    <e v="#DIV/0!"/>
    <e v="#DIV/0!"/>
    <e v="#DIV/0!"/>
    <e v="#DIV/0!"/>
    <e v="#DIV/0!"/>
    <e v="#DIV/0!"/>
    <e v="#DIV/0!"/>
    <e v="#DIV/0!"/>
    <s v=""/>
    <s v=""/>
    <s v=""/>
    <s v=""/>
    <n v="5790"/>
    <s v="Health "/>
    <e v="#DIV/0!"/>
    <s v="Flagged"/>
    <s v=""/>
    <s v=""/>
    <n v="0"/>
    <s v="Site Management _x000a_Education_x000a_Food Security and Livlihoods_x000a_Nutrition_x000a_Protection_x000a_Shelter NFI _x000a_WASH"/>
    <s v=""/>
    <n v="5790"/>
    <s v=""/>
    <s v=""/>
    <s v="NA"/>
    <s v=""/>
    <s v=""/>
    <s v=""/>
    <s v=""/>
    <s v=""/>
    <s v=""/>
    <s v=""/>
    <n v="5790"/>
    <m/>
    <m/>
    <n v="1"/>
    <s v="Flagged"/>
    <n v="0"/>
    <m/>
    <x v="1"/>
    <x v="0"/>
    <n v="0"/>
    <n v="0"/>
    <n v="0"/>
  </r>
  <r>
    <s v="Non-displaced PopulationSD05148"/>
    <x v="4"/>
    <x v="4"/>
    <x v="56"/>
    <x v="56"/>
    <m/>
    <m/>
    <x v="333"/>
    <x v="2"/>
    <n v="0"/>
    <n v="15753.801799999999"/>
    <n v="22348.7"/>
    <n v="0"/>
    <n v="11417"/>
    <n v="6095.0999999999995"/>
    <n v="8127"/>
    <n v="39910.714800000002"/>
    <n v="4470"/>
    <n v="3217"/>
    <n v="6095.0999999999995"/>
    <n v="4063"/>
    <n v="0"/>
    <n v="0.38769999999999999"/>
    <n v="0.55000000000000004"/>
    <n v="0"/>
    <n v="0.28097160013781564"/>
    <n v="0.15"/>
    <n v="0.20000492198651376"/>
    <n v="0.98220000000000007"/>
    <n v="0.1"/>
    <n v="0.1"/>
    <n v="0.15000000000000002"/>
    <n v="0.1"/>
    <n v="39910.714800000002"/>
    <s v="WASH"/>
    <n v="0.98220000000000007"/>
    <s v="Flagged"/>
    <s v="Flagged"/>
    <s v=""/>
    <n v="22348.7"/>
    <s v="Food Security and Livlihoods"/>
    <n v="0.55000000000000004"/>
    <n v="17562.014800000001"/>
    <n v="0.78581818181818186"/>
    <s v="Flagged"/>
    <n v="15753.801799999999"/>
    <s v="Education"/>
    <n v="0.38769999999999999"/>
    <n v="24156.913"/>
    <n v="1.5334021150374002"/>
    <s v="Flagged"/>
    <s v=""/>
    <s v=""/>
    <n v="39910.714800000002"/>
    <m/>
    <m/>
    <n v="4"/>
    <s v="Flagged"/>
    <n v="39911"/>
    <m/>
    <x v="1"/>
    <x v="0"/>
    <n v="0"/>
    <n v="39911"/>
    <n v="0"/>
  </r>
  <r>
    <s v="Non-displaced PopulationSD05152"/>
    <x v="4"/>
    <x v="4"/>
    <x v="57"/>
    <x v="57"/>
    <m/>
    <m/>
    <x v="334"/>
    <x v="2"/>
    <n v="0"/>
    <n v="20633.7817"/>
    <n v="29271.55"/>
    <n v="22765"/>
    <n v="6343"/>
    <n v="5854.3100000000013"/>
    <n v="10644"/>
    <n v="51219.890399999989"/>
    <n v="5854"/>
    <n v="4213"/>
    <n v="0"/>
    <n v="5322"/>
    <n v="0"/>
    <n v="0.38769999999999999"/>
    <n v="0.54999999999999993"/>
    <n v="0.42774468724751508"/>
    <n v="0.11918227767234738"/>
    <n v="0.11000000000000003"/>
    <n v="0.19999624208489131"/>
    <n v="0.96239999999999981"/>
    <n v="0.1"/>
    <n v="0.1"/>
    <n v="0"/>
    <n v="0.1"/>
    <n v="51219.890399999989"/>
    <s v="WASH"/>
    <n v="0.96239999999999981"/>
    <s v=""/>
    <s v="Flagged"/>
    <s v=""/>
    <n v="29271.55"/>
    <s v="Food Security and Livlihoods"/>
    <n v="0.54999999999999993"/>
    <n v="21948.34039999999"/>
    <n v="0.7498181818181815"/>
    <s v="Flagged"/>
    <n v="22765"/>
    <s v="Health "/>
    <n v="0.42774468724751508"/>
    <n v="28454.890399999989"/>
    <n v="1.24994027674061"/>
    <s v="Flagged"/>
    <s v=""/>
    <s v=""/>
    <n v="51219.890399999989"/>
    <m/>
    <m/>
    <n v="3"/>
    <s v="Flagged"/>
    <n v="51220"/>
    <m/>
    <x v="1"/>
    <x v="0"/>
    <n v="0"/>
    <n v="51220"/>
    <n v="0"/>
  </r>
  <r>
    <s v="Non-displaced PopulationSD05155"/>
    <x v="4"/>
    <x v="4"/>
    <x v="58"/>
    <x v="58"/>
    <m/>
    <m/>
    <x v="335"/>
    <x v="2"/>
    <n v="0"/>
    <n v="19947.5527"/>
    <n v="25725.5"/>
    <n v="0"/>
    <n v="13710"/>
    <n v="5659.6100000000006"/>
    <n v="10290"/>
    <n v="39972.281899999994"/>
    <n v="5660"/>
    <n v="4073"/>
    <n v="0"/>
    <n v="5145"/>
    <n v="0"/>
    <n v="0.38769999999999999"/>
    <n v="0.5"/>
    <n v="0"/>
    <n v="0.26646712405978507"/>
    <n v="0.11000000000000001"/>
    <n v="0.19999611280635946"/>
    <n v="0.77689999999999992"/>
    <n v="0.1"/>
    <n v="0.1"/>
    <n v="0"/>
    <n v="0.1"/>
    <n v="39972.281899999994"/>
    <s v="WASH"/>
    <n v="0.77689999999999992"/>
    <s v="Flagged"/>
    <s v=""/>
    <s v=""/>
    <n v="25725.5"/>
    <s v="Food Security and Livlihoods"/>
    <n v="0.5"/>
    <n v="14246.781899999994"/>
    <n v="0.55379999999999974"/>
    <s v="Flagged"/>
    <n v="19947.5527"/>
    <s v="Education"/>
    <n v="0.38769999999999999"/>
    <n v="20024.729199999994"/>
    <n v="1.0038689708537527"/>
    <s v="Flagged"/>
    <s v=""/>
    <s v=""/>
    <n v="39972.281899999994"/>
    <m/>
    <m/>
    <n v="3"/>
    <s v="Flagged"/>
    <n v="39972"/>
    <m/>
    <x v="1"/>
    <x v="2"/>
    <n v="39972"/>
    <n v="0"/>
    <n v="0"/>
  </r>
  <r>
    <s v="Non-displaced PopulationSD05160"/>
    <x v="4"/>
    <x v="4"/>
    <x v="59"/>
    <x v="59"/>
    <m/>
    <m/>
    <x v="336"/>
    <x v="2"/>
    <n v="0"/>
    <n v="8488.3037999999997"/>
    <n v="12041.7"/>
    <n v="0"/>
    <n v="9065"/>
    <n v="2408.34"/>
    <n v="4379"/>
    <n v="20438.048999999999"/>
    <n v="2408"/>
    <n v="1733"/>
    <n v="2189.4"/>
    <n v="2189"/>
    <n v="0"/>
    <n v="0.38769999999999999"/>
    <n v="0.55000000000000004"/>
    <n v="0"/>
    <n v="0.41404037635881979"/>
    <n v="0.11"/>
    <n v="0.20000913492280989"/>
    <n v="0.9335"/>
    <n v="0.1"/>
    <n v="0.1"/>
    <n v="0.1"/>
    <n v="0.1"/>
    <n v="20438.048999999999"/>
    <s v="WASH"/>
    <n v="0.9335"/>
    <s v="Flagged"/>
    <s v="Flagged"/>
    <s v=""/>
    <n v="12041.7"/>
    <s v="Food Security and Livlihoods"/>
    <n v="0.55000000000000004"/>
    <n v="8396.3489999999983"/>
    <n v="0.69727272727272704"/>
    <s v="Flagged"/>
    <n v="9065"/>
    <s v="Nutrition"/>
    <n v="0.41404037635881979"/>
    <n v="11373.048999999999"/>
    <n v="1.2546110314396028"/>
    <s v="Flagged"/>
    <s v=""/>
    <s v=""/>
    <n v="20438.048999999999"/>
    <m/>
    <m/>
    <n v="4"/>
    <s v="Flagged"/>
    <n v="20438"/>
    <m/>
    <x v="1"/>
    <x v="0"/>
    <n v="0"/>
    <n v="20438"/>
    <n v="0"/>
  </r>
  <r>
    <s v="Non-displaced PopulationSD05163"/>
    <x v="4"/>
    <x v="4"/>
    <x v="60"/>
    <x v="60"/>
    <m/>
    <m/>
    <x v="337"/>
    <x v="2"/>
    <n v="0"/>
    <n v="20750.867099999999"/>
    <n v="26761.5"/>
    <n v="0"/>
    <n v="13718"/>
    <n v="5887.5300000000007"/>
    <n v="10705"/>
    <n v="53250.032699999996"/>
    <n v="5888"/>
    <n v="4237"/>
    <n v="0"/>
    <n v="5352"/>
    <n v="0"/>
    <n v="0.38769999999999999"/>
    <n v="0.5"/>
    <n v="0"/>
    <n v="0.25630102946396877"/>
    <n v="0.11000000000000001"/>
    <n v="0.20000747342264075"/>
    <n v="0.9948999999999999"/>
    <n v="0.1"/>
    <n v="0.1"/>
    <n v="0"/>
    <n v="0.1"/>
    <n v="53250.032699999996"/>
    <s v="WASH"/>
    <n v="0.9948999999999999"/>
    <s v="Flagged"/>
    <s v="Flagged"/>
    <s v=""/>
    <n v="26761.5"/>
    <s v="Food Security and Livlihoods"/>
    <n v="0.5"/>
    <n v="26488.532699999996"/>
    <n v="0.9897999999999999"/>
    <s v="Flagged"/>
    <n v="20750.867099999999"/>
    <s v="Education"/>
    <n v="0.38769999999999999"/>
    <n v="32499.165599999997"/>
    <n v="1.5661594015991744"/>
    <s v="Flagged"/>
    <s v=""/>
    <s v=""/>
    <n v="53250.032699999996"/>
    <m/>
    <m/>
    <n v="4"/>
    <s v="Flagged"/>
    <n v="53250"/>
    <m/>
    <x v="1"/>
    <x v="0"/>
    <n v="0"/>
    <n v="53250"/>
    <n v="0"/>
  </r>
  <r>
    <s v="Non-displaced PopulationSD05165"/>
    <x v="4"/>
    <x v="4"/>
    <x v="61"/>
    <x v="61"/>
    <m/>
    <m/>
    <x v="338"/>
    <x v="2"/>
    <n v="0"/>
    <n v="15442.905169999998"/>
    <n v="23899.26"/>
    <n v="0"/>
    <n v="5675"/>
    <n v="4381.5310000000009"/>
    <n v="0"/>
    <n v="38071.521179999996"/>
    <n v="4382"/>
    <n v="3153"/>
    <n v="3983.21"/>
    <n v="3983"/>
    <n v="0"/>
    <n v="0.38770097333801962"/>
    <n v="0.60000150632657157"/>
    <n v="0"/>
    <n v="0.14247338823056838"/>
    <n v="0.11000027615987149"/>
    <n v="0"/>
    <n v="0.95580239957822843"/>
    <n v="0.1"/>
    <n v="0.1"/>
    <n v="0.1"/>
    <n v="0.1"/>
    <n v="38071.521179999996"/>
    <s v="WASH"/>
    <n v="0.95580239957822843"/>
    <s v="Flagged"/>
    <s v="Flagged"/>
    <s v=""/>
    <n v="23899.26"/>
    <s v="Food Security and Livlihoods"/>
    <n v="0.60000150632657157"/>
    <n v="14172.261179999998"/>
    <n v="0.59299999999999997"/>
    <s v="Flagged"/>
    <n v="15442.905169999998"/>
    <s v="Education"/>
    <n v="0.38770097333801962"/>
    <n v="22628.616009999998"/>
    <n v="1.465308228011349"/>
    <s v="Flagged"/>
    <s v=""/>
    <s v=""/>
    <n v="38071.521179999996"/>
    <m/>
    <m/>
    <n v="4"/>
    <s v="Flagged"/>
    <n v="38072"/>
    <m/>
    <x v="1"/>
    <x v="0"/>
    <n v="0"/>
    <n v="38072"/>
    <n v="0"/>
  </r>
  <r>
    <s v="Non-displaced PopulationSD06110"/>
    <x v="5"/>
    <x v="5"/>
    <x v="62"/>
    <x v="62"/>
    <m/>
    <m/>
    <x v="34"/>
    <x v="2"/>
    <n v="0"/>
    <n v="0"/>
    <n v="0"/>
    <n v="6054"/>
    <n v="0"/>
    <n v="0"/>
    <n v="0"/>
    <n v="0"/>
    <n v="0"/>
    <n v="0"/>
    <n v="0"/>
    <n v="0"/>
    <e v="#DIV/0!"/>
    <e v="#DIV/0!"/>
    <e v="#DIV/0!"/>
    <e v="#DIV/0!"/>
    <e v="#DIV/0!"/>
    <e v="#DIV/0!"/>
    <e v="#DIV/0!"/>
    <e v="#DIV/0!"/>
    <s v=""/>
    <s v=""/>
    <s v=""/>
    <s v=""/>
    <n v="6054"/>
    <s v="Health "/>
    <e v="#DIV/0!"/>
    <s v="Flagged"/>
    <s v=""/>
    <s v=""/>
    <n v="0"/>
    <s v="Site Management _x000a_Education_x000a_Food Security and Livlihoods_x000a_Nutrition_x000a_Protection_x000a_Shelter NFI _x000a_WASH"/>
    <s v=""/>
    <n v="6054"/>
    <s v=""/>
    <s v=""/>
    <s v="NA"/>
    <s v=""/>
    <s v=""/>
    <s v=""/>
    <s v=""/>
    <s v=""/>
    <s v=""/>
    <s v=""/>
    <n v="6054"/>
    <m/>
    <m/>
    <n v="1"/>
    <s v="Flagged"/>
    <n v="0"/>
    <m/>
    <x v="1"/>
    <x v="0"/>
    <n v="0"/>
    <n v="0"/>
    <n v="0"/>
  </r>
  <r>
    <s v="Non-displaced PopulationSD06112"/>
    <x v="5"/>
    <x v="5"/>
    <x v="63"/>
    <x v="63"/>
    <m/>
    <m/>
    <x v="339"/>
    <x v="2"/>
    <n v="0"/>
    <n v="12499.060299999999"/>
    <n v="16119.5"/>
    <n v="14589"/>
    <n v="6837"/>
    <n v="3546.2900000000004"/>
    <n v="6448"/>
    <n v="15945.4094"/>
    <n v="3546"/>
    <n v="2551"/>
    <n v="3223.9"/>
    <n v="3224"/>
    <n v="0"/>
    <n v="0.38769999999999999"/>
    <n v="0.5"/>
    <n v="0.45252644312788859"/>
    <n v="0.21207233474983717"/>
    <n v="0.11000000000000001"/>
    <n v="0.20000620366636682"/>
    <n v="0.49460000000000004"/>
    <n v="0.1"/>
    <n v="0.1"/>
    <n v="0.1"/>
    <n v="0.1"/>
    <n v="16119.5"/>
    <s v="Food Security and Livlihoods"/>
    <n v="0.5"/>
    <s v=""/>
    <s v=""/>
    <s v=""/>
    <n v="15945.4094"/>
    <s v="WASH"/>
    <n v="0.49460000000000004"/>
    <n v="174.09059999999954"/>
    <n v="1.0917913465426579E-2"/>
    <s v=""/>
    <n v="14589"/>
    <s v="Health "/>
    <n v="0.45252644312788859"/>
    <n v="1530.5"/>
    <n v="0.1049078072520392"/>
    <s v=""/>
    <s v=""/>
    <s v=""/>
    <n v="16119.5"/>
    <m/>
    <m/>
    <n v="0"/>
    <s v=""/>
    <n v="16120"/>
    <m/>
    <x v="1"/>
    <x v="0"/>
    <n v="0"/>
    <n v="16120"/>
    <n v="0"/>
  </r>
  <r>
    <s v="Non-displaced PopulationSD06130"/>
    <x v="5"/>
    <x v="5"/>
    <x v="64"/>
    <x v="64"/>
    <m/>
    <m/>
    <x v="340"/>
    <x v="2"/>
    <n v="0"/>
    <n v="21081.1875"/>
    <n v="27187.5"/>
    <n v="3680"/>
    <n v="9505"/>
    <n v="5981.2500000000009"/>
    <n v="10875"/>
    <n v="48372.000000000007"/>
    <n v="5981"/>
    <n v="4304"/>
    <n v="0"/>
    <n v="5438"/>
    <n v="0"/>
    <n v="0.38769999999999999"/>
    <n v="0.5"/>
    <n v="6.7678160919540237E-2"/>
    <n v="0.17480459770114942"/>
    <n v="0.11000000000000001"/>
    <n v="0.2"/>
    <n v="0.88960000000000017"/>
    <n v="0.1"/>
    <n v="0.1"/>
    <n v="0"/>
    <n v="0.1"/>
    <n v="48372.000000000007"/>
    <s v="WASH"/>
    <n v="0.88960000000000017"/>
    <s v=""/>
    <s v=""/>
    <s v=""/>
    <n v="27187.5"/>
    <s v="Food Security and Livlihoods"/>
    <n v="0.5"/>
    <n v="21184.500000000007"/>
    <n v="0.77920000000000023"/>
    <s v="Flagged"/>
    <n v="21081.1875"/>
    <s v="Education"/>
    <n v="0.38769999999999999"/>
    <n v="27290.812500000007"/>
    <n v="1.2945576476657212"/>
    <s v="Flagged"/>
    <s v=""/>
    <s v=""/>
    <n v="48372.000000000007"/>
    <m/>
    <m/>
    <n v="2"/>
    <s v="Flagged"/>
    <n v="48372"/>
    <m/>
    <x v="1"/>
    <x v="0"/>
    <n v="0"/>
    <n v="48372"/>
    <n v="0"/>
  </r>
  <r>
    <s v="Non-displaced PopulationSD06131"/>
    <x v="5"/>
    <x v="5"/>
    <x v="65"/>
    <x v="65"/>
    <m/>
    <m/>
    <x v="341"/>
    <x v="2"/>
    <n v="0"/>
    <n v="45658.653599999998"/>
    <n v="70660.800000000003"/>
    <n v="2935"/>
    <n v="15921"/>
    <n v="17665.2"/>
    <n v="23554"/>
    <n v="86653.694399999993"/>
    <n v="12954"/>
    <n v="9322"/>
    <n v="17665.2"/>
    <n v="11777"/>
    <n v="0"/>
    <n v="0.38769999999999999"/>
    <n v="0.6"/>
    <n v="2.4921880307044359E-2"/>
    <n v="0.13518952516812716"/>
    <n v="0.15"/>
    <n v="0.20000339650838939"/>
    <n v="0.7357999999999999"/>
    <n v="0.1"/>
    <n v="0.1"/>
    <n v="0.15000000000000002"/>
    <n v="0.1"/>
    <n v="86653.694399999993"/>
    <s v="WASH"/>
    <n v="0.7357999999999999"/>
    <s v=""/>
    <s v=""/>
    <s v=""/>
    <n v="70660.800000000003"/>
    <s v="Food Security and Livlihoods"/>
    <n v="0.6"/>
    <n v="15992.89439999999"/>
    <n v="0.22633333333333319"/>
    <s v=""/>
    <n v="45658.653599999998"/>
    <s v="Education"/>
    <n v="0.38769999999999999"/>
    <n v="40995.040799999995"/>
    <n v="0.89785916946092337"/>
    <s v="Flagged"/>
    <s v=""/>
    <s v=""/>
    <n v="86653.694399999993"/>
    <m/>
    <m/>
    <n v="1"/>
    <s v="Flagged"/>
    <n v="86654"/>
    <m/>
    <x v="1"/>
    <x v="0"/>
    <n v="0"/>
    <n v="86654"/>
    <n v="0"/>
  </r>
  <r>
    <s v="Non-displaced PopulationSD06132"/>
    <x v="5"/>
    <x v="5"/>
    <x v="66"/>
    <x v="66"/>
    <m/>
    <m/>
    <x v="342"/>
    <x v="2"/>
    <n v="0"/>
    <n v="2468.8735999999999"/>
    <n v="3502.4"/>
    <n v="1156"/>
    <n v="620"/>
    <n v="955.19999999999993"/>
    <n v="1274"/>
    <n v="6306.8672000000006"/>
    <n v="700"/>
    <n v="503"/>
    <n v="955.19999999999993"/>
    <n v="637"/>
    <n v="0"/>
    <n v="0.38769999999999999"/>
    <n v="0.55000000000000004"/>
    <n v="0.18153266331658291"/>
    <n v="9.7361809045226136E-2"/>
    <n v="0.15"/>
    <n v="0.20006281407035176"/>
    <n v="0.99040000000000006"/>
    <n v="0.1"/>
    <n v="0.1"/>
    <n v="0.15000000000000002"/>
    <n v="0.1"/>
    <n v="6306.8672000000006"/>
    <s v="WASH"/>
    <n v="0.99040000000000006"/>
    <s v=""/>
    <s v="Flagged"/>
    <s v=""/>
    <n v="3502.4"/>
    <s v="Food Security and Livlihoods"/>
    <n v="0.55000000000000004"/>
    <n v="2804.4672000000005"/>
    <n v="0.80072727272727284"/>
    <s v="Flagged"/>
    <n v="2468.8735999999999"/>
    <s v="Education"/>
    <n v="0.38769999999999999"/>
    <n v="3837.9936000000007"/>
    <n v="1.5545524890379163"/>
    <s v="Flagged"/>
    <s v=""/>
    <s v=""/>
    <n v="6306.8672000000006"/>
    <m/>
    <m/>
    <n v="3"/>
    <s v="Flagged"/>
    <n v="6307"/>
    <m/>
    <x v="1"/>
    <x v="0"/>
    <n v="0"/>
    <n v="6307"/>
    <n v="0"/>
  </r>
  <r>
    <s v="Non-displaced PopulationSD06135"/>
    <x v="5"/>
    <x v="5"/>
    <x v="67"/>
    <x v="67"/>
    <m/>
    <m/>
    <x v="343"/>
    <x v="2"/>
    <n v="0"/>
    <n v="7627.9974999999995"/>
    <n v="7870"/>
    <n v="5155"/>
    <n v="10278"/>
    <n v="7870"/>
    <n v="3935"/>
    <n v="19639.584999999999"/>
    <n v="2164"/>
    <n v="1558"/>
    <n v="7870"/>
    <n v="1968"/>
    <n v="0"/>
    <n v="0.38769999999999999"/>
    <n v="0.4"/>
    <n v="0.26200762388818299"/>
    <n v="0.52238881829733164"/>
    <n v="0.4"/>
    <n v="0.2"/>
    <n v="0.99819999999999998"/>
    <n v="0.1"/>
    <n v="0.1"/>
    <n v="0.4"/>
    <n v="0.1"/>
    <n v="19639.584999999999"/>
    <s v="WASH"/>
    <n v="0.99819999999999998"/>
    <s v=""/>
    <s v="Flagged"/>
    <s v=""/>
    <n v="10278"/>
    <s v="Nutrition"/>
    <n v="0.52238881829733164"/>
    <n v="9361.5849999999991"/>
    <n v="0.9108372251410779"/>
    <s v="Flagged"/>
    <n v="7870"/>
    <s v="Food Security and Livlihoods_x000a_Protection"/>
    <n v="0.4"/>
    <n v="11769.584999999999"/>
    <n v="1.4954999999999998"/>
    <s v="Flagged"/>
    <s v=""/>
    <s v=""/>
    <n v="19639.584999999999"/>
    <m/>
    <m/>
    <n v="3"/>
    <s v="Flagged"/>
    <n v="19640"/>
    <m/>
    <x v="1"/>
    <x v="0"/>
    <n v="0"/>
    <n v="19640"/>
    <n v="0"/>
  </r>
  <r>
    <s v="Non-displaced PopulationSD06137"/>
    <x v="5"/>
    <x v="5"/>
    <x v="68"/>
    <x v="68"/>
    <m/>
    <m/>
    <x v="344"/>
    <x v="2"/>
    <n v="0"/>
    <n v="46300.762340000001"/>
    <n v="59712.1"/>
    <n v="7450"/>
    <n v="28763"/>
    <n v="13136.662"/>
    <n v="23885"/>
    <n v="67176.112499999988"/>
    <n v="13137"/>
    <n v="9454"/>
    <n v="11942.42"/>
    <n v="11942"/>
    <n v="0"/>
    <n v="0.38770064928322617"/>
    <n v="0.5000008373526259"/>
    <n v="6.2382770632368703E-2"/>
    <n v="0.24084773579849947"/>
    <n v="0.11000018421757771"/>
    <n v="0.20000167470525188"/>
    <n v="0.56250094202170409"/>
    <n v="0.1"/>
    <n v="0.1"/>
    <n v="0.1"/>
    <n v="0.1"/>
    <n v="67176.112499999988"/>
    <s v="WASH"/>
    <n v="0.56250094202170409"/>
    <s v=""/>
    <s v=""/>
    <s v=""/>
    <n v="59712.1"/>
    <s v="Food Security and Livlihoods"/>
    <n v="0.5000008373526259"/>
    <n v="7464.0124999999898"/>
    <n v="0.12499999999999983"/>
    <s v=""/>
    <n v="46300.762340000001"/>
    <s v="Education"/>
    <n v="0.38770064928322617"/>
    <n v="20875.350159999987"/>
    <n v="0.45086407015733787"/>
    <s v=""/>
    <s v=""/>
    <s v=""/>
    <n v="67176.112499999988"/>
    <m/>
    <m/>
    <n v="0"/>
    <s v=""/>
    <n v="67176"/>
    <m/>
    <x v="1"/>
    <x v="2"/>
    <n v="67176"/>
    <n v="0"/>
    <n v="0"/>
  </r>
  <r>
    <s v="Non-displaced PopulationSD06138"/>
    <x v="5"/>
    <x v="5"/>
    <x v="69"/>
    <x v="69"/>
    <m/>
    <m/>
    <x v="34"/>
    <x v="2"/>
    <n v="0"/>
    <n v="0"/>
    <n v="0"/>
    <n v="10325"/>
    <n v="0"/>
    <n v="0"/>
    <n v="0"/>
    <n v="0"/>
    <n v="0"/>
    <n v="0"/>
    <n v="0"/>
    <n v="0"/>
    <e v="#DIV/0!"/>
    <e v="#DIV/0!"/>
    <e v="#DIV/0!"/>
    <e v="#DIV/0!"/>
    <e v="#DIV/0!"/>
    <e v="#DIV/0!"/>
    <e v="#DIV/0!"/>
    <e v="#DIV/0!"/>
    <s v=""/>
    <s v=""/>
    <s v=""/>
    <s v=""/>
    <n v="10325"/>
    <s v="Health "/>
    <e v="#DIV/0!"/>
    <s v="Flagged"/>
    <s v=""/>
    <s v=""/>
    <n v="0"/>
    <s v="Site Management _x000a_Education_x000a_Food Security and Livlihoods_x000a_Nutrition_x000a_Protection_x000a_Shelter NFI _x000a_WASH"/>
    <s v=""/>
    <n v="10325"/>
    <s v=""/>
    <s v=""/>
    <s v="NA"/>
    <s v=""/>
    <s v=""/>
    <s v=""/>
    <s v=""/>
    <s v=""/>
    <s v=""/>
    <s v=""/>
    <n v="10325"/>
    <m/>
    <m/>
    <n v="1"/>
    <s v="Flagged"/>
    <n v="0"/>
    <m/>
    <x v="0"/>
    <x v="1"/>
    <n v="0"/>
    <n v="0"/>
    <n v="0"/>
  </r>
  <r>
    <s v="Non-displaced PopulationSD06139"/>
    <x v="5"/>
    <x v="5"/>
    <x v="70"/>
    <x v="70"/>
    <m/>
    <m/>
    <x v="345"/>
    <x v="2"/>
    <n v="0"/>
    <n v="7018.823875"/>
    <n v="9957.0625"/>
    <n v="0"/>
    <n v="1885"/>
    <n v="2715.5625"/>
    <n v="3621"/>
    <n v="12189.254875000001"/>
    <n v="1991"/>
    <n v="1433"/>
    <n v="2715.5625"/>
    <n v="1810"/>
    <n v="0"/>
    <n v="0.38769464621078215"/>
    <n v="0.54999240499337165"/>
    <n v="0"/>
    <n v="0.10412063632346442"/>
    <n v="0.14999792863455591"/>
    <n v="0.20001104728236854"/>
    <n v="0.67329070233097665"/>
    <n v="0.1"/>
    <n v="0.1"/>
    <n v="0.15000000000000002"/>
    <n v="0.1"/>
    <n v="12189.254875000001"/>
    <s v="WASH"/>
    <n v="0.67329070233097665"/>
    <s v="Flagged"/>
    <s v=""/>
    <s v=""/>
    <n v="9957.0625"/>
    <s v="Food Security and Livlihoods"/>
    <n v="0.54999240499337165"/>
    <n v="2232.1923750000005"/>
    <n v="0.22418181818181823"/>
    <s v=""/>
    <n v="7018.823875"/>
    <s v="Education"/>
    <n v="0.38769464621078215"/>
    <n v="5170.4310000000005"/>
    <n v="0.73665205055455252"/>
    <s v="Flagged"/>
    <s v=""/>
    <s v=""/>
    <n v="12189.254875000001"/>
    <m/>
    <m/>
    <n v="2"/>
    <s v="Flagged"/>
    <n v="12189"/>
    <m/>
    <x v="1"/>
    <x v="0"/>
    <n v="0"/>
    <n v="12189"/>
    <n v="0"/>
  </r>
  <r>
    <s v="Non-displaced PopulationSD07088"/>
    <x v="6"/>
    <x v="6"/>
    <x v="71"/>
    <x v="71"/>
    <m/>
    <m/>
    <x v="346"/>
    <x v="2"/>
    <n v="0"/>
    <n v="15887.558299999999"/>
    <n v="20489.5"/>
    <n v="0"/>
    <n v="10717"/>
    <n v="6146.8499999999995"/>
    <n v="8196"/>
    <n v="38319.462900000006"/>
    <n v="4508"/>
    <n v="3243"/>
    <n v="6146.8499999999995"/>
    <n v="4098"/>
    <n v="0"/>
    <n v="0.38769999999999999"/>
    <n v="0.5"/>
    <n v="0"/>
    <n v="0.2615241953195539"/>
    <n v="0.15"/>
    <n v="0.20000488054857365"/>
    <n v="0.93510000000000015"/>
    <n v="0.1"/>
    <n v="0.1"/>
    <n v="0.15000000000000002"/>
    <n v="0.1"/>
    <n v="38319.462900000006"/>
    <s v="WASH"/>
    <n v="0.93510000000000015"/>
    <s v="Flagged"/>
    <s v="Flagged"/>
    <s v=""/>
    <n v="20489.5"/>
    <s v="Food Security and Livlihoods"/>
    <n v="0.5"/>
    <n v="17829.962900000006"/>
    <n v="0.87020000000000031"/>
    <s v="Flagged"/>
    <n v="15887.558299999999"/>
    <s v="Education"/>
    <n v="0.38769999999999999"/>
    <n v="22431.904600000009"/>
    <n v="1.4119164302295597"/>
    <s v="Flagged"/>
    <s v=""/>
    <s v=""/>
    <n v="38319.462900000006"/>
    <m/>
    <m/>
    <n v="4"/>
    <s v="Flagged"/>
    <n v="38319"/>
    <m/>
    <x v="2"/>
    <x v="0"/>
    <n v="0"/>
    <n v="38319"/>
    <n v="0"/>
  </r>
  <r>
    <s v="Non-displaced PopulationSD07089"/>
    <x v="6"/>
    <x v="6"/>
    <x v="72"/>
    <x v="72"/>
    <m/>
    <m/>
    <x v="347"/>
    <x v="2"/>
    <n v="0"/>
    <n v="3340.4231999999997"/>
    <n v="4738.8"/>
    <n v="0"/>
    <n v="1356"/>
    <n v="947.7600000000001"/>
    <n v="0"/>
    <n v="8191.2311999999984"/>
    <n v="948"/>
    <n v="683"/>
    <n v="861.6"/>
    <n v="862"/>
    <n v="0"/>
    <n v="0.38769999999999999"/>
    <n v="0.55000000000000004"/>
    <n v="0"/>
    <n v="0.1573816155988858"/>
    <n v="0.11000000000000001"/>
    <n v="0"/>
    <n v="0.95069999999999977"/>
    <n v="0.1"/>
    <n v="0.1"/>
    <n v="0.1"/>
    <n v="0.1"/>
    <n v="8191.2311999999984"/>
    <s v="WASH"/>
    <n v="0.95069999999999977"/>
    <s v="Flagged"/>
    <s v="Flagged"/>
    <s v=""/>
    <n v="4738.8"/>
    <s v="Food Security and Livlihoods"/>
    <n v="0.55000000000000004"/>
    <n v="3452.4311999999982"/>
    <n v="0.72854545454545416"/>
    <s v="Flagged"/>
    <n v="3340.4231999999997"/>
    <s v="Education"/>
    <n v="0.38769999999999999"/>
    <n v="4850.8079999999991"/>
    <n v="1.4521537271085889"/>
    <s v="Flagged"/>
    <s v=""/>
    <s v=""/>
    <n v="8191.2311999999984"/>
    <m/>
    <m/>
    <n v="4"/>
    <s v="Flagged"/>
    <n v="8191"/>
    <m/>
    <x v="2"/>
    <x v="2"/>
    <n v="8191"/>
    <n v="0"/>
    <n v="0"/>
  </r>
  <r>
    <s v="Non-displaced PopulationSD07090"/>
    <x v="6"/>
    <x v="6"/>
    <x v="73"/>
    <x v="73"/>
    <m/>
    <m/>
    <x v="348"/>
    <x v="2"/>
    <n v="0"/>
    <n v="23955.983"/>
    <n v="40163.5"/>
    <n v="0"/>
    <n v="4813"/>
    <n v="6796.9000000000005"/>
    <n v="0"/>
    <n v="54022.997000000003"/>
    <n v="6797"/>
    <n v="4892"/>
    <n v="0"/>
    <n v="6179"/>
    <n v="0"/>
    <n v="0.38769999999999999"/>
    <n v="0.65"/>
    <n v="0"/>
    <n v="7.7892862922803049E-2"/>
    <n v="0.11000000000000001"/>
    <n v="0"/>
    <n v="0.87430000000000008"/>
    <n v="0.1"/>
    <n v="0.1"/>
    <n v="0"/>
    <n v="0.1"/>
    <n v="54022.997000000003"/>
    <s v="WASH"/>
    <n v="0.87430000000000008"/>
    <s v="Flagged"/>
    <s v=""/>
    <s v=""/>
    <n v="40163.5"/>
    <s v="Food Security and Livlihoods"/>
    <n v="0.65"/>
    <n v="13859.497000000003"/>
    <n v="0.34507692307692317"/>
    <s v="Flagged"/>
    <n v="23955.983"/>
    <s v="Education"/>
    <n v="0.38769999999999999"/>
    <n v="30067.014000000003"/>
    <n v="1.2550941449574415"/>
    <s v="Flagged"/>
    <s v=""/>
    <s v=""/>
    <n v="54022.997000000003"/>
    <m/>
    <m/>
    <n v="3"/>
    <s v="Flagged"/>
    <n v="54023"/>
    <m/>
    <x v="2"/>
    <x v="0"/>
    <n v="0"/>
    <n v="54023"/>
    <n v="0"/>
  </r>
  <r>
    <s v="Non-displaced PopulationSD07091"/>
    <x v="6"/>
    <x v="6"/>
    <x v="74"/>
    <x v="74"/>
    <m/>
    <m/>
    <x v="349"/>
    <x v="2"/>
    <n v="0"/>
    <n v="32747.468199999999"/>
    <n v="54902.9"/>
    <n v="0"/>
    <n v="8998"/>
    <n v="42233"/>
    <n v="0"/>
    <n v="70546.003200000006"/>
    <n v="9291"/>
    <n v="6686"/>
    <n v="42233"/>
    <n v="0"/>
    <n v="0"/>
    <n v="0.38769999999999999"/>
    <n v="0.65"/>
    <n v="0"/>
    <n v="0.10652807046622309"/>
    <n v="0.5"/>
    <n v="0"/>
    <n v="0.83520000000000005"/>
    <n v="0.1"/>
    <n v="0.1"/>
    <n v="0.5"/>
    <n v="0"/>
    <n v="70546.003200000006"/>
    <s v="WASH"/>
    <n v="0.83520000000000005"/>
    <s v="Flagged"/>
    <s v=""/>
    <s v=""/>
    <n v="54902.9"/>
    <s v="Food Security and Livlihoods"/>
    <n v="0.65"/>
    <n v="15643.103200000005"/>
    <n v="0.284923076923077"/>
    <s v=""/>
    <n v="42233"/>
    <s v="Protection"/>
    <n v="0.5"/>
    <n v="28313.003200000006"/>
    <n v="0.67040000000000011"/>
    <s v="Flagged"/>
    <s v=""/>
    <s v=""/>
    <n v="70546.003200000006"/>
    <m/>
    <m/>
    <n v="2"/>
    <s v="Flagged"/>
    <n v="70546"/>
    <m/>
    <x v="0"/>
    <x v="2"/>
    <n v="70546"/>
    <n v="0"/>
    <n v="0"/>
  </r>
  <r>
    <s v="Non-displaced PopulationSD07093"/>
    <x v="6"/>
    <x v="6"/>
    <x v="75"/>
    <x v="75"/>
    <m/>
    <m/>
    <x v="350"/>
    <x v="2"/>
    <n v="0"/>
    <n v="0"/>
    <n v="8322.5"/>
    <n v="0"/>
    <n v="2270"/>
    <n v="8322.5"/>
    <n v="0"/>
    <n v="14607.652"/>
    <n v="1831"/>
    <n v="1317"/>
    <n v="8322.5"/>
    <n v="1665"/>
    <n v="0"/>
    <n v="0"/>
    <n v="0.5"/>
    <n v="0"/>
    <n v="0.1363772904776209"/>
    <n v="0.5"/>
    <n v="0"/>
    <n v="0.87760000000000005"/>
    <n v="0.1"/>
    <n v="0.1"/>
    <n v="0.5"/>
    <n v="0.1"/>
    <n v="14607.652"/>
    <s v="WASH"/>
    <n v="0.87760000000000005"/>
    <s v="Flagged"/>
    <s v=""/>
    <s v=""/>
    <n v="8322.5"/>
    <s v="Food Security and Livlihoods_x000a_Protection"/>
    <n v="0.5"/>
    <n v="6285.152"/>
    <n v="0.75519999999999998"/>
    <s v="Flagged"/>
    <n v="2270"/>
    <s v="Nutrition"/>
    <n v="0.1363772904776209"/>
    <n v="12337.652"/>
    <n v="5.435088986784141"/>
    <s v="Flagged"/>
    <s v=""/>
    <s v=""/>
    <n v="14607.652"/>
    <m/>
    <m/>
    <n v="3"/>
    <s v="Flagged"/>
    <n v="14608"/>
    <m/>
    <x v="2"/>
    <x v="2"/>
    <n v="14608"/>
    <n v="0"/>
    <n v="0"/>
  </r>
  <r>
    <s v="Non-displaced PopulationSD07094"/>
    <x v="6"/>
    <x v="6"/>
    <x v="76"/>
    <x v="76"/>
    <m/>
    <m/>
    <x v="351"/>
    <x v="2"/>
    <n v="0"/>
    <n v="0"/>
    <n v="30251"/>
    <n v="0"/>
    <n v="5865"/>
    <n v="6655.2200000000012"/>
    <n v="0"/>
    <n v="49448.284600000006"/>
    <n v="6655"/>
    <n v="4790"/>
    <n v="0"/>
    <n v="6050"/>
    <n v="0"/>
    <n v="0"/>
    <n v="0.5"/>
    <n v="0"/>
    <n v="9.6938944167134972E-2"/>
    <n v="0.11000000000000001"/>
    <n v="0"/>
    <n v="0.81730000000000014"/>
    <n v="0.1"/>
    <n v="0.1"/>
    <n v="0"/>
    <n v="0.1"/>
    <n v="49448.284600000006"/>
    <s v="WASH"/>
    <n v="0.81730000000000014"/>
    <s v="Flagged"/>
    <s v=""/>
    <s v=""/>
    <n v="30251"/>
    <s v="Food Security and Livlihoods"/>
    <n v="0.5"/>
    <n v="19197.284600000006"/>
    <n v="0.63460000000000016"/>
    <s v="Flagged"/>
    <n v="6655.2200000000012"/>
    <s v="Protection"/>
    <n v="0.11000000000000001"/>
    <n v="42793.064600000005"/>
    <n v="6.43"/>
    <s v="Flagged"/>
    <s v=""/>
    <s v=""/>
    <n v="49448.284600000006"/>
    <m/>
    <m/>
    <n v="3"/>
    <s v="Flagged"/>
    <n v="49448"/>
    <m/>
    <x v="2"/>
    <x v="2"/>
    <n v="49448"/>
    <n v="0"/>
    <n v="0"/>
  </r>
  <r>
    <s v="Non-displaced PopulationSD07095"/>
    <x v="6"/>
    <x v="6"/>
    <x v="77"/>
    <x v="77"/>
    <m/>
    <m/>
    <x v="352"/>
    <x v="2"/>
    <n v="0"/>
    <n v="45201.942999999999"/>
    <n v="75783.5"/>
    <n v="0"/>
    <n v="7404"/>
    <n v="12824.900000000001"/>
    <n v="23318"/>
    <n v="65127.173999999999"/>
    <n v="12825"/>
    <n v="9229"/>
    <n v="11659"/>
    <n v="11659"/>
    <n v="0"/>
    <n v="0.38769999999999999"/>
    <n v="0.65"/>
    <n v="0"/>
    <n v="6.3504588729736688E-2"/>
    <n v="0.11000000000000001"/>
    <n v="0.2"/>
    <n v="0.55859999999999999"/>
    <n v="0.1"/>
    <n v="0.1"/>
    <n v="0.1"/>
    <n v="0.1"/>
    <n v="75783.5"/>
    <s v="Food Security and Livlihoods"/>
    <n v="0.65"/>
    <s v="Flagged"/>
    <s v=""/>
    <s v=""/>
    <n v="65127.173999999999"/>
    <s v="WASH"/>
    <n v="0.55859999999999999"/>
    <n v="10656.326000000001"/>
    <n v="0.1636233440744719"/>
    <s v=""/>
    <n v="45201.942999999999"/>
    <s v="Education"/>
    <n v="0.38769999999999999"/>
    <n v="30581.557000000001"/>
    <n v="0.67655403662625746"/>
    <s v="Flagged"/>
    <s v=""/>
    <s v=""/>
    <n v="75783.5"/>
    <m/>
    <m/>
    <n v="2"/>
    <s v="Flagged"/>
    <n v="75784"/>
    <m/>
    <x v="0"/>
    <x v="2"/>
    <n v="75784"/>
    <n v="0"/>
    <n v="0"/>
  </r>
  <r>
    <s v="Non-displaced PopulationSD07096"/>
    <x v="6"/>
    <x v="6"/>
    <x v="78"/>
    <x v="78"/>
    <m/>
    <m/>
    <x v="353"/>
    <x v="2"/>
    <n v="0"/>
    <n v="0"/>
    <n v="62567"/>
    <n v="0"/>
    <n v="17329"/>
    <n v="13764.740000000003"/>
    <n v="25027"/>
    <n v="104511.91679999999"/>
    <n v="13765"/>
    <n v="9906"/>
    <n v="12513.400000000001"/>
    <n v="0"/>
    <n v="0"/>
    <n v="0"/>
    <n v="0.5"/>
    <n v="0"/>
    <n v="0.13848354563907492"/>
    <n v="0.11000000000000003"/>
    <n v="0.20000159828663672"/>
    <n v="0.83519999999999994"/>
    <n v="0.1"/>
    <n v="0.1"/>
    <n v="0.1"/>
    <n v="0"/>
    <n v="104511.91679999999"/>
    <s v="WASH"/>
    <n v="0.83519999999999994"/>
    <s v="Flagged"/>
    <s v=""/>
    <s v=""/>
    <n v="62567"/>
    <s v="Food Security and Livlihoods"/>
    <n v="0.5"/>
    <n v="41944.916799999992"/>
    <n v="0.67039999999999988"/>
    <s v="Flagged"/>
    <n v="25027"/>
    <s v="Shelter NFI "/>
    <n v="0.20000159828663672"/>
    <n v="79484.916799999992"/>
    <n v="3.1759666280417145"/>
    <s v="Flagged"/>
    <s v=""/>
    <s v=""/>
    <n v="104511.91679999999"/>
    <m/>
    <m/>
    <n v="3"/>
    <s v="Flagged"/>
    <n v="104512"/>
    <m/>
    <x v="0"/>
    <x v="2"/>
    <n v="104512"/>
    <n v="0"/>
    <n v="0"/>
  </r>
  <r>
    <s v="Non-displaced PopulationSD07097"/>
    <x v="6"/>
    <x v="6"/>
    <x v="79"/>
    <x v="79"/>
    <m/>
    <m/>
    <x v="354"/>
    <x v="2"/>
    <n v="0"/>
    <n v="5012.1855999999998"/>
    <n v="6464"/>
    <n v="0"/>
    <n v="2443"/>
    <n v="1422.0800000000002"/>
    <n v="0"/>
    <n v="9860.1856000000007"/>
    <n v="1422"/>
    <n v="1023"/>
    <n v="1292.8000000000002"/>
    <n v="1293"/>
    <n v="0"/>
    <n v="0.38769999999999999"/>
    <n v="0.5"/>
    <n v="0"/>
    <n v="0.18896967821782179"/>
    <n v="0.11000000000000001"/>
    <n v="0"/>
    <n v="0.76270000000000004"/>
    <n v="0.1"/>
    <n v="0.1"/>
    <n v="0.1"/>
    <n v="0.1"/>
    <n v="9860.1856000000007"/>
    <s v="WASH"/>
    <n v="0.76270000000000004"/>
    <s v="Flagged"/>
    <s v=""/>
    <s v=""/>
    <n v="6464"/>
    <s v="Food Security and Livlihoods"/>
    <n v="0.5"/>
    <n v="3396.1856000000007"/>
    <n v="0.52540000000000009"/>
    <s v="Flagged"/>
    <n v="5012.1855999999998"/>
    <s v="Education"/>
    <n v="0.38769999999999999"/>
    <n v="4848.0000000000009"/>
    <n v="0.96724271343822565"/>
    <s v="Flagged"/>
    <s v=""/>
    <s v=""/>
    <n v="9860.1856000000007"/>
    <m/>
    <m/>
    <n v="3"/>
    <s v="Flagged"/>
    <n v="9860"/>
    <m/>
    <x v="0"/>
    <x v="2"/>
    <n v="9860"/>
    <n v="0"/>
    <n v="0"/>
  </r>
  <r>
    <s v="Non-displaced PopulationSD07098"/>
    <x v="6"/>
    <x v="6"/>
    <x v="80"/>
    <x v="80"/>
    <m/>
    <m/>
    <x v="355"/>
    <x v="2"/>
    <n v="0"/>
    <n v="12894.669379999998"/>
    <n v="21618.609999999997"/>
    <n v="0"/>
    <n v="2562"/>
    <n v="13303.759999999998"/>
    <n v="9978"/>
    <n v="23298.209699999996"/>
    <n v="3659"/>
    <n v="2633"/>
    <n v="13303.759999999998"/>
    <n v="3326"/>
    <n v="0"/>
    <n v="0.38770466279803956"/>
    <n v="0.65000781743287517"/>
    <n v="0"/>
    <n v="7.7031780871343089E-2"/>
    <n v="0.40000481072792321"/>
    <n v="0.30000902011485614"/>
    <n v="0.70050842478727549"/>
    <n v="0.1"/>
    <n v="0.1"/>
    <n v="0.4"/>
    <n v="0.1"/>
    <n v="23298.209699999996"/>
    <s v="WASH"/>
    <n v="0.70050842478727549"/>
    <s v="Flagged"/>
    <s v=""/>
    <s v=""/>
    <n v="21618.609999999997"/>
    <s v="Food Security and Livlihoods"/>
    <n v="0.65000781743287517"/>
    <n v="1679.5996999999988"/>
    <n v="7.7692307692307644E-2"/>
    <s v=""/>
    <n v="13303.759999999998"/>
    <s v="Protection"/>
    <n v="0.40000481072792321"/>
    <n v="9994.4496999999974"/>
    <n v="0.75124999999999986"/>
    <s v="Flagged"/>
    <s v=""/>
    <s v=""/>
    <n v="23298.209699999996"/>
    <m/>
    <m/>
    <n v="2"/>
    <s v="Flagged"/>
    <n v="23298"/>
    <m/>
    <x v="0"/>
    <x v="1"/>
    <n v="0"/>
    <n v="20968.2"/>
    <n v="2329.8000000000002"/>
  </r>
  <r>
    <s v="Non-displaced PopulationSD07099"/>
    <x v="6"/>
    <x v="6"/>
    <x v="81"/>
    <x v="81"/>
    <m/>
    <m/>
    <x v="356"/>
    <x v="2"/>
    <n v="0"/>
    <n v="44498.655200000001"/>
    <n v="74604.399999999994"/>
    <n v="0"/>
    <n v="12226"/>
    <n v="45910.400000000001"/>
    <n v="22955"/>
    <n v="95860.915199999989"/>
    <n v="12625"/>
    <n v="9086"/>
    <n v="45910.400000000001"/>
    <n v="0"/>
    <n v="0"/>
    <n v="0.38769999999999999"/>
    <n v="0.64999999999999991"/>
    <n v="0"/>
    <n v="0.10652052693942984"/>
    <n v="0.4"/>
    <n v="0.1999982574754304"/>
    <n v="0.83519999999999994"/>
    <n v="0.1"/>
    <n v="0.1"/>
    <n v="0.4"/>
    <n v="0"/>
    <n v="95860.915199999989"/>
    <s v="WASH"/>
    <n v="0.83519999999999994"/>
    <s v="Flagged"/>
    <s v=""/>
    <s v=""/>
    <n v="74604.399999999994"/>
    <s v="Food Security and Livlihoods"/>
    <n v="0.64999999999999991"/>
    <n v="21256.515199999994"/>
    <n v="0.28492307692307689"/>
    <s v=""/>
    <n v="45910.400000000001"/>
    <s v="Protection"/>
    <n v="0.4"/>
    <n v="49950.515199999987"/>
    <n v="1.0879999999999996"/>
    <s v="Flagged"/>
    <s v=""/>
    <s v=""/>
    <n v="95860.915199999989"/>
    <m/>
    <m/>
    <n v="2"/>
    <s v="Flagged"/>
    <n v="95861"/>
    <m/>
    <x v="0"/>
    <x v="2"/>
    <n v="95861"/>
    <n v="0"/>
    <n v="0"/>
  </r>
  <r>
    <s v="Non-displaced PopulationSD07103"/>
    <x v="6"/>
    <x v="6"/>
    <x v="82"/>
    <x v="82"/>
    <m/>
    <m/>
    <x v="357"/>
    <x v="2"/>
    <n v="0"/>
    <n v="12209.700405"/>
    <n v="15746.325000000001"/>
    <n v="0"/>
    <n v="5187"/>
    <n v="12597.060000000001"/>
    <n v="6299"/>
    <n v="27612.755520000002"/>
    <n v="3464"/>
    <n v="2492"/>
    <n v="12597.060000000001"/>
    <n v="3149"/>
    <n v="0"/>
    <n v="0.38769569126472547"/>
    <n v="0.49999444320960218"/>
    <n v="0"/>
    <n v="0.16470326739275395"/>
    <n v="0.39999555456768177"/>
    <n v="0.20001270123519513"/>
    <n v="0.87679025561235835"/>
    <n v="0.1"/>
    <n v="0.1"/>
    <n v="0.4"/>
    <n v="0.1"/>
    <n v="27612.755520000002"/>
    <s v="WASH"/>
    <n v="0.87679025561235835"/>
    <s v="Flagged"/>
    <s v=""/>
    <s v=""/>
    <n v="15746.325000000001"/>
    <s v="Food Security and Livlihoods"/>
    <n v="0.49999444320960218"/>
    <n v="11866.430520000002"/>
    <n v="0.75360000000000005"/>
    <s v="Flagged"/>
    <n v="12597.060000000001"/>
    <s v="Protection"/>
    <n v="0.39999555456768177"/>
    <n v="15015.695520000001"/>
    <n v="1.1919999999999999"/>
    <s v="Flagged"/>
    <s v=""/>
    <s v=""/>
    <n v="27612.755520000002"/>
    <m/>
    <m/>
    <n v="3"/>
    <s v="Flagged"/>
    <n v="27613"/>
    <m/>
    <x v="0"/>
    <x v="0"/>
    <n v="0"/>
    <n v="27613"/>
    <n v="0"/>
  </r>
  <r>
    <s v="Non-displaced PopulationSD07104"/>
    <x v="6"/>
    <x v="6"/>
    <x v="83"/>
    <x v="83"/>
    <m/>
    <m/>
    <x v="358"/>
    <x v="2"/>
    <n v="0"/>
    <n v="13730.7832"/>
    <n v="17708"/>
    <n v="3200"/>
    <n v="4042"/>
    <n v="14166.400000000001"/>
    <n v="7083"/>
    <n v="30503.800799999997"/>
    <n v="3896"/>
    <n v="2804"/>
    <n v="14166.400000000001"/>
    <n v="3542"/>
    <n v="0"/>
    <n v="0.38769999999999999"/>
    <n v="0.5"/>
    <n v="9.0354641969731198E-2"/>
    <n v="0.11412920713801672"/>
    <n v="0.4"/>
    <n v="0.1999943528348769"/>
    <n v="0.86129999999999995"/>
    <n v="0.1"/>
    <n v="0.1"/>
    <n v="0.4"/>
    <n v="0.1"/>
    <n v="30503.800799999997"/>
    <s v="WASH"/>
    <n v="0.86129999999999995"/>
    <s v=""/>
    <s v=""/>
    <s v=""/>
    <n v="17708"/>
    <s v="Food Security and Livlihoods"/>
    <n v="0.5"/>
    <n v="12795.800799999997"/>
    <n v="0.7225999999999998"/>
    <s v="Flagged"/>
    <n v="14166.400000000001"/>
    <s v="Protection"/>
    <n v="0.4"/>
    <n v="16337.400799999996"/>
    <n v="1.1532499999999997"/>
    <s v="Flagged"/>
    <s v=""/>
    <s v=""/>
    <n v="30503.800799999997"/>
    <m/>
    <m/>
    <n v="2"/>
    <s v="Flagged"/>
    <n v="30504"/>
    <m/>
    <x v="0"/>
    <x v="0"/>
    <n v="0"/>
    <n v="30504"/>
    <n v="0"/>
  </r>
  <r>
    <s v="Non-displaced PopulationSD07105"/>
    <x v="6"/>
    <x v="6"/>
    <x v="84"/>
    <x v="84"/>
    <m/>
    <m/>
    <x v="359"/>
    <x v="2"/>
    <n v="0"/>
    <n v="6454.0419000000002"/>
    <n v="9155.85"/>
    <n v="0"/>
    <n v="2349"/>
    <n v="1831.17"/>
    <n v="3329"/>
    <n v="16154.248800000001"/>
    <n v="1831"/>
    <n v="1317"/>
    <n v="0"/>
    <n v="1665"/>
    <n v="0"/>
    <n v="0.38769999999999999"/>
    <n v="0.55000000000000004"/>
    <n v="0"/>
    <n v="0.1411065056766985"/>
    <n v="0.11"/>
    <n v="0.19997597164654293"/>
    <n v="0.97040000000000004"/>
    <n v="0.1"/>
    <n v="0.1"/>
    <n v="0"/>
    <n v="0.1"/>
    <n v="16154.248800000001"/>
    <s v="WASH"/>
    <n v="0.97040000000000004"/>
    <s v="Flagged"/>
    <s v="Flagged"/>
    <s v=""/>
    <n v="9155.85"/>
    <s v="Food Security and Livlihoods"/>
    <n v="0.55000000000000004"/>
    <n v="6998.3988000000008"/>
    <n v="0.76436363636363647"/>
    <s v="Flagged"/>
    <n v="6454.0419000000002"/>
    <s v="Education"/>
    <n v="0.38769999999999999"/>
    <n v="9700.206900000001"/>
    <n v="1.5029662109878774"/>
    <s v="Flagged"/>
    <s v=""/>
    <s v=""/>
    <n v="16154.248800000001"/>
    <m/>
    <m/>
    <n v="4"/>
    <s v="Flagged"/>
    <n v="16154"/>
    <m/>
    <x v="2"/>
    <x v="0"/>
    <n v="0"/>
    <n v="16154"/>
    <n v="0"/>
  </r>
  <r>
    <s v="Non-displaced PopulationSD07106"/>
    <x v="6"/>
    <x v="6"/>
    <x v="85"/>
    <x v="85"/>
    <m/>
    <m/>
    <x v="360"/>
    <x v="2"/>
    <n v="0"/>
    <n v="16081.0206"/>
    <n v="20739"/>
    <n v="0"/>
    <n v="24924"/>
    <n v="4562.5800000000008"/>
    <n v="8296"/>
    <n v="39785.6976"/>
    <n v="4563"/>
    <n v="2190"/>
    <n v="0"/>
    <n v="4148"/>
    <n v="0"/>
    <n v="0.38769999999999999"/>
    <n v="0.5"/>
    <n v="0"/>
    <n v="0.60089686098654704"/>
    <n v="0.11000000000000001"/>
    <n v="0.20000964366652202"/>
    <n v="0.95919999999999994"/>
    <n v="0.1"/>
    <n v="0.05"/>
    <n v="0"/>
    <n v="0.1"/>
    <n v="39785.6976"/>
    <s v="WASH"/>
    <n v="0.95919999999999994"/>
    <s v="Flagged"/>
    <s v="Flagged"/>
    <s v=""/>
    <n v="24924"/>
    <s v="Nutrition"/>
    <n v="0.60089686098654704"/>
    <n v="14861.6976"/>
    <n v="0.59628059701492531"/>
    <s v="Flagged"/>
    <n v="20739"/>
    <s v="Food Security and Livlihoods"/>
    <n v="0.5"/>
    <n v="19046.6976"/>
    <n v="0.91839999999999999"/>
    <s v="Flagged"/>
    <s v=""/>
    <s v=""/>
    <n v="39785.6976"/>
    <m/>
    <m/>
    <n v="4"/>
    <s v="Flagged"/>
    <n v="39786"/>
    <m/>
    <x v="2"/>
    <x v="2"/>
    <n v="39786"/>
    <n v="0"/>
    <n v="0"/>
  </r>
  <r>
    <s v="Non-displaced PopulationSD07107"/>
    <x v="6"/>
    <x v="6"/>
    <x v="86"/>
    <x v="86"/>
    <m/>
    <m/>
    <x v="361"/>
    <x v="2"/>
    <n v="0"/>
    <n v="9230.7492999999995"/>
    <n v="11904.5"/>
    <n v="0"/>
    <n v="2554"/>
    <n v="2618.9900000000002"/>
    <n v="0"/>
    <n v="17282.953100000002"/>
    <n v="2619"/>
    <n v="1885"/>
    <n v="2380.9"/>
    <n v="2381"/>
    <n v="0"/>
    <n v="0.38769999999999999"/>
    <n v="0.5"/>
    <n v="0"/>
    <n v="0.10727035994791885"/>
    <n v="0.11000000000000001"/>
    <n v="0"/>
    <n v="0.7259000000000001"/>
    <n v="0.1"/>
    <n v="0.1"/>
    <n v="0.1"/>
    <n v="0.1"/>
    <n v="17282.953100000002"/>
    <s v="WASH"/>
    <n v="0.7259000000000001"/>
    <s v="Flagged"/>
    <s v=""/>
    <s v=""/>
    <n v="11904.5"/>
    <s v="Food Security and Livlihoods"/>
    <n v="0.5"/>
    <n v="5378.4531000000025"/>
    <n v="0.4518000000000002"/>
    <s v="Flagged"/>
    <n v="9230.7492999999995"/>
    <s v="Education"/>
    <n v="0.38769999999999999"/>
    <n v="8052.203800000003"/>
    <n v="0.87232396182615457"/>
    <s v="Flagged"/>
    <s v=""/>
    <s v=""/>
    <n v="17282.953100000002"/>
    <m/>
    <m/>
    <n v="3"/>
    <s v="Flagged"/>
    <n v="17283"/>
    <m/>
    <x v="0"/>
    <x v="1"/>
    <n v="0"/>
    <n v="15554.7"/>
    <n v="1728.3000000000002"/>
  </r>
  <r>
    <s v="Non-displaced PopulationSD07108"/>
    <x v="6"/>
    <x v="6"/>
    <x v="87"/>
    <x v="87"/>
    <m/>
    <m/>
    <x v="34"/>
    <x v="2"/>
    <n v="0"/>
    <n v="0"/>
    <n v="0"/>
    <n v="0"/>
    <n v="3441"/>
    <n v="0"/>
    <n v="0"/>
    <n v="0"/>
    <n v="0"/>
    <n v="0"/>
    <n v="0"/>
    <n v="0"/>
    <e v="#DIV/0!"/>
    <e v="#DIV/0!"/>
    <e v="#DIV/0!"/>
    <e v="#DIV/0!"/>
    <e v="#DIV/0!"/>
    <e v="#DIV/0!"/>
    <e v="#DIV/0!"/>
    <e v="#DIV/0!"/>
    <s v=""/>
    <s v=""/>
    <s v=""/>
    <s v=""/>
    <n v="3441"/>
    <s v="Nutrition"/>
    <e v="#DIV/0!"/>
    <s v="Flagged"/>
    <s v=""/>
    <s v="Flagged"/>
    <n v="0"/>
    <s v="Site Management _x000a_Education_x000a_Food Security and Livlihoods_x000a_Health _x000a_Protection_x000a_Shelter NFI _x000a_WASH"/>
    <s v=""/>
    <n v="3441"/>
    <s v=""/>
    <s v=""/>
    <s v="NA"/>
    <s v=""/>
    <s v=""/>
    <s v=""/>
    <s v=""/>
    <s v=""/>
    <s v=""/>
    <s v=""/>
    <n v="3441"/>
    <m/>
    <m/>
    <n v="2"/>
    <s v="Flagged"/>
    <n v="0"/>
    <m/>
    <x v="2"/>
    <x v="1"/>
    <n v="0"/>
    <n v="0"/>
    <n v="0"/>
  </r>
  <r>
    <s v="Non-displaced PopulationSD08104"/>
    <x v="7"/>
    <x v="7"/>
    <x v="88"/>
    <x v="88"/>
    <m/>
    <m/>
    <x v="362"/>
    <x v="2"/>
    <n v="0"/>
    <n v="9751.4303999999993"/>
    <n v="8803.2000000000007"/>
    <n v="4860"/>
    <n v="4023"/>
    <n v="10060.800000000001"/>
    <n v="5030"/>
    <n v="16939.871999999996"/>
    <n v="2767"/>
    <n v="1328"/>
    <n v="10060.800000000001"/>
    <n v="0"/>
    <n v="0"/>
    <n v="0.38769999999999999"/>
    <n v="0.35000000000000003"/>
    <n v="0.19322519083969467"/>
    <n v="0.15994751908396945"/>
    <n v="0.4"/>
    <n v="0.19998409669211195"/>
    <n v="0.67349999999999988"/>
    <n v="0.1"/>
    <n v="0.05"/>
    <n v="0.4"/>
    <n v="0"/>
    <n v="16939.871999999996"/>
    <s v="WASH"/>
    <n v="0.67349999999999988"/>
    <s v=""/>
    <s v=""/>
    <s v=""/>
    <n v="10060.800000000001"/>
    <s v="Protection"/>
    <n v="0.4"/>
    <n v="6879.0719999999947"/>
    <n v="0.68374999999999941"/>
    <s v="Flagged"/>
    <n v="9751.4303999999993"/>
    <s v="Education"/>
    <n v="0.38769999999999999"/>
    <n v="7188.4415999999965"/>
    <n v="0.7371679133350526"/>
    <s v="Flagged"/>
    <s v=""/>
    <s v=""/>
    <n v="16939.871999999996"/>
    <m/>
    <m/>
    <n v="2"/>
    <s v="Flagged"/>
    <n v="16940"/>
    <m/>
    <x v="1"/>
    <x v="2"/>
    <n v="16940"/>
    <n v="0"/>
    <n v="0"/>
  </r>
  <r>
    <s v="Non-displaced PopulationSD08105"/>
    <x v="7"/>
    <x v="7"/>
    <x v="89"/>
    <x v="89"/>
    <m/>
    <m/>
    <x v="363"/>
    <x v="2"/>
    <n v="0"/>
    <n v="0"/>
    <n v="9478.5"/>
    <n v="20050"/>
    <n v="15227"/>
    <n v="4170.54"/>
    <n v="7583"/>
    <n v="24257.377199999995"/>
    <n v="4171"/>
    <n v="3002"/>
    <n v="3791.4"/>
    <n v="0"/>
    <n v="0"/>
    <n v="0"/>
    <n v="0.25"/>
    <n v="0.52882840111832041"/>
    <n v="0.40161945455504561"/>
    <n v="0.11"/>
    <n v="0.2000052750962705"/>
    <n v="0.63979999999999992"/>
    <n v="0.1"/>
    <n v="0.1"/>
    <n v="0.1"/>
    <n v="0"/>
    <n v="24257.377199999995"/>
    <s v="WASH"/>
    <n v="0.63979999999999992"/>
    <s v="Flagged"/>
    <s v=""/>
    <s v=""/>
    <n v="20050"/>
    <s v="Health "/>
    <n v="0.52882840111832041"/>
    <n v="4207.3771999999954"/>
    <n v="0.20984424937655838"/>
    <s v=""/>
    <n v="15227"/>
    <s v="Nutrition"/>
    <n v="0.40161945455504561"/>
    <n v="9030.3771999999954"/>
    <n v="0.59305031851316714"/>
    <s v="Flagged"/>
    <s v=""/>
    <s v=""/>
    <n v="24257.377199999995"/>
    <m/>
    <m/>
    <n v="2"/>
    <s v="Flagged"/>
    <n v="24257"/>
    <m/>
    <x v="2"/>
    <x v="2"/>
    <n v="24257"/>
    <n v="0"/>
    <n v="0"/>
  </r>
  <r>
    <s v="Non-displaced PopulationSD08106"/>
    <x v="7"/>
    <x v="7"/>
    <x v="90"/>
    <x v="90"/>
    <m/>
    <m/>
    <x v="364"/>
    <x v="2"/>
    <n v="0"/>
    <n v="22857.2412"/>
    <n v="23582.400000000001"/>
    <n v="0"/>
    <n v="13152"/>
    <n v="23582.400000000001"/>
    <n v="11791"/>
    <n v="42112.270799999998"/>
    <n v="6485"/>
    <n v="3111"/>
    <n v="23582.400000000001"/>
    <n v="5896"/>
    <n v="0"/>
    <n v="0.38769999999999999"/>
    <n v="0.4"/>
    <n v="0"/>
    <n v="0.22308162019132913"/>
    <n v="0.4"/>
    <n v="0.19999660763959562"/>
    <n v="0.71429999999999993"/>
    <n v="0.1"/>
    <n v="0.05"/>
    <n v="0.4"/>
    <n v="0.1"/>
    <n v="42112.270799999998"/>
    <s v="WASH"/>
    <n v="0.71429999999999993"/>
    <s v="Flagged"/>
    <s v=""/>
    <s v=""/>
    <n v="23582.400000000001"/>
    <s v="Food Security and Livlihoods_x000a_Protection"/>
    <n v="0.4"/>
    <n v="18529.870799999997"/>
    <n v="0.78574999999999984"/>
    <s v="Flagged"/>
    <n v="22857.2412"/>
    <s v="Education"/>
    <n v="0.38769999999999999"/>
    <n v="19255.029599999998"/>
    <n v="0.84240392055713165"/>
    <s v="Flagged"/>
    <s v=""/>
    <s v=""/>
    <n v="42112.270799999998"/>
    <m/>
    <m/>
    <n v="3"/>
    <s v="Flagged"/>
    <n v="42112"/>
    <m/>
    <x v="1"/>
    <x v="0"/>
    <n v="0"/>
    <n v="42112"/>
    <n v="0"/>
  </r>
  <r>
    <s v="Non-displaced PopulationSD08107"/>
    <x v="7"/>
    <x v="7"/>
    <x v="91"/>
    <x v="91"/>
    <m/>
    <m/>
    <x v="365"/>
    <x v="2"/>
    <n v="0"/>
    <n v="0"/>
    <n v="15262.2"/>
    <n v="38165"/>
    <n v="14167"/>
    <n v="5596.14"/>
    <n v="10175"/>
    <n v="28453.8282"/>
    <n v="5596"/>
    <n v="4028"/>
    <n v="0"/>
    <n v="5087"/>
    <n v="0"/>
    <n v="0"/>
    <n v="0.3"/>
    <n v="0.75018673585721585"/>
    <n v="0.27847230412391399"/>
    <n v="0.11"/>
    <n v="0.20000393128120456"/>
    <n v="0.55930000000000002"/>
    <n v="0.1"/>
    <n v="0.1"/>
    <n v="0"/>
    <n v="0.1"/>
    <n v="38165"/>
    <s v="Health "/>
    <n v="0.75018673585721585"/>
    <s v="Flagged"/>
    <s v=""/>
    <s v=""/>
    <n v="28453.8282"/>
    <s v="WASH"/>
    <n v="0.55930000000000002"/>
    <n v="9711.1718000000001"/>
    <n v="0.34129579091224005"/>
    <s v="Flagged"/>
    <n v="15262.2"/>
    <s v="Food Security and Livlihoods"/>
    <n v="0.3"/>
    <n v="22902.799999999999"/>
    <n v="1.5006224528573862"/>
    <s v="Flagged"/>
    <s v=""/>
    <s v=""/>
    <n v="38165"/>
    <m/>
    <m/>
    <n v="3"/>
    <s v="Flagged"/>
    <n v="38165"/>
    <m/>
    <x v="2"/>
    <x v="2"/>
    <n v="38165"/>
    <n v="0"/>
    <n v="0"/>
  </r>
  <r>
    <s v="Non-displaced PopulationSD08108"/>
    <x v="7"/>
    <x v="7"/>
    <x v="92"/>
    <x v="92"/>
    <m/>
    <m/>
    <x v="366"/>
    <x v="2"/>
    <n v="0"/>
    <n v="0"/>
    <n v="4371.5"/>
    <n v="7500"/>
    <n v="6845"/>
    <n v="1923.4600000000003"/>
    <n v="3497"/>
    <n v="17486"/>
    <n v="1923"/>
    <n v="922"/>
    <n v="1748.6000000000001"/>
    <n v="0"/>
    <n v="0"/>
    <n v="0"/>
    <n v="0.25"/>
    <n v="0.42891456021960428"/>
    <n v="0.3914560219604255"/>
    <n v="0.11000000000000001"/>
    <n v="0.19998856227839415"/>
    <n v="1"/>
    <n v="0.1"/>
    <n v="0.05"/>
    <n v="0.1"/>
    <n v="0"/>
    <n v="17486"/>
    <s v="WASH"/>
    <n v="1"/>
    <s v="Flagged"/>
    <s v="Flagged"/>
    <s v=""/>
    <n v="7500"/>
    <s v="Health "/>
    <n v="0.42891456021960428"/>
    <n v="9986"/>
    <n v="1.3314666666666666"/>
    <s v="Flagged"/>
    <n v="6845"/>
    <s v="Nutrition"/>
    <n v="0.3914560219604255"/>
    <n v="10641"/>
    <n v="1.5545653761869977"/>
    <s v="Flagged"/>
    <s v=""/>
    <s v=""/>
    <n v="17486"/>
    <m/>
    <m/>
    <n v="4"/>
    <s v="Flagged"/>
    <n v="17486"/>
    <m/>
    <x v="2"/>
    <x v="2"/>
    <n v="17486"/>
    <n v="0"/>
    <n v="0"/>
  </r>
  <r>
    <s v="Non-displaced PopulationSD08109"/>
    <x v="7"/>
    <x v="7"/>
    <x v="93"/>
    <x v="93"/>
    <m/>
    <m/>
    <x v="367"/>
    <x v="2"/>
    <n v="0"/>
    <n v="6616.1004999999996"/>
    <n v="5119.5"/>
    <n v="6475"/>
    <n v="3944"/>
    <n v="6826"/>
    <n v="3413"/>
    <n v="10901.121999999999"/>
    <n v="1877"/>
    <n v="901"/>
    <n v="6826"/>
    <n v="1707"/>
    <n v="0"/>
    <n v="0.38769999999999999"/>
    <n v="0.3"/>
    <n v="0.37943158511573394"/>
    <n v="0.23111631995312043"/>
    <n v="0.4"/>
    <n v="0.2"/>
    <n v="0.63879999999999992"/>
    <n v="0.1"/>
    <n v="0.05"/>
    <n v="0.4"/>
    <n v="0.1"/>
    <n v="10901.121999999999"/>
    <s v="WASH"/>
    <n v="0.63879999999999992"/>
    <s v=""/>
    <s v=""/>
    <s v=""/>
    <n v="6826"/>
    <s v="Protection"/>
    <n v="0.4"/>
    <n v="4075.1219999999994"/>
    <n v="0.59699999999999986"/>
    <s v="Flagged"/>
    <n v="6616.1004999999996"/>
    <s v="Education"/>
    <n v="0.38769999999999999"/>
    <n v="4285.0214999999998"/>
    <n v="0.64766572091823582"/>
    <s v="Flagged"/>
    <s v=""/>
    <s v=""/>
    <n v="10901.121999999999"/>
    <m/>
    <m/>
    <n v="2"/>
    <s v="Flagged"/>
    <n v="10901"/>
    <m/>
    <x v="1"/>
    <x v="0"/>
    <n v="0"/>
    <n v="10901"/>
    <n v="0"/>
  </r>
  <r>
    <s v="Non-displaced PopulationSD08110"/>
    <x v="7"/>
    <x v="7"/>
    <x v="94"/>
    <x v="94"/>
    <m/>
    <m/>
    <x v="368"/>
    <x v="2"/>
    <n v="0"/>
    <n v="11238.6476"/>
    <n v="13044.6"/>
    <n v="9575"/>
    <n v="4907"/>
    <n v="3188.6800000000003"/>
    <n v="5798"/>
    <n v="14357.7564"/>
    <n v="3189"/>
    <n v="1529"/>
    <n v="0"/>
    <n v="2899"/>
    <n v="0"/>
    <n v="0.38769999999999999"/>
    <n v="0.45"/>
    <n v="0.33030909341796605"/>
    <n v="0.16927694218297226"/>
    <n v="0.11000000000000001"/>
    <n v="0.20001379881330206"/>
    <n v="0.49530000000000002"/>
    <n v="0.1"/>
    <n v="0.05"/>
    <n v="0"/>
    <n v="0.1"/>
    <n v="14357.7564"/>
    <s v="WASH"/>
    <n v="0.49530000000000002"/>
    <s v=""/>
    <s v=""/>
    <s v=""/>
    <n v="13044.6"/>
    <s v="Food Security and Livlihoods"/>
    <n v="0.45"/>
    <n v="1313.1563999999998"/>
    <n v="0.10066666666666665"/>
    <s v=""/>
    <n v="11238.6476"/>
    <s v="Education"/>
    <n v="0.38769999999999999"/>
    <n v="3119.1088"/>
    <n v="0.27753417590920815"/>
    <s v=""/>
    <s v=""/>
    <s v=""/>
    <n v="14357.7564"/>
    <m/>
    <m/>
    <n v="0"/>
    <s v=""/>
    <n v="14358"/>
    <m/>
    <x v="2"/>
    <x v="1"/>
    <n v="0"/>
    <n v="12922.2"/>
    <n v="1435.8000000000002"/>
  </r>
  <r>
    <s v="Non-displaced PopulationSD09044"/>
    <x v="8"/>
    <x v="8"/>
    <x v="95"/>
    <x v="95"/>
    <m/>
    <m/>
    <x v="369"/>
    <x v="2"/>
    <n v="0"/>
    <n v="25391.2484"/>
    <n v="16373"/>
    <n v="835"/>
    <n v="26021"/>
    <n v="7204.1200000000017"/>
    <n v="13098"/>
    <n v="41286.156799999997"/>
    <n v="7204"/>
    <n v="5184"/>
    <n v="0"/>
    <n v="6549"/>
    <n v="0"/>
    <n v="0.38769999999999999"/>
    <n v="0.25"/>
    <n v="1.2749648812068649E-2"/>
    <n v="0.3973157026812435"/>
    <n v="0.11000000000000003"/>
    <n v="0.19999389238380261"/>
    <n v="0.63039999999999996"/>
    <n v="0.1"/>
    <n v="0.1"/>
    <n v="0"/>
    <n v="0.1"/>
    <n v="41286.156799999997"/>
    <s v="WASH"/>
    <n v="0.63039999999999996"/>
    <s v=""/>
    <s v=""/>
    <s v=""/>
    <n v="26021"/>
    <s v="Nutrition"/>
    <n v="0.3973157026812435"/>
    <n v="15265.156799999997"/>
    <n v="0.58664758464317268"/>
    <s v="Flagged"/>
    <n v="25391.2484"/>
    <s v="Education"/>
    <n v="0.38769999999999999"/>
    <n v="15894.908399999997"/>
    <n v="0.6259994841372194"/>
    <s v="Flagged"/>
    <s v=""/>
    <s v=""/>
    <n v="41286.156799999997"/>
    <m/>
    <m/>
    <n v="2"/>
    <s v="Flagged"/>
    <n v="41286"/>
    <m/>
    <x v="2"/>
    <x v="0"/>
    <n v="0"/>
    <n v="41286"/>
    <n v="0"/>
  </r>
  <r>
    <s v="Non-displaced PopulationSD09045"/>
    <x v="8"/>
    <x v="8"/>
    <x v="96"/>
    <x v="96"/>
    <m/>
    <m/>
    <x v="370"/>
    <x v="2"/>
    <n v="0"/>
    <n v="0"/>
    <n v="12647.7"/>
    <n v="370"/>
    <n v="6127"/>
    <n v="4637.4900000000007"/>
    <n v="8432"/>
    <n v="26804.692199999998"/>
    <n v="4637"/>
    <n v="3337"/>
    <n v="0"/>
    <n v="4216"/>
    <n v="0"/>
    <n v="0"/>
    <n v="0.30000000000000004"/>
    <n v="8.7762992480846323E-3"/>
    <n v="0.14533077160274199"/>
    <n v="0.11000000000000001"/>
    <n v="0.20000474394553949"/>
    <n v="0.63579999999999992"/>
    <n v="0.1"/>
    <n v="0.1"/>
    <n v="0"/>
    <n v="0.1"/>
    <n v="26804.692199999998"/>
    <s v="WASH"/>
    <n v="0.63579999999999992"/>
    <s v="Flagged"/>
    <s v=""/>
    <s v=""/>
    <n v="12647.7"/>
    <s v="Food Security and Livlihoods"/>
    <n v="0.30000000000000004"/>
    <n v="14156.992199999997"/>
    <n v="1.1193333333333331"/>
    <s v="Flagged"/>
    <n v="8432"/>
    <s v="Shelter NFI "/>
    <n v="0.20000474394553949"/>
    <n v="18372.692199999998"/>
    <n v="2.1789245967741935"/>
    <s v="Flagged"/>
    <s v=""/>
    <s v=""/>
    <n v="26804.692199999998"/>
    <m/>
    <m/>
    <n v="3"/>
    <s v="Flagged"/>
    <n v="26805"/>
    <m/>
    <x v="2"/>
    <x v="2"/>
    <n v="26805"/>
    <n v="0"/>
    <n v="0"/>
  </r>
  <r>
    <s v="Non-displaced PopulationSD09046"/>
    <x v="8"/>
    <x v="8"/>
    <x v="97"/>
    <x v="97"/>
    <m/>
    <m/>
    <x v="371"/>
    <x v="2"/>
    <n v="0"/>
    <n v="0"/>
    <n v="4980.75"/>
    <n v="580"/>
    <n v="19923"/>
    <n v="2191.5300000000002"/>
    <n v="0"/>
    <n v="0"/>
    <n v="2192"/>
    <n v="1577"/>
    <n v="0"/>
    <n v="1992"/>
    <n v="0"/>
    <n v="0"/>
    <n v="0.25"/>
    <n v="2.9112081513828238E-2"/>
    <n v="1"/>
    <n v="0.11000000000000001"/>
    <n v="0"/>
    <n v="0"/>
    <n v="0.1"/>
    <n v="0.1"/>
    <n v="0"/>
    <n v="0.1"/>
    <n v="19923"/>
    <s v="Nutrition"/>
    <n v="1"/>
    <s v="Flagged"/>
    <s v="Flagged"/>
    <s v="Flagged"/>
    <n v="4980.75"/>
    <s v="Food Security and Livlihoods"/>
    <n v="0.25"/>
    <n v="14942.25"/>
    <n v="3"/>
    <s v="Flagged"/>
    <n v="2191.5300000000002"/>
    <s v="Protection"/>
    <n v="0.11000000000000001"/>
    <n v="17731.47"/>
    <n v="8.0909090909090899"/>
    <s v="Flagged"/>
    <s v=""/>
    <s v=""/>
    <n v="19923"/>
    <m/>
    <m/>
    <n v="5"/>
    <s v="Flagged"/>
    <n v="19923"/>
    <m/>
    <x v="2"/>
    <x v="2"/>
    <n v="19923"/>
    <n v="0"/>
    <n v="0"/>
  </r>
  <r>
    <s v="Non-displaced PopulationSD09047"/>
    <x v="8"/>
    <x v="8"/>
    <x v="98"/>
    <x v="98"/>
    <m/>
    <m/>
    <x v="372"/>
    <x v="2"/>
    <n v="0"/>
    <n v="0"/>
    <n v="21907.75"/>
    <n v="5905"/>
    <n v="40577"/>
    <n v="9639.4100000000017"/>
    <n v="17526"/>
    <n v="45734.618900000001"/>
    <n v="9639"/>
    <n v="6938"/>
    <n v="0"/>
    <n v="8763"/>
    <n v="0"/>
    <n v="0"/>
    <n v="0.25"/>
    <n v="6.738482956944461E-2"/>
    <n v="0.46304389998972967"/>
    <n v="0.11000000000000001"/>
    <n v="0.19999771770263947"/>
    <n v="0.52190000000000003"/>
    <n v="0.1"/>
    <n v="0.1"/>
    <n v="0"/>
    <n v="0.1"/>
    <n v="45734.618900000001"/>
    <s v="WASH"/>
    <n v="0.52190000000000003"/>
    <s v="Flagged"/>
    <s v=""/>
    <s v=""/>
    <n v="40577"/>
    <s v="Nutrition"/>
    <n v="0.46304389998972967"/>
    <n v="5157.6189000000013"/>
    <n v="0.12710695467875893"/>
    <s v=""/>
    <n v="21907.75"/>
    <s v="Food Security and Livlihoods"/>
    <n v="0.25"/>
    <n v="23826.868900000001"/>
    <n v="1.0876000000000001"/>
    <s v="Flagged"/>
    <s v=""/>
    <s v=""/>
    <n v="45734.618900000001"/>
    <m/>
    <m/>
    <n v="2"/>
    <s v="Flagged"/>
    <n v="45735"/>
    <m/>
    <x v="2"/>
    <x v="2"/>
    <n v="45735"/>
    <n v="0"/>
    <n v="0"/>
  </r>
  <r>
    <s v="Non-displaced PopulationSD09048"/>
    <x v="8"/>
    <x v="8"/>
    <x v="99"/>
    <x v="99"/>
    <m/>
    <m/>
    <x v="373"/>
    <x v="2"/>
    <n v="0"/>
    <n v="0"/>
    <n v="16353.9"/>
    <n v="7765"/>
    <n v="11413"/>
    <n v="5996.43"/>
    <n v="10903"/>
    <n v="47349.991799999996"/>
    <n v="5996"/>
    <n v="4314"/>
    <n v="0"/>
    <n v="5451"/>
    <n v="0"/>
    <n v="0"/>
    <n v="0.3"/>
    <n v="0.14244308697008054"/>
    <n v="0.20936290426136886"/>
    <n v="0.11"/>
    <n v="0.2000073376992644"/>
    <n v="0.86859999999999993"/>
    <n v="0.1"/>
    <n v="0.1"/>
    <n v="0"/>
    <n v="0.1"/>
    <n v="47349.991799999996"/>
    <s v="WASH"/>
    <n v="0.86859999999999993"/>
    <s v="Flagged"/>
    <s v=""/>
    <s v=""/>
    <n v="16353.9"/>
    <s v="Food Security and Livlihoods"/>
    <n v="0.3"/>
    <n v="30996.091799999995"/>
    <n v="1.8953333333333331"/>
    <s v="Flagged"/>
    <n v="11413"/>
    <s v="Nutrition"/>
    <n v="0.20936290426136886"/>
    <n v="35936.991799999996"/>
    <n v="3.148776991150442"/>
    <s v="Flagged"/>
    <s v=""/>
    <s v=""/>
    <n v="47349.991799999996"/>
    <m/>
    <m/>
    <n v="3"/>
    <s v="Flagged"/>
    <n v="47350"/>
    <m/>
    <x v="1"/>
    <x v="2"/>
    <n v="47350"/>
    <n v="0"/>
    <n v="0"/>
  </r>
  <r>
    <s v="Non-displaced PopulationSD09049"/>
    <x v="8"/>
    <x v="8"/>
    <x v="100"/>
    <x v="100"/>
    <m/>
    <m/>
    <x v="374"/>
    <x v="2"/>
    <n v="0"/>
    <n v="27848.878699999997"/>
    <n v="21549.3"/>
    <n v="13462"/>
    <n v="25960"/>
    <n v="7901.4100000000008"/>
    <n v="14366"/>
    <n v="66149.1679"/>
    <n v="7901"/>
    <n v="5686"/>
    <n v="0"/>
    <n v="7183"/>
    <n v="0"/>
    <n v="0.38769999999999999"/>
    <n v="0.3"/>
    <n v="0.18741212011527056"/>
    <n v="0.36140385070512732"/>
    <n v="0.11000000000000001"/>
    <n v="0.19999721568682044"/>
    <n v="0.92090000000000005"/>
    <n v="0.1"/>
    <n v="0.1"/>
    <n v="0"/>
    <n v="0.1"/>
    <n v="66149.1679"/>
    <s v="WASH"/>
    <n v="0.92090000000000005"/>
    <s v=""/>
    <s v="Flagged"/>
    <s v=""/>
    <n v="27848.878699999997"/>
    <s v="Education"/>
    <n v="0.38769999999999999"/>
    <n v="38300.289199999999"/>
    <n v="1.3752901728140317"/>
    <s v="Flagged"/>
    <n v="25960"/>
    <s v="Nutrition"/>
    <n v="0.36140385070512732"/>
    <n v="40189.1679"/>
    <n v="1.5481189483821263"/>
    <s v="Flagged"/>
    <s v=""/>
    <s v=""/>
    <n v="66149.1679"/>
    <m/>
    <m/>
    <n v="3"/>
    <s v="Flagged"/>
    <n v="66149"/>
    <m/>
    <x v="0"/>
    <x v="0"/>
    <n v="0"/>
    <n v="66149"/>
    <n v="0"/>
  </r>
  <r>
    <s v="Non-displaced PopulationSD09050"/>
    <x v="8"/>
    <x v="8"/>
    <x v="101"/>
    <x v="101"/>
    <m/>
    <m/>
    <x v="34"/>
    <x v="2"/>
    <n v="0"/>
    <n v="0"/>
    <n v="0"/>
    <n v="475"/>
    <n v="10295"/>
    <n v="0"/>
    <n v="0"/>
    <n v="0"/>
    <n v="0"/>
    <n v="0"/>
    <n v="0"/>
    <n v="0"/>
    <e v="#DIV/0!"/>
    <e v="#DIV/0!"/>
    <e v="#DIV/0!"/>
    <e v="#DIV/0!"/>
    <e v="#DIV/0!"/>
    <e v="#DIV/0!"/>
    <e v="#DIV/0!"/>
    <e v="#DIV/0!"/>
    <s v=""/>
    <s v=""/>
    <s v=""/>
    <s v=""/>
    <n v="10295"/>
    <s v="Nutrition"/>
    <e v="#DIV/0!"/>
    <s v="Flagged"/>
    <s v=""/>
    <s v="Flagged"/>
    <n v="475"/>
    <s v="Health "/>
    <s v=""/>
    <n v="9820"/>
    <n v="20.673684210526314"/>
    <s v="Flagged"/>
    <n v="0"/>
    <s v="Site Management _x000a_Education_x000a_Food Security and Livlihoods_x000a_Protection_x000a_Shelter NFI _x000a_WASH"/>
    <s v=""/>
    <n v="10295"/>
    <s v=""/>
    <s v=""/>
    <s v=""/>
    <s v=""/>
    <n v="10295"/>
    <m/>
    <m/>
    <n v="3"/>
    <s v="Flagged"/>
    <n v="0"/>
    <m/>
    <x v="0"/>
    <x v="2"/>
    <n v="0"/>
    <n v="0"/>
    <n v="0"/>
  </r>
  <r>
    <s v="Non-displaced PopulationSD09051"/>
    <x v="8"/>
    <x v="8"/>
    <x v="102"/>
    <x v="102"/>
    <m/>
    <m/>
    <x v="375"/>
    <x v="2"/>
    <n v="0"/>
    <n v="6948.3593999999994"/>
    <n v="4480.5"/>
    <n v="81075"/>
    <n v="24468"/>
    <n v="1971.42"/>
    <n v="3584"/>
    <n v="10977.224999999999"/>
    <n v="1971"/>
    <n v="1418"/>
    <n v="0"/>
    <n v="1792"/>
    <n v="0"/>
    <n v="0.38769999999999999"/>
    <n v="0.25"/>
    <n v="4.5237696685637765"/>
    <n v="1.3652494141278875"/>
    <n v="0.11"/>
    <n v="0.19997768106238142"/>
    <n v="0.61249999999999993"/>
    <n v="0.1"/>
    <n v="0.1"/>
    <n v="0"/>
    <n v="0.1"/>
    <n v="81075"/>
    <s v="Health "/>
    <n v="4.5237696685637765"/>
    <s v=""/>
    <s v="Flagged"/>
    <s v=""/>
    <n v="24468"/>
    <s v="Nutrition"/>
    <n v="1.3652494141278875"/>
    <n v="56607"/>
    <n v="2.3135115252574789"/>
    <s v="Flagged"/>
    <n v="10977.224999999999"/>
    <s v="WASH"/>
    <n v="0.61249999999999993"/>
    <n v="70097.774999999994"/>
    <n v="6.3857463976551454"/>
    <s v="Flagged"/>
    <s v=""/>
    <s v=""/>
    <n v="81075"/>
    <m/>
    <m/>
    <n v="3"/>
    <s v="Flagged"/>
    <n v="17922"/>
    <m/>
    <x v="2"/>
    <x v="0"/>
    <n v="0"/>
    <n v="17922"/>
    <n v="0"/>
  </r>
  <r>
    <s v="Non-displaced PopulationSD09052"/>
    <x v="8"/>
    <x v="8"/>
    <x v="103"/>
    <x v="103"/>
    <m/>
    <m/>
    <x v="34"/>
    <x v="2"/>
    <n v="0"/>
    <n v="0"/>
    <n v="0"/>
    <n v="16555"/>
    <n v="1645"/>
    <n v="0"/>
    <n v="0"/>
    <n v="0"/>
    <n v="0"/>
    <n v="0"/>
    <n v="0"/>
    <n v="0"/>
    <e v="#DIV/0!"/>
    <e v="#DIV/0!"/>
    <e v="#DIV/0!"/>
    <e v="#DIV/0!"/>
    <e v="#DIV/0!"/>
    <e v="#DIV/0!"/>
    <e v="#DIV/0!"/>
    <e v="#DIV/0!"/>
    <s v=""/>
    <s v=""/>
    <s v=""/>
    <s v=""/>
    <n v="16555"/>
    <s v="Health "/>
    <e v="#DIV/0!"/>
    <s v="Flagged"/>
    <s v=""/>
    <s v=""/>
    <n v="1645"/>
    <s v="Nutrition"/>
    <s v=""/>
    <n v="14910"/>
    <n v="9.0638297872340434"/>
    <s v="Flagged"/>
    <n v="0"/>
    <s v="Site Management _x000a_Education_x000a_Food Security and Livlihoods_x000a_Protection_x000a_Shelter NFI _x000a_WASH"/>
    <s v=""/>
    <n v="16555"/>
    <s v=""/>
    <s v=""/>
    <s v=""/>
    <s v=""/>
    <n v="16555"/>
    <m/>
    <m/>
    <n v="2"/>
    <s v="Flagged"/>
    <n v="0"/>
    <m/>
    <x v="2"/>
    <x v="2"/>
    <n v="0"/>
    <n v="0"/>
    <n v="0"/>
  </r>
  <r>
    <s v="Non-displaced PopulationSD10063"/>
    <x v="9"/>
    <x v="9"/>
    <x v="104"/>
    <x v="104"/>
    <m/>
    <m/>
    <x v="376"/>
    <x v="2"/>
    <n v="0"/>
    <n v="8958.9715999999989"/>
    <n v="8087.8"/>
    <n v="740"/>
    <n v="11455"/>
    <n v="2541.8800000000006"/>
    <n v="0"/>
    <n v="22567.272800000002"/>
    <n v="2542"/>
    <n v="0"/>
    <n v="0"/>
    <n v="2311"/>
    <n v="0"/>
    <n v="0.38769999999999993"/>
    <n v="0.35000000000000003"/>
    <n v="3.202354163060412E-2"/>
    <n v="0.49571576943050027"/>
    <n v="0.11000000000000003"/>
    <n v="0"/>
    <n v="0.97660000000000013"/>
    <n v="0.1"/>
    <n v="0"/>
    <n v="0"/>
    <n v="0.1"/>
    <n v="22567.272800000002"/>
    <s v="WASH"/>
    <n v="0.97660000000000013"/>
    <s v="Flagged"/>
    <s v="Flagged"/>
    <s v=""/>
    <n v="11455"/>
    <s v="Nutrition"/>
    <n v="0.49571576943050027"/>
    <n v="11112.272800000002"/>
    <n v="0.97008055870798804"/>
    <s v="Flagged"/>
    <n v="8958.9715999999989"/>
    <s v="Education"/>
    <n v="0.38769999999999993"/>
    <n v="13608.301200000004"/>
    <n v="1.5189579571833898"/>
    <s v="Flagged"/>
    <s v=""/>
    <s v=""/>
    <n v="22567.272800000002"/>
    <m/>
    <m/>
    <n v="4"/>
    <s v="Flagged"/>
    <n v="22567"/>
    <m/>
    <x v="2"/>
    <x v="2"/>
    <n v="22567"/>
    <n v="0"/>
    <n v="0"/>
  </r>
  <r>
    <s v="Non-displaced PopulationSD10064"/>
    <x v="9"/>
    <x v="9"/>
    <x v="105"/>
    <x v="105"/>
    <m/>
    <m/>
    <x v="34"/>
    <x v="2"/>
    <n v="0"/>
    <n v="0"/>
    <n v="0"/>
    <n v="0"/>
    <n v="8392"/>
    <n v="0"/>
    <n v="0"/>
    <n v="0"/>
    <n v="0"/>
    <n v="0"/>
    <n v="0"/>
    <n v="0"/>
    <e v="#DIV/0!"/>
    <e v="#DIV/0!"/>
    <e v="#DIV/0!"/>
    <e v="#DIV/0!"/>
    <e v="#DIV/0!"/>
    <e v="#DIV/0!"/>
    <e v="#DIV/0!"/>
    <e v="#DIV/0!"/>
    <s v=""/>
    <s v=""/>
    <s v=""/>
    <s v=""/>
    <n v="8392"/>
    <s v="Nutrition"/>
    <e v="#DIV/0!"/>
    <s v="Flagged"/>
    <s v=""/>
    <s v="Flagged"/>
    <n v="0"/>
    <s v="Site Management _x000a_Education_x000a_Food Security and Livlihoods_x000a_Health _x000a_Protection_x000a_Shelter NFI _x000a_WASH"/>
    <s v=""/>
    <n v="8392"/>
    <s v=""/>
    <s v=""/>
    <s v="NA"/>
    <s v=""/>
    <s v=""/>
    <s v=""/>
    <s v=""/>
    <s v=""/>
    <s v=""/>
    <s v=""/>
    <n v="8392"/>
    <m/>
    <m/>
    <n v="2"/>
    <s v="Flagged"/>
    <n v="0"/>
    <m/>
    <x v="2"/>
    <x v="2"/>
    <n v="0"/>
    <n v="0"/>
    <n v="0"/>
  </r>
  <r>
    <s v="Non-displaced PopulationSD10065"/>
    <x v="9"/>
    <x v="9"/>
    <x v="106"/>
    <x v="106"/>
    <m/>
    <m/>
    <x v="377"/>
    <x v="2"/>
    <n v="0"/>
    <n v="0"/>
    <n v="22141.7"/>
    <n v="43875"/>
    <n v="35257"/>
    <n v="6958.8200000000015"/>
    <n v="0"/>
    <n v="60004.006999999998"/>
    <n v="6959"/>
    <n v="0"/>
    <n v="0"/>
    <n v="6326"/>
    <n v="0"/>
    <n v="0"/>
    <n v="0.35000000000000003"/>
    <n v="0.69354430779931076"/>
    <n v="0.55731718883373904"/>
    <n v="0.11000000000000003"/>
    <n v="0"/>
    <n v="0.94850000000000001"/>
    <n v="0.1"/>
    <n v="0"/>
    <n v="0"/>
    <n v="0.1"/>
    <n v="60004.006999999998"/>
    <s v="WASH"/>
    <n v="0.94850000000000001"/>
    <s v="Flagged"/>
    <s v="Flagged"/>
    <s v=""/>
    <n v="43875"/>
    <s v="Health "/>
    <n v="0.69354430779931076"/>
    <n v="16129.006999999998"/>
    <n v="0.36761269515669509"/>
    <s v="Flagged"/>
    <n v="35257"/>
    <s v="Nutrition"/>
    <n v="0.55731718883373904"/>
    <n v="24747.006999999998"/>
    <n v="0.70190336670732045"/>
    <s v="Flagged"/>
    <s v=""/>
    <s v=""/>
    <n v="60004.006999999998"/>
    <m/>
    <m/>
    <n v="4"/>
    <s v="Flagged"/>
    <n v="60004"/>
    <m/>
    <x v="2"/>
    <x v="2"/>
    <n v="60004"/>
    <n v="0"/>
    <n v="0"/>
  </r>
  <r>
    <s v="Non-displaced PopulationSD10066"/>
    <x v="9"/>
    <x v="9"/>
    <x v="107"/>
    <x v="107"/>
    <m/>
    <m/>
    <x v="378"/>
    <x v="2"/>
    <n v="0"/>
    <n v="0"/>
    <n v="8825.2999999999993"/>
    <n v="0"/>
    <n v="4368"/>
    <n v="1765.0600000000004"/>
    <n v="3209"/>
    <n v="16045.999999999998"/>
    <n v="1765"/>
    <n v="0"/>
    <n v="0"/>
    <n v="0"/>
    <n v="0"/>
    <n v="0"/>
    <n v="0.54999999999999993"/>
    <n v="0"/>
    <n v="0.2722173750467406"/>
    <n v="0.11000000000000003"/>
    <n v="0.19998753583447587"/>
    <n v="0.99999999999999989"/>
    <n v="0.1"/>
    <n v="0"/>
    <n v="0"/>
    <n v="0"/>
    <n v="16045.999999999998"/>
    <s v="WASH"/>
    <n v="0.99999999999999989"/>
    <s v="Flagged"/>
    <s v="Flagged"/>
    <s v=""/>
    <n v="8825.2999999999993"/>
    <s v="Food Security and Livlihoods"/>
    <n v="0.54999999999999993"/>
    <n v="7220.6999999999989"/>
    <n v="0.81818181818181812"/>
    <s v="Flagged"/>
    <n v="4368"/>
    <s v="Nutrition"/>
    <n v="0.2722173750467406"/>
    <n v="11677.999999999998"/>
    <n v="2.6735347985347979"/>
    <s v="Flagged"/>
    <s v=""/>
    <s v=""/>
    <n v="16045.999999999998"/>
    <m/>
    <m/>
    <n v="4"/>
    <s v="Flagged"/>
    <n v="16046"/>
    <m/>
    <x v="2"/>
    <x v="2"/>
    <n v="16046"/>
    <n v="0"/>
    <n v="0"/>
  </r>
  <r>
    <s v="Non-displaced PopulationSD10067"/>
    <x v="9"/>
    <x v="9"/>
    <x v="108"/>
    <x v="108"/>
    <m/>
    <m/>
    <x v="379"/>
    <x v="2"/>
    <n v="0"/>
    <n v="0"/>
    <n v="13822.9"/>
    <n v="290"/>
    <n v="18098"/>
    <n v="4344.34"/>
    <n v="0"/>
    <n v="33092.022599999997"/>
    <n v="4344"/>
    <n v="0"/>
    <n v="0"/>
    <n v="3949"/>
    <n v="0"/>
    <n v="0"/>
    <n v="0.35"/>
    <n v="7.3428875272193248E-3"/>
    <n v="0.45824682230212183"/>
    <n v="0.11"/>
    <n v="0"/>
    <n v="0.83789999999999987"/>
    <n v="0.1"/>
    <n v="0"/>
    <n v="0"/>
    <n v="0.1"/>
    <n v="33092.022599999997"/>
    <s v="WASH"/>
    <n v="0.83789999999999987"/>
    <s v="Flagged"/>
    <s v=""/>
    <s v=""/>
    <n v="18098"/>
    <s v="Nutrition"/>
    <n v="0.45824682230212183"/>
    <n v="14994.022599999997"/>
    <n v="0.8284905845949827"/>
    <s v="Flagged"/>
    <n v="13822.9"/>
    <s v="Food Security and Livlihoods"/>
    <n v="0.35"/>
    <n v="19269.122599999995"/>
    <n v="1.3939999999999997"/>
    <s v="Flagged"/>
    <s v=""/>
    <s v=""/>
    <n v="33092.022599999997"/>
    <m/>
    <m/>
    <n v="3"/>
    <s v="Flagged"/>
    <n v="33092"/>
    <m/>
    <x v="2"/>
    <x v="2"/>
    <n v="33092"/>
    <n v="0"/>
    <n v="0"/>
  </r>
  <r>
    <s v="Non-displaced PopulationSD10068"/>
    <x v="9"/>
    <x v="9"/>
    <x v="109"/>
    <x v="109"/>
    <m/>
    <m/>
    <x v="380"/>
    <x v="2"/>
    <n v="0"/>
    <n v="0"/>
    <n v="1705.2"/>
    <n v="0"/>
    <n v="11368"/>
    <n v="1250.4800000000002"/>
    <n v="0"/>
    <n v="10191.412"/>
    <n v="1250"/>
    <n v="0"/>
    <n v="0"/>
    <n v="1137"/>
    <n v="0"/>
    <n v="0"/>
    <n v="0.15"/>
    <n v="0"/>
    <n v="1"/>
    <n v="0.11000000000000003"/>
    <n v="0"/>
    <n v="0.89650000000000007"/>
    <n v="0.1"/>
    <n v="0"/>
    <n v="0"/>
    <n v="0.1"/>
    <n v="11368"/>
    <s v="Nutrition"/>
    <n v="1"/>
    <s v="Flagged"/>
    <s v="Flagged"/>
    <s v="Flagged"/>
    <n v="10191.412"/>
    <s v="WASH"/>
    <n v="0.89650000000000007"/>
    <n v="1176.5879999999997"/>
    <n v="0.11544896820970438"/>
    <s v=""/>
    <n v="1705.2"/>
    <s v="Food Security and Livlihoods"/>
    <n v="0.15"/>
    <n v="9662.7999999999993"/>
    <n v="5.6666666666666661"/>
    <s v="Flagged"/>
    <s v=""/>
    <s v=""/>
    <n v="11368"/>
    <m/>
    <m/>
    <n v="4"/>
    <s v="Flagged"/>
    <n v="11368"/>
    <m/>
    <x v="2"/>
    <x v="2"/>
    <n v="11368"/>
    <n v="0"/>
    <n v="0"/>
  </r>
  <r>
    <s v="Non-displaced PopulationSD10069"/>
    <x v="9"/>
    <x v="9"/>
    <x v="110"/>
    <x v="110"/>
    <m/>
    <m/>
    <x v="381"/>
    <x v="2"/>
    <n v="0"/>
    <n v="0"/>
    <n v="21094.799999999999"/>
    <n v="0"/>
    <n v="20952"/>
    <n v="5801.0700000000006"/>
    <n v="10547"/>
    <n v="48201.618000000002"/>
    <n v="5801"/>
    <n v="0"/>
    <n v="0"/>
    <n v="0"/>
    <n v="0"/>
    <n v="0"/>
    <n v="0.39999999999999997"/>
    <n v="0"/>
    <n v="0.397292223675977"/>
    <n v="0.11000000000000001"/>
    <n v="0.19999241519236968"/>
    <n v="0.91400000000000003"/>
    <n v="0.1"/>
    <n v="0"/>
    <n v="0"/>
    <n v="0"/>
    <n v="48201.618000000002"/>
    <s v="WASH"/>
    <n v="0.91400000000000003"/>
    <s v="Flagged"/>
    <s v="Flagged"/>
    <s v=""/>
    <n v="21094.799999999999"/>
    <s v="Food Security and Livlihoods"/>
    <n v="0.39999999999999997"/>
    <n v="27106.818000000003"/>
    <n v="1.2850000000000001"/>
    <s v="Flagged"/>
    <n v="20952"/>
    <s v="Nutrition"/>
    <n v="0.397292223675977"/>
    <n v="27249.618000000002"/>
    <n v="1.300573596792669"/>
    <s v="Flagged"/>
    <s v=""/>
    <s v=""/>
    <n v="48201.618000000002"/>
    <m/>
    <m/>
    <n v="4"/>
    <s v="Flagged"/>
    <n v="48202"/>
    <m/>
    <x v="2"/>
    <x v="2"/>
    <n v="48202"/>
    <n v="0"/>
    <n v="0"/>
  </r>
  <r>
    <s v="Non-displaced PopulationSD10070"/>
    <x v="9"/>
    <x v="9"/>
    <x v="111"/>
    <x v="111"/>
    <m/>
    <m/>
    <x v="382"/>
    <x v="2"/>
    <n v="0"/>
    <n v="0"/>
    <n v="65522.7"/>
    <n v="4440"/>
    <n v="72990"/>
    <n v="16016.660000000002"/>
    <n v="29121"/>
    <n v="143305.4252"/>
    <n v="16017"/>
    <n v="7684"/>
    <n v="0"/>
    <n v="14561"/>
    <n v="0"/>
    <n v="0"/>
    <n v="0.44999999999999996"/>
    <n v="3.0493248904578107E-2"/>
    <n v="0.50128428773539557"/>
    <n v="0.11000000000000001"/>
    <n v="0.19999862643022953"/>
    <n v="0.98419999999999996"/>
    <n v="0.1"/>
    <n v="0.05"/>
    <n v="0"/>
    <n v="0.1"/>
    <n v="143305.4252"/>
    <s v="WASH"/>
    <n v="0.98419999999999996"/>
    <s v="Flagged"/>
    <s v="Flagged"/>
    <s v=""/>
    <n v="72990"/>
    <s v="Nutrition"/>
    <n v="0.50128428773539557"/>
    <n v="70315.425199999998"/>
    <n v="0.96335696944786953"/>
    <s v="Flagged"/>
    <n v="65522.7"/>
    <s v="Food Security and Livlihoods"/>
    <n v="0.44999999999999996"/>
    <n v="77782.725200000001"/>
    <n v="1.1871111111111112"/>
    <s v="Flagged"/>
    <s v=""/>
    <s v=""/>
    <n v="143305.4252"/>
    <m/>
    <m/>
    <n v="4"/>
    <s v="Flagged"/>
    <n v="143305"/>
    <m/>
    <x v="2"/>
    <x v="2"/>
    <n v="143305"/>
    <n v="0"/>
    <n v="0"/>
  </r>
  <r>
    <s v="Non-displaced PopulationSD10071"/>
    <x v="9"/>
    <x v="9"/>
    <x v="112"/>
    <x v="112"/>
    <m/>
    <m/>
    <x v="383"/>
    <x v="2"/>
    <n v="0"/>
    <n v="0"/>
    <n v="11720"/>
    <n v="0"/>
    <n v="19950"/>
    <n v="5156.8000000000011"/>
    <n v="0"/>
    <n v="43832.800000000003"/>
    <n v="5157"/>
    <n v="2475"/>
    <n v="0"/>
    <n v="4688"/>
    <n v="0"/>
    <n v="0"/>
    <n v="0.25"/>
    <n v="0"/>
    <n v="0.42555460750853241"/>
    <n v="0.11000000000000003"/>
    <n v="0"/>
    <n v="0.93500000000000005"/>
    <n v="0.1"/>
    <n v="0.05"/>
    <n v="0"/>
    <n v="0.1"/>
    <n v="43832.800000000003"/>
    <s v="WASH"/>
    <n v="0.93500000000000005"/>
    <s v="Flagged"/>
    <s v="Flagged"/>
    <s v=""/>
    <n v="19950"/>
    <s v="Nutrition"/>
    <n v="0.42555460750853241"/>
    <n v="23882.800000000003"/>
    <n v="1.1971328320802006"/>
    <s v="Flagged"/>
    <n v="11720"/>
    <s v="Food Security and Livlihoods"/>
    <n v="0.25"/>
    <n v="32112.800000000003"/>
    <n v="2.74"/>
    <s v="Flagged"/>
    <s v=""/>
    <s v=""/>
    <n v="43832.800000000003"/>
    <m/>
    <m/>
    <n v="4"/>
    <s v="Flagged"/>
    <n v="43833"/>
    <m/>
    <x v="2"/>
    <x v="2"/>
    <n v="43833"/>
    <n v="0"/>
    <n v="0"/>
  </r>
  <r>
    <s v="Non-displaced PopulationSD10072"/>
    <x v="9"/>
    <x v="9"/>
    <x v="113"/>
    <x v="113"/>
    <m/>
    <m/>
    <x v="384"/>
    <x v="2"/>
    <n v="0"/>
    <n v="0"/>
    <n v="17864.099999999999"/>
    <n v="1355"/>
    <n v="13766"/>
    <n v="4366.7800000000007"/>
    <n v="7940"/>
    <n v="39523.328800000003"/>
    <n v="4367"/>
    <n v="0"/>
    <n v="0"/>
    <n v="0"/>
    <n v="0"/>
    <n v="0"/>
    <n v="0.44999999999999996"/>
    <n v="3.4132701899340021E-2"/>
    <n v="0.34676809914857171"/>
    <n v="0.11000000000000001"/>
    <n v="0.20001007607436144"/>
    <n v="0.99560000000000004"/>
    <n v="0.1"/>
    <n v="0"/>
    <n v="0"/>
    <n v="0"/>
    <n v="39523.328800000003"/>
    <s v="WASH"/>
    <n v="0.99560000000000004"/>
    <s v="Flagged"/>
    <s v="Flagged"/>
    <s v=""/>
    <n v="17864.099999999999"/>
    <s v="Food Security and Livlihoods"/>
    <n v="0.44999999999999996"/>
    <n v="21659.228800000004"/>
    <n v="1.2124444444444449"/>
    <s v="Flagged"/>
    <n v="13766"/>
    <s v="Nutrition"/>
    <n v="0.34676809914857171"/>
    <n v="25757.328800000003"/>
    <n v="1.8710830161266891"/>
    <s v="Flagged"/>
    <s v=""/>
    <s v=""/>
    <n v="39523.328800000003"/>
    <m/>
    <m/>
    <n v="4"/>
    <s v="Flagged"/>
    <n v="39523"/>
    <m/>
    <x v="2"/>
    <x v="2"/>
    <n v="39523"/>
    <n v="0"/>
    <n v="0"/>
  </r>
  <r>
    <s v="Non-displaced PopulationSD11052"/>
    <x v="10"/>
    <x v="10"/>
    <x v="114"/>
    <x v="114"/>
    <m/>
    <m/>
    <x v="385"/>
    <x v="2"/>
    <n v="0"/>
    <n v="48244.6126"/>
    <n v="55997.1"/>
    <n v="0"/>
    <n v="16456"/>
    <n v="13688.180000000002"/>
    <n v="24888"/>
    <n v="74538.361999999994"/>
    <n v="13688"/>
    <n v="9851"/>
    <n v="0"/>
    <n v="0"/>
    <n v="0"/>
    <n v="0.38769999999999999"/>
    <n v="0.45"/>
    <n v="0"/>
    <n v="0.13224256256127551"/>
    <n v="0.11000000000000001"/>
    <n v="0.20000321445217698"/>
    <n v="0.59899999999999998"/>
    <n v="0.1"/>
    <n v="0.1"/>
    <n v="0"/>
    <n v="0"/>
    <n v="74538.361999999994"/>
    <s v="WASH"/>
    <n v="0.59899999999999998"/>
    <s v="Flagged"/>
    <s v=""/>
    <s v=""/>
    <n v="55997.1"/>
    <s v="Food Security and Livlihoods"/>
    <n v="0.45"/>
    <n v="18541.261999999995"/>
    <n v="0.33111111111111102"/>
    <s v="Flagged"/>
    <n v="48244.6126"/>
    <s v="Education"/>
    <n v="0.38769999999999999"/>
    <n v="26293.749399999993"/>
    <n v="0.54500902759865866"/>
    <s v="Flagged"/>
    <s v=""/>
    <s v=""/>
    <n v="74538.361999999994"/>
    <m/>
    <m/>
    <n v="3"/>
    <s v="Flagged"/>
    <n v="74538"/>
    <m/>
    <x v="2"/>
    <x v="2"/>
    <n v="74538"/>
    <n v="0"/>
    <n v="0"/>
  </r>
  <r>
    <s v="Non-displaced PopulationSD11053"/>
    <x v="10"/>
    <x v="10"/>
    <x v="115"/>
    <x v="115"/>
    <m/>
    <m/>
    <x v="386"/>
    <x v="2"/>
    <n v="0"/>
    <n v="69974.034499999994"/>
    <n v="81218.25"/>
    <n v="0"/>
    <n v="47449"/>
    <n v="19853.350000000006"/>
    <n v="36097"/>
    <n v="0"/>
    <n v="19853"/>
    <n v="14288"/>
    <n v="0"/>
    <n v="0"/>
    <n v="0"/>
    <n v="0.38769999999999999"/>
    <n v="0.45"/>
    <n v="0"/>
    <n v="0.26289719367260439"/>
    <n v="0.11000000000000003"/>
    <n v="0.2"/>
    <n v="0"/>
    <n v="0.1"/>
    <n v="0.1"/>
    <n v="0"/>
    <n v="0"/>
    <n v="81218.25"/>
    <s v="Food Security and Livlihoods"/>
    <n v="0.45"/>
    <s v="Flagged"/>
    <s v=""/>
    <s v=""/>
    <n v="69974.034499999994"/>
    <s v="Education"/>
    <n v="0.38769999999999999"/>
    <n v="11244.215500000006"/>
    <n v="0.16069125612587062"/>
    <s v=""/>
    <n v="47449"/>
    <s v="Nutrition"/>
    <n v="0.26289719367260439"/>
    <n v="33769.25"/>
    <n v="0.71169571539969234"/>
    <s v="Flagged"/>
    <s v=""/>
    <s v=""/>
    <n v="81218.25"/>
    <m/>
    <m/>
    <n v="2"/>
    <s v="Flagged"/>
    <n v="81218"/>
    <m/>
    <x v="2"/>
    <x v="2"/>
    <n v="81218"/>
    <n v="0"/>
    <n v="0"/>
  </r>
  <r>
    <s v="Non-displaced PopulationSD11054"/>
    <x v="10"/>
    <x v="10"/>
    <x v="116"/>
    <x v="116"/>
    <m/>
    <m/>
    <x v="387"/>
    <x v="2"/>
    <n v="0"/>
    <n v="43032.373800000001"/>
    <n v="49947.3"/>
    <n v="6285"/>
    <n v="19625"/>
    <n v="12209.340000000002"/>
    <n v="22199"/>
    <n v="106798.4268"/>
    <n v="12209"/>
    <n v="0"/>
    <n v="0"/>
    <n v="0"/>
    <n v="0"/>
    <n v="0.38769999999999999"/>
    <n v="0.45"/>
    <n v="5.6624682415265692E-2"/>
    <n v="0.17681135917256788"/>
    <n v="0.11000000000000001"/>
    <n v="0.20000180189920175"/>
    <n v="0.96220000000000006"/>
    <n v="0.1"/>
    <n v="0"/>
    <n v="0"/>
    <n v="0"/>
    <n v="106798.4268"/>
    <s v="WASH"/>
    <n v="0.96220000000000006"/>
    <s v=""/>
    <s v="Flagged"/>
    <s v=""/>
    <n v="49947.3"/>
    <s v="Food Security and Livlihoods"/>
    <n v="0.45"/>
    <n v="56851.126799999998"/>
    <n v="1.138222222222222"/>
    <s v="Flagged"/>
    <n v="43032.373800000001"/>
    <s v="Education"/>
    <n v="0.38769999999999999"/>
    <n v="63766.053"/>
    <n v="1.4818158369873613"/>
    <s v="Flagged"/>
    <s v=""/>
    <s v=""/>
    <n v="106798.4268"/>
    <m/>
    <m/>
    <n v="3"/>
    <s v="Flagged"/>
    <n v="106798"/>
    <m/>
    <x v="2"/>
    <x v="2"/>
    <n v="106798"/>
    <n v="0"/>
    <n v="0"/>
  </r>
  <r>
    <s v="Non-displaced PopulationSD11055"/>
    <x v="10"/>
    <x v="10"/>
    <x v="117"/>
    <x v="117"/>
    <m/>
    <m/>
    <x v="388"/>
    <x v="2"/>
    <n v="0"/>
    <n v="31219.930199999999"/>
    <n v="40263"/>
    <n v="18805"/>
    <n v="26317"/>
    <n v="8857.86"/>
    <n v="0"/>
    <n v="80526"/>
    <n v="8858"/>
    <n v="0"/>
    <n v="0"/>
    <n v="0"/>
    <n v="0"/>
    <n v="0.38769999999999999"/>
    <n v="0.5"/>
    <n v="0.23352705958324019"/>
    <n v="0.32681369992300624"/>
    <n v="0.11"/>
    <n v="0"/>
    <n v="1"/>
    <n v="0.1"/>
    <n v="0"/>
    <n v="0"/>
    <n v="0"/>
    <n v="80526"/>
    <s v="WASH"/>
    <n v="1"/>
    <s v="Flagged"/>
    <s v="Flagged"/>
    <s v=""/>
    <n v="40263"/>
    <s v="Food Security and Livlihoods"/>
    <n v="0.5"/>
    <n v="40263"/>
    <n v="1"/>
    <s v="Flagged"/>
    <n v="31219.930199999999"/>
    <s v="Education"/>
    <n v="0.38769999999999999"/>
    <n v="49306.069799999997"/>
    <n v="1.5793139025019345"/>
    <s v="Flagged"/>
    <s v=""/>
    <s v=""/>
    <n v="80526"/>
    <m/>
    <m/>
    <n v="4"/>
    <s v="Flagged"/>
    <n v="80526"/>
    <m/>
    <x v="2"/>
    <x v="2"/>
    <n v="80526"/>
    <n v="0"/>
    <n v="0"/>
  </r>
  <r>
    <s v="Non-displaced PopulationSD11056"/>
    <x v="10"/>
    <x v="10"/>
    <x v="118"/>
    <x v="118"/>
    <m/>
    <m/>
    <x v="389"/>
    <x v="2"/>
    <n v="0"/>
    <n v="0"/>
    <n v="22166.65"/>
    <n v="0"/>
    <n v="8418"/>
    <n v="4433.3300000000008"/>
    <n v="0"/>
    <n v="34721.034500000002"/>
    <n v="4433"/>
    <n v="2126"/>
    <n v="0"/>
    <n v="0"/>
    <n v="0"/>
    <n v="0"/>
    <n v="0.55000000000000004"/>
    <n v="0"/>
    <n v="0.2088678262164107"/>
    <n v="0.11000000000000001"/>
    <n v="0"/>
    <n v="0.86150000000000004"/>
    <n v="0.1"/>
    <n v="0.05"/>
    <n v="0"/>
    <n v="0"/>
    <n v="34721.034500000002"/>
    <s v="WASH"/>
    <n v="0.86150000000000004"/>
    <s v="Flagged"/>
    <s v=""/>
    <s v=""/>
    <n v="22166.65"/>
    <s v="Food Security and Livlihoods"/>
    <n v="0.55000000000000004"/>
    <n v="12554.3845"/>
    <n v="0.56636363636363629"/>
    <s v="Flagged"/>
    <n v="8418"/>
    <s v="Nutrition"/>
    <n v="0.2088678262164107"/>
    <n v="26303.034500000002"/>
    <n v="3.1246180209075791"/>
    <s v="Flagged"/>
    <s v=""/>
    <s v=""/>
    <n v="34721.034500000002"/>
    <m/>
    <m/>
    <n v="3"/>
    <s v="Flagged"/>
    <n v="34721"/>
    <m/>
    <x v="2"/>
    <x v="2"/>
    <n v="34721"/>
    <n v="0"/>
    <n v="0"/>
  </r>
  <r>
    <s v="Non-displaced PopulationSD11057"/>
    <x v="10"/>
    <x v="10"/>
    <x v="119"/>
    <x v="119"/>
    <m/>
    <m/>
    <x v="390"/>
    <x v="2"/>
    <n v="0"/>
    <n v="29998.287499999999"/>
    <n v="42556.25"/>
    <n v="6700"/>
    <n v="9949"/>
    <n v="8511.25"/>
    <n v="15475"/>
    <n v="73312.8125"/>
    <n v="8511"/>
    <n v="4084"/>
    <n v="0"/>
    <n v="0"/>
    <n v="0"/>
    <n v="0.38769999999999999"/>
    <n v="0.55000000000000004"/>
    <n v="8.6591276252019386E-2"/>
    <n v="0.12858158319870761"/>
    <n v="0.11"/>
    <n v="0.2"/>
    <n v="0.94750000000000001"/>
    <n v="0.1"/>
    <n v="0.05"/>
    <n v="0"/>
    <n v="0"/>
    <n v="73312.8125"/>
    <s v="WASH"/>
    <n v="0.94750000000000001"/>
    <s v=""/>
    <s v="Flagged"/>
    <s v=""/>
    <n v="42556.25"/>
    <s v="Food Security and Livlihoods"/>
    <n v="0.55000000000000004"/>
    <n v="30756.5625"/>
    <n v="0.72272727272727277"/>
    <s v="Flagged"/>
    <n v="29998.287499999999"/>
    <s v="Education"/>
    <n v="0.38769999999999999"/>
    <n v="43314.525000000001"/>
    <n v="1.4438999226205831"/>
    <s v="Flagged"/>
    <s v=""/>
    <s v=""/>
    <n v="73312.8125"/>
    <m/>
    <m/>
    <n v="3"/>
    <s v="Flagged"/>
    <n v="73313"/>
    <m/>
    <x v="2"/>
    <x v="0"/>
    <n v="0"/>
    <n v="73313"/>
    <n v="0"/>
  </r>
  <r>
    <s v="Non-displaced PopulationSD11058"/>
    <x v="10"/>
    <x v="10"/>
    <x v="120"/>
    <x v="120"/>
    <m/>
    <m/>
    <x v="391"/>
    <x v="2"/>
    <n v="0"/>
    <n v="85936.806599999996"/>
    <n v="121911.9"/>
    <n v="4045"/>
    <n v="59032"/>
    <n v="24382.380000000005"/>
    <n v="66497"/>
    <n v="217712.48759999999"/>
    <n v="24382"/>
    <n v="0"/>
    <n v="0"/>
    <n v="0"/>
    <n v="0"/>
    <n v="0.38769999999999999"/>
    <n v="0.54999999999999993"/>
    <n v="1.8248833788990247E-2"/>
    <n v="0.26632018695467791"/>
    <n v="0.11000000000000001"/>
    <n v="0.29999819541816675"/>
    <n v="0.98219999999999996"/>
    <n v="0.1"/>
    <n v="0"/>
    <n v="0"/>
    <n v="0"/>
    <n v="217712.48759999999"/>
    <s v="WASH"/>
    <n v="0.98219999999999996"/>
    <s v=""/>
    <s v="Flagged"/>
    <s v=""/>
    <n v="121911.9"/>
    <s v="Food Security and Livlihoods"/>
    <n v="0.54999999999999993"/>
    <n v="95800.587599999999"/>
    <n v="0.78581818181818186"/>
    <s v="Flagged"/>
    <n v="85936.806599999996"/>
    <s v="Education"/>
    <n v="0.38769999999999999"/>
    <n v="131775.68099999998"/>
    <n v="1.5334021150374"/>
    <s v="Flagged"/>
    <s v=""/>
    <s v=""/>
    <n v="217712.48759999999"/>
    <m/>
    <m/>
    <n v="3"/>
    <s v="Flagged"/>
    <n v="217712"/>
    <m/>
    <x v="2"/>
    <x v="0"/>
    <n v="0"/>
    <n v="217712"/>
    <n v="0"/>
  </r>
  <r>
    <s v="Non-displaced PopulationSD11059"/>
    <x v="10"/>
    <x v="10"/>
    <x v="121"/>
    <x v="121"/>
    <m/>
    <m/>
    <x v="392"/>
    <x v="2"/>
    <n v="0"/>
    <n v="83430.713799999998"/>
    <n v="107597"/>
    <n v="9375"/>
    <n v="53601"/>
    <n v="23671.340000000004"/>
    <n v="43039"/>
    <n v="181666.77480000001"/>
    <n v="23671"/>
    <n v="0"/>
    <n v="0"/>
    <n v="0"/>
    <n v="0"/>
    <n v="0.38769999999999999"/>
    <n v="0.5"/>
    <n v="4.3565341041107097E-2"/>
    <n v="0.24908222348206735"/>
    <n v="0.11000000000000001"/>
    <n v="0.20000092939394221"/>
    <n v="0.84420000000000006"/>
    <n v="0.1"/>
    <n v="0"/>
    <n v="0"/>
    <n v="0"/>
    <n v="181666.77480000001"/>
    <s v="WASH"/>
    <n v="0.84420000000000006"/>
    <s v=""/>
    <s v=""/>
    <s v=""/>
    <n v="107597"/>
    <s v="Food Security and Livlihoods"/>
    <n v="0.5"/>
    <n v="74069.774800000014"/>
    <n v="0.68840000000000012"/>
    <s v="Flagged"/>
    <n v="83430.713799999998"/>
    <s v="Education"/>
    <n v="0.38769999999999999"/>
    <n v="98236.061000000016"/>
    <n v="1.1774567964921334"/>
    <s v="Flagged"/>
    <s v=""/>
    <s v=""/>
    <n v="181666.77480000001"/>
    <m/>
    <m/>
    <n v="2"/>
    <s v="Flagged"/>
    <n v="181667"/>
    <m/>
    <x v="2"/>
    <x v="2"/>
    <n v="181667"/>
    <n v="0"/>
    <n v="0"/>
  </r>
  <r>
    <s v="Non-displaced PopulationSD11060"/>
    <x v="10"/>
    <x v="10"/>
    <x v="122"/>
    <x v="122"/>
    <m/>
    <m/>
    <x v="393"/>
    <x v="2"/>
    <n v="0"/>
    <n v="0"/>
    <n v="24815.7"/>
    <n v="0"/>
    <n v="5269"/>
    <n v="6066.0600000000013"/>
    <n v="0"/>
    <n v="42462.42"/>
    <n v="6066"/>
    <n v="2910"/>
    <n v="0"/>
    <n v="0"/>
    <n v="0"/>
    <n v="0"/>
    <n v="0.45"/>
    <n v="0"/>
    <n v="9.5546367823595546E-2"/>
    <n v="0.11000000000000003"/>
    <n v="0"/>
    <n v="0.77"/>
    <n v="0.1"/>
    <n v="0.05"/>
    <n v="0"/>
    <n v="0"/>
    <n v="42462.42"/>
    <s v="WASH"/>
    <n v="0.77"/>
    <s v="Flagged"/>
    <s v=""/>
    <s v=""/>
    <n v="24815.7"/>
    <s v="Food Security and Livlihoods"/>
    <n v="0.45"/>
    <n v="17646.719999999998"/>
    <n v="0.71111111111111103"/>
    <s v="Flagged"/>
    <n v="6066.0600000000013"/>
    <s v="Protection"/>
    <n v="0.11000000000000003"/>
    <n v="36396.36"/>
    <n v="5.9999999999999991"/>
    <s v="Flagged"/>
    <s v=""/>
    <s v=""/>
    <n v="42462.42"/>
    <m/>
    <m/>
    <n v="3"/>
    <s v="Flagged"/>
    <n v="42462"/>
    <m/>
    <x v="2"/>
    <x v="2"/>
    <n v="42462"/>
    <n v="0"/>
    <n v="0"/>
  </r>
  <r>
    <s v="Non-displaced PopulationSD11061"/>
    <x v="10"/>
    <x v="10"/>
    <x v="123"/>
    <x v="123"/>
    <m/>
    <m/>
    <x v="34"/>
    <x v="2"/>
    <n v="0"/>
    <n v="0"/>
    <n v="0"/>
    <n v="2690"/>
    <n v="5170"/>
    <n v="0"/>
    <n v="0"/>
    <n v="0"/>
    <n v="0"/>
    <n v="0"/>
    <n v="0"/>
    <n v="0"/>
    <e v="#DIV/0!"/>
    <e v="#DIV/0!"/>
    <e v="#DIV/0!"/>
    <e v="#DIV/0!"/>
    <e v="#DIV/0!"/>
    <e v="#DIV/0!"/>
    <e v="#DIV/0!"/>
    <e v="#DIV/0!"/>
    <s v=""/>
    <s v=""/>
    <s v=""/>
    <s v=""/>
    <n v="5170"/>
    <s v="Nutrition"/>
    <e v="#DIV/0!"/>
    <s v="Flagged"/>
    <s v=""/>
    <s v="Flagged"/>
    <n v="2690"/>
    <s v="Health "/>
    <s v=""/>
    <n v="2480"/>
    <n v="0.92193308550185871"/>
    <s v="Flagged"/>
    <n v="0"/>
    <s v="Site Management _x000a_Education_x000a_Food Security and Livlihoods_x000a_Protection_x000a_Shelter NFI _x000a_WASH"/>
    <s v=""/>
    <n v="5170"/>
    <s v=""/>
    <s v=""/>
    <s v=""/>
    <s v=""/>
    <n v="5170"/>
    <m/>
    <m/>
    <n v="3"/>
    <s v="Flagged"/>
    <n v="0"/>
    <m/>
    <x v="2"/>
    <x v="2"/>
    <n v="0"/>
    <n v="0"/>
    <n v="0"/>
  </r>
  <r>
    <s v="Non-displaced PopulationSD11062"/>
    <x v="10"/>
    <x v="10"/>
    <x v="124"/>
    <x v="124"/>
    <m/>
    <m/>
    <x v="394"/>
    <x v="2"/>
    <n v="0"/>
    <n v="45370.2048"/>
    <n v="64363.199999999997"/>
    <n v="0"/>
    <n v="21408"/>
    <n v="12872.640000000001"/>
    <n v="23405"/>
    <n v="116040.9984"/>
    <n v="12873"/>
    <n v="6175"/>
    <n v="0"/>
    <n v="0"/>
    <n v="0"/>
    <n v="0.38769999999999999"/>
    <n v="0.54999999999999993"/>
    <n v="0"/>
    <n v="0.18293683347005743"/>
    <n v="0.11000000000000001"/>
    <n v="0.20000170905113482"/>
    <n v="0.99159999999999993"/>
    <n v="0.1"/>
    <n v="0.05"/>
    <n v="0"/>
    <n v="0"/>
    <n v="116040.9984"/>
    <s v="WASH"/>
    <n v="0.99159999999999993"/>
    <s v="Flagged"/>
    <s v="Flagged"/>
    <s v=""/>
    <n v="64363.199999999997"/>
    <s v="Food Security and Livlihoods"/>
    <n v="0.54999999999999993"/>
    <n v="51677.7984"/>
    <n v="0.80290909090909091"/>
    <s v="Flagged"/>
    <n v="45370.2048"/>
    <s v="Education"/>
    <n v="0.38769999999999999"/>
    <n v="70670.793600000005"/>
    <n v="1.5576476657209184"/>
    <s v="Flagged"/>
    <s v=""/>
    <s v=""/>
    <n v="116040.9984"/>
    <m/>
    <m/>
    <n v="4"/>
    <s v="Flagged"/>
    <n v="116041"/>
    <m/>
    <x v="2"/>
    <x v="2"/>
    <n v="116041"/>
    <n v="0"/>
    <n v="0"/>
  </r>
  <r>
    <s v="Non-displaced PopulationSD12073"/>
    <x v="11"/>
    <x v="11"/>
    <x v="125"/>
    <x v="125"/>
    <m/>
    <m/>
    <x v="395"/>
    <x v="2"/>
    <n v="0"/>
    <n v="0"/>
    <n v="17174.5"/>
    <n v="25"/>
    <n v="13083"/>
    <n v="5397.7000000000007"/>
    <n v="0"/>
    <n v="48142.577000000005"/>
    <n v="5398"/>
    <n v="2590"/>
    <n v="0"/>
    <n v="4907"/>
    <n v="0"/>
    <n v="0"/>
    <n v="0.35"/>
    <n v="5.0947625840635829E-4"/>
    <n v="0.26661911554921541"/>
    <n v="0.11000000000000001"/>
    <n v="0"/>
    <n v="0.98110000000000008"/>
    <n v="0.1"/>
    <n v="0.05"/>
    <n v="0"/>
    <n v="0.1"/>
    <n v="48142.577000000005"/>
    <s v="WASH"/>
    <n v="0.98110000000000008"/>
    <s v="Flagged"/>
    <s v="Flagged"/>
    <s v=""/>
    <n v="17174.5"/>
    <s v="Food Security and Livlihoods"/>
    <n v="0.35"/>
    <n v="30968.077000000005"/>
    <n v="1.8031428571428574"/>
    <s v="Flagged"/>
    <n v="13083"/>
    <s v="Nutrition"/>
    <n v="0.26661911554921541"/>
    <n v="35059.577000000005"/>
    <n v="2.6797811663991444"/>
    <s v="Flagged"/>
    <s v=""/>
    <s v=""/>
    <n v="48142.577000000005"/>
    <m/>
    <m/>
    <n v="4"/>
    <s v="Flagged"/>
    <n v="48143"/>
    <m/>
    <x v="2"/>
    <x v="2"/>
    <n v="48143"/>
    <n v="0"/>
    <n v="0"/>
  </r>
  <r>
    <s v="Non-displaced PopulationSD12074"/>
    <x v="11"/>
    <x v="11"/>
    <x v="126"/>
    <x v="126"/>
    <m/>
    <m/>
    <x v="396"/>
    <x v="2"/>
    <n v="0"/>
    <n v="0"/>
    <n v="12610.2"/>
    <n v="45270"/>
    <n v="27367"/>
    <n v="6935.6100000000006"/>
    <n v="0"/>
    <n v="55339.862699999998"/>
    <n v="6936"/>
    <n v="4992"/>
    <n v="0"/>
    <n v="6305"/>
    <n v="0"/>
    <n v="0"/>
    <n v="0.2"/>
    <n v="0.71799019841081024"/>
    <n v="0.43404545526637167"/>
    <n v="0.11000000000000001"/>
    <n v="0"/>
    <n v="0.87769999999999992"/>
    <n v="0.1"/>
    <n v="0.1"/>
    <n v="0"/>
    <n v="0.1"/>
    <n v="55339.862699999998"/>
    <s v="WASH"/>
    <n v="0.87769999999999992"/>
    <s v="Flagged"/>
    <s v=""/>
    <s v=""/>
    <n v="45270"/>
    <s v="Health "/>
    <n v="0.71799019841081024"/>
    <n v="10069.862699999998"/>
    <n v="0.22244008614976801"/>
    <s v=""/>
    <n v="27367"/>
    <s v="Nutrition"/>
    <n v="0.43404545526637167"/>
    <n v="27972.862699999998"/>
    <n v="1.0221384404574851"/>
    <s v="Flagged"/>
    <s v=""/>
    <s v=""/>
    <n v="55339.862699999998"/>
    <m/>
    <m/>
    <n v="2"/>
    <s v="Flagged"/>
    <n v="55340"/>
    <m/>
    <x v="2"/>
    <x v="2"/>
    <n v="55340"/>
    <n v="0"/>
    <n v="0"/>
  </r>
  <r>
    <s v="Non-displaced PopulationSD12075"/>
    <x v="11"/>
    <x v="11"/>
    <x v="127"/>
    <x v="127"/>
    <m/>
    <m/>
    <x v="397"/>
    <x v="2"/>
    <n v="0"/>
    <n v="0"/>
    <n v="7436.4"/>
    <n v="11930"/>
    <n v="7365"/>
    <n v="2726.6800000000003"/>
    <n v="0"/>
    <n v="18199.349600000001"/>
    <n v="2727"/>
    <n v="1962"/>
    <n v="0"/>
    <n v="2479"/>
    <n v="0"/>
    <n v="0"/>
    <n v="0.3"/>
    <n v="0.48128126512828789"/>
    <n v="0.29711957398741329"/>
    <n v="0.11000000000000001"/>
    <n v="0"/>
    <n v="0.73420000000000007"/>
    <n v="0.1"/>
    <n v="0.1"/>
    <n v="0"/>
    <n v="0.1"/>
    <n v="18199.349600000001"/>
    <s v="WASH"/>
    <n v="0.73420000000000007"/>
    <s v="Flagged"/>
    <s v=""/>
    <s v=""/>
    <n v="11930"/>
    <s v="Health "/>
    <n v="0.48128126512828789"/>
    <n v="6269.3496000000014"/>
    <n v="0.5255112824811401"/>
    <s v="Flagged"/>
    <n v="7436.4"/>
    <s v="Food Security and Livlihoods"/>
    <n v="0.3"/>
    <n v="10762.949600000002"/>
    <n v="1.4473333333333336"/>
    <s v="Flagged"/>
    <s v=""/>
    <s v=""/>
    <n v="18199.349600000001"/>
    <m/>
    <m/>
    <n v="3"/>
    <s v="Flagged"/>
    <n v="18199"/>
    <m/>
    <x v="2"/>
    <x v="2"/>
    <n v="18199"/>
    <n v="0"/>
    <n v="0"/>
  </r>
  <r>
    <s v="Non-displaced PopulationSD12076"/>
    <x v="11"/>
    <x v="11"/>
    <x v="128"/>
    <x v="128"/>
    <m/>
    <m/>
    <x v="398"/>
    <x v="2"/>
    <n v="0"/>
    <n v="15071.8375"/>
    <n v="13606.25"/>
    <n v="15245"/>
    <n v="6441"/>
    <n v="4276.25"/>
    <n v="0"/>
    <n v="28017.212499999994"/>
    <n v="4276"/>
    <n v="3078"/>
    <n v="0"/>
    <n v="3888"/>
    <n v="0"/>
    <n v="0.38769999999999999"/>
    <n v="0.35"/>
    <n v="0.39215434083601286"/>
    <n v="0.16568488745980708"/>
    <n v="0.11"/>
    <n v="0"/>
    <n v="0.7206999999999999"/>
    <n v="0.1"/>
    <n v="0.1"/>
    <n v="0"/>
    <n v="0.1"/>
    <n v="28017.212499999994"/>
    <s v="WASH"/>
    <n v="0.7206999999999999"/>
    <s v="Flagged"/>
    <s v=""/>
    <s v=""/>
    <n v="15245"/>
    <s v="Health "/>
    <n v="0.39215434083601286"/>
    <n v="12772.212499999994"/>
    <n v="0.8377968186290583"/>
    <s v="Flagged"/>
    <n v="15071.8375"/>
    <s v="Education"/>
    <n v="0.38769999999999999"/>
    <n v="12945.374999999995"/>
    <n v="0.85891152953314387"/>
    <s v="Flagged"/>
    <s v=""/>
    <s v=""/>
    <n v="28017.212499999994"/>
    <m/>
    <m/>
    <n v="3"/>
    <s v="Flagged"/>
    <n v="28017"/>
    <m/>
    <x v="2"/>
    <x v="2"/>
    <n v="28017"/>
    <n v="0"/>
    <n v="0"/>
  </r>
  <r>
    <s v="Non-displaced PopulationSD12077"/>
    <x v="11"/>
    <x v="11"/>
    <x v="129"/>
    <x v="129"/>
    <m/>
    <m/>
    <x v="399"/>
    <x v="2"/>
    <n v="0"/>
    <n v="2976.3728999999998"/>
    <n v="2686.95"/>
    <n v="0"/>
    <n v="5199"/>
    <n v="844.47000000000014"/>
    <n v="1535"/>
    <n v="7217.1477000000004"/>
    <n v="844"/>
    <n v="608"/>
    <n v="0"/>
    <n v="768"/>
    <n v="0"/>
    <n v="0.38769999999999999"/>
    <n v="0.35"/>
    <n v="0"/>
    <n v="0.6772176631496678"/>
    <n v="0.11000000000000001"/>
    <n v="0.19994789631366419"/>
    <n v="0.94010000000000005"/>
    <n v="0.1"/>
    <n v="0.1"/>
    <n v="0"/>
    <n v="0.1"/>
    <n v="7217.1477000000004"/>
    <s v="WASH"/>
    <n v="0.94010000000000005"/>
    <s v="Flagged"/>
    <s v="Flagged"/>
    <s v=""/>
    <n v="5199"/>
    <s v="Nutrition"/>
    <n v="0.6772176631496678"/>
    <n v="2018.1477000000004"/>
    <n v="0.38817997691863826"/>
    <s v="Flagged"/>
    <n v="2976.3728999999998"/>
    <s v="Education"/>
    <n v="0.38769999999999999"/>
    <n v="4240.7748000000011"/>
    <n v="1.4248129997420691"/>
    <s v="Flagged"/>
    <s v=""/>
    <s v=""/>
    <n v="7217.1477000000004"/>
    <m/>
    <m/>
    <n v="4"/>
    <s v="Flagged"/>
    <n v="7217"/>
    <m/>
    <x v="2"/>
    <x v="2"/>
    <n v="7217"/>
    <n v="0"/>
    <n v="0"/>
  </r>
  <r>
    <s v="Non-displaced PopulationSD12078"/>
    <x v="11"/>
    <x v="11"/>
    <x v="130"/>
    <x v="130"/>
    <m/>
    <m/>
    <x v="400"/>
    <x v="2"/>
    <n v="0"/>
    <n v="19656.0023"/>
    <n v="15209.7"/>
    <n v="13665"/>
    <n v="20456"/>
    <n v="5576.89"/>
    <n v="0"/>
    <n v="48762.298200000005"/>
    <n v="5577"/>
    <n v="2676"/>
    <n v="0"/>
    <n v="5070"/>
    <n v="0"/>
    <n v="0.38769999999999999"/>
    <n v="0.3"/>
    <n v="0.26953194343083692"/>
    <n v="0.40347935856723011"/>
    <n v="0.11"/>
    <n v="0"/>
    <n v="0.9618000000000001"/>
    <n v="0.1"/>
    <n v="0.05"/>
    <n v="0"/>
    <n v="0.1"/>
    <n v="48762.298200000005"/>
    <s v="WASH"/>
    <n v="0.9618000000000001"/>
    <s v="Flagged"/>
    <s v="Flagged"/>
    <s v=""/>
    <n v="20456"/>
    <s v="Nutrition"/>
    <n v="0.40347935856723011"/>
    <n v="28306.298200000005"/>
    <n v="1.3837650664841614"/>
    <s v="Flagged"/>
    <n v="19656.0023"/>
    <s v="Education"/>
    <n v="0.38769999999999999"/>
    <n v="29106.295900000005"/>
    <n v="1.4807841114263609"/>
    <s v="Flagged"/>
    <s v=""/>
    <s v=""/>
    <n v="48762.298200000005"/>
    <m/>
    <m/>
    <n v="4"/>
    <s v="Flagged"/>
    <n v="48762"/>
    <m/>
    <x v="2"/>
    <x v="2"/>
    <n v="48762"/>
    <n v="0"/>
    <n v="0"/>
  </r>
  <r>
    <s v="Non-displaced PopulationSD12079"/>
    <x v="11"/>
    <x v="11"/>
    <x v="131"/>
    <x v="131"/>
    <m/>
    <m/>
    <x v="401"/>
    <x v="2"/>
    <n v="0"/>
    <n v="14709.725699999999"/>
    <n v="13279.35"/>
    <n v="1265"/>
    <n v="4604"/>
    <n v="4173.5100000000011"/>
    <n v="0"/>
    <n v="33942.018600000003"/>
    <n v="4174"/>
    <n v="3004"/>
    <n v="0"/>
    <n v="3794"/>
    <n v="0"/>
    <n v="0.38769999999999999"/>
    <n v="0.35000000000000003"/>
    <n v="3.3341240346854324E-2"/>
    <n v="0.12134630083550776"/>
    <n v="0.11000000000000003"/>
    <n v="0"/>
    <n v="0.89460000000000006"/>
    <n v="0.1"/>
    <n v="0.1"/>
    <n v="0"/>
    <n v="0.1"/>
    <n v="33942.018600000003"/>
    <s v="WASH"/>
    <n v="0.89460000000000006"/>
    <s v="Flagged"/>
    <s v=""/>
    <s v=""/>
    <n v="14709.725699999999"/>
    <s v="Education"/>
    <n v="0.38769999999999999"/>
    <n v="19232.292900000004"/>
    <n v="1.3074542171782308"/>
    <s v="Flagged"/>
    <n v="13279.35"/>
    <s v="Food Security and Livlihoods"/>
    <n v="0.35000000000000003"/>
    <n v="20662.668600000005"/>
    <n v="1.5560000000000003"/>
    <s v="Flagged"/>
    <s v=""/>
    <s v=""/>
    <n v="33942.018600000003"/>
    <m/>
    <m/>
    <n v="3"/>
    <s v="Flagged"/>
    <n v="33942"/>
    <m/>
    <x v="2"/>
    <x v="2"/>
    <n v="33942"/>
    <n v="0"/>
    <n v="0"/>
  </r>
  <r>
    <s v="Non-displaced PopulationSD12080"/>
    <x v="11"/>
    <x v="11"/>
    <x v="132"/>
    <x v="132"/>
    <m/>
    <m/>
    <x v="402"/>
    <x v="2"/>
    <n v="0"/>
    <n v="19225.267599999999"/>
    <n v="9917.6"/>
    <n v="0"/>
    <n v="49690"/>
    <n v="5454.68"/>
    <n v="9918"/>
    <n v="21545.986000000004"/>
    <n v="5455"/>
    <n v="3925"/>
    <n v="0"/>
    <n v="4959"/>
    <n v="0"/>
    <n v="0.38769999999999999"/>
    <n v="0.2"/>
    <n v="0"/>
    <n v="1.0020569492619182"/>
    <n v="0.11"/>
    <n v="0.20000806646769378"/>
    <n v="0.43450000000000011"/>
    <n v="0.1"/>
    <n v="0.1"/>
    <n v="0"/>
    <n v="0.1"/>
    <n v="49690"/>
    <s v="Nutrition"/>
    <n v="1.0020569492619182"/>
    <s v="Flagged"/>
    <s v="Flagged"/>
    <s v="Flagged"/>
    <n v="21545.986000000004"/>
    <s v="WASH"/>
    <n v="0.43450000000000011"/>
    <n v="28144.013999999996"/>
    <n v="1.3062300328237468"/>
    <s v="Flagged"/>
    <n v="19225.267599999999"/>
    <s v="Education"/>
    <n v="0.38769999999999999"/>
    <n v="30464.732400000001"/>
    <n v="1.5846194203299413"/>
    <s v="Flagged"/>
    <s v=""/>
    <s v=""/>
    <n v="49690"/>
    <m/>
    <m/>
    <n v="5"/>
    <s v="Flagged"/>
    <n v="49588"/>
    <m/>
    <x v="2"/>
    <x v="2"/>
    <n v="49588"/>
    <n v="0"/>
    <n v="0"/>
  </r>
  <r>
    <s v="Non-displaced PopulationSD12081"/>
    <x v="11"/>
    <x v="11"/>
    <x v="133"/>
    <x v="133"/>
    <m/>
    <m/>
    <x v="403"/>
    <x v="2"/>
    <n v="0"/>
    <n v="0"/>
    <n v="10595.4"/>
    <n v="0"/>
    <n v="10439"/>
    <n v="3884.9800000000005"/>
    <n v="0"/>
    <n v="21724.1018"/>
    <n v="3885"/>
    <n v="2797"/>
    <n v="0"/>
    <n v="3532"/>
    <n v="0"/>
    <n v="0"/>
    <n v="0.3"/>
    <n v="0"/>
    <n v="0.29557166317458522"/>
    <n v="0.11000000000000001"/>
    <n v="0"/>
    <n v="0.61509999999999998"/>
    <n v="0.1"/>
    <n v="0.1"/>
    <n v="0"/>
    <n v="0.1"/>
    <n v="21724.1018"/>
    <s v="WASH"/>
    <n v="0.61509999999999998"/>
    <s v="Flagged"/>
    <s v=""/>
    <s v=""/>
    <n v="10595.4"/>
    <s v="Food Security and Livlihoods"/>
    <n v="0.3"/>
    <n v="11128.701800000001"/>
    <n v="1.0503333333333333"/>
    <s v="Flagged"/>
    <n v="10439"/>
    <s v="Nutrition"/>
    <n v="0.29557166317458522"/>
    <n v="11285.1018"/>
    <n v="1.0810519973177508"/>
    <s v="Flagged"/>
    <s v=""/>
    <s v=""/>
    <n v="21724.1018"/>
    <m/>
    <m/>
    <n v="3"/>
    <s v="Flagged"/>
    <n v="21724"/>
    <m/>
    <x v="2"/>
    <x v="2"/>
    <n v="21724"/>
    <n v="0"/>
    <n v="0"/>
  </r>
  <r>
    <s v="Non-displaced PopulationSD12082"/>
    <x v="11"/>
    <x v="11"/>
    <x v="134"/>
    <x v="134"/>
    <m/>
    <m/>
    <x v="404"/>
    <x v="2"/>
    <n v="0"/>
    <n v="1777.9921999999999"/>
    <n v="1605.1"/>
    <n v="0"/>
    <n v="3857"/>
    <n v="504.46000000000004"/>
    <n v="0"/>
    <n v="4045.7692000000002"/>
    <n v="504"/>
    <n v="364"/>
    <n v="0"/>
    <n v="459"/>
    <n v="0"/>
    <n v="0.38769999999999999"/>
    <n v="0.35"/>
    <n v="0"/>
    <n v="0.84103794156127343"/>
    <n v="0.11000000000000001"/>
    <n v="0"/>
    <n v="0.8822000000000001"/>
    <n v="0.1"/>
    <n v="0.1"/>
    <n v="0"/>
    <n v="0.1"/>
    <n v="4045.7692000000002"/>
    <s v="WASH"/>
    <n v="0.8822000000000001"/>
    <s v="Flagged"/>
    <s v=""/>
    <s v=""/>
    <n v="3857"/>
    <s v="Nutrition"/>
    <n v="0.84103794156127343"/>
    <n v="188.76920000000018"/>
    <n v="4.8941975628727034E-2"/>
    <s v=""/>
    <n v="1777.9921999999999"/>
    <s v="Education"/>
    <n v="0.38769999999999999"/>
    <n v="2267.777"/>
    <n v="1.2754707247872068"/>
    <s v="Flagged"/>
    <s v=""/>
    <s v=""/>
    <n v="4045.7692000000002"/>
    <m/>
    <m/>
    <n v="2"/>
    <s v="Flagged"/>
    <n v="4046"/>
    <m/>
    <x v="2"/>
    <x v="2"/>
    <n v="4046"/>
    <n v="0"/>
    <n v="0"/>
  </r>
  <r>
    <s v="Non-displaced PopulationSD12083"/>
    <x v="11"/>
    <x v="11"/>
    <x v="135"/>
    <x v="135"/>
    <m/>
    <m/>
    <x v="405"/>
    <x v="2"/>
    <n v="0"/>
    <n v="10458.5952"/>
    <n v="8092.8"/>
    <n v="855"/>
    <n v="12851"/>
    <n v="2967.3600000000006"/>
    <n v="5395"/>
    <n v="21610.473599999998"/>
    <n v="2967"/>
    <n v="2136"/>
    <n v="0"/>
    <n v="2698"/>
    <n v="0"/>
    <n v="0.38769999999999999"/>
    <n v="0.3"/>
    <n v="3.1694839857651244E-2"/>
    <n v="0.47638641755634636"/>
    <n v="0.11000000000000003"/>
    <n v="0.19999258600237249"/>
    <n v="0.80109999999999992"/>
    <n v="0.1"/>
    <n v="0.1"/>
    <n v="0"/>
    <n v="0.1"/>
    <n v="21610.473599999998"/>
    <s v="WASH"/>
    <n v="0.80109999999999992"/>
    <s v=""/>
    <s v=""/>
    <s v=""/>
    <n v="12851"/>
    <s v="Nutrition"/>
    <n v="0.47638641755634636"/>
    <n v="8759.4735999999975"/>
    <n v="0.68161805306979983"/>
    <s v="Flagged"/>
    <n v="10458.5952"/>
    <s v="Education"/>
    <n v="0.38769999999999999"/>
    <n v="11151.878399999998"/>
    <n v="1.0662883672942995"/>
    <s v="Flagged"/>
    <s v=""/>
    <s v=""/>
    <n v="21610.473599999998"/>
    <m/>
    <m/>
    <n v="2"/>
    <s v="Flagged"/>
    <n v="21610"/>
    <m/>
    <x v="2"/>
    <x v="2"/>
    <n v="21610"/>
    <n v="0"/>
    <n v="0"/>
  </r>
  <r>
    <s v="Non-displaced PopulationSD12084"/>
    <x v="11"/>
    <x v="11"/>
    <x v="136"/>
    <x v="136"/>
    <m/>
    <m/>
    <x v="406"/>
    <x v="2"/>
    <n v="0"/>
    <n v="0"/>
    <n v="15438.9"/>
    <n v="6186"/>
    <n v="12276"/>
    <n v="5660.93"/>
    <n v="10293"/>
    <n v="40985.133200000004"/>
    <n v="5661"/>
    <n v="4074"/>
    <n v="0"/>
    <n v="5146"/>
    <n v="0"/>
    <n v="0"/>
    <n v="0.3"/>
    <n v="0.12020286419369255"/>
    <n v="0.23854031051435012"/>
    <n v="0.11"/>
    <n v="0.20000777257447097"/>
    <n v="0.79640000000000011"/>
    <n v="0.1"/>
    <n v="0.1"/>
    <n v="0"/>
    <n v="0.1"/>
    <n v="40985.133200000004"/>
    <s v="WASH"/>
    <n v="0.79640000000000011"/>
    <s v="Flagged"/>
    <s v=""/>
    <s v=""/>
    <n v="15438.9"/>
    <s v="Food Security and Livlihoods"/>
    <n v="0.3"/>
    <n v="25546.233200000002"/>
    <n v="1.654666666666667"/>
    <s v="Flagged"/>
    <n v="12276"/>
    <s v="Nutrition"/>
    <n v="0.23854031051435012"/>
    <n v="28709.133200000004"/>
    <n v="2.3386390681003588"/>
    <s v="Flagged"/>
    <s v=""/>
    <s v=""/>
    <n v="40985.133200000004"/>
    <m/>
    <m/>
    <n v="3"/>
    <s v="Flagged"/>
    <n v="40985"/>
    <m/>
    <x v="2"/>
    <x v="2"/>
    <n v="40985"/>
    <n v="0"/>
    <n v="0"/>
  </r>
  <r>
    <s v="Non-displaced PopulationSD13023"/>
    <x v="12"/>
    <x v="12"/>
    <x v="137"/>
    <x v="137"/>
    <m/>
    <m/>
    <x v="407"/>
    <x v="2"/>
    <n v="0"/>
    <n v="32373.725399999999"/>
    <n v="25050.6"/>
    <n v="5700"/>
    <n v="26174"/>
    <n v="9185.2200000000012"/>
    <n v="16700"/>
    <n v="70901.54819999999"/>
    <n v="9185"/>
    <n v="8815"/>
    <n v="8350.2000000000007"/>
    <n v="8350"/>
    <n v="0"/>
    <n v="0.38769999999999999"/>
    <n v="0.3"/>
    <n v="6.8261838039807426E-2"/>
    <n v="0.31345356997437185"/>
    <n v="0.11000000000000001"/>
    <n v="0.19999520969557616"/>
    <n v="0.84909999999999985"/>
    <n v="0.1"/>
    <n v="0.1"/>
    <n v="0.1"/>
    <n v="0.1"/>
    <n v="70901.54819999999"/>
    <s v="WASH"/>
    <n v="0.84909999999999985"/>
    <s v=""/>
    <s v=""/>
    <s v=""/>
    <n v="32373.725399999999"/>
    <s v="Education"/>
    <n v="0.38769999999999999"/>
    <n v="38527.822799999994"/>
    <n v="1.1900954346143924"/>
    <s v="Flagged"/>
    <n v="26174"/>
    <s v="Nutrition"/>
    <n v="0.31345356997437185"/>
    <n v="44727.54819999999"/>
    <n v="1.7088541376938944"/>
    <s v="Flagged"/>
    <s v=""/>
    <s v=""/>
    <n v="70901.54819999999"/>
    <m/>
    <m/>
    <n v="2"/>
    <s v="Flagged"/>
    <n v="70902"/>
    <m/>
    <x v="2"/>
    <x v="1"/>
    <n v="0"/>
    <n v="63811.8"/>
    <n v="7090.2000000000007"/>
  </r>
  <r>
    <s v="Non-displaced PopulationSD13024"/>
    <x v="12"/>
    <x v="12"/>
    <x v="138"/>
    <x v="138"/>
    <m/>
    <m/>
    <x v="408"/>
    <x v="2"/>
    <n v="0"/>
    <n v="122913.61655999999"/>
    <n v="190219.68"/>
    <n v="2500"/>
    <n v="51679"/>
    <n v="34873.608"/>
    <n v="95110"/>
    <n v="170373.42671999999"/>
    <n v="34874"/>
    <n v="33461"/>
    <n v="31703.279999999999"/>
    <n v="31703"/>
    <n v="0"/>
    <n v="0.3876997554197828"/>
    <n v="0.59999962149050723"/>
    <n v="7.885614431305258E-3"/>
    <n v="0.16300826727816978"/>
    <n v="0.10999993060659301"/>
    <n v="0.30000031542457728"/>
    <n v="0.53739966098166436"/>
    <n v="0.1"/>
    <n v="0.1"/>
    <n v="0.1"/>
    <n v="0.1"/>
    <n v="190219.68"/>
    <s v="Food Security and Livlihoods"/>
    <n v="0.59999962149050723"/>
    <s v=""/>
    <s v=""/>
    <s v=""/>
    <n v="170373.42671999999"/>
    <s v="WASH"/>
    <n v="0.53739966098166436"/>
    <n v="19846.253280000004"/>
    <n v="0.11648678823967253"/>
    <s v=""/>
    <n v="122913.61655999999"/>
    <s v="Education"/>
    <n v="0.3876997554197828"/>
    <n v="67306.063439999998"/>
    <n v="0.54758834150116065"/>
    <s v="Flagged"/>
    <s v=""/>
    <s v=""/>
    <n v="190219.68"/>
    <m/>
    <m/>
    <n v="1"/>
    <s v="Flagged"/>
    <n v="190220"/>
    <m/>
    <x v="0"/>
    <x v="1"/>
    <n v="0"/>
    <n v="171198"/>
    <n v="19022"/>
  </r>
  <r>
    <s v="Non-displaced PopulationSD13025"/>
    <x v="12"/>
    <x v="12"/>
    <x v="139"/>
    <x v="139"/>
    <m/>
    <m/>
    <x v="409"/>
    <x v="2"/>
    <n v="0"/>
    <n v="55279.429100000001"/>
    <n v="71291.5"/>
    <n v="0"/>
    <n v="23058"/>
    <n v="15684.130000000003"/>
    <n v="28517"/>
    <n v="135624.94959999999"/>
    <n v="15684"/>
    <n v="7525"/>
    <n v="0"/>
    <n v="14258"/>
    <n v="0"/>
    <n v="0.38769999999999999"/>
    <n v="0.5"/>
    <n v="0"/>
    <n v="0.16171633364426335"/>
    <n v="0.11000000000000001"/>
    <n v="0.20000280538353099"/>
    <n v="0.95119999999999993"/>
    <n v="0.1"/>
    <n v="0.05"/>
    <n v="0"/>
    <n v="0.1"/>
    <n v="135624.94959999999"/>
    <s v="WASH"/>
    <n v="0.95119999999999993"/>
    <s v="Flagged"/>
    <s v="Flagged"/>
    <s v=""/>
    <n v="71291.5"/>
    <s v="Food Security and Livlihoods"/>
    <n v="0.5"/>
    <n v="64333.449599999993"/>
    <n v="0.90239999999999987"/>
    <s v="Flagged"/>
    <n v="55279.429100000001"/>
    <s v="Education"/>
    <n v="0.38769999999999999"/>
    <n v="80345.520499999984"/>
    <n v="1.4534433840598397"/>
    <s v="Flagged"/>
    <s v=""/>
    <s v=""/>
    <n v="135624.94959999999"/>
    <m/>
    <m/>
    <n v="4"/>
    <s v="Flagged"/>
    <n v="135625"/>
    <m/>
    <x v="0"/>
    <x v="2"/>
    <n v="135625"/>
    <n v="0"/>
    <n v="0"/>
  </r>
  <r>
    <s v="Non-displaced PopulationSD13026"/>
    <x v="12"/>
    <x v="12"/>
    <x v="140"/>
    <x v="140"/>
    <m/>
    <m/>
    <x v="410"/>
    <x v="2"/>
    <n v="0"/>
    <n v="0"/>
    <n v="37040.400000000001"/>
    <n v="0"/>
    <n v="16802"/>
    <n v="9054.3200000000015"/>
    <n v="0"/>
    <n v="71948.919200000004"/>
    <n v="9054"/>
    <n v="4344"/>
    <n v="0"/>
    <n v="8231"/>
    <n v="0"/>
    <n v="0"/>
    <n v="0.45"/>
    <n v="0"/>
    <n v="0.20412576538050345"/>
    <n v="0.11000000000000001"/>
    <n v="0"/>
    <n v="0.8741000000000001"/>
    <n v="0.1"/>
    <n v="0.05"/>
    <n v="0"/>
    <n v="0.1"/>
    <n v="71948.919200000004"/>
    <s v="WASH"/>
    <n v="0.8741000000000001"/>
    <s v="Flagged"/>
    <s v=""/>
    <s v=""/>
    <n v="37040.400000000001"/>
    <s v="Food Security and Livlihoods"/>
    <n v="0.45"/>
    <n v="34908.519200000002"/>
    <n v="0.94244444444444453"/>
    <s v="Flagged"/>
    <n v="16802"/>
    <s v="Nutrition"/>
    <n v="0.20412576538050345"/>
    <n v="55146.919200000004"/>
    <n v="3.2821639804785145"/>
    <s v="Flagged"/>
    <s v=""/>
    <s v=""/>
    <n v="71948.919200000004"/>
    <m/>
    <m/>
    <n v="3"/>
    <s v="Flagged"/>
    <n v="71949"/>
    <m/>
    <x v="0"/>
    <x v="2"/>
    <n v="71949"/>
    <n v="0"/>
    <n v="0"/>
  </r>
  <r>
    <s v="Non-displaced PopulationSD13027"/>
    <x v="12"/>
    <x v="12"/>
    <x v="141"/>
    <x v="141"/>
    <m/>
    <m/>
    <x v="411"/>
    <x v="2"/>
    <n v="0"/>
    <n v="42210.837500000001"/>
    <n v="48993.75"/>
    <n v="0"/>
    <n v="20775"/>
    <n v="11976.250000000002"/>
    <n v="21775"/>
    <n v="94775.6875"/>
    <n v="11976"/>
    <n v="5747"/>
    <n v="0"/>
    <n v="10888"/>
    <n v="0"/>
    <n v="0.38769999999999999"/>
    <n v="0.45"/>
    <n v="0"/>
    <n v="0.19081515499425947"/>
    <n v="0.11000000000000001"/>
    <n v="0.2"/>
    <n v="0.87050000000000005"/>
    <n v="0.1"/>
    <n v="0.05"/>
    <n v="0"/>
    <n v="0.1"/>
    <n v="94775.6875"/>
    <s v="WASH"/>
    <n v="0.87050000000000005"/>
    <s v="Flagged"/>
    <s v=""/>
    <s v=""/>
    <n v="48993.75"/>
    <s v="Food Security and Livlihoods"/>
    <n v="0.45"/>
    <n v="45781.9375"/>
    <n v="0.93444444444444441"/>
    <s v="Flagged"/>
    <n v="42210.837500000001"/>
    <s v="Education"/>
    <n v="0.38769999999999999"/>
    <n v="52564.85"/>
    <n v="1.245292752127934"/>
    <s v="Flagged"/>
    <s v=""/>
    <s v=""/>
    <n v="94775.6875"/>
    <m/>
    <m/>
    <n v="3"/>
    <s v="Flagged"/>
    <n v="94776"/>
    <m/>
    <x v="0"/>
    <x v="2"/>
    <n v="94776"/>
    <n v="0"/>
    <n v="0"/>
  </r>
  <r>
    <s v="Non-displaced PopulationSD13028"/>
    <x v="12"/>
    <x v="12"/>
    <x v="142"/>
    <x v="142"/>
    <m/>
    <m/>
    <x v="412"/>
    <x v="2"/>
    <n v="0"/>
    <n v="0"/>
    <n v="14936.25"/>
    <n v="16500"/>
    <n v="13094"/>
    <n v="4694.2500000000009"/>
    <n v="0"/>
    <n v="39226.86"/>
    <n v="4694"/>
    <n v="2252"/>
    <n v="0"/>
    <n v="4268"/>
    <n v="0"/>
    <n v="0"/>
    <n v="0.35"/>
    <n v="0.38664323374340948"/>
    <n v="0.30683069712946692"/>
    <n v="0.11000000000000001"/>
    <n v="0"/>
    <n v="0.91920000000000002"/>
    <n v="0.1"/>
    <n v="0.05"/>
    <n v="0"/>
    <n v="0.1"/>
    <n v="39226.86"/>
    <s v="WASH"/>
    <n v="0.91920000000000002"/>
    <s v="Flagged"/>
    <s v="Flagged"/>
    <s v=""/>
    <n v="16500"/>
    <s v="Health "/>
    <n v="0.38664323374340948"/>
    <n v="22726.86"/>
    <n v="1.3773854545454547"/>
    <s v="Flagged"/>
    <n v="14936.25"/>
    <s v="Food Security and Livlihoods"/>
    <n v="0.35"/>
    <n v="24290.61"/>
    <n v="1.6262857142857143"/>
    <s v="Flagged"/>
    <s v=""/>
    <s v=""/>
    <n v="39226.86"/>
    <m/>
    <m/>
    <n v="4"/>
    <s v="Flagged"/>
    <n v="39227"/>
    <m/>
    <x v="0"/>
    <x v="2"/>
    <n v="39227"/>
    <n v="0"/>
    <n v="0"/>
  </r>
  <r>
    <s v="Non-displaced PopulationSD13029"/>
    <x v="12"/>
    <x v="12"/>
    <x v="143"/>
    <x v="143"/>
    <m/>
    <m/>
    <x v="413"/>
    <x v="2"/>
    <n v="0"/>
    <n v="0"/>
    <n v="37018.800000000003"/>
    <n v="1305"/>
    <n v="23613"/>
    <n v="9049.0400000000009"/>
    <n v="16453"/>
    <n v="56581.179199999999"/>
    <n v="9049"/>
    <n v="4341"/>
    <n v="0"/>
    <n v="8226"/>
    <n v="0"/>
    <n v="0"/>
    <n v="0.45"/>
    <n v="1.586356121754352E-2"/>
    <n v="0.28703928814548285"/>
    <n v="0.11000000000000001"/>
    <n v="0.20000243119712147"/>
    <n v="0.68779999999999997"/>
    <n v="0.1"/>
    <n v="0.05"/>
    <n v="0"/>
    <n v="0.1"/>
    <n v="56581.179199999999"/>
    <s v="WASH"/>
    <n v="0.68779999999999997"/>
    <s v="Flagged"/>
    <s v=""/>
    <s v=""/>
    <n v="37018.800000000003"/>
    <s v="Food Security and Livlihoods"/>
    <n v="0.45"/>
    <n v="19562.379199999996"/>
    <n v="0.52844444444444427"/>
    <s v="Flagged"/>
    <n v="23613"/>
    <s v="Nutrition"/>
    <n v="0.28703928814548285"/>
    <n v="32968.179199999999"/>
    <n v="1.3961876593401938"/>
    <s v="Flagged"/>
    <s v=""/>
    <s v=""/>
    <n v="56581.179199999999"/>
    <m/>
    <m/>
    <n v="3"/>
    <s v="Flagged"/>
    <n v="56581"/>
    <m/>
    <x v="0"/>
    <x v="2"/>
    <n v="56581"/>
    <n v="0"/>
    <n v="0"/>
  </r>
  <r>
    <s v="Non-displaced PopulationSD13030"/>
    <x v="12"/>
    <x v="12"/>
    <x v="136"/>
    <x v="144"/>
    <m/>
    <m/>
    <x v="414"/>
    <x v="2"/>
    <n v="0"/>
    <n v="8011.8204999999998"/>
    <n v="6199.5"/>
    <n v="0"/>
    <n v="9299"/>
    <n v="2273.1500000000005"/>
    <n v="4133"/>
    <n v="16860.573499999999"/>
    <n v="2273"/>
    <n v="1636"/>
    <n v="2066.5"/>
    <n v="2067"/>
    <n v="0"/>
    <n v="0.38769999999999999"/>
    <n v="0.3"/>
    <n v="0"/>
    <n v="0.44998790225018148"/>
    <n v="0.11000000000000003"/>
    <n v="0.2"/>
    <n v="0.81589999999999996"/>
    <n v="0.1"/>
    <n v="0.1"/>
    <n v="0.1"/>
    <n v="0.1"/>
    <n v="16860.573499999999"/>
    <s v="WASH"/>
    <n v="0.81589999999999996"/>
    <s v="Flagged"/>
    <s v=""/>
    <s v=""/>
    <n v="9299"/>
    <s v="Nutrition"/>
    <n v="0.44998790225018148"/>
    <n v="7561.5734999999986"/>
    <n v="0.81315985589848361"/>
    <s v="Flagged"/>
    <n v="8011.8204999999998"/>
    <s v="Education"/>
    <n v="0.38769999999999999"/>
    <n v="8848.7529999999988"/>
    <n v="1.1044622130513282"/>
    <s v="Flagged"/>
    <s v=""/>
    <s v=""/>
    <n v="16860.573499999999"/>
    <m/>
    <m/>
    <n v="3"/>
    <s v="Flagged"/>
    <n v="16861"/>
    <m/>
    <x v="2"/>
    <x v="0"/>
    <n v="0"/>
    <n v="16861"/>
    <n v="0"/>
  </r>
  <r>
    <s v="Non-displaced PopulationSD14037"/>
    <x v="13"/>
    <x v="13"/>
    <x v="144"/>
    <x v="145"/>
    <m/>
    <m/>
    <x v="415"/>
    <x v="2"/>
    <n v="0"/>
    <n v="12512.629799999999"/>
    <n v="11295.9"/>
    <n v="12225"/>
    <n v="13251"/>
    <n v="3550.1400000000003"/>
    <n v="6455"/>
    <n v="27536.176799999997"/>
    <n v="3550"/>
    <n v="0"/>
    <n v="0"/>
    <n v="0"/>
    <n v="0"/>
    <n v="0.38769999999999999"/>
    <n v="0.35"/>
    <n v="0.37878787878787878"/>
    <n v="0.41057817438185534"/>
    <n v="0.11000000000000001"/>
    <n v="0.20000619693871227"/>
    <n v="0.85319999999999996"/>
    <n v="0.1"/>
    <n v="0"/>
    <n v="0"/>
    <n v="0"/>
    <n v="27536.176799999997"/>
    <s v="WASH"/>
    <n v="0.85319999999999996"/>
    <s v=""/>
    <s v=""/>
    <s v=""/>
    <n v="13251"/>
    <s v="Nutrition"/>
    <n v="0.41057817438185534"/>
    <n v="14285.176799999997"/>
    <n v="1.0780451890423361"/>
    <s v="Flagged"/>
    <n v="12512.629799999999"/>
    <s v="Education"/>
    <n v="0.38769999999999999"/>
    <n v="15023.546999999999"/>
    <n v="1.2006706216146505"/>
    <s v="Flagged"/>
    <s v=""/>
    <s v=""/>
    <n v="27536.176799999997"/>
    <m/>
    <m/>
    <n v="2"/>
    <s v="Flagged"/>
    <n v="27536"/>
    <m/>
    <x v="2"/>
    <x v="2"/>
    <n v="27536"/>
    <n v="0"/>
    <n v="0"/>
  </r>
  <r>
    <s v="Non-displaced PopulationSD14038"/>
    <x v="13"/>
    <x v="13"/>
    <x v="145"/>
    <x v="146"/>
    <m/>
    <m/>
    <x v="416"/>
    <x v="2"/>
    <n v="0"/>
    <n v="44344.738299999997"/>
    <n v="34313.699999999997"/>
    <n v="8215"/>
    <n v="28144"/>
    <n v="12581.690000000002"/>
    <n v="22876"/>
    <n v="50086.564099999996"/>
    <n v="12582"/>
    <n v="0"/>
    <n v="0"/>
    <n v="0"/>
    <n v="0"/>
    <n v="0.38769999999999999"/>
    <n v="0.3"/>
    <n v="7.1822624782521272E-2"/>
    <n v="0.24605915421537169"/>
    <n v="0.11000000000000001"/>
    <n v="0.20000174857272751"/>
    <n v="0.43789999999999996"/>
    <n v="0.1"/>
    <n v="0"/>
    <n v="0"/>
    <n v="0"/>
    <n v="50086.564099999996"/>
    <s v="WASH"/>
    <n v="0.43789999999999996"/>
    <s v=""/>
    <s v=""/>
    <s v=""/>
    <n v="44344.738299999997"/>
    <s v="Education"/>
    <n v="0.38769999999999999"/>
    <n v="5741.8257999999987"/>
    <n v="0.12948155790559709"/>
    <s v=""/>
    <n v="34313.699999999997"/>
    <s v="Food Security and Livlihoods"/>
    <n v="0.3"/>
    <n v="15772.864099999999"/>
    <n v="0.45966666666666667"/>
    <s v=""/>
    <s v=""/>
    <s v=""/>
    <n v="50086.564099999996"/>
    <m/>
    <m/>
    <n v="0"/>
    <s v=""/>
    <n v="50087"/>
    <m/>
    <x v="2"/>
    <x v="2"/>
    <n v="50087"/>
    <n v="0"/>
    <n v="0"/>
  </r>
  <r>
    <s v="Non-displaced PopulationSD14039"/>
    <x v="13"/>
    <x v="13"/>
    <x v="146"/>
    <x v="147"/>
    <m/>
    <m/>
    <x v="417"/>
    <x v="2"/>
    <n v="0"/>
    <n v="8451.0846000000001"/>
    <n v="8719.2000000000007"/>
    <n v="8630"/>
    <n v="8151"/>
    <n v="2397.7800000000002"/>
    <n v="4360"/>
    <n v="20394.2088"/>
    <n v="2398"/>
    <n v="0"/>
    <n v="0"/>
    <n v="0"/>
    <n v="0"/>
    <n v="0.38769999999999999"/>
    <n v="0.4"/>
    <n v="0.39590788145701439"/>
    <n v="0.37393338838425544"/>
    <n v="0.11000000000000001"/>
    <n v="0.20001835030736764"/>
    <n v="0.93559999999999999"/>
    <n v="0.1"/>
    <n v="0"/>
    <n v="0"/>
    <n v="0"/>
    <n v="20394.2088"/>
    <s v="WASH"/>
    <n v="0.93559999999999999"/>
    <s v=""/>
    <s v="Flagged"/>
    <s v=""/>
    <n v="8719.2000000000007"/>
    <s v="Food Security and Livlihoods"/>
    <n v="0.4"/>
    <n v="11675.0088"/>
    <n v="1.3389999999999997"/>
    <s v="Flagged"/>
    <n v="8630"/>
    <s v="Health "/>
    <n v="0.39590788145701439"/>
    <n v="11764.2088"/>
    <n v="1.3631759907300116"/>
    <s v="Flagged"/>
    <s v=""/>
    <s v=""/>
    <n v="20394.2088"/>
    <m/>
    <m/>
    <n v="3"/>
    <s v="Flagged"/>
    <n v="20394"/>
    <m/>
    <x v="2"/>
    <x v="2"/>
    <n v="20394"/>
    <n v="0"/>
    <n v="0"/>
  </r>
  <r>
    <s v="Non-displaced PopulationSD14040"/>
    <x v="13"/>
    <x v="13"/>
    <x v="147"/>
    <x v="148"/>
    <m/>
    <m/>
    <x v="418"/>
    <x v="2"/>
    <n v="0"/>
    <n v="14633.3488"/>
    <n v="11323.2"/>
    <n v="0"/>
    <n v="19390"/>
    <n v="4151.84"/>
    <n v="7549"/>
    <n v="32656.108799999998"/>
    <n v="4152"/>
    <n v="0"/>
    <n v="0"/>
    <n v="0"/>
    <n v="0"/>
    <n v="0.38769999999999999"/>
    <n v="0.30000000000000004"/>
    <n v="0"/>
    <n v="0.51372403560830859"/>
    <n v="0.11"/>
    <n v="0.20000529885544721"/>
    <n v="0.86519999999999997"/>
    <n v="0.1"/>
    <n v="0"/>
    <n v="0"/>
    <n v="0"/>
    <n v="32656.108799999998"/>
    <s v="WASH"/>
    <n v="0.86519999999999997"/>
    <s v="Flagged"/>
    <s v=""/>
    <s v=""/>
    <n v="19390"/>
    <s v="Nutrition"/>
    <n v="0.51372403560830859"/>
    <n v="13266.108799999998"/>
    <n v="0.68417270758122739"/>
    <s v="Flagged"/>
    <n v="14633.3488"/>
    <s v="Education"/>
    <n v="0.38769999999999999"/>
    <n v="18022.759999999998"/>
    <n v="1.2316223884446735"/>
    <s v="Flagged"/>
    <s v=""/>
    <s v=""/>
    <n v="32656.108799999998"/>
    <m/>
    <m/>
    <n v="3"/>
    <s v="Flagged"/>
    <n v="32656"/>
    <m/>
    <x v="2"/>
    <x v="0"/>
    <n v="0"/>
    <n v="32656"/>
    <n v="0"/>
  </r>
  <r>
    <s v="Non-displaced PopulationSD14041"/>
    <x v="13"/>
    <x v="13"/>
    <x v="148"/>
    <x v="149"/>
    <m/>
    <m/>
    <x v="419"/>
    <x v="2"/>
    <n v="0"/>
    <n v="6694.0281999999997"/>
    <n v="3453.2"/>
    <n v="6425"/>
    <n v="17266"/>
    <n v="1899.2600000000002"/>
    <n v="3453"/>
    <n v="10449.3832"/>
    <n v="1899"/>
    <n v="0"/>
    <n v="0"/>
    <n v="0"/>
    <n v="0"/>
    <n v="0.38769999999999999"/>
    <n v="0.19999999999999998"/>
    <n v="0.37211861461832502"/>
    <n v="1"/>
    <n v="0.11000000000000001"/>
    <n v="0.19998841654117919"/>
    <n v="0.60519999999999996"/>
    <n v="0.1"/>
    <n v="0"/>
    <n v="0"/>
    <n v="0"/>
    <n v="17266"/>
    <s v="Nutrition"/>
    <n v="1"/>
    <s v=""/>
    <s v="Flagged"/>
    <s v="Flagged"/>
    <n v="10449.3832"/>
    <s v="WASH"/>
    <n v="0.60519999999999996"/>
    <n v="6816.6167999999998"/>
    <n v="0.65234633179114343"/>
    <s v="Flagged"/>
    <n v="6694.0281999999997"/>
    <s v="Education"/>
    <n v="0.38769999999999999"/>
    <n v="10571.971799999999"/>
    <n v="1.5793139025019345"/>
    <s v="Flagged"/>
    <s v=""/>
    <s v=""/>
    <n v="17266"/>
    <m/>
    <m/>
    <n v="4"/>
    <s v="Flagged"/>
    <n v="17266"/>
    <m/>
    <x v="2"/>
    <x v="2"/>
    <n v="17266"/>
    <n v="0"/>
    <n v="0"/>
  </r>
  <r>
    <s v="Non-displaced PopulationSD14042"/>
    <x v="13"/>
    <x v="13"/>
    <x v="149"/>
    <x v="150"/>
    <m/>
    <m/>
    <x v="420"/>
    <x v="2"/>
    <n v="0"/>
    <n v="50288.566999999995"/>
    <n v="51884"/>
    <n v="5175"/>
    <n v="30571"/>
    <n v="14268.1"/>
    <n v="25942"/>
    <n v="98592.571000000011"/>
    <n v="14268"/>
    <n v="6846"/>
    <n v="0"/>
    <n v="0"/>
    <n v="0"/>
    <n v="0.38769999999999999"/>
    <n v="0.4"/>
    <n v="3.9896692622002933E-2"/>
    <n v="0.23568730244391334"/>
    <n v="0.11"/>
    <n v="0.2"/>
    <n v="0.76010000000000011"/>
    <n v="0.1"/>
    <n v="0.05"/>
    <n v="0"/>
    <n v="0"/>
    <n v="98592.571000000011"/>
    <s v="WASH"/>
    <n v="0.76010000000000011"/>
    <s v=""/>
    <s v=""/>
    <s v=""/>
    <n v="51884"/>
    <s v="Food Security and Livlihoods"/>
    <n v="0.4"/>
    <n v="46708.571000000011"/>
    <n v="0.90025000000000022"/>
    <s v="Flagged"/>
    <n v="50288.566999999995"/>
    <s v="Education"/>
    <n v="0.38769999999999999"/>
    <n v="48304.004000000015"/>
    <n v="0.96053649729172075"/>
    <s v="Flagged"/>
    <s v=""/>
    <s v=""/>
    <n v="98592.571000000011"/>
    <m/>
    <m/>
    <n v="2"/>
    <s v="Flagged"/>
    <n v="98593"/>
    <m/>
    <x v="2"/>
    <x v="2"/>
    <n v="98593"/>
    <n v="0"/>
    <n v="0"/>
  </r>
  <r>
    <s v="Non-displaced PopulationSD14043"/>
    <x v="13"/>
    <x v="13"/>
    <x v="150"/>
    <x v="151"/>
    <m/>
    <m/>
    <x v="421"/>
    <x v="2"/>
    <n v="0"/>
    <n v="15540.9545"/>
    <n v="12025.5"/>
    <n v="24425"/>
    <n v="11401"/>
    <n v="4409.3500000000004"/>
    <n v="0"/>
    <n v="19673.718000000001"/>
    <n v="4409"/>
    <n v="0"/>
    <n v="0"/>
    <n v="0"/>
    <n v="0"/>
    <n v="0.38769999999999999"/>
    <n v="0.3"/>
    <n v="0.60933017338156414"/>
    <n v="0.28442060621179993"/>
    <n v="0.11000000000000001"/>
    <n v="0"/>
    <n v="0.49080000000000001"/>
    <n v="0.1"/>
    <n v="0"/>
    <n v="0"/>
    <n v="0"/>
    <n v="24425"/>
    <s v="Health "/>
    <n v="0.60933017338156414"/>
    <s v="Flagged"/>
    <s v=""/>
    <s v=""/>
    <n v="19673.718000000001"/>
    <s v="WASH"/>
    <n v="0.49080000000000001"/>
    <n v="4751.2819999999992"/>
    <n v="0.24150402074483324"/>
    <s v=""/>
    <n v="15540.9545"/>
    <s v="Education"/>
    <n v="0.38769999999999999"/>
    <n v="8884.0455000000002"/>
    <n v="0.57165378741698269"/>
    <s v="Flagged"/>
    <s v=""/>
    <s v=""/>
    <n v="24425"/>
    <m/>
    <m/>
    <n v="2"/>
    <s v="Flagged"/>
    <n v="24425"/>
    <m/>
    <x v="2"/>
    <x v="2"/>
    <n v="24425"/>
    <n v="0"/>
    <n v="0"/>
  </r>
  <r>
    <s v="Non-displaced PopulationSD15030"/>
    <x v="14"/>
    <x v="14"/>
    <x v="151"/>
    <x v="152"/>
    <m/>
    <m/>
    <x v="422"/>
    <x v="2"/>
    <n v="0"/>
    <n v="19112.446899999999"/>
    <n v="7394.55"/>
    <n v="3810"/>
    <n v="39378"/>
    <n v="5422.670000000001"/>
    <n v="0"/>
    <n v="19768.097000000002"/>
    <n v="5423"/>
    <n v="3902"/>
    <n v="0"/>
    <n v="4930"/>
    <n v="0"/>
    <n v="0.38769999999999999"/>
    <n v="0.15"/>
    <n v="7.7286650303263885E-2"/>
    <n v="0.79879100148082038"/>
    <n v="0.11000000000000001"/>
    <n v="0"/>
    <n v="0.40100000000000002"/>
    <n v="0.1"/>
    <n v="0.1"/>
    <n v="0"/>
    <n v="0.1"/>
    <n v="39378"/>
    <s v="Nutrition"/>
    <n v="0.79879100148082038"/>
    <s v="Flagged"/>
    <s v=""/>
    <s v="Flagged"/>
    <n v="19768.097000000002"/>
    <s v="WASH"/>
    <n v="0.40100000000000002"/>
    <n v="19609.902999999998"/>
    <n v="0.99199750992723257"/>
    <s v="Flagged"/>
    <n v="19112.446899999999"/>
    <s v="Education"/>
    <n v="0.38769999999999999"/>
    <n v="20265.553100000001"/>
    <n v="1.0603327353129233"/>
    <s v="Flagged"/>
    <s v=""/>
    <s v=""/>
    <n v="39378"/>
    <m/>
    <m/>
    <n v="4"/>
    <s v="Flagged"/>
    <n v="39378"/>
    <m/>
    <x v="2"/>
    <x v="2"/>
    <n v="39378"/>
    <n v="0"/>
    <n v="0"/>
  </r>
  <r>
    <s v="Non-displaced PopulationSD15031"/>
    <x v="14"/>
    <x v="14"/>
    <x v="152"/>
    <x v="153"/>
    <m/>
    <m/>
    <x v="423"/>
    <x v="2"/>
    <n v="0"/>
    <n v="0"/>
    <n v="51545.25"/>
    <n v="6420"/>
    <n v="56254"/>
    <n v="22679.910000000003"/>
    <n v="41236"/>
    <n v="114595.39979999998"/>
    <n v="22680"/>
    <n v="16321"/>
    <n v="0"/>
    <n v="20618"/>
    <n v="0"/>
    <n v="0"/>
    <n v="0.25"/>
    <n v="3.1137689699826852E-2"/>
    <n v="0.27283794336044542"/>
    <n v="0.11000000000000001"/>
    <n v="0.19999902997851401"/>
    <n v="0.55579999999999996"/>
    <n v="0.1"/>
    <n v="0.1"/>
    <n v="0"/>
    <n v="0.1"/>
    <n v="114595.39979999998"/>
    <s v="WASH"/>
    <n v="0.55579999999999996"/>
    <s v="Flagged"/>
    <s v=""/>
    <s v=""/>
    <n v="56254"/>
    <s v="Nutrition"/>
    <n v="0.27283794336044542"/>
    <n v="58341.399799999985"/>
    <n v="1.0371066910797451"/>
    <s v="Flagged"/>
    <n v="51545.25"/>
    <s v="Food Security and Livlihoods"/>
    <n v="0.25"/>
    <n v="63050.149799999985"/>
    <n v="1.2231999999999996"/>
    <s v="Flagged"/>
    <s v=""/>
    <s v=""/>
    <n v="114595.39979999998"/>
    <m/>
    <m/>
    <n v="3"/>
    <s v="Flagged"/>
    <n v="114595"/>
    <m/>
    <x v="2"/>
    <x v="2"/>
    <n v="114595"/>
    <n v="0"/>
    <n v="0"/>
  </r>
  <r>
    <s v="Non-displaced PopulationSD15032"/>
    <x v="14"/>
    <x v="14"/>
    <x v="153"/>
    <x v="154"/>
    <m/>
    <m/>
    <x v="424"/>
    <x v="2"/>
    <n v="0"/>
    <n v="36024.308599999997"/>
    <n v="32521.3"/>
    <n v="24895"/>
    <n v="26356"/>
    <n v="10220.980000000001"/>
    <n v="0"/>
    <n v="48763.366399999999"/>
    <n v="10221"/>
    <n v="7356"/>
    <n v="0"/>
    <n v="9292"/>
    <n v="0"/>
    <n v="0.38769999999999999"/>
    <n v="0.35"/>
    <n v="0.2679244064659162"/>
    <n v="0.28364794765276913"/>
    <n v="0.11000000000000001"/>
    <n v="0"/>
    <n v="0.52480000000000004"/>
    <n v="0.1"/>
    <n v="0.1"/>
    <n v="0"/>
    <n v="0.1"/>
    <n v="48763.366399999999"/>
    <s v="WASH"/>
    <n v="0.52480000000000004"/>
    <s v="Flagged"/>
    <s v=""/>
    <s v=""/>
    <n v="36024.308599999997"/>
    <s v="Education"/>
    <n v="0.38769999999999999"/>
    <n v="12739.057800000002"/>
    <n v="0.35362393603301534"/>
    <s v="Flagged"/>
    <n v="32521.3"/>
    <s v="Food Security and Livlihoods"/>
    <n v="0.35"/>
    <n v="16242.0664"/>
    <n v="0.49942857142857144"/>
    <s v=""/>
    <s v=""/>
    <s v=""/>
    <n v="48763.366399999999"/>
    <m/>
    <m/>
    <n v="2"/>
    <s v="Flagged"/>
    <n v="48763"/>
    <m/>
    <x v="2"/>
    <x v="2"/>
    <n v="48763"/>
    <n v="0"/>
    <n v="0"/>
  </r>
  <r>
    <s v="Non-displaced PopulationSD15033"/>
    <x v="14"/>
    <x v="14"/>
    <x v="154"/>
    <x v="155"/>
    <m/>
    <m/>
    <x v="425"/>
    <x v="2"/>
    <n v="0"/>
    <n v="0"/>
    <n v="88216.8"/>
    <n v="17990"/>
    <n v="52269"/>
    <n v="27725.280000000006"/>
    <n v="50410"/>
    <n v="118210.51199999997"/>
    <n v="27725"/>
    <n v="19953"/>
    <n v="0"/>
    <n v="25205"/>
    <n v="0"/>
    <n v="0"/>
    <n v="0.35000000000000003"/>
    <n v="7.1375293594870812E-2"/>
    <n v="0.20737716625404684"/>
    <n v="0.11000000000000003"/>
    <n v="0.20000158699930173"/>
    <n v="0.46899999999999992"/>
    <n v="0.1"/>
    <n v="0.1"/>
    <n v="0"/>
    <n v="0.1"/>
    <n v="118210.51199999997"/>
    <s v="WASH"/>
    <n v="0.46899999999999992"/>
    <s v="Flagged"/>
    <s v=""/>
    <s v=""/>
    <n v="88216.8"/>
    <s v="Food Security and Livlihoods"/>
    <n v="0.35000000000000003"/>
    <n v="29993.71199999997"/>
    <n v="0.33999999999999964"/>
    <s v="Flagged"/>
    <n v="52269"/>
    <s v="Nutrition"/>
    <n v="0.20737716625404684"/>
    <n v="65941.511999999973"/>
    <n v="1.261579750903977"/>
    <s v="Flagged"/>
    <s v=""/>
    <s v=""/>
    <n v="118210.51199999997"/>
    <m/>
    <m/>
    <n v="3"/>
    <s v="Flagged"/>
    <n v="118211"/>
    <m/>
    <x v="2"/>
    <x v="2"/>
    <n v="118211"/>
    <n v="0"/>
    <n v="0"/>
  </r>
  <r>
    <s v="Non-displaced PopulationSD15034"/>
    <x v="14"/>
    <x v="14"/>
    <x v="155"/>
    <x v="156"/>
    <m/>
    <m/>
    <x v="426"/>
    <x v="2"/>
    <n v="0"/>
    <n v="0"/>
    <n v="76870.5"/>
    <n v="12200"/>
    <n v="67812"/>
    <n v="28185.850000000002"/>
    <n v="76871"/>
    <n v="187256.538"/>
    <n v="28186"/>
    <n v="20285"/>
    <n v="0"/>
    <n v="0"/>
    <n v="0"/>
    <n v="0"/>
    <n v="0.3"/>
    <n v="4.7612543173258921E-2"/>
    <n v="0.26464768669385524"/>
    <n v="0.11000000000000001"/>
    <n v="0.30000195133373658"/>
    <n v="0.73080000000000001"/>
    <n v="0.1"/>
    <n v="0.1"/>
    <n v="0"/>
    <n v="0"/>
    <n v="187256.538"/>
    <s v="WASH"/>
    <n v="0.73080000000000001"/>
    <s v="Flagged"/>
    <s v=""/>
    <s v=""/>
    <n v="76871"/>
    <s v="Shelter NFI "/>
    <n v="0.30000195133373658"/>
    <n v="110385.538"/>
    <n v="1.4359841552731198"/>
    <s v="Flagged"/>
    <n v="76870.5"/>
    <s v="Food Security and Livlihoods"/>
    <n v="0.3"/>
    <n v="110386.038"/>
    <n v="1.4359999999999999"/>
    <s v="Flagged"/>
    <s v=""/>
    <s v=""/>
    <n v="187256.538"/>
    <m/>
    <m/>
    <n v="3"/>
    <s v="Flagged"/>
    <n v="187257"/>
    <m/>
    <x v="2"/>
    <x v="2"/>
    <n v="187257"/>
    <n v="0"/>
    <n v="0"/>
  </r>
  <r>
    <s v="Non-displaced PopulationSD15035"/>
    <x v="14"/>
    <x v="14"/>
    <x v="156"/>
    <x v="157"/>
    <m/>
    <m/>
    <x v="427"/>
    <x v="2"/>
    <n v="0"/>
    <n v="68799.691200000001"/>
    <n v="62109.599999999999"/>
    <n v="13870"/>
    <n v="28496"/>
    <n v="19520.16"/>
    <n v="35491"/>
    <n v="146738.3664"/>
    <n v="19520"/>
    <n v="14049"/>
    <n v="0"/>
    <n v="17746"/>
    <n v="0"/>
    <n v="0.38769999999999999"/>
    <n v="0.35"/>
    <n v="7.8160219998196737E-2"/>
    <n v="0.16058065097827068"/>
    <n v="0.11"/>
    <n v="0.19999887296005769"/>
    <n v="0.82689999999999997"/>
    <n v="0.1"/>
    <n v="0.1"/>
    <n v="0"/>
    <n v="0.1"/>
    <n v="146738.3664"/>
    <s v="WASH"/>
    <n v="0.82689999999999997"/>
    <s v=""/>
    <s v=""/>
    <s v=""/>
    <n v="68799.691200000001"/>
    <s v="Education"/>
    <n v="0.38769999999999999"/>
    <n v="77938.675199999998"/>
    <n v="1.1328346659788495"/>
    <s v="Flagged"/>
    <n v="62109.599999999999"/>
    <s v="Food Security and Livlihoods"/>
    <n v="0.35"/>
    <n v="84628.766399999993"/>
    <n v="1.3625714285714285"/>
    <s v="Flagged"/>
    <s v=""/>
    <s v=""/>
    <n v="146738.3664"/>
    <m/>
    <m/>
    <n v="2"/>
    <s v="Flagged"/>
    <n v="146738"/>
    <m/>
    <x v="0"/>
    <x v="0"/>
    <n v="0"/>
    <n v="146738"/>
    <n v="0"/>
  </r>
  <r>
    <s v="Non-displaced PopulationSD15036"/>
    <x v="14"/>
    <x v="14"/>
    <x v="157"/>
    <x v="158"/>
    <m/>
    <m/>
    <x v="428"/>
    <x v="2"/>
    <n v="0"/>
    <n v="0"/>
    <n v="73172.7"/>
    <n v="8715"/>
    <n v="78049"/>
    <n v="26829.990000000005"/>
    <n v="48782"/>
    <n v="163345.8573"/>
    <n v="26830"/>
    <n v="19309"/>
    <n v="0"/>
    <n v="0"/>
    <n v="0"/>
    <n v="0"/>
    <n v="0.3"/>
    <n v="3.5730538848504974E-2"/>
    <n v="0.3199922922073396"/>
    <n v="0.11000000000000003"/>
    <n v="0.20000081997794258"/>
    <n v="0.66969999999999996"/>
    <n v="0.1"/>
    <n v="0.1"/>
    <n v="0"/>
    <n v="0"/>
    <n v="163345.8573"/>
    <s v="WASH"/>
    <n v="0.66969999999999996"/>
    <s v="Flagged"/>
    <s v=""/>
    <s v=""/>
    <n v="78049"/>
    <s v="Nutrition"/>
    <n v="0.3199922922073396"/>
    <n v="85296.857300000003"/>
    <n v="1.0928629104793144"/>
    <s v="Flagged"/>
    <n v="73172.7"/>
    <s v="Food Security and Livlihoods"/>
    <n v="0.3"/>
    <n v="90173.157300000006"/>
    <n v="1.2323333333333335"/>
    <s v="Flagged"/>
    <s v=""/>
    <s v=""/>
    <n v="163345.8573"/>
    <m/>
    <m/>
    <n v="3"/>
    <s v="Flagged"/>
    <n v="163346"/>
    <m/>
    <x v="2"/>
    <x v="2"/>
    <n v="163346"/>
    <n v="0"/>
    <n v="0"/>
  </r>
  <r>
    <s v="Non-displaced PopulationSD15037"/>
    <x v="14"/>
    <x v="14"/>
    <x v="158"/>
    <x v="159"/>
    <m/>
    <m/>
    <x v="429"/>
    <x v="2"/>
    <n v="0"/>
    <n v="0"/>
    <n v="46252.800000000003"/>
    <n v="11265"/>
    <n v="47127"/>
    <n v="16959.36"/>
    <n v="30835"/>
    <n v="73911.974399999992"/>
    <n v="16959"/>
    <n v="8136"/>
    <n v="0"/>
    <n v="15418"/>
    <n v="0"/>
    <n v="0"/>
    <n v="0.30000000000000004"/>
    <n v="7.3065846824408462E-2"/>
    <n v="0.30567014321295144"/>
    <n v="0.11"/>
    <n v="0.19999870278123702"/>
    <n v="0.47939999999999994"/>
    <n v="0.1"/>
    <n v="0.05"/>
    <n v="0"/>
    <n v="0.1"/>
    <n v="73911.974399999992"/>
    <s v="WASH"/>
    <n v="0.47939999999999994"/>
    <s v="Flagged"/>
    <s v=""/>
    <s v=""/>
    <n v="47127"/>
    <s v="Nutrition"/>
    <n v="0.30567014321295144"/>
    <n v="26784.974399999992"/>
    <n v="0.56835729836399496"/>
    <s v="Flagged"/>
    <n v="46252.800000000003"/>
    <s v="Food Security and Livlihoods"/>
    <n v="0.30000000000000004"/>
    <n v="27659.174399999989"/>
    <n v="0.59799999999999975"/>
    <s v="Flagged"/>
    <s v=""/>
    <s v=""/>
    <n v="73911.974399999992"/>
    <m/>
    <m/>
    <n v="3"/>
    <s v="Flagged"/>
    <n v="73912"/>
    <m/>
    <x v="2"/>
    <x v="2"/>
    <n v="73912"/>
    <n v="0"/>
    <n v="0"/>
  </r>
  <r>
    <s v="Non-displaced PopulationSD16008"/>
    <x v="15"/>
    <x v="15"/>
    <x v="159"/>
    <x v="160"/>
    <m/>
    <m/>
    <x v="34"/>
    <x v="2"/>
    <n v="0"/>
    <n v="0"/>
    <n v="0"/>
    <n v="6000"/>
    <n v="16225"/>
    <n v="0"/>
    <n v="0"/>
    <n v="0"/>
    <n v="0"/>
    <n v="0"/>
    <n v="0"/>
    <n v="0"/>
    <e v="#DIV/0!"/>
    <e v="#DIV/0!"/>
    <e v="#DIV/0!"/>
    <e v="#DIV/0!"/>
    <e v="#DIV/0!"/>
    <e v="#DIV/0!"/>
    <e v="#DIV/0!"/>
    <e v="#DIV/0!"/>
    <s v=""/>
    <s v=""/>
    <s v=""/>
    <s v=""/>
    <n v="16225"/>
    <s v="Nutrition"/>
    <e v="#DIV/0!"/>
    <s v="Flagged"/>
    <s v=""/>
    <s v="Flagged"/>
    <n v="6000"/>
    <s v="Health "/>
    <s v=""/>
    <n v="10225"/>
    <n v="1.7041666666666666"/>
    <s v="Flagged"/>
    <n v="0"/>
    <s v="Site Management _x000a_Education_x000a_Food Security and Livlihoods_x000a_Protection_x000a_Shelter NFI _x000a_WASH"/>
    <s v=""/>
    <n v="16225"/>
    <s v=""/>
    <s v=""/>
    <s v=""/>
    <s v=""/>
    <n v="16225"/>
    <m/>
    <m/>
    <n v="3"/>
    <s v="Flagged"/>
    <n v="0"/>
    <m/>
    <x v="2"/>
    <x v="2"/>
    <n v="0"/>
    <n v="0"/>
    <n v="0"/>
  </r>
  <r>
    <s v="Non-displaced PopulationSD16009"/>
    <x v="15"/>
    <x v="15"/>
    <x v="160"/>
    <x v="161"/>
    <m/>
    <m/>
    <x v="34"/>
    <x v="2"/>
    <n v="0"/>
    <n v="0"/>
    <n v="0"/>
    <n v="4390"/>
    <n v="14695"/>
    <n v="0"/>
    <n v="0"/>
    <n v="0"/>
    <n v="0"/>
    <n v="0"/>
    <n v="0"/>
    <n v="0"/>
    <e v="#DIV/0!"/>
    <e v="#DIV/0!"/>
    <e v="#DIV/0!"/>
    <e v="#DIV/0!"/>
    <e v="#DIV/0!"/>
    <e v="#DIV/0!"/>
    <e v="#DIV/0!"/>
    <e v="#DIV/0!"/>
    <s v=""/>
    <s v=""/>
    <s v=""/>
    <s v=""/>
    <n v="14695"/>
    <s v="Nutrition"/>
    <e v="#DIV/0!"/>
    <s v="Flagged"/>
    <s v=""/>
    <s v="Flagged"/>
    <n v="4390"/>
    <s v="Health "/>
    <s v=""/>
    <n v="10305"/>
    <n v="2.3473804100227791"/>
    <s v="Flagged"/>
    <n v="0"/>
    <s v="Site Management _x000a_Education_x000a_Food Security and Livlihoods_x000a_Protection_x000a_Shelter NFI _x000a_WASH"/>
    <s v=""/>
    <n v="14695"/>
    <s v=""/>
    <s v=""/>
    <s v=""/>
    <s v=""/>
    <n v="14695"/>
    <m/>
    <m/>
    <n v="3"/>
    <s v="Flagged"/>
    <n v="0"/>
    <m/>
    <x v="2"/>
    <x v="2"/>
    <n v="0"/>
    <n v="0"/>
    <n v="0"/>
  </r>
  <r>
    <s v="Non-displaced PopulationSD16010"/>
    <x v="15"/>
    <x v="15"/>
    <x v="161"/>
    <x v="162"/>
    <m/>
    <m/>
    <x v="34"/>
    <x v="2"/>
    <n v="0"/>
    <n v="0"/>
    <n v="0"/>
    <n v="11440"/>
    <n v="43648"/>
    <n v="0"/>
    <n v="0"/>
    <n v="0"/>
    <n v="0"/>
    <n v="0"/>
    <n v="0"/>
    <n v="0"/>
    <e v="#DIV/0!"/>
    <e v="#DIV/0!"/>
    <e v="#DIV/0!"/>
    <e v="#DIV/0!"/>
    <e v="#DIV/0!"/>
    <e v="#DIV/0!"/>
    <e v="#DIV/0!"/>
    <e v="#DIV/0!"/>
    <s v=""/>
    <s v=""/>
    <s v=""/>
    <s v=""/>
    <n v="43648"/>
    <s v="Nutrition"/>
    <e v="#DIV/0!"/>
    <s v="Flagged"/>
    <s v=""/>
    <s v="Flagged"/>
    <n v="11440"/>
    <s v="Health "/>
    <s v=""/>
    <n v="32208"/>
    <n v="2.8153846153846156"/>
    <s v="Flagged"/>
    <n v="0"/>
    <s v="Site Management _x000a_Education_x000a_Food Security and Livlihoods_x000a_Protection_x000a_Shelter NFI _x000a_WASH"/>
    <s v=""/>
    <n v="43648"/>
    <s v=""/>
    <s v=""/>
    <s v=""/>
    <s v=""/>
    <n v="43648"/>
    <m/>
    <m/>
    <n v="3"/>
    <s v="Flagged"/>
    <n v="0"/>
    <m/>
    <x v="2"/>
    <x v="0"/>
    <n v="0"/>
    <n v="0"/>
    <n v="0"/>
  </r>
  <r>
    <s v="Non-displaced PopulationSD16011"/>
    <x v="15"/>
    <x v="15"/>
    <x v="162"/>
    <x v="163"/>
    <m/>
    <m/>
    <x v="34"/>
    <x v="2"/>
    <n v="0"/>
    <n v="0"/>
    <n v="0"/>
    <n v="6160"/>
    <n v="22314"/>
    <n v="0"/>
    <n v="0"/>
    <n v="0"/>
    <n v="0"/>
    <n v="0"/>
    <n v="0"/>
    <n v="0"/>
    <e v="#DIV/0!"/>
    <e v="#DIV/0!"/>
    <e v="#DIV/0!"/>
    <e v="#DIV/0!"/>
    <e v="#DIV/0!"/>
    <e v="#DIV/0!"/>
    <e v="#DIV/0!"/>
    <e v="#DIV/0!"/>
    <s v=""/>
    <s v=""/>
    <s v=""/>
    <s v=""/>
    <n v="22314"/>
    <s v="Nutrition"/>
    <e v="#DIV/0!"/>
    <s v="Flagged"/>
    <s v=""/>
    <s v="Flagged"/>
    <n v="6160"/>
    <s v="Health "/>
    <s v=""/>
    <n v="16154"/>
    <n v="2.6224025974025973"/>
    <s v="Flagged"/>
    <n v="0"/>
    <s v="Site Management _x000a_Education_x000a_Food Security and Livlihoods_x000a_Protection_x000a_Shelter NFI _x000a_WASH"/>
    <s v=""/>
    <n v="22314"/>
    <s v=""/>
    <s v=""/>
    <s v=""/>
    <s v=""/>
    <n v="22314"/>
    <m/>
    <m/>
    <n v="3"/>
    <s v="Flagged"/>
    <n v="0"/>
    <m/>
    <x v="2"/>
    <x v="2"/>
    <n v="0"/>
    <n v="0"/>
    <n v="0"/>
  </r>
  <r>
    <s v="Non-displaced PopulationSD16012"/>
    <x v="15"/>
    <x v="15"/>
    <x v="163"/>
    <x v="164"/>
    <m/>
    <m/>
    <x v="34"/>
    <x v="2"/>
    <n v="0"/>
    <n v="0"/>
    <n v="0"/>
    <n v="2410"/>
    <n v="4556"/>
    <n v="0"/>
    <n v="0"/>
    <n v="0"/>
    <n v="0"/>
    <n v="0"/>
    <n v="0"/>
    <n v="0"/>
    <e v="#DIV/0!"/>
    <e v="#DIV/0!"/>
    <e v="#DIV/0!"/>
    <e v="#DIV/0!"/>
    <e v="#DIV/0!"/>
    <e v="#DIV/0!"/>
    <e v="#DIV/0!"/>
    <e v="#DIV/0!"/>
    <s v=""/>
    <s v=""/>
    <s v=""/>
    <s v=""/>
    <n v="4556"/>
    <s v="Nutrition"/>
    <e v="#DIV/0!"/>
    <s v="Flagged"/>
    <s v=""/>
    <s v="Flagged"/>
    <n v="2410"/>
    <s v="Health "/>
    <s v=""/>
    <n v="2146"/>
    <n v="0.89045643153526965"/>
    <s v="Flagged"/>
    <n v="0"/>
    <s v="Site Management _x000a_Education_x000a_Food Security and Livlihoods_x000a_Protection_x000a_Shelter NFI _x000a_WASH"/>
    <s v=""/>
    <n v="4556"/>
    <s v=""/>
    <s v=""/>
    <s v=""/>
    <s v=""/>
    <n v="4556"/>
    <m/>
    <m/>
    <n v="3"/>
    <s v="Flagged"/>
    <n v="0"/>
    <m/>
    <x v="2"/>
    <x v="2"/>
    <n v="0"/>
    <n v="0"/>
    <n v="0"/>
  </r>
  <r>
    <s v="Non-displaced PopulationSD16013"/>
    <x v="15"/>
    <x v="15"/>
    <x v="164"/>
    <x v="165"/>
    <m/>
    <m/>
    <x v="34"/>
    <x v="2"/>
    <n v="0"/>
    <n v="0"/>
    <n v="0"/>
    <n v="21065"/>
    <n v="22819"/>
    <n v="0"/>
    <n v="0"/>
    <n v="0"/>
    <n v="0"/>
    <n v="0"/>
    <n v="0"/>
    <n v="0"/>
    <e v="#DIV/0!"/>
    <e v="#DIV/0!"/>
    <e v="#DIV/0!"/>
    <e v="#DIV/0!"/>
    <e v="#DIV/0!"/>
    <e v="#DIV/0!"/>
    <e v="#DIV/0!"/>
    <e v="#DIV/0!"/>
    <s v=""/>
    <s v=""/>
    <s v=""/>
    <s v=""/>
    <n v="22819"/>
    <s v="Nutrition"/>
    <e v="#DIV/0!"/>
    <s v="Flagged"/>
    <s v=""/>
    <s v="Flagged"/>
    <n v="21065"/>
    <s v="Health "/>
    <s v=""/>
    <n v="1754"/>
    <n v="8.3266081177308326E-2"/>
    <s v=""/>
    <n v="0"/>
    <s v="Site Management _x000a_Education_x000a_Food Security and Livlihoods_x000a_Protection_x000a_Shelter NFI _x000a_WASH"/>
    <s v=""/>
    <n v="22819"/>
    <s v=""/>
    <s v=""/>
    <s v=""/>
    <s v=""/>
    <n v="22819"/>
    <m/>
    <m/>
    <n v="2"/>
    <s v="Flagged"/>
    <n v="0"/>
    <m/>
    <x v="2"/>
    <x v="2"/>
    <n v="0"/>
    <n v="0"/>
    <n v="0"/>
  </r>
  <r>
    <s v="Non-displaced PopulationSD16014"/>
    <x v="15"/>
    <x v="15"/>
    <x v="165"/>
    <x v="166"/>
    <m/>
    <m/>
    <x v="34"/>
    <x v="2"/>
    <n v="0"/>
    <n v="0"/>
    <n v="0"/>
    <n v="0"/>
    <n v="4604"/>
    <n v="0"/>
    <n v="0"/>
    <n v="0"/>
    <n v="0"/>
    <n v="0"/>
    <n v="0"/>
    <n v="0"/>
    <e v="#DIV/0!"/>
    <e v="#DIV/0!"/>
    <e v="#DIV/0!"/>
    <e v="#DIV/0!"/>
    <e v="#DIV/0!"/>
    <e v="#DIV/0!"/>
    <e v="#DIV/0!"/>
    <e v="#DIV/0!"/>
    <s v=""/>
    <s v=""/>
    <s v=""/>
    <s v=""/>
    <n v="4604"/>
    <s v="Nutrition"/>
    <e v="#DIV/0!"/>
    <s v="Flagged"/>
    <s v=""/>
    <s v="Flagged"/>
    <n v="0"/>
    <s v="Site Management _x000a_Education_x000a_Food Security and Livlihoods_x000a_Health _x000a_Protection_x000a_Shelter NFI _x000a_WASH"/>
    <s v=""/>
    <n v="4604"/>
    <s v=""/>
    <s v=""/>
    <s v="NA"/>
    <s v=""/>
    <s v=""/>
    <s v=""/>
    <s v=""/>
    <s v=""/>
    <s v=""/>
    <s v=""/>
    <n v="4604"/>
    <m/>
    <m/>
    <n v="2"/>
    <s v="Flagged"/>
    <n v="0"/>
    <m/>
    <x v="2"/>
    <x v="2"/>
    <n v="0"/>
    <n v="0"/>
    <n v="0"/>
  </r>
  <r>
    <s v="Non-displaced PopulationSD17014"/>
    <x v="16"/>
    <x v="16"/>
    <x v="166"/>
    <x v="167"/>
    <m/>
    <m/>
    <x v="430"/>
    <x v="2"/>
    <n v="0"/>
    <n v="896.36239999999998"/>
    <n v="578"/>
    <n v="6290"/>
    <n v="1055"/>
    <n v="254.32000000000005"/>
    <n v="462"/>
    <n v="1087.7959999999998"/>
    <n v="254"/>
    <n v="182"/>
    <n v="0"/>
    <n v="231"/>
    <n v="0"/>
    <n v="0.38769999999999999"/>
    <n v="0.25"/>
    <n v="2.7205882352941178"/>
    <n v="0.45631487889273359"/>
    <n v="0.11000000000000003"/>
    <n v="0.19982698961937717"/>
    <n v="0.47049999999999992"/>
    <n v="0.1"/>
    <n v="0.1"/>
    <n v="0"/>
    <n v="0.1"/>
    <n v="6290"/>
    <s v="Health "/>
    <n v="2.7205882352941178"/>
    <s v=""/>
    <s v="Flagged"/>
    <s v=""/>
    <n v="1087.7959999999998"/>
    <s v="WASH"/>
    <n v="0.47049999999999992"/>
    <n v="5202.2039999999997"/>
    <n v="4.7823341876601866"/>
    <s v="Flagged"/>
    <n v="1055"/>
    <s v="Nutrition"/>
    <n v="0.45631487889273359"/>
    <n v="5235"/>
    <n v="4.9620853080568716"/>
    <s v="Flagged"/>
    <s v=""/>
    <s v=""/>
    <n v="6290"/>
    <m/>
    <m/>
    <n v="3"/>
    <s v="Flagged"/>
    <n v="2312"/>
    <m/>
    <x v="2"/>
    <x v="2"/>
    <n v="2312"/>
    <n v="0"/>
    <n v="0"/>
  </r>
  <r>
    <s v="Non-displaced PopulationSD17015"/>
    <x v="16"/>
    <x v="16"/>
    <x v="167"/>
    <x v="168"/>
    <m/>
    <m/>
    <x v="34"/>
    <x v="2"/>
    <n v="0"/>
    <n v="0"/>
    <n v="0"/>
    <n v="0"/>
    <n v="1838"/>
    <n v="0"/>
    <n v="0"/>
    <n v="0"/>
    <n v="0"/>
    <n v="0"/>
    <n v="0"/>
    <n v="0"/>
    <e v="#DIV/0!"/>
    <e v="#DIV/0!"/>
    <e v="#DIV/0!"/>
    <e v="#DIV/0!"/>
    <e v="#DIV/0!"/>
    <e v="#DIV/0!"/>
    <e v="#DIV/0!"/>
    <e v="#DIV/0!"/>
    <s v=""/>
    <s v=""/>
    <s v=""/>
    <s v=""/>
    <n v="1838"/>
    <s v="Nutrition"/>
    <e v="#DIV/0!"/>
    <s v="Flagged"/>
    <s v=""/>
    <s v="Flagged"/>
    <n v="0"/>
    <s v="Site Management _x000a_Education_x000a_Food Security and Livlihoods_x000a_Health _x000a_Protection_x000a_Shelter NFI _x000a_WASH"/>
    <s v=""/>
    <n v="1838"/>
    <s v=""/>
    <s v=""/>
    <s v="NA"/>
    <s v=""/>
    <s v=""/>
    <s v=""/>
    <s v=""/>
    <s v=""/>
    <s v=""/>
    <s v=""/>
    <n v="1838"/>
    <m/>
    <m/>
    <n v="2"/>
    <s v="Flagged"/>
    <n v="0"/>
    <m/>
    <x v="2"/>
    <x v="2"/>
    <n v="0"/>
    <n v="0"/>
    <n v="0"/>
  </r>
  <r>
    <s v="Non-displaced PopulationSD17016"/>
    <x v="16"/>
    <x v="16"/>
    <x v="168"/>
    <x v="169"/>
    <m/>
    <m/>
    <x v="34"/>
    <x v="2"/>
    <n v="0"/>
    <n v="0"/>
    <n v="0"/>
    <n v="0"/>
    <n v="6851"/>
    <n v="0"/>
    <n v="0"/>
    <n v="0"/>
    <n v="0"/>
    <n v="0"/>
    <n v="0"/>
    <n v="0"/>
    <e v="#DIV/0!"/>
    <e v="#DIV/0!"/>
    <e v="#DIV/0!"/>
    <e v="#DIV/0!"/>
    <e v="#DIV/0!"/>
    <e v="#DIV/0!"/>
    <e v="#DIV/0!"/>
    <e v="#DIV/0!"/>
    <s v=""/>
    <s v=""/>
    <s v=""/>
    <s v=""/>
    <n v="6851"/>
    <s v="Nutrition"/>
    <e v="#DIV/0!"/>
    <s v="Flagged"/>
    <s v=""/>
    <s v="Flagged"/>
    <n v="0"/>
    <s v="Site Management _x000a_Education_x000a_Food Security and Livlihoods_x000a_Health _x000a_Protection_x000a_Shelter NFI _x000a_WASH"/>
    <s v=""/>
    <n v="6851"/>
    <s v=""/>
    <s v=""/>
    <s v="NA"/>
    <s v=""/>
    <s v=""/>
    <s v=""/>
    <s v=""/>
    <s v=""/>
    <s v=""/>
    <s v=""/>
    <n v="6851"/>
    <m/>
    <m/>
    <n v="2"/>
    <s v="Flagged"/>
    <n v="0"/>
    <m/>
    <x v="2"/>
    <x v="2"/>
    <n v="0"/>
    <n v="0"/>
    <n v="0"/>
  </r>
  <r>
    <s v="Non-displaced PopulationSD17017"/>
    <x v="16"/>
    <x v="16"/>
    <x v="169"/>
    <x v="170"/>
    <m/>
    <m/>
    <x v="431"/>
    <x v="2"/>
    <n v="0"/>
    <n v="1449.998"/>
    <n v="748"/>
    <n v="0"/>
    <n v="3740"/>
    <n v="411.40000000000003"/>
    <n v="748"/>
    <n v="1614.932"/>
    <n v="411"/>
    <n v="295"/>
    <n v="0"/>
    <n v="0"/>
    <n v="0"/>
    <n v="0.38769999999999999"/>
    <n v="0.2"/>
    <n v="0"/>
    <n v="1"/>
    <n v="0.11000000000000001"/>
    <n v="0.2"/>
    <n v="0.43180000000000002"/>
    <n v="0.1"/>
    <n v="0.1"/>
    <n v="0"/>
    <n v="0"/>
    <n v="3740"/>
    <s v="Nutrition"/>
    <n v="1"/>
    <s v="Flagged"/>
    <s v="Flagged"/>
    <s v="Flagged"/>
    <n v="1614.932"/>
    <s v="WASH"/>
    <n v="0.43180000000000002"/>
    <n v="2125.0680000000002"/>
    <n v="1.315886984715146"/>
    <s v="Flagged"/>
    <n v="1449.998"/>
    <s v="Education"/>
    <n v="0.38769999999999999"/>
    <n v="2290.002"/>
    <n v="1.5793139025019345"/>
    <s v="Flagged"/>
    <s v=""/>
    <s v=""/>
    <n v="3740"/>
    <m/>
    <m/>
    <n v="5"/>
    <s v="Flagged"/>
    <n v="3740"/>
    <m/>
    <x v="2"/>
    <x v="2"/>
    <n v="3740"/>
    <n v="0"/>
    <n v="0"/>
  </r>
  <r>
    <s v="Non-displaced PopulationSD17018"/>
    <x v="16"/>
    <x v="16"/>
    <x v="170"/>
    <x v="171"/>
    <m/>
    <m/>
    <x v="34"/>
    <x v="2"/>
    <n v="0"/>
    <n v="0"/>
    <n v="0"/>
    <n v="0"/>
    <n v="6364"/>
    <n v="0"/>
    <n v="0"/>
    <n v="0"/>
    <n v="0"/>
    <n v="0"/>
    <n v="0"/>
    <n v="0"/>
    <e v="#DIV/0!"/>
    <e v="#DIV/0!"/>
    <e v="#DIV/0!"/>
    <e v="#DIV/0!"/>
    <e v="#DIV/0!"/>
    <e v="#DIV/0!"/>
    <e v="#DIV/0!"/>
    <e v="#DIV/0!"/>
    <s v=""/>
    <s v=""/>
    <s v=""/>
    <s v=""/>
    <n v="6364"/>
    <s v="Nutrition"/>
    <e v="#DIV/0!"/>
    <s v="Flagged"/>
    <s v=""/>
    <s v="Flagged"/>
    <n v="0"/>
    <s v="Site Management _x000a_Education_x000a_Food Security and Livlihoods_x000a_Health _x000a_Protection_x000a_Shelter NFI _x000a_WASH"/>
    <s v=""/>
    <n v="6364"/>
    <s v=""/>
    <s v=""/>
    <s v="NA"/>
    <s v=""/>
    <s v=""/>
    <s v=""/>
    <s v=""/>
    <s v=""/>
    <s v=""/>
    <s v=""/>
    <n v="6364"/>
    <m/>
    <m/>
    <n v="2"/>
    <s v="Flagged"/>
    <n v="0"/>
    <m/>
    <x v="2"/>
    <x v="2"/>
    <n v="0"/>
    <n v="0"/>
    <n v="0"/>
  </r>
  <r>
    <s v="Non-displaced PopulationSD17019"/>
    <x v="16"/>
    <x v="16"/>
    <x v="171"/>
    <x v="172"/>
    <m/>
    <m/>
    <x v="432"/>
    <x v="2"/>
    <n v="0"/>
    <n v="17296.072400000001"/>
    <n v="17844.8"/>
    <n v="6270"/>
    <n v="11769"/>
    <n v="4907.3200000000006"/>
    <n v="8922"/>
    <n v="10091.234400000001"/>
    <n v="4907"/>
    <n v="3531"/>
    <n v="0"/>
    <n v="0"/>
    <n v="0"/>
    <n v="0.38770000000000004"/>
    <n v="0.39999999999999997"/>
    <n v="0.14054514480408858"/>
    <n v="0.263807944050928"/>
    <n v="0.11000000000000001"/>
    <n v="0.19999103380256433"/>
    <n v="0.22620000000000004"/>
    <n v="0.1"/>
    <n v="0.1"/>
    <n v="0"/>
    <n v="0"/>
    <n v="17844.8"/>
    <s v="Food Security and Livlihoods"/>
    <n v="0.39999999999999997"/>
    <s v=""/>
    <s v=""/>
    <s v=""/>
    <n v="17296.072400000001"/>
    <s v="Education"/>
    <n v="0.38770000000000004"/>
    <n v="548.72759999999835"/>
    <n v="3.17255610007737E-2"/>
    <s v=""/>
    <n v="11769"/>
    <s v="Nutrition"/>
    <n v="0.263807944050928"/>
    <n v="6075.7999999999993"/>
    <n v="0.51625456708301465"/>
    <s v="Flagged"/>
    <s v=""/>
    <s v=""/>
    <n v="17844.8"/>
    <m/>
    <m/>
    <n v="1"/>
    <s v="Flagged"/>
    <n v="17845"/>
    <m/>
    <x v="2"/>
    <x v="2"/>
    <n v="17845"/>
    <n v="0"/>
    <n v="0"/>
  </r>
  <r>
    <s v="Non-displaced PopulationSD17020"/>
    <x v="16"/>
    <x v="16"/>
    <x v="172"/>
    <x v="173"/>
    <m/>
    <m/>
    <x v="433"/>
    <x v="2"/>
    <n v="0"/>
    <n v="7781.1390000000001"/>
    <n v="6021"/>
    <n v="0"/>
    <n v="12578"/>
    <n v="2207.7000000000003"/>
    <n v="4014"/>
    <n v="8893.0169999999998"/>
    <n v="2208"/>
    <n v="1590"/>
    <n v="0"/>
    <n v="0"/>
    <n v="0"/>
    <n v="0.38769999999999999"/>
    <n v="0.3"/>
    <n v="0"/>
    <n v="0.62670652715495767"/>
    <n v="0.11000000000000001"/>
    <n v="0.2"/>
    <n v="0.44309999999999999"/>
    <n v="0.1"/>
    <n v="0.1"/>
    <n v="0"/>
    <n v="0"/>
    <n v="12578"/>
    <s v="Nutrition"/>
    <n v="0.62670652715495767"/>
    <s v="Flagged"/>
    <s v=""/>
    <s v="Flagged"/>
    <n v="8893.0169999999998"/>
    <s v="WASH"/>
    <n v="0.44309999999999999"/>
    <n v="3684.9830000000002"/>
    <n v="0.41436814975165348"/>
    <s v="Flagged"/>
    <n v="7781.1390000000001"/>
    <s v="Education"/>
    <n v="0.38769999999999999"/>
    <n v="4796.8609999999999"/>
    <n v="0.61647285827948839"/>
    <s v="Flagged"/>
    <s v=""/>
    <s v=""/>
    <n v="12578"/>
    <m/>
    <m/>
    <n v="4"/>
    <s v="Flagged"/>
    <n v="12578"/>
    <m/>
    <x v="2"/>
    <x v="2"/>
    <n v="12578"/>
    <n v="0"/>
    <n v="0"/>
  </r>
  <r>
    <s v="Non-displaced PopulationSD18021"/>
    <x v="17"/>
    <x v="17"/>
    <x v="173"/>
    <x v="174"/>
    <m/>
    <m/>
    <x v="434"/>
    <x v="2"/>
    <n v="0"/>
    <n v="0"/>
    <n v="17498"/>
    <n v="6060"/>
    <n v="14564"/>
    <n v="4811.9500000000007"/>
    <n v="8749"/>
    <n v="42139.558499999999"/>
    <n v="4812"/>
    <n v="2309"/>
    <n v="0"/>
    <n v="4375"/>
    <n v="0"/>
    <n v="0"/>
    <n v="0.4"/>
    <n v="0.13853011772774032"/>
    <n v="0.33292947765458908"/>
    <n v="0.11000000000000001"/>
    <n v="0.2"/>
    <n v="0.96329999999999993"/>
    <n v="0.1"/>
    <n v="0.05"/>
    <n v="0"/>
    <n v="0.1"/>
    <n v="42139.558499999999"/>
    <s v="WASH"/>
    <n v="0.96329999999999993"/>
    <s v="Flagged"/>
    <s v="Flagged"/>
    <s v=""/>
    <n v="17498"/>
    <s v="Food Security and Livlihoods"/>
    <n v="0.4"/>
    <n v="24641.558499999999"/>
    <n v="1.40825"/>
    <s v="Flagged"/>
    <n v="14564"/>
    <s v="Nutrition"/>
    <n v="0.33292947765458908"/>
    <n v="27575.558499999999"/>
    <n v="1.8934055547926394"/>
    <s v="Flagged"/>
    <s v=""/>
    <s v=""/>
    <n v="42139.558499999999"/>
    <m/>
    <m/>
    <n v="4"/>
    <s v="Flagged"/>
    <n v="42140"/>
    <m/>
    <x v="1"/>
    <x v="2"/>
    <n v="42140"/>
    <n v="0"/>
    <n v="0"/>
  </r>
  <r>
    <s v="Non-displaced PopulationSD18022"/>
    <x v="17"/>
    <x v="17"/>
    <x v="174"/>
    <x v="175"/>
    <m/>
    <m/>
    <x v="435"/>
    <x v="2"/>
    <n v="0"/>
    <n v="34675.1126"/>
    <n v="40247.1"/>
    <n v="5530"/>
    <n v="23639"/>
    <n v="9838.18"/>
    <n v="17888"/>
    <n v="84760.392599999992"/>
    <n v="9838"/>
    <n v="4721"/>
    <n v="8943.8000000000011"/>
    <n v="8944"/>
    <n v="0"/>
    <n v="0.38769999999999999"/>
    <n v="0.45"/>
    <n v="6.1830541827858403E-2"/>
    <n v="0.26430599968693397"/>
    <n v="0.11"/>
    <n v="0.20000447237192245"/>
    <n v="0.94769999999999988"/>
    <n v="0.1"/>
    <n v="0.05"/>
    <n v="0.1"/>
    <n v="0.1"/>
    <n v="84760.392599999992"/>
    <s v="WASH"/>
    <n v="0.94769999999999988"/>
    <s v=""/>
    <s v="Flagged"/>
    <s v=""/>
    <n v="40247.1"/>
    <s v="Food Security and Livlihoods"/>
    <n v="0.45"/>
    <n v="44513.292599999993"/>
    <n v="1.1059999999999999"/>
    <s v="Flagged"/>
    <n v="34675.1126"/>
    <s v="Education"/>
    <n v="0.38769999999999999"/>
    <n v="50085.279999999992"/>
    <n v="1.4444157854010831"/>
    <s v="Flagged"/>
    <s v=""/>
    <s v=""/>
    <n v="84760.392599999992"/>
    <m/>
    <m/>
    <n v="3"/>
    <s v="Flagged"/>
    <n v="84760"/>
    <m/>
    <x v="1"/>
    <x v="0"/>
    <n v="0"/>
    <n v="84760"/>
    <n v="0"/>
  </r>
  <r>
    <s v="Non-displaced PopulationSD18028"/>
    <x v="17"/>
    <x v="17"/>
    <x v="175"/>
    <x v="176"/>
    <m/>
    <m/>
    <x v="436"/>
    <x v="2"/>
    <n v="0"/>
    <n v="16430.725999999999"/>
    <n v="19071"/>
    <n v="6565"/>
    <n v="9687"/>
    <n v="4661.8000000000011"/>
    <n v="8476"/>
    <n v="23342.903999999999"/>
    <n v="4662"/>
    <n v="2237"/>
    <n v="0"/>
    <n v="4238"/>
    <n v="0"/>
    <n v="0.38769999999999999"/>
    <n v="0.45"/>
    <n v="0.15490797546012269"/>
    <n v="0.22857479943369513"/>
    <n v="0.11000000000000003"/>
    <n v="0.2"/>
    <n v="0.55079999999999996"/>
    <n v="0.1"/>
    <n v="0.05"/>
    <n v="0"/>
    <n v="0.1"/>
    <n v="23342.903999999999"/>
    <s v="WASH"/>
    <n v="0.55079999999999996"/>
    <s v=""/>
    <s v=""/>
    <s v=""/>
    <n v="19071"/>
    <s v="Food Security and Livlihoods"/>
    <n v="0.45"/>
    <n v="4271.9039999999986"/>
    <n v="0.22399999999999992"/>
    <s v=""/>
    <n v="16430.725999999999"/>
    <s v="Education"/>
    <n v="0.38769999999999999"/>
    <n v="6912.1779999999999"/>
    <n v="0.42068609749806551"/>
    <s v=""/>
    <s v=""/>
    <s v=""/>
    <n v="23342.903999999999"/>
    <m/>
    <m/>
    <n v="0"/>
    <s v=""/>
    <n v="23343"/>
    <m/>
    <x v="1"/>
    <x v="0"/>
    <n v="0"/>
    <n v="23343"/>
    <n v="0"/>
  </r>
  <r>
    <s v="Non-displaced PopulationSD18029"/>
    <x v="17"/>
    <x v="17"/>
    <x v="176"/>
    <x v="177"/>
    <m/>
    <m/>
    <x v="437"/>
    <x v="2"/>
    <n v="0"/>
    <n v="0"/>
    <n v="23773.200000000001"/>
    <n v="4150"/>
    <n v="16600"/>
    <n v="6537.630000000001"/>
    <n v="0"/>
    <n v="43487.126100000001"/>
    <n v="6538"/>
    <n v="3136"/>
    <n v="0"/>
    <n v="5943"/>
    <n v="0"/>
    <n v="0"/>
    <n v="0.4"/>
    <n v="6.9826527350125345E-2"/>
    <n v="0.27930610940050138"/>
    <n v="0.11000000000000001"/>
    <n v="0"/>
    <n v="0.73170000000000002"/>
    <n v="0.1"/>
    <n v="0.05"/>
    <n v="0"/>
    <n v="0.1"/>
    <n v="43487.126100000001"/>
    <s v="WASH"/>
    <n v="0.73170000000000002"/>
    <s v="Flagged"/>
    <s v=""/>
    <s v=""/>
    <n v="23773.200000000001"/>
    <s v="Food Security and Livlihoods"/>
    <n v="0.4"/>
    <n v="19713.926100000001"/>
    <n v="0.82925000000000004"/>
    <s v="Flagged"/>
    <n v="16600"/>
    <s v="Nutrition"/>
    <n v="0.27930610940050138"/>
    <n v="26887.126100000001"/>
    <n v="1.6197063915662651"/>
    <s v="Flagged"/>
    <s v=""/>
    <s v=""/>
    <n v="43487.126100000001"/>
    <m/>
    <m/>
    <n v="3"/>
    <s v="Flagged"/>
    <n v="43487"/>
    <m/>
    <x v="1"/>
    <x v="2"/>
    <n v="43487"/>
    <n v="0"/>
    <n v="0"/>
  </r>
  <r>
    <s v="Non-displaced PopulationSD18085"/>
    <x v="17"/>
    <x v="17"/>
    <x v="177"/>
    <x v="178"/>
    <m/>
    <m/>
    <x v="438"/>
    <x v="2"/>
    <n v="0"/>
    <n v="7266.6610999999994"/>
    <n v="9371.5"/>
    <n v="0"/>
    <n v="2963"/>
    <n v="2061.7300000000005"/>
    <n v="0"/>
    <n v="6522.5639999999994"/>
    <n v="2062"/>
    <n v="0"/>
    <n v="0"/>
    <n v="1874"/>
    <n v="0"/>
    <n v="0.38769999999999999"/>
    <n v="0.5"/>
    <n v="0"/>
    <n v="0.1580856853225204"/>
    <n v="0.11000000000000003"/>
    <n v="0"/>
    <n v="0.34799999999999998"/>
    <n v="0.1"/>
    <n v="0"/>
    <n v="0"/>
    <n v="0.1"/>
    <n v="9371.5"/>
    <s v="Food Security and Livlihoods"/>
    <n v="0.5"/>
    <s v="Flagged"/>
    <s v=""/>
    <s v=""/>
    <n v="7266.6610999999994"/>
    <s v="Education"/>
    <n v="0.38769999999999999"/>
    <n v="2104.8389000000006"/>
    <n v="0.28965695125096735"/>
    <s v=""/>
    <n v="6522.5639999999994"/>
    <s v="WASH"/>
    <n v="0.34799999999999998"/>
    <n v="2848.9360000000006"/>
    <n v="0.43678160919540243"/>
    <s v=""/>
    <s v=""/>
    <s v=""/>
    <n v="9371.5"/>
    <m/>
    <m/>
    <n v="1"/>
    <s v="Flagged"/>
    <n v="9372"/>
    <m/>
    <x v="1"/>
    <x v="0"/>
    <n v="0"/>
    <n v="9372"/>
    <n v="0"/>
  </r>
  <r>
    <s v="Non-displaced PopulationSD18086"/>
    <x v="17"/>
    <x v="17"/>
    <x v="178"/>
    <x v="179"/>
    <m/>
    <m/>
    <x v="439"/>
    <x v="2"/>
    <n v="0"/>
    <n v="8173.4913999999999"/>
    <n v="7378.7"/>
    <n v="3000"/>
    <n v="6043"/>
    <n v="2319.02"/>
    <n v="4216"/>
    <n v="11306.276600000001"/>
    <n v="2319"/>
    <n v="1669"/>
    <n v="2108.2000000000003"/>
    <n v="2108"/>
    <n v="0"/>
    <n v="0.38769999999999999"/>
    <n v="0.35"/>
    <n v="0.14230148942225596"/>
    <n v="0.28664263352623093"/>
    <n v="0.11"/>
    <n v="0.19998102646807703"/>
    <n v="0.5363"/>
    <n v="0.1"/>
    <n v="0.1"/>
    <n v="0.1"/>
    <n v="0.1"/>
    <n v="11306.276600000001"/>
    <s v="WASH"/>
    <n v="0.5363"/>
    <s v=""/>
    <s v=""/>
    <s v=""/>
    <n v="8173.4913999999999"/>
    <s v="Education"/>
    <n v="0.38769999999999999"/>
    <n v="3132.7852000000012"/>
    <n v="0.38328604591178761"/>
    <s v="Flagged"/>
    <n v="7378.7"/>
    <s v="Food Security and Livlihoods"/>
    <n v="0.35"/>
    <n v="3927.5766000000012"/>
    <n v="0.53228571428571447"/>
    <s v="Flagged"/>
    <s v=""/>
    <s v=""/>
    <n v="11306.276600000001"/>
    <m/>
    <m/>
    <n v="2"/>
    <s v="Flagged"/>
    <n v="11306"/>
    <m/>
    <x v="1"/>
    <x v="2"/>
    <n v="11306"/>
    <n v="0"/>
    <n v="0"/>
  </r>
  <r>
    <s v="Non-displaced PopulationSD18087"/>
    <x v="17"/>
    <x v="17"/>
    <x v="179"/>
    <x v="180"/>
    <m/>
    <m/>
    <x v="440"/>
    <x v="2"/>
    <n v="0"/>
    <n v="0"/>
    <n v="16049.7"/>
    <n v="5000"/>
    <n v="7197"/>
    <n v="3923.2600000000007"/>
    <n v="0"/>
    <n v="30423.097999999998"/>
    <n v="3923"/>
    <n v="1882"/>
    <n v="0"/>
    <n v="3567"/>
    <n v="0"/>
    <n v="0"/>
    <n v="0.45"/>
    <n v="0.14018953625301409"/>
    <n v="0.20178881848258845"/>
    <n v="0.11000000000000001"/>
    <n v="0"/>
    <n v="0.85299999999999998"/>
    <n v="0.1"/>
    <n v="0.05"/>
    <n v="0"/>
    <n v="0.1"/>
    <n v="30423.097999999998"/>
    <s v="WASH"/>
    <n v="0.85299999999999998"/>
    <s v="Flagged"/>
    <s v=""/>
    <s v=""/>
    <n v="16049.7"/>
    <s v="Food Security and Livlihoods"/>
    <n v="0.45"/>
    <n v="14373.397999999997"/>
    <n v="0.89555555555555533"/>
    <s v="Flagged"/>
    <n v="7197"/>
    <s v="Nutrition"/>
    <n v="0.20178881848258845"/>
    <n v="23226.097999999998"/>
    <n v="3.2271916076142833"/>
    <s v="Flagged"/>
    <s v=""/>
    <s v=""/>
    <n v="30423.097999999998"/>
    <m/>
    <m/>
    <n v="3"/>
    <s v="Flagged"/>
    <n v="30423"/>
    <m/>
    <x v="1"/>
    <x v="0"/>
    <n v="0"/>
    <n v="30423"/>
    <n v="0"/>
  </r>
  <r>
    <s v="Non-displaced PopulationSD18092"/>
    <x v="17"/>
    <x v="17"/>
    <x v="180"/>
    <x v="181"/>
    <m/>
    <m/>
    <x v="441"/>
    <x v="2"/>
    <n v="0"/>
    <n v="20091.3894"/>
    <n v="20728.8"/>
    <n v="3375"/>
    <n v="12735"/>
    <n v="5700.420000000001"/>
    <n v="10364"/>
    <n v="43349.103000000003"/>
    <n v="5700"/>
    <n v="2736"/>
    <n v="5182.2000000000007"/>
    <n v="5182"/>
    <n v="0"/>
    <n v="0.38769999999999999"/>
    <n v="0.39999999999999997"/>
    <n v="6.5126780131990275E-2"/>
    <n v="0.24574505036470998"/>
    <n v="0.11000000000000001"/>
    <n v="0.19999228127050286"/>
    <n v="0.83650000000000002"/>
    <n v="0.1"/>
    <n v="0.05"/>
    <n v="0.1"/>
    <n v="0.1"/>
    <n v="43349.103000000003"/>
    <s v="WASH"/>
    <n v="0.83650000000000002"/>
    <s v=""/>
    <s v=""/>
    <s v=""/>
    <n v="20728.8"/>
    <s v="Food Security and Livlihoods"/>
    <n v="0.39999999999999997"/>
    <n v="22620.303000000004"/>
    <n v="1.0912500000000003"/>
    <s v="Flagged"/>
    <n v="20091.3894"/>
    <s v="Education"/>
    <n v="0.38769999999999999"/>
    <n v="23257.713600000003"/>
    <n v="1.1575960794428684"/>
    <s v="Flagged"/>
    <s v=""/>
    <s v=""/>
    <n v="43349.103000000003"/>
    <m/>
    <m/>
    <n v="2"/>
    <s v="Flagged"/>
    <n v="43349"/>
    <m/>
    <x v="1"/>
    <x v="2"/>
    <n v="43349"/>
    <n v="0"/>
    <n v="0"/>
  </r>
  <r>
    <s v="Non-displaced PopulationSD18100"/>
    <x v="17"/>
    <x v="17"/>
    <x v="181"/>
    <x v="182"/>
    <m/>
    <m/>
    <x v="442"/>
    <x v="2"/>
    <n v="0"/>
    <n v="3964.6201999999998"/>
    <n v="5113"/>
    <n v="0"/>
    <n v="2862"/>
    <n v="1124.8600000000001"/>
    <n v="2045"/>
    <n v="9245.3266000000003"/>
    <n v="1125"/>
    <n v="541"/>
    <n v="0"/>
    <n v="1023"/>
    <n v="0"/>
    <n v="0.38769999999999999"/>
    <n v="0.5"/>
    <n v="0"/>
    <n v="0.27987482886759241"/>
    <n v="0.11000000000000001"/>
    <n v="0.19998044201056131"/>
    <n v="0.90410000000000001"/>
    <n v="0.1"/>
    <n v="0.05"/>
    <n v="0"/>
    <n v="0.1"/>
    <n v="9245.3266000000003"/>
    <s v="WASH"/>
    <n v="0.90410000000000001"/>
    <s v="Flagged"/>
    <s v="Flagged"/>
    <s v=""/>
    <n v="5113"/>
    <s v="Food Security and Livlihoods"/>
    <n v="0.5"/>
    <n v="4132.3266000000003"/>
    <n v="0.80820000000000003"/>
    <s v="Flagged"/>
    <n v="3964.6201999999998"/>
    <s v="Education"/>
    <n v="0.38769999999999999"/>
    <n v="5280.7064000000009"/>
    <n v="1.3319576992519992"/>
    <s v="Flagged"/>
    <s v=""/>
    <s v=""/>
    <n v="9245.3266000000003"/>
    <m/>
    <m/>
    <n v="4"/>
    <s v="Flagged"/>
    <n v="9245"/>
    <m/>
    <x v="1"/>
    <x v="2"/>
    <n v="9245"/>
    <n v="0"/>
    <n v="0"/>
  </r>
  <r>
    <s v="Non-displaced PopulationSD18102"/>
    <x v="17"/>
    <x v="17"/>
    <x v="182"/>
    <x v="183"/>
    <m/>
    <m/>
    <x v="443"/>
    <x v="2"/>
    <n v="0"/>
    <n v="7515.9521999999997"/>
    <n v="7754.4"/>
    <n v="0"/>
    <n v="6065"/>
    <n v="2132.4600000000005"/>
    <n v="3877"/>
    <n v="18996.341400000001"/>
    <n v="2132"/>
    <n v="1023"/>
    <n v="1938.6000000000001"/>
    <n v="1939"/>
    <n v="0"/>
    <n v="0.38769999999999999"/>
    <n v="0.39999999999999997"/>
    <n v="0"/>
    <n v="0.31285463736717217"/>
    <n v="0.11000000000000003"/>
    <n v="0.19998968327659136"/>
    <n v="0.9799000000000001"/>
    <n v="0.1"/>
    <n v="0.05"/>
    <n v="0.1"/>
    <n v="0.1"/>
    <n v="18996.341400000001"/>
    <s v="WASH"/>
    <n v="0.9799000000000001"/>
    <s v="Flagged"/>
    <s v="Flagged"/>
    <s v=""/>
    <n v="7754.4"/>
    <s v="Food Security and Livlihoods"/>
    <n v="0.39999999999999997"/>
    <n v="11241.941400000002"/>
    <n v="1.4497500000000003"/>
    <s v="Flagged"/>
    <n v="7515.9521999999997"/>
    <s v="Education"/>
    <n v="0.38769999999999999"/>
    <n v="11480.389200000001"/>
    <n v="1.5274696930616458"/>
    <s v="Flagged"/>
    <s v=""/>
    <s v=""/>
    <n v="18996.341400000001"/>
    <m/>
    <m/>
    <n v="4"/>
    <s v="Flagged"/>
    <n v="18996"/>
    <m/>
    <x v="0"/>
    <x v="0"/>
    <n v="0"/>
    <n v="18996"/>
    <n v="0"/>
  </r>
  <r>
    <s v="Non-displaced PopulationSD18103"/>
    <x v="17"/>
    <x v="17"/>
    <x v="183"/>
    <x v="184"/>
    <m/>
    <m/>
    <x v="444"/>
    <x v="2"/>
    <n v="0"/>
    <n v="11293.700999999999"/>
    <n v="13108.5"/>
    <n v="0"/>
    <n v="9926"/>
    <n v="3204.3000000000006"/>
    <n v="5826"/>
    <n v="25185.798000000003"/>
    <n v="3204"/>
    <n v="0"/>
    <n v="0"/>
    <n v="2913"/>
    <n v="0"/>
    <n v="0.38769999999999999"/>
    <n v="0.45"/>
    <n v="0"/>
    <n v="0.34074836937864744"/>
    <n v="0.11000000000000003"/>
    <n v="0.2"/>
    <n v="0.86460000000000004"/>
    <n v="0.1"/>
    <n v="0"/>
    <n v="0"/>
    <n v="0.1"/>
    <n v="25185.798000000003"/>
    <s v="WASH"/>
    <n v="0.86460000000000004"/>
    <s v="Flagged"/>
    <s v=""/>
    <s v=""/>
    <n v="13108.5"/>
    <s v="Food Security and Livlihoods"/>
    <n v="0.45"/>
    <n v="12077.298000000003"/>
    <n v="0.92133333333333356"/>
    <s v="Flagged"/>
    <n v="11293.700999999999"/>
    <s v="Education"/>
    <n v="0.38769999999999999"/>
    <n v="13892.097000000003"/>
    <n v="1.2300748001031729"/>
    <s v="Flagged"/>
    <s v=""/>
    <s v=""/>
    <n v="25185.798000000003"/>
    <m/>
    <m/>
    <n v="3"/>
    <s v="Flagged"/>
    <n v="25186"/>
    <m/>
    <x v="1"/>
    <x v="2"/>
    <n v="25186"/>
    <n v="0"/>
    <n v="0"/>
  </r>
  <r>
    <s v="Non-displaced PopulationSD18104"/>
    <x v="17"/>
    <x v="17"/>
    <x v="184"/>
    <x v="185"/>
    <m/>
    <m/>
    <x v="445"/>
    <x v="2"/>
    <n v="0"/>
    <n v="0"/>
    <n v="9934.4"/>
    <n v="3550"/>
    <n v="6703"/>
    <n v="2731.9600000000005"/>
    <n v="4967"/>
    <n v="23157.0864"/>
    <n v="2732"/>
    <n v="1310"/>
    <n v="0"/>
    <n v="2484"/>
    <n v="0"/>
    <n v="0"/>
    <n v="0.39999999999999997"/>
    <n v="0.14293767112256403"/>
    <n v="0.26989048155902723"/>
    <n v="0.11000000000000001"/>
    <n v="0.19999194717345789"/>
    <n v="0.93240000000000001"/>
    <n v="0.1"/>
    <n v="0.05"/>
    <n v="0"/>
    <n v="0.1"/>
    <n v="23157.0864"/>
    <s v="WASH"/>
    <n v="0.93240000000000001"/>
    <s v="Flagged"/>
    <s v="Flagged"/>
    <s v=""/>
    <n v="9934.4"/>
    <s v="Food Security and Livlihoods"/>
    <n v="0.39999999999999997"/>
    <n v="13222.686400000001"/>
    <n v="1.3310000000000002"/>
    <s v="Flagged"/>
    <n v="6703"/>
    <s v="Nutrition"/>
    <n v="0.26989048155902723"/>
    <n v="16454.0864"/>
    <n v="2.4547346561241237"/>
    <s v="Flagged"/>
    <s v=""/>
    <s v=""/>
    <n v="23157.0864"/>
    <m/>
    <m/>
    <n v="4"/>
    <s v="Flagged"/>
    <n v="23157"/>
    <m/>
    <x v="0"/>
    <x v="2"/>
    <n v="23157"/>
    <n v="0"/>
    <n v="0"/>
  </r>
  <r>
    <s v="Non-displaced PopulationSD18105"/>
    <x v="17"/>
    <x v="17"/>
    <x v="185"/>
    <x v="186"/>
    <m/>
    <m/>
    <x v="446"/>
    <x v="2"/>
    <n v="0"/>
    <n v="14946.6104"/>
    <n v="17348.400000000001"/>
    <n v="0"/>
    <n v="7264"/>
    <n v="4240.72"/>
    <n v="0"/>
    <n v="20999.274400000002"/>
    <n v="4241"/>
    <n v="2035"/>
    <n v="0"/>
    <n v="3855"/>
    <n v="0"/>
    <n v="0.38769999999999999"/>
    <n v="0.45"/>
    <n v="0"/>
    <n v="0.18842083419796637"/>
    <n v="0.11"/>
    <n v="0"/>
    <n v="0.54470000000000007"/>
    <n v="0.1"/>
    <n v="0.05"/>
    <n v="0"/>
    <n v="0.1"/>
    <n v="20999.274400000002"/>
    <s v="WASH"/>
    <n v="0.54470000000000007"/>
    <s v="Flagged"/>
    <s v=""/>
    <s v=""/>
    <n v="17348.400000000001"/>
    <s v="Food Security and Livlihoods"/>
    <n v="0.45"/>
    <n v="3650.8744000000006"/>
    <n v="0.21044444444444446"/>
    <s v=""/>
    <n v="14946.6104"/>
    <s v="Education"/>
    <n v="0.38769999999999999"/>
    <n v="6052.6640000000025"/>
    <n v="0.40495228269280387"/>
    <s v=""/>
    <s v=""/>
    <s v=""/>
    <n v="20999.274400000002"/>
    <m/>
    <m/>
    <n v="1"/>
    <s v="Flagged"/>
    <n v="20999"/>
    <m/>
    <x v="1"/>
    <x v="2"/>
    <n v="20999"/>
    <n v="0"/>
    <n v="0"/>
  </r>
  <r>
    <s v="Non-displaced PopulationSD18106"/>
    <x v="17"/>
    <x v="17"/>
    <x v="186"/>
    <x v="187"/>
    <m/>
    <m/>
    <x v="447"/>
    <x v="2"/>
    <n v="0"/>
    <n v="3533.4978000000001"/>
    <n v="4101.3"/>
    <n v="0"/>
    <n v="3400"/>
    <n v="1002.5400000000002"/>
    <n v="0"/>
    <n v="9114"/>
    <n v="1003"/>
    <n v="0"/>
    <n v="0"/>
    <n v="911"/>
    <n v="0"/>
    <n v="0.38769999999999999"/>
    <n v="0.45"/>
    <n v="0"/>
    <n v="0.37305244678516569"/>
    <n v="0.11000000000000001"/>
    <n v="0"/>
    <n v="1"/>
    <n v="0.1"/>
    <n v="0"/>
    <n v="0"/>
    <n v="0.1"/>
    <n v="9114"/>
    <s v="WASH"/>
    <n v="1"/>
    <s v="Flagged"/>
    <s v="Flagged"/>
    <s v=""/>
    <n v="4101.3"/>
    <s v="Food Security and Livlihoods"/>
    <n v="0.45"/>
    <n v="5012.7"/>
    <n v="1.2222222222222221"/>
    <s v="Flagged"/>
    <n v="3533.4978000000001"/>
    <s v="Education"/>
    <n v="0.38769999999999999"/>
    <n v="5580.5021999999999"/>
    <n v="1.5793139025019345"/>
    <s v="Flagged"/>
    <s v=""/>
    <s v=""/>
    <n v="9114"/>
    <m/>
    <m/>
    <n v="4"/>
    <s v="Flagged"/>
    <n v="9114"/>
    <m/>
    <x v="1"/>
    <x v="2"/>
    <n v="9114"/>
    <n v="0"/>
    <n v="0"/>
  </r>
  <r>
    <s v="Non-displaced PopulationSD19101"/>
    <x v="18"/>
    <x v="18"/>
    <x v="187"/>
    <x v="188"/>
    <m/>
    <m/>
    <x v="448"/>
    <x v="2"/>
    <n v="0"/>
    <n v="0"/>
    <n v="0"/>
    <n v="29245"/>
    <n v="20945"/>
    <n v="3216.9500000000007"/>
    <n v="5849"/>
    <n v="23483.735000000001"/>
    <n v="3217"/>
    <n v="1544"/>
    <n v="0"/>
    <n v="0"/>
    <n v="0"/>
    <n v="0"/>
    <n v="0"/>
    <n v="1"/>
    <n v="0.71619080184646944"/>
    <n v="0.11000000000000003"/>
    <n v="0.2"/>
    <n v="0.80300000000000005"/>
    <n v="0.1"/>
    <n v="0.05"/>
    <n v="0"/>
    <n v="0"/>
    <n v="29245"/>
    <s v="Health "/>
    <n v="1"/>
    <s v="Flagged"/>
    <s v="Flagged"/>
    <s v=""/>
    <n v="23483.735000000001"/>
    <s v="WASH"/>
    <n v="0.80300000000000005"/>
    <n v="5761.2649999999994"/>
    <n v="0.24533001245330011"/>
    <s v=""/>
    <n v="20945"/>
    <s v="Nutrition"/>
    <n v="0.71619080184646944"/>
    <n v="8300"/>
    <n v="0.39627596084984484"/>
    <s v=""/>
    <s v=""/>
    <s v=""/>
    <n v="29245"/>
    <m/>
    <m/>
    <n v="2"/>
    <s v="Flagged"/>
    <n v="29245"/>
    <m/>
    <x v="0"/>
    <x v="2"/>
    <n v="29245"/>
    <n v="0"/>
    <n v="0"/>
  </r>
  <r>
    <s v="Non-displaced PopulationSDTEMP"/>
    <x v="1"/>
    <x v="1"/>
    <x v="188"/>
    <x v="189"/>
    <m/>
    <m/>
    <x v="34"/>
    <x v="2"/>
    <n v="0"/>
    <n v="0"/>
    <m/>
    <n v="0"/>
    <n v="37986"/>
    <n v="0"/>
    <n v="0"/>
    <n v="0"/>
    <n v="0"/>
    <n v="0"/>
    <n v="0"/>
    <n v="0"/>
    <e v="#DIV/0!"/>
    <e v="#DIV/0!"/>
    <s v=""/>
    <e v="#DIV/0!"/>
    <e v="#DIV/0!"/>
    <e v="#DIV/0!"/>
    <e v="#DIV/0!"/>
    <e v="#DIV/0!"/>
    <s v=""/>
    <s v=""/>
    <s v=""/>
    <s v=""/>
    <n v="37986"/>
    <s v="Nutrition"/>
    <e v="#DIV/0!"/>
    <s v="Flagged"/>
    <s v=""/>
    <s v="Flagged"/>
    <n v="0"/>
    <s v="Site Management _x000a_Education_x000a_Food Security and Livlihoods_x000a_Health _x000a_Protection_x000a_Shelter NFI _x000a_WASH"/>
    <s v=""/>
    <n v="37986"/>
    <s v=""/>
    <s v=""/>
    <s v="NA"/>
    <s v=""/>
    <s v=""/>
    <s v=""/>
    <s v=""/>
    <s v=""/>
    <s v=""/>
    <s v=""/>
    <n v="37986"/>
    <m/>
    <m/>
    <n v="2"/>
    <s v="Flagged"/>
    <n v="0"/>
    <m/>
    <x v="3"/>
    <x v="3"/>
    <n v="0"/>
    <n v="0"/>
    <n v="0"/>
  </r>
  <r>
    <s v="RefugeesSD01001"/>
    <x v="0"/>
    <x v="0"/>
    <x v="0"/>
    <x v="0"/>
    <m/>
    <m/>
    <x v="449"/>
    <x v="3"/>
    <n v="0"/>
    <n v="4916"/>
    <n v="14684"/>
    <n v="14243"/>
    <n v="1341"/>
    <n v="14684"/>
    <n v="8810"/>
    <n v="9975"/>
    <n v="1336.2439999999999"/>
    <n v="5697.3919999999998"/>
    <n v="7342"/>
    <n v="14684"/>
    <n v="0"/>
    <n v="0.33478616180877147"/>
    <n v="1"/>
    <n v="0.9699673113593027"/>
    <n v="9.1323889948242989E-2"/>
    <n v="1"/>
    <n v="0.59997275946608553"/>
    <n v="0.67931081449196407"/>
    <n v="0.1"/>
    <n v="0.4"/>
    <n v="0.5"/>
    <n v="1"/>
    <n v="14684"/>
    <s v="Food Security and Livlihoods_x000a_Protection"/>
    <n v="1"/>
    <s v=""/>
    <s v="Flagged"/>
    <s v=""/>
    <n v="14243"/>
    <s v="Health "/>
    <n v="0.9699673113593027"/>
    <n v="441"/>
    <n v="3.0962578108544549E-2"/>
    <s v=""/>
    <n v="9975"/>
    <s v="WASH"/>
    <n v="0.67931081449196407"/>
    <n v="4709"/>
    <n v="0.47208020050125316"/>
    <s v=""/>
    <s v=""/>
    <s v=""/>
    <n v="14684"/>
    <m/>
    <m/>
    <n v="1"/>
    <s v="Flagged"/>
    <n v="14684"/>
    <m/>
    <x v="0"/>
    <x v="0"/>
    <n v="0"/>
    <n v="14684"/>
    <n v="0"/>
  </r>
  <r>
    <s v="RefugeesSD01002"/>
    <x v="0"/>
    <x v="0"/>
    <x v="1"/>
    <x v="1"/>
    <m/>
    <m/>
    <x v="450"/>
    <x v="3"/>
    <n v="0"/>
    <n v="2683"/>
    <n v="8015"/>
    <n v="7775"/>
    <n v="731"/>
    <n v="8015"/>
    <n v="4809"/>
    <n v="1817"/>
    <n v="721.35"/>
    <n v="2436.56"/>
    <n v="4007.5"/>
    <n v="8015"/>
    <n v="0"/>
    <n v="0.33474734872114786"/>
    <n v="1"/>
    <n v="0.97005614472863377"/>
    <n v="9.1203992514036186E-2"/>
    <n v="1"/>
    <n v="0.6"/>
    <n v="0.22669993761696819"/>
    <n v="0.1"/>
    <n v="0.30000000000000004"/>
    <n v="0.5"/>
    <n v="1"/>
    <n v="8015"/>
    <s v="Food Security and Livlihoods_x000a_Protection"/>
    <n v="1"/>
    <s v=""/>
    <s v="Flagged"/>
    <s v=""/>
    <n v="7775"/>
    <s v="Health "/>
    <n v="0.97005614472863377"/>
    <n v="240"/>
    <n v="3.0868167202572346E-2"/>
    <s v=""/>
    <n v="4809"/>
    <s v="Shelter NFI "/>
    <n v="0.6"/>
    <n v="3206"/>
    <n v="0.66666666666666663"/>
    <s v="Flagged"/>
    <s v=""/>
    <s v=""/>
    <n v="8015"/>
    <m/>
    <m/>
    <n v="2"/>
    <s v="Flagged"/>
    <n v="8015"/>
    <m/>
    <x v="1"/>
    <x v="0"/>
    <n v="0"/>
    <n v="8015"/>
    <n v="0"/>
  </r>
  <r>
    <s v="RefugeesSD01003"/>
    <x v="0"/>
    <x v="0"/>
    <x v="2"/>
    <x v="2"/>
    <m/>
    <m/>
    <x v="451"/>
    <x v="3"/>
    <n v="0"/>
    <n v="1846"/>
    <n v="5517"/>
    <n v="5351"/>
    <n v="504"/>
    <n v="5517"/>
    <n v="2207"/>
    <n v="3519"/>
    <n v="849.61799999999994"/>
    <n v="2184.732"/>
    <n v="2758.5"/>
    <n v="5517"/>
    <n v="0"/>
    <n v="0.33460213884357443"/>
    <n v="1"/>
    <n v="0.96991118361428308"/>
    <n v="9.1353996737357265E-2"/>
    <n v="1"/>
    <n v="0.40003625158600686"/>
    <n v="0.63784665579119082"/>
    <n v="0.15000000000000002"/>
    <n v="0.4"/>
    <n v="0.5"/>
    <n v="1"/>
    <n v="5517"/>
    <s v="Food Security and Livlihoods_x000a_Protection"/>
    <n v="1"/>
    <s v=""/>
    <s v="Flagged"/>
    <s v=""/>
    <n v="5351"/>
    <s v="Health "/>
    <n v="0.96991118361428308"/>
    <n v="166"/>
    <n v="3.102223883386283E-2"/>
    <s v=""/>
    <n v="3519"/>
    <s v="WASH"/>
    <n v="0.63784665579119082"/>
    <n v="1998"/>
    <n v="0.56777493606138107"/>
    <s v="Flagged"/>
    <s v=""/>
    <s v=""/>
    <n v="5517"/>
    <m/>
    <m/>
    <n v="2"/>
    <s v="Flagged"/>
    <n v="5517"/>
    <m/>
    <x v="0"/>
    <x v="0"/>
    <n v="0"/>
    <n v="5517"/>
    <n v="0"/>
  </r>
  <r>
    <s v="RefugeesSD01004"/>
    <x v="0"/>
    <x v="0"/>
    <x v="3"/>
    <x v="3"/>
    <m/>
    <m/>
    <x v="452"/>
    <x v="3"/>
    <n v="0"/>
    <n v="4529"/>
    <n v="13530"/>
    <n v="13124"/>
    <n v="1235"/>
    <n v="13530"/>
    <n v="8118"/>
    <n v="5711"/>
    <n v="1380.06"/>
    <n v="4546.08"/>
    <n v="6765"/>
    <n v="13530"/>
    <n v="0"/>
    <n v="0.33473762010347374"/>
    <n v="1"/>
    <n v="0.96999260901699924"/>
    <n v="9.1278640059127863E-2"/>
    <n v="1"/>
    <n v="0.6"/>
    <n v="0.42209903917220992"/>
    <n v="0.1"/>
    <n v="0.35000000000000003"/>
    <n v="0.5"/>
    <n v="1"/>
    <n v="13530"/>
    <s v="Food Security and Livlihoods_x000a_Protection"/>
    <n v="1"/>
    <s v=""/>
    <s v="Flagged"/>
    <s v=""/>
    <n v="13124"/>
    <s v="Health "/>
    <n v="0.96999260901699924"/>
    <n v="406"/>
    <n v="3.0935690338311492E-2"/>
    <s v=""/>
    <n v="8118"/>
    <s v="Shelter NFI "/>
    <n v="0.6"/>
    <n v="5412"/>
    <n v="0.66666666666666663"/>
    <s v="Flagged"/>
    <s v=""/>
    <s v=""/>
    <n v="13530"/>
    <m/>
    <m/>
    <n v="2"/>
    <s v="Flagged"/>
    <n v="13530"/>
    <m/>
    <x v="0"/>
    <x v="0"/>
    <n v="0"/>
    <n v="13530"/>
    <n v="0"/>
  </r>
  <r>
    <s v="RefugeesSD01005"/>
    <x v="0"/>
    <x v="0"/>
    <x v="4"/>
    <x v="4"/>
    <m/>
    <m/>
    <x v="453"/>
    <x v="3"/>
    <n v="0"/>
    <n v="373"/>
    <n v="1112"/>
    <n v="1079"/>
    <n v="101"/>
    <n v="1112"/>
    <n v="667"/>
    <n v="501"/>
    <n v="176.80799999999999"/>
    <n v="483.71999999999997"/>
    <n v="556"/>
    <n v="1112"/>
    <n v="0"/>
    <n v="0.33543165467625902"/>
    <n v="1"/>
    <n v="0.97032374100719421"/>
    <n v="9.0827338129496407E-2"/>
    <n v="1"/>
    <n v="0.59982014388489213"/>
    <n v="0.45053956834532372"/>
    <n v="0.15000000000000002"/>
    <n v="0.45"/>
    <n v="0.5"/>
    <n v="1"/>
    <n v="1112"/>
    <s v="Food Security and Livlihoods_x000a_Protection"/>
    <n v="1"/>
    <s v=""/>
    <s v="Flagged"/>
    <s v=""/>
    <n v="1079"/>
    <s v="Health "/>
    <n v="0.97032374100719421"/>
    <n v="33"/>
    <n v="3.0583873957367932E-2"/>
    <s v=""/>
    <n v="667"/>
    <s v="Shelter NFI "/>
    <n v="0.59982014388489213"/>
    <n v="445"/>
    <n v="0.66716641679160416"/>
    <s v="Flagged"/>
    <s v=""/>
    <s v=""/>
    <n v="1112"/>
    <m/>
    <m/>
    <n v="2"/>
    <s v="Flagged"/>
    <n v="1112"/>
    <m/>
    <x v="0"/>
    <x v="1"/>
    <n v="0"/>
    <n v="0"/>
    <n v="1112"/>
  </r>
  <r>
    <s v="RefugeesSD01006"/>
    <x v="0"/>
    <x v="0"/>
    <x v="5"/>
    <x v="5"/>
    <m/>
    <m/>
    <x v="454"/>
    <x v="3"/>
    <n v="0"/>
    <n v="1995"/>
    <n v="5956"/>
    <n v="5777"/>
    <n v="544"/>
    <n v="5956"/>
    <n v="3574"/>
    <n v="2756"/>
    <n v="500.30400000000003"/>
    <n v="1542.604"/>
    <n v="2978"/>
    <n v="5956"/>
    <n v="0"/>
    <n v="0.33495634654130291"/>
    <n v="1"/>
    <n v="0.96994627266621891"/>
    <n v="9.1336467427803894E-2"/>
    <n v="1"/>
    <n v="0.6000671591672263"/>
    <n v="0.46272666218938885"/>
    <n v="0.1"/>
    <n v="0.25"/>
    <n v="0.5"/>
    <n v="1"/>
    <n v="5956"/>
    <s v="Food Security and Livlihoods_x000a_Protection"/>
    <n v="1"/>
    <s v=""/>
    <s v="Flagged"/>
    <s v=""/>
    <n v="5777"/>
    <s v="Health "/>
    <n v="0.96994627266621891"/>
    <n v="179"/>
    <n v="3.0984940280422365E-2"/>
    <s v=""/>
    <n v="3574"/>
    <s v="Shelter NFI "/>
    <n v="0.6000671591672263"/>
    <n v="2382"/>
    <n v="0.66648013430330166"/>
    <s v="Flagged"/>
    <s v=""/>
    <s v=""/>
    <n v="5956"/>
    <m/>
    <m/>
    <n v="2"/>
    <s v="Flagged"/>
    <n v="5956"/>
    <m/>
    <x v="0"/>
    <x v="1"/>
    <n v="0"/>
    <n v="0"/>
    <n v="5956"/>
  </r>
  <r>
    <s v="RefugeesSD01007"/>
    <x v="0"/>
    <x v="0"/>
    <x v="6"/>
    <x v="6"/>
    <m/>
    <m/>
    <x v="455"/>
    <x v="3"/>
    <n v="0"/>
    <n v="6451"/>
    <n v="19269"/>
    <n v="18691"/>
    <n v="1759"/>
    <n v="19269"/>
    <n v="11561"/>
    <n v="3705"/>
    <n v="1425.9059999999999"/>
    <n v="4316.2560000000003"/>
    <n v="9634.5"/>
    <n v="19269"/>
    <n v="0"/>
    <n v="0.33478644454823808"/>
    <n v="1"/>
    <n v="0.97000363277803725"/>
    <n v="9.1286522393481756E-2"/>
    <n v="1"/>
    <n v="0.59997924126835855"/>
    <n v="0.19227775182936321"/>
    <n v="0.05"/>
    <n v="0.2"/>
    <n v="0.5"/>
    <n v="1"/>
    <n v="19269"/>
    <s v="Food Security and Livlihoods_x000a_Protection"/>
    <n v="1"/>
    <s v=""/>
    <s v="Flagged"/>
    <s v=""/>
    <n v="18691"/>
    <s v="Health "/>
    <n v="0.97000363277803725"/>
    <n v="578"/>
    <n v="3.0923974105184313E-2"/>
    <s v=""/>
    <n v="11561"/>
    <s v="Shelter NFI "/>
    <n v="0.59997924126835855"/>
    <n v="7708"/>
    <n v="0.66672433180520718"/>
    <s v="Flagged"/>
    <s v=""/>
    <s v=""/>
    <n v="19269"/>
    <m/>
    <m/>
    <n v="2"/>
    <s v="Flagged"/>
    <n v="19269"/>
    <m/>
    <x v="0"/>
    <x v="1"/>
    <n v="0"/>
    <n v="0"/>
    <n v="19269"/>
  </r>
  <r>
    <s v="RefugeesSD02113"/>
    <x v="1"/>
    <x v="1"/>
    <x v="7"/>
    <x v="7"/>
    <m/>
    <m/>
    <x v="34"/>
    <x v="3"/>
    <n v="0"/>
    <n v="0"/>
    <n v="0"/>
    <n v="0"/>
    <n v="0"/>
    <n v="0"/>
    <n v="0"/>
    <n v="0"/>
    <n v="0"/>
    <n v="0"/>
    <n v="0"/>
    <n v="0"/>
    <e v="#DIV/0!"/>
    <e v="#DIV/0!"/>
    <e v="#DIV/0!"/>
    <e v="#DIV/0!"/>
    <e v="#DIV/0!"/>
    <e v="#DIV/0!"/>
    <e v="#DIV/0!"/>
    <e v="#DIV/0!"/>
    <s v=""/>
    <s v=""/>
    <s v=""/>
    <s v=""/>
    <n v="0"/>
    <s v="Site Management _x000a_Education_x000a_Food Security and Livlihoods_x000a_Health _x000a_Nutrition_x000a_Protection_x000a_Shelter NFI _x000a_WASH"/>
    <e v="#DIV/0!"/>
    <s v=""/>
    <s v=""/>
    <s v=""/>
    <s v="NA"/>
    <s v=""/>
    <s v=""/>
    <s v=""/>
    <s v=""/>
    <s v=""/>
    <n v="0"/>
    <s v="Site Management _x000a_Education_x000a_Food Security and Livlihoods_x000a_Health _x000a_Nutrition_x000a_Protection_x000a_Shelter NFI _x000a_WASH"/>
    <s v=""/>
    <n v="0"/>
    <s v=""/>
    <s v=""/>
    <s v=""/>
    <s v=""/>
    <n v="0"/>
    <m/>
    <m/>
    <n v="0"/>
    <s v=""/>
    <n v="0"/>
    <m/>
    <x v="1"/>
    <x v="0"/>
    <n v="0"/>
    <n v="0"/>
    <n v="0"/>
  </r>
  <r>
    <s v="RefugeesSD02114"/>
    <x v="1"/>
    <x v="1"/>
    <x v="8"/>
    <x v="8"/>
    <m/>
    <m/>
    <x v="456"/>
    <x v="3"/>
    <n v="0"/>
    <n v="575"/>
    <n v="1402"/>
    <n v="967"/>
    <n v="128"/>
    <n v="1402"/>
    <n v="841"/>
    <n v="799"/>
    <n v="50.471999999999994"/>
    <n v="179.45600000000002"/>
    <n v="701"/>
    <n v="1402"/>
    <n v="0"/>
    <n v="0.41012838801711843"/>
    <n v="1"/>
    <n v="0.68972895863052786"/>
    <n v="9.1298145506419404E-2"/>
    <n v="1"/>
    <n v="0.59985734664764623"/>
    <n v="0.56990014265335232"/>
    <n v="0.05"/>
    <n v="0.15000000000000002"/>
    <n v="0.5"/>
    <n v="1"/>
    <n v="1402"/>
    <s v="Food Security and Livlihoods_x000a_Protection"/>
    <n v="1"/>
    <s v=""/>
    <s v="Flagged"/>
    <s v=""/>
    <n v="967"/>
    <s v="Health "/>
    <n v="0.68972895863052786"/>
    <n v="435"/>
    <n v="0.4498448810754912"/>
    <s v="Flagged"/>
    <n v="841"/>
    <s v="Shelter NFI "/>
    <n v="0.59985734664764623"/>
    <n v="561"/>
    <n v="0.66706302021403097"/>
    <s v="Flagged"/>
    <s v=""/>
    <s v=""/>
    <n v="1402"/>
    <m/>
    <m/>
    <n v="3"/>
    <s v="Flagged"/>
    <n v="1402"/>
    <m/>
    <x v="1"/>
    <x v="0"/>
    <n v="0"/>
    <n v="1402"/>
    <n v="0"/>
  </r>
  <r>
    <s v="RefugeesSD02116"/>
    <x v="1"/>
    <x v="1"/>
    <x v="9"/>
    <x v="9"/>
    <m/>
    <m/>
    <x v="34"/>
    <x v="3"/>
    <n v="0"/>
    <n v="0"/>
    <n v="0"/>
    <n v="0"/>
    <n v="0"/>
    <n v="0"/>
    <n v="0"/>
    <n v="0"/>
    <n v="0"/>
    <n v="0"/>
    <n v="0"/>
    <n v="0"/>
    <e v="#DIV/0!"/>
    <e v="#DIV/0!"/>
    <e v="#DIV/0!"/>
    <e v="#DIV/0!"/>
    <e v="#DIV/0!"/>
    <e v="#DIV/0!"/>
    <e v="#DIV/0!"/>
    <e v="#DIV/0!"/>
    <s v=""/>
    <s v=""/>
    <s v=""/>
    <s v=""/>
    <n v="0"/>
    <s v="Site Management _x000a_Education_x000a_Food Security and Livlihoods_x000a_Health _x000a_Nutrition_x000a_Protection_x000a_Shelter NFI _x000a_WASH"/>
    <e v="#DIV/0!"/>
    <s v=""/>
    <s v=""/>
    <s v=""/>
    <s v="NA"/>
    <s v=""/>
    <s v=""/>
    <s v=""/>
    <s v=""/>
    <s v=""/>
    <n v="0"/>
    <s v="Site Management _x000a_Education_x000a_Food Security and Livlihoods_x000a_Health _x000a_Nutrition_x000a_Protection_x000a_Shelter NFI _x000a_WASH"/>
    <s v=""/>
    <n v="0"/>
    <s v=""/>
    <s v=""/>
    <s v=""/>
    <s v=""/>
    <n v="0"/>
    <m/>
    <m/>
    <n v="0"/>
    <s v=""/>
    <n v="0"/>
    <m/>
    <x v="1"/>
    <x v="2"/>
    <n v="0"/>
    <n v="0"/>
    <n v="0"/>
  </r>
  <r>
    <s v="RefugeesSD02117"/>
    <x v="1"/>
    <x v="1"/>
    <x v="10"/>
    <x v="10"/>
    <m/>
    <m/>
    <x v="34"/>
    <x v="3"/>
    <n v="0"/>
    <n v="0"/>
    <n v="0"/>
    <n v="0"/>
    <n v="0"/>
    <n v="0"/>
    <n v="0"/>
    <n v="0"/>
    <n v="0"/>
    <n v="0"/>
    <n v="0"/>
    <n v="0"/>
    <e v="#DIV/0!"/>
    <e v="#DIV/0!"/>
    <e v="#DIV/0!"/>
    <e v="#DIV/0!"/>
    <e v="#DIV/0!"/>
    <e v="#DIV/0!"/>
    <e v="#DIV/0!"/>
    <e v="#DIV/0!"/>
    <s v=""/>
    <s v=""/>
    <s v=""/>
    <s v=""/>
    <n v="0"/>
    <s v="Site Management _x000a_Education_x000a_Food Security and Livlihoods_x000a_Health _x000a_Nutrition_x000a_Protection_x000a_Shelter NFI _x000a_WASH"/>
    <e v="#DIV/0!"/>
    <s v=""/>
    <s v=""/>
    <s v=""/>
    <s v="NA"/>
    <s v=""/>
    <s v=""/>
    <s v=""/>
    <s v=""/>
    <s v=""/>
    <n v="0"/>
    <s v="Site Management _x000a_Education_x000a_Food Security and Livlihoods_x000a_Health _x000a_Nutrition_x000a_Protection_x000a_Shelter NFI _x000a_WASH"/>
    <s v=""/>
    <n v="0"/>
    <s v=""/>
    <s v=""/>
    <s v=""/>
    <s v=""/>
    <n v="0"/>
    <m/>
    <m/>
    <n v="0"/>
    <s v=""/>
    <n v="0"/>
    <m/>
    <x v="0"/>
    <x v="2"/>
    <n v="0"/>
    <n v="0"/>
    <n v="0"/>
  </r>
  <r>
    <s v="RefugeesSD02118"/>
    <x v="1"/>
    <x v="1"/>
    <x v="11"/>
    <x v="11"/>
    <m/>
    <m/>
    <x v="34"/>
    <x v="3"/>
    <n v="0"/>
    <n v="0"/>
    <n v="0"/>
    <n v="0"/>
    <n v="0"/>
    <n v="0"/>
    <n v="0"/>
    <n v="0"/>
    <n v="0"/>
    <n v="0"/>
    <n v="0"/>
    <n v="0"/>
    <e v="#DIV/0!"/>
    <e v="#DIV/0!"/>
    <e v="#DIV/0!"/>
    <e v="#DIV/0!"/>
    <e v="#DIV/0!"/>
    <e v="#DIV/0!"/>
    <e v="#DIV/0!"/>
    <e v="#DIV/0!"/>
    <s v=""/>
    <s v=""/>
    <s v=""/>
    <s v=""/>
    <n v="0"/>
    <s v="Site Management _x000a_Education_x000a_Food Security and Livlihoods_x000a_Health _x000a_Nutrition_x000a_Protection_x000a_Shelter NFI _x000a_WASH"/>
    <e v="#DIV/0!"/>
    <s v=""/>
    <s v=""/>
    <s v=""/>
    <s v="NA"/>
    <s v=""/>
    <s v=""/>
    <s v=""/>
    <s v=""/>
    <s v=""/>
    <n v="0"/>
    <s v="Site Management _x000a_Education_x000a_Food Security and Livlihoods_x000a_Health _x000a_Nutrition_x000a_Protection_x000a_Shelter NFI _x000a_WASH"/>
    <s v=""/>
    <n v="0"/>
    <s v=""/>
    <s v=""/>
    <s v=""/>
    <s v=""/>
    <n v="0"/>
    <m/>
    <m/>
    <n v="0"/>
    <s v=""/>
    <n v="0"/>
    <m/>
    <x v="0"/>
    <x v="0"/>
    <n v="0"/>
    <n v="0"/>
    <n v="0"/>
  </r>
  <r>
    <s v="RefugeesSD02119"/>
    <x v="1"/>
    <x v="1"/>
    <x v="12"/>
    <x v="12"/>
    <m/>
    <m/>
    <x v="34"/>
    <x v="3"/>
    <n v="0"/>
    <n v="0"/>
    <n v="0"/>
    <n v="0"/>
    <n v="0"/>
    <n v="0"/>
    <n v="0"/>
    <n v="0"/>
    <n v="0"/>
    <n v="0"/>
    <n v="0"/>
    <n v="0"/>
    <e v="#DIV/0!"/>
    <e v="#DIV/0!"/>
    <e v="#DIV/0!"/>
    <e v="#DIV/0!"/>
    <e v="#DIV/0!"/>
    <e v="#DIV/0!"/>
    <e v="#DIV/0!"/>
    <e v="#DIV/0!"/>
    <s v=""/>
    <s v=""/>
    <s v=""/>
    <s v=""/>
    <n v="0"/>
    <s v="Site Management _x000a_Education_x000a_Food Security and Livlihoods_x000a_Health _x000a_Nutrition_x000a_Protection_x000a_Shelter NFI _x000a_WASH"/>
    <e v="#DIV/0!"/>
    <s v=""/>
    <s v=""/>
    <s v=""/>
    <s v="NA"/>
    <s v=""/>
    <s v=""/>
    <s v=""/>
    <s v=""/>
    <s v=""/>
    <n v="0"/>
    <s v="Site Management _x000a_Education_x000a_Food Security and Livlihoods_x000a_Health _x000a_Nutrition_x000a_Protection_x000a_Shelter NFI _x000a_WASH"/>
    <s v=""/>
    <n v="0"/>
    <s v=""/>
    <s v=""/>
    <s v=""/>
    <s v=""/>
    <n v="0"/>
    <m/>
    <m/>
    <n v="0"/>
    <s v=""/>
    <n v="0"/>
    <m/>
    <x v="0"/>
    <x v="2"/>
    <n v="0"/>
    <n v="0"/>
    <n v="0"/>
  </r>
  <r>
    <s v="RefugeesSD02120"/>
    <x v="1"/>
    <x v="1"/>
    <x v="13"/>
    <x v="13"/>
    <m/>
    <m/>
    <x v="34"/>
    <x v="3"/>
    <n v="0"/>
    <n v="0"/>
    <n v="0"/>
    <n v="0"/>
    <n v="0"/>
    <n v="0"/>
    <n v="0"/>
    <n v="0"/>
    <n v="0"/>
    <n v="0"/>
    <n v="0"/>
    <n v="0"/>
    <e v="#DIV/0!"/>
    <e v="#DIV/0!"/>
    <e v="#DIV/0!"/>
    <e v="#DIV/0!"/>
    <e v="#DIV/0!"/>
    <e v="#DIV/0!"/>
    <e v="#DIV/0!"/>
    <e v="#DIV/0!"/>
    <s v=""/>
    <s v=""/>
    <s v=""/>
    <s v=""/>
    <n v="0"/>
    <s v="Site Management _x000a_Education_x000a_Food Security and Livlihoods_x000a_Health _x000a_Nutrition_x000a_Protection_x000a_Shelter NFI _x000a_WASH"/>
    <e v="#DIV/0!"/>
    <s v=""/>
    <s v=""/>
    <s v=""/>
    <s v="NA"/>
    <s v=""/>
    <s v=""/>
    <s v=""/>
    <s v=""/>
    <s v=""/>
    <n v="0"/>
    <s v="Site Management _x000a_Education_x000a_Food Security and Livlihoods_x000a_Health _x000a_Nutrition_x000a_Protection_x000a_Shelter NFI _x000a_WASH"/>
    <s v=""/>
    <n v="0"/>
    <s v=""/>
    <s v=""/>
    <s v=""/>
    <s v=""/>
    <n v="0"/>
    <m/>
    <m/>
    <n v="0"/>
    <s v=""/>
    <n v="0"/>
    <m/>
    <x v="0"/>
    <x v="2"/>
    <n v="0"/>
    <n v="0"/>
    <n v="0"/>
  </r>
  <r>
    <s v="RefugeesSD02124"/>
    <x v="1"/>
    <x v="1"/>
    <x v="14"/>
    <x v="14"/>
    <m/>
    <m/>
    <x v="34"/>
    <x v="3"/>
    <n v="0"/>
    <n v="0"/>
    <n v="0"/>
    <n v="0"/>
    <n v="0"/>
    <n v="0"/>
    <n v="0"/>
    <n v="0"/>
    <n v="0"/>
    <n v="0"/>
    <n v="0"/>
    <n v="0"/>
    <e v="#DIV/0!"/>
    <e v="#DIV/0!"/>
    <e v="#DIV/0!"/>
    <e v="#DIV/0!"/>
    <e v="#DIV/0!"/>
    <e v="#DIV/0!"/>
    <e v="#DIV/0!"/>
    <e v="#DIV/0!"/>
    <s v=""/>
    <s v=""/>
    <s v=""/>
    <s v=""/>
    <n v="0"/>
    <s v="Site Management _x000a_Education_x000a_Food Security and Livlihoods_x000a_Health _x000a_Nutrition_x000a_Protection_x000a_Shelter NFI _x000a_WASH"/>
    <e v="#DIV/0!"/>
    <s v=""/>
    <s v=""/>
    <s v=""/>
    <s v="NA"/>
    <s v=""/>
    <s v=""/>
    <s v=""/>
    <s v=""/>
    <s v=""/>
    <n v="0"/>
    <s v="Site Management _x000a_Education_x000a_Food Security and Livlihoods_x000a_Health _x000a_Nutrition_x000a_Protection_x000a_Shelter NFI _x000a_WASH"/>
    <s v=""/>
    <n v="0"/>
    <s v=""/>
    <s v=""/>
    <s v=""/>
    <s v=""/>
    <n v="0"/>
    <m/>
    <m/>
    <n v="0"/>
    <s v=""/>
    <n v="0"/>
    <m/>
    <x v="0"/>
    <x v="1"/>
    <n v="0"/>
    <n v="0"/>
    <n v="0"/>
  </r>
  <r>
    <s v="RefugeesSD02126"/>
    <x v="1"/>
    <x v="1"/>
    <x v="15"/>
    <x v="15"/>
    <m/>
    <m/>
    <x v="34"/>
    <x v="3"/>
    <n v="0"/>
    <n v="0"/>
    <n v="0"/>
    <n v="0"/>
    <n v="0"/>
    <n v="0"/>
    <n v="0"/>
    <n v="0"/>
    <n v="0"/>
    <n v="0"/>
    <n v="0"/>
    <n v="0"/>
    <e v="#DIV/0!"/>
    <e v="#DIV/0!"/>
    <e v="#DIV/0!"/>
    <e v="#DIV/0!"/>
    <e v="#DIV/0!"/>
    <e v="#DIV/0!"/>
    <e v="#DIV/0!"/>
    <e v="#DIV/0!"/>
    <s v=""/>
    <s v=""/>
    <s v=""/>
    <s v=""/>
    <n v="0"/>
    <s v="Site Management _x000a_Education_x000a_Food Security and Livlihoods_x000a_Health _x000a_Nutrition_x000a_Protection_x000a_Shelter NFI _x000a_WASH"/>
    <e v="#DIV/0!"/>
    <s v=""/>
    <s v=""/>
    <s v=""/>
    <s v="NA"/>
    <s v=""/>
    <s v=""/>
    <s v=""/>
    <s v=""/>
    <s v=""/>
    <n v="0"/>
    <s v="Site Management _x000a_Education_x000a_Food Security and Livlihoods_x000a_Health _x000a_Nutrition_x000a_Protection_x000a_Shelter NFI _x000a_WASH"/>
    <s v=""/>
    <n v="0"/>
    <s v=""/>
    <s v=""/>
    <s v=""/>
    <s v=""/>
    <n v="0"/>
    <m/>
    <m/>
    <n v="0"/>
    <s v=""/>
    <n v="0"/>
    <m/>
    <x v="1"/>
    <x v="2"/>
    <n v="0"/>
    <n v="0"/>
    <n v="0"/>
  </r>
  <r>
    <s v="RefugeesSD02128"/>
    <x v="1"/>
    <x v="1"/>
    <x v="16"/>
    <x v="16"/>
    <m/>
    <m/>
    <x v="34"/>
    <x v="3"/>
    <n v="0"/>
    <n v="0"/>
    <n v="0"/>
    <n v="0"/>
    <n v="0"/>
    <n v="0"/>
    <n v="0"/>
    <n v="0"/>
    <n v="0"/>
    <n v="0"/>
    <n v="0"/>
    <n v="0"/>
    <e v="#DIV/0!"/>
    <e v="#DIV/0!"/>
    <e v="#DIV/0!"/>
    <e v="#DIV/0!"/>
    <e v="#DIV/0!"/>
    <e v="#DIV/0!"/>
    <e v="#DIV/0!"/>
    <e v="#DIV/0!"/>
    <s v=""/>
    <s v=""/>
    <s v=""/>
    <s v=""/>
    <n v="0"/>
    <s v="Site Management _x000a_Education_x000a_Food Security and Livlihoods_x000a_Health _x000a_Nutrition_x000a_Protection_x000a_Shelter NFI _x000a_WASH"/>
    <e v="#DIV/0!"/>
    <s v=""/>
    <s v=""/>
    <s v=""/>
    <s v="NA"/>
    <s v=""/>
    <s v=""/>
    <s v=""/>
    <s v=""/>
    <s v=""/>
    <n v="0"/>
    <s v="Site Management _x000a_Education_x000a_Food Security and Livlihoods_x000a_Health _x000a_Nutrition_x000a_Protection_x000a_Shelter NFI _x000a_WASH"/>
    <s v=""/>
    <n v="0"/>
    <s v=""/>
    <s v=""/>
    <s v=""/>
    <s v=""/>
    <n v="0"/>
    <m/>
    <m/>
    <n v="0"/>
    <s v=""/>
    <n v="0"/>
    <m/>
    <x v="0"/>
    <x v="1"/>
    <n v="0"/>
    <n v="0"/>
    <n v="0"/>
  </r>
  <r>
    <s v="RefugeesSD02129"/>
    <x v="1"/>
    <x v="1"/>
    <x v="17"/>
    <x v="17"/>
    <m/>
    <m/>
    <x v="34"/>
    <x v="3"/>
    <n v="0"/>
    <n v="0"/>
    <n v="0"/>
    <n v="0"/>
    <n v="0"/>
    <n v="0"/>
    <n v="0"/>
    <n v="0"/>
    <n v="0"/>
    <n v="0"/>
    <n v="0"/>
    <n v="0"/>
    <e v="#DIV/0!"/>
    <e v="#DIV/0!"/>
    <e v="#DIV/0!"/>
    <e v="#DIV/0!"/>
    <e v="#DIV/0!"/>
    <e v="#DIV/0!"/>
    <e v="#DIV/0!"/>
    <e v="#DIV/0!"/>
    <s v=""/>
    <s v=""/>
    <s v=""/>
    <s v=""/>
    <n v="0"/>
    <s v="Site Management _x000a_Education_x000a_Food Security and Livlihoods_x000a_Health _x000a_Nutrition_x000a_Protection_x000a_Shelter NFI _x000a_WASH"/>
    <e v="#DIV/0!"/>
    <s v=""/>
    <s v=""/>
    <s v=""/>
    <s v="NA"/>
    <s v=""/>
    <s v=""/>
    <s v=""/>
    <s v=""/>
    <s v=""/>
    <n v="0"/>
    <s v="Site Management _x000a_Education_x000a_Food Security and Livlihoods_x000a_Health _x000a_Nutrition_x000a_Protection_x000a_Shelter NFI _x000a_WASH"/>
    <s v=""/>
    <n v="0"/>
    <s v=""/>
    <s v=""/>
    <s v=""/>
    <s v=""/>
    <n v="0"/>
    <m/>
    <m/>
    <n v="0"/>
    <s v=""/>
    <n v="0"/>
    <m/>
    <x v="1"/>
    <x v="0"/>
    <n v="0"/>
    <n v="0"/>
    <n v="0"/>
  </r>
  <r>
    <s v="RefugeesSD02133"/>
    <x v="1"/>
    <x v="1"/>
    <x v="18"/>
    <x v="18"/>
    <m/>
    <m/>
    <x v="34"/>
    <x v="3"/>
    <n v="0"/>
    <n v="0"/>
    <n v="0"/>
    <n v="0"/>
    <n v="0"/>
    <n v="0"/>
    <n v="0"/>
    <n v="0"/>
    <n v="0"/>
    <n v="0"/>
    <n v="0"/>
    <n v="0"/>
    <e v="#DIV/0!"/>
    <e v="#DIV/0!"/>
    <e v="#DIV/0!"/>
    <e v="#DIV/0!"/>
    <e v="#DIV/0!"/>
    <e v="#DIV/0!"/>
    <e v="#DIV/0!"/>
    <e v="#DIV/0!"/>
    <s v=""/>
    <s v=""/>
    <s v=""/>
    <s v=""/>
    <n v="0"/>
    <s v="Site Management _x000a_Education_x000a_Food Security and Livlihoods_x000a_Health _x000a_Nutrition_x000a_Protection_x000a_Shelter NFI _x000a_WASH"/>
    <e v="#DIV/0!"/>
    <s v=""/>
    <s v=""/>
    <s v=""/>
    <s v="NA"/>
    <s v=""/>
    <s v=""/>
    <s v=""/>
    <s v=""/>
    <s v=""/>
    <n v="0"/>
    <s v="Site Management _x000a_Education_x000a_Food Security and Livlihoods_x000a_Health _x000a_Nutrition_x000a_Protection_x000a_Shelter NFI _x000a_WASH"/>
    <s v=""/>
    <n v="0"/>
    <s v=""/>
    <s v=""/>
    <s v=""/>
    <s v=""/>
    <n v="0"/>
    <m/>
    <m/>
    <n v="0"/>
    <s v=""/>
    <n v="0"/>
    <m/>
    <x v="0"/>
    <x v="0"/>
    <n v="0"/>
    <n v="0"/>
    <n v="0"/>
  </r>
  <r>
    <s v="RefugeesSD02136"/>
    <x v="1"/>
    <x v="1"/>
    <x v="19"/>
    <x v="19"/>
    <m/>
    <m/>
    <x v="34"/>
    <x v="3"/>
    <n v="0"/>
    <n v="0"/>
    <n v="0"/>
    <n v="0"/>
    <n v="0"/>
    <n v="0"/>
    <n v="0"/>
    <n v="0"/>
    <n v="0"/>
    <n v="0"/>
    <n v="0"/>
    <n v="0"/>
    <e v="#DIV/0!"/>
    <e v="#DIV/0!"/>
    <e v="#DIV/0!"/>
    <e v="#DIV/0!"/>
    <e v="#DIV/0!"/>
    <e v="#DIV/0!"/>
    <e v="#DIV/0!"/>
    <e v="#DIV/0!"/>
    <s v=""/>
    <s v=""/>
    <s v=""/>
    <s v=""/>
    <n v="0"/>
    <s v="Site Management _x000a_Education_x000a_Food Security and Livlihoods_x000a_Health _x000a_Nutrition_x000a_Protection_x000a_Shelter NFI _x000a_WASH"/>
    <e v="#DIV/0!"/>
    <s v=""/>
    <s v=""/>
    <s v=""/>
    <s v="NA"/>
    <s v=""/>
    <s v=""/>
    <s v=""/>
    <s v=""/>
    <s v=""/>
    <n v="0"/>
    <s v="Site Management _x000a_Education_x000a_Food Security and Livlihoods_x000a_Health _x000a_Nutrition_x000a_Protection_x000a_Shelter NFI _x000a_WASH"/>
    <s v=""/>
    <n v="0"/>
    <s v=""/>
    <s v=""/>
    <s v=""/>
    <s v=""/>
    <n v="0"/>
    <m/>
    <m/>
    <n v="0"/>
    <s v=""/>
    <n v="0"/>
    <m/>
    <x v="1"/>
    <x v="2"/>
    <n v="0"/>
    <n v="0"/>
    <n v="0"/>
  </r>
  <r>
    <s v="RefugeesSD02168"/>
    <x v="1"/>
    <x v="1"/>
    <x v="20"/>
    <x v="20"/>
    <m/>
    <m/>
    <x v="34"/>
    <x v="3"/>
    <n v="0"/>
    <n v="0"/>
    <n v="0"/>
    <n v="0"/>
    <n v="0"/>
    <n v="0"/>
    <n v="0"/>
    <n v="0"/>
    <n v="0"/>
    <n v="0"/>
    <n v="0"/>
    <n v="0"/>
    <e v="#DIV/0!"/>
    <e v="#DIV/0!"/>
    <e v="#DIV/0!"/>
    <e v="#DIV/0!"/>
    <e v="#DIV/0!"/>
    <e v="#DIV/0!"/>
    <e v="#DIV/0!"/>
    <e v="#DIV/0!"/>
    <s v=""/>
    <s v=""/>
    <s v=""/>
    <s v=""/>
    <n v="0"/>
    <s v="Site Management _x000a_Education_x000a_Food Security and Livlihoods_x000a_Health _x000a_Nutrition_x000a_Protection_x000a_Shelter NFI _x000a_WASH"/>
    <e v="#DIV/0!"/>
    <s v=""/>
    <s v=""/>
    <s v=""/>
    <s v="NA"/>
    <s v=""/>
    <s v=""/>
    <s v=""/>
    <s v=""/>
    <s v=""/>
    <n v="0"/>
    <s v="Site Management _x000a_Education_x000a_Food Security and Livlihoods_x000a_Health _x000a_Nutrition_x000a_Protection_x000a_Shelter NFI _x000a_WASH"/>
    <s v=""/>
    <n v="0"/>
    <s v=""/>
    <s v=""/>
    <s v=""/>
    <s v=""/>
    <n v="0"/>
    <m/>
    <m/>
    <n v="0"/>
    <s v=""/>
    <n v="0"/>
    <m/>
    <x v="0"/>
    <x v="2"/>
    <n v="0"/>
    <n v="0"/>
    <n v="0"/>
  </r>
  <r>
    <s v="RefugeesSD02169"/>
    <x v="1"/>
    <x v="1"/>
    <x v="21"/>
    <x v="21"/>
    <m/>
    <m/>
    <x v="457"/>
    <x v="3"/>
    <n v="0"/>
    <n v="7024"/>
    <n v="22551"/>
    <n v="6540"/>
    <n v="2059"/>
    <n v="22551"/>
    <n v="13531"/>
    <n v="10033"/>
    <n v="1104.999"/>
    <n v="9110.6040000000012"/>
    <n v="4510.2"/>
    <n v="22551"/>
    <n v="0"/>
    <n v="0.31147177508757928"/>
    <n v="1"/>
    <n v="0.29000931222562193"/>
    <n v="9.1304155026384642E-2"/>
    <n v="1"/>
    <n v="0.60001773757261323"/>
    <n v="0.44490266507028514"/>
    <n v="0.05"/>
    <n v="0.4"/>
    <n v="0.2"/>
    <n v="1"/>
    <n v="22551"/>
    <s v="Food Security and Livlihoods_x000a_Protection"/>
    <n v="1"/>
    <s v=""/>
    <s v="Flagged"/>
    <s v=""/>
    <n v="13531"/>
    <s v="Shelter NFI "/>
    <n v="0.60001773757261323"/>
    <n v="9020"/>
    <n v="0.66661739708816792"/>
    <s v="Flagged"/>
    <n v="10033"/>
    <s v="WASH"/>
    <n v="0.44490266507028514"/>
    <n v="12518"/>
    <n v="1.2476826472640288"/>
    <s v="Flagged"/>
    <s v=""/>
    <s v=""/>
    <n v="22551"/>
    <m/>
    <m/>
    <n v="3"/>
    <s v="Flagged"/>
    <n v="22551"/>
    <m/>
    <x v="1"/>
    <x v="2"/>
    <n v="22551"/>
    <n v="0"/>
    <n v="0"/>
  </r>
  <r>
    <s v="RefugeesSD02170"/>
    <x v="1"/>
    <x v="1"/>
    <x v="22"/>
    <x v="22"/>
    <m/>
    <m/>
    <x v="34"/>
    <x v="3"/>
    <n v="0"/>
    <n v="0"/>
    <n v="0"/>
    <n v="0"/>
    <n v="0"/>
    <n v="0"/>
    <n v="0"/>
    <n v="0"/>
    <n v="0"/>
    <n v="0"/>
    <n v="0"/>
    <n v="0"/>
    <e v="#DIV/0!"/>
    <e v="#DIV/0!"/>
    <e v="#DIV/0!"/>
    <e v="#DIV/0!"/>
    <e v="#DIV/0!"/>
    <e v="#DIV/0!"/>
    <e v="#DIV/0!"/>
    <e v="#DIV/0!"/>
    <s v=""/>
    <s v=""/>
    <s v=""/>
    <s v=""/>
    <n v="0"/>
    <s v="Site Management _x000a_Education_x000a_Food Security and Livlihoods_x000a_Health _x000a_Nutrition_x000a_Protection_x000a_Shelter NFI _x000a_WASH"/>
    <e v="#DIV/0!"/>
    <s v=""/>
    <s v=""/>
    <s v=""/>
    <s v="NA"/>
    <s v=""/>
    <s v=""/>
    <s v=""/>
    <s v=""/>
    <s v=""/>
    <n v="0"/>
    <s v="Site Management _x000a_Education_x000a_Food Security and Livlihoods_x000a_Health _x000a_Nutrition_x000a_Protection_x000a_Shelter NFI _x000a_WASH"/>
    <s v=""/>
    <n v="0"/>
    <s v=""/>
    <s v=""/>
    <s v=""/>
    <s v=""/>
    <n v="0"/>
    <m/>
    <m/>
    <n v="0"/>
    <s v=""/>
    <n v="0"/>
    <m/>
    <x v="0"/>
    <x v="1"/>
    <n v="0"/>
    <n v="0"/>
    <n v="0"/>
  </r>
  <r>
    <s v="RefugeesSD02171"/>
    <x v="1"/>
    <x v="1"/>
    <x v="23"/>
    <x v="23"/>
    <m/>
    <m/>
    <x v="34"/>
    <x v="3"/>
    <n v="0"/>
    <n v="0"/>
    <n v="0"/>
    <n v="0"/>
    <n v="0"/>
    <n v="0"/>
    <n v="0"/>
    <n v="0"/>
    <n v="0"/>
    <n v="0"/>
    <n v="0"/>
    <n v="0"/>
    <e v="#DIV/0!"/>
    <e v="#DIV/0!"/>
    <e v="#DIV/0!"/>
    <e v="#DIV/0!"/>
    <e v="#DIV/0!"/>
    <e v="#DIV/0!"/>
    <e v="#DIV/0!"/>
    <e v="#DIV/0!"/>
    <s v=""/>
    <s v=""/>
    <s v=""/>
    <s v=""/>
    <n v="0"/>
    <s v="Site Management _x000a_Education_x000a_Food Security and Livlihoods_x000a_Health _x000a_Nutrition_x000a_Protection_x000a_Shelter NFI _x000a_WASH"/>
    <e v="#DIV/0!"/>
    <s v=""/>
    <s v=""/>
    <s v=""/>
    <s v="NA"/>
    <s v=""/>
    <s v=""/>
    <s v=""/>
    <s v=""/>
    <s v=""/>
    <n v="0"/>
    <s v="Site Management _x000a_Education_x000a_Food Security and Livlihoods_x000a_Health _x000a_Nutrition_x000a_Protection_x000a_Shelter NFI _x000a_WASH"/>
    <s v=""/>
    <n v="0"/>
    <s v=""/>
    <s v=""/>
    <s v=""/>
    <s v=""/>
    <n v="0"/>
    <m/>
    <m/>
    <n v="0"/>
    <s v=""/>
    <n v="0"/>
    <m/>
    <x v="0"/>
    <x v="0"/>
    <n v="0"/>
    <n v="0"/>
    <n v="0"/>
  </r>
  <r>
    <s v="RefugeesSD03141"/>
    <x v="2"/>
    <x v="2"/>
    <x v="24"/>
    <x v="24"/>
    <m/>
    <m/>
    <x v="458"/>
    <x v="3"/>
    <n v="0"/>
    <n v="7603"/>
    <n v="16268"/>
    <n v="7971"/>
    <n v="1485"/>
    <n v="16268"/>
    <n v="9761"/>
    <n v="14137"/>
    <n v="1577.9960000000001"/>
    <n v="7239.26"/>
    <n v="0"/>
    <n v="16268"/>
    <n v="0"/>
    <n v="0.46735923284976644"/>
    <n v="1"/>
    <n v="0.48998032948119008"/>
    <n v="9.1283501352348168E-2"/>
    <n v="1"/>
    <n v="0.60001229407425616"/>
    <n v="0.86900663880009832"/>
    <n v="0.1"/>
    <n v="0.45"/>
    <n v="0"/>
    <n v="1"/>
    <n v="16268"/>
    <s v="Food Security and Livlihoods_x000a_Protection"/>
    <n v="1"/>
    <s v=""/>
    <s v="Flagged"/>
    <s v=""/>
    <n v="14137"/>
    <s v="WASH"/>
    <n v="0.86900663880009832"/>
    <n v="2131"/>
    <n v="0.15073919502015987"/>
    <s v=""/>
    <n v="9761"/>
    <s v="Shelter NFI "/>
    <n v="0.60001229407425616"/>
    <n v="6507"/>
    <n v="0.66663251716012706"/>
    <s v="Flagged"/>
    <s v=""/>
    <s v=""/>
    <n v="16268"/>
    <m/>
    <m/>
    <n v="2"/>
    <s v="Flagged"/>
    <n v="16268"/>
    <m/>
    <x v="1"/>
    <x v="2"/>
    <n v="16268"/>
    <n v="0"/>
    <n v="0"/>
  </r>
  <r>
    <s v="RefugeesSD03143"/>
    <x v="2"/>
    <x v="2"/>
    <x v="25"/>
    <x v="25"/>
    <m/>
    <m/>
    <x v="34"/>
    <x v="3"/>
    <n v="0"/>
    <n v="0"/>
    <n v="0"/>
    <n v="0"/>
    <n v="0"/>
    <n v="0"/>
    <n v="0"/>
    <n v="0"/>
    <n v="0"/>
    <n v="0"/>
    <n v="0"/>
    <n v="0"/>
    <e v="#DIV/0!"/>
    <e v="#DIV/0!"/>
    <e v="#DIV/0!"/>
    <e v="#DIV/0!"/>
    <e v="#DIV/0!"/>
    <e v="#DIV/0!"/>
    <e v="#DIV/0!"/>
    <e v="#DIV/0!"/>
    <s v=""/>
    <s v=""/>
    <s v=""/>
    <s v=""/>
    <n v="0"/>
    <s v="Site Management _x000a_Education_x000a_Food Security and Livlihoods_x000a_Health _x000a_Nutrition_x000a_Protection_x000a_Shelter NFI _x000a_WASH"/>
    <e v="#DIV/0!"/>
    <s v=""/>
    <s v=""/>
    <s v=""/>
    <s v="NA"/>
    <s v=""/>
    <s v=""/>
    <s v=""/>
    <s v=""/>
    <s v=""/>
    <n v="0"/>
    <s v="Site Management _x000a_Education_x000a_Food Security and Livlihoods_x000a_Health _x000a_Nutrition_x000a_Protection_x000a_Shelter NFI _x000a_WASH"/>
    <s v=""/>
    <n v="0"/>
    <s v=""/>
    <s v=""/>
    <s v=""/>
    <s v=""/>
    <n v="0"/>
    <m/>
    <m/>
    <n v="0"/>
    <s v=""/>
    <n v="0"/>
    <m/>
    <x v="1"/>
    <x v="2"/>
    <n v="0"/>
    <n v="0"/>
    <n v="0"/>
  </r>
  <r>
    <s v="RefugeesSD03144"/>
    <x v="2"/>
    <x v="2"/>
    <x v="26"/>
    <x v="26"/>
    <m/>
    <m/>
    <x v="34"/>
    <x v="3"/>
    <n v="0"/>
    <n v="0"/>
    <n v="0"/>
    <n v="0"/>
    <n v="0"/>
    <n v="0"/>
    <n v="0"/>
    <n v="0"/>
    <n v="0"/>
    <n v="0"/>
    <n v="0"/>
    <n v="0"/>
    <e v="#DIV/0!"/>
    <e v="#DIV/0!"/>
    <e v="#DIV/0!"/>
    <e v="#DIV/0!"/>
    <e v="#DIV/0!"/>
    <e v="#DIV/0!"/>
    <e v="#DIV/0!"/>
    <e v="#DIV/0!"/>
    <s v=""/>
    <s v=""/>
    <s v=""/>
    <s v=""/>
    <n v="0"/>
    <s v="Site Management _x000a_Education_x000a_Food Security and Livlihoods_x000a_Health _x000a_Nutrition_x000a_Protection_x000a_Shelter NFI _x000a_WASH"/>
    <e v="#DIV/0!"/>
    <s v=""/>
    <s v=""/>
    <s v=""/>
    <s v="NA"/>
    <s v=""/>
    <s v=""/>
    <s v=""/>
    <s v=""/>
    <s v=""/>
    <n v="0"/>
    <s v="Site Management _x000a_Education_x000a_Food Security and Livlihoods_x000a_Health _x000a_Nutrition_x000a_Protection_x000a_Shelter NFI _x000a_WASH"/>
    <s v=""/>
    <n v="0"/>
    <s v=""/>
    <s v=""/>
    <s v=""/>
    <s v=""/>
    <n v="0"/>
    <m/>
    <m/>
    <n v="0"/>
    <s v=""/>
    <n v="0"/>
    <m/>
    <x v="1"/>
    <x v="0"/>
    <n v="0"/>
    <n v="0"/>
    <n v="0"/>
  </r>
  <r>
    <s v="RefugeesSD03145"/>
    <x v="2"/>
    <x v="2"/>
    <x v="27"/>
    <x v="27"/>
    <m/>
    <m/>
    <x v="34"/>
    <x v="3"/>
    <n v="0"/>
    <n v="0"/>
    <n v="0"/>
    <n v="0"/>
    <n v="0"/>
    <n v="0"/>
    <n v="0"/>
    <n v="0"/>
    <n v="0"/>
    <n v="0"/>
    <n v="0"/>
    <n v="0"/>
    <e v="#DIV/0!"/>
    <e v="#DIV/0!"/>
    <e v="#DIV/0!"/>
    <e v="#DIV/0!"/>
    <e v="#DIV/0!"/>
    <e v="#DIV/0!"/>
    <e v="#DIV/0!"/>
    <e v="#DIV/0!"/>
    <s v=""/>
    <s v=""/>
    <s v=""/>
    <s v=""/>
    <n v="0"/>
    <s v="Site Management _x000a_Education_x000a_Food Security and Livlihoods_x000a_Health _x000a_Nutrition_x000a_Protection_x000a_Shelter NFI _x000a_WASH"/>
    <e v="#DIV/0!"/>
    <s v=""/>
    <s v=""/>
    <s v=""/>
    <s v="NA"/>
    <s v=""/>
    <s v=""/>
    <s v=""/>
    <s v=""/>
    <s v=""/>
    <n v="0"/>
    <s v="Site Management _x000a_Education_x000a_Food Security and Livlihoods_x000a_Health _x000a_Nutrition_x000a_Protection_x000a_Shelter NFI _x000a_WASH"/>
    <s v=""/>
    <n v="0"/>
    <s v=""/>
    <s v=""/>
    <s v=""/>
    <s v=""/>
    <n v="0"/>
    <m/>
    <m/>
    <n v="0"/>
    <s v=""/>
    <n v="0"/>
    <m/>
    <x v="1"/>
    <x v="0"/>
    <n v="0"/>
    <n v="0"/>
    <n v="0"/>
  </r>
  <r>
    <s v="RefugeesSD03146"/>
    <x v="2"/>
    <x v="2"/>
    <x v="28"/>
    <x v="28"/>
    <m/>
    <m/>
    <x v="459"/>
    <x v="3"/>
    <n v="0"/>
    <n v="1966"/>
    <n v="4080"/>
    <n v="1183"/>
    <n v="373"/>
    <n v="4080"/>
    <n v="1632"/>
    <n v="4050"/>
    <n v="709.92"/>
    <n v="2268.48"/>
    <n v="816"/>
    <n v="4080"/>
    <n v="0"/>
    <n v="0.48186274509803922"/>
    <n v="1"/>
    <n v="0.28995098039215689"/>
    <n v="9.1421568627450975E-2"/>
    <n v="1"/>
    <n v="0.4"/>
    <n v="0.99264705882352944"/>
    <n v="0.15000000000000002"/>
    <n v="0.55000000000000004"/>
    <n v="0.2"/>
    <n v="1"/>
    <n v="4080"/>
    <s v="Food Security and Livlihoods_x000a_Protection"/>
    <n v="1"/>
    <s v=""/>
    <s v="Flagged"/>
    <s v=""/>
    <n v="4050"/>
    <s v="WASH"/>
    <n v="0.99264705882352944"/>
    <n v="30"/>
    <n v="7.4074074074074077E-3"/>
    <s v=""/>
    <n v="1966"/>
    <s v="Education"/>
    <n v="0.48186274509803922"/>
    <n v="2114"/>
    <n v="1.0752797558494405"/>
    <s v="Flagged"/>
    <s v=""/>
    <s v=""/>
    <n v="4080"/>
    <m/>
    <m/>
    <n v="2"/>
    <s v="Flagged"/>
    <n v="4080"/>
    <m/>
    <x v="1"/>
    <x v="2"/>
    <n v="4080"/>
    <n v="0"/>
    <n v="0"/>
  </r>
  <r>
    <s v="RefugeesSD03147"/>
    <x v="2"/>
    <x v="2"/>
    <x v="29"/>
    <x v="29"/>
    <m/>
    <m/>
    <x v="34"/>
    <x v="3"/>
    <n v="0"/>
    <n v="0"/>
    <n v="0"/>
    <n v="0"/>
    <n v="0"/>
    <n v="0"/>
    <n v="0"/>
    <n v="0"/>
    <n v="0"/>
    <n v="0"/>
    <n v="0"/>
    <n v="0"/>
    <e v="#DIV/0!"/>
    <e v="#DIV/0!"/>
    <e v="#DIV/0!"/>
    <e v="#DIV/0!"/>
    <e v="#DIV/0!"/>
    <e v="#DIV/0!"/>
    <e v="#DIV/0!"/>
    <e v="#DIV/0!"/>
    <s v=""/>
    <s v=""/>
    <s v=""/>
    <s v=""/>
    <n v="0"/>
    <s v="Site Management _x000a_Education_x000a_Food Security and Livlihoods_x000a_Health _x000a_Nutrition_x000a_Protection_x000a_Shelter NFI _x000a_WASH"/>
    <e v="#DIV/0!"/>
    <s v=""/>
    <s v=""/>
    <s v=""/>
    <s v="NA"/>
    <s v=""/>
    <s v=""/>
    <s v=""/>
    <s v=""/>
    <s v=""/>
    <n v="0"/>
    <s v="Site Management _x000a_Education_x000a_Food Security and Livlihoods_x000a_Health _x000a_Nutrition_x000a_Protection_x000a_Shelter NFI _x000a_WASH"/>
    <s v=""/>
    <n v="0"/>
    <s v=""/>
    <s v=""/>
    <s v=""/>
    <s v=""/>
    <n v="0"/>
    <m/>
    <m/>
    <n v="0"/>
    <s v=""/>
    <n v="0"/>
    <m/>
    <x v="1"/>
    <x v="0"/>
    <n v="0"/>
    <n v="0"/>
    <n v="0"/>
  </r>
  <r>
    <s v="RefugeesSD03149"/>
    <x v="2"/>
    <x v="2"/>
    <x v="30"/>
    <x v="30"/>
    <m/>
    <m/>
    <x v="34"/>
    <x v="3"/>
    <n v="0"/>
    <n v="0"/>
    <n v="0"/>
    <n v="0"/>
    <n v="0"/>
    <n v="0"/>
    <n v="0"/>
    <n v="0"/>
    <n v="0"/>
    <n v="0"/>
    <n v="0"/>
    <n v="0"/>
    <e v="#DIV/0!"/>
    <e v="#DIV/0!"/>
    <e v="#DIV/0!"/>
    <e v="#DIV/0!"/>
    <e v="#DIV/0!"/>
    <e v="#DIV/0!"/>
    <e v="#DIV/0!"/>
    <e v="#DIV/0!"/>
    <s v=""/>
    <s v=""/>
    <s v=""/>
    <s v=""/>
    <n v="0"/>
    <s v="Site Management _x000a_Education_x000a_Food Security and Livlihoods_x000a_Health _x000a_Nutrition_x000a_Protection_x000a_Shelter NFI _x000a_WASH"/>
    <e v="#DIV/0!"/>
    <s v=""/>
    <s v=""/>
    <s v=""/>
    <s v="NA"/>
    <s v=""/>
    <s v=""/>
    <s v=""/>
    <s v=""/>
    <s v=""/>
    <n v="0"/>
    <s v="Site Management _x000a_Education_x000a_Food Security and Livlihoods_x000a_Health _x000a_Nutrition_x000a_Protection_x000a_Shelter NFI _x000a_WASH"/>
    <s v=""/>
    <n v="0"/>
    <s v=""/>
    <s v=""/>
    <s v=""/>
    <s v=""/>
    <n v="0"/>
    <m/>
    <m/>
    <n v="0"/>
    <s v=""/>
    <n v="0"/>
    <m/>
    <x v="1"/>
    <x v="2"/>
    <n v="0"/>
    <n v="0"/>
    <n v="0"/>
  </r>
  <r>
    <s v="RefugeesSD03150"/>
    <x v="2"/>
    <x v="2"/>
    <x v="31"/>
    <x v="31"/>
    <m/>
    <m/>
    <x v="34"/>
    <x v="3"/>
    <n v="0"/>
    <n v="0"/>
    <n v="0"/>
    <n v="0"/>
    <n v="0"/>
    <n v="0"/>
    <n v="0"/>
    <n v="0"/>
    <n v="0"/>
    <n v="0"/>
    <n v="0"/>
    <n v="0"/>
    <e v="#DIV/0!"/>
    <e v="#DIV/0!"/>
    <e v="#DIV/0!"/>
    <e v="#DIV/0!"/>
    <e v="#DIV/0!"/>
    <e v="#DIV/0!"/>
    <e v="#DIV/0!"/>
    <e v="#DIV/0!"/>
    <s v=""/>
    <s v=""/>
    <s v=""/>
    <s v=""/>
    <n v="0"/>
    <s v="Site Management _x000a_Education_x000a_Food Security and Livlihoods_x000a_Health _x000a_Nutrition_x000a_Protection_x000a_Shelter NFI _x000a_WASH"/>
    <e v="#DIV/0!"/>
    <s v=""/>
    <s v=""/>
    <s v=""/>
    <s v="NA"/>
    <s v=""/>
    <s v=""/>
    <s v=""/>
    <s v=""/>
    <s v=""/>
    <n v="0"/>
    <s v="Site Management _x000a_Education_x000a_Food Security and Livlihoods_x000a_Health _x000a_Nutrition_x000a_Protection_x000a_Shelter NFI _x000a_WASH"/>
    <s v=""/>
    <n v="0"/>
    <s v=""/>
    <s v=""/>
    <s v=""/>
    <s v=""/>
    <n v="0"/>
    <m/>
    <m/>
    <n v="0"/>
    <s v=""/>
    <n v="0"/>
    <m/>
    <x v="1"/>
    <x v="0"/>
    <n v="0"/>
    <n v="0"/>
    <n v="0"/>
  </r>
  <r>
    <s v="RefugeesSD03151"/>
    <x v="2"/>
    <x v="2"/>
    <x v="32"/>
    <x v="32"/>
    <m/>
    <m/>
    <x v="34"/>
    <x v="3"/>
    <n v="0"/>
    <n v="0"/>
    <n v="0"/>
    <n v="0"/>
    <n v="0"/>
    <n v="0"/>
    <n v="0"/>
    <n v="0"/>
    <n v="0"/>
    <n v="0"/>
    <n v="0"/>
    <n v="0"/>
    <e v="#DIV/0!"/>
    <e v="#DIV/0!"/>
    <e v="#DIV/0!"/>
    <e v="#DIV/0!"/>
    <e v="#DIV/0!"/>
    <e v="#DIV/0!"/>
    <e v="#DIV/0!"/>
    <e v="#DIV/0!"/>
    <s v=""/>
    <s v=""/>
    <s v=""/>
    <s v=""/>
    <n v="0"/>
    <s v="Site Management _x000a_Education_x000a_Food Security and Livlihoods_x000a_Health _x000a_Nutrition_x000a_Protection_x000a_Shelter NFI _x000a_WASH"/>
    <e v="#DIV/0!"/>
    <s v=""/>
    <s v=""/>
    <s v=""/>
    <s v="NA"/>
    <s v=""/>
    <s v=""/>
    <s v=""/>
    <s v=""/>
    <s v=""/>
    <n v="0"/>
    <s v="Site Management _x000a_Education_x000a_Food Security and Livlihoods_x000a_Health _x000a_Nutrition_x000a_Protection_x000a_Shelter NFI _x000a_WASH"/>
    <s v=""/>
    <n v="0"/>
    <s v=""/>
    <s v=""/>
    <s v=""/>
    <s v=""/>
    <n v="0"/>
    <m/>
    <m/>
    <n v="0"/>
    <s v=""/>
    <n v="0"/>
    <m/>
    <x v="1"/>
    <x v="0"/>
    <n v="0"/>
    <n v="0"/>
    <n v="0"/>
  </r>
  <r>
    <s v="RefugeesSD03153"/>
    <x v="2"/>
    <x v="2"/>
    <x v="33"/>
    <x v="33"/>
    <m/>
    <m/>
    <x v="34"/>
    <x v="3"/>
    <n v="0"/>
    <n v="0"/>
    <n v="0"/>
    <n v="0"/>
    <n v="0"/>
    <n v="0"/>
    <n v="0"/>
    <n v="0"/>
    <n v="0"/>
    <n v="0"/>
    <n v="0"/>
    <n v="0"/>
    <e v="#DIV/0!"/>
    <e v="#DIV/0!"/>
    <e v="#DIV/0!"/>
    <e v="#DIV/0!"/>
    <e v="#DIV/0!"/>
    <e v="#DIV/0!"/>
    <e v="#DIV/0!"/>
    <e v="#DIV/0!"/>
    <s v=""/>
    <s v=""/>
    <s v=""/>
    <s v=""/>
    <n v="0"/>
    <s v="Site Management _x000a_Education_x000a_Food Security and Livlihoods_x000a_Health _x000a_Nutrition_x000a_Protection_x000a_Shelter NFI _x000a_WASH"/>
    <e v="#DIV/0!"/>
    <s v=""/>
    <s v=""/>
    <s v=""/>
    <s v="NA"/>
    <s v=""/>
    <s v=""/>
    <s v=""/>
    <s v=""/>
    <s v=""/>
    <n v="0"/>
    <s v="Site Management _x000a_Education_x000a_Food Security and Livlihoods_x000a_Health _x000a_Nutrition_x000a_Protection_x000a_Shelter NFI _x000a_WASH"/>
    <s v=""/>
    <n v="0"/>
    <s v=""/>
    <s v=""/>
    <s v=""/>
    <s v=""/>
    <n v="0"/>
    <m/>
    <m/>
    <n v="0"/>
    <s v=""/>
    <n v="0"/>
    <m/>
    <x v="1"/>
    <x v="0"/>
    <n v="0"/>
    <n v="0"/>
    <n v="0"/>
  </r>
  <r>
    <s v="RefugeesSD03154"/>
    <x v="2"/>
    <x v="2"/>
    <x v="34"/>
    <x v="34"/>
    <m/>
    <m/>
    <x v="34"/>
    <x v="3"/>
    <n v="0"/>
    <n v="0"/>
    <n v="0"/>
    <n v="0"/>
    <n v="0"/>
    <n v="0"/>
    <n v="0"/>
    <n v="0"/>
    <n v="0"/>
    <n v="0"/>
    <n v="0"/>
    <n v="0"/>
    <e v="#DIV/0!"/>
    <e v="#DIV/0!"/>
    <e v="#DIV/0!"/>
    <e v="#DIV/0!"/>
    <e v="#DIV/0!"/>
    <e v="#DIV/0!"/>
    <e v="#DIV/0!"/>
    <e v="#DIV/0!"/>
    <s v=""/>
    <s v=""/>
    <s v=""/>
    <s v=""/>
    <n v="0"/>
    <s v="Site Management _x000a_Education_x000a_Food Security and Livlihoods_x000a_Health _x000a_Nutrition_x000a_Protection_x000a_Shelter NFI _x000a_WASH"/>
    <e v="#DIV/0!"/>
    <s v=""/>
    <s v=""/>
    <s v=""/>
    <s v="NA"/>
    <s v=""/>
    <s v=""/>
    <s v=""/>
    <s v=""/>
    <s v=""/>
    <n v="0"/>
    <s v="Site Management _x000a_Education_x000a_Food Security and Livlihoods_x000a_Health _x000a_Nutrition_x000a_Protection_x000a_Shelter NFI _x000a_WASH"/>
    <s v=""/>
    <n v="0"/>
    <s v=""/>
    <s v=""/>
    <s v=""/>
    <s v=""/>
    <n v="0"/>
    <m/>
    <m/>
    <n v="0"/>
    <s v=""/>
    <n v="0"/>
    <m/>
    <x v="1"/>
    <x v="2"/>
    <n v="0"/>
    <n v="0"/>
    <n v="0"/>
  </r>
  <r>
    <s v="RefugeesSD03156"/>
    <x v="2"/>
    <x v="2"/>
    <x v="35"/>
    <x v="35"/>
    <m/>
    <m/>
    <x v="34"/>
    <x v="3"/>
    <n v="0"/>
    <n v="0"/>
    <n v="0"/>
    <n v="0"/>
    <n v="0"/>
    <n v="0"/>
    <n v="0"/>
    <n v="0"/>
    <n v="0"/>
    <n v="0"/>
    <n v="0"/>
    <n v="0"/>
    <e v="#DIV/0!"/>
    <e v="#DIV/0!"/>
    <e v="#DIV/0!"/>
    <e v="#DIV/0!"/>
    <e v="#DIV/0!"/>
    <e v="#DIV/0!"/>
    <e v="#DIV/0!"/>
    <e v="#DIV/0!"/>
    <s v=""/>
    <s v=""/>
    <s v=""/>
    <s v=""/>
    <n v="0"/>
    <s v="Site Management _x000a_Education_x000a_Food Security and Livlihoods_x000a_Health _x000a_Nutrition_x000a_Protection_x000a_Shelter NFI _x000a_WASH"/>
    <e v="#DIV/0!"/>
    <s v=""/>
    <s v=""/>
    <s v=""/>
    <s v="NA"/>
    <s v=""/>
    <s v=""/>
    <s v=""/>
    <s v=""/>
    <s v=""/>
    <n v="0"/>
    <s v="Site Management _x000a_Education_x000a_Food Security and Livlihoods_x000a_Health _x000a_Nutrition_x000a_Protection_x000a_Shelter NFI _x000a_WASH"/>
    <s v=""/>
    <n v="0"/>
    <s v=""/>
    <s v=""/>
    <s v=""/>
    <s v=""/>
    <n v="0"/>
    <m/>
    <m/>
    <n v="0"/>
    <s v=""/>
    <n v="0"/>
    <m/>
    <x v="1"/>
    <x v="2"/>
    <n v="0"/>
    <n v="0"/>
    <n v="0"/>
  </r>
  <r>
    <s v="RefugeesSD03157"/>
    <x v="2"/>
    <x v="2"/>
    <x v="36"/>
    <x v="36"/>
    <m/>
    <m/>
    <x v="34"/>
    <x v="3"/>
    <n v="0"/>
    <n v="0"/>
    <n v="0"/>
    <n v="0"/>
    <n v="0"/>
    <n v="0"/>
    <n v="0"/>
    <n v="0"/>
    <n v="0"/>
    <n v="0"/>
    <n v="0"/>
    <n v="0"/>
    <e v="#DIV/0!"/>
    <e v="#DIV/0!"/>
    <e v="#DIV/0!"/>
    <e v="#DIV/0!"/>
    <e v="#DIV/0!"/>
    <e v="#DIV/0!"/>
    <e v="#DIV/0!"/>
    <e v="#DIV/0!"/>
    <s v=""/>
    <s v=""/>
    <s v=""/>
    <s v=""/>
    <n v="0"/>
    <s v="Site Management _x000a_Education_x000a_Food Security and Livlihoods_x000a_Health _x000a_Nutrition_x000a_Protection_x000a_Shelter NFI _x000a_WASH"/>
    <e v="#DIV/0!"/>
    <s v=""/>
    <s v=""/>
    <s v=""/>
    <s v="NA"/>
    <s v=""/>
    <s v=""/>
    <s v=""/>
    <s v=""/>
    <s v=""/>
    <n v="0"/>
    <s v="Site Management _x000a_Education_x000a_Food Security and Livlihoods_x000a_Health _x000a_Nutrition_x000a_Protection_x000a_Shelter NFI _x000a_WASH"/>
    <s v=""/>
    <n v="0"/>
    <s v=""/>
    <s v=""/>
    <s v=""/>
    <s v=""/>
    <n v="0"/>
    <m/>
    <m/>
    <n v="0"/>
    <s v=""/>
    <n v="0"/>
    <m/>
    <x v="1"/>
    <x v="1"/>
    <n v="0"/>
    <n v="0"/>
    <n v="0"/>
  </r>
  <r>
    <s v="RefugeesSD03158"/>
    <x v="2"/>
    <x v="2"/>
    <x v="37"/>
    <x v="37"/>
    <m/>
    <m/>
    <x v="34"/>
    <x v="3"/>
    <n v="0"/>
    <n v="0"/>
    <n v="0"/>
    <n v="0"/>
    <n v="0"/>
    <n v="0"/>
    <n v="0"/>
    <n v="0"/>
    <n v="0"/>
    <n v="0"/>
    <n v="0"/>
    <n v="0"/>
    <e v="#DIV/0!"/>
    <e v="#DIV/0!"/>
    <e v="#DIV/0!"/>
    <e v="#DIV/0!"/>
    <e v="#DIV/0!"/>
    <e v="#DIV/0!"/>
    <e v="#DIV/0!"/>
    <e v="#DIV/0!"/>
    <s v=""/>
    <s v=""/>
    <s v=""/>
    <s v=""/>
    <n v="0"/>
    <s v="Site Management _x000a_Education_x000a_Food Security and Livlihoods_x000a_Health _x000a_Nutrition_x000a_Protection_x000a_Shelter NFI _x000a_WASH"/>
    <e v="#DIV/0!"/>
    <s v=""/>
    <s v=""/>
    <s v=""/>
    <s v="NA"/>
    <s v=""/>
    <s v=""/>
    <s v=""/>
    <s v=""/>
    <s v=""/>
    <n v="0"/>
    <s v="Site Management _x000a_Education_x000a_Food Security and Livlihoods_x000a_Health _x000a_Nutrition_x000a_Protection_x000a_Shelter NFI _x000a_WASH"/>
    <s v=""/>
    <n v="0"/>
    <s v=""/>
    <s v=""/>
    <s v=""/>
    <s v=""/>
    <n v="0"/>
    <m/>
    <m/>
    <n v="0"/>
    <s v=""/>
    <n v="0"/>
    <m/>
    <x v="1"/>
    <x v="0"/>
    <n v="0"/>
    <n v="0"/>
    <n v="0"/>
  </r>
  <r>
    <s v="RefugeesSD03159"/>
    <x v="2"/>
    <x v="2"/>
    <x v="38"/>
    <x v="38"/>
    <m/>
    <m/>
    <x v="34"/>
    <x v="3"/>
    <n v="0"/>
    <n v="0"/>
    <n v="0"/>
    <n v="0"/>
    <n v="0"/>
    <n v="0"/>
    <n v="0"/>
    <n v="0"/>
    <n v="0"/>
    <n v="0"/>
    <n v="0"/>
    <n v="0"/>
    <e v="#DIV/0!"/>
    <e v="#DIV/0!"/>
    <e v="#DIV/0!"/>
    <e v="#DIV/0!"/>
    <e v="#DIV/0!"/>
    <e v="#DIV/0!"/>
    <e v="#DIV/0!"/>
    <e v="#DIV/0!"/>
    <s v=""/>
    <s v=""/>
    <s v=""/>
    <s v=""/>
    <n v="0"/>
    <s v="Site Management _x000a_Education_x000a_Food Security and Livlihoods_x000a_Health _x000a_Nutrition_x000a_Protection_x000a_Shelter NFI _x000a_WASH"/>
    <e v="#DIV/0!"/>
    <s v=""/>
    <s v=""/>
    <s v=""/>
    <s v="NA"/>
    <s v=""/>
    <s v=""/>
    <s v=""/>
    <s v=""/>
    <s v=""/>
    <n v="0"/>
    <s v="Site Management _x000a_Education_x000a_Food Security and Livlihoods_x000a_Health _x000a_Nutrition_x000a_Protection_x000a_Shelter NFI _x000a_WASH"/>
    <s v=""/>
    <n v="0"/>
    <s v=""/>
    <s v=""/>
    <s v=""/>
    <s v=""/>
    <n v="0"/>
    <m/>
    <m/>
    <n v="0"/>
    <s v=""/>
    <n v="0"/>
    <m/>
    <x v="1"/>
    <x v="0"/>
    <n v="0"/>
    <n v="0"/>
    <n v="0"/>
  </r>
  <r>
    <s v="RefugeesSD03161"/>
    <x v="2"/>
    <x v="2"/>
    <x v="39"/>
    <x v="39"/>
    <m/>
    <m/>
    <x v="460"/>
    <x v="3"/>
    <n v="0"/>
    <n v="395"/>
    <n v="692"/>
    <n v="477"/>
    <n v="63"/>
    <n v="692"/>
    <n v="277"/>
    <n v="551"/>
    <n v="35.984000000000002"/>
    <n v="280.26"/>
    <n v="138.4"/>
    <n v="692"/>
    <n v="0"/>
    <n v="0.57080924855491333"/>
    <n v="1"/>
    <n v="0.68930635838150289"/>
    <n v="9.1040462427745661E-2"/>
    <n v="1"/>
    <n v="0.40028901734104044"/>
    <n v="0.79624277456647397"/>
    <n v="0.05"/>
    <n v="0.4"/>
    <n v="0.2"/>
    <n v="1"/>
    <n v="692"/>
    <s v="Food Security and Livlihoods_x000a_Protection"/>
    <n v="1"/>
    <s v=""/>
    <s v="Flagged"/>
    <s v=""/>
    <n v="551"/>
    <s v="WASH"/>
    <n v="0.79624277456647397"/>
    <n v="141"/>
    <n v="0.2558983666061706"/>
    <s v=""/>
    <n v="477"/>
    <s v="Health "/>
    <n v="0.68930635838150289"/>
    <n v="215"/>
    <n v="0.45073375262054505"/>
    <s v=""/>
    <s v=""/>
    <s v=""/>
    <n v="692"/>
    <m/>
    <m/>
    <n v="1"/>
    <s v="Flagged"/>
    <n v="692"/>
    <m/>
    <x v="1"/>
    <x v="0"/>
    <n v="0"/>
    <n v="692"/>
    <n v="0"/>
  </r>
  <r>
    <s v="RefugeesSD03162"/>
    <x v="2"/>
    <x v="2"/>
    <x v="40"/>
    <x v="40"/>
    <m/>
    <m/>
    <x v="461"/>
    <x v="3"/>
    <n v="0"/>
    <n v="2511"/>
    <n v="6408"/>
    <n v="6216"/>
    <n v="585"/>
    <n v="6408"/>
    <n v="2563"/>
    <n v="3278"/>
    <n v="653.61599999999999"/>
    <n v="2928.4560000000001"/>
    <n v="3204"/>
    <n v="6408"/>
    <n v="0"/>
    <n v="0.39185393258426965"/>
    <n v="1"/>
    <n v="0.97003745318352064"/>
    <n v="9.1292134831460675E-2"/>
    <n v="1"/>
    <n v="0.39996878901373284"/>
    <n v="0.51154806491885141"/>
    <n v="0.1"/>
    <n v="0.45"/>
    <n v="0.5"/>
    <n v="1"/>
    <n v="6408"/>
    <s v="Food Security and Livlihoods_x000a_Protection"/>
    <n v="1"/>
    <s v=""/>
    <s v="Flagged"/>
    <s v=""/>
    <n v="6216"/>
    <s v="Health "/>
    <n v="0.97003745318352064"/>
    <n v="192"/>
    <n v="3.0888030888030889E-2"/>
    <s v=""/>
    <n v="3278"/>
    <s v="WASH"/>
    <n v="0.51154806491885141"/>
    <n v="3130"/>
    <n v="0.95485051860890791"/>
    <s v="Flagged"/>
    <s v=""/>
    <s v=""/>
    <n v="6408"/>
    <m/>
    <m/>
    <n v="2"/>
    <s v="Flagged"/>
    <n v="6408"/>
    <m/>
    <x v="1"/>
    <x v="0"/>
    <n v="0"/>
    <n v="6408"/>
    <n v="0"/>
  </r>
  <r>
    <s v="RefugeesSD03164"/>
    <x v="2"/>
    <x v="2"/>
    <x v="41"/>
    <x v="41"/>
    <m/>
    <m/>
    <x v="34"/>
    <x v="3"/>
    <n v="0"/>
    <n v="0"/>
    <n v="0"/>
    <n v="0"/>
    <n v="0"/>
    <n v="0"/>
    <n v="0"/>
    <n v="0"/>
    <n v="0"/>
    <n v="0"/>
    <n v="0"/>
    <n v="0"/>
    <e v="#DIV/0!"/>
    <e v="#DIV/0!"/>
    <e v="#DIV/0!"/>
    <e v="#DIV/0!"/>
    <e v="#DIV/0!"/>
    <e v="#DIV/0!"/>
    <e v="#DIV/0!"/>
    <e v="#DIV/0!"/>
    <s v=""/>
    <s v=""/>
    <s v=""/>
    <s v=""/>
    <n v="0"/>
    <s v="Site Management _x000a_Education_x000a_Food Security and Livlihoods_x000a_Health _x000a_Nutrition_x000a_Protection_x000a_Shelter NFI _x000a_WASH"/>
    <e v="#DIV/0!"/>
    <s v=""/>
    <s v=""/>
    <s v=""/>
    <s v="NA"/>
    <s v=""/>
    <s v=""/>
    <s v=""/>
    <s v=""/>
    <s v=""/>
    <n v="0"/>
    <s v="Site Management _x000a_Education_x000a_Food Security and Livlihoods_x000a_Health _x000a_Nutrition_x000a_Protection_x000a_Shelter NFI _x000a_WASH"/>
    <s v=""/>
    <n v="0"/>
    <s v=""/>
    <s v=""/>
    <s v=""/>
    <s v=""/>
    <n v="0"/>
    <m/>
    <m/>
    <n v="0"/>
    <s v=""/>
    <n v="0"/>
    <m/>
    <x v="0"/>
    <x v="1"/>
    <n v="0"/>
    <n v="0"/>
    <n v="0"/>
  </r>
  <r>
    <s v="RefugeesSD03166"/>
    <x v="2"/>
    <x v="2"/>
    <x v="42"/>
    <x v="42"/>
    <m/>
    <m/>
    <x v="462"/>
    <x v="3"/>
    <n v="0"/>
    <n v="429"/>
    <n v="1261"/>
    <n v="618"/>
    <n v="115"/>
    <n v="1261"/>
    <n v="504"/>
    <n v="945"/>
    <n v="336.68700000000001"/>
    <n v="672.11300000000006"/>
    <n v="378.3"/>
    <n v="1261"/>
    <n v="0"/>
    <n v="0.34020618556701032"/>
    <n v="1"/>
    <n v="0.49008723235527357"/>
    <n v="9.1197462331482945E-2"/>
    <n v="1"/>
    <n v="0.39968279143536878"/>
    <n v="0.74940523394131642"/>
    <n v="0.25"/>
    <n v="0.55000000000000004"/>
    <n v="0.30000000000000004"/>
    <n v="1"/>
    <n v="1261"/>
    <s v="Food Security and Livlihoods_x000a_Protection"/>
    <n v="1"/>
    <s v=""/>
    <s v="Flagged"/>
    <s v=""/>
    <n v="945"/>
    <s v="WASH"/>
    <n v="0.74940523394131642"/>
    <n v="316"/>
    <n v="0.33439153439153441"/>
    <s v="Flagged"/>
    <n v="618"/>
    <s v="Health "/>
    <n v="0.49008723235527357"/>
    <n v="643"/>
    <n v="1.0404530744336569"/>
    <s v="Flagged"/>
    <s v=""/>
    <s v=""/>
    <n v="1261"/>
    <m/>
    <m/>
    <n v="3"/>
    <s v="Flagged"/>
    <n v="1261"/>
    <m/>
    <x v="1"/>
    <x v="0"/>
    <n v="0"/>
    <n v="1261"/>
    <n v="0"/>
  </r>
  <r>
    <s v="RefugeesSD03167"/>
    <x v="2"/>
    <x v="2"/>
    <x v="43"/>
    <x v="43"/>
    <m/>
    <m/>
    <x v="463"/>
    <x v="3"/>
    <n v="0"/>
    <n v="2592"/>
    <n v="5307"/>
    <n v="2600"/>
    <n v="484"/>
    <n v="5307"/>
    <n v="3184"/>
    <n v="317"/>
    <n v="376.79699999999997"/>
    <n v="1788.4590000000001"/>
    <n v="2122.8000000000002"/>
    <n v="5307"/>
    <n v="0"/>
    <n v="0.48841153193894854"/>
    <n v="1"/>
    <n v="0.48991897493876013"/>
    <n v="9.1200301488599964E-2"/>
    <n v="1"/>
    <n v="0.59996231392500476"/>
    <n v="5.9732428867533445E-2"/>
    <n v="0.05"/>
    <n v="0.35000000000000003"/>
    <n v="0.4"/>
    <n v="1"/>
    <n v="5307"/>
    <s v="Food Security and Livlihoods_x000a_Protection"/>
    <n v="1"/>
    <s v=""/>
    <s v="Flagged"/>
    <s v=""/>
    <n v="3184"/>
    <s v="Shelter NFI "/>
    <n v="0.59996231392500476"/>
    <n v="2123"/>
    <n v="0.66677135678391963"/>
    <s v="Flagged"/>
    <n v="2600"/>
    <s v="Health "/>
    <n v="0.48991897493876013"/>
    <n v="2707"/>
    <n v="1.0411538461538461"/>
    <s v="Flagged"/>
    <s v=""/>
    <s v=""/>
    <n v="5307"/>
    <m/>
    <m/>
    <n v="3"/>
    <s v="Flagged"/>
    <n v="5307"/>
    <m/>
    <x v="0"/>
    <x v="1"/>
    <n v="0"/>
    <n v="0"/>
    <n v="5307"/>
  </r>
  <r>
    <s v="RefugeesSD03172"/>
    <x v="2"/>
    <x v="2"/>
    <x v="44"/>
    <x v="44"/>
    <m/>
    <m/>
    <x v="464"/>
    <x v="3"/>
    <n v="0"/>
    <n v="800"/>
    <n v="2046"/>
    <n v="1003"/>
    <n v="187"/>
    <n v="2046"/>
    <n v="0"/>
    <n v="1501"/>
    <n v="390.786"/>
    <n v="1415.8319999999999"/>
    <n v="0"/>
    <n v="2046"/>
    <n v="0"/>
    <n v="0.39100684261974583"/>
    <n v="1"/>
    <n v="0.49022482893450636"/>
    <n v="9.1397849462365593E-2"/>
    <n v="1"/>
    <n v="0"/>
    <n v="0.73362658846529816"/>
    <n v="0.2"/>
    <n v="0.70000000000000007"/>
    <n v="0"/>
    <n v="1"/>
    <n v="2046"/>
    <s v="Food Security and Livlihoods_x000a_Protection"/>
    <n v="1"/>
    <s v="Flagged"/>
    <s v="Flagged"/>
    <s v=""/>
    <n v="1501"/>
    <s v="WASH"/>
    <n v="0.73362658846529816"/>
    <n v="545"/>
    <n v="0.36309127248501"/>
    <s v="Flagged"/>
    <n v="1003"/>
    <s v="Health "/>
    <n v="0.49022482893450636"/>
    <n v="1043"/>
    <n v="1.0398803589232304"/>
    <s v="Flagged"/>
    <s v=""/>
    <s v=""/>
    <n v="2046"/>
    <m/>
    <m/>
    <n v="4"/>
    <s v="Flagged"/>
    <n v="2046"/>
    <m/>
    <x v="1"/>
    <x v="2"/>
    <n v="2046"/>
    <n v="0"/>
    <n v="0"/>
  </r>
  <r>
    <s v="RefugeesSD04111"/>
    <x v="3"/>
    <x v="3"/>
    <x v="45"/>
    <x v="45"/>
    <m/>
    <m/>
    <x v="34"/>
    <x v="3"/>
    <n v="0"/>
    <n v="0"/>
    <n v="0"/>
    <n v="0"/>
    <n v="0"/>
    <n v="0"/>
    <n v="0"/>
    <n v="0"/>
    <n v="0"/>
    <n v="0"/>
    <n v="0"/>
    <n v="0"/>
    <e v="#DIV/0!"/>
    <e v="#DIV/0!"/>
    <e v="#DIV/0!"/>
    <e v="#DIV/0!"/>
    <e v="#DIV/0!"/>
    <e v="#DIV/0!"/>
    <e v="#DIV/0!"/>
    <e v="#DIV/0!"/>
    <s v=""/>
    <s v=""/>
    <s v=""/>
    <s v=""/>
    <n v="0"/>
    <s v="Site Management _x000a_Education_x000a_Food Security and Livlihoods_x000a_Health _x000a_Nutrition_x000a_Protection_x000a_Shelter NFI _x000a_WASH"/>
    <e v="#DIV/0!"/>
    <s v=""/>
    <s v=""/>
    <s v=""/>
    <s v="NA"/>
    <s v=""/>
    <s v=""/>
    <s v=""/>
    <s v=""/>
    <s v=""/>
    <n v="0"/>
    <s v="Site Management _x000a_Education_x000a_Food Security and Livlihoods_x000a_Health _x000a_Nutrition_x000a_Protection_x000a_Shelter NFI _x000a_WASH"/>
    <s v=""/>
    <n v="0"/>
    <s v=""/>
    <s v=""/>
    <s v=""/>
    <s v=""/>
    <n v="0"/>
    <m/>
    <m/>
    <n v="0"/>
    <s v=""/>
    <n v="0"/>
    <m/>
    <x v="0"/>
    <x v="0"/>
    <n v="0"/>
    <n v="0"/>
    <n v="0"/>
  </r>
  <r>
    <s v="RefugeesSD04115"/>
    <x v="3"/>
    <x v="3"/>
    <x v="46"/>
    <x v="46"/>
    <m/>
    <m/>
    <x v="465"/>
    <x v="3"/>
    <n v="0"/>
    <n v="36"/>
    <n v="375"/>
    <n v="364"/>
    <n v="34"/>
    <n v="375"/>
    <n v="150"/>
    <n v="183"/>
    <n v="99"/>
    <n v="168"/>
    <n v="262.5"/>
    <n v="375"/>
    <n v="0"/>
    <n v="9.6000000000000002E-2"/>
    <n v="1"/>
    <n v="0.97066666666666668"/>
    <n v="9.0666666666666673E-2"/>
    <n v="1"/>
    <n v="0.4"/>
    <n v="0.48799999999999999"/>
    <n v="0.25"/>
    <n v="0.45"/>
    <n v="0.70000000000000007"/>
    <n v="1"/>
    <n v="375"/>
    <s v="Food Security and Livlihoods_x000a_Protection"/>
    <n v="1"/>
    <s v=""/>
    <s v="Flagged"/>
    <s v=""/>
    <n v="364"/>
    <s v="Health "/>
    <n v="0.97066666666666668"/>
    <n v="11"/>
    <n v="3.021978021978022E-2"/>
    <s v=""/>
    <n v="183"/>
    <s v="WASH"/>
    <n v="0.48799999999999999"/>
    <n v="192"/>
    <n v="1.0491803278688525"/>
    <s v="Flagged"/>
    <s v=""/>
    <s v="Flagged"/>
    <n v="375"/>
    <m/>
    <m/>
    <n v="3"/>
    <s v="Flagged"/>
    <n v="375"/>
    <m/>
    <x v="1"/>
    <x v="0"/>
    <n v="0"/>
    <n v="375"/>
    <n v="0"/>
  </r>
  <r>
    <s v="RefugeesSD04121"/>
    <x v="3"/>
    <x v="3"/>
    <x v="47"/>
    <x v="47"/>
    <m/>
    <m/>
    <x v="34"/>
    <x v="3"/>
    <n v="0"/>
    <n v="0"/>
    <n v="0"/>
    <n v="0"/>
    <n v="0"/>
    <n v="0"/>
    <n v="0"/>
    <n v="0"/>
    <n v="0"/>
    <n v="0"/>
    <n v="0"/>
    <n v="0"/>
    <e v="#DIV/0!"/>
    <e v="#DIV/0!"/>
    <e v="#DIV/0!"/>
    <e v="#DIV/0!"/>
    <e v="#DIV/0!"/>
    <e v="#DIV/0!"/>
    <e v="#DIV/0!"/>
    <e v="#DIV/0!"/>
    <s v=""/>
    <s v=""/>
    <s v=""/>
    <s v=""/>
    <n v="0"/>
    <s v="Site Management _x000a_Education_x000a_Food Security and Livlihoods_x000a_Health _x000a_Nutrition_x000a_Protection_x000a_Shelter NFI _x000a_WASH"/>
    <e v="#DIV/0!"/>
    <s v=""/>
    <s v=""/>
    <s v=""/>
    <s v="NA"/>
    <s v=""/>
    <s v=""/>
    <s v=""/>
    <s v=""/>
    <s v=""/>
    <n v="0"/>
    <s v="Site Management _x000a_Education_x000a_Food Security and Livlihoods_x000a_Health _x000a_Nutrition_x000a_Protection_x000a_Shelter NFI _x000a_WASH"/>
    <s v=""/>
    <n v="0"/>
    <s v=""/>
    <s v=""/>
    <s v=""/>
    <s v=""/>
    <n v="0"/>
    <m/>
    <m/>
    <n v="0"/>
    <s v=""/>
    <n v="0"/>
    <m/>
    <x v="0"/>
    <x v="1"/>
    <n v="0"/>
    <n v="0"/>
    <n v="0"/>
  </r>
  <r>
    <s v="RefugeesSD04122"/>
    <x v="3"/>
    <x v="3"/>
    <x v="48"/>
    <x v="48"/>
    <m/>
    <m/>
    <x v="466"/>
    <x v="3"/>
    <n v="0"/>
    <n v="9"/>
    <n v="55"/>
    <n v="53"/>
    <n v="5"/>
    <n v="55"/>
    <n v="22"/>
    <n v="53"/>
    <n v="14.520000000000001"/>
    <n v="24.64"/>
    <n v="22"/>
    <n v="55"/>
    <n v="0"/>
    <n v="0.16363636363636364"/>
    <n v="1"/>
    <n v="0.96363636363636362"/>
    <n v="9.0909090909090912E-2"/>
    <n v="1"/>
    <n v="0.4"/>
    <n v="0.96363636363636362"/>
    <n v="0.25"/>
    <n v="0.45"/>
    <n v="0.4"/>
    <n v="1"/>
    <n v="55"/>
    <s v="Food Security and Livlihoods_x000a_Protection"/>
    <n v="1"/>
    <s v=""/>
    <s v="Flagged"/>
    <s v=""/>
    <n v="53"/>
    <s v="Health _x000a_WASH"/>
    <n v="0.96363636363636362"/>
    <n v="2"/>
    <n v="3.7735849056603772E-2"/>
    <s v=""/>
    <n v="22"/>
    <s v="Shelter NFI "/>
    <n v="0.4"/>
    <n v="33"/>
    <n v="1.5"/>
    <s v="Flagged"/>
    <s v=""/>
    <s v=""/>
    <n v="55"/>
    <m/>
    <m/>
    <n v="2"/>
    <s v="Flagged"/>
    <n v="55"/>
    <m/>
    <x v="0"/>
    <x v="0"/>
    <n v="0"/>
    <n v="55"/>
    <n v="0"/>
  </r>
  <r>
    <s v="RefugeesSD04123"/>
    <x v="3"/>
    <x v="3"/>
    <x v="49"/>
    <x v="49"/>
    <m/>
    <m/>
    <x v="34"/>
    <x v="3"/>
    <n v="0"/>
    <n v="0"/>
    <n v="0"/>
    <n v="0"/>
    <n v="0"/>
    <n v="0"/>
    <n v="0"/>
    <n v="0"/>
    <n v="0"/>
    <n v="0"/>
    <n v="0"/>
    <n v="0"/>
    <e v="#DIV/0!"/>
    <e v="#DIV/0!"/>
    <e v="#DIV/0!"/>
    <e v="#DIV/0!"/>
    <e v="#DIV/0!"/>
    <e v="#DIV/0!"/>
    <e v="#DIV/0!"/>
    <e v="#DIV/0!"/>
    <s v=""/>
    <s v=""/>
    <s v=""/>
    <s v=""/>
    <n v="0"/>
    <s v="Site Management _x000a_Education_x000a_Food Security and Livlihoods_x000a_Health _x000a_Nutrition_x000a_Protection_x000a_Shelter NFI _x000a_WASH"/>
    <e v="#DIV/0!"/>
    <s v=""/>
    <s v=""/>
    <s v=""/>
    <s v="NA"/>
    <s v=""/>
    <s v=""/>
    <s v=""/>
    <s v=""/>
    <s v=""/>
    <n v="0"/>
    <s v="Site Management _x000a_Education_x000a_Food Security and Livlihoods_x000a_Health _x000a_Nutrition_x000a_Protection_x000a_Shelter NFI _x000a_WASH"/>
    <s v=""/>
    <n v="0"/>
    <s v=""/>
    <s v=""/>
    <s v=""/>
    <s v=""/>
    <n v="0"/>
    <m/>
    <m/>
    <n v="0"/>
    <s v=""/>
    <n v="0"/>
    <m/>
    <x v="0"/>
    <x v="0"/>
    <n v="0"/>
    <n v="0"/>
    <n v="0"/>
  </r>
  <r>
    <s v="RefugeesSD04125"/>
    <x v="3"/>
    <x v="3"/>
    <x v="50"/>
    <x v="50"/>
    <m/>
    <m/>
    <x v="34"/>
    <x v="3"/>
    <n v="0"/>
    <n v="0"/>
    <n v="0"/>
    <n v="0"/>
    <n v="0"/>
    <n v="0"/>
    <n v="0"/>
    <n v="0"/>
    <n v="0"/>
    <n v="0"/>
    <n v="0"/>
    <n v="0"/>
    <e v="#DIV/0!"/>
    <e v="#DIV/0!"/>
    <e v="#DIV/0!"/>
    <e v="#DIV/0!"/>
    <e v="#DIV/0!"/>
    <e v="#DIV/0!"/>
    <e v="#DIV/0!"/>
    <e v="#DIV/0!"/>
    <s v=""/>
    <s v=""/>
    <s v=""/>
    <s v=""/>
    <n v="0"/>
    <s v="Site Management _x000a_Education_x000a_Food Security and Livlihoods_x000a_Health _x000a_Nutrition_x000a_Protection_x000a_Shelter NFI _x000a_WASH"/>
    <e v="#DIV/0!"/>
    <s v=""/>
    <s v=""/>
    <s v=""/>
    <s v="NA"/>
    <s v=""/>
    <s v=""/>
    <s v=""/>
    <s v=""/>
    <s v=""/>
    <n v="0"/>
    <s v="Site Management _x000a_Education_x000a_Food Security and Livlihoods_x000a_Health _x000a_Nutrition_x000a_Protection_x000a_Shelter NFI _x000a_WASH"/>
    <s v=""/>
    <n v="0"/>
    <s v=""/>
    <s v=""/>
    <s v=""/>
    <s v=""/>
    <n v="0"/>
    <m/>
    <m/>
    <n v="0"/>
    <s v=""/>
    <n v="0"/>
    <m/>
    <x v="0"/>
    <x v="0"/>
    <n v="0"/>
    <n v="0"/>
    <n v="0"/>
  </r>
  <r>
    <s v="RefugeesSD04127"/>
    <x v="3"/>
    <x v="3"/>
    <x v="51"/>
    <x v="51"/>
    <m/>
    <m/>
    <x v="34"/>
    <x v="3"/>
    <n v="0"/>
    <n v="0"/>
    <n v="0"/>
    <n v="0"/>
    <n v="0"/>
    <n v="0"/>
    <n v="0"/>
    <n v="0"/>
    <n v="0"/>
    <n v="0"/>
    <n v="0"/>
    <n v="0"/>
    <e v="#DIV/0!"/>
    <e v="#DIV/0!"/>
    <e v="#DIV/0!"/>
    <e v="#DIV/0!"/>
    <e v="#DIV/0!"/>
    <e v="#DIV/0!"/>
    <e v="#DIV/0!"/>
    <e v="#DIV/0!"/>
    <s v=""/>
    <s v=""/>
    <s v=""/>
    <s v=""/>
    <n v="0"/>
    <s v="Site Management _x000a_Education_x000a_Food Security and Livlihoods_x000a_Health _x000a_Nutrition_x000a_Protection_x000a_Shelter NFI _x000a_WASH"/>
    <e v="#DIV/0!"/>
    <s v=""/>
    <s v=""/>
    <s v=""/>
    <s v="NA"/>
    <s v=""/>
    <s v=""/>
    <s v=""/>
    <s v=""/>
    <s v=""/>
    <n v="0"/>
    <s v="Site Management _x000a_Education_x000a_Food Security and Livlihoods_x000a_Health _x000a_Nutrition_x000a_Protection_x000a_Shelter NFI _x000a_WASH"/>
    <s v=""/>
    <n v="0"/>
    <s v=""/>
    <s v=""/>
    <s v=""/>
    <s v=""/>
    <n v="0"/>
    <m/>
    <m/>
    <n v="0"/>
    <s v=""/>
    <n v="0"/>
    <m/>
    <x v="0"/>
    <x v="0"/>
    <n v="0"/>
    <n v="0"/>
    <n v="0"/>
  </r>
  <r>
    <s v="RefugeesSD04134"/>
    <x v="3"/>
    <x v="3"/>
    <x v="52"/>
    <x v="52"/>
    <m/>
    <m/>
    <x v="34"/>
    <x v="3"/>
    <n v="0"/>
    <n v="0"/>
    <n v="0"/>
    <n v="0"/>
    <n v="0"/>
    <n v="0"/>
    <n v="0"/>
    <n v="0"/>
    <n v="0"/>
    <n v="0"/>
    <n v="0"/>
    <n v="0"/>
    <e v="#DIV/0!"/>
    <e v="#DIV/0!"/>
    <e v="#DIV/0!"/>
    <e v="#DIV/0!"/>
    <e v="#DIV/0!"/>
    <e v="#DIV/0!"/>
    <e v="#DIV/0!"/>
    <e v="#DIV/0!"/>
    <s v=""/>
    <s v=""/>
    <s v=""/>
    <s v=""/>
    <n v="0"/>
    <s v="Site Management _x000a_Education_x000a_Food Security and Livlihoods_x000a_Health _x000a_Nutrition_x000a_Protection_x000a_Shelter NFI _x000a_WASH"/>
    <e v="#DIV/0!"/>
    <s v=""/>
    <s v=""/>
    <s v=""/>
    <s v="NA"/>
    <s v=""/>
    <s v=""/>
    <s v=""/>
    <s v=""/>
    <s v=""/>
    <n v="0"/>
    <s v="Site Management _x000a_Education_x000a_Food Security and Livlihoods_x000a_Health _x000a_Nutrition_x000a_Protection_x000a_Shelter NFI _x000a_WASH"/>
    <s v=""/>
    <n v="0"/>
    <s v=""/>
    <s v=""/>
    <s v=""/>
    <s v=""/>
    <n v="0"/>
    <m/>
    <m/>
    <n v="0"/>
    <s v=""/>
    <n v="0"/>
    <m/>
    <x v="0"/>
    <x v="0"/>
    <n v="0"/>
    <n v="0"/>
    <n v="0"/>
  </r>
  <r>
    <s v="RefugeesSD05139"/>
    <x v="4"/>
    <x v="4"/>
    <x v="53"/>
    <x v="53"/>
    <m/>
    <m/>
    <x v="467"/>
    <x v="3"/>
    <n v="0"/>
    <n v="1330"/>
    <n v="4081"/>
    <n v="2000"/>
    <n v="373"/>
    <n v="4081"/>
    <n v="1632"/>
    <n v="2255"/>
    <n v="93.863"/>
    <n v="1077.384"/>
    <n v="816.2"/>
    <n v="4081"/>
    <n v="0"/>
    <n v="0.32590051457975988"/>
    <n v="1"/>
    <n v="0.49007596177407498"/>
    <n v="9.1399166870864981E-2"/>
    <n v="1"/>
    <n v="0.39990198480764516"/>
    <n v="0.55256064690026951"/>
    <n v="0"/>
    <n v="0.25"/>
    <n v="0.2"/>
    <n v="1"/>
    <n v="4081"/>
    <s v="Food Security and Livlihoods_x000a_Protection"/>
    <n v="1"/>
    <s v=""/>
    <s v="Flagged"/>
    <s v=""/>
    <n v="2255"/>
    <s v="WASH"/>
    <n v="0.55256064690026951"/>
    <n v="1826"/>
    <n v="0.80975609756097566"/>
    <s v="Flagged"/>
    <n v="2000"/>
    <s v="Health "/>
    <n v="0.49007596177407498"/>
    <n v="2081"/>
    <n v="1.0405"/>
    <s v="Flagged"/>
    <s v=""/>
    <s v=""/>
    <n v="4081"/>
    <m/>
    <m/>
    <n v="3"/>
    <s v="Flagged"/>
    <n v="4081"/>
    <m/>
    <x v="1"/>
    <x v="0"/>
    <n v="0"/>
    <n v="4081"/>
    <n v="0"/>
  </r>
  <r>
    <s v="RefugeesSD05140"/>
    <x v="4"/>
    <x v="4"/>
    <x v="54"/>
    <x v="54"/>
    <m/>
    <m/>
    <x v="468"/>
    <x v="3"/>
    <n v="0"/>
    <n v="3688"/>
    <n v="8981"/>
    <n v="4401"/>
    <n v="819"/>
    <n v="8981"/>
    <n v="3592"/>
    <n v="8869"/>
    <n v="143.696"/>
    <n v="1481.865"/>
    <n v="0"/>
    <n v="8981"/>
    <n v="0"/>
    <n v="0.41064469435474893"/>
    <n v="1"/>
    <n v="0.49003451731433023"/>
    <n v="9.1192517537022608E-2"/>
    <n v="1"/>
    <n v="0.39995546152989647"/>
    <n v="0.98752922837100543"/>
    <n v="0"/>
    <n v="0.15000000000000002"/>
    <n v="0"/>
    <n v="1"/>
    <n v="8981"/>
    <s v="Food Security and Livlihoods_x000a_Protection"/>
    <n v="1"/>
    <s v=""/>
    <s v="Flagged"/>
    <s v=""/>
    <n v="8869"/>
    <s v="WASH"/>
    <n v="0.98752922837100543"/>
    <n v="112"/>
    <n v="1.2628255722178374E-2"/>
    <s v=""/>
    <n v="4401"/>
    <s v="Health "/>
    <n v="0.49003451731433023"/>
    <n v="4580"/>
    <n v="1.0406725744149057"/>
    <s v="Flagged"/>
    <s v=""/>
    <s v=""/>
    <n v="8981"/>
    <m/>
    <m/>
    <n v="2"/>
    <s v="Flagged"/>
    <n v="8981"/>
    <m/>
    <x v="1"/>
    <x v="2"/>
    <n v="8981"/>
    <n v="0"/>
    <n v="0"/>
  </r>
  <r>
    <s v="RefugeesSD05142"/>
    <x v="4"/>
    <x v="4"/>
    <x v="55"/>
    <x v="55"/>
    <m/>
    <m/>
    <x v="469"/>
    <x v="3"/>
    <n v="0"/>
    <n v="170"/>
    <n v="524"/>
    <n v="362"/>
    <n v="48"/>
    <n v="524"/>
    <n v="210"/>
    <n v="245"/>
    <n v="44.016000000000005"/>
    <n v="209.60000000000002"/>
    <n v="104.80000000000001"/>
    <n v="524"/>
    <n v="0"/>
    <n v="0.32442748091603052"/>
    <n v="1"/>
    <n v="0.69083969465648853"/>
    <n v="9.1603053435114504E-2"/>
    <n v="1"/>
    <n v="0.40076335877862596"/>
    <n v="0.46755725190839692"/>
    <n v="0.1"/>
    <n v="0.4"/>
    <n v="0.2"/>
    <n v="1"/>
    <n v="524"/>
    <s v="Food Security and Livlihoods_x000a_Protection"/>
    <n v="1"/>
    <s v=""/>
    <s v="Flagged"/>
    <s v=""/>
    <n v="362"/>
    <s v="Health "/>
    <n v="0.69083969465648853"/>
    <n v="162"/>
    <n v="0.44751381215469616"/>
    <s v="Flagged"/>
    <n v="245"/>
    <s v="WASH"/>
    <n v="0.46755725190839692"/>
    <n v="279"/>
    <n v="1.1387755102040817"/>
    <s v="Flagged"/>
    <s v=""/>
    <s v=""/>
    <n v="524"/>
    <m/>
    <m/>
    <n v="3"/>
    <s v="Flagged"/>
    <n v="524"/>
    <m/>
    <x v="1"/>
    <x v="0"/>
    <n v="0"/>
    <n v="524"/>
    <n v="0"/>
  </r>
  <r>
    <s v="RefugeesSD05148"/>
    <x v="4"/>
    <x v="4"/>
    <x v="56"/>
    <x v="56"/>
    <m/>
    <m/>
    <x v="34"/>
    <x v="3"/>
    <n v="0"/>
    <n v="0"/>
    <n v="0"/>
    <n v="0"/>
    <n v="0"/>
    <n v="0"/>
    <n v="0"/>
    <n v="0"/>
    <n v="0"/>
    <n v="0"/>
    <n v="0"/>
    <n v="0"/>
    <e v="#DIV/0!"/>
    <e v="#DIV/0!"/>
    <e v="#DIV/0!"/>
    <e v="#DIV/0!"/>
    <e v="#DIV/0!"/>
    <e v="#DIV/0!"/>
    <e v="#DIV/0!"/>
    <e v="#DIV/0!"/>
    <s v=""/>
    <s v=""/>
    <s v=""/>
    <s v=""/>
    <n v="0"/>
    <s v="Site Management _x000a_Education_x000a_Food Security and Livlihoods_x000a_Health _x000a_Nutrition_x000a_Protection_x000a_Shelter NFI _x000a_WASH"/>
    <e v="#DIV/0!"/>
    <s v=""/>
    <s v=""/>
    <s v=""/>
    <s v="NA"/>
    <s v=""/>
    <s v=""/>
    <s v=""/>
    <s v=""/>
    <s v=""/>
    <n v="0"/>
    <s v="Site Management _x000a_Education_x000a_Food Security and Livlihoods_x000a_Health _x000a_Nutrition_x000a_Protection_x000a_Shelter NFI _x000a_WASH"/>
    <s v=""/>
    <n v="0"/>
    <s v=""/>
    <s v=""/>
    <s v=""/>
    <s v=""/>
    <n v="0"/>
    <m/>
    <m/>
    <n v="0"/>
    <s v=""/>
    <n v="0"/>
    <m/>
    <x v="1"/>
    <x v="0"/>
    <n v="0"/>
    <n v="0"/>
    <n v="0"/>
  </r>
  <r>
    <s v="RefugeesSD05152"/>
    <x v="4"/>
    <x v="4"/>
    <x v="57"/>
    <x v="57"/>
    <m/>
    <m/>
    <x v="470"/>
    <x v="3"/>
    <n v="0"/>
    <n v="2587"/>
    <n v="6275"/>
    <n v="4330"/>
    <n v="573"/>
    <n v="6275"/>
    <n v="2510"/>
    <n v="6039"/>
    <n v="213.35000000000002"/>
    <n v="2177.4249999999997"/>
    <n v="0"/>
    <n v="6275"/>
    <n v="0"/>
    <n v="0.41227091633466134"/>
    <n v="1"/>
    <n v="0.69003984063745016"/>
    <n v="9.1314741035856573E-2"/>
    <n v="1"/>
    <n v="0.4"/>
    <n v="0.96239043824701198"/>
    <n v="0.05"/>
    <n v="0.35000000000000003"/>
    <n v="0"/>
    <n v="1"/>
    <n v="6275"/>
    <s v="Food Security and Livlihoods_x000a_Protection"/>
    <n v="1"/>
    <s v=""/>
    <s v="Flagged"/>
    <s v=""/>
    <n v="6039"/>
    <s v="WASH"/>
    <n v="0.96239043824701198"/>
    <n v="236"/>
    <n v="3.9079317767842361E-2"/>
    <s v=""/>
    <n v="4330"/>
    <s v="Health "/>
    <n v="0.69003984063745016"/>
    <n v="1945"/>
    <n v="0.44919168591224018"/>
    <s v=""/>
    <s v=""/>
    <s v=""/>
    <n v="6275"/>
    <m/>
    <m/>
    <n v="1"/>
    <s v="Flagged"/>
    <n v="6275"/>
    <m/>
    <x v="1"/>
    <x v="0"/>
    <n v="0"/>
    <n v="6275"/>
    <n v="0"/>
  </r>
  <r>
    <s v="RefugeesSD05155"/>
    <x v="4"/>
    <x v="4"/>
    <x v="58"/>
    <x v="58"/>
    <m/>
    <m/>
    <x v="471"/>
    <x v="3"/>
    <n v="0"/>
    <n v="838"/>
    <n v="2593"/>
    <n v="1271"/>
    <n v="236"/>
    <n v="2593"/>
    <n v="1037"/>
    <n v="2015"/>
    <n v="101.127"/>
    <n v="726.04000000000008"/>
    <n v="0"/>
    <n v="2593"/>
    <n v="0"/>
    <n v="0.3231777863478596"/>
    <n v="1"/>
    <n v="0.49016583108368683"/>
    <n v="9.101426918627073E-2"/>
    <n v="1"/>
    <n v="0.39992286926340148"/>
    <n v="0.77709217123023522"/>
    <n v="0.05"/>
    <n v="0.30000000000000004"/>
    <n v="0"/>
    <n v="1"/>
    <n v="2593"/>
    <s v="Food Security and Livlihoods_x000a_Protection"/>
    <n v="1"/>
    <s v=""/>
    <s v="Flagged"/>
    <s v=""/>
    <n v="2015"/>
    <s v="WASH"/>
    <n v="0.77709217123023522"/>
    <n v="578"/>
    <n v="0.28684863523573201"/>
    <s v=""/>
    <n v="1271"/>
    <s v="Health "/>
    <n v="0.49016583108368683"/>
    <n v="1322"/>
    <n v="1.040125885129819"/>
    <s v="Flagged"/>
    <s v=""/>
    <s v=""/>
    <n v="2593"/>
    <m/>
    <m/>
    <n v="2"/>
    <s v="Flagged"/>
    <n v="2593"/>
    <m/>
    <x v="1"/>
    <x v="2"/>
    <n v="2593"/>
    <n v="0"/>
    <n v="0"/>
  </r>
  <r>
    <s v="RefugeesSD05160"/>
    <x v="4"/>
    <x v="4"/>
    <x v="59"/>
    <x v="59"/>
    <m/>
    <m/>
    <x v="472"/>
    <x v="3"/>
    <n v="0"/>
    <n v="13512"/>
    <n v="34834"/>
    <n v="24035"/>
    <n v="3179"/>
    <n v="34834"/>
    <n v="20900"/>
    <n v="32518"/>
    <n v="1672.0319999999999"/>
    <n v="17591.170000000002"/>
    <n v="6966.8"/>
    <n v="34834"/>
    <n v="0"/>
    <n v="0.38789688235631853"/>
    <n v="1"/>
    <n v="0.68998679451110978"/>
    <n v="9.1261411264856179E-2"/>
    <n v="1"/>
    <n v="0.59998851696618249"/>
    <n v="0.93351323419647469"/>
    <n v="0.05"/>
    <n v="0.5"/>
    <n v="0.2"/>
    <n v="1"/>
    <n v="34834"/>
    <s v="Food Security and Livlihoods_x000a_Protection"/>
    <n v="1"/>
    <s v=""/>
    <s v="Flagged"/>
    <s v=""/>
    <n v="32518"/>
    <s v="WASH"/>
    <n v="0.93351323419647469"/>
    <n v="2316"/>
    <n v="7.122209237960514E-2"/>
    <s v=""/>
    <n v="24035"/>
    <s v="Health "/>
    <n v="0.68998679451110978"/>
    <n v="10799"/>
    <n v="0.44930309964634907"/>
    <s v=""/>
    <s v=""/>
    <s v=""/>
    <n v="34834"/>
    <m/>
    <m/>
    <n v="1"/>
    <s v="Flagged"/>
    <n v="34834"/>
    <m/>
    <x v="1"/>
    <x v="0"/>
    <n v="0"/>
    <n v="34834"/>
    <n v="0"/>
  </r>
  <r>
    <s v="RefugeesSD05163"/>
    <x v="4"/>
    <x v="4"/>
    <x v="60"/>
    <x v="60"/>
    <m/>
    <m/>
    <x v="473"/>
    <x v="3"/>
    <n v="0"/>
    <n v="4521"/>
    <n v="10766"/>
    <n v="3122"/>
    <n v="983"/>
    <n v="10766"/>
    <n v="4306"/>
    <n v="10711"/>
    <n v="559.83199999999999"/>
    <n v="4844.7"/>
    <n v="0"/>
    <n v="10766"/>
    <n v="0"/>
    <n v="0.41993312279398104"/>
    <n v="1"/>
    <n v="0.28998699609882966"/>
    <n v="9.1305963217536687E-2"/>
    <n v="1"/>
    <n v="0.39996284599665616"/>
    <n v="0.99489132454021922"/>
    <n v="0.05"/>
    <n v="0.45"/>
    <n v="0"/>
    <n v="1"/>
    <n v="10766"/>
    <s v="Food Security and Livlihoods_x000a_Protection"/>
    <n v="1"/>
    <s v=""/>
    <s v="Flagged"/>
    <s v=""/>
    <n v="10711"/>
    <s v="WASH"/>
    <n v="0.99489132454021922"/>
    <n v="55"/>
    <n v="5.1349080384651292E-3"/>
    <s v=""/>
    <n v="4521"/>
    <s v="Education"/>
    <n v="0.41993312279398104"/>
    <n v="6245"/>
    <n v="1.3813315638133157"/>
    <s v="Flagged"/>
    <s v=""/>
    <s v=""/>
    <n v="10766"/>
    <m/>
    <m/>
    <n v="2"/>
    <s v="Flagged"/>
    <n v="10766"/>
    <m/>
    <x v="1"/>
    <x v="0"/>
    <n v="0"/>
    <n v="10766"/>
    <n v="0"/>
  </r>
  <r>
    <s v="RefugeesSD05165"/>
    <x v="4"/>
    <x v="4"/>
    <x v="61"/>
    <x v="61"/>
    <m/>
    <m/>
    <x v="474"/>
    <x v="3"/>
    <n v="0"/>
    <n v="481"/>
    <n v="1344"/>
    <n v="1304"/>
    <n v="123"/>
    <n v="1344"/>
    <n v="0"/>
    <n v="1285"/>
    <n v="36.287999999999997"/>
    <n v="317.18399999999997"/>
    <n v="268.8"/>
    <n v="1344"/>
    <n v="0"/>
    <n v="0.35788690476190477"/>
    <n v="1"/>
    <n v="0.97023809523809523"/>
    <n v="9.1517857142857137E-2"/>
    <n v="1"/>
    <n v="0"/>
    <n v="0.95610119047619047"/>
    <n v="0.05"/>
    <n v="0.25"/>
    <n v="0.2"/>
    <n v="1"/>
    <n v="1344"/>
    <s v="Food Security and Livlihoods_x000a_Protection"/>
    <n v="1"/>
    <s v="Flagged"/>
    <s v="Flagged"/>
    <s v=""/>
    <n v="1304"/>
    <s v="Health "/>
    <n v="0.97023809523809523"/>
    <n v="40"/>
    <n v="3.0674846625766871E-2"/>
    <s v=""/>
    <n v="1285"/>
    <s v="WASH"/>
    <n v="0.95610119047619047"/>
    <n v="59"/>
    <n v="4.5914396887159536E-2"/>
    <s v=""/>
    <s v=""/>
    <s v="Flagged"/>
    <n v="1344"/>
    <m/>
    <m/>
    <n v="3"/>
    <s v="Flagged"/>
    <n v="1344"/>
    <m/>
    <x v="1"/>
    <x v="0"/>
    <n v="0"/>
    <n v="1344"/>
    <n v="0"/>
  </r>
  <r>
    <s v="RefugeesSD06110"/>
    <x v="5"/>
    <x v="5"/>
    <x v="62"/>
    <x v="62"/>
    <m/>
    <m/>
    <x v="475"/>
    <x v="3"/>
    <n v="0"/>
    <n v="1371"/>
    <n v="3741"/>
    <n v="2581"/>
    <n v="342"/>
    <n v="3741"/>
    <n v="1496"/>
    <n v="3185"/>
    <n v="445.17899999999997"/>
    <n v="2109.924"/>
    <n v="748.2"/>
    <n v="3741"/>
    <n v="0"/>
    <n v="0.36647955092221329"/>
    <n v="1"/>
    <n v="0.68992248062015504"/>
    <n v="9.1419406575781875E-2"/>
    <n v="1"/>
    <n v="0.39989307671745522"/>
    <n v="0.85137663726276391"/>
    <n v="0.1"/>
    <n v="0.55000000000000004"/>
    <n v="0.2"/>
    <n v="1"/>
    <n v="3741"/>
    <s v="Food Security and Livlihoods_x000a_Protection"/>
    <n v="1"/>
    <s v=""/>
    <s v="Flagged"/>
    <s v=""/>
    <n v="3185"/>
    <s v="WASH"/>
    <n v="0.85137663726276391"/>
    <n v="556"/>
    <n v="0.17456828885400313"/>
    <s v=""/>
    <n v="2581"/>
    <s v="Health "/>
    <n v="0.68992248062015504"/>
    <n v="1160"/>
    <n v="0.449438202247191"/>
    <s v=""/>
    <s v=""/>
    <s v=""/>
    <n v="3741"/>
    <m/>
    <m/>
    <n v="1"/>
    <s v="Flagged"/>
    <n v="3741"/>
    <m/>
    <x v="1"/>
    <x v="0"/>
    <n v="0"/>
    <n v="3741"/>
    <n v="0"/>
  </r>
  <r>
    <s v="RefugeesSD06112"/>
    <x v="5"/>
    <x v="5"/>
    <x v="63"/>
    <x v="63"/>
    <m/>
    <m/>
    <x v="34"/>
    <x v="3"/>
    <n v="0"/>
    <n v="0"/>
    <n v="0"/>
    <n v="0"/>
    <n v="0"/>
    <n v="0"/>
    <n v="0"/>
    <n v="0"/>
    <n v="0"/>
    <n v="0"/>
    <n v="0"/>
    <n v="0"/>
    <e v="#DIV/0!"/>
    <e v="#DIV/0!"/>
    <e v="#DIV/0!"/>
    <e v="#DIV/0!"/>
    <e v="#DIV/0!"/>
    <e v="#DIV/0!"/>
    <e v="#DIV/0!"/>
    <e v="#DIV/0!"/>
    <s v=""/>
    <s v=""/>
    <s v=""/>
    <s v=""/>
    <n v="0"/>
    <s v="Site Management _x000a_Education_x000a_Food Security and Livlihoods_x000a_Health _x000a_Nutrition_x000a_Protection_x000a_Shelter NFI _x000a_WASH"/>
    <e v="#DIV/0!"/>
    <s v=""/>
    <s v=""/>
    <s v=""/>
    <s v="NA"/>
    <s v=""/>
    <s v=""/>
    <s v=""/>
    <s v=""/>
    <s v=""/>
    <n v="0"/>
    <s v="Site Management _x000a_Education_x000a_Food Security and Livlihoods_x000a_Health _x000a_Nutrition_x000a_Protection_x000a_Shelter NFI _x000a_WASH"/>
    <s v=""/>
    <n v="0"/>
    <s v=""/>
    <s v=""/>
    <s v=""/>
    <s v=""/>
    <n v="0"/>
    <m/>
    <m/>
    <n v="0"/>
    <s v=""/>
    <n v="0"/>
    <m/>
    <x v="1"/>
    <x v="0"/>
    <n v="0"/>
    <n v="0"/>
    <n v="0"/>
  </r>
  <r>
    <s v="RefugeesSD06130"/>
    <x v="5"/>
    <x v="5"/>
    <x v="64"/>
    <x v="64"/>
    <m/>
    <m/>
    <x v="476"/>
    <x v="3"/>
    <n v="0"/>
    <n v="2"/>
    <n v="6"/>
    <n v="3"/>
    <n v="0"/>
    <n v="6"/>
    <n v="0"/>
    <n v="5"/>
    <n v="0.71399999999999997"/>
    <n v="1.9980000000000002"/>
    <n v="0"/>
    <n v="6"/>
    <n v="0"/>
    <n v="0.33333333333333331"/>
    <n v="1"/>
    <n v="0.5"/>
    <n v="0"/>
    <n v="1"/>
    <n v="0"/>
    <n v="0.83333333333333337"/>
    <n v="0.1"/>
    <n v="0.35000000000000003"/>
    <n v="0"/>
    <n v="1"/>
    <n v="6"/>
    <s v="Food Security and Livlihoods_x000a_Protection"/>
    <n v="1"/>
    <s v="Flagged"/>
    <s v="Flagged"/>
    <s v=""/>
    <n v="5"/>
    <s v="WASH"/>
    <n v="0.83333333333333337"/>
    <n v="1"/>
    <n v="0.2"/>
    <s v=""/>
    <n v="3"/>
    <s v="Health "/>
    <n v="0.5"/>
    <n v="3"/>
    <n v="1"/>
    <s v="Flagged"/>
    <s v=""/>
    <s v=""/>
    <n v="6"/>
    <m/>
    <m/>
    <n v="3"/>
    <s v="Flagged"/>
    <n v="6"/>
    <m/>
    <x v="1"/>
    <x v="0"/>
    <n v="0"/>
    <n v="6"/>
    <n v="0"/>
  </r>
  <r>
    <s v="RefugeesSD06131"/>
    <x v="5"/>
    <x v="5"/>
    <x v="65"/>
    <x v="65"/>
    <m/>
    <m/>
    <x v="34"/>
    <x v="3"/>
    <n v="0"/>
    <n v="0"/>
    <n v="0"/>
    <n v="0"/>
    <n v="0"/>
    <n v="0"/>
    <n v="0"/>
    <n v="0"/>
    <n v="0"/>
    <n v="0"/>
    <n v="0"/>
    <n v="0"/>
    <e v="#DIV/0!"/>
    <e v="#DIV/0!"/>
    <e v="#DIV/0!"/>
    <e v="#DIV/0!"/>
    <e v="#DIV/0!"/>
    <e v="#DIV/0!"/>
    <e v="#DIV/0!"/>
    <e v="#DIV/0!"/>
    <s v=""/>
    <s v=""/>
    <s v=""/>
    <s v=""/>
    <n v="0"/>
    <s v="Site Management _x000a_Education_x000a_Food Security and Livlihoods_x000a_Health _x000a_Nutrition_x000a_Protection_x000a_Shelter NFI _x000a_WASH"/>
    <e v="#DIV/0!"/>
    <s v=""/>
    <s v=""/>
    <s v=""/>
    <s v="NA"/>
    <s v=""/>
    <s v=""/>
    <s v=""/>
    <s v=""/>
    <s v=""/>
    <n v="0"/>
    <s v="Site Management _x000a_Education_x000a_Food Security and Livlihoods_x000a_Health _x000a_Nutrition_x000a_Protection_x000a_Shelter NFI _x000a_WASH"/>
    <s v=""/>
    <n v="0"/>
    <s v=""/>
    <s v=""/>
    <s v=""/>
    <s v=""/>
    <n v="0"/>
    <m/>
    <m/>
    <n v="0"/>
    <s v=""/>
    <n v="0"/>
    <m/>
    <x v="1"/>
    <x v="0"/>
    <n v="0"/>
    <n v="0"/>
    <n v="0"/>
  </r>
  <r>
    <s v="RefugeesSD06132"/>
    <x v="5"/>
    <x v="5"/>
    <x v="66"/>
    <x v="66"/>
    <m/>
    <m/>
    <x v="34"/>
    <x v="3"/>
    <n v="0"/>
    <n v="0"/>
    <n v="0"/>
    <n v="0"/>
    <n v="0"/>
    <n v="0"/>
    <n v="0"/>
    <n v="0"/>
    <n v="0"/>
    <n v="0"/>
    <n v="0"/>
    <n v="0"/>
    <e v="#DIV/0!"/>
    <e v="#DIV/0!"/>
    <e v="#DIV/0!"/>
    <e v="#DIV/0!"/>
    <e v="#DIV/0!"/>
    <e v="#DIV/0!"/>
    <e v="#DIV/0!"/>
    <e v="#DIV/0!"/>
    <s v=""/>
    <s v=""/>
    <s v=""/>
    <s v=""/>
    <n v="0"/>
    <s v="Site Management _x000a_Education_x000a_Food Security and Livlihoods_x000a_Health _x000a_Nutrition_x000a_Protection_x000a_Shelter NFI _x000a_WASH"/>
    <e v="#DIV/0!"/>
    <s v=""/>
    <s v=""/>
    <s v=""/>
    <s v="NA"/>
    <s v=""/>
    <s v=""/>
    <s v=""/>
    <s v=""/>
    <s v=""/>
    <n v="0"/>
    <s v="Site Management _x000a_Education_x000a_Food Security and Livlihoods_x000a_Health _x000a_Nutrition_x000a_Protection_x000a_Shelter NFI _x000a_WASH"/>
    <s v=""/>
    <n v="0"/>
    <s v=""/>
    <s v=""/>
    <s v=""/>
    <s v=""/>
    <n v="0"/>
    <m/>
    <m/>
    <n v="0"/>
    <s v=""/>
    <n v="0"/>
    <m/>
    <x v="1"/>
    <x v="0"/>
    <n v="0"/>
    <n v="0"/>
    <n v="0"/>
  </r>
  <r>
    <s v="RefugeesSD06135"/>
    <x v="5"/>
    <x v="5"/>
    <x v="67"/>
    <x v="67"/>
    <m/>
    <m/>
    <x v="34"/>
    <x v="3"/>
    <n v="0"/>
    <n v="0"/>
    <n v="0"/>
    <n v="0"/>
    <n v="0"/>
    <n v="0"/>
    <n v="0"/>
    <n v="0"/>
    <n v="0"/>
    <n v="0"/>
    <n v="0"/>
    <n v="0"/>
    <e v="#DIV/0!"/>
    <e v="#DIV/0!"/>
    <e v="#DIV/0!"/>
    <e v="#DIV/0!"/>
    <e v="#DIV/0!"/>
    <e v="#DIV/0!"/>
    <e v="#DIV/0!"/>
    <e v="#DIV/0!"/>
    <s v=""/>
    <s v=""/>
    <s v=""/>
    <s v=""/>
    <n v="0"/>
    <s v="Site Management _x000a_Education_x000a_Food Security and Livlihoods_x000a_Health _x000a_Nutrition_x000a_Protection_x000a_Shelter NFI _x000a_WASH"/>
    <e v="#DIV/0!"/>
    <s v=""/>
    <s v=""/>
    <s v=""/>
    <s v="NA"/>
    <s v=""/>
    <s v=""/>
    <s v=""/>
    <s v=""/>
    <s v=""/>
    <n v="0"/>
    <s v="Site Management _x000a_Education_x000a_Food Security and Livlihoods_x000a_Health _x000a_Nutrition_x000a_Protection_x000a_Shelter NFI _x000a_WASH"/>
    <s v=""/>
    <n v="0"/>
    <s v=""/>
    <s v=""/>
    <s v=""/>
    <s v=""/>
    <n v="0"/>
    <m/>
    <m/>
    <n v="0"/>
    <s v=""/>
    <n v="0"/>
    <m/>
    <x v="1"/>
    <x v="0"/>
    <n v="0"/>
    <n v="0"/>
    <n v="0"/>
  </r>
  <r>
    <s v="RefugeesSD06137"/>
    <x v="5"/>
    <x v="5"/>
    <x v="68"/>
    <x v="68"/>
    <m/>
    <m/>
    <x v="34"/>
    <x v="3"/>
    <n v="0"/>
    <n v="0"/>
    <n v="0"/>
    <n v="0"/>
    <n v="0"/>
    <n v="0"/>
    <n v="0"/>
    <n v="0"/>
    <n v="0"/>
    <n v="0"/>
    <n v="0"/>
    <n v="0"/>
    <e v="#DIV/0!"/>
    <e v="#DIV/0!"/>
    <e v="#DIV/0!"/>
    <e v="#DIV/0!"/>
    <e v="#DIV/0!"/>
    <e v="#DIV/0!"/>
    <e v="#DIV/0!"/>
    <e v="#DIV/0!"/>
    <s v=""/>
    <s v=""/>
    <s v=""/>
    <s v=""/>
    <n v="0"/>
    <s v="Site Management _x000a_Education_x000a_Food Security and Livlihoods_x000a_Health _x000a_Nutrition_x000a_Protection_x000a_Shelter NFI _x000a_WASH"/>
    <e v="#DIV/0!"/>
    <s v=""/>
    <s v=""/>
    <s v=""/>
    <s v="NA"/>
    <s v=""/>
    <s v=""/>
    <s v=""/>
    <s v=""/>
    <s v=""/>
    <n v="0"/>
    <s v="Site Management _x000a_Education_x000a_Food Security and Livlihoods_x000a_Health _x000a_Nutrition_x000a_Protection_x000a_Shelter NFI _x000a_WASH"/>
    <s v=""/>
    <n v="0"/>
    <s v=""/>
    <s v=""/>
    <s v=""/>
    <s v=""/>
    <n v="0"/>
    <m/>
    <m/>
    <n v="0"/>
    <s v=""/>
    <n v="0"/>
    <m/>
    <x v="1"/>
    <x v="2"/>
    <n v="0"/>
    <n v="0"/>
    <n v="0"/>
  </r>
  <r>
    <s v="RefugeesSD06138"/>
    <x v="5"/>
    <x v="5"/>
    <x v="69"/>
    <x v="69"/>
    <m/>
    <m/>
    <x v="477"/>
    <x v="3"/>
    <n v="0"/>
    <n v="177"/>
    <n v="532"/>
    <n v="516"/>
    <n v="49"/>
    <n v="532"/>
    <n v="213"/>
    <n v="372"/>
    <n v="31.919999999999998"/>
    <n v="258.55200000000002"/>
    <n v="372.4"/>
    <n v="532"/>
    <n v="0"/>
    <n v="0.33270676691729323"/>
    <n v="1"/>
    <n v="0.96992481203007519"/>
    <n v="9.2105263157894732E-2"/>
    <n v="1"/>
    <n v="0.40037593984962405"/>
    <n v="0.6992481203007519"/>
    <n v="0.05"/>
    <n v="0.5"/>
    <n v="0.70000000000000007"/>
    <n v="1"/>
    <n v="532"/>
    <s v="Food Security and Livlihoods_x000a_Protection"/>
    <n v="1"/>
    <s v=""/>
    <s v="Flagged"/>
    <s v=""/>
    <n v="516"/>
    <s v="Health "/>
    <n v="0.96992481203007519"/>
    <n v="16"/>
    <n v="3.1007751937984496E-2"/>
    <s v=""/>
    <n v="372"/>
    <s v="WASH"/>
    <n v="0.6992481203007519"/>
    <n v="160"/>
    <n v="0.43010752688172044"/>
    <s v=""/>
    <s v=""/>
    <s v=""/>
    <n v="532"/>
    <m/>
    <m/>
    <n v="1"/>
    <s v="Flagged"/>
    <n v="532"/>
    <m/>
    <x v="0"/>
    <x v="1"/>
    <n v="0"/>
    <n v="0"/>
    <n v="532"/>
  </r>
  <r>
    <s v="RefugeesSD06139"/>
    <x v="5"/>
    <x v="5"/>
    <x v="70"/>
    <x v="70"/>
    <m/>
    <m/>
    <x v="34"/>
    <x v="3"/>
    <n v="0"/>
    <n v="0"/>
    <n v="0"/>
    <n v="0"/>
    <n v="0"/>
    <n v="0"/>
    <n v="0"/>
    <n v="0"/>
    <n v="0"/>
    <n v="0"/>
    <n v="0"/>
    <n v="0"/>
    <e v="#DIV/0!"/>
    <e v="#DIV/0!"/>
    <e v="#DIV/0!"/>
    <e v="#DIV/0!"/>
    <e v="#DIV/0!"/>
    <e v="#DIV/0!"/>
    <e v="#DIV/0!"/>
    <e v="#DIV/0!"/>
    <s v=""/>
    <s v=""/>
    <s v=""/>
    <s v=""/>
    <n v="0"/>
    <s v="Site Management _x000a_Education_x000a_Food Security and Livlihoods_x000a_Health _x000a_Nutrition_x000a_Protection_x000a_Shelter NFI _x000a_WASH"/>
    <e v="#DIV/0!"/>
    <s v=""/>
    <s v=""/>
    <s v=""/>
    <s v="NA"/>
    <s v=""/>
    <s v=""/>
    <s v=""/>
    <s v=""/>
    <s v=""/>
    <n v="0"/>
    <s v="Site Management _x000a_Education_x000a_Food Security and Livlihoods_x000a_Health _x000a_Nutrition_x000a_Protection_x000a_Shelter NFI _x000a_WASH"/>
    <s v=""/>
    <n v="0"/>
    <s v=""/>
    <s v=""/>
    <s v=""/>
    <s v=""/>
    <n v="0"/>
    <m/>
    <m/>
    <n v="0"/>
    <s v=""/>
    <n v="0"/>
    <m/>
    <x v="1"/>
    <x v="0"/>
    <n v="0"/>
    <n v="0"/>
    <n v="0"/>
  </r>
  <r>
    <s v="RefugeesSD07088"/>
    <x v="6"/>
    <x v="6"/>
    <x v="71"/>
    <x v="71"/>
    <m/>
    <m/>
    <x v="478"/>
    <x v="3"/>
    <n v="0"/>
    <n v="5269"/>
    <n v="11294"/>
    <n v="5534"/>
    <n v="1032"/>
    <n v="11294"/>
    <n v="4518"/>
    <n v="10561"/>
    <n v="1999.0379999999998"/>
    <n v="5025.83"/>
    <n v="3388.2"/>
    <n v="11294"/>
    <n v="0"/>
    <n v="0.46653090136355585"/>
    <n v="1"/>
    <n v="0.4899946874446609"/>
    <n v="9.1375951832831592E-2"/>
    <n v="1"/>
    <n v="0.40003541703559414"/>
    <n v="0.93509828227377367"/>
    <n v="0.2"/>
    <n v="0.45"/>
    <n v="0.30000000000000004"/>
    <n v="1"/>
    <n v="11294"/>
    <s v="Food Security and Livlihoods_x000a_Protection"/>
    <n v="1"/>
    <s v=""/>
    <s v="Flagged"/>
    <s v=""/>
    <n v="10561"/>
    <s v="WASH"/>
    <n v="0.93509828227377367"/>
    <n v="733"/>
    <n v="6.9406306221001801E-2"/>
    <s v=""/>
    <n v="5534"/>
    <s v="Health "/>
    <n v="0.4899946874446609"/>
    <n v="5760"/>
    <n v="1.0408384531984098"/>
    <s v="Flagged"/>
    <s v=""/>
    <s v=""/>
    <n v="11294"/>
    <m/>
    <m/>
    <n v="2"/>
    <s v="Flagged"/>
    <n v="11294"/>
    <m/>
    <x v="2"/>
    <x v="0"/>
    <n v="0"/>
    <n v="11294"/>
    <n v="0"/>
  </r>
  <r>
    <s v="RefugeesSD07089"/>
    <x v="6"/>
    <x v="6"/>
    <x v="72"/>
    <x v="72"/>
    <m/>
    <m/>
    <x v="34"/>
    <x v="3"/>
    <n v="0"/>
    <n v="0"/>
    <n v="0"/>
    <n v="0"/>
    <n v="0"/>
    <n v="0"/>
    <n v="0"/>
    <n v="0"/>
    <n v="0"/>
    <n v="0"/>
    <n v="0"/>
    <n v="0"/>
    <e v="#DIV/0!"/>
    <e v="#DIV/0!"/>
    <e v="#DIV/0!"/>
    <e v="#DIV/0!"/>
    <e v="#DIV/0!"/>
    <e v="#DIV/0!"/>
    <e v="#DIV/0!"/>
    <e v="#DIV/0!"/>
    <s v=""/>
    <s v=""/>
    <s v=""/>
    <s v=""/>
    <n v="0"/>
    <s v="Site Management _x000a_Education_x000a_Food Security and Livlihoods_x000a_Health _x000a_Nutrition_x000a_Protection_x000a_Shelter NFI _x000a_WASH"/>
    <e v="#DIV/0!"/>
    <s v=""/>
    <s v=""/>
    <s v=""/>
    <s v="NA"/>
    <s v=""/>
    <s v=""/>
    <s v=""/>
    <s v=""/>
    <s v=""/>
    <n v="0"/>
    <s v="Site Management _x000a_Education_x000a_Food Security and Livlihoods_x000a_Health _x000a_Nutrition_x000a_Protection_x000a_Shelter NFI _x000a_WASH"/>
    <s v=""/>
    <n v="0"/>
    <s v=""/>
    <s v=""/>
    <s v=""/>
    <s v=""/>
    <n v="0"/>
    <m/>
    <m/>
    <n v="0"/>
    <s v=""/>
    <n v="0"/>
    <m/>
    <x v="2"/>
    <x v="2"/>
    <n v="0"/>
    <n v="0"/>
    <n v="0"/>
  </r>
  <r>
    <s v="RefugeesSD07090"/>
    <x v="6"/>
    <x v="6"/>
    <x v="73"/>
    <x v="73"/>
    <m/>
    <m/>
    <x v="34"/>
    <x v="3"/>
    <n v="0"/>
    <n v="0"/>
    <n v="0"/>
    <n v="0"/>
    <n v="0"/>
    <n v="0"/>
    <n v="0"/>
    <n v="0"/>
    <n v="0"/>
    <n v="0"/>
    <n v="0"/>
    <n v="0"/>
    <e v="#DIV/0!"/>
    <e v="#DIV/0!"/>
    <e v="#DIV/0!"/>
    <e v="#DIV/0!"/>
    <e v="#DIV/0!"/>
    <e v="#DIV/0!"/>
    <e v="#DIV/0!"/>
    <e v="#DIV/0!"/>
    <s v=""/>
    <s v=""/>
    <s v=""/>
    <s v=""/>
    <n v="0"/>
    <s v="Site Management _x000a_Education_x000a_Food Security and Livlihoods_x000a_Health _x000a_Nutrition_x000a_Protection_x000a_Shelter NFI _x000a_WASH"/>
    <e v="#DIV/0!"/>
    <s v=""/>
    <s v=""/>
    <s v=""/>
    <s v="NA"/>
    <s v=""/>
    <s v=""/>
    <s v=""/>
    <s v=""/>
    <s v=""/>
    <n v="0"/>
    <s v="Site Management _x000a_Education_x000a_Food Security and Livlihoods_x000a_Health _x000a_Nutrition_x000a_Protection_x000a_Shelter NFI _x000a_WASH"/>
    <s v=""/>
    <n v="0"/>
    <s v=""/>
    <s v=""/>
    <s v=""/>
    <s v=""/>
    <n v="0"/>
    <m/>
    <m/>
    <n v="0"/>
    <s v=""/>
    <n v="0"/>
    <m/>
    <x v="2"/>
    <x v="0"/>
    <n v="0"/>
    <n v="0"/>
    <n v="0"/>
  </r>
  <r>
    <s v="RefugeesSD07091"/>
    <x v="6"/>
    <x v="6"/>
    <x v="74"/>
    <x v="74"/>
    <m/>
    <m/>
    <x v="34"/>
    <x v="3"/>
    <n v="0"/>
    <n v="0"/>
    <n v="0"/>
    <n v="0"/>
    <n v="0"/>
    <n v="0"/>
    <n v="0"/>
    <n v="0"/>
    <n v="0"/>
    <n v="0"/>
    <n v="0"/>
    <n v="0"/>
    <e v="#DIV/0!"/>
    <e v="#DIV/0!"/>
    <e v="#DIV/0!"/>
    <e v="#DIV/0!"/>
    <e v="#DIV/0!"/>
    <e v="#DIV/0!"/>
    <e v="#DIV/0!"/>
    <e v="#DIV/0!"/>
    <s v=""/>
    <s v=""/>
    <s v=""/>
    <s v=""/>
    <n v="0"/>
    <s v="Site Management _x000a_Education_x000a_Food Security and Livlihoods_x000a_Health _x000a_Nutrition_x000a_Protection_x000a_Shelter NFI _x000a_WASH"/>
    <e v="#DIV/0!"/>
    <s v=""/>
    <s v=""/>
    <s v=""/>
    <s v="NA"/>
    <s v=""/>
    <s v=""/>
    <s v=""/>
    <s v=""/>
    <s v=""/>
    <n v="0"/>
    <s v="Site Management _x000a_Education_x000a_Food Security and Livlihoods_x000a_Health _x000a_Nutrition_x000a_Protection_x000a_Shelter NFI _x000a_WASH"/>
    <s v=""/>
    <n v="0"/>
    <s v=""/>
    <s v=""/>
    <s v=""/>
    <s v=""/>
    <n v="0"/>
    <m/>
    <m/>
    <n v="0"/>
    <s v=""/>
    <n v="0"/>
    <m/>
    <x v="0"/>
    <x v="2"/>
    <n v="0"/>
    <n v="0"/>
    <n v="0"/>
  </r>
  <r>
    <s v="RefugeesSD07093"/>
    <x v="6"/>
    <x v="6"/>
    <x v="75"/>
    <x v="75"/>
    <m/>
    <m/>
    <x v="479"/>
    <x v="3"/>
    <n v="0"/>
    <n v="109"/>
    <n v="205"/>
    <n v="141"/>
    <n v="19"/>
    <n v="205"/>
    <n v="0"/>
    <n v="180"/>
    <n v="22.55"/>
    <n v="91.43"/>
    <n v="102.5"/>
    <n v="205"/>
    <n v="0"/>
    <n v="0.53170731707317076"/>
    <n v="1"/>
    <n v="0.68780487804878043"/>
    <n v="9.2682926829268292E-2"/>
    <n v="1"/>
    <n v="0"/>
    <n v="0.87804878048780488"/>
    <n v="0.1"/>
    <n v="0.45"/>
    <n v="0.5"/>
    <n v="1"/>
    <n v="205"/>
    <s v="Food Security and Livlihoods_x000a_Protection"/>
    <n v="1"/>
    <s v="Flagged"/>
    <s v="Flagged"/>
    <s v=""/>
    <n v="180"/>
    <s v="WASH"/>
    <n v="0.87804878048780488"/>
    <n v="25"/>
    <n v="0.1388888888888889"/>
    <s v=""/>
    <n v="141"/>
    <s v="Health "/>
    <n v="0.68780487804878043"/>
    <n v="64"/>
    <n v="0.45390070921985815"/>
    <s v=""/>
    <s v=""/>
    <s v=""/>
    <n v="205"/>
    <m/>
    <m/>
    <n v="2"/>
    <s v="Flagged"/>
    <n v="205"/>
    <m/>
    <x v="2"/>
    <x v="2"/>
    <n v="205"/>
    <n v="0"/>
    <n v="0"/>
  </r>
  <r>
    <s v="RefugeesSD07094"/>
    <x v="6"/>
    <x v="6"/>
    <x v="76"/>
    <x v="76"/>
    <m/>
    <m/>
    <x v="480"/>
    <x v="3"/>
    <n v="0"/>
    <n v="109"/>
    <n v="372"/>
    <n v="182"/>
    <n v="34"/>
    <n v="372"/>
    <n v="0"/>
    <n v="304"/>
    <n v="116.06399999999999"/>
    <n v="154.00799999999998"/>
    <n v="0"/>
    <n v="372"/>
    <n v="0"/>
    <n v="0.29301075268817206"/>
    <n v="1"/>
    <n v="0.489247311827957"/>
    <n v="9.1397849462365593E-2"/>
    <n v="1"/>
    <n v="0"/>
    <n v="0.81720430107526887"/>
    <n v="0.30000000000000004"/>
    <n v="0.4"/>
    <n v="0"/>
    <n v="1"/>
    <n v="372"/>
    <s v="Food Security and Livlihoods_x000a_Protection"/>
    <n v="1"/>
    <s v="Flagged"/>
    <s v="Flagged"/>
    <s v=""/>
    <n v="304"/>
    <s v="WASH"/>
    <n v="0.81720430107526887"/>
    <n v="68"/>
    <n v="0.22368421052631579"/>
    <s v=""/>
    <n v="182"/>
    <s v="Health "/>
    <n v="0.489247311827957"/>
    <n v="190"/>
    <n v="1.043956043956044"/>
    <s v="Flagged"/>
    <s v=""/>
    <s v=""/>
    <n v="372"/>
    <m/>
    <m/>
    <n v="3"/>
    <s v="Flagged"/>
    <n v="372"/>
    <m/>
    <x v="2"/>
    <x v="2"/>
    <n v="372"/>
    <n v="0"/>
    <n v="0"/>
  </r>
  <r>
    <s v="RefugeesSD07095"/>
    <x v="6"/>
    <x v="6"/>
    <x v="77"/>
    <x v="77"/>
    <m/>
    <m/>
    <x v="481"/>
    <x v="3"/>
    <n v="0"/>
    <n v="312"/>
    <n v="793"/>
    <n v="547"/>
    <n v="72"/>
    <n v="793"/>
    <n v="0"/>
    <n v="443"/>
    <n v="106.262"/>
    <n v="342.57600000000002"/>
    <n v="158.60000000000002"/>
    <n v="793"/>
    <n v="0"/>
    <n v="0.39344262295081966"/>
    <n v="1"/>
    <n v="0.68978562421185374"/>
    <n v="9.0794451450189162E-2"/>
    <n v="1"/>
    <n v="0"/>
    <n v="0.55863808322824715"/>
    <n v="0.15000000000000002"/>
    <n v="0.45"/>
    <n v="0.2"/>
    <n v="1"/>
    <n v="793"/>
    <s v="Food Security and Livlihoods_x000a_Protection"/>
    <n v="1"/>
    <s v="Flagged"/>
    <s v="Flagged"/>
    <s v=""/>
    <n v="547"/>
    <s v="Health "/>
    <n v="0.68978562421185374"/>
    <n v="246"/>
    <n v="0.44972577696526506"/>
    <s v="Flagged"/>
    <n v="443"/>
    <s v="WASH"/>
    <n v="0.55863808322824715"/>
    <n v="350"/>
    <n v="0.79006772009029347"/>
    <s v="Flagged"/>
    <s v=""/>
    <s v=""/>
    <n v="793"/>
    <m/>
    <m/>
    <n v="4"/>
    <s v="Flagged"/>
    <n v="793"/>
    <m/>
    <x v="0"/>
    <x v="2"/>
    <n v="793"/>
    <n v="0"/>
    <n v="0"/>
  </r>
  <r>
    <s v="RefugeesSD07096"/>
    <x v="6"/>
    <x v="6"/>
    <x v="78"/>
    <x v="78"/>
    <m/>
    <m/>
    <x v="34"/>
    <x v="3"/>
    <n v="0"/>
    <n v="0"/>
    <n v="0"/>
    <n v="0"/>
    <n v="0"/>
    <n v="0"/>
    <n v="0"/>
    <n v="0"/>
    <n v="0"/>
    <n v="0"/>
    <n v="0"/>
    <n v="0"/>
    <e v="#DIV/0!"/>
    <e v="#DIV/0!"/>
    <e v="#DIV/0!"/>
    <e v="#DIV/0!"/>
    <e v="#DIV/0!"/>
    <e v="#DIV/0!"/>
    <e v="#DIV/0!"/>
    <e v="#DIV/0!"/>
    <s v=""/>
    <s v=""/>
    <s v=""/>
    <s v=""/>
    <n v="0"/>
    <s v="Site Management _x000a_Education_x000a_Food Security and Livlihoods_x000a_Health _x000a_Nutrition_x000a_Protection_x000a_Shelter NFI _x000a_WASH"/>
    <e v="#DIV/0!"/>
    <s v=""/>
    <s v=""/>
    <s v=""/>
    <s v="NA"/>
    <s v=""/>
    <s v=""/>
    <s v=""/>
    <s v=""/>
    <s v=""/>
    <n v="0"/>
    <s v="Site Management _x000a_Education_x000a_Food Security and Livlihoods_x000a_Health _x000a_Nutrition_x000a_Protection_x000a_Shelter NFI _x000a_WASH"/>
    <s v=""/>
    <n v="0"/>
    <s v=""/>
    <s v=""/>
    <s v=""/>
    <s v=""/>
    <n v="0"/>
    <m/>
    <m/>
    <n v="0"/>
    <s v=""/>
    <n v="0"/>
    <m/>
    <x v="0"/>
    <x v="2"/>
    <n v="0"/>
    <n v="0"/>
    <n v="0"/>
  </r>
  <r>
    <s v="RefugeesSD07097"/>
    <x v="6"/>
    <x v="6"/>
    <x v="79"/>
    <x v="79"/>
    <m/>
    <m/>
    <x v="34"/>
    <x v="3"/>
    <n v="0"/>
    <n v="0"/>
    <n v="0"/>
    <n v="0"/>
    <n v="0"/>
    <n v="0"/>
    <n v="0"/>
    <n v="0"/>
    <n v="0"/>
    <n v="0"/>
    <n v="0"/>
    <n v="0"/>
    <e v="#DIV/0!"/>
    <e v="#DIV/0!"/>
    <e v="#DIV/0!"/>
    <e v="#DIV/0!"/>
    <e v="#DIV/0!"/>
    <e v="#DIV/0!"/>
    <e v="#DIV/0!"/>
    <e v="#DIV/0!"/>
    <s v=""/>
    <s v=""/>
    <s v=""/>
    <s v=""/>
    <n v="0"/>
    <s v="Site Management _x000a_Education_x000a_Food Security and Livlihoods_x000a_Health _x000a_Nutrition_x000a_Protection_x000a_Shelter NFI _x000a_WASH"/>
    <e v="#DIV/0!"/>
    <s v=""/>
    <s v=""/>
    <s v=""/>
    <s v="NA"/>
    <s v=""/>
    <s v=""/>
    <s v=""/>
    <s v=""/>
    <s v=""/>
    <n v="0"/>
    <s v="Site Management _x000a_Education_x000a_Food Security and Livlihoods_x000a_Health _x000a_Nutrition_x000a_Protection_x000a_Shelter NFI _x000a_WASH"/>
    <s v=""/>
    <n v="0"/>
    <s v=""/>
    <s v=""/>
    <s v=""/>
    <s v=""/>
    <n v="0"/>
    <m/>
    <m/>
    <n v="0"/>
    <s v=""/>
    <n v="0"/>
    <m/>
    <x v="0"/>
    <x v="2"/>
    <n v="0"/>
    <n v="0"/>
    <n v="0"/>
  </r>
  <r>
    <s v="RefugeesSD07098"/>
    <x v="6"/>
    <x v="6"/>
    <x v="80"/>
    <x v="80"/>
    <m/>
    <m/>
    <x v="482"/>
    <x v="3"/>
    <n v="0"/>
    <n v="958"/>
    <n v="2296"/>
    <n v="1584"/>
    <n v="210"/>
    <n v="2296"/>
    <n v="1378"/>
    <n v="1608"/>
    <n v="606.14400000000001"/>
    <n v="1028.6079999999999"/>
    <n v="918.40000000000009"/>
    <n v="2296"/>
    <n v="0"/>
    <n v="0.4172473867595819"/>
    <n v="1"/>
    <n v="0.68989547038327526"/>
    <n v="9.1463414634146339E-2"/>
    <n v="1"/>
    <n v="0.60017421602787457"/>
    <n v="0.70034843205574915"/>
    <n v="0.25"/>
    <n v="0.45"/>
    <n v="0.4"/>
    <n v="1"/>
    <n v="2296"/>
    <s v="Food Security and Livlihoods_x000a_Protection"/>
    <n v="1"/>
    <s v=""/>
    <s v="Flagged"/>
    <s v=""/>
    <n v="1608"/>
    <s v="WASH"/>
    <n v="0.70034843205574915"/>
    <n v="688"/>
    <n v="0.42786069651741293"/>
    <s v="Flagged"/>
    <n v="1584"/>
    <s v="Health "/>
    <n v="0.68989547038327526"/>
    <n v="712"/>
    <n v="0.4494949494949495"/>
    <s v=""/>
    <s v=""/>
    <s v=""/>
    <n v="2296"/>
    <m/>
    <m/>
    <n v="2"/>
    <s v="Flagged"/>
    <n v="2296"/>
    <m/>
    <x v="0"/>
    <x v="1"/>
    <n v="0"/>
    <n v="0"/>
    <n v="2296"/>
  </r>
  <r>
    <s v="RefugeesSD07099"/>
    <x v="6"/>
    <x v="6"/>
    <x v="81"/>
    <x v="81"/>
    <m/>
    <m/>
    <x v="34"/>
    <x v="3"/>
    <n v="0"/>
    <n v="0"/>
    <n v="0"/>
    <n v="0"/>
    <n v="0"/>
    <n v="0"/>
    <n v="0"/>
    <n v="0"/>
    <n v="0"/>
    <n v="0"/>
    <n v="0"/>
    <n v="0"/>
    <e v="#DIV/0!"/>
    <e v="#DIV/0!"/>
    <e v="#DIV/0!"/>
    <e v="#DIV/0!"/>
    <e v="#DIV/0!"/>
    <e v="#DIV/0!"/>
    <e v="#DIV/0!"/>
    <e v="#DIV/0!"/>
    <s v=""/>
    <s v=""/>
    <s v=""/>
    <s v=""/>
    <n v="0"/>
    <s v="Site Management _x000a_Education_x000a_Food Security and Livlihoods_x000a_Health _x000a_Nutrition_x000a_Protection_x000a_Shelter NFI _x000a_WASH"/>
    <e v="#DIV/0!"/>
    <s v=""/>
    <s v=""/>
    <s v=""/>
    <s v="NA"/>
    <s v=""/>
    <s v=""/>
    <s v=""/>
    <s v=""/>
    <s v=""/>
    <n v="0"/>
    <s v="Site Management _x000a_Education_x000a_Food Security and Livlihoods_x000a_Health _x000a_Nutrition_x000a_Protection_x000a_Shelter NFI _x000a_WASH"/>
    <s v=""/>
    <n v="0"/>
    <s v=""/>
    <s v=""/>
    <s v=""/>
    <s v=""/>
    <n v="0"/>
    <m/>
    <m/>
    <n v="0"/>
    <s v=""/>
    <n v="0"/>
    <m/>
    <x v="0"/>
    <x v="2"/>
    <n v="0"/>
    <n v="0"/>
    <n v="0"/>
  </r>
  <r>
    <s v="RefugeesSD07103"/>
    <x v="6"/>
    <x v="6"/>
    <x v="82"/>
    <x v="82"/>
    <m/>
    <m/>
    <x v="483"/>
    <x v="3"/>
    <n v="0"/>
    <n v="109"/>
    <n v="313"/>
    <n v="216"/>
    <n v="28"/>
    <n v="313"/>
    <n v="0"/>
    <n v="274"/>
    <n v="58.844000000000001"/>
    <n v="177.15799999999999"/>
    <n v="125.2"/>
    <n v="313"/>
    <n v="0"/>
    <n v="0.34824281150159747"/>
    <n v="1"/>
    <n v="0.69009584664536738"/>
    <n v="8.9456869009584661E-2"/>
    <n v="1"/>
    <n v="0"/>
    <n v="0.87539936102236426"/>
    <n v="0.2"/>
    <n v="0.55000000000000004"/>
    <n v="0.4"/>
    <n v="1"/>
    <n v="313"/>
    <s v="Food Security and Livlihoods_x000a_Protection"/>
    <n v="1"/>
    <s v="Flagged"/>
    <s v="Flagged"/>
    <s v=""/>
    <n v="274"/>
    <s v="WASH"/>
    <n v="0.87539936102236426"/>
    <n v="39"/>
    <n v="0.14233576642335766"/>
    <s v=""/>
    <n v="216"/>
    <s v="Health "/>
    <n v="0.69009584664536738"/>
    <n v="97"/>
    <n v="0.44907407407407407"/>
    <s v=""/>
    <s v=""/>
    <s v=""/>
    <n v="313"/>
    <m/>
    <m/>
    <n v="2"/>
    <s v="Flagged"/>
    <n v="313"/>
    <m/>
    <x v="0"/>
    <x v="0"/>
    <n v="0"/>
    <n v="313"/>
    <n v="0"/>
  </r>
  <r>
    <s v="RefugeesSD07104"/>
    <x v="6"/>
    <x v="6"/>
    <x v="83"/>
    <x v="83"/>
    <m/>
    <m/>
    <x v="34"/>
    <x v="3"/>
    <n v="0"/>
    <n v="0"/>
    <n v="0"/>
    <n v="0"/>
    <n v="0"/>
    <n v="0"/>
    <n v="0"/>
    <n v="0"/>
    <n v="0"/>
    <n v="0"/>
    <n v="0"/>
    <n v="0"/>
    <e v="#DIV/0!"/>
    <e v="#DIV/0!"/>
    <e v="#DIV/0!"/>
    <e v="#DIV/0!"/>
    <e v="#DIV/0!"/>
    <e v="#DIV/0!"/>
    <e v="#DIV/0!"/>
    <e v="#DIV/0!"/>
    <s v=""/>
    <s v=""/>
    <s v=""/>
    <s v=""/>
    <n v="0"/>
    <s v="Site Management _x000a_Education_x000a_Food Security and Livlihoods_x000a_Health _x000a_Nutrition_x000a_Protection_x000a_Shelter NFI _x000a_WASH"/>
    <e v="#DIV/0!"/>
    <s v=""/>
    <s v=""/>
    <s v=""/>
    <s v="NA"/>
    <s v=""/>
    <s v=""/>
    <s v=""/>
    <s v=""/>
    <s v=""/>
    <n v="0"/>
    <s v="Site Management _x000a_Education_x000a_Food Security and Livlihoods_x000a_Health _x000a_Nutrition_x000a_Protection_x000a_Shelter NFI _x000a_WASH"/>
    <s v=""/>
    <n v="0"/>
    <s v=""/>
    <s v=""/>
    <s v=""/>
    <s v=""/>
    <n v="0"/>
    <m/>
    <m/>
    <n v="0"/>
    <s v=""/>
    <n v="0"/>
    <m/>
    <x v="0"/>
    <x v="0"/>
    <n v="0"/>
    <n v="0"/>
    <n v="0"/>
  </r>
  <r>
    <s v="RefugeesSD07105"/>
    <x v="6"/>
    <x v="6"/>
    <x v="84"/>
    <x v="84"/>
    <m/>
    <m/>
    <x v="484"/>
    <x v="3"/>
    <n v="0"/>
    <n v="775"/>
    <n v="2245"/>
    <n v="1100"/>
    <n v="204"/>
    <n v="2245"/>
    <n v="898"/>
    <n v="2179"/>
    <n v="700.44"/>
    <n v="929.43"/>
    <n v="0"/>
    <n v="2245"/>
    <n v="0"/>
    <n v="0.34521158129175944"/>
    <n v="1"/>
    <n v="0.48997772828507796"/>
    <n v="9.0868596881959918E-2"/>
    <n v="1"/>
    <n v="0.4"/>
    <n v="0.97060133630289536"/>
    <n v="0.30000000000000004"/>
    <n v="0.4"/>
    <n v="0"/>
    <n v="1"/>
    <n v="2245"/>
    <s v="Food Security and Livlihoods_x000a_Protection"/>
    <n v="1"/>
    <s v=""/>
    <s v="Flagged"/>
    <s v=""/>
    <n v="2179"/>
    <s v="WASH"/>
    <n v="0.97060133630289536"/>
    <n v="66"/>
    <n v="3.0289123451124368E-2"/>
    <s v=""/>
    <n v="1100"/>
    <s v="Health "/>
    <n v="0.48997772828507796"/>
    <n v="1145"/>
    <n v="1.040909090909091"/>
    <s v="Flagged"/>
    <s v=""/>
    <s v=""/>
    <n v="2245"/>
    <m/>
    <m/>
    <n v="2"/>
    <s v="Flagged"/>
    <n v="2245"/>
    <m/>
    <x v="2"/>
    <x v="0"/>
    <n v="0"/>
    <n v="2245"/>
    <n v="0"/>
  </r>
  <r>
    <s v="RefugeesSD07106"/>
    <x v="6"/>
    <x v="6"/>
    <x v="85"/>
    <x v="85"/>
    <m/>
    <m/>
    <x v="485"/>
    <x v="3"/>
    <n v="0"/>
    <n v="467"/>
    <n v="1029"/>
    <n v="504"/>
    <n v="94"/>
    <n v="1029"/>
    <n v="412"/>
    <n v="987"/>
    <n v="113.19"/>
    <n v="380.73"/>
    <n v="0"/>
    <n v="1029"/>
    <n v="0"/>
    <n v="0.45383867832847424"/>
    <n v="1"/>
    <n v="0.48979591836734693"/>
    <n v="9.1350826044703598E-2"/>
    <n v="1"/>
    <n v="0.40038872691933919"/>
    <n v="0.95918367346938771"/>
    <n v="0.1"/>
    <n v="0.35000000000000003"/>
    <n v="0"/>
    <n v="1"/>
    <n v="1029"/>
    <s v="Food Security and Livlihoods_x000a_Protection"/>
    <n v="1"/>
    <s v=""/>
    <s v="Flagged"/>
    <s v=""/>
    <n v="987"/>
    <s v="WASH"/>
    <n v="0.95918367346938771"/>
    <n v="42"/>
    <n v="4.2553191489361701E-2"/>
    <s v=""/>
    <n v="504"/>
    <s v="Health "/>
    <n v="0.48979591836734693"/>
    <n v="525"/>
    <n v="1.0416666666666667"/>
    <s v="Flagged"/>
    <s v=""/>
    <s v=""/>
    <n v="1029"/>
    <m/>
    <m/>
    <n v="2"/>
    <s v="Flagged"/>
    <n v="1029"/>
    <m/>
    <x v="2"/>
    <x v="2"/>
    <n v="1029"/>
    <n v="0"/>
    <n v="0"/>
  </r>
  <r>
    <s v="RefugeesSD07107"/>
    <x v="6"/>
    <x v="6"/>
    <x v="86"/>
    <x v="86"/>
    <m/>
    <m/>
    <x v="34"/>
    <x v="3"/>
    <n v="0"/>
    <n v="0"/>
    <n v="0"/>
    <n v="0"/>
    <n v="0"/>
    <n v="0"/>
    <n v="0"/>
    <n v="0"/>
    <n v="0"/>
    <n v="0"/>
    <n v="0"/>
    <n v="0"/>
    <e v="#DIV/0!"/>
    <e v="#DIV/0!"/>
    <e v="#DIV/0!"/>
    <e v="#DIV/0!"/>
    <e v="#DIV/0!"/>
    <e v="#DIV/0!"/>
    <e v="#DIV/0!"/>
    <e v="#DIV/0!"/>
    <s v=""/>
    <s v=""/>
    <s v=""/>
    <s v=""/>
    <n v="0"/>
    <s v="Site Management _x000a_Education_x000a_Food Security and Livlihoods_x000a_Health _x000a_Nutrition_x000a_Protection_x000a_Shelter NFI _x000a_WASH"/>
    <e v="#DIV/0!"/>
    <s v=""/>
    <s v=""/>
    <s v=""/>
    <s v="NA"/>
    <s v=""/>
    <s v=""/>
    <s v=""/>
    <s v=""/>
    <s v=""/>
    <n v="0"/>
    <s v="Site Management _x000a_Education_x000a_Food Security and Livlihoods_x000a_Health _x000a_Nutrition_x000a_Protection_x000a_Shelter NFI _x000a_WASH"/>
    <s v=""/>
    <n v="0"/>
    <s v=""/>
    <s v=""/>
    <s v=""/>
    <s v=""/>
    <n v="0"/>
    <m/>
    <m/>
    <n v="0"/>
    <s v=""/>
    <n v="0"/>
    <m/>
    <x v="0"/>
    <x v="1"/>
    <n v="0"/>
    <n v="0"/>
    <n v="0"/>
  </r>
  <r>
    <s v="RefugeesSD07108"/>
    <x v="6"/>
    <x v="6"/>
    <x v="87"/>
    <x v="87"/>
    <m/>
    <m/>
    <x v="486"/>
    <x v="3"/>
    <n v="0"/>
    <n v="5654"/>
    <n v="13941"/>
    <n v="6831"/>
    <n v="1272"/>
    <n v="13941"/>
    <n v="5576"/>
    <n v="13132"/>
    <n v="1449.864"/>
    <n v="5367.2849999999999"/>
    <n v="2788.2000000000003"/>
    <n v="13941"/>
    <n v="0"/>
    <n v="0.4055663151854243"/>
    <n v="1"/>
    <n v="0.48999354422207875"/>
    <n v="9.1241661286851738E-2"/>
    <n v="1"/>
    <n v="0.39997130765368338"/>
    <n v="0.94196972957463598"/>
    <n v="0.1"/>
    <n v="0.4"/>
    <n v="0.2"/>
    <n v="1"/>
    <n v="13941"/>
    <s v="Food Security and Livlihoods_x000a_Protection"/>
    <n v="1"/>
    <s v=""/>
    <s v="Flagged"/>
    <s v=""/>
    <n v="13132"/>
    <s v="WASH"/>
    <n v="0.94196972957463598"/>
    <n v="809"/>
    <n v="6.1605239110569601E-2"/>
    <s v=""/>
    <n v="6831"/>
    <s v="Health "/>
    <n v="0.48999354422207875"/>
    <n v="7110"/>
    <n v="1.0408432147562583"/>
    <s v="Flagged"/>
    <s v=""/>
    <s v=""/>
    <n v="13941"/>
    <m/>
    <m/>
    <n v="2"/>
    <s v="Flagged"/>
    <n v="13941"/>
    <m/>
    <x v="2"/>
    <x v="1"/>
    <n v="0"/>
    <n v="0"/>
    <n v="13941"/>
  </r>
  <r>
    <s v="RefugeesSD08104"/>
    <x v="7"/>
    <x v="7"/>
    <x v="88"/>
    <x v="88"/>
    <m/>
    <m/>
    <x v="34"/>
    <x v="3"/>
    <n v="0"/>
    <n v="0"/>
    <n v="0"/>
    <n v="0"/>
    <n v="0"/>
    <n v="0"/>
    <n v="0"/>
    <n v="0"/>
    <n v="0"/>
    <n v="0"/>
    <n v="0"/>
    <n v="0"/>
    <e v="#DIV/0!"/>
    <e v="#DIV/0!"/>
    <e v="#DIV/0!"/>
    <e v="#DIV/0!"/>
    <e v="#DIV/0!"/>
    <e v="#DIV/0!"/>
    <e v="#DIV/0!"/>
    <e v="#DIV/0!"/>
    <s v=""/>
    <s v=""/>
    <s v=""/>
    <s v=""/>
    <n v="0"/>
    <s v="Site Management _x000a_Education_x000a_Food Security and Livlihoods_x000a_Health _x000a_Nutrition_x000a_Protection_x000a_Shelter NFI _x000a_WASH"/>
    <e v="#DIV/0!"/>
    <s v=""/>
    <s v=""/>
    <s v=""/>
    <s v="NA"/>
    <s v=""/>
    <s v=""/>
    <s v=""/>
    <s v=""/>
    <s v=""/>
    <n v="0"/>
    <s v="Site Management _x000a_Education_x000a_Food Security and Livlihoods_x000a_Health _x000a_Nutrition_x000a_Protection_x000a_Shelter NFI _x000a_WASH"/>
    <s v=""/>
    <n v="0"/>
    <s v=""/>
    <s v=""/>
    <s v=""/>
    <s v=""/>
    <n v="0"/>
    <m/>
    <m/>
    <n v="0"/>
    <s v=""/>
    <n v="0"/>
    <m/>
    <x v="1"/>
    <x v="2"/>
    <n v="0"/>
    <n v="0"/>
    <n v="0"/>
  </r>
  <r>
    <s v="RefugeesSD08105"/>
    <x v="7"/>
    <x v="7"/>
    <x v="89"/>
    <x v="89"/>
    <m/>
    <m/>
    <x v="487"/>
    <x v="3"/>
    <n v="0"/>
    <n v="0"/>
    <n v="559"/>
    <n v="386"/>
    <n v="52"/>
    <n v="559"/>
    <n v="224"/>
    <n v="358"/>
    <n v="5.0309999999999997"/>
    <n v="47.515000000000001"/>
    <n v="111.80000000000001"/>
    <n v="559"/>
    <n v="0"/>
    <n v="0"/>
    <n v="1"/>
    <n v="0.69051878354203933"/>
    <n v="9.3023255813953487E-2"/>
    <n v="1"/>
    <n v="0.4007155635062612"/>
    <n v="0.64042933810375668"/>
    <n v="0"/>
    <n v="0.1"/>
    <n v="0.2"/>
    <n v="1"/>
    <n v="559"/>
    <s v="Food Security and Livlihoods_x000a_Protection"/>
    <n v="1"/>
    <s v="Flagged"/>
    <s v="Flagged"/>
    <s v=""/>
    <n v="386"/>
    <s v="Health "/>
    <n v="0.69051878354203933"/>
    <n v="173"/>
    <n v="0.44818652849740931"/>
    <s v="Flagged"/>
    <n v="358"/>
    <s v="WASH"/>
    <n v="0.64042933810375668"/>
    <n v="201"/>
    <n v="0.56145251396648044"/>
    <s v="Flagged"/>
    <s v=""/>
    <s v=""/>
    <n v="559"/>
    <m/>
    <m/>
    <n v="4"/>
    <s v="Flagged"/>
    <n v="559"/>
    <m/>
    <x v="2"/>
    <x v="2"/>
    <n v="559"/>
    <n v="0"/>
    <n v="0"/>
  </r>
  <r>
    <s v="RefugeesSD08106"/>
    <x v="7"/>
    <x v="7"/>
    <x v="90"/>
    <x v="90"/>
    <m/>
    <m/>
    <x v="34"/>
    <x v="3"/>
    <n v="0"/>
    <n v="0"/>
    <n v="0"/>
    <n v="0"/>
    <n v="0"/>
    <n v="0"/>
    <n v="0"/>
    <n v="0"/>
    <n v="0"/>
    <n v="0"/>
    <n v="0"/>
    <n v="0"/>
    <e v="#DIV/0!"/>
    <e v="#DIV/0!"/>
    <e v="#DIV/0!"/>
    <e v="#DIV/0!"/>
    <e v="#DIV/0!"/>
    <e v="#DIV/0!"/>
    <e v="#DIV/0!"/>
    <e v="#DIV/0!"/>
    <s v=""/>
    <s v=""/>
    <s v=""/>
    <s v=""/>
    <n v="0"/>
    <s v="Site Management _x000a_Education_x000a_Food Security and Livlihoods_x000a_Health _x000a_Nutrition_x000a_Protection_x000a_Shelter NFI _x000a_WASH"/>
    <e v="#DIV/0!"/>
    <s v=""/>
    <s v=""/>
    <s v=""/>
    <s v="NA"/>
    <s v=""/>
    <s v=""/>
    <s v=""/>
    <s v=""/>
    <s v=""/>
    <n v="0"/>
    <s v="Site Management _x000a_Education_x000a_Food Security and Livlihoods_x000a_Health _x000a_Nutrition_x000a_Protection_x000a_Shelter NFI _x000a_WASH"/>
    <s v=""/>
    <n v="0"/>
    <s v=""/>
    <s v=""/>
    <s v=""/>
    <s v=""/>
    <n v="0"/>
    <m/>
    <m/>
    <n v="0"/>
    <s v=""/>
    <n v="0"/>
    <m/>
    <x v="1"/>
    <x v="0"/>
    <n v="0"/>
    <n v="0"/>
    <n v="0"/>
  </r>
  <r>
    <s v="RefugeesSD08107"/>
    <x v="7"/>
    <x v="7"/>
    <x v="91"/>
    <x v="91"/>
    <m/>
    <m/>
    <x v="488"/>
    <x v="3"/>
    <n v="0"/>
    <n v="0"/>
    <n v="1"/>
    <n v="1"/>
    <n v="0"/>
    <n v="1"/>
    <n v="0"/>
    <n v="1"/>
    <n v="8.9999999999999993E-3"/>
    <n v="8.5000000000000006E-2"/>
    <n v="0"/>
    <n v="1"/>
    <n v="0"/>
    <n v="0"/>
    <n v="1"/>
    <n v="1"/>
    <n v="0"/>
    <n v="1"/>
    <n v="0"/>
    <n v="1"/>
    <n v="0"/>
    <n v="0.1"/>
    <n v="0"/>
    <n v="1"/>
    <n v="1"/>
    <s v="Food Security and Livlihoods_x000a_Health _x000a_Protection_x000a_WASH"/>
    <n v="1"/>
    <s v="Flagged"/>
    <s v="Flagged"/>
    <s v=""/>
    <n v="0"/>
    <s v="Site Management _x000a_Education_x000a_Nutrition_x000a_Shelter NFI "/>
    <n v="0"/>
    <n v="1"/>
    <s v=""/>
    <s v=""/>
    <s v="NA"/>
    <s v=""/>
    <s v=""/>
    <s v=""/>
    <s v=""/>
    <s v=""/>
    <s v=""/>
    <s v=""/>
    <n v="1"/>
    <m/>
    <m/>
    <n v="2"/>
    <s v="Flagged"/>
    <n v="1"/>
    <m/>
    <x v="2"/>
    <x v="2"/>
    <n v="1"/>
    <n v="0"/>
    <n v="0"/>
  </r>
  <r>
    <s v="RefugeesSD08108"/>
    <x v="7"/>
    <x v="7"/>
    <x v="92"/>
    <x v="92"/>
    <m/>
    <m/>
    <x v="34"/>
    <x v="3"/>
    <n v="0"/>
    <n v="0"/>
    <n v="0"/>
    <n v="0"/>
    <n v="0"/>
    <n v="0"/>
    <n v="0"/>
    <n v="0"/>
    <n v="0"/>
    <n v="0"/>
    <n v="0"/>
    <n v="0"/>
    <e v="#DIV/0!"/>
    <e v="#DIV/0!"/>
    <e v="#DIV/0!"/>
    <e v="#DIV/0!"/>
    <e v="#DIV/0!"/>
    <e v="#DIV/0!"/>
    <e v="#DIV/0!"/>
    <e v="#DIV/0!"/>
    <s v=""/>
    <s v=""/>
    <s v=""/>
    <s v=""/>
    <n v="0"/>
    <s v="Site Management _x000a_Education_x000a_Food Security and Livlihoods_x000a_Health _x000a_Nutrition_x000a_Protection_x000a_Shelter NFI _x000a_WASH"/>
    <e v="#DIV/0!"/>
    <s v=""/>
    <s v=""/>
    <s v=""/>
    <s v="NA"/>
    <s v=""/>
    <s v=""/>
    <s v=""/>
    <s v=""/>
    <s v=""/>
    <n v="0"/>
    <s v="Site Management _x000a_Education_x000a_Food Security and Livlihoods_x000a_Health _x000a_Nutrition_x000a_Protection_x000a_Shelter NFI _x000a_WASH"/>
    <s v=""/>
    <n v="0"/>
    <s v=""/>
    <s v=""/>
    <s v=""/>
    <s v=""/>
    <n v="0"/>
    <m/>
    <m/>
    <n v="0"/>
    <s v=""/>
    <n v="0"/>
    <m/>
    <x v="2"/>
    <x v="2"/>
    <n v="0"/>
    <n v="0"/>
    <n v="0"/>
  </r>
  <r>
    <s v="RefugeesSD08109"/>
    <x v="7"/>
    <x v="7"/>
    <x v="93"/>
    <x v="93"/>
    <m/>
    <m/>
    <x v="34"/>
    <x v="3"/>
    <n v="0"/>
    <n v="0"/>
    <n v="0"/>
    <n v="0"/>
    <n v="0"/>
    <n v="0"/>
    <n v="0"/>
    <n v="0"/>
    <n v="0"/>
    <n v="0"/>
    <n v="0"/>
    <n v="0"/>
    <e v="#DIV/0!"/>
    <e v="#DIV/0!"/>
    <e v="#DIV/0!"/>
    <e v="#DIV/0!"/>
    <e v="#DIV/0!"/>
    <e v="#DIV/0!"/>
    <e v="#DIV/0!"/>
    <e v="#DIV/0!"/>
    <s v=""/>
    <s v=""/>
    <s v=""/>
    <s v=""/>
    <n v="0"/>
    <s v="Site Management _x000a_Education_x000a_Food Security and Livlihoods_x000a_Health _x000a_Nutrition_x000a_Protection_x000a_Shelter NFI _x000a_WASH"/>
    <e v="#DIV/0!"/>
    <s v=""/>
    <s v=""/>
    <s v=""/>
    <s v="NA"/>
    <s v=""/>
    <s v=""/>
    <s v=""/>
    <s v=""/>
    <s v=""/>
    <n v="0"/>
    <s v="Site Management _x000a_Education_x000a_Food Security and Livlihoods_x000a_Health _x000a_Nutrition_x000a_Protection_x000a_Shelter NFI _x000a_WASH"/>
    <s v=""/>
    <n v="0"/>
    <s v=""/>
    <s v=""/>
    <s v=""/>
    <s v=""/>
    <n v="0"/>
    <m/>
    <m/>
    <n v="0"/>
    <s v=""/>
    <n v="0"/>
    <m/>
    <x v="1"/>
    <x v="0"/>
    <n v="0"/>
    <n v="0"/>
    <n v="0"/>
  </r>
  <r>
    <s v="RefugeesSD08110"/>
    <x v="7"/>
    <x v="7"/>
    <x v="94"/>
    <x v="94"/>
    <m/>
    <m/>
    <x v="489"/>
    <x v="3"/>
    <n v="0"/>
    <n v="4885"/>
    <n v="12539"/>
    <n v="12163"/>
    <n v="1145"/>
    <n v="12539"/>
    <n v="7523"/>
    <n v="3794"/>
    <n v="840.11300000000006"/>
    <n v="3109.672"/>
    <n v="0"/>
    <n v="12539"/>
    <n v="0"/>
    <n v="0.38958449637132148"/>
    <n v="1"/>
    <n v="0.9700135576999761"/>
    <n v="9.1315096897679235E-2"/>
    <n v="1"/>
    <n v="0.59996809952946806"/>
    <n v="0.3025759629954542"/>
    <n v="0.05"/>
    <n v="0.25"/>
    <n v="0"/>
    <n v="1"/>
    <n v="12539"/>
    <s v="Food Security and Livlihoods_x000a_Protection"/>
    <n v="1"/>
    <s v=""/>
    <s v="Flagged"/>
    <s v=""/>
    <n v="12163"/>
    <s v="Health "/>
    <n v="0.9700135576999761"/>
    <n v="376"/>
    <n v="3.0913425963989147E-2"/>
    <s v=""/>
    <n v="7523"/>
    <s v="Shelter NFI "/>
    <n v="0.59996809952946806"/>
    <n v="5016"/>
    <n v="0.66675528379635784"/>
    <s v="Flagged"/>
    <s v=""/>
    <s v=""/>
    <n v="12539"/>
    <m/>
    <m/>
    <n v="2"/>
    <s v="Flagged"/>
    <n v="12539"/>
    <m/>
    <x v="2"/>
    <x v="1"/>
    <n v="0"/>
    <n v="0"/>
    <n v="12539"/>
  </r>
  <r>
    <s v="RefugeesSD09044"/>
    <x v="8"/>
    <x v="8"/>
    <x v="95"/>
    <x v="95"/>
    <m/>
    <m/>
    <x v="34"/>
    <x v="3"/>
    <n v="0"/>
    <n v="0"/>
    <n v="0"/>
    <n v="0"/>
    <n v="0"/>
    <n v="0"/>
    <n v="0"/>
    <n v="0"/>
    <n v="0"/>
    <n v="0"/>
    <n v="0"/>
    <n v="0"/>
    <e v="#DIV/0!"/>
    <e v="#DIV/0!"/>
    <e v="#DIV/0!"/>
    <e v="#DIV/0!"/>
    <e v="#DIV/0!"/>
    <e v="#DIV/0!"/>
    <e v="#DIV/0!"/>
    <e v="#DIV/0!"/>
    <s v=""/>
    <s v=""/>
    <s v=""/>
    <s v=""/>
    <n v="0"/>
    <s v="Site Management _x000a_Education_x000a_Food Security and Livlihoods_x000a_Health _x000a_Nutrition_x000a_Protection_x000a_Shelter NFI _x000a_WASH"/>
    <e v="#DIV/0!"/>
    <s v=""/>
    <s v=""/>
    <s v=""/>
    <s v="NA"/>
    <s v=""/>
    <s v=""/>
    <s v=""/>
    <s v=""/>
    <s v=""/>
    <n v="0"/>
    <s v="Site Management _x000a_Education_x000a_Food Security and Livlihoods_x000a_Health _x000a_Nutrition_x000a_Protection_x000a_Shelter NFI _x000a_WASH"/>
    <s v=""/>
    <n v="0"/>
    <s v=""/>
    <s v=""/>
    <s v=""/>
    <s v=""/>
    <n v="0"/>
    <m/>
    <m/>
    <n v="0"/>
    <s v=""/>
    <n v="0"/>
    <m/>
    <x v="2"/>
    <x v="0"/>
    <n v="0"/>
    <n v="0"/>
    <n v="0"/>
  </r>
  <r>
    <s v="RefugeesSD09045"/>
    <x v="8"/>
    <x v="8"/>
    <x v="96"/>
    <x v="96"/>
    <m/>
    <m/>
    <x v="34"/>
    <x v="3"/>
    <n v="0"/>
    <n v="0"/>
    <n v="0"/>
    <n v="0"/>
    <n v="0"/>
    <n v="0"/>
    <n v="0"/>
    <n v="0"/>
    <n v="0"/>
    <n v="0"/>
    <n v="0"/>
    <n v="0"/>
    <e v="#DIV/0!"/>
    <e v="#DIV/0!"/>
    <e v="#DIV/0!"/>
    <e v="#DIV/0!"/>
    <e v="#DIV/0!"/>
    <e v="#DIV/0!"/>
    <e v="#DIV/0!"/>
    <e v="#DIV/0!"/>
    <s v=""/>
    <s v=""/>
    <s v=""/>
    <s v=""/>
    <n v="0"/>
    <s v="Site Management _x000a_Education_x000a_Food Security and Livlihoods_x000a_Health _x000a_Nutrition_x000a_Protection_x000a_Shelter NFI _x000a_WASH"/>
    <e v="#DIV/0!"/>
    <s v=""/>
    <s v=""/>
    <s v=""/>
    <s v="NA"/>
    <s v=""/>
    <s v=""/>
    <s v=""/>
    <s v=""/>
    <s v=""/>
    <n v="0"/>
    <s v="Site Management _x000a_Education_x000a_Food Security and Livlihoods_x000a_Health _x000a_Nutrition_x000a_Protection_x000a_Shelter NFI _x000a_WASH"/>
    <s v=""/>
    <n v="0"/>
    <s v=""/>
    <s v=""/>
    <s v=""/>
    <s v=""/>
    <n v="0"/>
    <m/>
    <m/>
    <n v="0"/>
    <s v=""/>
    <n v="0"/>
    <m/>
    <x v="2"/>
    <x v="2"/>
    <n v="0"/>
    <n v="0"/>
    <n v="0"/>
  </r>
  <r>
    <s v="RefugeesSD09046"/>
    <x v="8"/>
    <x v="8"/>
    <x v="97"/>
    <x v="97"/>
    <m/>
    <m/>
    <x v="34"/>
    <x v="3"/>
    <n v="0"/>
    <n v="0"/>
    <n v="0"/>
    <n v="0"/>
    <n v="0"/>
    <n v="0"/>
    <n v="0"/>
    <n v="0"/>
    <n v="0"/>
    <n v="0"/>
    <n v="0"/>
    <n v="0"/>
    <e v="#DIV/0!"/>
    <e v="#DIV/0!"/>
    <e v="#DIV/0!"/>
    <e v="#DIV/0!"/>
    <e v="#DIV/0!"/>
    <e v="#DIV/0!"/>
    <e v="#DIV/0!"/>
    <e v="#DIV/0!"/>
    <s v=""/>
    <s v=""/>
    <s v=""/>
    <s v=""/>
    <n v="0"/>
    <s v="Site Management _x000a_Education_x000a_Food Security and Livlihoods_x000a_Health _x000a_Nutrition_x000a_Protection_x000a_Shelter NFI _x000a_WASH"/>
    <e v="#DIV/0!"/>
    <s v=""/>
    <s v=""/>
    <s v=""/>
    <s v="NA"/>
    <s v=""/>
    <s v=""/>
    <s v=""/>
    <s v=""/>
    <s v=""/>
    <n v="0"/>
    <s v="Site Management _x000a_Education_x000a_Food Security and Livlihoods_x000a_Health _x000a_Nutrition_x000a_Protection_x000a_Shelter NFI _x000a_WASH"/>
    <s v=""/>
    <n v="0"/>
    <s v=""/>
    <s v=""/>
    <s v=""/>
    <s v=""/>
    <n v="0"/>
    <m/>
    <m/>
    <n v="0"/>
    <s v=""/>
    <n v="0"/>
    <m/>
    <x v="2"/>
    <x v="2"/>
    <n v="0"/>
    <n v="0"/>
    <n v="0"/>
  </r>
  <r>
    <s v="RefugeesSD09047"/>
    <x v="8"/>
    <x v="8"/>
    <x v="98"/>
    <x v="98"/>
    <m/>
    <m/>
    <x v="490"/>
    <x v="3"/>
    <n v="0"/>
    <n v="28948"/>
    <n v="58373"/>
    <n v="56622"/>
    <n v="5328"/>
    <n v="58373"/>
    <n v="35024"/>
    <n v="30465"/>
    <n v="2977.0229999999997"/>
    <n v="10974.124"/>
    <n v="0"/>
    <n v="58373"/>
    <n v="0"/>
    <n v="0.49591420691072929"/>
    <n v="1"/>
    <n v="0.97000325492950512"/>
    <n v="9.1275075805595046E-2"/>
    <n v="1"/>
    <n v="0.60000342624158431"/>
    <n v="0.5219022493276001"/>
    <n v="0.05"/>
    <n v="0.2"/>
    <n v="0"/>
    <n v="1"/>
    <n v="58373"/>
    <s v="Food Security and Livlihoods_x000a_Protection"/>
    <n v="1"/>
    <s v=""/>
    <s v="Flagged"/>
    <s v=""/>
    <n v="56622"/>
    <s v="Health "/>
    <n v="0.97000325492950512"/>
    <n v="1751"/>
    <n v="3.092437568436297E-2"/>
    <s v=""/>
    <n v="35024"/>
    <s v="Shelter NFI "/>
    <n v="0.60000342624158431"/>
    <n v="23349"/>
    <n v="0.66665714938328002"/>
    <s v="Flagged"/>
    <s v=""/>
    <s v=""/>
    <n v="58373"/>
    <m/>
    <m/>
    <n v="2"/>
    <s v="Flagged"/>
    <n v="58373"/>
    <m/>
    <x v="2"/>
    <x v="2"/>
    <n v="58373"/>
    <n v="0"/>
    <n v="0"/>
  </r>
  <r>
    <s v="RefugeesSD09048"/>
    <x v="8"/>
    <x v="8"/>
    <x v="99"/>
    <x v="99"/>
    <m/>
    <m/>
    <x v="34"/>
    <x v="3"/>
    <n v="0"/>
    <n v="0"/>
    <n v="0"/>
    <n v="0"/>
    <n v="0"/>
    <n v="0"/>
    <n v="0"/>
    <n v="0"/>
    <n v="0"/>
    <n v="0"/>
    <n v="0"/>
    <n v="0"/>
    <e v="#DIV/0!"/>
    <e v="#DIV/0!"/>
    <e v="#DIV/0!"/>
    <e v="#DIV/0!"/>
    <e v="#DIV/0!"/>
    <e v="#DIV/0!"/>
    <e v="#DIV/0!"/>
    <e v="#DIV/0!"/>
    <s v=""/>
    <s v=""/>
    <s v=""/>
    <s v=""/>
    <n v="0"/>
    <s v="Site Management _x000a_Education_x000a_Food Security and Livlihoods_x000a_Health _x000a_Nutrition_x000a_Protection_x000a_Shelter NFI _x000a_WASH"/>
    <e v="#DIV/0!"/>
    <s v=""/>
    <s v=""/>
    <s v=""/>
    <s v="NA"/>
    <s v=""/>
    <s v=""/>
    <s v=""/>
    <s v=""/>
    <s v=""/>
    <n v="0"/>
    <s v="Site Management _x000a_Education_x000a_Food Security and Livlihoods_x000a_Health _x000a_Nutrition_x000a_Protection_x000a_Shelter NFI _x000a_WASH"/>
    <s v=""/>
    <n v="0"/>
    <s v=""/>
    <s v=""/>
    <s v=""/>
    <s v=""/>
    <n v="0"/>
    <m/>
    <m/>
    <n v="0"/>
    <s v=""/>
    <n v="0"/>
    <m/>
    <x v="1"/>
    <x v="2"/>
    <n v="0"/>
    <n v="0"/>
    <n v="0"/>
  </r>
  <r>
    <s v="RefugeesSD09049"/>
    <x v="8"/>
    <x v="8"/>
    <x v="100"/>
    <x v="100"/>
    <m/>
    <m/>
    <x v="491"/>
    <x v="3"/>
    <n v="0"/>
    <n v="99435"/>
    <n v="218834"/>
    <n v="212269"/>
    <n v="19975"/>
    <n v="218834"/>
    <n v="175067"/>
    <n v="201524"/>
    <n v="11817.036"/>
    <n v="52082.491999999998"/>
    <n v="0"/>
    <n v="218834"/>
    <n v="0"/>
    <n v="0.45438551596187066"/>
    <n v="1"/>
    <n v="0.97000009139347632"/>
    <n v="9.1279234488242225E-2"/>
    <n v="1"/>
    <n v="0.79999908606523662"/>
    <n v="0.92089894623321789"/>
    <n v="0.05"/>
    <n v="0.25"/>
    <n v="0"/>
    <n v="1"/>
    <n v="218834"/>
    <s v="Food Security and Livlihoods_x000a_Protection"/>
    <n v="1"/>
    <s v=""/>
    <s v="Flagged"/>
    <s v=""/>
    <n v="212269"/>
    <s v="Health "/>
    <n v="0.97000009139347632"/>
    <n v="6565"/>
    <n v="3.0927737917453797E-2"/>
    <s v=""/>
    <n v="201524"/>
    <s v="WASH"/>
    <n v="0.92089894623321789"/>
    <n v="17310"/>
    <n v="8.58954764693039E-2"/>
    <s v=""/>
    <s v=""/>
    <s v=""/>
    <n v="218834"/>
    <m/>
    <m/>
    <n v="1"/>
    <s v="Flagged"/>
    <n v="218834"/>
    <m/>
    <x v="0"/>
    <x v="0"/>
    <n v="0"/>
    <n v="218834"/>
    <n v="0"/>
  </r>
  <r>
    <s v="RefugeesSD09050"/>
    <x v="8"/>
    <x v="8"/>
    <x v="101"/>
    <x v="101"/>
    <m/>
    <m/>
    <x v="34"/>
    <x v="3"/>
    <n v="0"/>
    <n v="0"/>
    <n v="0"/>
    <n v="0"/>
    <n v="0"/>
    <n v="0"/>
    <n v="0"/>
    <n v="0"/>
    <n v="0"/>
    <n v="0"/>
    <n v="0"/>
    <n v="0"/>
    <e v="#DIV/0!"/>
    <e v="#DIV/0!"/>
    <e v="#DIV/0!"/>
    <e v="#DIV/0!"/>
    <e v="#DIV/0!"/>
    <e v="#DIV/0!"/>
    <e v="#DIV/0!"/>
    <e v="#DIV/0!"/>
    <s v=""/>
    <s v=""/>
    <s v=""/>
    <s v=""/>
    <n v="0"/>
    <s v="Site Management _x000a_Education_x000a_Food Security and Livlihoods_x000a_Health _x000a_Nutrition_x000a_Protection_x000a_Shelter NFI _x000a_WASH"/>
    <e v="#DIV/0!"/>
    <s v=""/>
    <s v=""/>
    <s v=""/>
    <s v="NA"/>
    <s v=""/>
    <s v=""/>
    <s v=""/>
    <s v=""/>
    <s v=""/>
    <n v="0"/>
    <s v="Site Management _x000a_Education_x000a_Food Security and Livlihoods_x000a_Health _x000a_Nutrition_x000a_Protection_x000a_Shelter NFI _x000a_WASH"/>
    <s v=""/>
    <n v="0"/>
    <s v=""/>
    <s v=""/>
    <s v=""/>
    <s v=""/>
    <n v="0"/>
    <m/>
    <m/>
    <n v="0"/>
    <s v=""/>
    <n v="0"/>
    <m/>
    <x v="0"/>
    <x v="2"/>
    <n v="0"/>
    <n v="0"/>
    <n v="0"/>
  </r>
  <r>
    <s v="RefugeesSD09051"/>
    <x v="8"/>
    <x v="8"/>
    <x v="102"/>
    <x v="102"/>
    <m/>
    <m/>
    <x v="492"/>
    <x v="3"/>
    <n v="0"/>
    <n v="66579"/>
    <n v="138328"/>
    <n v="134178"/>
    <n v="12626"/>
    <n v="138328"/>
    <n v="110662"/>
    <n v="84726"/>
    <n v="5533.12"/>
    <n v="19919.232"/>
    <n v="0"/>
    <n v="138328"/>
    <n v="0"/>
    <n v="0.48131253253137468"/>
    <n v="1"/>
    <n v="0.96999884332889941"/>
    <n v="9.1275808223931526E-2"/>
    <n v="1"/>
    <n v="0.79999710832224857"/>
    <n v="0.61250072291943791"/>
    <n v="0.05"/>
    <n v="0.15000000000000002"/>
    <n v="0"/>
    <n v="1"/>
    <n v="138328"/>
    <s v="Food Security and Livlihoods_x000a_Protection"/>
    <n v="1"/>
    <s v=""/>
    <s v="Flagged"/>
    <s v=""/>
    <n v="134178"/>
    <s v="Health "/>
    <n v="0.96999884332889941"/>
    <n v="4150"/>
    <n v="3.0929064377170624E-2"/>
    <s v=""/>
    <n v="110662"/>
    <s v="Shelter NFI "/>
    <n v="0.79999710832224857"/>
    <n v="27666"/>
    <n v="0.25000451826281833"/>
    <s v=""/>
    <s v=""/>
    <s v=""/>
    <n v="138328"/>
    <m/>
    <m/>
    <n v="1"/>
    <s v="Flagged"/>
    <n v="138328"/>
    <m/>
    <x v="2"/>
    <x v="0"/>
    <n v="0"/>
    <n v="138328"/>
    <n v="0"/>
  </r>
  <r>
    <s v="RefugeesSD09052"/>
    <x v="8"/>
    <x v="8"/>
    <x v="103"/>
    <x v="103"/>
    <m/>
    <m/>
    <x v="34"/>
    <x v="3"/>
    <n v="0"/>
    <n v="0"/>
    <n v="0"/>
    <n v="0"/>
    <n v="0"/>
    <n v="0"/>
    <n v="0"/>
    <n v="0"/>
    <n v="0"/>
    <n v="0"/>
    <n v="0"/>
    <n v="0"/>
    <e v="#DIV/0!"/>
    <e v="#DIV/0!"/>
    <e v="#DIV/0!"/>
    <e v="#DIV/0!"/>
    <e v="#DIV/0!"/>
    <e v="#DIV/0!"/>
    <e v="#DIV/0!"/>
    <e v="#DIV/0!"/>
    <s v=""/>
    <s v=""/>
    <s v=""/>
    <s v=""/>
    <n v="0"/>
    <s v="Site Management _x000a_Education_x000a_Food Security and Livlihoods_x000a_Health _x000a_Nutrition_x000a_Protection_x000a_Shelter NFI _x000a_WASH"/>
    <e v="#DIV/0!"/>
    <s v=""/>
    <s v=""/>
    <s v=""/>
    <s v="NA"/>
    <s v=""/>
    <s v=""/>
    <s v=""/>
    <s v=""/>
    <s v=""/>
    <n v="0"/>
    <s v="Site Management _x000a_Education_x000a_Food Security and Livlihoods_x000a_Health _x000a_Nutrition_x000a_Protection_x000a_Shelter NFI _x000a_WASH"/>
    <s v=""/>
    <n v="0"/>
    <s v=""/>
    <s v=""/>
    <s v=""/>
    <s v=""/>
    <n v="0"/>
    <m/>
    <m/>
    <n v="0"/>
    <s v=""/>
    <n v="0"/>
    <m/>
    <x v="2"/>
    <x v="2"/>
    <n v="0"/>
    <n v="0"/>
    <n v="0"/>
  </r>
  <r>
    <s v="RefugeesSD10063"/>
    <x v="9"/>
    <x v="9"/>
    <x v="104"/>
    <x v="104"/>
    <m/>
    <m/>
    <x v="34"/>
    <x v="3"/>
    <n v="0"/>
    <n v="0"/>
    <n v="0"/>
    <n v="0"/>
    <n v="0"/>
    <n v="0"/>
    <n v="0"/>
    <n v="0"/>
    <n v="0"/>
    <n v="0"/>
    <n v="0"/>
    <n v="0"/>
    <e v="#DIV/0!"/>
    <e v="#DIV/0!"/>
    <e v="#DIV/0!"/>
    <e v="#DIV/0!"/>
    <e v="#DIV/0!"/>
    <e v="#DIV/0!"/>
    <e v="#DIV/0!"/>
    <e v="#DIV/0!"/>
    <s v=""/>
    <s v=""/>
    <s v=""/>
    <s v=""/>
    <n v="0"/>
    <s v="Site Management _x000a_Education_x000a_Food Security and Livlihoods_x000a_Health _x000a_Nutrition_x000a_Protection_x000a_Shelter NFI _x000a_WASH"/>
    <e v="#DIV/0!"/>
    <s v=""/>
    <s v=""/>
    <s v=""/>
    <s v="NA"/>
    <s v=""/>
    <s v=""/>
    <s v=""/>
    <s v=""/>
    <s v=""/>
    <n v="0"/>
    <s v="Site Management _x000a_Education_x000a_Food Security and Livlihoods_x000a_Health _x000a_Nutrition_x000a_Protection_x000a_Shelter NFI _x000a_WASH"/>
    <s v=""/>
    <n v="0"/>
    <s v=""/>
    <s v=""/>
    <s v=""/>
    <s v=""/>
    <n v="0"/>
    <m/>
    <m/>
    <n v="0"/>
    <s v=""/>
    <n v="0"/>
    <m/>
    <x v="2"/>
    <x v="2"/>
    <n v="0"/>
    <n v="0"/>
    <n v="0"/>
  </r>
  <r>
    <s v="RefugeesSD10064"/>
    <x v="9"/>
    <x v="9"/>
    <x v="105"/>
    <x v="105"/>
    <m/>
    <m/>
    <x v="493"/>
    <x v="3"/>
    <n v="0"/>
    <n v="16567"/>
    <n v="21324"/>
    <n v="14714"/>
    <n v="1946"/>
    <n v="21324"/>
    <n v="12794"/>
    <n v="9615"/>
    <n v="426.48"/>
    <n v="3326.5439999999999"/>
    <n v="0"/>
    <n v="21324"/>
    <n v="0"/>
    <n v="0.77691802663665355"/>
    <n v="1"/>
    <n v="0.690020634027387"/>
    <n v="9.1258675670605888E-2"/>
    <n v="1"/>
    <n v="0.5999812417932846"/>
    <n v="0.45090039392234105"/>
    <n v="0"/>
    <n v="0.15000000000000002"/>
    <n v="0"/>
    <n v="1"/>
    <n v="21324"/>
    <s v="Food Security and Livlihoods_x000a_Protection"/>
    <n v="1"/>
    <s v=""/>
    <s v="Flagged"/>
    <s v=""/>
    <n v="16567"/>
    <s v="Education"/>
    <n v="0.77691802663665355"/>
    <n v="4757"/>
    <n v="0.28713707973682623"/>
    <s v=""/>
    <n v="14714"/>
    <s v="Health "/>
    <n v="0.690020634027387"/>
    <n v="6610"/>
    <n v="0.4492320239227946"/>
    <s v=""/>
    <s v=""/>
    <s v="Flagged"/>
    <n v="21324"/>
    <m/>
    <m/>
    <n v="2"/>
    <s v="Flagged"/>
    <n v="21324"/>
    <m/>
    <x v="2"/>
    <x v="2"/>
    <n v="21324"/>
    <n v="0"/>
    <n v="0"/>
  </r>
  <r>
    <s v="RefugeesSD10065"/>
    <x v="9"/>
    <x v="9"/>
    <x v="106"/>
    <x v="106"/>
    <m/>
    <m/>
    <x v="494"/>
    <x v="3"/>
    <n v="0"/>
    <n v="24"/>
    <n v="32"/>
    <n v="9"/>
    <n v="2"/>
    <n v="32"/>
    <n v="0"/>
    <n v="30"/>
    <n v="0.64"/>
    <n v="4.992"/>
    <n v="0"/>
    <n v="32"/>
    <n v="0"/>
    <n v="0.75"/>
    <n v="1"/>
    <n v="0.28125"/>
    <n v="6.25E-2"/>
    <n v="1"/>
    <n v="0"/>
    <n v="0.9375"/>
    <n v="0"/>
    <n v="0.15000000000000002"/>
    <n v="0"/>
    <n v="1"/>
    <n v="32"/>
    <s v="Food Security and Livlihoods_x000a_Protection"/>
    <n v="1"/>
    <s v="Flagged"/>
    <s v="Flagged"/>
    <s v=""/>
    <n v="30"/>
    <s v="WASH"/>
    <n v="0.9375"/>
    <n v="2"/>
    <n v="6.6666666666666666E-2"/>
    <s v=""/>
    <n v="24"/>
    <s v="Education"/>
    <n v="0.75"/>
    <n v="8"/>
    <n v="0.33333333333333331"/>
    <s v=""/>
    <s v=""/>
    <s v=""/>
    <n v="32"/>
    <m/>
    <m/>
    <n v="2"/>
    <s v="Flagged"/>
    <n v="32"/>
    <m/>
    <x v="2"/>
    <x v="2"/>
    <n v="32"/>
    <n v="0"/>
    <n v="0"/>
  </r>
  <r>
    <s v="RefugeesSD10066"/>
    <x v="9"/>
    <x v="9"/>
    <x v="107"/>
    <x v="107"/>
    <m/>
    <m/>
    <x v="34"/>
    <x v="3"/>
    <n v="0"/>
    <n v="0"/>
    <n v="0"/>
    <n v="0"/>
    <n v="0"/>
    <n v="0"/>
    <n v="0"/>
    <n v="0"/>
    <n v="0"/>
    <n v="0"/>
    <n v="0"/>
    <n v="0"/>
    <e v="#DIV/0!"/>
    <e v="#DIV/0!"/>
    <e v="#DIV/0!"/>
    <e v="#DIV/0!"/>
    <e v="#DIV/0!"/>
    <e v="#DIV/0!"/>
    <e v="#DIV/0!"/>
    <e v="#DIV/0!"/>
    <s v=""/>
    <s v=""/>
    <s v=""/>
    <s v=""/>
    <n v="0"/>
    <s v="Site Management _x000a_Education_x000a_Food Security and Livlihoods_x000a_Health _x000a_Nutrition_x000a_Protection_x000a_Shelter NFI _x000a_WASH"/>
    <e v="#DIV/0!"/>
    <s v=""/>
    <s v=""/>
    <s v=""/>
    <s v="NA"/>
    <s v=""/>
    <s v=""/>
    <s v=""/>
    <s v=""/>
    <s v=""/>
    <n v="0"/>
    <s v="Site Management _x000a_Education_x000a_Food Security and Livlihoods_x000a_Health _x000a_Nutrition_x000a_Protection_x000a_Shelter NFI _x000a_WASH"/>
    <s v=""/>
    <n v="0"/>
    <s v=""/>
    <s v=""/>
    <s v=""/>
    <s v=""/>
    <n v="0"/>
    <m/>
    <m/>
    <n v="0"/>
    <s v=""/>
    <n v="0"/>
    <m/>
    <x v="2"/>
    <x v="2"/>
    <n v="0"/>
    <n v="0"/>
    <n v="0"/>
  </r>
  <r>
    <s v="RefugeesSD10067"/>
    <x v="9"/>
    <x v="9"/>
    <x v="108"/>
    <x v="108"/>
    <m/>
    <m/>
    <x v="34"/>
    <x v="3"/>
    <n v="0"/>
    <n v="0"/>
    <n v="0"/>
    <n v="0"/>
    <n v="0"/>
    <n v="0"/>
    <n v="0"/>
    <n v="0"/>
    <n v="0"/>
    <n v="0"/>
    <n v="0"/>
    <n v="0"/>
    <e v="#DIV/0!"/>
    <e v="#DIV/0!"/>
    <e v="#DIV/0!"/>
    <e v="#DIV/0!"/>
    <e v="#DIV/0!"/>
    <e v="#DIV/0!"/>
    <e v="#DIV/0!"/>
    <e v="#DIV/0!"/>
    <s v=""/>
    <s v=""/>
    <s v=""/>
    <s v=""/>
    <n v="0"/>
    <s v="Site Management _x000a_Education_x000a_Food Security and Livlihoods_x000a_Health _x000a_Nutrition_x000a_Protection_x000a_Shelter NFI _x000a_WASH"/>
    <e v="#DIV/0!"/>
    <s v=""/>
    <s v=""/>
    <s v=""/>
    <s v="NA"/>
    <s v=""/>
    <s v=""/>
    <s v=""/>
    <s v=""/>
    <s v=""/>
    <n v="0"/>
    <s v="Site Management _x000a_Education_x000a_Food Security and Livlihoods_x000a_Health _x000a_Nutrition_x000a_Protection_x000a_Shelter NFI _x000a_WASH"/>
    <s v=""/>
    <n v="0"/>
    <s v=""/>
    <s v=""/>
    <s v=""/>
    <s v=""/>
    <n v="0"/>
    <m/>
    <m/>
    <n v="0"/>
    <s v=""/>
    <n v="0"/>
    <m/>
    <x v="2"/>
    <x v="2"/>
    <n v="0"/>
    <n v="0"/>
    <n v="0"/>
  </r>
  <r>
    <s v="RefugeesSD10068"/>
    <x v="9"/>
    <x v="9"/>
    <x v="109"/>
    <x v="109"/>
    <m/>
    <m/>
    <x v="495"/>
    <x v="3"/>
    <n v="0"/>
    <n v="782"/>
    <n v="1005"/>
    <n v="492"/>
    <n v="92"/>
    <n v="1005"/>
    <n v="0"/>
    <n v="901"/>
    <n v="20.100000000000001"/>
    <n v="156.78"/>
    <n v="0"/>
    <n v="1005"/>
    <n v="0"/>
    <n v="0.77810945273631837"/>
    <n v="1"/>
    <n v="0.48955223880597015"/>
    <n v="9.1542288557213927E-2"/>
    <n v="1"/>
    <n v="0"/>
    <n v="0.89651741293532339"/>
    <n v="0"/>
    <n v="0.15000000000000002"/>
    <n v="0"/>
    <n v="1"/>
    <n v="1005"/>
    <s v="Food Security and Livlihoods_x000a_Protection"/>
    <n v="1"/>
    <s v="Flagged"/>
    <s v="Flagged"/>
    <s v=""/>
    <n v="901"/>
    <s v="WASH"/>
    <n v="0.89651741293532339"/>
    <n v="104"/>
    <n v="0.11542730299667037"/>
    <s v=""/>
    <n v="782"/>
    <s v="Education"/>
    <n v="0.77810945273631837"/>
    <n v="223"/>
    <n v="0.28516624040920718"/>
    <s v=""/>
    <s v=""/>
    <s v=""/>
    <n v="1005"/>
    <m/>
    <m/>
    <n v="2"/>
    <s v="Flagged"/>
    <n v="1005"/>
    <m/>
    <x v="2"/>
    <x v="2"/>
    <n v="1005"/>
    <n v="0"/>
    <n v="0"/>
  </r>
  <r>
    <s v="RefugeesSD10069"/>
    <x v="9"/>
    <x v="9"/>
    <x v="110"/>
    <x v="110"/>
    <m/>
    <m/>
    <x v="34"/>
    <x v="3"/>
    <n v="0"/>
    <n v="0"/>
    <n v="0"/>
    <n v="0"/>
    <n v="0"/>
    <n v="0"/>
    <n v="0"/>
    <n v="0"/>
    <n v="0"/>
    <n v="0"/>
    <n v="0"/>
    <n v="0"/>
    <e v="#DIV/0!"/>
    <e v="#DIV/0!"/>
    <e v="#DIV/0!"/>
    <e v="#DIV/0!"/>
    <e v="#DIV/0!"/>
    <e v="#DIV/0!"/>
    <e v="#DIV/0!"/>
    <e v="#DIV/0!"/>
    <s v=""/>
    <s v=""/>
    <s v=""/>
    <s v=""/>
    <n v="0"/>
    <s v="Site Management _x000a_Education_x000a_Food Security and Livlihoods_x000a_Health _x000a_Nutrition_x000a_Protection_x000a_Shelter NFI _x000a_WASH"/>
    <e v="#DIV/0!"/>
    <s v=""/>
    <s v=""/>
    <s v=""/>
    <s v="NA"/>
    <s v=""/>
    <s v=""/>
    <s v=""/>
    <s v=""/>
    <s v=""/>
    <n v="0"/>
    <s v="Site Management _x000a_Education_x000a_Food Security and Livlihoods_x000a_Health _x000a_Nutrition_x000a_Protection_x000a_Shelter NFI _x000a_WASH"/>
    <s v=""/>
    <n v="0"/>
    <s v=""/>
    <s v=""/>
    <s v=""/>
    <s v=""/>
    <n v="0"/>
    <m/>
    <m/>
    <n v="0"/>
    <s v=""/>
    <n v="0"/>
    <m/>
    <x v="2"/>
    <x v="2"/>
    <n v="0"/>
    <n v="0"/>
    <n v="0"/>
  </r>
  <r>
    <s v="RefugeesSD10070"/>
    <x v="9"/>
    <x v="9"/>
    <x v="111"/>
    <x v="111"/>
    <m/>
    <m/>
    <x v="34"/>
    <x v="3"/>
    <n v="0"/>
    <n v="0"/>
    <n v="0"/>
    <n v="0"/>
    <n v="0"/>
    <n v="0"/>
    <n v="0"/>
    <n v="0"/>
    <n v="0"/>
    <n v="0"/>
    <n v="0"/>
    <n v="0"/>
    <e v="#DIV/0!"/>
    <e v="#DIV/0!"/>
    <e v="#DIV/0!"/>
    <e v="#DIV/0!"/>
    <e v="#DIV/0!"/>
    <e v="#DIV/0!"/>
    <e v="#DIV/0!"/>
    <e v="#DIV/0!"/>
    <s v=""/>
    <s v=""/>
    <s v=""/>
    <s v=""/>
    <n v="0"/>
    <s v="Site Management _x000a_Education_x000a_Food Security and Livlihoods_x000a_Health _x000a_Nutrition_x000a_Protection_x000a_Shelter NFI _x000a_WASH"/>
    <e v="#DIV/0!"/>
    <s v=""/>
    <s v=""/>
    <s v=""/>
    <s v="NA"/>
    <s v=""/>
    <s v=""/>
    <s v=""/>
    <s v=""/>
    <s v=""/>
    <n v="0"/>
    <s v="Site Management _x000a_Education_x000a_Food Security and Livlihoods_x000a_Health _x000a_Nutrition_x000a_Protection_x000a_Shelter NFI _x000a_WASH"/>
    <s v=""/>
    <n v="0"/>
    <s v=""/>
    <s v=""/>
    <s v=""/>
    <s v=""/>
    <n v="0"/>
    <m/>
    <m/>
    <n v="0"/>
    <s v=""/>
    <n v="0"/>
    <m/>
    <x v="2"/>
    <x v="2"/>
    <n v="0"/>
    <n v="0"/>
    <n v="0"/>
  </r>
  <r>
    <s v="RefugeesSD10071"/>
    <x v="9"/>
    <x v="9"/>
    <x v="112"/>
    <x v="112"/>
    <m/>
    <m/>
    <x v="496"/>
    <x v="3"/>
    <n v="0"/>
    <n v="52"/>
    <n v="68"/>
    <n v="33"/>
    <n v="6"/>
    <n v="68"/>
    <n v="0"/>
    <n v="64"/>
    <n v="1.36"/>
    <n v="10.608000000000001"/>
    <n v="0"/>
    <n v="68"/>
    <n v="0"/>
    <n v="0.76470588235294112"/>
    <n v="1"/>
    <n v="0.48529411764705882"/>
    <n v="8.8235294117647065E-2"/>
    <n v="1"/>
    <n v="0"/>
    <n v="0.94117647058823528"/>
    <n v="0"/>
    <n v="0.15000000000000002"/>
    <n v="0"/>
    <n v="1"/>
    <n v="68"/>
    <s v="Food Security and Livlihoods_x000a_Protection"/>
    <n v="1"/>
    <s v="Flagged"/>
    <s v="Flagged"/>
    <s v=""/>
    <n v="64"/>
    <s v="WASH"/>
    <n v="0.94117647058823528"/>
    <n v="4"/>
    <n v="6.25E-2"/>
    <s v=""/>
    <n v="52"/>
    <s v="Education"/>
    <n v="0.76470588235294112"/>
    <n v="16"/>
    <n v="0.30769230769230771"/>
    <s v=""/>
    <s v=""/>
    <s v=""/>
    <n v="68"/>
    <m/>
    <m/>
    <n v="2"/>
    <s v="Flagged"/>
    <n v="68"/>
    <m/>
    <x v="2"/>
    <x v="2"/>
    <n v="68"/>
    <n v="0"/>
    <n v="0"/>
  </r>
  <r>
    <s v="RefugeesSD10072"/>
    <x v="9"/>
    <x v="9"/>
    <x v="113"/>
    <x v="113"/>
    <m/>
    <m/>
    <x v="34"/>
    <x v="3"/>
    <n v="0"/>
    <n v="0"/>
    <n v="0"/>
    <n v="0"/>
    <n v="0"/>
    <n v="0"/>
    <n v="0"/>
    <n v="0"/>
    <n v="0"/>
    <n v="0"/>
    <n v="0"/>
    <n v="0"/>
    <e v="#DIV/0!"/>
    <e v="#DIV/0!"/>
    <e v="#DIV/0!"/>
    <e v="#DIV/0!"/>
    <e v="#DIV/0!"/>
    <e v="#DIV/0!"/>
    <e v="#DIV/0!"/>
    <e v="#DIV/0!"/>
    <s v=""/>
    <s v=""/>
    <s v=""/>
    <s v=""/>
    <n v="0"/>
    <s v="Site Management _x000a_Education_x000a_Food Security and Livlihoods_x000a_Health _x000a_Nutrition_x000a_Protection_x000a_Shelter NFI _x000a_WASH"/>
    <e v="#DIV/0!"/>
    <s v=""/>
    <s v=""/>
    <s v=""/>
    <s v="NA"/>
    <s v=""/>
    <s v=""/>
    <s v=""/>
    <s v=""/>
    <s v=""/>
    <n v="0"/>
    <s v="Site Management _x000a_Education_x000a_Food Security and Livlihoods_x000a_Health _x000a_Nutrition_x000a_Protection_x000a_Shelter NFI _x000a_WASH"/>
    <s v=""/>
    <n v="0"/>
    <s v=""/>
    <s v=""/>
    <s v=""/>
    <s v=""/>
    <n v="0"/>
    <m/>
    <m/>
    <n v="0"/>
    <s v=""/>
    <n v="0"/>
    <m/>
    <x v="2"/>
    <x v="2"/>
    <n v="0"/>
    <n v="0"/>
    <n v="0"/>
  </r>
  <r>
    <s v="RefugeesSD11052"/>
    <x v="10"/>
    <x v="10"/>
    <x v="114"/>
    <x v="114"/>
    <m/>
    <m/>
    <x v="497"/>
    <x v="3"/>
    <n v="0"/>
    <n v="68"/>
    <n v="1078"/>
    <n v="528"/>
    <n v="99"/>
    <n v="1078"/>
    <n v="431"/>
    <n v="646"/>
    <n v="11.857999999999999"/>
    <n v="92.707999999999998"/>
    <n v="0"/>
    <n v="1078"/>
    <n v="0"/>
    <n v="6.3079777365491654E-2"/>
    <n v="1"/>
    <n v="0.48979591836734693"/>
    <n v="9.1836734693877556E-2"/>
    <n v="1"/>
    <n v="0.39981447124304265"/>
    <n v="0.5992578849721707"/>
    <n v="0"/>
    <n v="0.1"/>
    <n v="0"/>
    <n v="1"/>
    <n v="1078"/>
    <s v="Food Security and Livlihoods_x000a_Protection"/>
    <n v="1"/>
    <s v=""/>
    <s v="Flagged"/>
    <s v=""/>
    <n v="646"/>
    <s v="WASH"/>
    <n v="0.5992578849721707"/>
    <n v="432"/>
    <n v="0.66873065015479871"/>
    <s v="Flagged"/>
    <n v="528"/>
    <s v="Health "/>
    <n v="0.48979591836734693"/>
    <n v="550"/>
    <n v="1.0416666666666667"/>
    <s v="Flagged"/>
    <s v=""/>
    <s v=""/>
    <n v="1078"/>
    <m/>
    <m/>
    <n v="3"/>
    <s v="Flagged"/>
    <n v="1078"/>
    <m/>
    <x v="2"/>
    <x v="2"/>
    <n v="1078"/>
    <n v="0"/>
    <n v="0"/>
  </r>
  <r>
    <s v="RefugeesSD11053"/>
    <x v="10"/>
    <x v="10"/>
    <x v="115"/>
    <x v="115"/>
    <m/>
    <m/>
    <x v="498"/>
    <x v="3"/>
    <n v="0"/>
    <n v="1340"/>
    <n v="6211"/>
    <n v="3043"/>
    <n v="567"/>
    <n v="6211"/>
    <n v="2484"/>
    <n v="2050"/>
    <n v="68.320999999999998"/>
    <n v="652.15499999999997"/>
    <n v="0"/>
    <n v="6211"/>
    <n v="0"/>
    <n v="0.21574625664144259"/>
    <n v="1"/>
    <n v="0.48993720817903719"/>
    <n v="9.128964739977459E-2"/>
    <n v="1"/>
    <n v="0.39993559813234586"/>
    <n v="0.3300595717275801"/>
    <n v="0"/>
    <n v="0.1"/>
    <n v="0"/>
    <n v="1"/>
    <n v="6211"/>
    <s v="Food Security and Livlihoods_x000a_Protection"/>
    <n v="1"/>
    <s v=""/>
    <s v="Flagged"/>
    <s v=""/>
    <n v="3043"/>
    <s v="Health "/>
    <n v="0.48993720817903719"/>
    <n v="3168"/>
    <n v="1.0410778836674335"/>
    <s v="Flagged"/>
    <n v="2484"/>
    <s v="Shelter NFI "/>
    <n v="0.39993559813234586"/>
    <n v="3727"/>
    <n v="1.500402576489533"/>
    <s v="Flagged"/>
    <s v=""/>
    <s v=""/>
    <n v="6211"/>
    <m/>
    <m/>
    <n v="3"/>
    <s v="Flagged"/>
    <n v="6211"/>
    <m/>
    <x v="2"/>
    <x v="2"/>
    <n v="6211"/>
    <n v="0"/>
    <n v="0"/>
  </r>
  <r>
    <s v="RefugeesSD11054"/>
    <x v="10"/>
    <x v="10"/>
    <x v="116"/>
    <x v="116"/>
    <m/>
    <m/>
    <x v="34"/>
    <x v="3"/>
    <n v="0"/>
    <n v="0"/>
    <n v="0"/>
    <n v="0"/>
    <n v="0"/>
    <n v="0"/>
    <n v="0"/>
    <n v="0"/>
    <n v="0"/>
    <n v="0"/>
    <n v="0"/>
    <n v="0"/>
    <e v="#DIV/0!"/>
    <e v="#DIV/0!"/>
    <e v="#DIV/0!"/>
    <e v="#DIV/0!"/>
    <e v="#DIV/0!"/>
    <e v="#DIV/0!"/>
    <e v="#DIV/0!"/>
    <e v="#DIV/0!"/>
    <s v=""/>
    <s v=""/>
    <s v=""/>
    <s v=""/>
    <n v="0"/>
    <s v="Site Management _x000a_Education_x000a_Food Security and Livlihoods_x000a_Health _x000a_Nutrition_x000a_Protection_x000a_Shelter NFI _x000a_WASH"/>
    <e v="#DIV/0!"/>
    <s v=""/>
    <s v=""/>
    <s v=""/>
    <s v="NA"/>
    <s v=""/>
    <s v=""/>
    <s v=""/>
    <s v=""/>
    <s v=""/>
    <n v="0"/>
    <s v="Site Management _x000a_Education_x000a_Food Security and Livlihoods_x000a_Health _x000a_Nutrition_x000a_Protection_x000a_Shelter NFI _x000a_WASH"/>
    <s v=""/>
    <n v="0"/>
    <s v=""/>
    <s v=""/>
    <s v=""/>
    <s v=""/>
    <n v="0"/>
    <m/>
    <m/>
    <n v="0"/>
    <s v=""/>
    <n v="0"/>
    <m/>
    <x v="2"/>
    <x v="2"/>
    <n v="0"/>
    <n v="0"/>
    <n v="0"/>
  </r>
  <r>
    <s v="RefugeesSD11055"/>
    <x v="10"/>
    <x v="10"/>
    <x v="117"/>
    <x v="117"/>
    <m/>
    <m/>
    <x v="34"/>
    <x v="3"/>
    <n v="0"/>
    <n v="0"/>
    <n v="0"/>
    <n v="0"/>
    <n v="0"/>
    <n v="0"/>
    <n v="0"/>
    <n v="0"/>
    <n v="0"/>
    <n v="0"/>
    <n v="0"/>
    <n v="0"/>
    <e v="#DIV/0!"/>
    <e v="#DIV/0!"/>
    <e v="#DIV/0!"/>
    <e v="#DIV/0!"/>
    <e v="#DIV/0!"/>
    <e v="#DIV/0!"/>
    <e v="#DIV/0!"/>
    <e v="#DIV/0!"/>
    <s v=""/>
    <s v=""/>
    <s v=""/>
    <s v=""/>
    <n v="0"/>
    <s v="Site Management _x000a_Education_x000a_Food Security and Livlihoods_x000a_Health _x000a_Nutrition_x000a_Protection_x000a_Shelter NFI _x000a_WASH"/>
    <e v="#DIV/0!"/>
    <s v=""/>
    <s v=""/>
    <s v=""/>
    <s v="NA"/>
    <s v=""/>
    <s v=""/>
    <s v=""/>
    <s v=""/>
    <s v=""/>
    <n v="0"/>
    <s v="Site Management _x000a_Education_x000a_Food Security and Livlihoods_x000a_Health _x000a_Nutrition_x000a_Protection_x000a_Shelter NFI _x000a_WASH"/>
    <s v=""/>
    <n v="0"/>
    <s v=""/>
    <s v=""/>
    <s v=""/>
    <s v=""/>
    <n v="0"/>
    <m/>
    <m/>
    <n v="0"/>
    <s v=""/>
    <n v="0"/>
    <m/>
    <x v="2"/>
    <x v="2"/>
    <n v="0"/>
    <n v="0"/>
    <n v="0"/>
  </r>
  <r>
    <s v="RefugeesSD11056"/>
    <x v="10"/>
    <x v="10"/>
    <x v="118"/>
    <x v="118"/>
    <m/>
    <m/>
    <x v="499"/>
    <x v="3"/>
    <n v="0"/>
    <n v="6723"/>
    <n v="26246"/>
    <n v="25459"/>
    <n v="2396"/>
    <n v="26246"/>
    <n v="15748"/>
    <n v="22611"/>
    <n v="262.45999999999998"/>
    <n v="4094.3760000000002"/>
    <n v="0"/>
    <n v="26246"/>
    <n v="0"/>
    <n v="0.25615331860092966"/>
    <n v="1"/>
    <n v="0.97001447839670807"/>
    <n v="9.129010134877695E-2"/>
    <n v="1"/>
    <n v="0.60001524041758747"/>
    <n v="0.86150270517412175"/>
    <n v="0"/>
    <n v="0.15000000000000002"/>
    <n v="0"/>
    <n v="1"/>
    <n v="26246"/>
    <s v="Food Security and Livlihoods_x000a_Protection"/>
    <n v="1"/>
    <s v=""/>
    <s v="Flagged"/>
    <s v=""/>
    <n v="25459"/>
    <s v="Health "/>
    <n v="0.97001447839670807"/>
    <n v="787"/>
    <n v="3.0912447464550845E-2"/>
    <s v=""/>
    <n v="22611"/>
    <s v="WASH"/>
    <n v="0.86150270517412175"/>
    <n v="3635"/>
    <n v="0.16076246074919287"/>
    <s v=""/>
    <s v=""/>
    <s v="Flagged"/>
    <n v="26246"/>
    <m/>
    <m/>
    <n v="2"/>
    <s v="Flagged"/>
    <n v="26246"/>
    <m/>
    <x v="2"/>
    <x v="2"/>
    <n v="26246"/>
    <n v="0"/>
    <n v="0"/>
  </r>
  <r>
    <s v="RefugeesSD11057"/>
    <x v="10"/>
    <x v="10"/>
    <x v="119"/>
    <x v="119"/>
    <m/>
    <m/>
    <x v="34"/>
    <x v="3"/>
    <n v="0"/>
    <n v="0"/>
    <n v="0"/>
    <n v="0"/>
    <n v="0"/>
    <n v="0"/>
    <n v="0"/>
    <n v="0"/>
    <n v="0"/>
    <n v="0"/>
    <n v="0"/>
    <n v="0"/>
    <e v="#DIV/0!"/>
    <e v="#DIV/0!"/>
    <e v="#DIV/0!"/>
    <e v="#DIV/0!"/>
    <e v="#DIV/0!"/>
    <e v="#DIV/0!"/>
    <e v="#DIV/0!"/>
    <e v="#DIV/0!"/>
    <s v=""/>
    <s v=""/>
    <s v=""/>
    <s v=""/>
    <n v="0"/>
    <s v="Site Management _x000a_Education_x000a_Food Security and Livlihoods_x000a_Health _x000a_Nutrition_x000a_Protection_x000a_Shelter NFI _x000a_WASH"/>
    <e v="#DIV/0!"/>
    <s v=""/>
    <s v=""/>
    <s v=""/>
    <s v="NA"/>
    <s v=""/>
    <s v=""/>
    <s v=""/>
    <s v=""/>
    <s v=""/>
    <n v="0"/>
    <s v="Site Management _x000a_Education_x000a_Food Security and Livlihoods_x000a_Health _x000a_Nutrition_x000a_Protection_x000a_Shelter NFI _x000a_WASH"/>
    <s v=""/>
    <n v="0"/>
    <s v=""/>
    <s v=""/>
    <s v=""/>
    <s v=""/>
    <n v="0"/>
    <m/>
    <m/>
    <n v="0"/>
    <s v=""/>
    <n v="0"/>
    <m/>
    <x v="2"/>
    <x v="0"/>
    <n v="0"/>
    <n v="0"/>
    <n v="0"/>
  </r>
  <r>
    <s v="RefugeesSD11058"/>
    <x v="10"/>
    <x v="10"/>
    <x v="120"/>
    <x v="120"/>
    <m/>
    <m/>
    <x v="34"/>
    <x v="3"/>
    <n v="0"/>
    <n v="0"/>
    <n v="0"/>
    <n v="0"/>
    <n v="0"/>
    <n v="0"/>
    <n v="0"/>
    <n v="0"/>
    <n v="0"/>
    <n v="0"/>
    <n v="0"/>
    <n v="0"/>
    <e v="#DIV/0!"/>
    <e v="#DIV/0!"/>
    <e v="#DIV/0!"/>
    <e v="#DIV/0!"/>
    <e v="#DIV/0!"/>
    <e v="#DIV/0!"/>
    <e v="#DIV/0!"/>
    <e v="#DIV/0!"/>
    <s v=""/>
    <s v=""/>
    <s v=""/>
    <s v=""/>
    <n v="0"/>
    <s v="Site Management _x000a_Education_x000a_Food Security and Livlihoods_x000a_Health _x000a_Nutrition_x000a_Protection_x000a_Shelter NFI _x000a_WASH"/>
    <e v="#DIV/0!"/>
    <s v=""/>
    <s v=""/>
    <s v=""/>
    <s v="NA"/>
    <s v=""/>
    <s v=""/>
    <s v=""/>
    <s v=""/>
    <s v=""/>
    <n v="0"/>
    <s v="Site Management _x000a_Education_x000a_Food Security and Livlihoods_x000a_Health _x000a_Nutrition_x000a_Protection_x000a_Shelter NFI _x000a_WASH"/>
    <s v=""/>
    <n v="0"/>
    <s v=""/>
    <s v=""/>
    <s v=""/>
    <s v=""/>
    <n v="0"/>
    <m/>
    <m/>
    <n v="0"/>
    <s v=""/>
    <n v="0"/>
    <m/>
    <x v="2"/>
    <x v="0"/>
    <n v="0"/>
    <n v="0"/>
    <n v="0"/>
  </r>
  <r>
    <s v="RefugeesSD11059"/>
    <x v="10"/>
    <x v="10"/>
    <x v="121"/>
    <x v="121"/>
    <m/>
    <m/>
    <x v="34"/>
    <x v="3"/>
    <n v="0"/>
    <n v="0"/>
    <n v="0"/>
    <n v="0"/>
    <n v="0"/>
    <n v="0"/>
    <n v="0"/>
    <n v="0"/>
    <n v="0"/>
    <n v="0"/>
    <n v="0"/>
    <n v="0"/>
    <e v="#DIV/0!"/>
    <e v="#DIV/0!"/>
    <e v="#DIV/0!"/>
    <e v="#DIV/0!"/>
    <e v="#DIV/0!"/>
    <e v="#DIV/0!"/>
    <e v="#DIV/0!"/>
    <e v="#DIV/0!"/>
    <s v=""/>
    <s v=""/>
    <s v=""/>
    <s v=""/>
    <n v="0"/>
    <s v="Site Management _x000a_Education_x000a_Food Security and Livlihoods_x000a_Health _x000a_Nutrition_x000a_Protection_x000a_Shelter NFI _x000a_WASH"/>
    <e v="#DIV/0!"/>
    <s v=""/>
    <s v=""/>
    <s v=""/>
    <s v="NA"/>
    <s v=""/>
    <s v=""/>
    <s v=""/>
    <s v=""/>
    <s v=""/>
    <n v="0"/>
    <s v="Site Management _x000a_Education_x000a_Food Security and Livlihoods_x000a_Health _x000a_Nutrition_x000a_Protection_x000a_Shelter NFI _x000a_WASH"/>
    <s v=""/>
    <n v="0"/>
    <s v=""/>
    <s v=""/>
    <s v=""/>
    <s v=""/>
    <n v="0"/>
    <m/>
    <m/>
    <n v="0"/>
    <s v=""/>
    <n v="0"/>
    <m/>
    <x v="2"/>
    <x v="2"/>
    <n v="0"/>
    <n v="0"/>
    <n v="0"/>
  </r>
  <r>
    <s v="RefugeesSD11060"/>
    <x v="10"/>
    <x v="10"/>
    <x v="122"/>
    <x v="122"/>
    <m/>
    <m/>
    <x v="500"/>
    <x v="3"/>
    <n v="0"/>
    <n v="3160"/>
    <n v="10777"/>
    <n v="10454"/>
    <n v="984"/>
    <n v="10777"/>
    <n v="4311"/>
    <n v="8298"/>
    <n v="75.439000000000007"/>
    <n v="1077.7"/>
    <n v="0"/>
    <n v="10777"/>
    <n v="0"/>
    <n v="0.29321703628096873"/>
    <n v="1"/>
    <n v="0.97002876496241996"/>
    <n v="9.1305558133061154E-2"/>
    <n v="1"/>
    <n v="0.40001855804027092"/>
    <n v="0.76997309084160714"/>
    <n v="0"/>
    <n v="0.1"/>
    <n v="0"/>
    <n v="1"/>
    <n v="10777"/>
    <s v="Food Security and Livlihoods_x000a_Protection"/>
    <n v="1"/>
    <s v=""/>
    <s v="Flagged"/>
    <s v=""/>
    <n v="10454"/>
    <s v="Health "/>
    <n v="0.97002876496241996"/>
    <n v="323"/>
    <n v="3.089726420508896E-2"/>
    <s v=""/>
    <n v="8298"/>
    <s v="WASH"/>
    <n v="0.76997309084160714"/>
    <n v="2479"/>
    <n v="0.2987466859484213"/>
    <s v=""/>
    <s v=""/>
    <s v="Flagged"/>
    <n v="10777"/>
    <m/>
    <m/>
    <n v="2"/>
    <s v="Flagged"/>
    <n v="10777"/>
    <m/>
    <x v="2"/>
    <x v="2"/>
    <n v="10777"/>
    <n v="0"/>
    <n v="0"/>
  </r>
  <r>
    <s v="RefugeesSD11061"/>
    <x v="10"/>
    <x v="10"/>
    <x v="123"/>
    <x v="123"/>
    <m/>
    <m/>
    <x v="501"/>
    <x v="3"/>
    <n v="0"/>
    <n v="22581"/>
    <n v="77452"/>
    <n v="75128"/>
    <n v="7070"/>
    <n v="77452"/>
    <n v="46471"/>
    <n v="48926"/>
    <n v="1239.232"/>
    <n v="10688.376"/>
    <n v="0"/>
    <n v="77452"/>
    <n v="0"/>
    <n v="0.29154831379435003"/>
    <n v="1"/>
    <n v="0.96999431906212885"/>
    <n v="9.1282342612198517E-2"/>
    <n v="1"/>
    <n v="0.59999741775551307"/>
    <n v="0.63169446883230906"/>
    <n v="0"/>
    <n v="0.15000000000000002"/>
    <n v="0"/>
    <n v="1"/>
    <n v="77452"/>
    <s v="Food Security and Livlihoods_x000a_Protection"/>
    <n v="1"/>
    <s v=""/>
    <s v="Flagged"/>
    <s v=""/>
    <n v="75128"/>
    <s v="Health "/>
    <n v="0.96999431906212885"/>
    <n v="2324"/>
    <n v="3.0933872856990736E-2"/>
    <s v=""/>
    <n v="48926"/>
    <s v="WASH"/>
    <n v="0.63169446883230906"/>
    <n v="28526"/>
    <n v="0.58304378040305771"/>
    <s v="Flagged"/>
    <s v=""/>
    <s v=""/>
    <n v="77452"/>
    <m/>
    <m/>
    <n v="2"/>
    <s v="Flagged"/>
    <n v="77452"/>
    <m/>
    <x v="2"/>
    <x v="2"/>
    <n v="77452"/>
    <n v="0"/>
    <n v="0"/>
  </r>
  <r>
    <s v="RefugeesSD11062"/>
    <x v="10"/>
    <x v="10"/>
    <x v="124"/>
    <x v="124"/>
    <m/>
    <m/>
    <x v="34"/>
    <x v="3"/>
    <n v="0"/>
    <n v="0"/>
    <n v="0"/>
    <n v="0"/>
    <n v="0"/>
    <n v="0"/>
    <n v="0"/>
    <n v="0"/>
    <n v="0"/>
    <n v="0"/>
    <n v="0"/>
    <n v="0"/>
    <e v="#DIV/0!"/>
    <e v="#DIV/0!"/>
    <e v="#DIV/0!"/>
    <e v="#DIV/0!"/>
    <e v="#DIV/0!"/>
    <e v="#DIV/0!"/>
    <e v="#DIV/0!"/>
    <e v="#DIV/0!"/>
    <s v=""/>
    <s v=""/>
    <s v=""/>
    <s v=""/>
    <n v="0"/>
    <s v="Site Management _x000a_Education_x000a_Food Security and Livlihoods_x000a_Health _x000a_Nutrition_x000a_Protection_x000a_Shelter NFI _x000a_WASH"/>
    <e v="#DIV/0!"/>
    <s v=""/>
    <s v=""/>
    <s v=""/>
    <s v="NA"/>
    <s v=""/>
    <s v=""/>
    <s v=""/>
    <s v=""/>
    <s v=""/>
    <n v="0"/>
    <s v="Site Management _x000a_Education_x000a_Food Security and Livlihoods_x000a_Health _x000a_Nutrition_x000a_Protection_x000a_Shelter NFI _x000a_WASH"/>
    <s v=""/>
    <n v="0"/>
    <s v=""/>
    <s v=""/>
    <s v=""/>
    <s v=""/>
    <n v="0"/>
    <m/>
    <m/>
    <n v="0"/>
    <s v=""/>
    <n v="0"/>
    <m/>
    <x v="2"/>
    <x v="2"/>
    <n v="0"/>
    <n v="0"/>
    <n v="0"/>
  </r>
  <r>
    <s v="RefugeesSD12073"/>
    <x v="11"/>
    <x v="11"/>
    <x v="125"/>
    <x v="125"/>
    <m/>
    <m/>
    <x v="34"/>
    <x v="3"/>
    <n v="0"/>
    <n v="0"/>
    <n v="0"/>
    <n v="0"/>
    <n v="0"/>
    <n v="0"/>
    <n v="0"/>
    <n v="0"/>
    <n v="0"/>
    <n v="0"/>
    <n v="0"/>
    <n v="0"/>
    <e v="#DIV/0!"/>
    <e v="#DIV/0!"/>
    <e v="#DIV/0!"/>
    <e v="#DIV/0!"/>
    <e v="#DIV/0!"/>
    <e v="#DIV/0!"/>
    <e v="#DIV/0!"/>
    <e v="#DIV/0!"/>
    <s v=""/>
    <s v=""/>
    <s v=""/>
    <s v=""/>
    <n v="0"/>
    <s v="Site Management _x000a_Education_x000a_Food Security and Livlihoods_x000a_Health _x000a_Nutrition_x000a_Protection_x000a_Shelter NFI _x000a_WASH"/>
    <e v="#DIV/0!"/>
    <s v=""/>
    <s v=""/>
    <s v=""/>
    <s v="NA"/>
    <s v=""/>
    <s v=""/>
    <s v=""/>
    <s v=""/>
    <s v=""/>
    <n v="0"/>
    <s v="Site Management _x000a_Education_x000a_Food Security and Livlihoods_x000a_Health _x000a_Nutrition_x000a_Protection_x000a_Shelter NFI _x000a_WASH"/>
    <s v=""/>
    <n v="0"/>
    <s v=""/>
    <s v=""/>
    <s v=""/>
    <s v=""/>
    <n v="0"/>
    <m/>
    <m/>
    <n v="0"/>
    <s v=""/>
    <n v="0"/>
    <m/>
    <x v="2"/>
    <x v="2"/>
    <n v="0"/>
    <n v="0"/>
    <n v="0"/>
  </r>
  <r>
    <s v="RefugeesSD12074"/>
    <x v="11"/>
    <x v="11"/>
    <x v="126"/>
    <x v="126"/>
    <m/>
    <m/>
    <x v="476"/>
    <x v="3"/>
    <n v="0"/>
    <n v="3"/>
    <n v="6"/>
    <n v="4"/>
    <n v="0"/>
    <n v="6"/>
    <n v="0"/>
    <n v="5"/>
    <n v="0.16200000000000001"/>
    <n v="0"/>
    <n v="0"/>
    <n v="6"/>
    <n v="0"/>
    <n v="0.5"/>
    <n v="1"/>
    <n v="0.66666666666666663"/>
    <n v="0"/>
    <n v="1"/>
    <n v="0"/>
    <n v="0.83333333333333337"/>
    <n v="0.05"/>
    <n v="0"/>
    <n v="0"/>
    <n v="1"/>
    <n v="6"/>
    <s v="Food Security and Livlihoods_x000a_Protection"/>
    <n v="1"/>
    <s v="Flagged"/>
    <s v="Flagged"/>
    <s v=""/>
    <n v="5"/>
    <s v="WASH"/>
    <n v="0.83333333333333337"/>
    <n v="1"/>
    <n v="0.2"/>
    <s v=""/>
    <n v="4"/>
    <s v="Health "/>
    <n v="0.66666666666666663"/>
    <n v="2"/>
    <n v="0.5"/>
    <s v="Flagged"/>
    <s v=""/>
    <s v=""/>
    <n v="6"/>
    <m/>
    <m/>
    <n v="3"/>
    <s v="Flagged"/>
    <n v="6"/>
    <m/>
    <x v="2"/>
    <x v="2"/>
    <n v="6"/>
    <n v="0"/>
    <n v="0"/>
  </r>
  <r>
    <s v="RefugeesSD12075"/>
    <x v="11"/>
    <x v="11"/>
    <x v="127"/>
    <x v="127"/>
    <m/>
    <m/>
    <x v="502"/>
    <x v="3"/>
    <n v="0"/>
    <n v="0"/>
    <n v="1463"/>
    <n v="1009"/>
    <n v="134"/>
    <n v="1463"/>
    <n v="585"/>
    <n v="1074"/>
    <n v="39.500999999999998"/>
    <n v="921.69"/>
    <n v="0"/>
    <n v="1463"/>
    <n v="0"/>
    <n v="0"/>
    <n v="1"/>
    <n v="0.68967874231032122"/>
    <n v="9.1592617908407378E-2"/>
    <n v="1"/>
    <n v="0.3998632946001367"/>
    <n v="0.73410799726589204"/>
    <n v="0.05"/>
    <n v="0.65"/>
    <n v="0"/>
    <n v="1"/>
    <n v="1463"/>
    <s v="Food Security and Livlihoods_x000a_Protection"/>
    <n v="1"/>
    <s v="Flagged"/>
    <s v="Flagged"/>
    <s v=""/>
    <n v="1074"/>
    <s v="WASH"/>
    <n v="0.73410799726589204"/>
    <n v="389"/>
    <n v="0.36219739292364989"/>
    <s v="Flagged"/>
    <n v="1009"/>
    <s v="Health "/>
    <n v="0.68967874231032122"/>
    <n v="454"/>
    <n v="0.44995044598612488"/>
    <s v=""/>
    <s v=""/>
    <s v=""/>
    <n v="1463"/>
    <m/>
    <m/>
    <n v="3"/>
    <s v="Flagged"/>
    <n v="1463"/>
    <m/>
    <x v="2"/>
    <x v="2"/>
    <n v="1463"/>
    <n v="0"/>
    <n v="0"/>
  </r>
  <r>
    <s v="RefugeesSD12076"/>
    <x v="11"/>
    <x v="11"/>
    <x v="128"/>
    <x v="128"/>
    <m/>
    <m/>
    <x v="34"/>
    <x v="3"/>
    <n v="0"/>
    <n v="0"/>
    <n v="0"/>
    <n v="0"/>
    <n v="0"/>
    <n v="0"/>
    <n v="0"/>
    <n v="0"/>
    <n v="0"/>
    <n v="0"/>
    <n v="0"/>
    <n v="0"/>
    <e v="#DIV/0!"/>
    <e v="#DIV/0!"/>
    <e v="#DIV/0!"/>
    <e v="#DIV/0!"/>
    <e v="#DIV/0!"/>
    <e v="#DIV/0!"/>
    <e v="#DIV/0!"/>
    <e v="#DIV/0!"/>
    <s v=""/>
    <s v=""/>
    <s v=""/>
    <s v=""/>
    <n v="0"/>
    <s v="Site Management _x000a_Education_x000a_Food Security and Livlihoods_x000a_Health _x000a_Nutrition_x000a_Protection_x000a_Shelter NFI _x000a_WASH"/>
    <e v="#DIV/0!"/>
    <s v=""/>
    <s v=""/>
    <s v=""/>
    <s v="NA"/>
    <s v=""/>
    <s v=""/>
    <s v=""/>
    <s v=""/>
    <s v=""/>
    <n v="0"/>
    <s v="Site Management _x000a_Education_x000a_Food Security and Livlihoods_x000a_Health _x000a_Nutrition_x000a_Protection_x000a_Shelter NFI _x000a_WASH"/>
    <s v=""/>
    <n v="0"/>
    <s v=""/>
    <s v=""/>
    <s v=""/>
    <s v=""/>
    <n v="0"/>
    <m/>
    <m/>
    <n v="0"/>
    <s v=""/>
    <n v="0"/>
    <m/>
    <x v="2"/>
    <x v="2"/>
    <n v="0"/>
    <n v="0"/>
    <n v="0"/>
  </r>
  <r>
    <s v="RefugeesSD12077"/>
    <x v="11"/>
    <x v="11"/>
    <x v="129"/>
    <x v="129"/>
    <m/>
    <m/>
    <x v="503"/>
    <x v="3"/>
    <n v="0"/>
    <n v="795"/>
    <n v="3146"/>
    <n v="3052"/>
    <n v="288"/>
    <n v="3146"/>
    <n v="1258"/>
    <n v="2958"/>
    <n v="257.97200000000004"/>
    <n v="597.74"/>
    <n v="0"/>
    <n v="3146"/>
    <n v="0"/>
    <n v="0.25270184361093451"/>
    <n v="1"/>
    <n v="0.97012078830260651"/>
    <n v="9.1544818817546086E-2"/>
    <n v="1"/>
    <n v="0.39987285441830894"/>
    <n v="0.94024157660521301"/>
    <n v="0.1"/>
    <n v="0.2"/>
    <n v="0"/>
    <n v="1"/>
    <n v="3146"/>
    <s v="Food Security and Livlihoods_x000a_Protection"/>
    <n v="1"/>
    <s v=""/>
    <s v="Flagged"/>
    <s v=""/>
    <n v="3052"/>
    <s v="Health "/>
    <n v="0.97012078830260651"/>
    <n v="94"/>
    <n v="3.0799475753604193E-2"/>
    <s v=""/>
    <n v="2958"/>
    <s v="WASH"/>
    <n v="0.94024157660521301"/>
    <n v="188"/>
    <n v="6.3556457065584854E-2"/>
    <s v=""/>
    <s v=""/>
    <s v=""/>
    <n v="3146"/>
    <m/>
    <m/>
    <n v="1"/>
    <s v="Flagged"/>
    <n v="3146"/>
    <m/>
    <x v="2"/>
    <x v="2"/>
    <n v="3146"/>
    <n v="0"/>
    <n v="0"/>
  </r>
  <r>
    <s v="RefugeesSD12078"/>
    <x v="11"/>
    <x v="11"/>
    <x v="130"/>
    <x v="130"/>
    <m/>
    <m/>
    <x v="34"/>
    <x v="3"/>
    <n v="0"/>
    <n v="0"/>
    <n v="0"/>
    <n v="0"/>
    <n v="0"/>
    <n v="0"/>
    <n v="0"/>
    <n v="0"/>
    <n v="0"/>
    <n v="0"/>
    <n v="0"/>
    <n v="0"/>
    <e v="#DIV/0!"/>
    <e v="#DIV/0!"/>
    <e v="#DIV/0!"/>
    <e v="#DIV/0!"/>
    <e v="#DIV/0!"/>
    <e v="#DIV/0!"/>
    <e v="#DIV/0!"/>
    <e v="#DIV/0!"/>
    <s v=""/>
    <s v=""/>
    <s v=""/>
    <s v=""/>
    <n v="0"/>
    <s v="Site Management _x000a_Education_x000a_Food Security and Livlihoods_x000a_Health _x000a_Nutrition_x000a_Protection_x000a_Shelter NFI _x000a_WASH"/>
    <e v="#DIV/0!"/>
    <s v=""/>
    <s v=""/>
    <s v=""/>
    <s v="NA"/>
    <s v=""/>
    <s v=""/>
    <s v=""/>
    <s v=""/>
    <s v=""/>
    <n v="0"/>
    <s v="Site Management _x000a_Education_x000a_Food Security and Livlihoods_x000a_Health _x000a_Nutrition_x000a_Protection_x000a_Shelter NFI _x000a_WASH"/>
    <s v=""/>
    <n v="0"/>
    <s v=""/>
    <s v=""/>
    <s v=""/>
    <s v=""/>
    <n v="0"/>
    <m/>
    <m/>
    <n v="0"/>
    <s v=""/>
    <n v="0"/>
    <m/>
    <x v="2"/>
    <x v="2"/>
    <n v="0"/>
    <n v="0"/>
    <n v="0"/>
  </r>
  <r>
    <s v="RefugeesSD12079"/>
    <x v="11"/>
    <x v="11"/>
    <x v="131"/>
    <x v="131"/>
    <m/>
    <m/>
    <x v="34"/>
    <x v="3"/>
    <n v="0"/>
    <n v="0"/>
    <n v="0"/>
    <n v="0"/>
    <n v="0"/>
    <n v="0"/>
    <n v="0"/>
    <n v="0"/>
    <n v="0"/>
    <n v="0"/>
    <n v="0"/>
    <n v="0"/>
    <e v="#DIV/0!"/>
    <e v="#DIV/0!"/>
    <e v="#DIV/0!"/>
    <e v="#DIV/0!"/>
    <e v="#DIV/0!"/>
    <e v="#DIV/0!"/>
    <e v="#DIV/0!"/>
    <e v="#DIV/0!"/>
    <s v=""/>
    <s v=""/>
    <s v=""/>
    <s v=""/>
    <n v="0"/>
    <s v="Site Management _x000a_Education_x000a_Food Security and Livlihoods_x000a_Health _x000a_Nutrition_x000a_Protection_x000a_Shelter NFI _x000a_WASH"/>
    <e v="#DIV/0!"/>
    <s v=""/>
    <s v=""/>
    <s v=""/>
    <s v="NA"/>
    <s v=""/>
    <s v=""/>
    <s v=""/>
    <s v=""/>
    <s v=""/>
    <n v="0"/>
    <s v="Site Management _x000a_Education_x000a_Food Security and Livlihoods_x000a_Health _x000a_Nutrition_x000a_Protection_x000a_Shelter NFI _x000a_WASH"/>
    <s v=""/>
    <n v="0"/>
    <s v=""/>
    <s v=""/>
    <s v=""/>
    <s v=""/>
    <n v="0"/>
    <m/>
    <m/>
    <n v="0"/>
    <s v=""/>
    <n v="0"/>
    <m/>
    <x v="2"/>
    <x v="2"/>
    <n v="0"/>
    <n v="0"/>
    <n v="0"/>
  </r>
  <r>
    <s v="RefugeesSD12080"/>
    <x v="11"/>
    <x v="11"/>
    <x v="132"/>
    <x v="132"/>
    <m/>
    <m/>
    <x v="504"/>
    <x v="3"/>
    <n v="0"/>
    <n v="0"/>
    <n v="2"/>
    <n v="1"/>
    <n v="0"/>
    <n v="2"/>
    <n v="0"/>
    <n v="1"/>
    <n v="4.3999999999999997E-2"/>
    <n v="0"/>
    <n v="0"/>
    <n v="2"/>
    <n v="0"/>
    <n v="0"/>
    <n v="1"/>
    <n v="0.5"/>
    <n v="0"/>
    <n v="1"/>
    <n v="0"/>
    <n v="0.5"/>
    <n v="0"/>
    <n v="0"/>
    <n v="0"/>
    <n v="1"/>
    <n v="2"/>
    <s v="Food Security and Livlihoods_x000a_Protection"/>
    <n v="1"/>
    <s v="Flagged"/>
    <s v="Flagged"/>
    <s v=""/>
    <n v="1"/>
    <s v="Health _x000a_WASH"/>
    <n v="0.5"/>
    <n v="1"/>
    <n v="1"/>
    <s v="Flagged"/>
    <n v="0"/>
    <s v="Site Management _x000a_Education_x000a_Nutrition_x000a_Shelter NFI "/>
    <n v="0"/>
    <n v="2"/>
    <s v=""/>
    <s v=""/>
    <s v=""/>
    <s v=""/>
    <n v="2"/>
    <m/>
    <m/>
    <n v="3"/>
    <s v="Flagged"/>
    <n v="2"/>
    <m/>
    <x v="2"/>
    <x v="2"/>
    <n v="2"/>
    <n v="0"/>
    <n v="0"/>
  </r>
  <r>
    <s v="RefugeesSD12081"/>
    <x v="11"/>
    <x v="11"/>
    <x v="133"/>
    <x v="133"/>
    <m/>
    <m/>
    <x v="505"/>
    <x v="3"/>
    <n v="0"/>
    <n v="5098"/>
    <n v="19049"/>
    <n v="9334"/>
    <n v="1739"/>
    <n v="19049"/>
    <n v="11429"/>
    <n v="11717"/>
    <n v="209.53899999999999"/>
    <n v="2152.5370000000003"/>
    <n v="0"/>
    <n v="19049"/>
    <n v="0"/>
    <n v="0.26762559714420703"/>
    <n v="1"/>
    <n v="0.48999947503805974"/>
    <n v="9.1290881411097702E-2"/>
    <n v="1"/>
    <n v="0.59997900152238959"/>
    <n v="0.61509790540185838"/>
    <n v="0"/>
    <n v="0.1"/>
    <n v="0"/>
    <n v="1"/>
    <n v="19049"/>
    <s v="Food Security and Livlihoods_x000a_Protection"/>
    <n v="1"/>
    <s v=""/>
    <s v="Flagged"/>
    <s v=""/>
    <n v="11717"/>
    <s v="WASH"/>
    <n v="0.61509790540185838"/>
    <n v="7332"/>
    <n v="0.62575744644533582"/>
    <s v="Flagged"/>
    <n v="11429"/>
    <s v="Shelter NFI "/>
    <n v="0.59997900152238959"/>
    <n v="7620"/>
    <n v="0.66672499781258199"/>
    <s v="Flagged"/>
    <s v=""/>
    <s v=""/>
    <n v="19049"/>
    <m/>
    <m/>
    <n v="3"/>
    <s v="Flagged"/>
    <n v="19049"/>
    <m/>
    <x v="2"/>
    <x v="2"/>
    <n v="19049"/>
    <n v="0"/>
    <n v="0"/>
  </r>
  <r>
    <s v="RefugeesSD12082"/>
    <x v="11"/>
    <x v="11"/>
    <x v="134"/>
    <x v="134"/>
    <m/>
    <m/>
    <x v="506"/>
    <x v="3"/>
    <n v="0"/>
    <n v="5995"/>
    <n v="23807"/>
    <n v="16427"/>
    <n v="2174"/>
    <n v="23807"/>
    <n v="14284"/>
    <n v="21003"/>
    <n v="666.596"/>
    <n v="4666.1720000000005"/>
    <n v="0"/>
    <n v="23807"/>
    <n v="0"/>
    <n v="0.25181669256941236"/>
    <n v="1"/>
    <n v="0.69000714075692027"/>
    <n v="9.1317679674045443E-2"/>
    <n v="1"/>
    <n v="0.59999159910950561"/>
    <n v="0.88221951526861853"/>
    <n v="0.05"/>
    <n v="0.2"/>
    <n v="0"/>
    <n v="1"/>
    <n v="23807"/>
    <s v="Food Security and Livlihoods_x000a_Protection"/>
    <n v="1"/>
    <s v=""/>
    <s v="Flagged"/>
    <s v=""/>
    <n v="21003"/>
    <s v="WASH"/>
    <n v="0.88221951526861853"/>
    <n v="2804"/>
    <n v="0.13350473741846403"/>
    <s v=""/>
    <n v="16427"/>
    <s v="Health "/>
    <n v="0.69000714075692027"/>
    <n v="7380"/>
    <n v="0.44926036403482073"/>
    <s v=""/>
    <s v=""/>
    <s v=""/>
    <n v="23807"/>
    <m/>
    <m/>
    <n v="1"/>
    <s v="Flagged"/>
    <n v="23807"/>
    <m/>
    <x v="2"/>
    <x v="2"/>
    <n v="23807"/>
    <n v="0"/>
    <n v="0"/>
  </r>
  <r>
    <s v="RefugeesSD12083"/>
    <x v="11"/>
    <x v="11"/>
    <x v="135"/>
    <x v="135"/>
    <m/>
    <m/>
    <x v="507"/>
    <x v="3"/>
    <n v="0"/>
    <n v="4037"/>
    <n v="17673"/>
    <n v="17143"/>
    <n v="1613"/>
    <n v="17673"/>
    <n v="10604"/>
    <n v="14158"/>
    <n v="388.80599999999998"/>
    <n v="2138.433"/>
    <n v="0"/>
    <n v="17673"/>
    <n v="0"/>
    <n v="0.22842754484241498"/>
    <n v="1"/>
    <n v="0.97001075086289823"/>
    <n v="9.1269167656877717E-2"/>
    <n v="1"/>
    <n v="0.60001131669778762"/>
    <n v="0.80110903638318343"/>
    <n v="0"/>
    <n v="0.1"/>
    <n v="0"/>
    <n v="1"/>
    <n v="17673"/>
    <s v="Food Security and Livlihoods_x000a_Protection"/>
    <n v="1"/>
    <s v=""/>
    <s v="Flagged"/>
    <s v=""/>
    <n v="17143"/>
    <s v="Health "/>
    <n v="0.97001075086289823"/>
    <n v="530"/>
    <n v="3.0916409029924749E-2"/>
    <s v=""/>
    <n v="14158"/>
    <s v="WASH"/>
    <n v="0.80110903638318343"/>
    <n v="3515"/>
    <n v="0.24826952959457552"/>
    <s v=""/>
    <s v=""/>
    <s v=""/>
    <n v="17673"/>
    <m/>
    <m/>
    <n v="1"/>
    <s v="Flagged"/>
    <n v="17673"/>
    <m/>
    <x v="2"/>
    <x v="2"/>
    <n v="17673"/>
    <n v="0"/>
    <n v="0"/>
  </r>
  <r>
    <s v="RefugeesSD12084"/>
    <x v="11"/>
    <x v="11"/>
    <x v="136"/>
    <x v="136"/>
    <m/>
    <m/>
    <x v="34"/>
    <x v="3"/>
    <n v="0"/>
    <n v="0"/>
    <n v="0"/>
    <n v="0"/>
    <n v="0"/>
    <n v="0"/>
    <n v="0"/>
    <n v="0"/>
    <n v="0"/>
    <n v="0"/>
    <n v="0"/>
    <n v="0"/>
    <e v="#DIV/0!"/>
    <e v="#DIV/0!"/>
    <e v="#DIV/0!"/>
    <e v="#DIV/0!"/>
    <e v="#DIV/0!"/>
    <e v="#DIV/0!"/>
    <e v="#DIV/0!"/>
    <e v="#DIV/0!"/>
    <s v=""/>
    <s v=""/>
    <s v=""/>
    <s v=""/>
    <n v="0"/>
    <s v="Site Management _x000a_Education_x000a_Food Security and Livlihoods_x000a_Health _x000a_Nutrition_x000a_Protection_x000a_Shelter NFI _x000a_WASH"/>
    <e v="#DIV/0!"/>
    <s v=""/>
    <s v=""/>
    <s v=""/>
    <s v="NA"/>
    <s v=""/>
    <s v=""/>
    <s v=""/>
    <s v=""/>
    <s v=""/>
    <n v="0"/>
    <s v="Site Management _x000a_Education_x000a_Food Security and Livlihoods_x000a_Health _x000a_Nutrition_x000a_Protection_x000a_Shelter NFI _x000a_WASH"/>
    <s v=""/>
    <n v="0"/>
    <s v=""/>
    <s v=""/>
    <s v=""/>
    <s v=""/>
    <n v="0"/>
    <m/>
    <m/>
    <n v="0"/>
    <s v=""/>
    <n v="0"/>
    <m/>
    <x v="2"/>
    <x v="2"/>
    <n v="0"/>
    <n v="0"/>
    <n v="0"/>
  </r>
  <r>
    <s v="RefugeesSD13023"/>
    <x v="12"/>
    <x v="12"/>
    <x v="137"/>
    <x v="137"/>
    <m/>
    <m/>
    <x v="508"/>
    <x v="3"/>
    <n v="0"/>
    <n v="349"/>
    <n v="976"/>
    <n v="478"/>
    <n v="89"/>
    <n v="976"/>
    <n v="390"/>
    <n v="829"/>
    <n v="147.376"/>
    <n v="433.34399999999999"/>
    <n v="195.20000000000002"/>
    <n v="976"/>
    <n v="0"/>
    <n v="0.35758196721311475"/>
    <n v="1"/>
    <n v="0.48975409836065575"/>
    <n v="9.1188524590163939E-2"/>
    <n v="1"/>
    <n v="0.39959016393442626"/>
    <n v="0.84938524590163933"/>
    <n v="0.15000000000000002"/>
    <n v="0.45"/>
    <n v="0.2"/>
    <n v="1"/>
    <n v="976"/>
    <s v="Food Security and Livlihoods_x000a_Protection"/>
    <n v="1"/>
    <s v=""/>
    <s v="Flagged"/>
    <s v=""/>
    <n v="829"/>
    <s v="WASH"/>
    <n v="0.84938524590163933"/>
    <n v="147"/>
    <n v="0.1773220747889023"/>
    <s v=""/>
    <n v="478"/>
    <s v="Health "/>
    <n v="0.48975409836065575"/>
    <n v="498"/>
    <n v="1.0418410041841004"/>
    <s v="Flagged"/>
    <s v=""/>
    <s v=""/>
    <n v="976"/>
    <m/>
    <m/>
    <n v="2"/>
    <s v="Flagged"/>
    <n v="976"/>
    <m/>
    <x v="2"/>
    <x v="1"/>
    <n v="0"/>
    <n v="0"/>
    <n v="976"/>
  </r>
  <r>
    <s v="RefugeesSD13024"/>
    <x v="12"/>
    <x v="12"/>
    <x v="138"/>
    <x v="138"/>
    <m/>
    <m/>
    <x v="509"/>
    <x v="3"/>
    <n v="0"/>
    <n v="3609"/>
    <n v="9414"/>
    <n v="6496"/>
    <n v="859"/>
    <n v="9414"/>
    <n v="5648"/>
    <n v="5059"/>
    <n v="1685.106"/>
    <n v="2654.7479999999996"/>
    <n v="1882.8000000000002"/>
    <n v="9414"/>
    <n v="0"/>
    <n v="0.38336520076481834"/>
    <n v="1"/>
    <n v="0.69003611642234974"/>
    <n v="9.1247078818780539E-2"/>
    <n v="1"/>
    <n v="0.59995751009135334"/>
    <n v="0.5373911196090928"/>
    <n v="0.2"/>
    <n v="0.30000000000000004"/>
    <n v="0.2"/>
    <n v="1"/>
    <n v="9414"/>
    <s v="Food Security and Livlihoods_x000a_Protection"/>
    <n v="1"/>
    <s v=""/>
    <s v="Flagged"/>
    <s v=""/>
    <n v="6496"/>
    <s v="Health "/>
    <n v="0.69003611642234974"/>
    <n v="2918"/>
    <n v="0.44919950738916259"/>
    <s v="Flagged"/>
    <n v="5648"/>
    <s v="Shelter NFI "/>
    <n v="0.59995751009135334"/>
    <n v="3766"/>
    <n v="0.66678470254957511"/>
    <s v="Flagged"/>
    <s v=""/>
    <s v=""/>
    <n v="9414"/>
    <m/>
    <m/>
    <n v="3"/>
    <s v="Flagged"/>
    <n v="9414"/>
    <m/>
    <x v="0"/>
    <x v="1"/>
    <n v="0"/>
    <n v="0"/>
    <n v="9414"/>
  </r>
  <r>
    <s v="RefugeesSD13025"/>
    <x v="12"/>
    <x v="12"/>
    <x v="139"/>
    <x v="139"/>
    <m/>
    <m/>
    <x v="34"/>
    <x v="3"/>
    <n v="0"/>
    <n v="0"/>
    <n v="0"/>
    <n v="0"/>
    <n v="0"/>
    <n v="0"/>
    <n v="0"/>
    <n v="0"/>
    <n v="0"/>
    <n v="0"/>
    <n v="0"/>
    <n v="0"/>
    <e v="#DIV/0!"/>
    <e v="#DIV/0!"/>
    <e v="#DIV/0!"/>
    <e v="#DIV/0!"/>
    <e v="#DIV/0!"/>
    <e v="#DIV/0!"/>
    <e v="#DIV/0!"/>
    <e v="#DIV/0!"/>
    <s v=""/>
    <s v=""/>
    <s v=""/>
    <s v=""/>
    <n v="0"/>
    <s v="Site Management _x000a_Education_x000a_Food Security and Livlihoods_x000a_Health _x000a_Nutrition_x000a_Protection_x000a_Shelter NFI _x000a_WASH"/>
    <e v="#DIV/0!"/>
    <s v=""/>
    <s v=""/>
    <s v=""/>
    <s v="NA"/>
    <s v=""/>
    <s v=""/>
    <s v=""/>
    <s v=""/>
    <s v=""/>
    <n v="0"/>
    <s v="Site Management _x000a_Education_x000a_Food Security and Livlihoods_x000a_Health _x000a_Nutrition_x000a_Protection_x000a_Shelter NFI _x000a_WASH"/>
    <s v=""/>
    <n v="0"/>
    <s v=""/>
    <s v=""/>
    <s v=""/>
    <s v=""/>
    <n v="0"/>
    <m/>
    <m/>
    <n v="0"/>
    <s v=""/>
    <n v="0"/>
    <m/>
    <x v="0"/>
    <x v="2"/>
    <n v="0"/>
    <n v="0"/>
    <n v="0"/>
  </r>
  <r>
    <s v="RefugeesSD13026"/>
    <x v="12"/>
    <x v="12"/>
    <x v="140"/>
    <x v="140"/>
    <m/>
    <m/>
    <x v="34"/>
    <x v="3"/>
    <n v="0"/>
    <n v="0"/>
    <n v="0"/>
    <n v="0"/>
    <n v="0"/>
    <n v="0"/>
    <n v="0"/>
    <n v="0"/>
    <n v="0"/>
    <n v="0"/>
    <n v="0"/>
    <n v="0"/>
    <e v="#DIV/0!"/>
    <e v="#DIV/0!"/>
    <e v="#DIV/0!"/>
    <e v="#DIV/0!"/>
    <e v="#DIV/0!"/>
    <e v="#DIV/0!"/>
    <e v="#DIV/0!"/>
    <e v="#DIV/0!"/>
    <s v=""/>
    <s v=""/>
    <s v=""/>
    <s v=""/>
    <n v="0"/>
    <s v="Site Management _x000a_Education_x000a_Food Security and Livlihoods_x000a_Health _x000a_Nutrition_x000a_Protection_x000a_Shelter NFI _x000a_WASH"/>
    <e v="#DIV/0!"/>
    <s v=""/>
    <s v=""/>
    <s v=""/>
    <s v="NA"/>
    <s v=""/>
    <s v=""/>
    <s v=""/>
    <s v=""/>
    <s v=""/>
    <n v="0"/>
    <s v="Site Management _x000a_Education_x000a_Food Security and Livlihoods_x000a_Health _x000a_Nutrition_x000a_Protection_x000a_Shelter NFI _x000a_WASH"/>
    <s v=""/>
    <n v="0"/>
    <s v=""/>
    <s v=""/>
    <s v=""/>
    <s v=""/>
    <n v="0"/>
    <m/>
    <m/>
    <n v="0"/>
    <s v=""/>
    <n v="0"/>
    <m/>
    <x v="0"/>
    <x v="2"/>
    <n v="0"/>
    <n v="0"/>
    <n v="0"/>
  </r>
  <r>
    <s v="RefugeesSD13027"/>
    <x v="12"/>
    <x v="12"/>
    <x v="141"/>
    <x v="141"/>
    <m/>
    <m/>
    <x v="34"/>
    <x v="3"/>
    <n v="0"/>
    <n v="0"/>
    <n v="0"/>
    <n v="0"/>
    <n v="0"/>
    <n v="0"/>
    <n v="0"/>
    <n v="0"/>
    <n v="0"/>
    <n v="0"/>
    <n v="0"/>
    <n v="0"/>
    <e v="#DIV/0!"/>
    <e v="#DIV/0!"/>
    <e v="#DIV/0!"/>
    <e v="#DIV/0!"/>
    <e v="#DIV/0!"/>
    <e v="#DIV/0!"/>
    <e v="#DIV/0!"/>
    <e v="#DIV/0!"/>
    <s v=""/>
    <s v=""/>
    <s v=""/>
    <s v=""/>
    <n v="0"/>
    <s v="Site Management _x000a_Education_x000a_Food Security and Livlihoods_x000a_Health _x000a_Nutrition_x000a_Protection_x000a_Shelter NFI _x000a_WASH"/>
    <e v="#DIV/0!"/>
    <s v=""/>
    <s v=""/>
    <s v=""/>
    <s v="NA"/>
    <s v=""/>
    <s v=""/>
    <s v=""/>
    <s v=""/>
    <s v=""/>
    <n v="0"/>
    <s v="Site Management _x000a_Education_x000a_Food Security and Livlihoods_x000a_Health _x000a_Nutrition_x000a_Protection_x000a_Shelter NFI _x000a_WASH"/>
    <s v=""/>
    <n v="0"/>
    <s v=""/>
    <s v=""/>
    <s v=""/>
    <s v=""/>
    <n v="0"/>
    <m/>
    <m/>
    <n v="0"/>
    <s v=""/>
    <n v="0"/>
    <m/>
    <x v="0"/>
    <x v="2"/>
    <n v="0"/>
    <n v="0"/>
    <n v="0"/>
  </r>
  <r>
    <s v="RefugeesSD13028"/>
    <x v="12"/>
    <x v="12"/>
    <x v="142"/>
    <x v="142"/>
    <m/>
    <m/>
    <x v="34"/>
    <x v="3"/>
    <n v="0"/>
    <n v="0"/>
    <n v="0"/>
    <n v="0"/>
    <n v="0"/>
    <n v="0"/>
    <n v="0"/>
    <n v="0"/>
    <n v="0"/>
    <n v="0"/>
    <n v="0"/>
    <n v="0"/>
    <e v="#DIV/0!"/>
    <e v="#DIV/0!"/>
    <e v="#DIV/0!"/>
    <e v="#DIV/0!"/>
    <e v="#DIV/0!"/>
    <e v="#DIV/0!"/>
    <e v="#DIV/0!"/>
    <e v="#DIV/0!"/>
    <s v=""/>
    <s v=""/>
    <s v=""/>
    <s v=""/>
    <n v="0"/>
    <s v="Site Management _x000a_Education_x000a_Food Security and Livlihoods_x000a_Health _x000a_Nutrition_x000a_Protection_x000a_Shelter NFI _x000a_WASH"/>
    <e v="#DIV/0!"/>
    <s v=""/>
    <s v=""/>
    <s v=""/>
    <s v="NA"/>
    <s v=""/>
    <s v=""/>
    <s v=""/>
    <s v=""/>
    <s v=""/>
    <n v="0"/>
    <s v="Site Management _x000a_Education_x000a_Food Security and Livlihoods_x000a_Health _x000a_Nutrition_x000a_Protection_x000a_Shelter NFI _x000a_WASH"/>
    <s v=""/>
    <n v="0"/>
    <s v=""/>
    <s v=""/>
    <s v=""/>
    <s v=""/>
    <n v="0"/>
    <m/>
    <m/>
    <n v="0"/>
    <s v=""/>
    <n v="0"/>
    <m/>
    <x v="0"/>
    <x v="2"/>
    <n v="0"/>
    <n v="0"/>
    <n v="0"/>
  </r>
  <r>
    <s v="RefugeesSD13029"/>
    <x v="12"/>
    <x v="12"/>
    <x v="143"/>
    <x v="143"/>
    <m/>
    <m/>
    <x v="34"/>
    <x v="3"/>
    <n v="0"/>
    <n v="0"/>
    <n v="0"/>
    <n v="0"/>
    <n v="0"/>
    <n v="0"/>
    <n v="0"/>
    <n v="0"/>
    <n v="0"/>
    <n v="0"/>
    <n v="0"/>
    <n v="0"/>
    <e v="#DIV/0!"/>
    <e v="#DIV/0!"/>
    <e v="#DIV/0!"/>
    <e v="#DIV/0!"/>
    <e v="#DIV/0!"/>
    <e v="#DIV/0!"/>
    <e v="#DIV/0!"/>
    <e v="#DIV/0!"/>
    <s v=""/>
    <s v=""/>
    <s v=""/>
    <s v=""/>
    <n v="0"/>
    <s v="Site Management _x000a_Education_x000a_Food Security and Livlihoods_x000a_Health _x000a_Nutrition_x000a_Protection_x000a_Shelter NFI _x000a_WASH"/>
    <e v="#DIV/0!"/>
    <s v=""/>
    <s v=""/>
    <s v=""/>
    <s v="NA"/>
    <s v=""/>
    <s v=""/>
    <s v=""/>
    <s v=""/>
    <s v=""/>
    <n v="0"/>
    <s v="Site Management _x000a_Education_x000a_Food Security and Livlihoods_x000a_Health _x000a_Nutrition_x000a_Protection_x000a_Shelter NFI _x000a_WASH"/>
    <s v=""/>
    <n v="0"/>
    <s v=""/>
    <s v=""/>
    <s v=""/>
    <s v=""/>
    <n v="0"/>
    <m/>
    <m/>
    <n v="0"/>
    <s v=""/>
    <n v="0"/>
    <m/>
    <x v="0"/>
    <x v="2"/>
    <n v="0"/>
    <n v="0"/>
    <n v="0"/>
  </r>
  <r>
    <s v="RefugeesSD13030"/>
    <x v="12"/>
    <x v="12"/>
    <x v="136"/>
    <x v="144"/>
    <m/>
    <m/>
    <x v="510"/>
    <x v="3"/>
    <n v="0"/>
    <n v="403"/>
    <n v="1199"/>
    <n v="588"/>
    <n v="109"/>
    <n v="1199"/>
    <n v="480"/>
    <n v="978"/>
    <n v="267.37700000000001"/>
    <n v="476.00300000000004"/>
    <n v="239.8"/>
    <n v="1199"/>
    <n v="0"/>
    <n v="0.33611342785654713"/>
    <n v="1"/>
    <n v="0.49040867389491244"/>
    <n v="9.0909090909090912E-2"/>
    <n v="1"/>
    <n v="0.40033361134278567"/>
    <n v="0.81567973311092579"/>
    <n v="0.2"/>
    <n v="0.4"/>
    <n v="0.2"/>
    <n v="1"/>
    <n v="1199"/>
    <s v="Food Security and Livlihoods_x000a_Protection"/>
    <n v="1"/>
    <s v=""/>
    <s v="Flagged"/>
    <s v=""/>
    <n v="978"/>
    <s v="WASH"/>
    <n v="0.81567973311092579"/>
    <n v="221"/>
    <n v="0.22597137014314927"/>
    <s v=""/>
    <n v="588"/>
    <s v="Health "/>
    <n v="0.49040867389491244"/>
    <n v="611"/>
    <n v="1.0391156462585034"/>
    <s v="Flagged"/>
    <s v=""/>
    <s v=""/>
    <n v="1199"/>
    <m/>
    <m/>
    <n v="2"/>
    <s v="Flagged"/>
    <n v="1199"/>
    <m/>
    <x v="2"/>
    <x v="0"/>
    <n v="0"/>
    <n v="1199"/>
    <n v="0"/>
  </r>
  <r>
    <s v="RefugeesSD14037"/>
    <x v="13"/>
    <x v="13"/>
    <x v="144"/>
    <x v="145"/>
    <m/>
    <m/>
    <x v="34"/>
    <x v="3"/>
    <n v="0"/>
    <n v="0"/>
    <n v="0"/>
    <n v="0"/>
    <n v="0"/>
    <n v="0"/>
    <n v="0"/>
    <n v="0"/>
    <n v="0"/>
    <n v="0"/>
    <n v="0"/>
    <n v="0"/>
    <e v="#DIV/0!"/>
    <e v="#DIV/0!"/>
    <e v="#DIV/0!"/>
    <e v="#DIV/0!"/>
    <e v="#DIV/0!"/>
    <e v="#DIV/0!"/>
    <e v="#DIV/0!"/>
    <e v="#DIV/0!"/>
    <s v=""/>
    <s v=""/>
    <s v=""/>
    <s v=""/>
    <n v="0"/>
    <s v="Site Management _x000a_Education_x000a_Food Security and Livlihoods_x000a_Health _x000a_Nutrition_x000a_Protection_x000a_Shelter NFI _x000a_WASH"/>
    <e v="#DIV/0!"/>
    <s v=""/>
    <s v=""/>
    <s v=""/>
    <s v="NA"/>
    <s v=""/>
    <s v=""/>
    <s v=""/>
    <s v=""/>
    <s v=""/>
    <n v="0"/>
    <s v="Site Management _x000a_Education_x000a_Food Security and Livlihoods_x000a_Health _x000a_Nutrition_x000a_Protection_x000a_Shelter NFI _x000a_WASH"/>
    <s v=""/>
    <n v="0"/>
    <s v=""/>
    <s v=""/>
    <s v=""/>
    <s v=""/>
    <n v="0"/>
    <m/>
    <m/>
    <n v="0"/>
    <s v=""/>
    <n v="0"/>
    <m/>
    <x v="2"/>
    <x v="2"/>
    <n v="0"/>
    <n v="0"/>
    <n v="0"/>
  </r>
  <r>
    <s v="RefugeesSD14038"/>
    <x v="13"/>
    <x v="13"/>
    <x v="145"/>
    <x v="146"/>
    <m/>
    <m/>
    <x v="511"/>
    <x v="3"/>
    <n v="0"/>
    <n v="0"/>
    <n v="28"/>
    <n v="14"/>
    <n v="2"/>
    <n v="28"/>
    <n v="0"/>
    <n v="10"/>
    <n v="0.56000000000000005"/>
    <n v="3.8360000000000003"/>
    <n v="0"/>
    <n v="28"/>
    <n v="0"/>
    <n v="0"/>
    <n v="1"/>
    <n v="0.5"/>
    <n v="7.1428571428571425E-2"/>
    <n v="1"/>
    <n v="0"/>
    <n v="0.35714285714285715"/>
    <n v="0"/>
    <n v="0.15000000000000002"/>
    <n v="0"/>
    <n v="1"/>
    <n v="28"/>
    <s v="Food Security and Livlihoods_x000a_Protection"/>
    <n v="1"/>
    <s v="Flagged"/>
    <s v="Flagged"/>
    <s v=""/>
    <n v="14"/>
    <s v="Health "/>
    <n v="0.5"/>
    <n v="14"/>
    <n v="1"/>
    <s v="Flagged"/>
    <n v="10"/>
    <s v="WASH"/>
    <n v="0.35714285714285715"/>
    <n v="18"/>
    <n v="1.8"/>
    <s v="Flagged"/>
    <s v=""/>
    <s v="Flagged"/>
    <n v="28"/>
    <m/>
    <m/>
    <n v="5"/>
    <s v="Flagged"/>
    <n v="28"/>
    <m/>
    <x v="2"/>
    <x v="2"/>
    <n v="28"/>
    <n v="0"/>
    <n v="0"/>
  </r>
  <r>
    <s v="RefugeesSD14039"/>
    <x v="13"/>
    <x v="13"/>
    <x v="146"/>
    <x v="147"/>
    <m/>
    <m/>
    <x v="34"/>
    <x v="3"/>
    <n v="0"/>
    <n v="0"/>
    <n v="0"/>
    <n v="0"/>
    <n v="0"/>
    <n v="0"/>
    <n v="0"/>
    <n v="0"/>
    <n v="0"/>
    <n v="0"/>
    <n v="0"/>
    <n v="0"/>
    <e v="#DIV/0!"/>
    <e v="#DIV/0!"/>
    <e v="#DIV/0!"/>
    <e v="#DIV/0!"/>
    <e v="#DIV/0!"/>
    <e v="#DIV/0!"/>
    <e v="#DIV/0!"/>
    <e v="#DIV/0!"/>
    <s v=""/>
    <s v=""/>
    <s v=""/>
    <s v=""/>
    <n v="0"/>
    <s v="Site Management _x000a_Education_x000a_Food Security and Livlihoods_x000a_Health _x000a_Nutrition_x000a_Protection_x000a_Shelter NFI _x000a_WASH"/>
    <e v="#DIV/0!"/>
    <s v=""/>
    <s v=""/>
    <s v=""/>
    <s v="NA"/>
    <s v=""/>
    <s v=""/>
    <s v=""/>
    <s v=""/>
    <s v=""/>
    <n v="0"/>
    <s v="Site Management _x000a_Education_x000a_Food Security and Livlihoods_x000a_Health _x000a_Nutrition_x000a_Protection_x000a_Shelter NFI _x000a_WASH"/>
    <s v=""/>
    <n v="0"/>
    <s v=""/>
    <s v=""/>
    <s v=""/>
    <s v=""/>
    <n v="0"/>
    <m/>
    <m/>
    <n v="0"/>
    <s v=""/>
    <n v="0"/>
    <m/>
    <x v="2"/>
    <x v="2"/>
    <n v="0"/>
    <n v="0"/>
    <n v="0"/>
  </r>
  <r>
    <s v="RefugeesSD14040"/>
    <x v="13"/>
    <x v="13"/>
    <x v="147"/>
    <x v="148"/>
    <m/>
    <m/>
    <x v="512"/>
    <x v="3"/>
    <n v="0"/>
    <n v="1215"/>
    <n v="9808"/>
    <n v="4806"/>
    <n v="895"/>
    <n v="9808"/>
    <n v="0"/>
    <n v="8486"/>
    <n v="196.16"/>
    <n v="1343.6960000000001"/>
    <n v="0"/>
    <n v="9808"/>
    <n v="0"/>
    <n v="0.1238784665579119"/>
    <n v="1"/>
    <n v="0.49000815660685154"/>
    <n v="9.1252039151712885E-2"/>
    <n v="1"/>
    <n v="0"/>
    <n v="0.8652120717781403"/>
    <n v="0"/>
    <n v="0.15000000000000002"/>
    <n v="0"/>
    <n v="1"/>
    <n v="9808"/>
    <s v="Food Security and Livlihoods_x000a_Protection"/>
    <n v="1"/>
    <s v="Flagged"/>
    <s v="Flagged"/>
    <s v=""/>
    <n v="8486"/>
    <s v="WASH"/>
    <n v="0.8652120717781403"/>
    <n v="1322"/>
    <n v="0.15578600047136459"/>
    <s v=""/>
    <n v="4806"/>
    <s v="Health "/>
    <n v="0.49000815660685154"/>
    <n v="5002"/>
    <n v="1.0407823553890969"/>
    <s v="Flagged"/>
    <s v=""/>
    <s v=""/>
    <n v="9808"/>
    <m/>
    <m/>
    <n v="3"/>
    <s v="Flagged"/>
    <n v="9808"/>
    <m/>
    <x v="2"/>
    <x v="0"/>
    <n v="0"/>
    <n v="9808"/>
    <n v="0"/>
  </r>
  <r>
    <s v="RefugeesSD14041"/>
    <x v="13"/>
    <x v="13"/>
    <x v="148"/>
    <x v="149"/>
    <m/>
    <m/>
    <x v="34"/>
    <x v="3"/>
    <n v="0"/>
    <n v="0"/>
    <n v="0"/>
    <n v="0"/>
    <n v="0"/>
    <n v="0"/>
    <n v="0"/>
    <n v="0"/>
    <n v="0"/>
    <n v="0"/>
    <n v="0"/>
    <n v="0"/>
    <e v="#DIV/0!"/>
    <e v="#DIV/0!"/>
    <e v="#DIV/0!"/>
    <e v="#DIV/0!"/>
    <e v="#DIV/0!"/>
    <e v="#DIV/0!"/>
    <e v="#DIV/0!"/>
    <e v="#DIV/0!"/>
    <s v=""/>
    <s v=""/>
    <s v=""/>
    <s v=""/>
    <n v="0"/>
    <s v="Site Management _x000a_Education_x000a_Food Security and Livlihoods_x000a_Health _x000a_Nutrition_x000a_Protection_x000a_Shelter NFI _x000a_WASH"/>
    <e v="#DIV/0!"/>
    <s v=""/>
    <s v=""/>
    <s v=""/>
    <s v="NA"/>
    <s v=""/>
    <s v=""/>
    <s v=""/>
    <s v=""/>
    <s v=""/>
    <n v="0"/>
    <s v="Site Management _x000a_Education_x000a_Food Security and Livlihoods_x000a_Health _x000a_Nutrition_x000a_Protection_x000a_Shelter NFI _x000a_WASH"/>
    <s v=""/>
    <n v="0"/>
    <s v=""/>
    <s v=""/>
    <s v=""/>
    <s v=""/>
    <n v="0"/>
    <m/>
    <m/>
    <n v="0"/>
    <s v=""/>
    <n v="0"/>
    <m/>
    <x v="2"/>
    <x v="2"/>
    <n v="0"/>
    <n v="0"/>
    <n v="0"/>
  </r>
  <r>
    <s v="RefugeesSD14042"/>
    <x v="13"/>
    <x v="13"/>
    <x v="149"/>
    <x v="150"/>
    <m/>
    <m/>
    <x v="34"/>
    <x v="3"/>
    <n v="0"/>
    <n v="0"/>
    <n v="0"/>
    <n v="0"/>
    <n v="0"/>
    <n v="0"/>
    <n v="0"/>
    <n v="0"/>
    <n v="0"/>
    <n v="0"/>
    <n v="0"/>
    <n v="0"/>
    <e v="#DIV/0!"/>
    <e v="#DIV/0!"/>
    <e v="#DIV/0!"/>
    <e v="#DIV/0!"/>
    <e v="#DIV/0!"/>
    <e v="#DIV/0!"/>
    <e v="#DIV/0!"/>
    <e v="#DIV/0!"/>
    <s v=""/>
    <s v=""/>
    <s v=""/>
    <s v=""/>
    <n v="0"/>
    <s v="Site Management _x000a_Education_x000a_Food Security and Livlihoods_x000a_Health _x000a_Nutrition_x000a_Protection_x000a_Shelter NFI _x000a_WASH"/>
    <e v="#DIV/0!"/>
    <s v=""/>
    <s v=""/>
    <s v=""/>
    <s v="NA"/>
    <s v=""/>
    <s v=""/>
    <s v=""/>
    <s v=""/>
    <s v=""/>
    <n v="0"/>
    <s v="Site Management _x000a_Education_x000a_Food Security and Livlihoods_x000a_Health _x000a_Nutrition_x000a_Protection_x000a_Shelter NFI _x000a_WASH"/>
    <s v=""/>
    <n v="0"/>
    <s v=""/>
    <s v=""/>
    <s v=""/>
    <s v=""/>
    <n v="0"/>
    <m/>
    <m/>
    <n v="0"/>
    <s v=""/>
    <n v="0"/>
    <m/>
    <x v="2"/>
    <x v="2"/>
    <n v="0"/>
    <n v="0"/>
    <n v="0"/>
  </r>
  <r>
    <s v="RefugeesSD14043"/>
    <x v="13"/>
    <x v="13"/>
    <x v="150"/>
    <x v="151"/>
    <m/>
    <m/>
    <x v="513"/>
    <x v="3"/>
    <n v="0"/>
    <n v="0"/>
    <n v="9"/>
    <n v="6"/>
    <n v="1"/>
    <n v="9"/>
    <n v="0"/>
    <n v="4"/>
    <n v="0.18"/>
    <n v="1.2330000000000001"/>
    <n v="0"/>
    <n v="9"/>
    <n v="0"/>
    <n v="0"/>
    <n v="1"/>
    <n v="0.66666666666666663"/>
    <n v="0.1111111111111111"/>
    <n v="1"/>
    <n v="0"/>
    <n v="0.44444444444444442"/>
    <n v="0"/>
    <n v="0.15000000000000002"/>
    <n v="0"/>
    <n v="1"/>
    <n v="9"/>
    <s v="Food Security and Livlihoods_x000a_Protection"/>
    <n v="1"/>
    <s v="Flagged"/>
    <s v="Flagged"/>
    <s v=""/>
    <n v="6"/>
    <s v="Health "/>
    <n v="0.66666666666666663"/>
    <n v="3"/>
    <n v="0.5"/>
    <s v="Flagged"/>
    <n v="4"/>
    <s v="WASH"/>
    <n v="0.44444444444444442"/>
    <n v="5"/>
    <n v="1.25"/>
    <s v="Flagged"/>
    <s v=""/>
    <s v="Flagged"/>
    <n v="9"/>
    <m/>
    <m/>
    <n v="5"/>
    <s v="Flagged"/>
    <n v="9"/>
    <m/>
    <x v="2"/>
    <x v="2"/>
    <n v="9"/>
    <n v="0"/>
    <n v="0"/>
  </r>
  <r>
    <s v="RefugeesSD15030"/>
    <x v="14"/>
    <x v="14"/>
    <x v="151"/>
    <x v="152"/>
    <m/>
    <m/>
    <x v="514"/>
    <x v="3"/>
    <n v="0"/>
    <n v="42"/>
    <n v="138"/>
    <n v="95"/>
    <n v="12"/>
    <n v="138"/>
    <n v="0"/>
    <n v="55"/>
    <n v="1.242"/>
    <n v="11.73"/>
    <n v="0"/>
    <n v="138"/>
    <n v="0"/>
    <n v="0.30434782608695654"/>
    <n v="1"/>
    <n v="0.68840579710144922"/>
    <n v="8.6956521739130432E-2"/>
    <n v="1"/>
    <n v="0"/>
    <n v="0.39855072463768115"/>
    <n v="0"/>
    <n v="0.1"/>
    <n v="0"/>
    <n v="1"/>
    <n v="138"/>
    <s v="Food Security and Livlihoods_x000a_Protection"/>
    <n v="1"/>
    <s v="Flagged"/>
    <s v="Flagged"/>
    <s v=""/>
    <n v="95"/>
    <s v="Health "/>
    <n v="0.68840579710144922"/>
    <n v="43"/>
    <n v="0.45263157894736844"/>
    <s v="Flagged"/>
    <n v="55"/>
    <s v="WASH"/>
    <n v="0.39855072463768115"/>
    <n v="83"/>
    <n v="1.509090909090909"/>
    <s v="Flagged"/>
    <s v=""/>
    <s v="Flagged"/>
    <n v="138"/>
    <m/>
    <m/>
    <n v="5"/>
    <s v="Flagged"/>
    <n v="138"/>
    <m/>
    <x v="2"/>
    <x v="2"/>
    <n v="138"/>
    <n v="0"/>
    <n v="0"/>
  </r>
  <r>
    <s v="RefugeesSD15031"/>
    <x v="14"/>
    <x v="14"/>
    <x v="152"/>
    <x v="153"/>
    <m/>
    <m/>
    <x v="514"/>
    <x v="3"/>
    <n v="0"/>
    <n v="0"/>
    <n v="138"/>
    <n v="95"/>
    <n v="12"/>
    <n v="138"/>
    <n v="0"/>
    <n v="77"/>
    <n v="1.242"/>
    <n v="11.73"/>
    <n v="0"/>
    <n v="138"/>
    <n v="0"/>
    <n v="0"/>
    <n v="1"/>
    <n v="0.68840579710144922"/>
    <n v="8.6956521739130432E-2"/>
    <n v="1"/>
    <n v="0"/>
    <n v="0.55797101449275366"/>
    <n v="0"/>
    <n v="0.1"/>
    <n v="0"/>
    <n v="1"/>
    <n v="138"/>
    <s v="Food Security and Livlihoods_x000a_Protection"/>
    <n v="1"/>
    <s v="Flagged"/>
    <s v="Flagged"/>
    <s v=""/>
    <n v="95"/>
    <s v="Health "/>
    <n v="0.68840579710144922"/>
    <n v="43"/>
    <n v="0.45263157894736844"/>
    <s v="Flagged"/>
    <n v="77"/>
    <s v="WASH"/>
    <n v="0.55797101449275366"/>
    <n v="61"/>
    <n v="0.79220779220779225"/>
    <s v="Flagged"/>
    <s v=""/>
    <s v=""/>
    <n v="138"/>
    <m/>
    <m/>
    <n v="4"/>
    <s v="Flagged"/>
    <n v="138"/>
    <m/>
    <x v="2"/>
    <x v="2"/>
    <n v="138"/>
    <n v="0"/>
    <n v="0"/>
  </r>
  <r>
    <s v="RefugeesSD15032"/>
    <x v="14"/>
    <x v="14"/>
    <x v="153"/>
    <x v="154"/>
    <m/>
    <m/>
    <x v="515"/>
    <x v="3"/>
    <n v="0"/>
    <n v="0"/>
    <n v="14"/>
    <n v="7"/>
    <n v="1"/>
    <n v="14"/>
    <n v="0"/>
    <n v="7"/>
    <n v="0.126"/>
    <n v="1.1900000000000002"/>
    <n v="0"/>
    <n v="14"/>
    <n v="0"/>
    <n v="0"/>
    <n v="1"/>
    <n v="0.5"/>
    <n v="7.1428571428571425E-2"/>
    <n v="1"/>
    <n v="0"/>
    <n v="0.5"/>
    <n v="0"/>
    <n v="0.1"/>
    <n v="0"/>
    <n v="1"/>
    <n v="14"/>
    <s v="Food Security and Livlihoods_x000a_Protection"/>
    <n v="1"/>
    <s v="Flagged"/>
    <s v="Flagged"/>
    <s v=""/>
    <n v="7"/>
    <s v="Health _x000a_WASH"/>
    <n v="0.5"/>
    <n v="7"/>
    <n v="1"/>
    <s v="Flagged"/>
    <n v="1"/>
    <s v="Nutrition"/>
    <n v="7.1428571428571425E-2"/>
    <n v="13"/>
    <n v="13"/>
    <s v="Flagged"/>
    <s v=""/>
    <s v=""/>
    <n v="14"/>
    <m/>
    <m/>
    <n v="4"/>
    <s v="Flagged"/>
    <n v="14"/>
    <m/>
    <x v="2"/>
    <x v="2"/>
    <n v="14"/>
    <n v="0"/>
    <n v="0"/>
  </r>
  <r>
    <s v="RefugeesSD15033"/>
    <x v="14"/>
    <x v="14"/>
    <x v="154"/>
    <x v="155"/>
    <m/>
    <m/>
    <x v="516"/>
    <x v="3"/>
    <n v="0"/>
    <n v="0"/>
    <n v="166"/>
    <n v="81"/>
    <n v="14"/>
    <n v="166"/>
    <n v="0"/>
    <n v="78"/>
    <n v="1.494"/>
    <n v="14.110000000000001"/>
    <n v="0"/>
    <n v="166"/>
    <n v="0"/>
    <n v="0"/>
    <n v="1"/>
    <n v="0.48795180722891568"/>
    <n v="8.4337349397590355E-2"/>
    <n v="1"/>
    <n v="0"/>
    <n v="0.46987951807228917"/>
    <n v="0"/>
    <n v="0.1"/>
    <n v="0"/>
    <n v="1"/>
    <n v="166"/>
    <s v="Food Security and Livlihoods_x000a_Protection"/>
    <n v="1"/>
    <s v="Flagged"/>
    <s v="Flagged"/>
    <s v=""/>
    <n v="81"/>
    <s v="Health "/>
    <n v="0.48795180722891568"/>
    <n v="85"/>
    <n v="1.0493827160493827"/>
    <s v="Flagged"/>
    <n v="78"/>
    <s v="WASH"/>
    <n v="0.46987951807228917"/>
    <n v="88"/>
    <n v="1.1282051282051282"/>
    <s v="Flagged"/>
    <s v=""/>
    <s v=""/>
    <n v="166"/>
    <m/>
    <m/>
    <n v="4"/>
    <s v="Flagged"/>
    <n v="166"/>
    <m/>
    <x v="2"/>
    <x v="2"/>
    <n v="166"/>
    <n v="0"/>
    <n v="0"/>
  </r>
  <r>
    <s v="RefugeesSD15034"/>
    <x v="14"/>
    <x v="14"/>
    <x v="155"/>
    <x v="156"/>
    <m/>
    <m/>
    <x v="517"/>
    <x v="3"/>
    <n v="0"/>
    <n v="3496"/>
    <n v="19234"/>
    <n v="13271"/>
    <n v="1755"/>
    <n v="19234"/>
    <n v="7694"/>
    <n v="14056"/>
    <n v="173.10599999999999"/>
    <n v="1634.89"/>
    <n v="0"/>
    <n v="19234"/>
    <n v="0"/>
    <n v="0.18176146407403557"/>
    <n v="1"/>
    <n v="0.68997608401788502"/>
    <n v="9.1244670895289592E-2"/>
    <n v="1"/>
    <n v="0.40002079650618694"/>
    <n v="0.73078922740979513"/>
    <n v="0"/>
    <n v="0.1"/>
    <n v="0"/>
    <n v="1"/>
    <n v="19234"/>
    <s v="Food Security and Livlihoods_x000a_Protection"/>
    <n v="1"/>
    <s v=""/>
    <s v="Flagged"/>
    <s v=""/>
    <n v="14056"/>
    <s v="WASH"/>
    <n v="0.73078922740979513"/>
    <n v="5178"/>
    <n v="0.36838360842344908"/>
    <s v="Flagged"/>
    <n v="13271"/>
    <s v="Health "/>
    <n v="0.68997608401788502"/>
    <n v="5963"/>
    <n v="0.44932559716675458"/>
    <s v=""/>
    <s v=""/>
    <s v=""/>
    <n v="19234"/>
    <m/>
    <m/>
    <n v="2"/>
    <s v="Flagged"/>
    <n v="19234"/>
    <m/>
    <x v="2"/>
    <x v="2"/>
    <n v="19234"/>
    <n v="0"/>
    <n v="0"/>
  </r>
  <r>
    <s v="RefugeesSD15035"/>
    <x v="14"/>
    <x v="14"/>
    <x v="156"/>
    <x v="157"/>
    <m/>
    <m/>
    <x v="514"/>
    <x v="3"/>
    <n v="0"/>
    <n v="0"/>
    <n v="138"/>
    <n v="95"/>
    <n v="12"/>
    <n v="138"/>
    <n v="0"/>
    <n v="114"/>
    <n v="1.242"/>
    <n v="11.73"/>
    <n v="0"/>
    <n v="138"/>
    <n v="0"/>
    <n v="0"/>
    <n v="1"/>
    <n v="0.68840579710144922"/>
    <n v="8.6956521739130432E-2"/>
    <n v="1"/>
    <n v="0"/>
    <n v="0.82608695652173914"/>
    <n v="0"/>
    <n v="0.1"/>
    <n v="0"/>
    <n v="1"/>
    <n v="138"/>
    <s v="Food Security and Livlihoods_x000a_Protection"/>
    <n v="1"/>
    <s v="Flagged"/>
    <s v="Flagged"/>
    <s v=""/>
    <n v="114"/>
    <s v="WASH"/>
    <n v="0.82608695652173914"/>
    <n v="24"/>
    <n v="0.21052631578947367"/>
    <s v=""/>
    <n v="95"/>
    <s v="Health "/>
    <n v="0.68840579710144922"/>
    <n v="43"/>
    <n v="0.45263157894736844"/>
    <s v=""/>
    <s v=""/>
    <s v=""/>
    <n v="138"/>
    <m/>
    <m/>
    <n v="2"/>
    <s v="Flagged"/>
    <n v="138"/>
    <m/>
    <x v="0"/>
    <x v="0"/>
    <n v="0"/>
    <n v="138"/>
    <n v="0"/>
  </r>
  <r>
    <s v="RefugeesSD15036"/>
    <x v="14"/>
    <x v="14"/>
    <x v="157"/>
    <x v="158"/>
    <m/>
    <m/>
    <x v="511"/>
    <x v="3"/>
    <n v="0"/>
    <n v="28"/>
    <n v="28"/>
    <n v="19"/>
    <n v="2"/>
    <n v="28"/>
    <n v="0"/>
    <n v="19"/>
    <n v="0.252"/>
    <n v="2.3800000000000003"/>
    <n v="0"/>
    <n v="28"/>
    <n v="0"/>
    <n v="1"/>
    <n v="1"/>
    <n v="0.6785714285714286"/>
    <n v="7.1428571428571425E-2"/>
    <n v="1"/>
    <n v="0"/>
    <n v="0.6785714285714286"/>
    <n v="0"/>
    <n v="0.1"/>
    <n v="0"/>
    <n v="1"/>
    <n v="28"/>
    <s v="Education_x000a_Food Security and Livlihoods_x000a_Protection"/>
    <n v="1"/>
    <s v="Flagged"/>
    <s v="Flagged"/>
    <s v=""/>
    <n v="19"/>
    <s v="Health _x000a_WASH"/>
    <n v="0.6785714285714286"/>
    <n v="9"/>
    <n v="0.47368421052631576"/>
    <s v="Flagged"/>
    <n v="2"/>
    <s v="Nutrition"/>
    <n v="7.1428571428571425E-2"/>
    <n v="26"/>
    <n v="13"/>
    <s v="Flagged"/>
    <s v=""/>
    <s v=""/>
    <n v="28"/>
    <m/>
    <m/>
    <n v="4"/>
    <s v="Flagged"/>
    <n v="28"/>
    <m/>
    <x v="2"/>
    <x v="2"/>
    <n v="28"/>
    <n v="0"/>
    <n v="0"/>
  </r>
  <r>
    <s v="RefugeesSD15037"/>
    <x v="14"/>
    <x v="14"/>
    <x v="158"/>
    <x v="159"/>
    <m/>
    <m/>
    <x v="34"/>
    <x v="3"/>
    <n v="0"/>
    <n v="0"/>
    <n v="0"/>
    <n v="0"/>
    <n v="0"/>
    <n v="0"/>
    <n v="0"/>
    <n v="0"/>
    <n v="0"/>
    <n v="0"/>
    <n v="0"/>
    <n v="0"/>
    <e v="#DIV/0!"/>
    <e v="#DIV/0!"/>
    <e v="#DIV/0!"/>
    <e v="#DIV/0!"/>
    <e v="#DIV/0!"/>
    <e v="#DIV/0!"/>
    <e v="#DIV/0!"/>
    <e v="#DIV/0!"/>
    <s v=""/>
    <s v=""/>
    <s v=""/>
    <s v=""/>
    <n v="0"/>
    <s v="Site Management _x000a_Education_x000a_Food Security and Livlihoods_x000a_Health _x000a_Nutrition_x000a_Protection_x000a_Shelter NFI _x000a_WASH"/>
    <e v="#DIV/0!"/>
    <s v=""/>
    <s v=""/>
    <s v=""/>
    <s v="NA"/>
    <s v=""/>
    <s v=""/>
    <s v=""/>
    <s v=""/>
    <s v=""/>
    <n v="0"/>
    <s v="Site Management _x000a_Education_x000a_Food Security and Livlihoods_x000a_Health _x000a_Nutrition_x000a_Protection_x000a_Shelter NFI _x000a_WASH"/>
    <s v=""/>
    <n v="0"/>
    <s v=""/>
    <s v=""/>
    <s v=""/>
    <s v=""/>
    <n v="0"/>
    <m/>
    <m/>
    <n v="0"/>
    <s v=""/>
    <n v="0"/>
    <m/>
    <x v="2"/>
    <x v="2"/>
    <n v="0"/>
    <n v="0"/>
    <n v="0"/>
  </r>
  <r>
    <s v="RefugeesSD16008"/>
    <x v="15"/>
    <x v="15"/>
    <x v="159"/>
    <x v="160"/>
    <m/>
    <m/>
    <x v="34"/>
    <x v="3"/>
    <n v="0"/>
    <n v="0"/>
    <n v="0"/>
    <n v="0"/>
    <n v="0"/>
    <n v="0"/>
    <n v="0"/>
    <n v="0"/>
    <n v="0"/>
    <n v="0"/>
    <n v="0"/>
    <n v="0"/>
    <e v="#DIV/0!"/>
    <e v="#DIV/0!"/>
    <e v="#DIV/0!"/>
    <e v="#DIV/0!"/>
    <e v="#DIV/0!"/>
    <e v="#DIV/0!"/>
    <e v="#DIV/0!"/>
    <e v="#DIV/0!"/>
    <s v=""/>
    <s v=""/>
    <s v=""/>
    <s v=""/>
    <n v="0"/>
    <s v="Site Management _x000a_Education_x000a_Food Security and Livlihoods_x000a_Health _x000a_Nutrition_x000a_Protection_x000a_Shelter NFI _x000a_WASH"/>
    <e v="#DIV/0!"/>
    <s v=""/>
    <s v=""/>
    <s v=""/>
    <s v="NA"/>
    <s v=""/>
    <s v=""/>
    <s v=""/>
    <s v=""/>
    <s v=""/>
    <n v="0"/>
    <s v="Site Management _x000a_Education_x000a_Food Security and Livlihoods_x000a_Health _x000a_Nutrition_x000a_Protection_x000a_Shelter NFI _x000a_WASH"/>
    <s v=""/>
    <n v="0"/>
    <s v=""/>
    <s v=""/>
    <s v=""/>
    <s v=""/>
    <n v="0"/>
    <m/>
    <m/>
    <n v="0"/>
    <s v=""/>
    <n v="0"/>
    <m/>
    <x v="2"/>
    <x v="2"/>
    <n v="0"/>
    <n v="0"/>
    <n v="0"/>
  </r>
  <r>
    <s v="RefugeesSD16009"/>
    <x v="15"/>
    <x v="15"/>
    <x v="160"/>
    <x v="161"/>
    <m/>
    <m/>
    <x v="34"/>
    <x v="3"/>
    <n v="0"/>
    <n v="0"/>
    <n v="0"/>
    <n v="0"/>
    <n v="0"/>
    <n v="0"/>
    <n v="0"/>
    <n v="0"/>
    <n v="0"/>
    <n v="0"/>
    <n v="0"/>
    <n v="0"/>
    <e v="#DIV/0!"/>
    <e v="#DIV/0!"/>
    <e v="#DIV/0!"/>
    <e v="#DIV/0!"/>
    <e v="#DIV/0!"/>
    <e v="#DIV/0!"/>
    <e v="#DIV/0!"/>
    <e v="#DIV/0!"/>
    <s v=""/>
    <s v=""/>
    <s v=""/>
    <s v=""/>
    <n v="0"/>
    <s v="Site Management _x000a_Education_x000a_Food Security and Livlihoods_x000a_Health _x000a_Nutrition_x000a_Protection_x000a_Shelter NFI _x000a_WASH"/>
    <e v="#DIV/0!"/>
    <s v=""/>
    <s v=""/>
    <s v=""/>
    <s v="NA"/>
    <s v=""/>
    <s v=""/>
    <s v=""/>
    <s v=""/>
    <s v=""/>
    <n v="0"/>
    <s v="Site Management _x000a_Education_x000a_Food Security and Livlihoods_x000a_Health _x000a_Nutrition_x000a_Protection_x000a_Shelter NFI _x000a_WASH"/>
    <s v=""/>
    <n v="0"/>
    <s v=""/>
    <s v=""/>
    <s v=""/>
    <s v=""/>
    <n v="0"/>
    <m/>
    <m/>
    <n v="0"/>
    <s v=""/>
    <n v="0"/>
    <m/>
    <x v="2"/>
    <x v="2"/>
    <n v="0"/>
    <n v="0"/>
    <n v="0"/>
  </r>
  <r>
    <s v="RefugeesSD16010"/>
    <x v="15"/>
    <x v="15"/>
    <x v="161"/>
    <x v="162"/>
    <m/>
    <m/>
    <x v="518"/>
    <x v="3"/>
    <n v="0"/>
    <n v="252"/>
    <n v="1130"/>
    <n v="780"/>
    <n v="103"/>
    <n v="1130"/>
    <n v="0"/>
    <n v="1020"/>
    <n v="22.6"/>
    <n v="376.29"/>
    <n v="0"/>
    <n v="1130"/>
    <n v="0"/>
    <n v="0.22300884955752212"/>
    <n v="1"/>
    <n v="0.69026548672566368"/>
    <n v="9.1150442477876112E-2"/>
    <n v="1"/>
    <n v="0"/>
    <n v="0.90265486725663713"/>
    <n v="0"/>
    <n v="0.35000000000000003"/>
    <n v="0"/>
    <n v="1"/>
    <n v="1130"/>
    <s v="Food Security and Livlihoods_x000a_Protection"/>
    <n v="1"/>
    <s v="Flagged"/>
    <s v="Flagged"/>
    <s v=""/>
    <n v="1020"/>
    <s v="WASH"/>
    <n v="0.90265486725663713"/>
    <n v="110"/>
    <n v="0.10784313725490197"/>
    <s v=""/>
    <n v="780"/>
    <s v="Health "/>
    <n v="0.69026548672566368"/>
    <n v="350"/>
    <n v="0.44871794871794873"/>
    <s v=""/>
    <s v=""/>
    <s v=""/>
    <n v="1130"/>
    <m/>
    <m/>
    <n v="2"/>
    <s v="Flagged"/>
    <n v="1130"/>
    <m/>
    <x v="2"/>
    <x v="0"/>
    <n v="0"/>
    <n v="1130"/>
    <n v="0"/>
  </r>
  <r>
    <s v="RefugeesSD16011"/>
    <x v="15"/>
    <x v="15"/>
    <x v="162"/>
    <x v="163"/>
    <m/>
    <m/>
    <x v="34"/>
    <x v="3"/>
    <n v="0"/>
    <n v="0"/>
    <n v="0"/>
    <n v="0"/>
    <n v="0"/>
    <n v="0"/>
    <n v="0"/>
    <n v="0"/>
    <n v="0"/>
    <n v="0"/>
    <n v="0"/>
    <n v="0"/>
    <e v="#DIV/0!"/>
    <e v="#DIV/0!"/>
    <e v="#DIV/0!"/>
    <e v="#DIV/0!"/>
    <e v="#DIV/0!"/>
    <e v="#DIV/0!"/>
    <e v="#DIV/0!"/>
    <e v="#DIV/0!"/>
    <s v=""/>
    <s v=""/>
    <s v=""/>
    <s v=""/>
    <n v="0"/>
    <s v="Site Management _x000a_Education_x000a_Food Security and Livlihoods_x000a_Health _x000a_Nutrition_x000a_Protection_x000a_Shelter NFI _x000a_WASH"/>
    <e v="#DIV/0!"/>
    <s v=""/>
    <s v=""/>
    <s v=""/>
    <s v="NA"/>
    <s v=""/>
    <s v=""/>
    <s v=""/>
    <s v=""/>
    <s v=""/>
    <n v="0"/>
    <s v="Site Management _x000a_Education_x000a_Food Security and Livlihoods_x000a_Health _x000a_Nutrition_x000a_Protection_x000a_Shelter NFI _x000a_WASH"/>
    <s v=""/>
    <n v="0"/>
    <s v=""/>
    <s v=""/>
    <s v=""/>
    <s v=""/>
    <n v="0"/>
    <m/>
    <m/>
    <n v="0"/>
    <s v=""/>
    <n v="0"/>
    <m/>
    <x v="2"/>
    <x v="2"/>
    <n v="0"/>
    <n v="0"/>
    <n v="0"/>
  </r>
  <r>
    <s v="RefugeesSD16012"/>
    <x v="15"/>
    <x v="15"/>
    <x v="163"/>
    <x v="164"/>
    <m/>
    <m/>
    <x v="519"/>
    <x v="3"/>
    <n v="0"/>
    <n v="758"/>
    <n v="1506"/>
    <n v="1039"/>
    <n v="137"/>
    <n v="1506"/>
    <n v="0"/>
    <n v="550"/>
    <n v="30.12"/>
    <n v="234.93600000000001"/>
    <n v="0"/>
    <n v="1506"/>
    <n v="0"/>
    <n v="0.50332005312084993"/>
    <n v="1"/>
    <n v="0.68990703851261626"/>
    <n v="9.0969455511288183E-2"/>
    <n v="1"/>
    <n v="0"/>
    <n v="0.3652058432934927"/>
    <n v="0"/>
    <n v="0.15000000000000002"/>
    <n v="0"/>
    <n v="1"/>
    <n v="1506"/>
    <s v="Food Security and Livlihoods_x000a_Protection"/>
    <n v="1"/>
    <s v="Flagged"/>
    <s v="Flagged"/>
    <s v=""/>
    <n v="1039"/>
    <s v="Health "/>
    <n v="0.68990703851261626"/>
    <n v="467"/>
    <n v="0.44947064485081811"/>
    <s v="Flagged"/>
    <n v="758"/>
    <s v="Education"/>
    <n v="0.50332005312084993"/>
    <n v="748"/>
    <n v="0.98680738786279687"/>
    <s v="Flagged"/>
    <s v=""/>
    <s v=""/>
    <n v="1506"/>
    <m/>
    <m/>
    <n v="4"/>
    <s v="Flagged"/>
    <n v="1506"/>
    <m/>
    <x v="2"/>
    <x v="2"/>
    <n v="1506"/>
    <n v="0"/>
    <n v="0"/>
  </r>
  <r>
    <s v="RefugeesSD16013"/>
    <x v="15"/>
    <x v="15"/>
    <x v="164"/>
    <x v="165"/>
    <m/>
    <m/>
    <x v="518"/>
    <x v="3"/>
    <n v="0"/>
    <n v="0"/>
    <n v="1130"/>
    <n v="554"/>
    <n v="103"/>
    <n v="1130"/>
    <n v="0"/>
    <n v="445"/>
    <n v="22.6"/>
    <n v="176.28"/>
    <n v="0"/>
    <n v="1130"/>
    <n v="0"/>
    <n v="0"/>
    <n v="1"/>
    <n v="0.49026548672566372"/>
    <n v="9.1150442477876112E-2"/>
    <n v="1"/>
    <n v="0"/>
    <n v="0.39380530973451328"/>
    <n v="0"/>
    <n v="0.15000000000000002"/>
    <n v="0"/>
    <n v="1"/>
    <n v="1130"/>
    <s v="Food Security and Livlihoods_x000a_Protection"/>
    <n v="1"/>
    <s v="Flagged"/>
    <s v="Flagged"/>
    <s v=""/>
    <n v="554"/>
    <s v="Health "/>
    <n v="0.49026548672566372"/>
    <n v="576"/>
    <n v="1.03971119133574"/>
    <s v="Flagged"/>
    <n v="445"/>
    <s v="WASH"/>
    <n v="0.39380530973451328"/>
    <n v="685"/>
    <n v="1.5393258426966292"/>
    <s v="Flagged"/>
    <s v=""/>
    <s v="Flagged"/>
    <n v="1130"/>
    <m/>
    <m/>
    <n v="5"/>
    <s v="Flagged"/>
    <n v="1130"/>
    <m/>
    <x v="2"/>
    <x v="2"/>
    <n v="1130"/>
    <n v="0"/>
    <n v="0"/>
  </r>
  <r>
    <s v="RefugeesSD16014"/>
    <x v="15"/>
    <x v="15"/>
    <x v="165"/>
    <x v="166"/>
    <m/>
    <m/>
    <x v="34"/>
    <x v="3"/>
    <n v="0"/>
    <n v="0"/>
    <n v="0"/>
    <n v="0"/>
    <n v="0"/>
    <n v="0"/>
    <n v="0"/>
    <n v="0"/>
    <n v="0"/>
    <n v="0"/>
    <n v="0"/>
    <n v="0"/>
    <e v="#DIV/0!"/>
    <e v="#DIV/0!"/>
    <e v="#DIV/0!"/>
    <e v="#DIV/0!"/>
    <e v="#DIV/0!"/>
    <e v="#DIV/0!"/>
    <e v="#DIV/0!"/>
    <e v="#DIV/0!"/>
    <s v=""/>
    <s v=""/>
    <s v=""/>
    <s v=""/>
    <n v="0"/>
    <s v="Site Management _x000a_Education_x000a_Food Security and Livlihoods_x000a_Health _x000a_Nutrition_x000a_Protection_x000a_Shelter NFI _x000a_WASH"/>
    <e v="#DIV/0!"/>
    <s v=""/>
    <s v=""/>
    <s v=""/>
    <s v="NA"/>
    <s v=""/>
    <s v=""/>
    <s v=""/>
    <s v=""/>
    <s v=""/>
    <n v="0"/>
    <s v="Site Management _x000a_Education_x000a_Food Security and Livlihoods_x000a_Health _x000a_Nutrition_x000a_Protection_x000a_Shelter NFI _x000a_WASH"/>
    <s v=""/>
    <n v="0"/>
    <s v=""/>
    <s v=""/>
    <s v=""/>
    <s v=""/>
    <n v="0"/>
    <m/>
    <m/>
    <n v="0"/>
    <s v=""/>
    <n v="0"/>
    <m/>
    <x v="2"/>
    <x v="2"/>
    <n v="0"/>
    <n v="0"/>
    <n v="0"/>
  </r>
  <r>
    <s v="RefugeesSD17014"/>
    <x v="16"/>
    <x v="16"/>
    <x v="166"/>
    <x v="167"/>
    <m/>
    <m/>
    <x v="34"/>
    <x v="3"/>
    <n v="0"/>
    <n v="0"/>
    <n v="0"/>
    <n v="0"/>
    <n v="0"/>
    <n v="0"/>
    <n v="0"/>
    <n v="0"/>
    <n v="0"/>
    <n v="0"/>
    <n v="0"/>
    <n v="0"/>
    <e v="#DIV/0!"/>
    <e v="#DIV/0!"/>
    <e v="#DIV/0!"/>
    <e v="#DIV/0!"/>
    <e v="#DIV/0!"/>
    <e v="#DIV/0!"/>
    <e v="#DIV/0!"/>
    <e v="#DIV/0!"/>
    <s v=""/>
    <s v=""/>
    <s v=""/>
    <s v=""/>
    <n v="0"/>
    <s v="Site Management _x000a_Education_x000a_Food Security and Livlihoods_x000a_Health _x000a_Nutrition_x000a_Protection_x000a_Shelter NFI _x000a_WASH"/>
    <e v="#DIV/0!"/>
    <s v=""/>
    <s v=""/>
    <s v=""/>
    <s v="NA"/>
    <s v=""/>
    <s v=""/>
    <s v=""/>
    <s v=""/>
    <s v=""/>
    <n v="0"/>
    <s v="Site Management _x000a_Education_x000a_Food Security and Livlihoods_x000a_Health _x000a_Nutrition_x000a_Protection_x000a_Shelter NFI _x000a_WASH"/>
    <s v=""/>
    <n v="0"/>
    <s v=""/>
    <s v=""/>
    <s v=""/>
    <s v=""/>
    <n v="0"/>
    <m/>
    <m/>
    <n v="0"/>
    <s v=""/>
    <n v="0"/>
    <m/>
    <x v="2"/>
    <x v="2"/>
    <n v="0"/>
    <n v="0"/>
    <n v="0"/>
  </r>
  <r>
    <s v="RefugeesSD17015"/>
    <x v="16"/>
    <x v="16"/>
    <x v="167"/>
    <x v="168"/>
    <m/>
    <m/>
    <x v="34"/>
    <x v="3"/>
    <n v="0"/>
    <n v="0"/>
    <n v="0"/>
    <n v="0"/>
    <n v="0"/>
    <n v="0"/>
    <n v="0"/>
    <n v="0"/>
    <n v="0"/>
    <n v="0"/>
    <n v="0"/>
    <n v="0"/>
    <e v="#DIV/0!"/>
    <e v="#DIV/0!"/>
    <e v="#DIV/0!"/>
    <e v="#DIV/0!"/>
    <e v="#DIV/0!"/>
    <e v="#DIV/0!"/>
    <e v="#DIV/0!"/>
    <e v="#DIV/0!"/>
    <s v=""/>
    <s v=""/>
    <s v=""/>
    <s v=""/>
    <n v="0"/>
    <s v="Site Management _x000a_Education_x000a_Food Security and Livlihoods_x000a_Health _x000a_Nutrition_x000a_Protection_x000a_Shelter NFI _x000a_WASH"/>
    <e v="#DIV/0!"/>
    <s v=""/>
    <s v=""/>
    <s v=""/>
    <s v="NA"/>
    <s v=""/>
    <s v=""/>
    <s v=""/>
    <s v=""/>
    <s v=""/>
    <n v="0"/>
    <s v="Site Management _x000a_Education_x000a_Food Security and Livlihoods_x000a_Health _x000a_Nutrition_x000a_Protection_x000a_Shelter NFI _x000a_WASH"/>
    <s v=""/>
    <n v="0"/>
    <s v=""/>
    <s v=""/>
    <s v=""/>
    <s v=""/>
    <n v="0"/>
    <m/>
    <m/>
    <n v="0"/>
    <s v=""/>
    <n v="0"/>
    <m/>
    <x v="2"/>
    <x v="2"/>
    <n v="0"/>
    <n v="0"/>
    <n v="0"/>
  </r>
  <r>
    <s v="RefugeesSD17016"/>
    <x v="16"/>
    <x v="16"/>
    <x v="168"/>
    <x v="169"/>
    <m/>
    <m/>
    <x v="34"/>
    <x v="3"/>
    <n v="0"/>
    <n v="0"/>
    <n v="0"/>
    <n v="0"/>
    <n v="0"/>
    <n v="0"/>
    <n v="0"/>
    <n v="0"/>
    <n v="0"/>
    <n v="0"/>
    <n v="0"/>
    <n v="0"/>
    <e v="#DIV/0!"/>
    <e v="#DIV/0!"/>
    <e v="#DIV/0!"/>
    <e v="#DIV/0!"/>
    <e v="#DIV/0!"/>
    <e v="#DIV/0!"/>
    <e v="#DIV/0!"/>
    <e v="#DIV/0!"/>
    <s v=""/>
    <s v=""/>
    <s v=""/>
    <s v=""/>
    <n v="0"/>
    <s v="Site Management _x000a_Education_x000a_Food Security and Livlihoods_x000a_Health _x000a_Nutrition_x000a_Protection_x000a_Shelter NFI _x000a_WASH"/>
    <e v="#DIV/0!"/>
    <s v=""/>
    <s v=""/>
    <s v=""/>
    <s v="NA"/>
    <s v=""/>
    <s v=""/>
    <s v=""/>
    <s v=""/>
    <s v=""/>
    <n v="0"/>
    <s v="Site Management _x000a_Education_x000a_Food Security and Livlihoods_x000a_Health _x000a_Nutrition_x000a_Protection_x000a_Shelter NFI _x000a_WASH"/>
    <s v=""/>
    <n v="0"/>
    <s v=""/>
    <s v=""/>
    <s v=""/>
    <s v=""/>
    <n v="0"/>
    <m/>
    <m/>
    <n v="0"/>
    <s v=""/>
    <n v="0"/>
    <m/>
    <x v="2"/>
    <x v="2"/>
    <n v="0"/>
    <n v="0"/>
    <n v="0"/>
  </r>
  <r>
    <s v="RefugeesSD17017"/>
    <x v="16"/>
    <x v="16"/>
    <x v="169"/>
    <x v="170"/>
    <m/>
    <m/>
    <x v="520"/>
    <x v="3"/>
    <n v="0"/>
    <n v="440"/>
    <n v="844"/>
    <n v="582"/>
    <n v="76"/>
    <n v="844"/>
    <n v="0"/>
    <n v="196"/>
    <n v="127.444"/>
    <n v="374.73599999999999"/>
    <n v="0"/>
    <n v="844"/>
    <n v="0"/>
    <n v="0.52132701421800953"/>
    <n v="1"/>
    <n v="0.68957345971563977"/>
    <n v="9.004739336492891E-2"/>
    <n v="1"/>
    <n v="0"/>
    <n v="0.23222748815165878"/>
    <n v="0.15000000000000002"/>
    <n v="0.45"/>
    <n v="0"/>
    <n v="1"/>
    <n v="844"/>
    <s v="Food Security and Livlihoods_x000a_Protection"/>
    <n v="1"/>
    <s v="Flagged"/>
    <s v="Flagged"/>
    <s v=""/>
    <n v="582"/>
    <s v="Health "/>
    <n v="0.68957345971563977"/>
    <n v="262"/>
    <n v="0.45017182130584193"/>
    <s v="Flagged"/>
    <n v="440"/>
    <s v="Education"/>
    <n v="0.52132701421800953"/>
    <n v="404"/>
    <n v="0.91818181818181821"/>
    <s v="Flagged"/>
    <s v=""/>
    <s v="Flagged"/>
    <n v="844"/>
    <m/>
    <m/>
    <n v="5"/>
    <s v="Flagged"/>
    <n v="844"/>
    <m/>
    <x v="2"/>
    <x v="2"/>
    <n v="844"/>
    <n v="0"/>
    <n v="0"/>
  </r>
  <r>
    <s v="RefugeesSD17018"/>
    <x v="16"/>
    <x v="16"/>
    <x v="170"/>
    <x v="171"/>
    <m/>
    <m/>
    <x v="34"/>
    <x v="3"/>
    <n v="0"/>
    <n v="0"/>
    <n v="0"/>
    <n v="0"/>
    <n v="0"/>
    <n v="0"/>
    <n v="0"/>
    <n v="0"/>
    <n v="0"/>
    <n v="0"/>
    <n v="0"/>
    <n v="0"/>
    <e v="#DIV/0!"/>
    <e v="#DIV/0!"/>
    <e v="#DIV/0!"/>
    <e v="#DIV/0!"/>
    <e v="#DIV/0!"/>
    <e v="#DIV/0!"/>
    <e v="#DIV/0!"/>
    <e v="#DIV/0!"/>
    <s v=""/>
    <s v=""/>
    <s v=""/>
    <s v=""/>
    <n v="0"/>
    <s v="Site Management _x000a_Education_x000a_Food Security and Livlihoods_x000a_Health _x000a_Nutrition_x000a_Protection_x000a_Shelter NFI _x000a_WASH"/>
    <e v="#DIV/0!"/>
    <s v=""/>
    <s v=""/>
    <s v=""/>
    <s v="NA"/>
    <s v=""/>
    <s v=""/>
    <s v=""/>
    <s v=""/>
    <s v=""/>
    <n v="0"/>
    <s v="Site Management _x000a_Education_x000a_Food Security and Livlihoods_x000a_Health _x000a_Nutrition_x000a_Protection_x000a_Shelter NFI _x000a_WASH"/>
    <s v=""/>
    <n v="0"/>
    <s v=""/>
    <s v=""/>
    <s v=""/>
    <s v=""/>
    <n v="0"/>
    <m/>
    <m/>
    <n v="0"/>
    <s v=""/>
    <n v="0"/>
    <m/>
    <x v="2"/>
    <x v="2"/>
    <n v="0"/>
    <n v="0"/>
    <n v="0"/>
  </r>
  <r>
    <s v="RefugeesSD17019"/>
    <x v="16"/>
    <x v="16"/>
    <x v="171"/>
    <x v="172"/>
    <m/>
    <m/>
    <x v="521"/>
    <x v="3"/>
    <n v="0"/>
    <n v="88"/>
    <n v="220"/>
    <n v="108"/>
    <n v="20"/>
    <n v="220"/>
    <n v="0"/>
    <n v="6"/>
    <n v="33.22"/>
    <n v="97.68"/>
    <n v="0"/>
    <n v="220"/>
    <n v="0"/>
    <n v="0.4"/>
    <n v="1"/>
    <n v="0.49090909090909091"/>
    <n v="9.0909090909090912E-2"/>
    <n v="1"/>
    <n v="0"/>
    <n v="2.7272727272727271E-2"/>
    <n v="0.15000000000000002"/>
    <n v="0.45"/>
    <n v="0"/>
    <n v="1"/>
    <n v="220"/>
    <s v="Food Security and Livlihoods_x000a_Protection"/>
    <n v="1"/>
    <s v="Flagged"/>
    <s v="Flagged"/>
    <s v=""/>
    <n v="108"/>
    <s v="Health "/>
    <n v="0.49090909090909091"/>
    <n v="112"/>
    <n v="1.037037037037037"/>
    <s v="Flagged"/>
    <n v="88"/>
    <s v="Education"/>
    <n v="0.4"/>
    <n v="132"/>
    <n v="1.5"/>
    <s v="Flagged"/>
    <s v=""/>
    <s v=""/>
    <n v="220"/>
    <m/>
    <m/>
    <n v="4"/>
    <s v="Flagged"/>
    <n v="220"/>
    <m/>
    <x v="2"/>
    <x v="2"/>
    <n v="220"/>
    <n v="0"/>
    <n v="0"/>
  </r>
  <r>
    <s v="RefugeesSD17020"/>
    <x v="16"/>
    <x v="16"/>
    <x v="172"/>
    <x v="173"/>
    <m/>
    <m/>
    <x v="522"/>
    <x v="3"/>
    <n v="0"/>
    <n v="3"/>
    <n v="44"/>
    <n v="22"/>
    <n v="4"/>
    <n v="44"/>
    <n v="0"/>
    <n v="11"/>
    <n v="6.6440000000000001"/>
    <n v="19.536000000000001"/>
    <n v="0"/>
    <n v="44"/>
    <n v="0"/>
    <n v="6.8181818181818177E-2"/>
    <n v="1"/>
    <n v="0.5"/>
    <n v="9.0909090909090912E-2"/>
    <n v="1"/>
    <n v="0"/>
    <n v="0.25"/>
    <n v="0.15000000000000002"/>
    <n v="0.45"/>
    <n v="0"/>
    <n v="1"/>
    <n v="44"/>
    <s v="Food Security and Livlihoods_x000a_Protection"/>
    <n v="1"/>
    <s v="Flagged"/>
    <s v="Flagged"/>
    <s v=""/>
    <n v="22"/>
    <s v="Health "/>
    <n v="0.5"/>
    <n v="22"/>
    <n v="1"/>
    <s v="Flagged"/>
    <n v="11"/>
    <s v="WASH"/>
    <n v="0.25"/>
    <n v="33"/>
    <n v="3"/>
    <s v="Flagged"/>
    <s v=""/>
    <s v=""/>
    <n v="44"/>
    <m/>
    <m/>
    <n v="4"/>
    <s v="Flagged"/>
    <n v="44"/>
    <m/>
    <x v="2"/>
    <x v="2"/>
    <n v="44"/>
    <n v="0"/>
    <n v="0"/>
  </r>
  <r>
    <s v="RefugeesSD18021"/>
    <x v="17"/>
    <x v="17"/>
    <x v="173"/>
    <x v="174"/>
    <m/>
    <m/>
    <x v="523"/>
    <x v="3"/>
    <n v="0"/>
    <n v="2544"/>
    <n v="7917"/>
    <n v="3879"/>
    <n v="723"/>
    <n v="7917"/>
    <n v="3167"/>
    <n v="7626"/>
    <n v="2082.1710000000003"/>
    <n v="4069.3380000000002"/>
    <n v="0"/>
    <n v="7917"/>
    <n v="0"/>
    <n v="0.32133383857521791"/>
    <n v="1"/>
    <n v="0.48995831754452446"/>
    <n v="9.1322470632815456E-2"/>
    <n v="1"/>
    <n v="0.40002526209422762"/>
    <n v="0.9632436528988253"/>
    <n v="0.25"/>
    <n v="0.5"/>
    <n v="0"/>
    <n v="1"/>
    <n v="7917"/>
    <s v="Food Security and Livlihoods_x000a_Protection"/>
    <n v="1"/>
    <s v=""/>
    <s v="Flagged"/>
    <s v=""/>
    <n v="7626"/>
    <s v="WASH"/>
    <n v="0.9632436528988253"/>
    <n v="291"/>
    <n v="3.8158929976396541E-2"/>
    <s v=""/>
    <n v="3879"/>
    <s v="Health "/>
    <n v="0.48995831754452446"/>
    <n v="4038"/>
    <n v="1.0409899458623357"/>
    <s v="Flagged"/>
    <s v=""/>
    <s v=""/>
    <n v="7917"/>
    <m/>
    <m/>
    <n v="2"/>
    <s v="Flagged"/>
    <n v="7917"/>
    <m/>
    <x v="1"/>
    <x v="2"/>
    <n v="7917"/>
    <n v="0"/>
    <n v="0"/>
  </r>
  <r>
    <s v="RefugeesSD18022"/>
    <x v="17"/>
    <x v="17"/>
    <x v="174"/>
    <x v="175"/>
    <m/>
    <m/>
    <x v="34"/>
    <x v="3"/>
    <n v="0"/>
    <n v="0"/>
    <n v="0"/>
    <n v="0"/>
    <n v="0"/>
    <n v="0"/>
    <n v="0"/>
    <n v="0"/>
    <n v="0"/>
    <n v="0"/>
    <n v="0"/>
    <n v="0"/>
    <e v="#DIV/0!"/>
    <e v="#DIV/0!"/>
    <e v="#DIV/0!"/>
    <e v="#DIV/0!"/>
    <e v="#DIV/0!"/>
    <e v="#DIV/0!"/>
    <e v="#DIV/0!"/>
    <e v="#DIV/0!"/>
    <s v=""/>
    <s v=""/>
    <s v=""/>
    <s v=""/>
    <n v="0"/>
    <s v="Site Management _x000a_Education_x000a_Food Security and Livlihoods_x000a_Health _x000a_Nutrition_x000a_Protection_x000a_Shelter NFI _x000a_WASH"/>
    <e v="#DIV/0!"/>
    <s v=""/>
    <s v=""/>
    <s v=""/>
    <s v="NA"/>
    <s v=""/>
    <s v=""/>
    <s v=""/>
    <s v=""/>
    <s v=""/>
    <n v="0"/>
    <s v="Site Management _x000a_Education_x000a_Food Security and Livlihoods_x000a_Health _x000a_Nutrition_x000a_Protection_x000a_Shelter NFI _x000a_WASH"/>
    <s v=""/>
    <n v="0"/>
    <s v=""/>
    <s v=""/>
    <s v=""/>
    <s v=""/>
    <n v="0"/>
    <m/>
    <m/>
    <n v="0"/>
    <s v=""/>
    <n v="0"/>
    <m/>
    <x v="1"/>
    <x v="0"/>
    <n v="0"/>
    <n v="0"/>
    <n v="0"/>
  </r>
  <r>
    <s v="RefugeesSD18028"/>
    <x v="17"/>
    <x v="17"/>
    <x v="175"/>
    <x v="176"/>
    <m/>
    <m/>
    <x v="524"/>
    <x v="3"/>
    <n v="0"/>
    <n v="251"/>
    <n v="609"/>
    <n v="420"/>
    <n v="56"/>
    <n v="609"/>
    <n v="244"/>
    <n v="335"/>
    <n v="53.591999999999999"/>
    <n v="98.049000000000007"/>
    <n v="0"/>
    <n v="609"/>
    <n v="0"/>
    <n v="0.41215106732348111"/>
    <n v="1"/>
    <n v="0.68965517241379315"/>
    <n v="9.1954022988505746E-2"/>
    <n v="1"/>
    <n v="0.40065681444991791"/>
    <n v="0.55008210180623973"/>
    <n v="0.1"/>
    <n v="0.15000000000000002"/>
    <n v="0"/>
    <n v="1"/>
    <n v="609"/>
    <s v="Food Security and Livlihoods_x000a_Protection"/>
    <n v="1"/>
    <s v=""/>
    <s v="Flagged"/>
    <s v=""/>
    <n v="420"/>
    <s v="Health "/>
    <n v="0.68965517241379315"/>
    <n v="189"/>
    <n v="0.45"/>
    <s v="Flagged"/>
    <n v="335"/>
    <s v="WASH"/>
    <n v="0.55008210180623973"/>
    <n v="274"/>
    <n v="0.81791044776119404"/>
    <s v="Flagged"/>
    <s v=""/>
    <s v=""/>
    <n v="609"/>
    <m/>
    <m/>
    <n v="3"/>
    <s v="Flagged"/>
    <n v="609"/>
    <m/>
    <x v="1"/>
    <x v="0"/>
    <n v="0"/>
    <n v="609"/>
    <n v="0"/>
  </r>
  <r>
    <s v="RefugeesSD18029"/>
    <x v="17"/>
    <x v="17"/>
    <x v="176"/>
    <x v="177"/>
    <m/>
    <m/>
    <x v="525"/>
    <x v="3"/>
    <n v="0"/>
    <n v="1"/>
    <n v="4"/>
    <n v="2"/>
    <n v="0"/>
    <n v="4"/>
    <n v="0"/>
    <n v="3"/>
    <n v="0.54"/>
    <n v="2.08"/>
    <n v="0"/>
    <n v="4"/>
    <n v="0"/>
    <n v="0.25"/>
    <n v="1"/>
    <n v="0.5"/>
    <n v="0"/>
    <n v="1"/>
    <n v="0"/>
    <n v="0.75"/>
    <n v="0.15000000000000002"/>
    <n v="0.5"/>
    <n v="0"/>
    <n v="1"/>
    <n v="4"/>
    <s v="Food Security and Livlihoods_x000a_Protection"/>
    <n v="1"/>
    <s v="Flagged"/>
    <s v="Flagged"/>
    <s v=""/>
    <n v="3"/>
    <s v="WASH"/>
    <n v="0.75"/>
    <n v="1"/>
    <n v="0.33333333333333331"/>
    <s v="Flagged"/>
    <n v="2"/>
    <s v="Health "/>
    <n v="0.5"/>
    <n v="2"/>
    <n v="1"/>
    <s v="Flagged"/>
    <s v=""/>
    <s v=""/>
    <n v="4"/>
    <m/>
    <m/>
    <n v="4"/>
    <s v="Flagged"/>
    <n v="4"/>
    <m/>
    <x v="1"/>
    <x v="2"/>
    <n v="4"/>
    <n v="0"/>
    <n v="0"/>
  </r>
  <r>
    <s v="RefugeesSD18085"/>
    <x v="17"/>
    <x v="17"/>
    <x v="177"/>
    <x v="178"/>
    <m/>
    <m/>
    <x v="526"/>
    <x v="3"/>
    <n v="0"/>
    <n v="2880"/>
    <n v="8937"/>
    <n v="4379"/>
    <n v="816"/>
    <n v="8937"/>
    <n v="3575"/>
    <n v="3110"/>
    <n v="1206.4950000000001"/>
    <n v="4647.24"/>
    <n v="0"/>
    <n v="8937"/>
    <n v="0"/>
    <n v="0.32225579053373615"/>
    <n v="1"/>
    <n v="0.48998545373167729"/>
    <n v="9.130580731789191E-2"/>
    <n v="1"/>
    <n v="0.40002237887434261"/>
    <n v="0.34799149602774981"/>
    <n v="0.15000000000000002"/>
    <n v="0.5"/>
    <n v="0"/>
    <n v="1"/>
    <n v="8937"/>
    <s v="Food Security and Livlihoods_x000a_Protection"/>
    <n v="1"/>
    <s v=""/>
    <s v="Flagged"/>
    <s v=""/>
    <n v="4379"/>
    <s v="Health "/>
    <n v="0.48998545373167729"/>
    <n v="4558"/>
    <n v="1.0408769125371089"/>
    <s v="Flagged"/>
    <n v="3575"/>
    <s v="Shelter NFI "/>
    <n v="0.40002237887434261"/>
    <n v="5362"/>
    <n v="1.4998601398601399"/>
    <s v="Flagged"/>
    <s v=""/>
    <s v=""/>
    <n v="8937"/>
    <m/>
    <m/>
    <n v="3"/>
    <s v="Flagged"/>
    <n v="8937"/>
    <m/>
    <x v="1"/>
    <x v="0"/>
    <n v="0"/>
    <n v="8937"/>
    <n v="0"/>
  </r>
  <r>
    <s v="RefugeesSD18086"/>
    <x v="17"/>
    <x v="17"/>
    <x v="178"/>
    <x v="179"/>
    <m/>
    <m/>
    <x v="527"/>
    <x v="3"/>
    <n v="0"/>
    <n v="913"/>
    <n v="2683"/>
    <n v="1851"/>
    <n v="245"/>
    <n v="2683"/>
    <n v="1073"/>
    <n v="1439"/>
    <n v="724.41000000000008"/>
    <n v="1440.7710000000002"/>
    <n v="536.6"/>
    <n v="2683"/>
    <n v="0"/>
    <n v="0.34029071934401789"/>
    <n v="1"/>
    <n v="0.68989936638091687"/>
    <n v="9.1315691390234807E-2"/>
    <n v="1"/>
    <n v="0.39992545657845696"/>
    <n v="0.53633991800223635"/>
    <n v="0.25"/>
    <n v="0.55000000000000004"/>
    <n v="0.2"/>
    <n v="1"/>
    <n v="2683"/>
    <s v="Food Security and Livlihoods_x000a_Protection"/>
    <n v="1"/>
    <s v=""/>
    <s v="Flagged"/>
    <s v=""/>
    <n v="1851"/>
    <s v="Health "/>
    <n v="0.68989936638091687"/>
    <n v="832"/>
    <n v="0.44948676391139925"/>
    <s v="Flagged"/>
    <n v="1439"/>
    <s v="WASH"/>
    <n v="0.53633991800223635"/>
    <n v="1244"/>
    <n v="0.86448922863099376"/>
    <s v="Flagged"/>
    <s v=""/>
    <s v=""/>
    <n v="2683"/>
    <m/>
    <m/>
    <n v="3"/>
    <s v="Flagged"/>
    <n v="2683"/>
    <m/>
    <x v="1"/>
    <x v="2"/>
    <n v="2683"/>
    <n v="0"/>
    <n v="0"/>
  </r>
  <r>
    <s v="RefugeesSD18087"/>
    <x v="17"/>
    <x v="17"/>
    <x v="179"/>
    <x v="180"/>
    <m/>
    <m/>
    <x v="528"/>
    <x v="3"/>
    <n v="0"/>
    <n v="1334"/>
    <n v="3173"/>
    <n v="920"/>
    <n v="290"/>
    <n v="3173"/>
    <n v="1269"/>
    <n v="2707"/>
    <n v="1392.9470000000001"/>
    <n v="2176.6780000000003"/>
    <n v="0"/>
    <n v="3173"/>
    <n v="0"/>
    <n v="0.42042231326820045"/>
    <n v="1"/>
    <n v="0.28994642294358652"/>
    <n v="9.1396155058304437E-2"/>
    <n v="1"/>
    <n v="0.39993696816892532"/>
    <n v="0.85313583359596601"/>
    <n v="0.45"/>
    <n v="0.70000000000000007"/>
    <n v="0"/>
    <n v="1"/>
    <n v="3173"/>
    <s v="Food Security and Livlihoods_x000a_Protection"/>
    <n v="1"/>
    <s v=""/>
    <s v="Flagged"/>
    <s v=""/>
    <n v="2707"/>
    <s v="WASH"/>
    <n v="0.85313583359596601"/>
    <n v="466"/>
    <n v="0.17214628740302917"/>
    <s v=""/>
    <n v="1334"/>
    <s v="Education"/>
    <n v="0.42042231326820045"/>
    <n v="1839"/>
    <n v="1.3785607196401799"/>
    <s v="Flagged"/>
    <s v=""/>
    <s v=""/>
    <n v="3173"/>
    <m/>
    <m/>
    <n v="2"/>
    <s v="Flagged"/>
    <n v="3173"/>
    <m/>
    <x v="1"/>
    <x v="0"/>
    <n v="0"/>
    <n v="3173"/>
    <n v="0"/>
  </r>
  <r>
    <s v="RefugeesSD18092"/>
    <x v="17"/>
    <x v="17"/>
    <x v="180"/>
    <x v="181"/>
    <m/>
    <m/>
    <x v="34"/>
    <x v="3"/>
    <n v="0"/>
    <n v="0"/>
    <n v="0"/>
    <n v="0"/>
    <n v="0"/>
    <n v="0"/>
    <n v="0"/>
    <n v="0"/>
    <n v="0"/>
    <n v="0"/>
    <n v="0"/>
    <n v="0"/>
    <e v="#DIV/0!"/>
    <e v="#DIV/0!"/>
    <e v="#DIV/0!"/>
    <e v="#DIV/0!"/>
    <e v="#DIV/0!"/>
    <e v="#DIV/0!"/>
    <e v="#DIV/0!"/>
    <e v="#DIV/0!"/>
    <s v=""/>
    <s v=""/>
    <s v=""/>
    <s v=""/>
    <n v="0"/>
    <s v="Site Management _x000a_Education_x000a_Food Security and Livlihoods_x000a_Health _x000a_Nutrition_x000a_Protection_x000a_Shelter NFI _x000a_WASH"/>
    <e v="#DIV/0!"/>
    <s v=""/>
    <s v=""/>
    <s v=""/>
    <s v="NA"/>
    <s v=""/>
    <s v=""/>
    <s v=""/>
    <s v=""/>
    <s v=""/>
    <n v="0"/>
    <s v="Site Management _x000a_Education_x000a_Food Security and Livlihoods_x000a_Health _x000a_Nutrition_x000a_Protection_x000a_Shelter NFI _x000a_WASH"/>
    <s v=""/>
    <n v="0"/>
    <s v=""/>
    <s v=""/>
    <s v=""/>
    <s v=""/>
    <n v="0"/>
    <m/>
    <m/>
    <n v="0"/>
    <s v=""/>
    <n v="0"/>
    <m/>
    <x v="1"/>
    <x v="2"/>
    <n v="0"/>
    <n v="0"/>
    <n v="0"/>
  </r>
  <r>
    <s v="RefugeesSD18100"/>
    <x v="17"/>
    <x v="17"/>
    <x v="181"/>
    <x v="182"/>
    <m/>
    <m/>
    <x v="529"/>
    <x v="3"/>
    <n v="0"/>
    <n v="2291"/>
    <n v="6059"/>
    <n v="4181"/>
    <n v="553"/>
    <n v="6059"/>
    <n v="2424"/>
    <n v="5478"/>
    <n v="739.19799999999998"/>
    <n v="1799.5229999999999"/>
    <n v="0"/>
    <n v="6059"/>
    <n v="0"/>
    <n v="0.37811520052813996"/>
    <n v="1"/>
    <n v="0.69004786268361118"/>
    <n v="9.126918633437861E-2"/>
    <n v="1"/>
    <n v="0.40006601749463611"/>
    <n v="0.90410958904109584"/>
    <n v="0.1"/>
    <n v="0.30000000000000004"/>
    <n v="0"/>
    <n v="1"/>
    <n v="6059"/>
    <s v="Food Security and Livlihoods_x000a_Protection"/>
    <n v="1"/>
    <s v=""/>
    <s v="Flagged"/>
    <s v=""/>
    <n v="5478"/>
    <s v="WASH"/>
    <n v="0.90410958904109584"/>
    <n v="581"/>
    <n v="0.10606060606060606"/>
    <s v=""/>
    <n v="4181"/>
    <s v="Health "/>
    <n v="0.69004786268361118"/>
    <n v="1878"/>
    <n v="0.44917483855536955"/>
    <s v=""/>
    <s v=""/>
    <s v=""/>
    <n v="6059"/>
    <m/>
    <m/>
    <n v="1"/>
    <s v="Flagged"/>
    <n v="6059"/>
    <m/>
    <x v="1"/>
    <x v="2"/>
    <n v="6059"/>
    <n v="0"/>
    <n v="0"/>
  </r>
  <r>
    <s v="RefugeesSD18102"/>
    <x v="17"/>
    <x v="17"/>
    <x v="182"/>
    <x v="183"/>
    <m/>
    <m/>
    <x v="504"/>
    <x v="3"/>
    <n v="0"/>
    <n v="1"/>
    <n v="2"/>
    <n v="1"/>
    <n v="0"/>
    <n v="2"/>
    <n v="1"/>
    <n v="2"/>
    <n v="0.54800000000000004"/>
    <n v="0.84399999999999997"/>
    <n v="0.4"/>
    <n v="2"/>
    <n v="0"/>
    <n v="0.5"/>
    <n v="1"/>
    <n v="0.5"/>
    <n v="0"/>
    <n v="1"/>
    <n v="0.5"/>
    <n v="1"/>
    <n v="0.25"/>
    <n v="0.4"/>
    <n v="0.2"/>
    <n v="1"/>
    <n v="2"/>
    <s v="Food Security and Livlihoods_x000a_Protection_x000a_WASH"/>
    <n v="1"/>
    <s v="Flagged"/>
    <s v="Flagged"/>
    <s v=""/>
    <n v="1"/>
    <s v="Education_x000a_Health _x000a_Shelter NFI "/>
    <n v="0.5"/>
    <n v="1"/>
    <n v="1"/>
    <s v="Flagged"/>
    <n v="0"/>
    <s v="Site Management _x000a_Nutrition"/>
    <n v="0"/>
    <n v="2"/>
    <s v=""/>
    <s v=""/>
    <s v=""/>
    <s v="Flagged"/>
    <n v="2"/>
    <m/>
    <m/>
    <n v="4"/>
    <s v="Flagged"/>
    <n v="2"/>
    <m/>
    <x v="0"/>
    <x v="0"/>
    <n v="0"/>
    <n v="2"/>
    <n v="0"/>
  </r>
  <r>
    <s v="RefugeesSD18103"/>
    <x v="17"/>
    <x v="17"/>
    <x v="183"/>
    <x v="184"/>
    <m/>
    <m/>
    <x v="34"/>
    <x v="3"/>
    <n v="0"/>
    <n v="0"/>
    <n v="0"/>
    <n v="0"/>
    <n v="0"/>
    <n v="0"/>
    <n v="0"/>
    <n v="0"/>
    <n v="0"/>
    <n v="0"/>
    <n v="0"/>
    <n v="0"/>
    <e v="#DIV/0!"/>
    <e v="#DIV/0!"/>
    <e v="#DIV/0!"/>
    <e v="#DIV/0!"/>
    <e v="#DIV/0!"/>
    <e v="#DIV/0!"/>
    <e v="#DIV/0!"/>
    <e v="#DIV/0!"/>
    <s v=""/>
    <s v=""/>
    <s v=""/>
    <s v=""/>
    <n v="0"/>
    <s v="Site Management _x000a_Education_x000a_Food Security and Livlihoods_x000a_Health _x000a_Nutrition_x000a_Protection_x000a_Shelter NFI _x000a_WASH"/>
    <e v="#DIV/0!"/>
    <s v=""/>
    <s v=""/>
    <s v=""/>
    <s v="NA"/>
    <s v=""/>
    <s v=""/>
    <s v=""/>
    <s v=""/>
    <s v=""/>
    <n v="0"/>
    <s v="Site Management _x000a_Education_x000a_Food Security and Livlihoods_x000a_Health _x000a_Nutrition_x000a_Protection_x000a_Shelter NFI _x000a_WASH"/>
    <s v=""/>
    <n v="0"/>
    <s v=""/>
    <s v=""/>
    <s v=""/>
    <s v=""/>
    <n v="0"/>
    <m/>
    <m/>
    <n v="0"/>
    <s v=""/>
    <n v="0"/>
    <m/>
    <x v="1"/>
    <x v="2"/>
    <n v="0"/>
    <n v="0"/>
    <n v="0"/>
  </r>
  <r>
    <s v="RefugeesSD18104"/>
    <x v="17"/>
    <x v="17"/>
    <x v="184"/>
    <x v="185"/>
    <m/>
    <m/>
    <x v="530"/>
    <x v="3"/>
    <n v="0"/>
    <n v="1226"/>
    <n v="3477"/>
    <n v="1704"/>
    <n v="317"/>
    <n v="3477"/>
    <n v="1391"/>
    <n v="3242"/>
    <n v="952.69800000000009"/>
    <n v="1467.2939999999999"/>
    <n v="0"/>
    <n v="3477"/>
    <n v="0"/>
    <n v="0.3526028185217141"/>
    <n v="1"/>
    <n v="0.4900776531492666"/>
    <n v="9.117054932412999E-2"/>
    <n v="1"/>
    <n v="0.40005752085130858"/>
    <n v="0.93241299971239577"/>
    <n v="0.25"/>
    <n v="0.4"/>
    <n v="0"/>
    <n v="1"/>
    <n v="3477"/>
    <s v="Food Security and Livlihoods_x000a_Protection"/>
    <n v="1"/>
    <s v=""/>
    <s v="Flagged"/>
    <s v=""/>
    <n v="3242"/>
    <s v="WASH"/>
    <n v="0.93241299971239577"/>
    <n v="235"/>
    <n v="7.248611967921037E-2"/>
    <s v=""/>
    <n v="1704"/>
    <s v="Health "/>
    <n v="0.4900776531492666"/>
    <n v="1773"/>
    <n v="1.0404929577464788"/>
    <s v="Flagged"/>
    <s v=""/>
    <s v=""/>
    <n v="3477"/>
    <m/>
    <m/>
    <n v="2"/>
    <s v="Flagged"/>
    <n v="3477"/>
    <m/>
    <x v="0"/>
    <x v="2"/>
    <n v="3477"/>
    <n v="0"/>
    <n v="0"/>
  </r>
  <r>
    <s v="RefugeesSD18105"/>
    <x v="17"/>
    <x v="17"/>
    <x v="185"/>
    <x v="186"/>
    <m/>
    <m/>
    <x v="34"/>
    <x v="3"/>
    <n v="0"/>
    <n v="0"/>
    <n v="0"/>
    <n v="0"/>
    <n v="0"/>
    <n v="0"/>
    <n v="0"/>
    <n v="0"/>
    <n v="0"/>
    <n v="0"/>
    <n v="0"/>
    <n v="0"/>
    <e v="#DIV/0!"/>
    <e v="#DIV/0!"/>
    <e v="#DIV/0!"/>
    <e v="#DIV/0!"/>
    <e v="#DIV/0!"/>
    <e v="#DIV/0!"/>
    <e v="#DIV/0!"/>
    <e v="#DIV/0!"/>
    <s v=""/>
    <s v=""/>
    <s v=""/>
    <s v=""/>
    <n v="0"/>
    <s v="Site Management _x000a_Education_x000a_Food Security and Livlihoods_x000a_Health _x000a_Nutrition_x000a_Protection_x000a_Shelter NFI _x000a_WASH"/>
    <e v="#DIV/0!"/>
    <s v=""/>
    <s v=""/>
    <s v=""/>
    <s v="NA"/>
    <s v=""/>
    <s v=""/>
    <s v=""/>
    <s v=""/>
    <s v=""/>
    <n v="0"/>
    <s v="Site Management _x000a_Education_x000a_Food Security and Livlihoods_x000a_Health _x000a_Nutrition_x000a_Protection_x000a_Shelter NFI _x000a_WASH"/>
    <s v=""/>
    <n v="0"/>
    <s v=""/>
    <s v=""/>
    <s v=""/>
    <s v=""/>
    <n v="0"/>
    <m/>
    <m/>
    <n v="0"/>
    <s v=""/>
    <n v="0"/>
    <m/>
    <x v="1"/>
    <x v="2"/>
    <n v="0"/>
    <n v="0"/>
    <n v="0"/>
  </r>
  <r>
    <s v="RefugeesSD18106"/>
    <x v="17"/>
    <x v="17"/>
    <x v="186"/>
    <x v="187"/>
    <m/>
    <m/>
    <x v="531"/>
    <x v="3"/>
    <n v="0"/>
    <n v="5167"/>
    <n v="11719"/>
    <n v="3399"/>
    <n v="1070"/>
    <n v="11719"/>
    <n v="7031"/>
    <n v="11719"/>
    <n v="2906.3119999999999"/>
    <n v="6035.2849999999999"/>
    <n v="0"/>
    <n v="11719"/>
    <n v="0"/>
    <n v="0.44090792729755096"/>
    <n v="1"/>
    <n v="0.29004181244133459"/>
    <n v="9.1304718832664902E-2"/>
    <n v="1"/>
    <n v="0.59996586739482893"/>
    <n v="1"/>
    <n v="0.25"/>
    <n v="0.5"/>
    <n v="0"/>
    <n v="1"/>
    <n v="11719"/>
    <s v="Food Security and Livlihoods_x000a_Protection_x000a_WASH"/>
    <n v="1"/>
    <s v=""/>
    <s v="Flagged"/>
    <s v=""/>
    <n v="7031"/>
    <s v="Shelter NFI "/>
    <n v="0.59996586739482893"/>
    <n v="4688"/>
    <n v="0.66676148485279474"/>
    <s v="Flagged"/>
    <n v="5167"/>
    <s v="Education"/>
    <n v="0.44090792729755096"/>
    <n v="6552"/>
    <n v="1.2680472227598218"/>
    <s v="Flagged"/>
    <s v=""/>
    <s v=""/>
    <n v="11719"/>
    <m/>
    <m/>
    <n v="3"/>
    <s v="Flagged"/>
    <n v="11719"/>
    <m/>
    <x v="1"/>
    <x v="2"/>
    <n v="11719"/>
    <n v="0"/>
    <n v="0"/>
  </r>
  <r>
    <s v="RefugeesSD19101"/>
    <x v="18"/>
    <x v="18"/>
    <x v="187"/>
    <x v="188"/>
    <m/>
    <m/>
    <x v="34"/>
    <x v="3"/>
    <n v="0"/>
    <n v="0"/>
    <n v="0"/>
    <n v="0"/>
    <n v="0"/>
    <n v="0"/>
    <n v="0"/>
    <n v="0"/>
    <n v="0"/>
    <n v="0"/>
    <n v="0"/>
    <n v="0"/>
    <e v="#DIV/0!"/>
    <e v="#DIV/0!"/>
    <e v="#DIV/0!"/>
    <e v="#DIV/0!"/>
    <e v="#DIV/0!"/>
    <e v="#DIV/0!"/>
    <e v="#DIV/0!"/>
    <e v="#DIV/0!"/>
    <s v=""/>
    <s v=""/>
    <s v=""/>
    <s v=""/>
    <n v="0"/>
    <s v="Site Management _x000a_Education_x000a_Food Security and Livlihoods_x000a_Health _x000a_Nutrition_x000a_Protection_x000a_Shelter NFI _x000a_WASH"/>
    <e v="#DIV/0!"/>
    <s v=""/>
    <s v=""/>
    <s v=""/>
    <s v="NA"/>
    <s v=""/>
    <s v=""/>
    <s v=""/>
    <s v=""/>
    <s v=""/>
    <n v="0"/>
    <s v="Site Management _x000a_Education_x000a_Food Security and Livlihoods_x000a_Health _x000a_Nutrition_x000a_Protection_x000a_Shelter NFI _x000a_WASH"/>
    <s v=""/>
    <n v="0"/>
    <s v=""/>
    <s v=""/>
    <s v=""/>
    <s v=""/>
    <n v="0"/>
    <m/>
    <m/>
    <n v="0"/>
    <s v=""/>
    <n v="0"/>
    <m/>
    <x v="0"/>
    <x v="2"/>
    <n v="0"/>
    <n v="0"/>
    <n v="0"/>
  </r>
  <r>
    <s v="RefugeesSDTEMP"/>
    <x v="1"/>
    <x v="1"/>
    <x v="188"/>
    <x v="189"/>
    <m/>
    <m/>
    <x v="34"/>
    <x v="3"/>
    <n v="0"/>
    <n v="0"/>
    <n v="0"/>
    <n v="0"/>
    <n v="0"/>
    <n v="0"/>
    <n v="0"/>
    <n v="0"/>
    <n v="0"/>
    <n v="0"/>
    <n v="0"/>
    <n v="0"/>
    <e v="#DIV/0!"/>
    <e v="#DIV/0!"/>
    <e v="#DIV/0!"/>
    <e v="#DIV/0!"/>
    <e v="#DIV/0!"/>
    <e v="#DIV/0!"/>
    <e v="#DIV/0!"/>
    <e v="#DIV/0!"/>
    <s v=""/>
    <s v=""/>
    <s v=""/>
    <s v=""/>
    <n v="0"/>
    <s v="Site Management _x000a_Education_x000a_Food Security and Livlihoods_x000a_Health _x000a_Nutrition_x000a_Protection_x000a_Shelter NFI _x000a_WASH"/>
    <e v="#DIV/0!"/>
    <s v=""/>
    <s v=""/>
    <s v=""/>
    <s v="NA"/>
    <s v=""/>
    <s v=""/>
    <s v=""/>
    <s v=""/>
    <s v=""/>
    <n v="0"/>
    <s v="Site Management _x000a_Education_x000a_Food Security and Livlihoods_x000a_Health _x000a_Nutrition_x000a_Protection_x000a_Shelter NFI _x000a_WASH"/>
    <s v=""/>
    <n v="0"/>
    <s v=""/>
    <s v=""/>
    <s v=""/>
    <s v=""/>
    <n v="0"/>
    <m/>
    <m/>
    <n v="0"/>
    <s v=""/>
    <n v="0"/>
    <m/>
    <x v="3"/>
    <x v="3"/>
    <n v="0"/>
    <n v="0"/>
    <n v="0"/>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88">
  <r>
    <s v="SD01001"/>
    <x v="0"/>
    <s v="SD01"/>
    <s v="Jebel Awlia"/>
    <s v="SD01001"/>
    <m/>
    <m/>
    <m/>
    <m/>
    <m/>
    <m/>
    <n v="3"/>
    <m/>
    <m/>
    <m/>
    <m/>
    <m/>
    <s v=""/>
    <s v=""/>
    <n v="1"/>
    <s v=""/>
    <s v=""/>
    <n v="3"/>
    <s v=""/>
    <m/>
    <m/>
    <n v="0"/>
  </r>
  <r>
    <s v="SD01002"/>
    <x v="0"/>
    <s v="SD01"/>
    <s v="Um Bada"/>
    <s v="SD01002"/>
    <m/>
    <m/>
    <m/>
    <m/>
    <m/>
    <m/>
    <n v="4"/>
    <m/>
    <m/>
    <m/>
    <m/>
    <m/>
    <s v=""/>
    <s v=""/>
    <s v=""/>
    <n v="1"/>
    <s v=""/>
    <n v="4"/>
    <s v=""/>
    <m/>
    <m/>
    <n v="0"/>
  </r>
  <r>
    <s v="SD01003"/>
    <x v="0"/>
    <s v="SD01"/>
    <s v="Bahri"/>
    <s v="SD01003"/>
    <m/>
    <m/>
    <m/>
    <m/>
    <m/>
    <m/>
    <n v="4"/>
    <m/>
    <m/>
    <m/>
    <m/>
    <m/>
    <s v=""/>
    <s v=""/>
    <s v=""/>
    <n v="1"/>
    <s v=""/>
    <n v="4"/>
    <s v=""/>
    <m/>
    <m/>
    <n v="0"/>
  </r>
  <r>
    <s v="SD01004"/>
    <x v="0"/>
    <s v="SD01"/>
    <s v="Sharg An Neel"/>
    <s v="SD01004"/>
    <m/>
    <m/>
    <m/>
    <m/>
    <m/>
    <m/>
    <n v="4"/>
    <m/>
    <m/>
    <m/>
    <m/>
    <m/>
    <s v=""/>
    <s v=""/>
    <s v=""/>
    <n v="1"/>
    <s v=""/>
    <n v="4"/>
    <s v=""/>
    <m/>
    <m/>
    <n v="0"/>
  </r>
  <r>
    <s v="SD01005"/>
    <x v="0"/>
    <s v="SD01"/>
    <s v="Karrari"/>
    <s v="SD01005"/>
    <m/>
    <m/>
    <m/>
    <m/>
    <m/>
    <m/>
    <n v="3"/>
    <m/>
    <m/>
    <m/>
    <m/>
    <m/>
    <s v=""/>
    <s v=""/>
    <n v="1"/>
    <s v=""/>
    <s v=""/>
    <n v="3"/>
    <s v=""/>
    <m/>
    <m/>
    <n v="0"/>
  </r>
  <r>
    <s v="SD01006"/>
    <x v="0"/>
    <s v="SD01"/>
    <s v="Um Durman"/>
    <s v="SD01006"/>
    <m/>
    <m/>
    <m/>
    <m/>
    <m/>
    <m/>
    <n v="4"/>
    <m/>
    <m/>
    <m/>
    <m/>
    <m/>
    <s v=""/>
    <s v=""/>
    <s v=""/>
    <n v="1"/>
    <s v=""/>
    <n v="4"/>
    <s v=""/>
    <m/>
    <m/>
    <n v="0"/>
  </r>
  <r>
    <s v="SD01007"/>
    <x v="0"/>
    <s v="SD01"/>
    <s v="Khartoum"/>
    <s v="SD01007"/>
    <m/>
    <m/>
    <m/>
    <m/>
    <m/>
    <m/>
    <n v="4"/>
    <m/>
    <m/>
    <m/>
    <m/>
    <m/>
    <s v=""/>
    <s v=""/>
    <s v=""/>
    <n v="1"/>
    <s v=""/>
    <n v="4"/>
    <s v=""/>
    <m/>
    <m/>
    <n v="0"/>
  </r>
  <r>
    <s v="SD02113"/>
    <x v="1"/>
    <s v="SD02"/>
    <s v="Dar As Salam"/>
    <s v="SD02113"/>
    <m/>
    <m/>
    <m/>
    <m/>
    <m/>
    <m/>
    <n v="4"/>
    <m/>
    <m/>
    <m/>
    <m/>
    <m/>
    <s v=""/>
    <s v=""/>
    <s v=""/>
    <n v="1"/>
    <s v=""/>
    <n v="4"/>
    <s v=""/>
    <m/>
    <m/>
    <n v="0"/>
  </r>
  <r>
    <s v="SD02114"/>
    <x v="1"/>
    <s v="SD02"/>
    <s v="Al Fasher"/>
    <s v="SD02114"/>
    <m/>
    <m/>
    <m/>
    <m/>
    <m/>
    <m/>
    <n v="4"/>
    <m/>
    <m/>
    <m/>
    <m/>
    <m/>
    <s v=""/>
    <s v=""/>
    <s v=""/>
    <n v="1"/>
    <s v=""/>
    <n v="4"/>
    <s v=""/>
    <m/>
    <m/>
    <n v="0"/>
  </r>
  <r>
    <s v="SD02116"/>
    <x v="1"/>
    <s v="SD02"/>
    <s v="Al Koma"/>
    <s v="SD02116"/>
    <m/>
    <m/>
    <m/>
    <m/>
    <m/>
    <m/>
    <n v="4"/>
    <m/>
    <m/>
    <m/>
    <m/>
    <m/>
    <s v=""/>
    <s v=""/>
    <s v=""/>
    <n v="1"/>
    <s v=""/>
    <n v="4"/>
    <s v=""/>
    <m/>
    <m/>
    <n v="0"/>
  </r>
  <r>
    <s v="SD02117"/>
    <x v="1"/>
    <s v="SD02"/>
    <s v="Al Malha"/>
    <s v="SD02117"/>
    <m/>
    <m/>
    <m/>
    <m/>
    <m/>
    <m/>
    <n v="3"/>
    <m/>
    <m/>
    <m/>
    <m/>
    <m/>
    <s v=""/>
    <s v=""/>
    <n v="1"/>
    <s v=""/>
    <s v=""/>
    <n v="3"/>
    <s v=""/>
    <m/>
    <m/>
    <n v="0"/>
  </r>
  <r>
    <s v="SD02118"/>
    <x v="1"/>
    <s v="SD02"/>
    <s v="As Serief"/>
    <s v="SD02118"/>
    <m/>
    <m/>
    <m/>
    <m/>
    <m/>
    <m/>
    <n v="4"/>
    <m/>
    <m/>
    <m/>
    <m/>
    <m/>
    <s v=""/>
    <s v=""/>
    <s v=""/>
    <n v="1"/>
    <s v=""/>
    <n v="4"/>
    <s v=""/>
    <m/>
    <m/>
    <n v="0"/>
  </r>
  <r>
    <s v="SD02119"/>
    <x v="1"/>
    <s v="SD02"/>
    <s v="At Tawisha"/>
    <s v="SD02119"/>
    <m/>
    <m/>
    <m/>
    <m/>
    <m/>
    <m/>
    <n v="3"/>
    <m/>
    <m/>
    <m/>
    <m/>
    <m/>
    <s v=""/>
    <s v=""/>
    <n v="1"/>
    <s v=""/>
    <s v=""/>
    <n v="3"/>
    <s v=""/>
    <m/>
    <m/>
    <n v="0"/>
  </r>
  <r>
    <s v="SD02120"/>
    <x v="1"/>
    <s v="SD02"/>
    <s v="Um Baru"/>
    <s v="SD02120"/>
    <m/>
    <m/>
    <m/>
    <m/>
    <m/>
    <m/>
    <n v="2"/>
    <m/>
    <m/>
    <m/>
    <m/>
    <m/>
    <s v=""/>
    <n v="1"/>
    <s v=""/>
    <s v=""/>
    <s v=""/>
    <n v="2"/>
    <s v=""/>
    <m/>
    <m/>
    <n v="0"/>
  </r>
  <r>
    <s v="SD02124"/>
    <x v="1"/>
    <s v="SD02"/>
    <s v="Kebkabiya"/>
    <s v="SD02124"/>
    <m/>
    <m/>
    <m/>
    <m/>
    <m/>
    <m/>
    <n v="4"/>
    <m/>
    <m/>
    <m/>
    <m/>
    <m/>
    <s v=""/>
    <s v=""/>
    <s v=""/>
    <n v="1"/>
    <s v=""/>
    <n v="4"/>
    <s v=""/>
    <m/>
    <m/>
    <n v="0"/>
  </r>
  <r>
    <s v="SD02126"/>
    <x v="1"/>
    <s v="SD02"/>
    <s v="Kelemando"/>
    <s v="SD02126"/>
    <m/>
    <m/>
    <m/>
    <m/>
    <m/>
    <m/>
    <n v="2"/>
    <m/>
    <m/>
    <m/>
    <m/>
    <m/>
    <s v=""/>
    <n v="1"/>
    <s v=""/>
    <s v=""/>
    <s v=""/>
    <n v="2"/>
    <s v=""/>
    <m/>
    <m/>
    <n v="0"/>
  </r>
  <r>
    <s v="SD02128"/>
    <x v="1"/>
    <s v="SD02"/>
    <s v="Kutum"/>
    <s v="SD02128"/>
    <m/>
    <m/>
    <m/>
    <m/>
    <m/>
    <m/>
    <n v="4"/>
    <m/>
    <m/>
    <m/>
    <m/>
    <m/>
    <s v=""/>
    <s v=""/>
    <s v=""/>
    <n v="1"/>
    <s v=""/>
    <n v="4"/>
    <s v=""/>
    <m/>
    <m/>
    <n v="0"/>
  </r>
  <r>
    <s v="SD02129"/>
    <x v="1"/>
    <s v="SD02"/>
    <s v="Melit"/>
    <s v="SD02129"/>
    <m/>
    <m/>
    <m/>
    <m/>
    <m/>
    <m/>
    <n v="3"/>
    <m/>
    <m/>
    <m/>
    <m/>
    <m/>
    <s v=""/>
    <s v=""/>
    <n v="1"/>
    <s v=""/>
    <s v=""/>
    <n v="3"/>
    <s v=""/>
    <m/>
    <m/>
    <n v="0"/>
  </r>
  <r>
    <s v="SD02133"/>
    <x v="1"/>
    <s v="SD02"/>
    <s v="Saraf Omra"/>
    <s v="SD02133"/>
    <m/>
    <m/>
    <m/>
    <m/>
    <m/>
    <m/>
    <n v="4"/>
    <m/>
    <m/>
    <m/>
    <m/>
    <m/>
    <s v=""/>
    <s v=""/>
    <s v=""/>
    <n v="1"/>
    <s v=""/>
    <n v="4"/>
    <s v=""/>
    <m/>
    <m/>
    <n v="0"/>
  </r>
  <r>
    <s v="SD02136"/>
    <x v="1"/>
    <s v="SD02"/>
    <s v="Um Kadadah"/>
    <s v="SD02136"/>
    <m/>
    <m/>
    <m/>
    <m/>
    <m/>
    <m/>
    <n v="4"/>
    <m/>
    <m/>
    <m/>
    <m/>
    <m/>
    <s v=""/>
    <s v=""/>
    <s v=""/>
    <n v="1"/>
    <s v=""/>
    <n v="4"/>
    <s v=""/>
    <m/>
    <m/>
    <n v="0"/>
  </r>
  <r>
    <s v="SD02168"/>
    <x v="1"/>
    <s v="SD02"/>
    <s v="Kernoi"/>
    <s v="SD02168"/>
    <m/>
    <m/>
    <m/>
    <m/>
    <m/>
    <m/>
    <n v="3"/>
    <m/>
    <m/>
    <m/>
    <m/>
    <m/>
    <s v=""/>
    <s v=""/>
    <n v="1"/>
    <s v=""/>
    <s v=""/>
    <n v="3"/>
    <s v=""/>
    <m/>
    <m/>
    <n v="0"/>
  </r>
  <r>
    <s v="SD02169"/>
    <x v="1"/>
    <s v="SD02"/>
    <s v="Al Lait"/>
    <s v="SD02169"/>
    <m/>
    <m/>
    <m/>
    <m/>
    <m/>
    <m/>
    <n v="4"/>
    <m/>
    <m/>
    <m/>
    <m/>
    <m/>
    <s v=""/>
    <s v=""/>
    <s v=""/>
    <n v="1"/>
    <s v=""/>
    <n v="4"/>
    <s v=""/>
    <m/>
    <m/>
    <n v="0"/>
  </r>
  <r>
    <s v="SD02170"/>
    <x v="1"/>
    <s v="SD02"/>
    <s v="Tawila"/>
    <s v="SD02170"/>
    <m/>
    <m/>
    <m/>
    <m/>
    <m/>
    <m/>
    <n v="2"/>
    <m/>
    <m/>
    <m/>
    <m/>
    <m/>
    <s v=""/>
    <n v="1"/>
    <s v=""/>
    <s v=""/>
    <s v=""/>
    <n v="2"/>
    <s v=""/>
    <m/>
    <m/>
    <n v="0"/>
  </r>
  <r>
    <s v="SD02171"/>
    <x v="1"/>
    <s v="SD02"/>
    <s v="At Tina"/>
    <s v="SD02171"/>
    <m/>
    <m/>
    <m/>
    <m/>
    <m/>
    <m/>
    <n v="2"/>
    <m/>
    <m/>
    <m/>
    <m/>
    <m/>
    <s v=""/>
    <n v="1"/>
    <s v=""/>
    <s v=""/>
    <s v=""/>
    <n v="2"/>
    <s v=""/>
    <m/>
    <m/>
    <n v="0"/>
  </r>
  <r>
    <s v="SD03141"/>
    <x v="2"/>
    <s v="SD03"/>
    <s v="Al Radoum"/>
    <s v="SD03141"/>
    <m/>
    <m/>
    <m/>
    <m/>
    <m/>
    <m/>
    <n v="1"/>
    <m/>
    <m/>
    <m/>
    <m/>
    <m/>
    <n v="1"/>
    <s v=""/>
    <s v=""/>
    <s v=""/>
    <s v=""/>
    <n v="1"/>
    <s v=""/>
    <m/>
    <m/>
    <n v="0"/>
  </r>
  <r>
    <s v="SD03143"/>
    <x v="2"/>
    <s v="SD03"/>
    <s v="Ed Al Fursan"/>
    <s v="SD03143"/>
    <m/>
    <m/>
    <m/>
    <m/>
    <m/>
    <m/>
    <n v="3"/>
    <m/>
    <m/>
    <m/>
    <m/>
    <m/>
    <s v=""/>
    <s v=""/>
    <n v="1"/>
    <s v=""/>
    <s v=""/>
    <n v="3"/>
    <s v=""/>
    <m/>
    <m/>
    <n v="0"/>
  </r>
  <r>
    <s v="SD03144"/>
    <x v="2"/>
    <s v="SD03"/>
    <s v="Kas"/>
    <s v="SD03144"/>
    <m/>
    <m/>
    <m/>
    <m/>
    <m/>
    <m/>
    <n v="2"/>
    <m/>
    <m/>
    <m/>
    <m/>
    <m/>
    <s v=""/>
    <n v="1"/>
    <s v=""/>
    <s v=""/>
    <s v=""/>
    <n v="2"/>
    <s v=""/>
    <m/>
    <m/>
    <n v="0"/>
  </r>
  <r>
    <s v="SD03145"/>
    <x v="2"/>
    <s v="SD03"/>
    <s v="Mershing"/>
    <s v="SD03145"/>
    <m/>
    <m/>
    <m/>
    <m/>
    <m/>
    <m/>
    <n v="1"/>
    <m/>
    <m/>
    <m/>
    <m/>
    <m/>
    <n v="1"/>
    <s v=""/>
    <s v=""/>
    <s v=""/>
    <s v=""/>
    <n v="1"/>
    <s v=""/>
    <m/>
    <m/>
    <n v="0"/>
  </r>
  <r>
    <s v="SD03146"/>
    <x v="2"/>
    <s v="SD03"/>
    <s v="Um Dafoug"/>
    <s v="SD03146"/>
    <m/>
    <m/>
    <m/>
    <m/>
    <m/>
    <m/>
    <n v="3"/>
    <m/>
    <m/>
    <m/>
    <m/>
    <m/>
    <s v=""/>
    <s v=""/>
    <n v="1"/>
    <s v=""/>
    <s v=""/>
    <n v="3"/>
    <s v=""/>
    <m/>
    <m/>
    <n v="0"/>
  </r>
  <r>
    <s v="SD03147"/>
    <x v="2"/>
    <s v="SD03"/>
    <s v="Sharg Aj Jabal"/>
    <s v="SD03147"/>
    <m/>
    <m/>
    <m/>
    <m/>
    <m/>
    <m/>
    <n v="2"/>
    <m/>
    <m/>
    <m/>
    <m/>
    <m/>
    <s v=""/>
    <n v="1"/>
    <s v=""/>
    <s v=""/>
    <s v=""/>
    <n v="2"/>
    <s v=""/>
    <m/>
    <m/>
    <n v="0"/>
  </r>
  <r>
    <s v="SD03149"/>
    <x v="2"/>
    <s v="SD03"/>
    <s v="Tulus"/>
    <s v="SD03149"/>
    <m/>
    <m/>
    <m/>
    <m/>
    <m/>
    <m/>
    <n v="2"/>
    <m/>
    <m/>
    <m/>
    <m/>
    <m/>
    <s v=""/>
    <n v="1"/>
    <s v=""/>
    <s v=""/>
    <s v=""/>
    <n v="2"/>
    <s v=""/>
    <m/>
    <m/>
    <n v="0"/>
  </r>
  <r>
    <s v="SD03150"/>
    <x v="2"/>
    <s v="SD03"/>
    <s v="Al Wihda"/>
    <s v="SD03150"/>
    <m/>
    <m/>
    <m/>
    <m/>
    <m/>
    <m/>
    <n v="3"/>
    <m/>
    <m/>
    <m/>
    <m/>
    <m/>
    <s v=""/>
    <s v=""/>
    <n v="1"/>
    <s v=""/>
    <s v=""/>
    <n v="3"/>
    <s v=""/>
    <m/>
    <m/>
    <n v="0"/>
  </r>
  <r>
    <s v="SD03151"/>
    <x v="2"/>
    <s v="SD03"/>
    <s v="Nitega"/>
    <s v="SD03151"/>
    <m/>
    <m/>
    <m/>
    <m/>
    <m/>
    <m/>
    <n v="3"/>
    <m/>
    <m/>
    <m/>
    <m/>
    <m/>
    <s v=""/>
    <s v=""/>
    <n v="1"/>
    <s v=""/>
    <s v=""/>
    <n v="3"/>
    <s v=""/>
    <m/>
    <m/>
    <n v="0"/>
  </r>
  <r>
    <s v="SD03153"/>
    <x v="2"/>
    <s v="SD03"/>
    <s v="Gereida"/>
    <s v="SD03153"/>
    <m/>
    <m/>
    <m/>
    <m/>
    <m/>
    <m/>
    <n v="3"/>
    <m/>
    <m/>
    <m/>
    <m/>
    <m/>
    <s v=""/>
    <s v=""/>
    <n v="1"/>
    <s v=""/>
    <s v=""/>
    <n v="3"/>
    <s v=""/>
    <m/>
    <m/>
    <n v="0"/>
  </r>
  <r>
    <s v="SD03154"/>
    <x v="2"/>
    <s v="SD03"/>
    <s v="Shattaya"/>
    <s v="SD03154"/>
    <m/>
    <m/>
    <m/>
    <m/>
    <m/>
    <m/>
    <n v="2"/>
    <m/>
    <m/>
    <m/>
    <m/>
    <m/>
    <s v=""/>
    <n v="1"/>
    <s v=""/>
    <s v=""/>
    <s v=""/>
    <n v="2"/>
    <s v=""/>
    <m/>
    <m/>
    <n v="0"/>
  </r>
  <r>
    <s v="SD03156"/>
    <x v="2"/>
    <s v="SD03"/>
    <s v="As Sunta"/>
    <s v="SD03156"/>
    <m/>
    <m/>
    <m/>
    <m/>
    <m/>
    <m/>
    <n v="1"/>
    <m/>
    <m/>
    <m/>
    <m/>
    <m/>
    <n v="1"/>
    <s v=""/>
    <s v=""/>
    <s v=""/>
    <s v=""/>
    <n v="1"/>
    <s v=""/>
    <m/>
    <m/>
    <n v="0"/>
  </r>
  <r>
    <s v="SD03157"/>
    <x v="2"/>
    <s v="SD03"/>
    <s v="Kubum"/>
    <s v="SD03157"/>
    <m/>
    <m/>
    <m/>
    <m/>
    <m/>
    <m/>
    <n v="2"/>
    <m/>
    <m/>
    <m/>
    <m/>
    <m/>
    <s v=""/>
    <n v="1"/>
    <s v=""/>
    <s v=""/>
    <s v=""/>
    <n v="2"/>
    <s v=""/>
    <m/>
    <m/>
    <n v="0"/>
  </r>
  <r>
    <s v="SD03158"/>
    <x v="2"/>
    <s v="SD03"/>
    <s v="Rehaid Albirdi"/>
    <s v="SD03158"/>
    <m/>
    <m/>
    <m/>
    <m/>
    <m/>
    <m/>
    <n v="4"/>
    <m/>
    <m/>
    <m/>
    <m/>
    <m/>
    <s v=""/>
    <s v=""/>
    <s v=""/>
    <n v="1"/>
    <s v=""/>
    <n v="4"/>
    <s v=""/>
    <m/>
    <m/>
    <n v="0"/>
  </r>
  <r>
    <s v="SD03159"/>
    <x v="2"/>
    <s v="SD03"/>
    <s v="Kateila"/>
    <s v="SD03159"/>
    <m/>
    <m/>
    <m/>
    <m/>
    <m/>
    <m/>
    <n v="3"/>
    <m/>
    <m/>
    <m/>
    <m/>
    <m/>
    <s v=""/>
    <s v=""/>
    <n v="1"/>
    <s v=""/>
    <s v=""/>
    <n v="3"/>
    <s v=""/>
    <m/>
    <m/>
    <n v="0"/>
  </r>
  <r>
    <s v="SD03161"/>
    <x v="2"/>
    <s v="SD03"/>
    <s v="Buram"/>
    <s v="SD03161"/>
    <m/>
    <m/>
    <m/>
    <m/>
    <m/>
    <m/>
    <n v="3"/>
    <m/>
    <m/>
    <m/>
    <m/>
    <m/>
    <s v=""/>
    <s v=""/>
    <n v="1"/>
    <s v=""/>
    <s v=""/>
    <n v="3"/>
    <s v=""/>
    <m/>
    <m/>
    <n v="0"/>
  </r>
  <r>
    <s v="SD03162"/>
    <x v="2"/>
    <s v="SD03"/>
    <s v="Beliel"/>
    <s v="SD03162"/>
    <m/>
    <m/>
    <m/>
    <m/>
    <m/>
    <m/>
    <n v="4"/>
    <m/>
    <m/>
    <m/>
    <m/>
    <m/>
    <s v=""/>
    <s v=""/>
    <s v=""/>
    <n v="1"/>
    <s v=""/>
    <n v="4"/>
    <s v=""/>
    <m/>
    <m/>
    <n v="0"/>
  </r>
  <r>
    <s v="SD03164"/>
    <x v="2"/>
    <s v="SD03"/>
    <s v="Nyala Shimal"/>
    <s v="SD03164"/>
    <m/>
    <m/>
    <m/>
    <m/>
    <m/>
    <m/>
    <n v="4"/>
    <m/>
    <m/>
    <m/>
    <m/>
    <m/>
    <s v=""/>
    <s v=""/>
    <s v=""/>
    <n v="1"/>
    <s v=""/>
    <n v="4"/>
    <s v=""/>
    <m/>
    <m/>
    <n v="0"/>
  </r>
  <r>
    <s v="SD03166"/>
    <x v="2"/>
    <s v="SD03"/>
    <s v="As Salam - SD"/>
    <s v="SD03166"/>
    <m/>
    <m/>
    <m/>
    <m/>
    <m/>
    <m/>
    <n v="4"/>
    <m/>
    <m/>
    <m/>
    <m/>
    <m/>
    <s v=""/>
    <s v=""/>
    <s v=""/>
    <n v="1"/>
    <s v=""/>
    <n v="4"/>
    <s v=""/>
    <m/>
    <m/>
    <n v="0"/>
  </r>
  <r>
    <s v="SD03167"/>
    <x v="2"/>
    <s v="SD03"/>
    <s v="Nyala Janoub"/>
    <s v="SD03167"/>
    <m/>
    <m/>
    <m/>
    <m/>
    <m/>
    <m/>
    <n v="4"/>
    <m/>
    <m/>
    <m/>
    <m/>
    <m/>
    <s v=""/>
    <s v=""/>
    <s v=""/>
    <n v="1"/>
    <s v=""/>
    <n v="4"/>
    <s v=""/>
    <m/>
    <m/>
    <n v="0"/>
  </r>
  <r>
    <s v="SD03172"/>
    <x v="2"/>
    <s v="SD03"/>
    <s v="Damso"/>
    <s v="SD03172"/>
    <m/>
    <m/>
    <m/>
    <m/>
    <m/>
    <m/>
    <n v="4"/>
    <m/>
    <m/>
    <m/>
    <m/>
    <m/>
    <s v=""/>
    <s v=""/>
    <s v=""/>
    <n v="1"/>
    <s v=""/>
    <n v="4"/>
    <s v=""/>
    <m/>
    <m/>
    <n v="0"/>
  </r>
  <r>
    <s v="SD04111"/>
    <x v="3"/>
    <s v="SD04"/>
    <s v="Beida"/>
    <s v="SD04111"/>
    <m/>
    <m/>
    <m/>
    <m/>
    <m/>
    <m/>
    <n v="4"/>
    <m/>
    <m/>
    <m/>
    <m/>
    <m/>
    <s v=""/>
    <s v=""/>
    <s v=""/>
    <n v="1"/>
    <s v=""/>
    <n v="4"/>
    <s v=""/>
    <m/>
    <m/>
    <n v="0"/>
  </r>
  <r>
    <s v="SD04115"/>
    <x v="3"/>
    <s v="SD04"/>
    <s v="Ag Geneina"/>
    <s v="SD04115"/>
    <m/>
    <m/>
    <m/>
    <m/>
    <m/>
    <m/>
    <n v="4"/>
    <m/>
    <m/>
    <m/>
    <m/>
    <m/>
    <s v=""/>
    <s v=""/>
    <s v=""/>
    <n v="1"/>
    <s v=""/>
    <n v="4"/>
    <s v=""/>
    <m/>
    <m/>
    <n v="0"/>
  </r>
  <r>
    <s v="SD04121"/>
    <x v="3"/>
    <s v="SD04"/>
    <s v="Foro Baranga"/>
    <s v="SD04121"/>
    <m/>
    <m/>
    <m/>
    <m/>
    <m/>
    <m/>
    <n v="4"/>
    <m/>
    <m/>
    <m/>
    <m/>
    <m/>
    <s v=""/>
    <s v=""/>
    <s v=""/>
    <n v="1"/>
    <s v=""/>
    <n v="4"/>
    <s v=""/>
    <m/>
    <m/>
    <n v="0"/>
  </r>
  <r>
    <s v="SD04122"/>
    <x v="3"/>
    <s v="SD04"/>
    <s v="Habila - WD"/>
    <s v="SD04122"/>
    <m/>
    <m/>
    <m/>
    <m/>
    <m/>
    <m/>
    <n v="3"/>
    <m/>
    <m/>
    <m/>
    <m/>
    <m/>
    <s v=""/>
    <s v=""/>
    <n v="1"/>
    <s v=""/>
    <s v=""/>
    <n v="3"/>
    <s v=""/>
    <m/>
    <m/>
    <n v="0"/>
  </r>
  <r>
    <s v="SD04123"/>
    <x v="3"/>
    <s v="SD04"/>
    <s v="Jebel Moon"/>
    <s v="SD04123"/>
    <m/>
    <m/>
    <m/>
    <m/>
    <m/>
    <m/>
    <n v="4"/>
    <m/>
    <m/>
    <m/>
    <m/>
    <m/>
    <s v=""/>
    <s v=""/>
    <s v=""/>
    <n v="1"/>
    <s v=""/>
    <n v="4"/>
    <s v=""/>
    <m/>
    <m/>
    <n v="0"/>
  </r>
  <r>
    <s v="SD04125"/>
    <x v="3"/>
    <s v="SD04"/>
    <s v="Kereneik"/>
    <s v="SD04125"/>
    <m/>
    <m/>
    <m/>
    <m/>
    <m/>
    <m/>
    <n v="3"/>
    <m/>
    <m/>
    <m/>
    <m/>
    <m/>
    <s v=""/>
    <s v=""/>
    <n v="1"/>
    <s v=""/>
    <s v=""/>
    <n v="3"/>
    <s v=""/>
    <m/>
    <m/>
    <n v="0"/>
  </r>
  <r>
    <s v="SD04127"/>
    <x v="3"/>
    <s v="SD04"/>
    <s v="Kulbus"/>
    <s v="SD04127"/>
    <m/>
    <m/>
    <m/>
    <m/>
    <m/>
    <m/>
    <n v="3"/>
    <m/>
    <m/>
    <m/>
    <m/>
    <m/>
    <s v=""/>
    <s v=""/>
    <n v="1"/>
    <s v=""/>
    <s v=""/>
    <n v="3"/>
    <s v=""/>
    <m/>
    <m/>
    <n v="0"/>
  </r>
  <r>
    <s v="SD04134"/>
    <x v="3"/>
    <s v="SD04"/>
    <s v="Sirba"/>
    <s v="SD04134"/>
    <m/>
    <m/>
    <m/>
    <m/>
    <m/>
    <m/>
    <n v="4"/>
    <m/>
    <m/>
    <m/>
    <m/>
    <m/>
    <s v=""/>
    <s v=""/>
    <s v=""/>
    <n v="1"/>
    <s v=""/>
    <n v="4"/>
    <s v=""/>
    <m/>
    <m/>
    <n v="0"/>
  </r>
  <r>
    <s v="SD05139"/>
    <x v="4"/>
    <s v="SD05"/>
    <s v="Adila"/>
    <s v="SD05139"/>
    <m/>
    <m/>
    <m/>
    <m/>
    <m/>
    <m/>
    <n v="4"/>
    <m/>
    <m/>
    <m/>
    <m/>
    <m/>
    <s v=""/>
    <s v=""/>
    <s v=""/>
    <n v="1"/>
    <s v=""/>
    <n v="4"/>
    <s v=""/>
    <m/>
    <m/>
    <n v="0"/>
  </r>
  <r>
    <s v="SD05140"/>
    <x v="4"/>
    <s v="SD05"/>
    <s v="Abu Jabrah"/>
    <s v="SD05140"/>
    <m/>
    <m/>
    <m/>
    <m/>
    <m/>
    <m/>
    <n v="4"/>
    <m/>
    <m/>
    <m/>
    <m/>
    <m/>
    <s v=""/>
    <s v=""/>
    <s v=""/>
    <n v="1"/>
    <s v=""/>
    <n v="4"/>
    <s v=""/>
    <m/>
    <m/>
    <n v="0"/>
  </r>
  <r>
    <s v="SD05142"/>
    <x v="4"/>
    <s v="SD05"/>
    <s v="Ad Du'ayn"/>
    <s v="SD05142"/>
    <m/>
    <m/>
    <m/>
    <m/>
    <m/>
    <m/>
    <n v="4"/>
    <m/>
    <m/>
    <m/>
    <m/>
    <m/>
    <s v=""/>
    <s v=""/>
    <s v=""/>
    <n v="1"/>
    <s v=""/>
    <n v="4"/>
    <s v=""/>
    <m/>
    <m/>
    <n v="0"/>
  </r>
  <r>
    <s v="SD05148"/>
    <x v="4"/>
    <s v="SD05"/>
    <s v="Shia'ria"/>
    <s v="SD05148"/>
    <m/>
    <m/>
    <m/>
    <m/>
    <m/>
    <m/>
    <n v="3"/>
    <m/>
    <m/>
    <m/>
    <m/>
    <m/>
    <s v=""/>
    <s v=""/>
    <n v="1"/>
    <s v=""/>
    <s v=""/>
    <n v="3"/>
    <s v=""/>
    <m/>
    <m/>
    <n v="0"/>
  </r>
  <r>
    <s v="SD05152"/>
    <x v="4"/>
    <s v="SD05"/>
    <s v="Al Firdous"/>
    <s v="SD05152"/>
    <m/>
    <m/>
    <m/>
    <m/>
    <m/>
    <m/>
    <n v="4"/>
    <m/>
    <m/>
    <m/>
    <m/>
    <m/>
    <s v=""/>
    <s v=""/>
    <s v=""/>
    <n v="1"/>
    <s v=""/>
    <n v="4"/>
    <s v=""/>
    <m/>
    <m/>
    <n v="0"/>
  </r>
  <r>
    <s v="SD05155"/>
    <x v="4"/>
    <s v="SD05"/>
    <s v="Abu Karinka"/>
    <s v="SD05155"/>
    <m/>
    <m/>
    <m/>
    <m/>
    <m/>
    <m/>
    <n v="2"/>
    <m/>
    <m/>
    <m/>
    <m/>
    <m/>
    <s v=""/>
    <n v="1"/>
    <s v=""/>
    <s v=""/>
    <s v=""/>
    <n v="2"/>
    <s v=""/>
    <m/>
    <m/>
    <n v="0"/>
  </r>
  <r>
    <s v="SD05160"/>
    <x v="4"/>
    <s v="SD05"/>
    <s v="Bahr Al Arab"/>
    <s v="SD05160"/>
    <m/>
    <m/>
    <m/>
    <m/>
    <m/>
    <m/>
    <n v="4"/>
    <m/>
    <m/>
    <m/>
    <m/>
    <m/>
    <s v=""/>
    <s v=""/>
    <s v=""/>
    <n v="1"/>
    <s v=""/>
    <n v="4"/>
    <s v=""/>
    <m/>
    <m/>
    <n v="0"/>
  </r>
  <r>
    <s v="SD05163"/>
    <x v="4"/>
    <s v="SD05"/>
    <s v="Assalaya"/>
    <s v="SD05163"/>
    <m/>
    <m/>
    <m/>
    <m/>
    <m/>
    <m/>
    <n v="2"/>
    <m/>
    <m/>
    <m/>
    <m/>
    <m/>
    <s v=""/>
    <n v="1"/>
    <s v=""/>
    <s v=""/>
    <s v=""/>
    <n v="2"/>
    <s v=""/>
    <m/>
    <m/>
    <n v="0"/>
  </r>
  <r>
    <s v="SD05165"/>
    <x v="4"/>
    <s v="SD05"/>
    <s v="Yassin"/>
    <s v="SD05165"/>
    <m/>
    <m/>
    <m/>
    <m/>
    <m/>
    <m/>
    <n v="4"/>
    <m/>
    <m/>
    <m/>
    <m/>
    <m/>
    <s v=""/>
    <s v=""/>
    <s v=""/>
    <n v="1"/>
    <s v=""/>
    <n v="4"/>
    <s v=""/>
    <m/>
    <m/>
    <n v="0"/>
  </r>
  <r>
    <s v="SD06110"/>
    <x v="5"/>
    <s v="SD06"/>
    <s v="Azum"/>
    <s v="SD06110"/>
    <m/>
    <m/>
    <m/>
    <m/>
    <m/>
    <m/>
    <n v="4"/>
    <m/>
    <m/>
    <m/>
    <m/>
    <m/>
    <s v=""/>
    <s v=""/>
    <s v=""/>
    <n v="1"/>
    <s v=""/>
    <n v="4"/>
    <s v=""/>
    <m/>
    <m/>
    <n v="0"/>
  </r>
  <r>
    <s v="SD06112"/>
    <x v="5"/>
    <s v="SD06"/>
    <s v="Bendasi"/>
    <s v="SD06112"/>
    <m/>
    <m/>
    <m/>
    <m/>
    <m/>
    <m/>
    <n v="3"/>
    <m/>
    <m/>
    <m/>
    <m/>
    <m/>
    <s v=""/>
    <s v=""/>
    <n v="1"/>
    <s v=""/>
    <s v=""/>
    <n v="3"/>
    <s v=""/>
    <m/>
    <m/>
    <n v="0"/>
  </r>
  <r>
    <s v="SD06130"/>
    <x v="5"/>
    <s v="SD06"/>
    <s v="Mukjar"/>
    <s v="SD06130"/>
    <m/>
    <m/>
    <m/>
    <m/>
    <m/>
    <m/>
    <n v="3"/>
    <m/>
    <m/>
    <m/>
    <m/>
    <m/>
    <s v=""/>
    <s v=""/>
    <n v="1"/>
    <s v=""/>
    <s v=""/>
    <n v="3"/>
    <s v=""/>
    <m/>
    <m/>
    <n v="0"/>
  </r>
  <r>
    <s v="SD06131"/>
    <x v="5"/>
    <s v="SD06"/>
    <s v="Gharb Jabal Marrah"/>
    <s v="SD06131"/>
    <m/>
    <m/>
    <m/>
    <m/>
    <m/>
    <m/>
    <n v="4"/>
    <m/>
    <m/>
    <m/>
    <m/>
    <m/>
    <s v=""/>
    <s v=""/>
    <s v=""/>
    <n v="1"/>
    <s v=""/>
    <n v="4"/>
    <s v=""/>
    <m/>
    <m/>
    <n v="0"/>
  </r>
  <r>
    <s v="SD06132"/>
    <x v="5"/>
    <s v="SD06"/>
    <s v="Shamal Jabal Marrah"/>
    <s v="SD06132"/>
    <m/>
    <m/>
    <m/>
    <m/>
    <m/>
    <m/>
    <n v="4"/>
    <m/>
    <m/>
    <m/>
    <m/>
    <m/>
    <s v=""/>
    <s v=""/>
    <s v=""/>
    <n v="1"/>
    <s v=""/>
    <n v="4"/>
    <s v=""/>
    <m/>
    <m/>
    <n v="0"/>
  </r>
  <r>
    <s v="SD06135"/>
    <x v="5"/>
    <s v="SD06"/>
    <s v="Um Dukhun"/>
    <s v="SD06135"/>
    <m/>
    <m/>
    <m/>
    <m/>
    <m/>
    <m/>
    <n v="4"/>
    <m/>
    <m/>
    <m/>
    <m/>
    <m/>
    <s v=""/>
    <s v=""/>
    <s v=""/>
    <n v="1"/>
    <s v=""/>
    <n v="4"/>
    <s v=""/>
    <m/>
    <m/>
    <n v="0"/>
  </r>
  <r>
    <s v="SD06137"/>
    <x v="5"/>
    <s v="SD06"/>
    <s v="Wadi Salih"/>
    <s v="SD06137"/>
    <m/>
    <m/>
    <m/>
    <m/>
    <m/>
    <m/>
    <n v="3"/>
    <m/>
    <m/>
    <m/>
    <m/>
    <m/>
    <s v=""/>
    <s v=""/>
    <n v="1"/>
    <s v=""/>
    <s v=""/>
    <n v="3"/>
    <s v=""/>
    <m/>
    <m/>
    <n v="0"/>
  </r>
  <r>
    <s v="SD06138"/>
    <x v="5"/>
    <s v="SD06"/>
    <s v="Zalingi"/>
    <s v="SD06138"/>
    <m/>
    <m/>
    <m/>
    <m/>
    <m/>
    <m/>
    <n v="3"/>
    <m/>
    <m/>
    <m/>
    <m/>
    <m/>
    <s v=""/>
    <s v=""/>
    <n v="1"/>
    <s v=""/>
    <s v=""/>
    <n v="3"/>
    <s v=""/>
    <m/>
    <m/>
    <n v="0"/>
  </r>
  <r>
    <s v="SD06139"/>
    <x v="5"/>
    <s v="SD06"/>
    <s v="Wasat Jabal Marrah"/>
    <s v="SD06139"/>
    <m/>
    <m/>
    <m/>
    <m/>
    <m/>
    <m/>
    <n v="4"/>
    <m/>
    <m/>
    <m/>
    <m/>
    <m/>
    <s v=""/>
    <s v=""/>
    <s v=""/>
    <n v="1"/>
    <s v=""/>
    <n v="4"/>
    <s v=""/>
    <m/>
    <m/>
    <n v="0"/>
  </r>
  <r>
    <s v="SD07088"/>
    <x v="6"/>
    <s v="SD07"/>
    <s v="Abu Jubayhah"/>
    <s v="SD07088"/>
    <m/>
    <m/>
    <m/>
    <m/>
    <m/>
    <m/>
    <n v="2"/>
    <m/>
    <m/>
    <m/>
    <m/>
    <m/>
    <s v=""/>
    <n v="1"/>
    <s v=""/>
    <s v=""/>
    <s v=""/>
    <n v="2"/>
    <s v=""/>
    <m/>
    <m/>
    <n v="0"/>
  </r>
  <r>
    <s v="SD07089"/>
    <x v="6"/>
    <s v="SD07"/>
    <s v="Talawdi"/>
    <s v="SD07089"/>
    <m/>
    <m/>
    <m/>
    <m/>
    <m/>
    <m/>
    <n v="4"/>
    <m/>
    <m/>
    <m/>
    <m/>
    <m/>
    <s v=""/>
    <s v=""/>
    <s v=""/>
    <n v="1"/>
    <s v=""/>
    <n v="4"/>
    <s v=""/>
    <m/>
    <m/>
    <n v="0"/>
  </r>
  <r>
    <s v="SD07090"/>
    <x v="6"/>
    <s v="SD07"/>
    <s v="Abassiya"/>
    <s v="SD07090"/>
    <m/>
    <m/>
    <m/>
    <m/>
    <m/>
    <m/>
    <n v="4"/>
    <m/>
    <m/>
    <m/>
    <m/>
    <m/>
    <s v=""/>
    <s v=""/>
    <s v=""/>
    <n v="1"/>
    <s v=""/>
    <n v="4"/>
    <s v=""/>
    <m/>
    <m/>
    <n v="0"/>
  </r>
  <r>
    <s v="SD07091"/>
    <x v="6"/>
    <s v="SD07"/>
    <s v="Um Durein"/>
    <s v="SD07091"/>
    <m/>
    <m/>
    <m/>
    <m/>
    <m/>
    <m/>
    <n v="3"/>
    <m/>
    <m/>
    <m/>
    <m/>
    <m/>
    <s v=""/>
    <s v=""/>
    <n v="1"/>
    <s v=""/>
    <s v=""/>
    <n v="3"/>
    <s v=""/>
    <m/>
    <m/>
    <n v="0"/>
  </r>
  <r>
    <s v="SD07093"/>
    <x v="6"/>
    <s v="SD07"/>
    <s v="Ar Rashad"/>
    <s v="SD07093"/>
    <m/>
    <m/>
    <m/>
    <m/>
    <m/>
    <m/>
    <n v="2"/>
    <m/>
    <m/>
    <m/>
    <m/>
    <m/>
    <s v=""/>
    <n v="1"/>
    <s v=""/>
    <s v=""/>
    <s v=""/>
    <n v="2"/>
    <s v=""/>
    <m/>
    <m/>
    <n v="0"/>
  </r>
  <r>
    <s v="SD07094"/>
    <x v="6"/>
    <s v="SD07"/>
    <s v="Al Quoz"/>
    <s v="SD07094"/>
    <m/>
    <m/>
    <m/>
    <m/>
    <m/>
    <m/>
    <n v="2"/>
    <m/>
    <m/>
    <m/>
    <m/>
    <m/>
    <s v=""/>
    <n v="1"/>
    <s v=""/>
    <s v=""/>
    <s v=""/>
    <n v="2"/>
    <s v=""/>
    <m/>
    <m/>
    <n v="0"/>
  </r>
  <r>
    <s v="SD07095"/>
    <x v="6"/>
    <s v="SD07"/>
    <s v="Dilling"/>
    <s v="SD07095"/>
    <m/>
    <m/>
    <m/>
    <m/>
    <m/>
    <m/>
    <n v="2"/>
    <m/>
    <m/>
    <m/>
    <m/>
    <m/>
    <s v=""/>
    <n v="1"/>
    <s v=""/>
    <s v=""/>
    <s v=""/>
    <n v="2"/>
    <s v=""/>
    <m/>
    <m/>
    <n v="0"/>
  </r>
  <r>
    <s v="SD07096"/>
    <x v="6"/>
    <s v="SD07"/>
    <s v="Heiban"/>
    <s v="SD07096"/>
    <m/>
    <m/>
    <m/>
    <m/>
    <m/>
    <m/>
    <n v="1"/>
    <m/>
    <m/>
    <m/>
    <m/>
    <m/>
    <n v="1"/>
    <s v=""/>
    <s v=""/>
    <s v=""/>
    <s v=""/>
    <n v="1"/>
    <s v=""/>
    <m/>
    <m/>
    <n v="0"/>
  </r>
  <r>
    <s v="SD07097"/>
    <x v="6"/>
    <s v="SD07"/>
    <s v="Ar Reif Ash Shargi"/>
    <s v="SD07097"/>
    <m/>
    <m/>
    <m/>
    <m/>
    <m/>
    <m/>
    <n v="2"/>
    <m/>
    <m/>
    <m/>
    <m/>
    <m/>
    <s v=""/>
    <n v="1"/>
    <s v=""/>
    <s v=""/>
    <s v=""/>
    <n v="2"/>
    <s v=""/>
    <m/>
    <m/>
    <n v="0"/>
  </r>
  <r>
    <s v="SD07098"/>
    <x v="6"/>
    <s v="SD07"/>
    <s v="Kadugli"/>
    <s v="SD07098"/>
    <m/>
    <m/>
    <m/>
    <m/>
    <m/>
    <m/>
    <n v="3"/>
    <m/>
    <m/>
    <m/>
    <m/>
    <m/>
    <s v=""/>
    <s v=""/>
    <n v="1"/>
    <s v=""/>
    <s v=""/>
    <n v="3"/>
    <s v=""/>
    <m/>
    <m/>
    <n v="0"/>
  </r>
  <r>
    <s v="SD07099"/>
    <x v="6"/>
    <s v="SD07"/>
    <s v="Al Buram"/>
    <s v="SD07099"/>
    <m/>
    <m/>
    <m/>
    <m/>
    <m/>
    <m/>
    <n v="4"/>
    <m/>
    <m/>
    <m/>
    <m/>
    <m/>
    <s v=""/>
    <s v=""/>
    <s v=""/>
    <n v="1"/>
    <s v=""/>
    <n v="4"/>
    <s v=""/>
    <m/>
    <m/>
    <n v="0"/>
  </r>
  <r>
    <s v="SD07103"/>
    <x v="6"/>
    <s v="SD07"/>
    <s v="Habila - SK"/>
    <s v="SD07103"/>
    <m/>
    <m/>
    <m/>
    <m/>
    <m/>
    <m/>
    <n v="1"/>
    <m/>
    <m/>
    <m/>
    <m/>
    <m/>
    <n v="1"/>
    <s v=""/>
    <s v=""/>
    <s v=""/>
    <s v=""/>
    <n v="1"/>
    <s v=""/>
    <m/>
    <m/>
    <n v="0"/>
  </r>
  <r>
    <s v="SD07104"/>
    <x v="6"/>
    <s v="SD07"/>
    <s v="Abu Kershola"/>
    <s v="SD07104"/>
    <m/>
    <m/>
    <m/>
    <m/>
    <m/>
    <m/>
    <n v="4"/>
    <m/>
    <m/>
    <m/>
    <m/>
    <m/>
    <s v=""/>
    <s v=""/>
    <s v=""/>
    <n v="1"/>
    <s v=""/>
    <n v="4"/>
    <s v=""/>
    <m/>
    <m/>
    <n v="0"/>
  </r>
  <r>
    <s v="SD07105"/>
    <x v="6"/>
    <s v="SD07"/>
    <s v="Al Leri"/>
    <s v="SD07105"/>
    <m/>
    <m/>
    <m/>
    <m/>
    <m/>
    <m/>
    <n v="4"/>
    <m/>
    <m/>
    <m/>
    <m/>
    <m/>
    <s v=""/>
    <s v=""/>
    <s v=""/>
    <n v="1"/>
    <s v=""/>
    <n v="4"/>
    <s v=""/>
    <m/>
    <m/>
    <n v="0"/>
  </r>
  <r>
    <s v="SD07106"/>
    <x v="6"/>
    <s v="SD07"/>
    <s v="At Tadamon - SK"/>
    <s v="SD07106"/>
    <m/>
    <m/>
    <m/>
    <m/>
    <m/>
    <m/>
    <n v="4"/>
    <m/>
    <m/>
    <m/>
    <m/>
    <m/>
    <s v=""/>
    <s v=""/>
    <s v=""/>
    <n v="1"/>
    <s v=""/>
    <n v="4"/>
    <s v=""/>
    <m/>
    <m/>
    <n v="0"/>
  </r>
  <r>
    <s v="SD07107"/>
    <x v="6"/>
    <s v="SD07"/>
    <s v="Delami"/>
    <s v="SD07107"/>
    <m/>
    <m/>
    <m/>
    <m/>
    <m/>
    <m/>
    <n v="4"/>
    <m/>
    <m/>
    <m/>
    <m/>
    <m/>
    <s v=""/>
    <s v=""/>
    <s v=""/>
    <n v="1"/>
    <s v=""/>
    <n v="4"/>
    <s v=""/>
    <m/>
    <m/>
    <n v="0"/>
  </r>
  <r>
    <s v="SD07108"/>
    <x v="6"/>
    <s v="SD07"/>
    <s v="Ghadeer"/>
    <s v="SD07108"/>
    <m/>
    <m/>
    <m/>
    <m/>
    <m/>
    <m/>
    <n v="4"/>
    <m/>
    <m/>
    <m/>
    <m/>
    <m/>
    <s v=""/>
    <s v=""/>
    <s v=""/>
    <n v="1"/>
    <s v=""/>
    <n v="4"/>
    <s v=""/>
    <m/>
    <m/>
    <n v="0"/>
  </r>
  <r>
    <s v="SD08104"/>
    <x v="7"/>
    <s v="SD08"/>
    <s v="Baw"/>
    <s v="SD08104"/>
    <m/>
    <m/>
    <m/>
    <m/>
    <m/>
    <m/>
    <n v="2"/>
    <m/>
    <m/>
    <m/>
    <m/>
    <m/>
    <s v=""/>
    <n v="1"/>
    <s v=""/>
    <s v=""/>
    <s v=""/>
    <n v="2"/>
    <s v=""/>
    <m/>
    <m/>
    <n v="0"/>
  </r>
  <r>
    <s v="SD08105"/>
    <x v="7"/>
    <s v="SD08"/>
    <s v="Ed Damazine"/>
    <s v="SD08105"/>
    <m/>
    <m/>
    <m/>
    <m/>
    <m/>
    <m/>
    <n v="1"/>
    <m/>
    <m/>
    <m/>
    <m/>
    <m/>
    <n v="1"/>
    <s v=""/>
    <s v=""/>
    <s v=""/>
    <s v=""/>
    <n v="1"/>
    <s v=""/>
    <m/>
    <m/>
    <n v="0"/>
  </r>
  <r>
    <s v="SD08106"/>
    <x v="7"/>
    <s v="SD08"/>
    <s v="Al Kurmuk"/>
    <s v="SD08106"/>
    <m/>
    <m/>
    <m/>
    <m/>
    <m/>
    <m/>
    <n v="4"/>
    <m/>
    <m/>
    <m/>
    <m/>
    <m/>
    <s v=""/>
    <s v=""/>
    <s v=""/>
    <n v="1"/>
    <s v=""/>
    <n v="4"/>
    <s v=""/>
    <m/>
    <m/>
    <n v="0"/>
  </r>
  <r>
    <s v="SD08107"/>
    <x v="7"/>
    <s v="SD08"/>
    <s v="Ar Rusayris"/>
    <s v="SD08107"/>
    <m/>
    <m/>
    <m/>
    <m/>
    <m/>
    <m/>
    <n v="1"/>
    <m/>
    <m/>
    <m/>
    <m/>
    <m/>
    <n v="1"/>
    <s v=""/>
    <s v=""/>
    <s v=""/>
    <s v=""/>
    <n v="1"/>
    <s v=""/>
    <m/>
    <m/>
    <n v="0"/>
  </r>
  <r>
    <s v="SD08108"/>
    <x v="7"/>
    <s v="SD08"/>
    <s v="At Tadamon - BN"/>
    <s v="SD08108"/>
    <m/>
    <m/>
    <m/>
    <m/>
    <m/>
    <m/>
    <n v="4"/>
    <m/>
    <m/>
    <m/>
    <m/>
    <m/>
    <s v=""/>
    <s v=""/>
    <s v=""/>
    <n v="1"/>
    <s v=""/>
    <n v="4"/>
    <s v=""/>
    <m/>
    <m/>
    <n v="0"/>
  </r>
  <r>
    <s v="SD08109"/>
    <x v="7"/>
    <s v="SD08"/>
    <s v="Geisan"/>
    <s v="SD08109"/>
    <m/>
    <m/>
    <m/>
    <m/>
    <m/>
    <m/>
    <n v="4"/>
    <m/>
    <m/>
    <m/>
    <m/>
    <m/>
    <s v=""/>
    <s v=""/>
    <s v=""/>
    <n v="1"/>
    <s v=""/>
    <n v="4"/>
    <s v=""/>
    <m/>
    <m/>
    <n v="0"/>
  </r>
  <r>
    <s v="SD08110"/>
    <x v="7"/>
    <s v="SD08"/>
    <s v="Wad Al Mahi"/>
    <s v="SD08110"/>
    <m/>
    <m/>
    <m/>
    <m/>
    <m/>
    <m/>
    <n v="2"/>
    <m/>
    <m/>
    <m/>
    <m/>
    <m/>
    <s v=""/>
    <n v="1"/>
    <s v=""/>
    <s v=""/>
    <s v=""/>
    <n v="2"/>
    <s v=""/>
    <m/>
    <m/>
    <n v="0"/>
  </r>
  <r>
    <s v="SD09044"/>
    <x v="8"/>
    <s v="SD09"/>
    <s v="Ad Diwaim"/>
    <s v="SD09044"/>
    <m/>
    <m/>
    <m/>
    <m/>
    <m/>
    <m/>
    <n v="2"/>
    <m/>
    <m/>
    <m/>
    <m/>
    <m/>
    <s v=""/>
    <n v="1"/>
    <s v=""/>
    <s v=""/>
    <s v=""/>
    <n v="2"/>
    <s v=""/>
    <m/>
    <m/>
    <n v="0"/>
  </r>
  <r>
    <s v="SD09045"/>
    <x v="8"/>
    <s v="SD09"/>
    <s v="Um Rimta"/>
    <s v="SD09045"/>
    <m/>
    <m/>
    <m/>
    <m/>
    <m/>
    <m/>
    <n v="2"/>
    <m/>
    <m/>
    <m/>
    <m/>
    <m/>
    <s v=""/>
    <n v="1"/>
    <s v=""/>
    <s v=""/>
    <s v=""/>
    <n v="2"/>
    <s v=""/>
    <m/>
    <m/>
    <n v="0"/>
  </r>
  <r>
    <s v="SD09046"/>
    <x v="8"/>
    <s v="SD09"/>
    <s v="Rabak"/>
    <s v="SD09046"/>
    <m/>
    <m/>
    <m/>
    <m/>
    <m/>
    <m/>
    <n v="2"/>
    <m/>
    <m/>
    <m/>
    <m/>
    <m/>
    <s v=""/>
    <n v="1"/>
    <s v=""/>
    <s v=""/>
    <s v=""/>
    <n v="2"/>
    <s v=""/>
    <m/>
    <m/>
    <n v="0"/>
  </r>
  <r>
    <s v="SD09047"/>
    <x v="8"/>
    <s v="SD09"/>
    <s v="Kosti"/>
    <s v="SD09047"/>
    <m/>
    <m/>
    <m/>
    <m/>
    <m/>
    <m/>
    <n v="1"/>
    <m/>
    <m/>
    <m/>
    <m/>
    <m/>
    <n v="1"/>
    <s v=""/>
    <s v=""/>
    <s v=""/>
    <s v=""/>
    <n v="1"/>
    <s v=""/>
    <m/>
    <m/>
    <n v="0"/>
  </r>
  <r>
    <s v="SD09048"/>
    <x v="8"/>
    <s v="SD09"/>
    <s v="Tendalti"/>
    <s v="SD09048"/>
    <m/>
    <m/>
    <m/>
    <m/>
    <m/>
    <m/>
    <n v="4"/>
    <m/>
    <m/>
    <m/>
    <m/>
    <m/>
    <s v=""/>
    <s v=""/>
    <s v=""/>
    <n v="1"/>
    <s v=""/>
    <n v="4"/>
    <s v=""/>
    <m/>
    <m/>
    <n v="0"/>
  </r>
  <r>
    <s v="SD09049"/>
    <x v="8"/>
    <s v="SD09"/>
    <s v="As Salam / Ar Rawat"/>
    <s v="SD09049"/>
    <m/>
    <m/>
    <m/>
    <m/>
    <m/>
    <m/>
    <n v="3"/>
    <m/>
    <m/>
    <m/>
    <m/>
    <m/>
    <s v=""/>
    <s v=""/>
    <n v="1"/>
    <s v=""/>
    <s v=""/>
    <n v="3"/>
    <s v=""/>
    <m/>
    <m/>
    <n v="0"/>
  </r>
  <r>
    <s v="SD09050"/>
    <x v="8"/>
    <s v="SD09"/>
    <s v="Al Gitaina"/>
    <s v="SD09050"/>
    <m/>
    <m/>
    <m/>
    <m/>
    <m/>
    <m/>
    <n v="4"/>
    <m/>
    <m/>
    <m/>
    <m/>
    <m/>
    <s v=""/>
    <s v=""/>
    <s v=""/>
    <n v="1"/>
    <s v=""/>
    <n v="4"/>
    <s v=""/>
    <m/>
    <m/>
    <n v="0"/>
  </r>
  <r>
    <s v="SD09051"/>
    <x v="8"/>
    <s v="SD09"/>
    <s v="Aj Jabalain"/>
    <s v="SD09051"/>
    <m/>
    <m/>
    <m/>
    <m/>
    <m/>
    <m/>
    <n v="3"/>
    <m/>
    <m/>
    <m/>
    <m/>
    <m/>
    <s v=""/>
    <s v=""/>
    <n v="1"/>
    <s v=""/>
    <s v=""/>
    <n v="3"/>
    <s v=""/>
    <m/>
    <m/>
    <n v="0"/>
  </r>
  <r>
    <s v="SD09052"/>
    <x v="8"/>
    <s v="SD09"/>
    <s v="Guli"/>
    <s v="SD09052"/>
    <m/>
    <m/>
    <m/>
    <m/>
    <m/>
    <m/>
    <n v="4"/>
    <m/>
    <m/>
    <m/>
    <m/>
    <m/>
    <s v=""/>
    <s v=""/>
    <s v=""/>
    <n v="1"/>
    <s v=""/>
    <n v="4"/>
    <s v=""/>
    <m/>
    <m/>
    <n v="0"/>
  </r>
  <r>
    <s v="SD10063"/>
    <x v="9"/>
    <s v="SD10"/>
    <s v="Dordieb"/>
    <s v="SD10063"/>
    <m/>
    <m/>
    <m/>
    <m/>
    <m/>
    <m/>
    <n v="4"/>
    <m/>
    <m/>
    <m/>
    <m/>
    <m/>
    <s v=""/>
    <s v=""/>
    <s v=""/>
    <n v="1"/>
    <s v=""/>
    <n v="4"/>
    <s v=""/>
    <m/>
    <m/>
    <n v="0"/>
  </r>
  <r>
    <s v="SD10064"/>
    <x v="9"/>
    <s v="SD10"/>
    <s v="Port Sudan"/>
    <s v="SD10064"/>
    <m/>
    <m/>
    <m/>
    <m/>
    <m/>
    <m/>
    <n v="2"/>
    <m/>
    <m/>
    <m/>
    <m/>
    <m/>
    <s v=""/>
    <n v="1"/>
    <s v=""/>
    <s v=""/>
    <s v=""/>
    <n v="2"/>
    <s v=""/>
    <m/>
    <m/>
    <n v="0"/>
  </r>
  <r>
    <s v="SD10065"/>
    <x v="9"/>
    <s v="SD10"/>
    <s v="Tawkar"/>
    <s v="SD10065"/>
    <m/>
    <m/>
    <m/>
    <m/>
    <m/>
    <m/>
    <n v="3"/>
    <m/>
    <m/>
    <m/>
    <m/>
    <m/>
    <s v=""/>
    <s v=""/>
    <n v="1"/>
    <s v=""/>
    <s v=""/>
    <n v="3"/>
    <s v=""/>
    <m/>
    <m/>
    <n v="0"/>
  </r>
  <r>
    <s v="SD10066"/>
    <x v="9"/>
    <s v="SD10"/>
    <s v="Hala'ib"/>
    <s v="SD10066"/>
    <m/>
    <m/>
    <m/>
    <m/>
    <m/>
    <m/>
    <n v="3"/>
    <m/>
    <m/>
    <m/>
    <m/>
    <m/>
    <s v=""/>
    <s v=""/>
    <n v="1"/>
    <s v=""/>
    <s v=""/>
    <n v="3"/>
    <s v=""/>
    <m/>
    <m/>
    <n v="0"/>
  </r>
  <r>
    <s v="SD10067"/>
    <x v="9"/>
    <s v="SD10"/>
    <s v="Jubayt Elma'aadin"/>
    <s v="SD10067"/>
    <m/>
    <m/>
    <m/>
    <m/>
    <m/>
    <m/>
    <n v="2"/>
    <m/>
    <m/>
    <m/>
    <m/>
    <m/>
    <s v=""/>
    <n v="1"/>
    <s v=""/>
    <s v=""/>
    <s v=""/>
    <n v="2"/>
    <s v=""/>
    <m/>
    <m/>
    <n v="0"/>
  </r>
  <r>
    <s v="SD10068"/>
    <x v="9"/>
    <s v="SD10"/>
    <s v="Sawakin"/>
    <s v="SD10068"/>
    <m/>
    <m/>
    <m/>
    <m/>
    <m/>
    <m/>
    <n v="3"/>
    <m/>
    <m/>
    <m/>
    <m/>
    <m/>
    <s v=""/>
    <s v=""/>
    <n v="1"/>
    <s v=""/>
    <s v=""/>
    <n v="3"/>
    <s v=""/>
    <m/>
    <m/>
    <n v="0"/>
  </r>
  <r>
    <s v="SD10069"/>
    <x v="9"/>
    <s v="SD10"/>
    <s v="Al Ganab"/>
    <s v="SD10069"/>
    <m/>
    <m/>
    <m/>
    <m/>
    <m/>
    <m/>
    <n v="3"/>
    <m/>
    <m/>
    <m/>
    <m/>
    <m/>
    <s v=""/>
    <s v=""/>
    <n v="1"/>
    <s v=""/>
    <s v=""/>
    <n v="3"/>
    <s v=""/>
    <m/>
    <m/>
    <n v="0"/>
  </r>
  <r>
    <s v="SD10070"/>
    <x v="9"/>
    <s v="SD10"/>
    <s v="Haya"/>
    <s v="SD10070"/>
    <m/>
    <m/>
    <m/>
    <m/>
    <m/>
    <m/>
    <n v="4"/>
    <m/>
    <m/>
    <m/>
    <m/>
    <m/>
    <s v=""/>
    <s v=""/>
    <s v=""/>
    <n v="1"/>
    <s v=""/>
    <n v="4"/>
    <s v=""/>
    <m/>
    <m/>
    <n v="0"/>
  </r>
  <r>
    <s v="SD10071"/>
    <x v="9"/>
    <s v="SD10"/>
    <s v="Sinkat"/>
    <s v="SD10071"/>
    <m/>
    <m/>
    <m/>
    <m/>
    <m/>
    <m/>
    <n v="3"/>
    <m/>
    <m/>
    <m/>
    <m/>
    <m/>
    <s v=""/>
    <s v=""/>
    <n v="1"/>
    <s v=""/>
    <s v=""/>
    <n v="3"/>
    <s v=""/>
    <m/>
    <m/>
    <n v="0"/>
  </r>
  <r>
    <s v="SD10072"/>
    <x v="9"/>
    <s v="SD10"/>
    <s v="Agig"/>
    <s v="SD10072"/>
    <m/>
    <m/>
    <m/>
    <m/>
    <m/>
    <m/>
    <n v="4"/>
    <m/>
    <m/>
    <m/>
    <m/>
    <m/>
    <s v=""/>
    <s v=""/>
    <s v=""/>
    <n v="1"/>
    <s v=""/>
    <n v="4"/>
    <s v=""/>
    <m/>
    <m/>
    <n v="0"/>
  </r>
  <r>
    <s v="SD11052"/>
    <x v="10"/>
    <s v="SD11"/>
    <s v="Halfa Aj Jadeedah"/>
    <s v="SD11052"/>
    <m/>
    <m/>
    <m/>
    <m/>
    <m/>
    <m/>
    <n v="2"/>
    <m/>
    <m/>
    <m/>
    <m/>
    <m/>
    <s v=""/>
    <n v="1"/>
    <s v=""/>
    <s v=""/>
    <s v=""/>
    <n v="2"/>
    <s v=""/>
    <m/>
    <m/>
    <n v="0"/>
  </r>
  <r>
    <s v="SD11053"/>
    <x v="10"/>
    <s v="SD11"/>
    <s v="Madeinat Kassala"/>
    <s v="SD11053"/>
    <m/>
    <m/>
    <m/>
    <m/>
    <m/>
    <m/>
    <n v="2"/>
    <m/>
    <m/>
    <m/>
    <m/>
    <m/>
    <s v=""/>
    <n v="1"/>
    <s v=""/>
    <s v=""/>
    <s v=""/>
    <n v="2"/>
    <s v=""/>
    <m/>
    <m/>
    <n v="0"/>
  </r>
  <r>
    <s v="SD11054"/>
    <x v="10"/>
    <s v="SD11"/>
    <s v="Reifi Gharb Kassala"/>
    <s v="SD11054"/>
    <m/>
    <m/>
    <m/>
    <m/>
    <m/>
    <m/>
    <n v="4"/>
    <m/>
    <m/>
    <m/>
    <m/>
    <m/>
    <s v=""/>
    <s v=""/>
    <s v=""/>
    <n v="1"/>
    <s v=""/>
    <n v="4"/>
    <s v=""/>
    <m/>
    <m/>
    <n v="0"/>
  </r>
  <r>
    <s v="SD11055"/>
    <x v="10"/>
    <s v="SD11"/>
    <s v="Reifi Aroma"/>
    <s v="SD11055"/>
    <m/>
    <m/>
    <m/>
    <m/>
    <m/>
    <m/>
    <n v="3"/>
    <m/>
    <m/>
    <m/>
    <m/>
    <m/>
    <s v=""/>
    <s v=""/>
    <n v="1"/>
    <s v=""/>
    <s v=""/>
    <n v="3"/>
    <s v=""/>
    <m/>
    <m/>
    <n v="0"/>
  </r>
  <r>
    <s v="SD11056"/>
    <x v="10"/>
    <s v="SD11"/>
    <s v="Reifi Kassla"/>
    <s v="SD11056"/>
    <m/>
    <m/>
    <m/>
    <m/>
    <m/>
    <m/>
    <n v="3"/>
    <m/>
    <m/>
    <m/>
    <m/>
    <m/>
    <s v=""/>
    <s v=""/>
    <n v="1"/>
    <s v=""/>
    <s v=""/>
    <n v="3"/>
    <s v=""/>
    <m/>
    <m/>
    <n v="0"/>
  </r>
  <r>
    <s v="SD11057"/>
    <x v="10"/>
    <s v="SD11"/>
    <s v="Reifi Shamal Ad Delta"/>
    <s v="SD11057"/>
    <m/>
    <m/>
    <m/>
    <m/>
    <m/>
    <m/>
    <n v="4"/>
    <m/>
    <m/>
    <m/>
    <m/>
    <m/>
    <s v=""/>
    <s v=""/>
    <s v=""/>
    <n v="1"/>
    <s v=""/>
    <n v="4"/>
    <s v=""/>
    <m/>
    <m/>
    <n v="0"/>
  </r>
  <r>
    <s v="SD11058"/>
    <x v="10"/>
    <s v="SD11"/>
    <s v="Reifi Hamashkureib"/>
    <s v="SD11058"/>
    <m/>
    <m/>
    <m/>
    <m/>
    <m/>
    <m/>
    <n v="2"/>
    <m/>
    <m/>
    <m/>
    <m/>
    <m/>
    <s v=""/>
    <n v="1"/>
    <s v=""/>
    <s v=""/>
    <s v=""/>
    <n v="2"/>
    <s v=""/>
    <m/>
    <m/>
    <n v="0"/>
  </r>
  <r>
    <s v="SD11059"/>
    <x v="10"/>
    <s v="SD11"/>
    <s v="Reifi Telkok"/>
    <s v="SD11059"/>
    <m/>
    <m/>
    <m/>
    <m/>
    <m/>
    <m/>
    <n v="4"/>
    <m/>
    <m/>
    <m/>
    <m/>
    <m/>
    <s v=""/>
    <s v=""/>
    <s v=""/>
    <n v="1"/>
    <s v=""/>
    <n v="4"/>
    <s v=""/>
    <m/>
    <m/>
    <n v="0"/>
  </r>
  <r>
    <s v="SD11060"/>
    <x v="10"/>
    <s v="SD11"/>
    <s v="Reifi Khashm Elgirba"/>
    <s v="SD11060"/>
    <m/>
    <m/>
    <m/>
    <m/>
    <m/>
    <m/>
    <n v="3"/>
    <m/>
    <m/>
    <m/>
    <m/>
    <m/>
    <s v=""/>
    <s v=""/>
    <n v="1"/>
    <s v=""/>
    <s v=""/>
    <n v="3"/>
    <s v=""/>
    <m/>
    <m/>
    <n v="0"/>
  </r>
  <r>
    <s v="SD11061"/>
    <x v="10"/>
    <s v="SD11"/>
    <s v="Reifi Wad Elhilaiw"/>
    <s v="SD11061"/>
    <m/>
    <m/>
    <m/>
    <m/>
    <m/>
    <m/>
    <n v="4"/>
    <m/>
    <m/>
    <m/>
    <m/>
    <m/>
    <s v=""/>
    <s v=""/>
    <s v=""/>
    <n v="1"/>
    <s v=""/>
    <n v="4"/>
    <s v=""/>
    <m/>
    <m/>
    <n v="0"/>
  </r>
  <r>
    <s v="SD11062"/>
    <x v="10"/>
    <s v="SD11"/>
    <s v="Reifi Nahr Atbara"/>
    <s v="SD11062"/>
    <m/>
    <m/>
    <m/>
    <m/>
    <m/>
    <m/>
    <n v="2"/>
    <m/>
    <m/>
    <m/>
    <m/>
    <m/>
    <s v=""/>
    <n v="1"/>
    <s v=""/>
    <s v=""/>
    <s v=""/>
    <n v="2"/>
    <s v=""/>
    <m/>
    <m/>
    <n v="0"/>
  </r>
  <r>
    <s v="SD12073"/>
    <x v="11"/>
    <s v="SD12"/>
    <s v="Al Butanah"/>
    <s v="SD12073"/>
    <m/>
    <m/>
    <m/>
    <m/>
    <m/>
    <m/>
    <n v="2"/>
    <m/>
    <m/>
    <m/>
    <m/>
    <m/>
    <s v=""/>
    <n v="1"/>
    <s v=""/>
    <s v=""/>
    <s v=""/>
    <n v="2"/>
    <s v=""/>
    <m/>
    <m/>
    <n v="0"/>
  </r>
  <r>
    <s v="SD12074"/>
    <x v="11"/>
    <s v="SD12"/>
    <s v="Al Fao"/>
    <s v="SD12074"/>
    <m/>
    <m/>
    <m/>
    <m/>
    <m/>
    <m/>
    <n v="3"/>
    <m/>
    <m/>
    <m/>
    <m/>
    <m/>
    <s v=""/>
    <s v=""/>
    <n v="1"/>
    <s v=""/>
    <s v=""/>
    <n v="3"/>
    <s v=""/>
    <m/>
    <m/>
    <n v="0"/>
  </r>
  <r>
    <s v="SD12075"/>
    <x v="11"/>
    <s v="SD12"/>
    <s v="Al Fashaga"/>
    <s v="SD12075"/>
    <m/>
    <m/>
    <m/>
    <m/>
    <m/>
    <m/>
    <n v="1"/>
    <m/>
    <m/>
    <m/>
    <m/>
    <m/>
    <n v="1"/>
    <s v=""/>
    <s v=""/>
    <s v=""/>
    <s v=""/>
    <n v="1"/>
    <s v=""/>
    <m/>
    <m/>
    <n v="0"/>
  </r>
  <r>
    <s v="SD12076"/>
    <x v="11"/>
    <s v="SD12"/>
    <s v="Al Qureisha"/>
    <s v="SD12076"/>
    <m/>
    <m/>
    <m/>
    <m/>
    <m/>
    <m/>
    <n v="2"/>
    <m/>
    <m/>
    <m/>
    <m/>
    <m/>
    <s v=""/>
    <n v="1"/>
    <s v=""/>
    <s v=""/>
    <s v=""/>
    <n v="2"/>
    <s v=""/>
    <m/>
    <m/>
    <n v="0"/>
  </r>
  <r>
    <s v="SD12077"/>
    <x v="11"/>
    <s v="SD12"/>
    <s v="Basundah"/>
    <s v="SD12077"/>
    <m/>
    <m/>
    <m/>
    <m/>
    <m/>
    <m/>
    <n v="2"/>
    <m/>
    <m/>
    <m/>
    <m/>
    <m/>
    <s v=""/>
    <n v="1"/>
    <s v=""/>
    <s v=""/>
    <s v=""/>
    <n v="2"/>
    <s v=""/>
    <m/>
    <m/>
    <n v="0"/>
  </r>
  <r>
    <s v="SD12078"/>
    <x v="11"/>
    <s v="SD12"/>
    <s v="Al Galabat Al Gharbyah - Kassab"/>
    <s v="SD12078"/>
    <m/>
    <m/>
    <m/>
    <m/>
    <m/>
    <m/>
    <n v="2"/>
    <m/>
    <m/>
    <m/>
    <m/>
    <m/>
    <s v=""/>
    <n v="1"/>
    <s v=""/>
    <s v=""/>
    <s v=""/>
    <n v="2"/>
    <s v=""/>
    <m/>
    <m/>
    <n v="0"/>
  </r>
  <r>
    <s v="SD12079"/>
    <x v="11"/>
    <s v="SD12"/>
    <s v="Gala'a Al Nahal"/>
    <s v="SD12079"/>
    <m/>
    <m/>
    <m/>
    <m/>
    <m/>
    <m/>
    <n v="2"/>
    <m/>
    <m/>
    <m/>
    <m/>
    <m/>
    <s v=""/>
    <n v="1"/>
    <s v=""/>
    <s v=""/>
    <s v=""/>
    <n v="2"/>
    <s v=""/>
    <m/>
    <m/>
    <n v="0"/>
  </r>
  <r>
    <s v="SD12080"/>
    <x v="11"/>
    <s v="SD12"/>
    <s v="Madeinat Al Gedaref"/>
    <s v="SD12080"/>
    <m/>
    <m/>
    <m/>
    <m/>
    <m/>
    <m/>
    <n v="2"/>
    <m/>
    <m/>
    <m/>
    <m/>
    <m/>
    <s v=""/>
    <n v="1"/>
    <s v=""/>
    <s v=""/>
    <s v=""/>
    <n v="2"/>
    <s v=""/>
    <m/>
    <m/>
    <n v="0"/>
  </r>
  <r>
    <s v="SD12081"/>
    <x v="11"/>
    <s v="SD12"/>
    <s v="Wasat Al Gedaref"/>
    <s v="SD12081"/>
    <m/>
    <m/>
    <m/>
    <m/>
    <m/>
    <m/>
    <n v="2"/>
    <m/>
    <m/>
    <m/>
    <m/>
    <m/>
    <s v=""/>
    <n v="1"/>
    <s v=""/>
    <s v=""/>
    <s v=""/>
    <n v="2"/>
    <s v=""/>
    <m/>
    <m/>
    <n v="0"/>
  </r>
  <r>
    <s v="SD12082"/>
    <x v="11"/>
    <s v="SD12"/>
    <s v="Al Mafaza"/>
    <s v="SD12082"/>
    <m/>
    <m/>
    <m/>
    <m/>
    <m/>
    <m/>
    <n v="2"/>
    <m/>
    <m/>
    <m/>
    <m/>
    <m/>
    <s v=""/>
    <n v="1"/>
    <s v=""/>
    <s v=""/>
    <s v=""/>
    <n v="2"/>
    <s v=""/>
    <m/>
    <m/>
    <n v="0"/>
  </r>
  <r>
    <s v="SD12083"/>
    <x v="11"/>
    <s v="SD12"/>
    <s v="Galabat Ash-Shargiah"/>
    <s v="SD12083"/>
    <m/>
    <m/>
    <m/>
    <m/>
    <m/>
    <m/>
    <n v="2"/>
    <m/>
    <m/>
    <m/>
    <m/>
    <m/>
    <s v=""/>
    <n v="1"/>
    <s v=""/>
    <s v=""/>
    <s v=""/>
    <n v="2"/>
    <s v=""/>
    <m/>
    <m/>
    <n v="0"/>
  </r>
  <r>
    <s v="SD12084"/>
    <x v="11"/>
    <s v="SD12"/>
    <s v="Ar Rahad"/>
    <s v="SD12084"/>
    <m/>
    <m/>
    <m/>
    <m/>
    <m/>
    <m/>
    <n v="1"/>
    <m/>
    <m/>
    <m/>
    <m/>
    <m/>
    <n v="1"/>
    <s v=""/>
    <s v=""/>
    <s v=""/>
    <s v=""/>
    <n v="1"/>
    <s v=""/>
    <m/>
    <m/>
    <n v="0"/>
  </r>
  <r>
    <s v="SD13023"/>
    <x v="12"/>
    <s v="SD13"/>
    <s v="Um Rawaba"/>
    <s v="SD13023"/>
    <m/>
    <m/>
    <m/>
    <m/>
    <m/>
    <m/>
    <n v="2"/>
    <m/>
    <m/>
    <m/>
    <m/>
    <m/>
    <s v=""/>
    <n v="1"/>
    <s v=""/>
    <s v=""/>
    <s v=""/>
    <n v="2"/>
    <s v=""/>
    <m/>
    <m/>
    <n v="0"/>
  </r>
  <r>
    <s v="SD13024"/>
    <x v="12"/>
    <s v="SD13"/>
    <s v="Sheikan"/>
    <s v="SD13024"/>
    <m/>
    <m/>
    <m/>
    <m/>
    <m/>
    <m/>
    <n v="2"/>
    <m/>
    <m/>
    <m/>
    <m/>
    <m/>
    <s v=""/>
    <n v="1"/>
    <s v=""/>
    <s v=""/>
    <s v=""/>
    <n v="2"/>
    <s v=""/>
    <m/>
    <m/>
    <n v="0"/>
  </r>
  <r>
    <s v="SD13025"/>
    <x v="12"/>
    <s v="SD13"/>
    <s v="Soudari"/>
    <s v="SD13025"/>
    <m/>
    <m/>
    <m/>
    <m/>
    <m/>
    <m/>
    <n v="2"/>
    <m/>
    <m/>
    <m/>
    <m/>
    <m/>
    <s v=""/>
    <n v="1"/>
    <s v=""/>
    <s v=""/>
    <s v=""/>
    <n v="2"/>
    <s v=""/>
    <m/>
    <m/>
    <n v="0"/>
  </r>
  <r>
    <s v="SD13026"/>
    <x v="12"/>
    <s v="SD13"/>
    <s v="Bara"/>
    <s v="SD13026"/>
    <m/>
    <m/>
    <m/>
    <m/>
    <m/>
    <m/>
    <n v="1"/>
    <m/>
    <m/>
    <m/>
    <m/>
    <m/>
    <n v="1"/>
    <s v=""/>
    <s v=""/>
    <s v=""/>
    <s v=""/>
    <n v="1"/>
    <s v=""/>
    <m/>
    <m/>
    <n v="0"/>
  </r>
  <r>
    <s v="SD13027"/>
    <x v="12"/>
    <s v="SD13"/>
    <s v="Gebrat Al Sheikh"/>
    <s v="SD13027"/>
    <m/>
    <m/>
    <m/>
    <m/>
    <m/>
    <m/>
    <n v="2"/>
    <m/>
    <m/>
    <m/>
    <m/>
    <m/>
    <s v=""/>
    <n v="1"/>
    <s v=""/>
    <s v=""/>
    <s v=""/>
    <n v="2"/>
    <s v=""/>
    <m/>
    <m/>
    <n v="0"/>
  </r>
  <r>
    <s v="SD13028"/>
    <x v="12"/>
    <s v="SD13"/>
    <s v="Um Dam Haj Ahmed"/>
    <s v="SD13028"/>
    <m/>
    <m/>
    <m/>
    <m/>
    <m/>
    <m/>
    <n v="3"/>
    <m/>
    <m/>
    <m/>
    <m/>
    <m/>
    <s v=""/>
    <s v=""/>
    <n v="1"/>
    <s v=""/>
    <s v=""/>
    <n v="3"/>
    <s v=""/>
    <m/>
    <m/>
    <n v="0"/>
  </r>
  <r>
    <s v="SD13029"/>
    <x v="12"/>
    <s v="SD13"/>
    <s v="Gharb Bara"/>
    <s v="SD13029"/>
    <m/>
    <m/>
    <m/>
    <m/>
    <m/>
    <m/>
    <n v="2"/>
    <m/>
    <m/>
    <m/>
    <m/>
    <m/>
    <s v=""/>
    <n v="1"/>
    <s v=""/>
    <s v=""/>
    <s v=""/>
    <n v="2"/>
    <s v=""/>
    <m/>
    <m/>
    <n v="0"/>
  </r>
  <r>
    <s v="SD13030"/>
    <x v="12"/>
    <s v="SD13"/>
    <s v="Ar Rahad"/>
    <s v="SD13030"/>
    <m/>
    <m/>
    <m/>
    <m/>
    <m/>
    <m/>
    <n v="2"/>
    <m/>
    <m/>
    <m/>
    <m/>
    <m/>
    <s v=""/>
    <n v="1"/>
    <s v=""/>
    <s v=""/>
    <s v=""/>
    <n v="2"/>
    <s v=""/>
    <m/>
    <m/>
    <n v="0"/>
  </r>
  <r>
    <s v="SD14037"/>
    <x v="13"/>
    <s v="SD14"/>
    <s v="Abu Hujar"/>
    <s v="SD14037"/>
    <m/>
    <m/>
    <m/>
    <m/>
    <m/>
    <m/>
    <n v="3"/>
    <m/>
    <m/>
    <m/>
    <m/>
    <m/>
    <s v=""/>
    <s v=""/>
    <n v="1"/>
    <s v=""/>
    <s v=""/>
    <n v="3"/>
    <s v=""/>
    <m/>
    <m/>
    <n v="0"/>
  </r>
  <r>
    <s v="SD14038"/>
    <x v="13"/>
    <s v="SD14"/>
    <s v="Sennar"/>
    <s v="SD14038"/>
    <m/>
    <m/>
    <m/>
    <m/>
    <m/>
    <m/>
    <n v="4"/>
    <m/>
    <m/>
    <m/>
    <m/>
    <m/>
    <s v=""/>
    <s v=""/>
    <s v=""/>
    <n v="1"/>
    <s v=""/>
    <n v="4"/>
    <s v=""/>
    <m/>
    <m/>
    <n v="0"/>
  </r>
  <r>
    <s v="SD14039"/>
    <x v="13"/>
    <s v="SD14"/>
    <s v="Ad Dali"/>
    <s v="SD14039"/>
    <m/>
    <m/>
    <m/>
    <m/>
    <m/>
    <m/>
    <n v="3"/>
    <m/>
    <m/>
    <m/>
    <m/>
    <m/>
    <s v=""/>
    <s v=""/>
    <n v="1"/>
    <s v=""/>
    <s v=""/>
    <n v="3"/>
    <s v=""/>
    <m/>
    <m/>
    <n v="0"/>
  </r>
  <r>
    <s v="SD14040"/>
    <x v="13"/>
    <s v="SD14"/>
    <s v="Ad Dinder"/>
    <s v="SD14040"/>
    <m/>
    <m/>
    <m/>
    <m/>
    <m/>
    <m/>
    <n v="3"/>
    <m/>
    <m/>
    <m/>
    <m/>
    <m/>
    <s v=""/>
    <s v=""/>
    <n v="1"/>
    <s v=""/>
    <s v=""/>
    <n v="3"/>
    <s v=""/>
    <m/>
    <m/>
    <n v="0"/>
  </r>
  <r>
    <s v="SD14041"/>
    <x v="13"/>
    <s v="SD14"/>
    <s v="As Suki"/>
    <s v="SD14041"/>
    <m/>
    <m/>
    <m/>
    <m/>
    <m/>
    <m/>
    <n v="3"/>
    <m/>
    <m/>
    <m/>
    <m/>
    <m/>
    <s v=""/>
    <s v=""/>
    <n v="1"/>
    <s v=""/>
    <s v=""/>
    <n v="3"/>
    <s v=""/>
    <m/>
    <m/>
    <n v="0"/>
  </r>
  <r>
    <s v="SD14042"/>
    <x v="13"/>
    <s v="SD14"/>
    <s v="Sharg Sennar"/>
    <s v="SD14042"/>
    <m/>
    <m/>
    <m/>
    <m/>
    <m/>
    <m/>
    <n v="3"/>
    <m/>
    <m/>
    <m/>
    <m/>
    <m/>
    <s v=""/>
    <s v=""/>
    <n v="1"/>
    <s v=""/>
    <s v=""/>
    <n v="3"/>
    <s v=""/>
    <m/>
    <m/>
    <n v="0"/>
  </r>
  <r>
    <s v="SD14043"/>
    <x v="13"/>
    <s v="SD14"/>
    <s v="Sinja"/>
    <s v="SD14043"/>
    <m/>
    <m/>
    <m/>
    <m/>
    <m/>
    <m/>
    <n v="3"/>
    <m/>
    <m/>
    <m/>
    <m/>
    <m/>
    <s v=""/>
    <s v=""/>
    <n v="1"/>
    <s v=""/>
    <s v=""/>
    <n v="3"/>
    <s v=""/>
    <m/>
    <m/>
    <n v="0"/>
  </r>
  <r>
    <s v="SD15030"/>
    <x v="14"/>
    <s v="SD15"/>
    <s v="Medani Al Kubra"/>
    <s v="SD15030"/>
    <m/>
    <m/>
    <m/>
    <m/>
    <m/>
    <m/>
    <n v="4"/>
    <m/>
    <m/>
    <m/>
    <m/>
    <m/>
    <s v=""/>
    <s v=""/>
    <s v=""/>
    <n v="1"/>
    <s v=""/>
    <n v="4"/>
    <s v=""/>
    <m/>
    <m/>
    <n v="0"/>
  </r>
  <r>
    <s v="SD15031"/>
    <x v="14"/>
    <s v="SD15"/>
    <s v="Janub Aj Jazirah"/>
    <s v="SD15031"/>
    <m/>
    <m/>
    <m/>
    <m/>
    <m/>
    <m/>
    <n v="4"/>
    <m/>
    <m/>
    <m/>
    <m/>
    <m/>
    <s v=""/>
    <s v=""/>
    <s v=""/>
    <n v="1"/>
    <s v=""/>
    <n v="4"/>
    <s v=""/>
    <m/>
    <m/>
    <n v="0"/>
  </r>
  <r>
    <s v="SD15032"/>
    <x v="14"/>
    <s v="SD15"/>
    <s v="Um Algura"/>
    <s v="SD15032"/>
    <m/>
    <m/>
    <m/>
    <m/>
    <m/>
    <m/>
    <n v="4"/>
    <m/>
    <m/>
    <m/>
    <m/>
    <m/>
    <s v=""/>
    <s v=""/>
    <s v=""/>
    <n v="1"/>
    <s v=""/>
    <n v="4"/>
    <s v=""/>
    <m/>
    <m/>
    <n v="0"/>
  </r>
  <r>
    <s v="SD15033"/>
    <x v="14"/>
    <s v="SD15"/>
    <s v="Sharg Aj Jazirah"/>
    <s v="SD15033"/>
    <m/>
    <m/>
    <m/>
    <m/>
    <m/>
    <m/>
    <n v="4"/>
    <m/>
    <m/>
    <m/>
    <m/>
    <m/>
    <s v=""/>
    <s v=""/>
    <s v=""/>
    <n v="1"/>
    <s v=""/>
    <n v="4"/>
    <s v=""/>
    <m/>
    <m/>
    <n v="0"/>
  </r>
  <r>
    <s v="SD15034"/>
    <x v="14"/>
    <s v="SD15"/>
    <s v="Al Hasahisa"/>
    <s v="SD15034"/>
    <m/>
    <m/>
    <m/>
    <m/>
    <m/>
    <m/>
    <n v="4"/>
    <m/>
    <m/>
    <m/>
    <m/>
    <m/>
    <s v=""/>
    <s v=""/>
    <s v=""/>
    <n v="1"/>
    <s v=""/>
    <n v="4"/>
    <s v=""/>
    <m/>
    <m/>
    <n v="0"/>
  </r>
  <r>
    <s v="SD15035"/>
    <x v="14"/>
    <s v="SD15"/>
    <s v="Al Kamlin"/>
    <s v="SD15035"/>
    <m/>
    <m/>
    <m/>
    <m/>
    <m/>
    <m/>
    <n v="4"/>
    <m/>
    <m/>
    <m/>
    <m/>
    <m/>
    <s v=""/>
    <s v=""/>
    <s v=""/>
    <n v="1"/>
    <s v=""/>
    <n v="4"/>
    <s v=""/>
    <m/>
    <m/>
    <n v="0"/>
  </r>
  <r>
    <s v="SD15036"/>
    <x v="14"/>
    <s v="SD15"/>
    <s v="Al Manaqil"/>
    <s v="SD15036"/>
    <m/>
    <m/>
    <m/>
    <m/>
    <m/>
    <m/>
    <n v="1"/>
    <m/>
    <m/>
    <m/>
    <m/>
    <m/>
    <n v="1"/>
    <s v=""/>
    <s v=""/>
    <s v=""/>
    <s v=""/>
    <n v="1"/>
    <s v=""/>
    <m/>
    <m/>
    <n v="0"/>
  </r>
  <r>
    <s v="SD15037"/>
    <x v="14"/>
    <s v="SD15"/>
    <s v="Al Qurashi"/>
    <s v="SD15037"/>
    <m/>
    <m/>
    <m/>
    <m/>
    <m/>
    <m/>
    <n v="1"/>
    <m/>
    <m/>
    <m/>
    <m/>
    <m/>
    <n v="1"/>
    <s v=""/>
    <s v=""/>
    <s v=""/>
    <s v=""/>
    <n v="1"/>
    <s v=""/>
    <m/>
    <m/>
    <n v="0"/>
  </r>
  <r>
    <s v="SD16008"/>
    <x v="15"/>
    <s v="SD16"/>
    <s v="Abu Hamad"/>
    <s v="SD16008"/>
    <m/>
    <m/>
    <m/>
    <m/>
    <m/>
    <m/>
    <n v="2"/>
    <m/>
    <m/>
    <m/>
    <m/>
    <m/>
    <s v=""/>
    <n v="1"/>
    <s v=""/>
    <s v=""/>
    <s v=""/>
    <n v="2"/>
    <s v=""/>
    <m/>
    <m/>
    <n v="0"/>
  </r>
  <r>
    <s v="SD16009"/>
    <x v="15"/>
    <s v="SD16"/>
    <s v="Al Matama"/>
    <s v="SD16009"/>
    <m/>
    <m/>
    <m/>
    <m/>
    <m/>
    <m/>
    <n v="4"/>
    <m/>
    <m/>
    <m/>
    <m/>
    <m/>
    <s v=""/>
    <s v=""/>
    <s v=""/>
    <n v="1"/>
    <s v=""/>
    <n v="4"/>
    <s v=""/>
    <m/>
    <m/>
    <n v="0"/>
  </r>
  <r>
    <s v="SD16010"/>
    <x v="15"/>
    <s v="SD16"/>
    <s v="Shendi"/>
    <s v="SD16010"/>
    <m/>
    <m/>
    <m/>
    <m/>
    <m/>
    <m/>
    <n v="4"/>
    <m/>
    <m/>
    <m/>
    <m/>
    <m/>
    <s v=""/>
    <s v=""/>
    <s v=""/>
    <n v="1"/>
    <s v=""/>
    <n v="4"/>
    <s v=""/>
    <m/>
    <m/>
    <n v="0"/>
  </r>
  <r>
    <s v="SD16011"/>
    <x v="15"/>
    <s v="SD16"/>
    <s v="Ad Damar"/>
    <s v="SD16011"/>
    <m/>
    <m/>
    <m/>
    <m/>
    <m/>
    <m/>
    <n v="4"/>
    <m/>
    <m/>
    <m/>
    <m/>
    <m/>
    <s v=""/>
    <s v=""/>
    <s v=""/>
    <n v="1"/>
    <s v=""/>
    <n v="4"/>
    <s v=""/>
    <m/>
    <m/>
    <n v="0"/>
  </r>
  <r>
    <s v="SD16012"/>
    <x v="15"/>
    <s v="SD16"/>
    <s v="Atbara"/>
    <s v="SD16012"/>
    <m/>
    <m/>
    <m/>
    <m/>
    <m/>
    <m/>
    <n v="3"/>
    <m/>
    <m/>
    <m/>
    <m/>
    <m/>
    <s v=""/>
    <s v=""/>
    <n v="1"/>
    <s v=""/>
    <s v=""/>
    <n v="3"/>
    <s v=""/>
    <m/>
    <m/>
    <n v="0"/>
  </r>
  <r>
    <s v="SD16013"/>
    <x v="15"/>
    <s v="SD16"/>
    <s v="Barbar"/>
    <s v="SD16013"/>
    <m/>
    <m/>
    <m/>
    <m/>
    <m/>
    <m/>
    <n v="3"/>
    <m/>
    <m/>
    <m/>
    <m/>
    <m/>
    <s v=""/>
    <s v=""/>
    <n v="1"/>
    <s v=""/>
    <s v=""/>
    <n v="3"/>
    <s v=""/>
    <m/>
    <m/>
    <n v="0"/>
  </r>
  <r>
    <s v="SD16014"/>
    <x v="15"/>
    <s v="SD16"/>
    <s v="Al Buhaira"/>
    <s v="SD16014"/>
    <m/>
    <m/>
    <m/>
    <m/>
    <m/>
    <m/>
    <n v="4"/>
    <m/>
    <m/>
    <m/>
    <m/>
    <m/>
    <s v=""/>
    <s v=""/>
    <s v=""/>
    <n v="1"/>
    <s v=""/>
    <n v="4"/>
    <s v=""/>
    <m/>
    <m/>
    <n v="0"/>
  </r>
  <r>
    <s v="SD17014"/>
    <x v="16"/>
    <s v="SD17"/>
    <s v="Halfa"/>
    <s v="SD17014"/>
    <m/>
    <m/>
    <m/>
    <m/>
    <m/>
    <m/>
    <n v="3"/>
    <m/>
    <m/>
    <m/>
    <m/>
    <m/>
    <s v=""/>
    <s v=""/>
    <n v="1"/>
    <s v=""/>
    <s v=""/>
    <n v="3"/>
    <s v=""/>
    <m/>
    <m/>
    <n v="0"/>
  </r>
  <r>
    <s v="SD17015"/>
    <x v="16"/>
    <s v="SD17"/>
    <s v="Delgo"/>
    <s v="SD17015"/>
    <m/>
    <m/>
    <m/>
    <m/>
    <m/>
    <m/>
    <n v="3"/>
    <m/>
    <m/>
    <m/>
    <m/>
    <m/>
    <s v=""/>
    <s v=""/>
    <n v="1"/>
    <s v=""/>
    <s v=""/>
    <n v="3"/>
    <s v=""/>
    <m/>
    <m/>
    <n v="0"/>
  </r>
  <r>
    <s v="SD17016"/>
    <x v="16"/>
    <s v="SD17"/>
    <s v="Al Burgaig"/>
    <s v="SD17016"/>
    <m/>
    <m/>
    <m/>
    <m/>
    <m/>
    <m/>
    <n v="2"/>
    <m/>
    <m/>
    <m/>
    <m/>
    <m/>
    <s v=""/>
    <n v="1"/>
    <s v=""/>
    <s v=""/>
    <s v=""/>
    <n v="2"/>
    <s v=""/>
    <m/>
    <m/>
    <n v="0"/>
  </r>
  <r>
    <s v="SD17017"/>
    <x v="16"/>
    <s v="SD17"/>
    <s v="Dongola"/>
    <s v="SD17017"/>
    <m/>
    <m/>
    <m/>
    <m/>
    <m/>
    <m/>
    <n v="1"/>
    <m/>
    <m/>
    <m/>
    <m/>
    <m/>
    <n v="1"/>
    <s v=""/>
    <s v=""/>
    <s v=""/>
    <s v=""/>
    <n v="1"/>
    <s v=""/>
    <m/>
    <m/>
    <n v="0"/>
  </r>
  <r>
    <s v="SD17018"/>
    <x v="16"/>
    <s v="SD17"/>
    <s v="Al Golid"/>
    <s v="SD17018"/>
    <m/>
    <m/>
    <m/>
    <m/>
    <m/>
    <m/>
    <n v="3"/>
    <m/>
    <m/>
    <m/>
    <m/>
    <m/>
    <s v=""/>
    <s v=""/>
    <n v="1"/>
    <s v=""/>
    <s v=""/>
    <n v="3"/>
    <s v=""/>
    <m/>
    <m/>
    <n v="0"/>
  </r>
  <r>
    <s v="SD17019"/>
    <x v="16"/>
    <s v="SD17"/>
    <s v="Ad Dabbah"/>
    <s v="SD17019"/>
    <m/>
    <m/>
    <m/>
    <m/>
    <m/>
    <m/>
    <n v="2"/>
    <m/>
    <m/>
    <m/>
    <m/>
    <m/>
    <s v=""/>
    <n v="1"/>
    <s v=""/>
    <s v=""/>
    <s v=""/>
    <n v="2"/>
    <s v=""/>
    <m/>
    <m/>
    <n v="0"/>
  </r>
  <r>
    <s v="SD17020"/>
    <x v="16"/>
    <s v="SD17"/>
    <s v="Merwoe"/>
    <s v="SD17020"/>
    <m/>
    <m/>
    <m/>
    <m/>
    <m/>
    <m/>
    <n v="4"/>
    <m/>
    <m/>
    <m/>
    <m/>
    <m/>
    <s v=""/>
    <s v=""/>
    <s v=""/>
    <n v="1"/>
    <s v=""/>
    <n v="4"/>
    <s v=""/>
    <m/>
    <m/>
    <n v="0"/>
  </r>
  <r>
    <s v="SD18021"/>
    <x v="17"/>
    <s v="SD18"/>
    <s v="Ghubaish"/>
    <s v="SD18021"/>
    <m/>
    <m/>
    <m/>
    <m/>
    <m/>
    <m/>
    <n v="2"/>
    <m/>
    <m/>
    <m/>
    <m/>
    <m/>
    <s v=""/>
    <n v="1"/>
    <s v=""/>
    <s v=""/>
    <s v=""/>
    <n v="2"/>
    <s v=""/>
    <m/>
    <m/>
    <n v="0"/>
  </r>
  <r>
    <s v="SD18022"/>
    <x v="17"/>
    <s v="SD18"/>
    <s v="An Nuhud"/>
    <s v="SD18022"/>
    <m/>
    <m/>
    <m/>
    <m/>
    <m/>
    <m/>
    <n v="2"/>
    <m/>
    <m/>
    <m/>
    <m/>
    <m/>
    <s v=""/>
    <n v="1"/>
    <s v=""/>
    <s v=""/>
    <s v=""/>
    <n v="2"/>
    <s v=""/>
    <m/>
    <m/>
    <n v="0"/>
  </r>
  <r>
    <s v="SD18028"/>
    <x v="17"/>
    <s v="SD18"/>
    <s v="Abu Zabad"/>
    <s v="SD18028"/>
    <m/>
    <m/>
    <m/>
    <m/>
    <m/>
    <m/>
    <n v="2"/>
    <m/>
    <m/>
    <m/>
    <m/>
    <m/>
    <s v=""/>
    <n v="1"/>
    <s v=""/>
    <s v=""/>
    <s v=""/>
    <n v="2"/>
    <s v=""/>
    <m/>
    <m/>
    <n v="0"/>
  </r>
  <r>
    <s v="SD18029"/>
    <x v="17"/>
    <s v="SD18"/>
    <s v="Wad Bandah"/>
    <s v="SD18029"/>
    <m/>
    <m/>
    <m/>
    <m/>
    <m/>
    <m/>
    <n v="4"/>
    <m/>
    <m/>
    <m/>
    <m/>
    <m/>
    <s v=""/>
    <s v=""/>
    <s v=""/>
    <n v="1"/>
    <s v=""/>
    <n v="4"/>
    <s v=""/>
    <m/>
    <m/>
    <n v="0"/>
  </r>
  <r>
    <s v="SD18085"/>
    <x v="17"/>
    <s v="SD18"/>
    <s v="Keilak"/>
    <s v="SD18085"/>
    <m/>
    <m/>
    <m/>
    <m/>
    <m/>
    <m/>
    <n v="2"/>
    <m/>
    <m/>
    <m/>
    <m/>
    <m/>
    <s v=""/>
    <n v="1"/>
    <s v=""/>
    <s v=""/>
    <s v=""/>
    <n v="2"/>
    <s v=""/>
    <m/>
    <m/>
    <n v="0"/>
  </r>
  <r>
    <s v="SD18086"/>
    <x v="17"/>
    <s v="SD18"/>
    <s v="As Salam - WK"/>
    <s v="SD18086"/>
    <m/>
    <m/>
    <m/>
    <m/>
    <m/>
    <m/>
    <n v="2"/>
    <m/>
    <m/>
    <m/>
    <m/>
    <m/>
    <s v=""/>
    <n v="1"/>
    <s v=""/>
    <s v=""/>
    <s v=""/>
    <n v="2"/>
    <s v=""/>
    <m/>
    <m/>
    <n v="0"/>
  </r>
  <r>
    <s v="SD18087"/>
    <x v="17"/>
    <s v="SD18"/>
    <s v="Abyei"/>
    <s v="SD18087"/>
    <m/>
    <m/>
    <m/>
    <m/>
    <m/>
    <m/>
    <n v="4"/>
    <m/>
    <m/>
    <m/>
    <m/>
    <m/>
    <s v=""/>
    <s v=""/>
    <s v=""/>
    <n v="1"/>
    <s v=""/>
    <n v="4"/>
    <s v=""/>
    <m/>
    <m/>
    <n v="0"/>
  </r>
  <r>
    <s v="SD18092"/>
    <x v="17"/>
    <s v="SD18"/>
    <s v="As Sunut"/>
    <s v="SD18092"/>
    <m/>
    <m/>
    <m/>
    <m/>
    <m/>
    <m/>
    <n v="2"/>
    <m/>
    <m/>
    <m/>
    <m/>
    <m/>
    <s v=""/>
    <n v="1"/>
    <s v=""/>
    <s v=""/>
    <s v=""/>
    <n v="2"/>
    <s v=""/>
    <m/>
    <m/>
    <n v="0"/>
  </r>
  <r>
    <s v="SD18100"/>
    <x v="17"/>
    <s v="SD18"/>
    <s v="Babanusa"/>
    <s v="SD18100"/>
    <m/>
    <m/>
    <m/>
    <m/>
    <m/>
    <m/>
    <n v="1"/>
    <m/>
    <m/>
    <m/>
    <m/>
    <m/>
    <n v="1"/>
    <s v=""/>
    <s v=""/>
    <s v=""/>
    <s v=""/>
    <n v="1"/>
    <s v=""/>
    <m/>
    <m/>
    <n v="0"/>
  </r>
  <r>
    <s v="SD18102"/>
    <x v="17"/>
    <s v="SD18"/>
    <s v="Al Lagowa"/>
    <s v="SD18102"/>
    <m/>
    <m/>
    <m/>
    <m/>
    <m/>
    <m/>
    <n v="3"/>
    <m/>
    <m/>
    <m/>
    <m/>
    <m/>
    <s v=""/>
    <s v=""/>
    <n v="1"/>
    <s v=""/>
    <s v=""/>
    <n v="3"/>
    <s v=""/>
    <m/>
    <m/>
    <n v="0"/>
  </r>
  <r>
    <s v="SD18103"/>
    <x v="17"/>
    <s v="SD18"/>
    <s v="Al Dibab"/>
    <s v="SD18103"/>
    <m/>
    <m/>
    <m/>
    <m/>
    <m/>
    <m/>
    <n v="2"/>
    <m/>
    <m/>
    <m/>
    <m/>
    <m/>
    <s v=""/>
    <n v="1"/>
    <s v=""/>
    <s v=""/>
    <s v=""/>
    <n v="2"/>
    <s v=""/>
    <m/>
    <m/>
    <n v="0"/>
  </r>
  <r>
    <s v="SD18104"/>
    <x v="17"/>
    <s v="SD18"/>
    <s v="Al Idia"/>
    <s v="SD18104"/>
    <m/>
    <m/>
    <m/>
    <m/>
    <m/>
    <m/>
    <n v="1"/>
    <m/>
    <m/>
    <m/>
    <m/>
    <m/>
    <n v="1"/>
    <s v=""/>
    <s v=""/>
    <s v=""/>
    <s v=""/>
    <n v="1"/>
    <s v=""/>
    <m/>
    <m/>
    <n v="0"/>
  </r>
  <r>
    <s v="SD18105"/>
    <x v="17"/>
    <s v="SD18"/>
    <s v="Al Khiwai"/>
    <s v="SD18105"/>
    <m/>
    <m/>
    <m/>
    <m/>
    <m/>
    <m/>
    <n v="2"/>
    <m/>
    <m/>
    <m/>
    <m/>
    <m/>
    <s v=""/>
    <n v="1"/>
    <s v=""/>
    <s v=""/>
    <s v=""/>
    <n v="2"/>
    <s v=""/>
    <m/>
    <m/>
    <n v="0"/>
  </r>
  <r>
    <s v="SD18106"/>
    <x v="17"/>
    <s v="SD18"/>
    <s v="Al Meiram"/>
    <s v="SD18106"/>
    <m/>
    <m/>
    <m/>
    <m/>
    <m/>
    <m/>
    <n v="1"/>
    <m/>
    <m/>
    <m/>
    <m/>
    <m/>
    <n v="1"/>
    <s v=""/>
    <s v=""/>
    <s v=""/>
    <s v=""/>
    <n v="1"/>
    <s v=""/>
    <m/>
    <m/>
    <n v="0"/>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90">
  <r>
    <s v="SD01001"/>
    <s v="Jebel Awlia"/>
    <n v="621782"/>
    <x v="0"/>
  </r>
  <r>
    <s v="SD01002"/>
    <s v="Um Bada"/>
    <n v="612511.4"/>
    <x v="0"/>
  </r>
  <r>
    <s v="SD01003"/>
    <s v="Bahri"/>
    <n v="246757"/>
    <x v="0"/>
  </r>
  <r>
    <s v="SD01004"/>
    <s v="Sharg An Neel"/>
    <n v="312992.5"/>
    <x v="0"/>
  </r>
  <r>
    <s v="SD01005"/>
    <s v="Karrari"/>
    <n v="409487.75"/>
    <x v="1"/>
  </r>
  <r>
    <s v="SD01006"/>
    <s v="Um Durman"/>
    <n v="172006.95"/>
    <x v="1"/>
  </r>
  <r>
    <s v="SD01007"/>
    <s v="Khartoum"/>
    <n v="289706.2"/>
    <x v="1"/>
  </r>
  <r>
    <s v="SD02113"/>
    <s v="Dar As Salam"/>
    <n v="110332"/>
    <x v="0"/>
  </r>
  <r>
    <s v="SD02114"/>
    <s v="Al Fasher"/>
    <n v="861786"/>
    <x v="0"/>
  </r>
  <r>
    <s v="SD02116"/>
    <s v="Al Koma"/>
    <n v="12500"/>
    <x v="2"/>
  </r>
  <r>
    <s v="SD02117"/>
    <s v="Al Malha"/>
    <n v="22062"/>
    <x v="2"/>
  </r>
  <r>
    <s v="SD02118"/>
    <s v="As Serief"/>
    <n v="33818"/>
    <x v="0"/>
  </r>
  <r>
    <s v="SD02119"/>
    <s v="At Tawisha"/>
    <n v="15857"/>
    <x v="2"/>
  </r>
  <r>
    <s v="SD02120"/>
    <s v="Um Baru"/>
    <n v="41937"/>
    <x v="2"/>
  </r>
  <r>
    <s v="SD02124"/>
    <s v="Kebkabiya"/>
    <n v="177091"/>
    <x v="1"/>
  </r>
  <r>
    <s v="SD02126"/>
    <s v="Kelemando"/>
    <n v="28243"/>
    <x v="2"/>
  </r>
  <r>
    <s v="SD02128"/>
    <s v="Kutum"/>
    <n v="184693.8"/>
    <x v="1"/>
  </r>
  <r>
    <s v="SD02129"/>
    <s v="Melit"/>
    <n v="79239"/>
    <x v="0"/>
  </r>
  <r>
    <s v="SD02133"/>
    <s v="Saraf Omra"/>
    <n v="157288"/>
    <x v="0"/>
  </r>
  <r>
    <s v="SD02136"/>
    <s v="Um Kadadah"/>
    <n v="44665"/>
    <x v="2"/>
  </r>
  <r>
    <s v="SD02168"/>
    <s v="Kernoi"/>
    <n v="43782"/>
    <x v="2"/>
  </r>
  <r>
    <s v="SD02169"/>
    <s v="Al Lait"/>
    <n v="76612"/>
    <x v="2"/>
  </r>
  <r>
    <s v="SD02170"/>
    <s v="Tawila"/>
    <n v="140819"/>
    <x v="1"/>
  </r>
  <r>
    <s v="SD02171"/>
    <s v="At Tina"/>
    <n v="19634"/>
    <x v="0"/>
  </r>
  <r>
    <s v="SD03141"/>
    <s v="Al Radoum"/>
    <n v="115305"/>
    <x v="2"/>
  </r>
  <r>
    <s v="SD03143"/>
    <s v="Ed Al Fursan"/>
    <n v="93455"/>
    <x v="2"/>
  </r>
  <r>
    <s v="SD03144"/>
    <s v="Kas"/>
    <n v="252194"/>
    <x v="0"/>
  </r>
  <r>
    <s v="SD03145"/>
    <s v="Mershing"/>
    <n v="102793"/>
    <x v="0"/>
  </r>
  <r>
    <s v="SD03146"/>
    <s v="Um Dafoug"/>
    <n v="39806"/>
    <x v="2"/>
  </r>
  <r>
    <s v="SD03147"/>
    <s v="Sharg Aj Jabal"/>
    <n v="12235.8"/>
    <x v="0"/>
  </r>
  <r>
    <s v="SD03149"/>
    <s v="Tulus"/>
    <n v="83946"/>
    <x v="2"/>
  </r>
  <r>
    <s v="SD03150"/>
    <s v="Al Wihda"/>
    <n v="36990"/>
    <x v="0"/>
  </r>
  <r>
    <s v="SD03151"/>
    <s v="Nitega"/>
    <n v="81262"/>
    <x v="0"/>
  </r>
  <r>
    <s v="SD03153"/>
    <s v="Gereida"/>
    <n v="216584"/>
    <x v="0"/>
  </r>
  <r>
    <s v="SD03154"/>
    <s v="Shattaya"/>
    <n v="26785"/>
    <x v="2"/>
  </r>
  <r>
    <s v="SD03156"/>
    <s v="As Sunta"/>
    <n v="81594"/>
    <x v="2"/>
  </r>
  <r>
    <s v="SD03157"/>
    <s v="Kubum"/>
    <n v="72920"/>
    <x v="1"/>
  </r>
  <r>
    <s v="SD03158"/>
    <s v="Rehaid Albirdi"/>
    <n v="109010"/>
    <x v="0"/>
  </r>
  <r>
    <s v="SD03159"/>
    <s v="Kateila"/>
    <n v="66555"/>
    <x v="0"/>
  </r>
  <r>
    <s v="SD03161"/>
    <s v="Buram"/>
    <n v="132477"/>
    <x v="0"/>
  </r>
  <r>
    <s v="SD03162"/>
    <s v="Beliel"/>
    <n v="575818.81999999995"/>
    <x v="0"/>
  </r>
  <r>
    <s v="SD03164"/>
    <s v="Nyala Shimal"/>
    <n v="607594"/>
    <x v="1"/>
  </r>
  <r>
    <s v="SD03166"/>
    <s v="As Salam - SD"/>
    <n v="65008"/>
    <x v="0"/>
  </r>
  <r>
    <s v="SD03167"/>
    <s v="Nyala Janoub"/>
    <n v="314896.53000000003"/>
    <x v="1"/>
  </r>
  <r>
    <s v="SD03172"/>
    <s v="Damso"/>
    <n v="68121"/>
    <x v="2"/>
  </r>
  <r>
    <s v="SD04111"/>
    <s v="Beida"/>
    <n v="126055"/>
    <x v="0"/>
  </r>
  <r>
    <s v="SD04115"/>
    <s v="Ag Geneina"/>
    <n v="354233.63699999999"/>
    <x v="0"/>
  </r>
  <r>
    <s v="SD04121"/>
    <s v="Foro Baranga"/>
    <n v="65099"/>
    <x v="1"/>
  </r>
  <r>
    <s v="SD04122"/>
    <s v="Habila - WD"/>
    <n v="114439"/>
    <x v="0"/>
  </r>
  <r>
    <s v="SD04123"/>
    <s v="Jebel Moon"/>
    <n v="92933"/>
    <x v="0"/>
  </r>
  <r>
    <s v="SD04125"/>
    <s v="Kereneik"/>
    <n v="202783.8"/>
    <x v="0"/>
  </r>
  <r>
    <s v="SD04127"/>
    <s v="Kulbus"/>
    <n v="67414.95"/>
    <x v="0"/>
  </r>
  <r>
    <s v="SD04134"/>
    <s v="Sirba"/>
    <n v="77060"/>
    <x v="0"/>
  </r>
  <r>
    <s v="SD05139"/>
    <s v="Adila"/>
    <n v="116402"/>
    <x v="0"/>
  </r>
  <r>
    <s v="SD05140"/>
    <s v="Abu Jabrah"/>
    <n v="102846"/>
    <x v="2"/>
  </r>
  <r>
    <s v="SD05142"/>
    <s v="Ad Du'ayn"/>
    <n v="244018"/>
    <x v="0"/>
  </r>
  <r>
    <s v="SD05148"/>
    <s v="Shia'ria"/>
    <n v="121268"/>
    <x v="0"/>
  </r>
  <r>
    <s v="SD05152"/>
    <s v="Al Firdous"/>
    <n v="106752"/>
    <x v="0"/>
  </r>
  <r>
    <s v="SD05155"/>
    <s v="Abu Karinka"/>
    <n v="113270"/>
    <x v="2"/>
  </r>
  <r>
    <s v="SD05160"/>
    <s v="Bahr Al Arab"/>
    <n v="189966"/>
    <x v="0"/>
  </r>
  <r>
    <s v="SD05163"/>
    <s v="Assalaya"/>
    <n v="86002"/>
    <x v="0"/>
  </r>
  <r>
    <s v="SD05165"/>
    <s v="Yassin"/>
    <n v="108900.9"/>
    <x v="0"/>
  </r>
  <r>
    <s v="SD06110"/>
    <s v="Azum"/>
    <n v="149402"/>
    <x v="0"/>
  </r>
  <r>
    <s v="SD06112"/>
    <s v="Bendasi"/>
    <n v="74989.5"/>
    <x v="0"/>
  </r>
  <r>
    <s v="SD06130"/>
    <s v="Mukjar"/>
    <n v="99844"/>
    <x v="0"/>
  </r>
  <r>
    <s v="SD06131"/>
    <s v="Gharb Jabal Marrah"/>
    <n v="172054"/>
    <x v="0"/>
  </r>
  <r>
    <s v="SD06132"/>
    <s v="Shamal Jabal Marrah"/>
    <n v="229943"/>
    <x v="0"/>
  </r>
  <r>
    <s v="SD06135"/>
    <s v="Um Dukhun"/>
    <n v="120296"/>
    <x v="0"/>
  </r>
  <r>
    <s v="SD06137"/>
    <s v="Wadi Salih"/>
    <n v="175787.8"/>
    <x v="2"/>
  </r>
  <r>
    <s v="SD06138"/>
    <s v="Zalingi"/>
    <n v="452985"/>
    <x v="1"/>
  </r>
  <r>
    <s v="SD06139"/>
    <s v="Wasat Jabal Marrah"/>
    <n v="171195"/>
    <x v="0"/>
  </r>
  <r>
    <s v="SD07088"/>
    <s v="Abu Jubayhah"/>
    <n v="163407"/>
    <x v="0"/>
  </r>
  <r>
    <s v="SD07089"/>
    <s v="Talawdi"/>
    <n v="40897"/>
    <x v="2"/>
  </r>
  <r>
    <s v="SD07090"/>
    <s v="Abassiya"/>
    <n v="120449"/>
    <x v="0"/>
  </r>
  <r>
    <s v="SD07091"/>
    <s v="Um Durein"/>
    <n v="70546"/>
    <x v="2"/>
  </r>
  <r>
    <s v="SD07093"/>
    <s v="Ar Rashad"/>
    <n v="55396"/>
    <x v="2"/>
  </r>
  <r>
    <s v="SD07094"/>
    <s v="Al Quoz"/>
    <n v="60376"/>
    <x v="2"/>
  </r>
  <r>
    <s v="SD07095"/>
    <s v="Dilling"/>
    <n v="157579.5"/>
    <x v="2"/>
  </r>
  <r>
    <s v="SD07096"/>
    <s v="Heiban"/>
    <n v="104512"/>
    <x v="2"/>
  </r>
  <r>
    <s v="SD07097"/>
    <s v="Ar Reif Ash Shargi"/>
    <n v="52154"/>
    <x v="2"/>
  </r>
  <r>
    <s v="SD07098"/>
    <s v="Kadugli"/>
    <n v="173373.6"/>
    <x v="1"/>
  </r>
  <r>
    <s v="SD07099"/>
    <s v="Al Buram"/>
    <n v="95861"/>
    <x v="2"/>
  </r>
  <r>
    <s v="SD07103"/>
    <s v="Habila - SK"/>
    <n v="42665"/>
    <x v="0"/>
  </r>
  <r>
    <s v="SD07104"/>
    <s v="Abu Kershola"/>
    <n v="73388"/>
    <x v="0"/>
  </r>
  <r>
    <s v="SD07105"/>
    <s v="Al Leri"/>
    <n v="31946"/>
    <x v="0"/>
  </r>
  <r>
    <s v="SD07106"/>
    <s v="At Tadamon - SK"/>
    <n v="45832"/>
    <x v="2"/>
  </r>
  <r>
    <s v="SD07107"/>
    <s v="Delami"/>
    <n v="25415"/>
    <x v="1"/>
  </r>
  <r>
    <s v="SD07108"/>
    <s v="Ghadeer"/>
    <n v="58995"/>
    <x v="1"/>
  </r>
  <r>
    <s v="SD08104"/>
    <s v="Baw"/>
    <n v="99452"/>
    <x v="2"/>
  </r>
  <r>
    <s v="SD08105"/>
    <s v="Ed Damazine"/>
    <n v="123943"/>
    <x v="2"/>
  </r>
  <r>
    <s v="SD08106"/>
    <s v="Al Kurmuk"/>
    <n v="80344"/>
    <x v="0"/>
  </r>
  <r>
    <s v="SD08107"/>
    <s v="Ar Rusayris"/>
    <n v="103677"/>
    <x v="2"/>
  </r>
  <r>
    <s v="SD08108"/>
    <s v="At Tadamon - BN"/>
    <n v="50990"/>
    <x v="2"/>
  </r>
  <r>
    <s v="SD08109"/>
    <s v="Geisan"/>
    <n v="69743"/>
    <x v="0"/>
  </r>
  <r>
    <s v="SD08110"/>
    <s v="Wad Al Mahi"/>
    <n v="53724.6"/>
    <x v="1"/>
  </r>
  <r>
    <s v="SD09044"/>
    <s v="Ad Diwaim"/>
    <n v="181754"/>
    <x v="0"/>
  </r>
  <r>
    <s v="SD09045"/>
    <s v="Um Rimta"/>
    <n v="66937"/>
    <x v="2"/>
  </r>
  <r>
    <s v="SD09046"/>
    <s v="Rabak"/>
    <n v="121723"/>
    <x v="2"/>
  </r>
  <r>
    <s v="SD09047"/>
    <s v="Kosti"/>
    <n v="146620"/>
    <x v="2"/>
  </r>
  <r>
    <s v="SD09048"/>
    <s v="Tendalti"/>
    <n v="87322"/>
    <x v="2"/>
  </r>
  <r>
    <s v="SD09049"/>
    <s v="As Salam / Ar Rawat"/>
    <n v="385775"/>
    <x v="0"/>
  </r>
  <r>
    <s v="SD09050"/>
    <s v="Al Gitaina"/>
    <n v="198498"/>
    <x v="2"/>
  </r>
  <r>
    <s v="SD09051"/>
    <s v="Aj Jabalain"/>
    <n v="342245"/>
    <x v="0"/>
  </r>
  <r>
    <s v="SD09052"/>
    <s v="Guli"/>
    <n v="228002"/>
    <x v="2"/>
  </r>
  <r>
    <s v="SD10063"/>
    <s v="Dordieb"/>
    <n v="23217"/>
    <x v="2"/>
  </r>
  <r>
    <s v="SD10064"/>
    <s v="Port Sudan"/>
    <n v="271265"/>
    <x v="2"/>
  </r>
  <r>
    <s v="SD10065"/>
    <s v="Tawkar"/>
    <n v="64768"/>
    <x v="2"/>
  </r>
  <r>
    <s v="SD10066"/>
    <s v="Hala'ib"/>
    <n v="16046"/>
    <x v="2"/>
  </r>
  <r>
    <s v="SD10067"/>
    <s v="Jubayt Elma'aadin"/>
    <n v="33292"/>
    <x v="2"/>
  </r>
  <r>
    <s v="SD10068"/>
    <s v="Sawakin"/>
    <n v="16958"/>
    <x v="2"/>
  </r>
  <r>
    <s v="SD10069"/>
    <s v="Al Ganab"/>
    <n v="48202"/>
    <x v="2"/>
  </r>
  <r>
    <s v="SD10070"/>
    <s v="Haya"/>
    <n v="147455"/>
    <x v="2"/>
  </r>
  <r>
    <s v="SD10071"/>
    <s v="Sinkat"/>
    <n v="49343"/>
    <x v="2"/>
  </r>
  <r>
    <s v="SD10072"/>
    <s v="Agig"/>
    <n v="39523"/>
    <x v="2"/>
  </r>
  <r>
    <s v="SD11052"/>
    <s v="Halfa Aj Jadeedah"/>
    <n v="141434"/>
    <x v="2"/>
  </r>
  <r>
    <s v="SD11053"/>
    <s v="Madeinat Kassala"/>
    <n v="172370.25"/>
    <x v="2"/>
  </r>
  <r>
    <s v="SD11054"/>
    <s v="Reifi Gharb Kassala"/>
    <n v="106798"/>
    <x v="2"/>
  </r>
  <r>
    <s v="SD11055"/>
    <s v="Reifi Aroma"/>
    <n v="81906"/>
    <x v="2"/>
  </r>
  <r>
    <s v="SD11056"/>
    <s v="Reifi Kassla"/>
    <n v="92335"/>
    <x v="2"/>
  </r>
  <r>
    <s v="SD11057"/>
    <s v="Reifi Shamal Ad Delta"/>
    <n v="80143"/>
    <x v="0"/>
  </r>
  <r>
    <s v="SD11058"/>
    <s v="Reifi Hamashkureib"/>
    <n v="217712"/>
    <x v="0"/>
  </r>
  <r>
    <s v="SD11059"/>
    <s v="Reifi Telkok"/>
    <n v="185377"/>
    <x v="2"/>
  </r>
  <r>
    <s v="SD11060"/>
    <s v="Reifi Khashm Elgirba"/>
    <n v="79474"/>
    <x v="2"/>
  </r>
  <r>
    <s v="SD11061"/>
    <s v="Reifi Wad Elhilaiw"/>
    <n v="150960"/>
    <x v="2"/>
  </r>
  <r>
    <s v="SD11062"/>
    <s v="Reifi Nahr Atbara"/>
    <n v="120823"/>
    <x v="2"/>
  </r>
  <r>
    <s v="SD12073"/>
    <s v="Al Butanah"/>
    <n v="54075"/>
    <x v="2"/>
  </r>
  <r>
    <s v="SD12074"/>
    <s v="Al Fao"/>
    <n v="79254"/>
    <x v="2"/>
  </r>
  <r>
    <s v="SD12075"/>
    <s v="Al Fashaga"/>
    <n v="47385"/>
    <x v="2"/>
  </r>
  <r>
    <s v="SD12076"/>
    <s v="Al Qureisha"/>
    <n v="65507"/>
    <x v="2"/>
  </r>
  <r>
    <s v="SD12077"/>
    <s v="Basundah"/>
    <n v="68569"/>
    <x v="2"/>
  </r>
  <r>
    <s v="SD12078"/>
    <s v="Al Galabat Al Gharbyah - Kassab"/>
    <n v="65472"/>
    <x v="2"/>
  </r>
  <r>
    <s v="SD12079"/>
    <s v="Gala'a Al Nahal"/>
    <n v="58346"/>
    <x v="2"/>
  </r>
  <r>
    <s v="SD12080"/>
    <s v="Madeinat Al Gedaref"/>
    <n v="194302"/>
    <x v="2"/>
  </r>
  <r>
    <s v="SD12081"/>
    <s v="Wasat Al Gedaref"/>
    <n v="96472"/>
    <x v="2"/>
  </r>
  <r>
    <s v="SD12082"/>
    <s v="Al Mafaza"/>
    <n v="87260"/>
    <x v="2"/>
  </r>
  <r>
    <s v="SD12083"/>
    <s v="Galabat Ash-Shargiah"/>
    <n v="112881"/>
    <x v="2"/>
  </r>
  <r>
    <s v="SD12084"/>
    <s v="Ar Rahad"/>
    <n v="114115"/>
    <x v="2"/>
  </r>
  <r>
    <s v="SD13023"/>
    <s v="Um Rawaba"/>
    <n v="136110"/>
    <x v="1"/>
  </r>
  <r>
    <s v="SD13024"/>
    <s v="Sheikan"/>
    <n v="251661.68"/>
    <x v="1"/>
  </r>
  <r>
    <s v="SD13025"/>
    <s v="Soudari"/>
    <n v="142885"/>
    <x v="2"/>
  </r>
  <r>
    <s v="SD13026"/>
    <s v="Bara"/>
    <n v="87685"/>
    <x v="2"/>
  </r>
  <r>
    <s v="SD13027"/>
    <s v="Gebrat Al Sheikh"/>
    <n v="101812"/>
    <x v="2"/>
  </r>
  <r>
    <s v="SD13028"/>
    <s v="Um Dam Haj Ahmed"/>
    <n v="55137"/>
    <x v="2"/>
  </r>
  <r>
    <s v="SD13029"/>
    <s v="Gharb Bara"/>
    <n v="67807"/>
    <x v="2"/>
  </r>
  <r>
    <s v="SD13030"/>
    <s v="Ar Rahad"/>
    <n v="80437"/>
    <x v="0"/>
  </r>
  <r>
    <s v="SD14037"/>
    <s v="Abu Hujar"/>
    <n v="133928"/>
    <x v="2"/>
  </r>
  <r>
    <s v="SD14038"/>
    <s v="Sennar"/>
    <n v="145948.7383"/>
    <x v="2"/>
  </r>
  <r>
    <s v="SD14039"/>
    <s v="Ad Dali"/>
    <n v="92252"/>
    <x v="2"/>
  </r>
  <r>
    <s v="SD14040"/>
    <s v="Ad Dinder"/>
    <n v="166203"/>
    <x v="0"/>
  </r>
  <r>
    <s v="SD14041"/>
    <s v="As Suki"/>
    <n v="142434"/>
    <x v="2"/>
  </r>
  <r>
    <s v="SD14042"/>
    <s v="Sharg Sennar"/>
    <n v="172693"/>
    <x v="2"/>
  </r>
  <r>
    <s v="SD14043"/>
    <s v="Sinja"/>
    <n v="124209"/>
    <x v="2"/>
  </r>
  <r>
    <s v="SD15030"/>
    <s v="Medani Al Kubra"/>
    <n v="155042"/>
    <x v="2"/>
  </r>
  <r>
    <s v="SD15031"/>
    <s v="Janub Aj Jazirah"/>
    <n v="158803"/>
    <x v="2"/>
  </r>
  <r>
    <s v="SD15032"/>
    <s v="Um Algura"/>
    <n v="134849"/>
    <x v="2"/>
  </r>
  <r>
    <s v="SD15033"/>
    <s v="Sharg Aj Jazirah"/>
    <n v="146963"/>
    <x v="2"/>
  </r>
  <r>
    <s v="SD15034"/>
    <s v="Al Hasahisa"/>
    <n v="269705"/>
    <x v="2"/>
  </r>
  <r>
    <s v="SD15035"/>
    <s v="Al Kamlin"/>
    <n v="291484"/>
    <x v="0"/>
  </r>
  <r>
    <s v="SD15036"/>
    <s v="Al Manaqil"/>
    <n v="222762"/>
    <x v="2"/>
  </r>
  <r>
    <s v="SD15037"/>
    <s v="Al Qurashi"/>
    <n v="92132"/>
    <x v="2"/>
  </r>
  <r>
    <s v="SD16008"/>
    <s v="Abu Hamad"/>
    <n v="56200"/>
    <x v="2"/>
  </r>
  <r>
    <s v="SD16009"/>
    <s v="Al Matama"/>
    <n v="191732"/>
    <x v="2"/>
  </r>
  <r>
    <s v="SD16010"/>
    <s v="Shendi"/>
    <n v="202260"/>
    <x v="0"/>
  </r>
  <r>
    <s v="SD16011"/>
    <s v="Ad Damar"/>
    <n v="219806"/>
    <x v="2"/>
  </r>
  <r>
    <s v="SD16012"/>
    <s v="Atbara"/>
    <n v="207242"/>
    <x v="2"/>
  </r>
  <r>
    <s v="SD16013"/>
    <s v="Barbar"/>
    <n v="99472"/>
    <x v="2"/>
  </r>
  <r>
    <s v="SD16014"/>
    <s v="Al Buhaira"/>
    <n v="62304"/>
    <x v="2"/>
  </r>
  <r>
    <s v="SD17014"/>
    <s v="Halfa"/>
    <n v="77152"/>
    <x v="2"/>
  </r>
  <r>
    <s v="SD17015"/>
    <s v="Delgo"/>
    <n v="89520"/>
    <x v="2"/>
  </r>
  <r>
    <s v="SD17016"/>
    <s v="Al Burgaig"/>
    <n v="88604"/>
    <x v="2"/>
  </r>
  <r>
    <s v="SD17017"/>
    <s v="Dongola"/>
    <n v="105567"/>
    <x v="2"/>
  </r>
  <r>
    <s v="SD17018"/>
    <s v="Al Golid"/>
    <n v="80620"/>
    <x v="2"/>
  </r>
  <r>
    <s v="SD17019"/>
    <s v="Ad Dabbah"/>
    <n v="157484.79999999999"/>
    <x v="2"/>
  </r>
  <r>
    <s v="SD17020"/>
    <s v="Merwoe"/>
    <n v="147552"/>
    <x v="2"/>
  </r>
  <r>
    <s v="SD18021"/>
    <s v="Ghubaish"/>
    <n v="82222"/>
    <x v="2"/>
  </r>
  <r>
    <s v="SD18022"/>
    <s v="An Nuhud"/>
    <n v="156696"/>
    <x v="0"/>
  </r>
  <r>
    <s v="SD18028"/>
    <s v="Abu Zabad"/>
    <n v="44151"/>
    <x v="0"/>
  </r>
  <r>
    <s v="SD18029"/>
    <s v="Wad Bandah"/>
    <n v="52701"/>
    <x v="2"/>
  </r>
  <r>
    <s v="SD18085"/>
    <s v="Keilak"/>
    <n v="50731.5"/>
    <x v="0"/>
  </r>
  <r>
    <s v="SD18086"/>
    <s v="As Salam - WK"/>
    <n v="52484"/>
    <x v="2"/>
  </r>
  <r>
    <s v="SD18087"/>
    <s v="Abyei"/>
    <n v="74313"/>
    <x v="0"/>
  </r>
  <r>
    <s v="SD18092"/>
    <s v="As Sunut"/>
    <n v="57727"/>
    <x v="2"/>
  </r>
  <r>
    <s v="SD18100"/>
    <s v="Babanusa"/>
    <n v="49791"/>
    <x v="2"/>
  </r>
  <r>
    <s v="SD18102"/>
    <s v="Al Lagowa"/>
    <n v="62752"/>
    <x v="0"/>
  </r>
  <r>
    <s v="SD18103"/>
    <s v="Al Dibab"/>
    <n v="41646"/>
    <x v="0"/>
  </r>
  <r>
    <s v="SD18104"/>
    <s v="Al Idia"/>
    <n v="92427"/>
    <x v="2"/>
  </r>
  <r>
    <s v="SD18105"/>
    <s v="Al Khiwai"/>
    <n v="29215"/>
    <x v="2"/>
  </r>
  <r>
    <s v="SD18106"/>
    <s v="Al Meiram"/>
    <n v="41276"/>
    <x v="2"/>
  </r>
  <r>
    <s v="SD19101"/>
    <s v="Abyei PCA area"/>
    <n v="29245"/>
    <x v="2"/>
  </r>
  <r>
    <s v="SDTEMP"/>
    <s v="Al Waha"/>
    <n v="0"/>
    <x v="3"/>
  </r>
</pivotCacheRecords>
</file>

<file path=xl/pivotCache/pivotCacheRecords4.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760">
  <r>
    <n v="0"/>
    <s v="Abyei PCA"/>
    <s v="SD19"/>
    <x v="0"/>
    <x v="0"/>
    <m/>
    <m/>
    <n v="0"/>
  </r>
  <r>
    <n v="21980"/>
    <s v="Aj Jazirah"/>
    <s v="SD15"/>
    <x v="1"/>
    <x v="1"/>
    <m/>
    <m/>
    <n v="21980"/>
  </r>
  <r>
    <n v="72235"/>
    <s v="Aj Jazirah"/>
    <s v="SD15"/>
    <x v="2"/>
    <x v="2"/>
    <m/>
    <m/>
    <n v="72235"/>
  </r>
  <r>
    <n v="29680"/>
    <s v="Aj Jazirah"/>
    <s v="SD15"/>
    <x v="3"/>
    <x v="3"/>
    <m/>
    <m/>
    <n v="29680"/>
  </r>
  <r>
    <n v="9110"/>
    <s v="Aj Jazirah"/>
    <s v="SD15"/>
    <x v="4"/>
    <x v="4"/>
    <m/>
    <m/>
    <n v="9110"/>
  </r>
  <r>
    <n v="21966"/>
    <s v="Aj Jazirah"/>
    <s v="SD15"/>
    <x v="5"/>
    <x v="5"/>
    <m/>
    <m/>
    <n v="21966"/>
  </r>
  <r>
    <n v="57694"/>
    <s v="Aj Jazirah"/>
    <s v="SD15"/>
    <x v="6"/>
    <x v="6"/>
    <m/>
    <m/>
    <n v="57694"/>
  </r>
  <r>
    <n v="14210"/>
    <s v="Aj Jazirah"/>
    <s v="SD15"/>
    <x v="7"/>
    <x v="7"/>
    <m/>
    <m/>
    <n v="14210"/>
  </r>
  <r>
    <n v="43029"/>
    <s v="Aj Jazirah"/>
    <s v="SD15"/>
    <x v="8"/>
    <x v="8"/>
    <m/>
    <m/>
    <n v="43029"/>
  </r>
  <r>
    <n v="19116"/>
    <s v="Blue Nile"/>
    <s v="SD08"/>
    <x v="9"/>
    <x v="9"/>
    <m/>
    <m/>
    <n v="19116"/>
  </r>
  <r>
    <n v="32755"/>
    <s v="Blue Nile"/>
    <s v="SD08"/>
    <x v="10"/>
    <x v="10"/>
    <m/>
    <m/>
    <n v="32755"/>
  </r>
  <r>
    <n v="16752"/>
    <s v="Blue Nile"/>
    <s v="SD08"/>
    <x v="11"/>
    <x v="11"/>
    <m/>
    <m/>
    <n v="16752"/>
  </r>
  <r>
    <n v="41256"/>
    <s v="Blue Nile"/>
    <s v="SD08"/>
    <x v="12"/>
    <x v="12"/>
    <m/>
    <m/>
    <n v="41256"/>
  </r>
  <r>
    <n v="49284"/>
    <s v="Blue Nile"/>
    <s v="SD08"/>
    <x v="13"/>
    <x v="13"/>
    <m/>
    <m/>
    <n v="49284"/>
  </r>
  <r>
    <n v="29421"/>
    <s v="Blue Nile"/>
    <s v="SD08"/>
    <x v="14"/>
    <x v="14"/>
    <m/>
    <m/>
    <n v="29421"/>
  </r>
  <r>
    <n v="7801"/>
    <s v="Blue Nile"/>
    <s v="SD08"/>
    <x v="15"/>
    <x v="15"/>
    <m/>
    <m/>
    <n v="7801"/>
  </r>
  <r>
    <n v="75900"/>
    <s v="Central Darfur"/>
    <s v="SD06"/>
    <x v="16"/>
    <x v="16"/>
    <m/>
    <m/>
    <n v="75900"/>
  </r>
  <r>
    <n v="29435"/>
    <s v="Central Darfur"/>
    <s v="SD06"/>
    <x v="17"/>
    <x v="17"/>
    <m/>
    <m/>
    <n v="29435"/>
  </r>
  <r>
    <n v="42700"/>
    <s v="Central Darfur"/>
    <s v="SD06"/>
    <x v="18"/>
    <x v="18"/>
    <m/>
    <m/>
    <n v="42700"/>
  </r>
  <r>
    <n v="25730"/>
    <s v="Central Darfur"/>
    <s v="SD06"/>
    <x v="19"/>
    <x v="19"/>
    <m/>
    <m/>
    <n v="25730"/>
  </r>
  <r>
    <n v="111818"/>
    <s v="Central Darfur"/>
    <s v="SD06"/>
    <x v="20"/>
    <x v="20"/>
    <m/>
    <m/>
    <n v="111818"/>
  </r>
  <r>
    <n v="50328"/>
    <s v="Central Darfur"/>
    <s v="SD06"/>
    <x v="21"/>
    <x v="21"/>
    <m/>
    <m/>
    <n v="50328"/>
  </r>
  <r>
    <n v="54306"/>
    <s v="Central Darfur"/>
    <s v="SD06"/>
    <x v="22"/>
    <x v="22"/>
    <m/>
    <m/>
    <n v="54306"/>
  </r>
  <r>
    <n v="84830"/>
    <s v="Central Darfur"/>
    <s v="SD06"/>
    <x v="23"/>
    <x v="23"/>
    <m/>
    <m/>
    <n v="84830"/>
  </r>
  <r>
    <n v="268763"/>
    <s v="Central Darfur"/>
    <s v="SD06"/>
    <x v="24"/>
    <x v="24"/>
    <m/>
    <m/>
    <n v="268763"/>
  </r>
  <r>
    <n v="40760"/>
    <s v="East Darfur"/>
    <s v="SD05"/>
    <x v="25"/>
    <x v="25"/>
    <m/>
    <m/>
    <n v="40760"/>
  </r>
  <r>
    <n v="34056"/>
    <s v="East Darfur"/>
    <s v="SD05"/>
    <x v="26"/>
    <x v="26"/>
    <m/>
    <m/>
    <n v="34056"/>
  </r>
  <r>
    <n v="154785"/>
    <s v="East Darfur"/>
    <s v="SD05"/>
    <x v="27"/>
    <x v="27"/>
    <m/>
    <m/>
    <n v="154785"/>
  </r>
  <r>
    <n v="49822"/>
    <s v="East Darfur"/>
    <s v="SD05"/>
    <x v="28"/>
    <x v="28"/>
    <m/>
    <m/>
    <n v="49822"/>
  </r>
  <r>
    <n v="41320"/>
    <s v="East Darfur"/>
    <s v="SD05"/>
    <x v="29"/>
    <x v="29"/>
    <m/>
    <m/>
    <n v="41320"/>
  </r>
  <r>
    <n v="5610"/>
    <s v="East Darfur"/>
    <s v="SD05"/>
    <x v="30"/>
    <x v="30"/>
    <m/>
    <m/>
    <n v="5610"/>
  </r>
  <r>
    <n v="49920"/>
    <s v="East Darfur"/>
    <s v="SD05"/>
    <x v="31"/>
    <x v="31"/>
    <m/>
    <m/>
    <n v="49920"/>
  </r>
  <r>
    <n v="77325"/>
    <s v="East Darfur"/>
    <s v="SD05"/>
    <x v="32"/>
    <x v="32"/>
    <m/>
    <m/>
    <n v="77325"/>
  </r>
  <r>
    <n v="65122"/>
    <s v="East Darfur"/>
    <s v="SD05"/>
    <x v="33"/>
    <x v="33"/>
    <m/>
    <m/>
    <n v="65122"/>
  </r>
  <r>
    <n v="2966"/>
    <s v="Gedaref"/>
    <s v="SD12"/>
    <x v="34"/>
    <x v="34"/>
    <m/>
    <m/>
    <n v="2966"/>
  </r>
  <r>
    <n v="11951"/>
    <s v="Gedaref"/>
    <s v="SD12"/>
    <x v="35"/>
    <x v="35"/>
    <m/>
    <m/>
    <n v="11951"/>
  </r>
  <r>
    <n v="13130"/>
    <s v="Gedaref"/>
    <s v="SD12"/>
    <x v="36"/>
    <x v="36"/>
    <m/>
    <m/>
    <n v="13130"/>
  </r>
  <r>
    <n v="8355"/>
    <s v="Gedaref"/>
    <s v="SD12"/>
    <x v="37"/>
    <x v="37"/>
    <m/>
    <m/>
    <n v="8355"/>
  </r>
  <r>
    <n v="17800"/>
    <s v="Gedaref"/>
    <s v="SD12"/>
    <x v="38"/>
    <x v="38"/>
    <m/>
    <m/>
    <n v="17800"/>
  </r>
  <r>
    <n v="18745"/>
    <s v="Gedaref"/>
    <s v="SD12"/>
    <x v="39"/>
    <x v="39"/>
    <m/>
    <m/>
    <n v="18745"/>
  </r>
  <r>
    <n v="36565"/>
    <s v="Gedaref"/>
    <s v="SD12"/>
    <x v="40"/>
    <x v="40"/>
    <m/>
    <m/>
    <n v="36565"/>
  </r>
  <r>
    <n v="27530"/>
    <s v="Gedaref"/>
    <s v="SD12"/>
    <x v="41"/>
    <x v="41"/>
    <m/>
    <m/>
    <n v="27530"/>
  </r>
  <r>
    <n v="12202"/>
    <s v="Gedaref"/>
    <s v="SD12"/>
    <x v="42"/>
    <x v="42"/>
    <m/>
    <m/>
    <n v="12202"/>
  </r>
  <r>
    <n v="27925"/>
    <s v="Gedaref"/>
    <s v="SD12"/>
    <x v="43"/>
    <x v="43"/>
    <m/>
    <m/>
    <n v="27925"/>
  </r>
  <r>
    <n v="72355"/>
    <s v="Gedaref"/>
    <s v="SD12"/>
    <x v="44"/>
    <x v="44"/>
    <m/>
    <m/>
    <n v="72355"/>
  </r>
  <r>
    <n v="18325"/>
    <s v="Gedaref"/>
    <s v="SD12"/>
    <x v="45"/>
    <x v="45"/>
    <m/>
    <m/>
    <n v="18325"/>
  </r>
  <r>
    <n v="32370"/>
    <s v="Kassala"/>
    <s v="SD11"/>
    <x v="46"/>
    <x v="46"/>
    <m/>
    <m/>
    <n v="32370"/>
  </r>
  <r>
    <n v="39365"/>
    <s v="Kassala"/>
    <s v="SD11"/>
    <x v="47"/>
    <x v="47"/>
    <m/>
    <m/>
    <n v="39365"/>
  </r>
  <r>
    <n v="690"/>
    <s v="Kassala"/>
    <s v="SD11"/>
    <x v="48"/>
    <x v="48"/>
    <m/>
    <m/>
    <n v="690"/>
  </r>
  <r>
    <n v="0"/>
    <s v="Kassala"/>
    <s v="SD11"/>
    <x v="49"/>
    <x v="49"/>
    <m/>
    <m/>
    <n v="0"/>
  </r>
  <r>
    <n v="0"/>
    <s v="Kassala"/>
    <s v="SD11"/>
    <x v="50"/>
    <x v="50"/>
    <m/>
    <m/>
    <n v="0"/>
  </r>
  <r>
    <n v="2545"/>
    <s v="Kassala"/>
    <s v="SD11"/>
    <x v="51"/>
    <x v="51"/>
    <m/>
    <m/>
    <n v="2545"/>
  </r>
  <r>
    <n v="7729"/>
    <s v="Kassala"/>
    <s v="SD11"/>
    <x v="52"/>
    <x v="52"/>
    <m/>
    <m/>
    <n v="7729"/>
  </r>
  <r>
    <n v="2391"/>
    <s v="Kassala"/>
    <s v="SD11"/>
    <x v="53"/>
    <x v="53"/>
    <m/>
    <m/>
    <n v="2391"/>
  </r>
  <r>
    <n v="3415"/>
    <s v="Kassala"/>
    <s v="SD11"/>
    <x v="54"/>
    <x v="54"/>
    <m/>
    <m/>
    <n v="3415"/>
  </r>
  <r>
    <n v="1855"/>
    <s v="Kassala"/>
    <s v="SD11"/>
    <x v="55"/>
    <x v="55"/>
    <m/>
    <m/>
    <n v="1855"/>
  </r>
  <r>
    <n v="0"/>
    <s v="Kassala"/>
    <s v="SD11"/>
    <x v="56"/>
    <x v="56"/>
    <m/>
    <m/>
    <n v="0"/>
  </r>
  <r>
    <n v="4450"/>
    <s v="Khartoum"/>
    <s v="SD01"/>
    <x v="57"/>
    <x v="57"/>
    <m/>
    <m/>
    <n v="4450"/>
  </r>
  <r>
    <n v="7380"/>
    <s v="Khartoum"/>
    <s v="SD01"/>
    <x v="58"/>
    <x v="58"/>
    <m/>
    <m/>
    <n v="7380"/>
  </r>
  <r>
    <n v="9365"/>
    <s v="Khartoum"/>
    <s v="SD01"/>
    <x v="59"/>
    <x v="59"/>
    <m/>
    <m/>
    <n v="9365"/>
  </r>
  <r>
    <n v="3205"/>
    <s v="Khartoum"/>
    <s v="SD01"/>
    <x v="60"/>
    <x v="60"/>
    <m/>
    <m/>
    <n v="3205"/>
  </r>
  <r>
    <n v="9250"/>
    <s v="Khartoum"/>
    <s v="SD01"/>
    <x v="61"/>
    <x v="61"/>
    <m/>
    <m/>
    <n v="9250"/>
  </r>
  <r>
    <n v="3170"/>
    <s v="Khartoum"/>
    <s v="SD01"/>
    <x v="62"/>
    <x v="62"/>
    <m/>
    <m/>
    <n v="3170"/>
  </r>
  <r>
    <n v="3980"/>
    <s v="Khartoum"/>
    <s v="SD01"/>
    <x v="63"/>
    <x v="63"/>
    <m/>
    <m/>
    <n v="3980"/>
  </r>
  <r>
    <n v="555749"/>
    <s v="North Darfur"/>
    <s v="SD02"/>
    <x v="64"/>
    <x v="64"/>
    <m/>
    <m/>
    <n v="555749"/>
  </r>
  <r>
    <n v="1750"/>
    <s v="North Darfur"/>
    <s v="SD02"/>
    <x v="65"/>
    <x v="65"/>
    <m/>
    <m/>
    <n v="1750"/>
  </r>
  <r>
    <n v="10152"/>
    <s v="North Darfur"/>
    <s v="SD02"/>
    <x v="66"/>
    <x v="66"/>
    <m/>
    <m/>
    <n v="10152"/>
  </r>
  <r>
    <n v="3990"/>
    <s v="North Darfur"/>
    <s v="SD02"/>
    <x v="67"/>
    <x v="67"/>
    <m/>
    <m/>
    <n v="3990"/>
  </r>
  <r>
    <n v="11546"/>
    <s v="North Darfur"/>
    <s v="SD02"/>
    <x v="68"/>
    <x v="68"/>
    <m/>
    <m/>
    <n v="11546"/>
  </r>
  <r>
    <n v="350"/>
    <s v="North Darfur"/>
    <s v="SD02"/>
    <x v="69"/>
    <x v="69"/>
    <m/>
    <m/>
    <n v="350"/>
  </r>
  <r>
    <n v="4815"/>
    <s v="North Darfur"/>
    <s v="SD02"/>
    <x v="70"/>
    <x v="70"/>
    <m/>
    <m/>
    <n v="4815"/>
  </r>
  <r>
    <n v="55166"/>
    <s v="North Darfur"/>
    <s v="SD02"/>
    <x v="71"/>
    <x v="71"/>
    <m/>
    <m/>
    <n v="55166"/>
  </r>
  <r>
    <n v="82445"/>
    <s v="North Darfur"/>
    <s v="SD02"/>
    <x v="72"/>
    <x v="72"/>
    <m/>
    <m/>
    <n v="82445"/>
  </r>
  <r>
    <n v="7818"/>
    <s v="North Darfur"/>
    <s v="SD02"/>
    <x v="73"/>
    <x v="73"/>
    <m/>
    <m/>
    <n v="7818"/>
  </r>
  <r>
    <n v="255"/>
    <s v="North Darfur"/>
    <s v="SD02"/>
    <x v="74"/>
    <x v="74"/>
    <m/>
    <m/>
    <n v="255"/>
  </r>
  <r>
    <n v="114582"/>
    <s v="North Darfur"/>
    <s v="SD02"/>
    <x v="75"/>
    <x v="75"/>
    <m/>
    <m/>
    <n v="114582"/>
  </r>
  <r>
    <n v="21554"/>
    <s v="North Darfur"/>
    <s v="SD02"/>
    <x v="76"/>
    <x v="76"/>
    <m/>
    <m/>
    <n v="21554"/>
  </r>
  <r>
    <n v="78644"/>
    <s v="North Darfur"/>
    <s v="SD02"/>
    <x v="77"/>
    <x v="77"/>
    <m/>
    <m/>
    <n v="78644"/>
  </r>
  <r>
    <n v="107408"/>
    <s v="North Darfur"/>
    <s v="SD02"/>
    <x v="78"/>
    <x v="78"/>
    <m/>
    <m/>
    <n v="107408"/>
  </r>
  <r>
    <n v="827"/>
    <s v="North Darfur"/>
    <s v="SD02"/>
    <x v="79"/>
    <x v="79"/>
    <m/>
    <m/>
    <n v="827"/>
  </r>
  <r>
    <n v="750"/>
    <s v="North Darfur"/>
    <s v="SD02"/>
    <x v="80"/>
    <x v="80"/>
    <m/>
    <m/>
    <n v="750"/>
  </r>
  <r>
    <n v="0"/>
    <s v="North Darfur"/>
    <s v="SD02"/>
    <x v="81"/>
    <x v="81"/>
    <m/>
    <m/>
    <n v="0"/>
  </r>
  <r>
    <n v="30589"/>
    <s v="North Kordofan"/>
    <s v="SD13"/>
    <x v="40"/>
    <x v="82"/>
    <m/>
    <m/>
    <n v="30589"/>
  </r>
  <r>
    <n v="7868"/>
    <s v="North Kordofan"/>
    <s v="SD13"/>
    <x v="82"/>
    <x v="83"/>
    <m/>
    <m/>
    <n v="7868"/>
  </r>
  <r>
    <n v="3518"/>
    <s v="North Kordofan"/>
    <s v="SD13"/>
    <x v="83"/>
    <x v="84"/>
    <m/>
    <m/>
    <n v="3518"/>
  </r>
  <r>
    <n v="5613"/>
    <s v="North Kordofan"/>
    <s v="SD13"/>
    <x v="84"/>
    <x v="85"/>
    <m/>
    <m/>
    <n v="5613"/>
  </r>
  <r>
    <n v="21299"/>
    <s v="North Kordofan"/>
    <s v="SD13"/>
    <x v="85"/>
    <x v="86"/>
    <m/>
    <m/>
    <n v="21299"/>
  </r>
  <r>
    <n v="3630"/>
    <s v="North Kordofan"/>
    <s v="SD13"/>
    <x v="86"/>
    <x v="87"/>
    <m/>
    <m/>
    <n v="3630"/>
  </r>
  <r>
    <n v="7955"/>
    <s v="North Kordofan"/>
    <s v="SD13"/>
    <x v="87"/>
    <x v="88"/>
    <m/>
    <m/>
    <n v="7955"/>
  </r>
  <r>
    <n v="31628"/>
    <s v="North Kordofan"/>
    <s v="SD13"/>
    <x v="88"/>
    <x v="89"/>
    <m/>
    <m/>
    <n v="31628"/>
  </r>
  <r>
    <n v="69600"/>
    <s v="Northern"/>
    <s v="SD17"/>
    <x v="89"/>
    <x v="90"/>
    <m/>
    <m/>
    <n v="69600"/>
  </r>
  <r>
    <n v="44302"/>
    <s v="Northern"/>
    <s v="SD17"/>
    <x v="90"/>
    <x v="91"/>
    <m/>
    <m/>
    <n v="44302"/>
  </r>
  <r>
    <n v="40310"/>
    <s v="Northern"/>
    <s v="SD17"/>
    <x v="91"/>
    <x v="92"/>
    <m/>
    <m/>
    <n v="40310"/>
  </r>
  <r>
    <n v="44760"/>
    <s v="Northern"/>
    <s v="SD17"/>
    <x v="92"/>
    <x v="93"/>
    <m/>
    <m/>
    <n v="44760"/>
  </r>
  <r>
    <n v="50051"/>
    <s v="Northern"/>
    <s v="SD17"/>
    <x v="93"/>
    <x v="94"/>
    <m/>
    <m/>
    <n v="50051"/>
  </r>
  <r>
    <n v="52205"/>
    <s v="Northern"/>
    <s v="SD17"/>
    <x v="94"/>
    <x v="95"/>
    <m/>
    <m/>
    <n v="52205"/>
  </r>
  <r>
    <n v="67443"/>
    <s v="Northern"/>
    <s v="SD17"/>
    <x v="95"/>
    <x v="96"/>
    <m/>
    <m/>
    <n v="67443"/>
  </r>
  <r>
    <n v="0"/>
    <s v="Red Sea"/>
    <s v="SD10"/>
    <x v="96"/>
    <x v="97"/>
    <m/>
    <m/>
    <n v="0"/>
  </r>
  <r>
    <n v="0"/>
    <s v="Red Sea"/>
    <s v="SD10"/>
    <x v="97"/>
    <x v="98"/>
    <m/>
    <m/>
    <n v="0"/>
  </r>
  <r>
    <n v="325"/>
    <s v="Red Sea"/>
    <s v="SD10"/>
    <x v="98"/>
    <x v="99"/>
    <m/>
    <m/>
    <n v="325"/>
  </r>
  <r>
    <n v="0"/>
    <s v="Red Sea"/>
    <s v="SD10"/>
    <x v="99"/>
    <x v="100"/>
    <m/>
    <m/>
    <n v="0"/>
  </r>
  <r>
    <n v="2075"/>
    <s v="Red Sea"/>
    <s v="SD10"/>
    <x v="100"/>
    <x v="101"/>
    <m/>
    <m/>
    <n v="2075"/>
  </r>
  <r>
    <n v="100"/>
    <s v="Red Sea"/>
    <s v="SD10"/>
    <x v="101"/>
    <x v="102"/>
    <m/>
    <m/>
    <n v="100"/>
  </r>
  <r>
    <n v="114235"/>
    <s v="Red Sea"/>
    <s v="SD10"/>
    <x v="102"/>
    <x v="103"/>
    <m/>
    <m/>
    <n v="114235"/>
  </r>
  <r>
    <n v="1790"/>
    <s v="Red Sea"/>
    <s v="SD10"/>
    <x v="103"/>
    <x v="104"/>
    <m/>
    <m/>
    <n v="1790"/>
  </r>
  <r>
    <n v="2687"/>
    <s v="Red Sea"/>
    <s v="SD10"/>
    <x v="104"/>
    <x v="105"/>
    <m/>
    <m/>
    <n v="2687"/>
  </r>
  <r>
    <n v="2350"/>
    <s v="Red Sea"/>
    <s v="SD10"/>
    <x v="105"/>
    <x v="106"/>
    <m/>
    <m/>
    <n v="2350"/>
  </r>
  <r>
    <n v="28100"/>
    <s v="River Nile"/>
    <s v="SD16"/>
    <x v="106"/>
    <x v="107"/>
    <m/>
    <m/>
    <n v="28100"/>
  </r>
  <r>
    <n v="109903"/>
    <s v="River Nile"/>
    <s v="SD16"/>
    <x v="107"/>
    <x v="108"/>
    <m/>
    <m/>
    <n v="109903"/>
  </r>
  <r>
    <n v="31152"/>
    <s v="River Nile"/>
    <s v="SD16"/>
    <x v="108"/>
    <x v="109"/>
    <m/>
    <m/>
    <n v="31152"/>
  </r>
  <r>
    <n v="95866"/>
    <s v="River Nile"/>
    <s v="SD16"/>
    <x v="109"/>
    <x v="110"/>
    <m/>
    <m/>
    <n v="95866"/>
  </r>
  <r>
    <n v="102115"/>
    <s v="River Nile"/>
    <s v="SD16"/>
    <x v="110"/>
    <x v="111"/>
    <m/>
    <m/>
    <n v="102115"/>
  </r>
  <r>
    <n v="48606"/>
    <s v="River Nile"/>
    <s v="SD16"/>
    <x v="111"/>
    <x v="112"/>
    <m/>
    <m/>
    <n v="48606"/>
  </r>
  <r>
    <n v="100000"/>
    <s v="River Nile"/>
    <s v="SD16"/>
    <x v="112"/>
    <x v="113"/>
    <m/>
    <m/>
    <n v="100000"/>
  </r>
  <r>
    <n v="53196"/>
    <s v="Sennar"/>
    <s v="SD14"/>
    <x v="113"/>
    <x v="114"/>
    <m/>
    <m/>
    <n v="53196"/>
  </r>
  <r>
    <n v="35929"/>
    <s v="Sennar"/>
    <s v="SD14"/>
    <x v="114"/>
    <x v="115"/>
    <m/>
    <m/>
    <n v="35929"/>
  </r>
  <r>
    <n v="56966"/>
    <s v="Sennar"/>
    <s v="SD14"/>
    <x v="115"/>
    <x v="116"/>
    <m/>
    <m/>
    <n v="56966"/>
  </r>
  <r>
    <n v="62584"/>
    <s v="Sennar"/>
    <s v="SD14"/>
    <x v="116"/>
    <x v="117"/>
    <m/>
    <m/>
    <n v="62584"/>
  </r>
  <r>
    <n v="50774"/>
    <s v="Sennar"/>
    <s v="SD14"/>
    <x v="117"/>
    <x v="118"/>
    <m/>
    <m/>
    <n v="50774"/>
  </r>
  <r>
    <n v="37050"/>
    <s v="Sennar"/>
    <s v="SD14"/>
    <x v="118"/>
    <x v="119"/>
    <m/>
    <m/>
    <n v="37050"/>
  </r>
  <r>
    <n v="49883"/>
    <s v="Sennar"/>
    <s v="SD14"/>
    <x v="119"/>
    <x v="120"/>
    <m/>
    <m/>
    <n v="49883"/>
  </r>
  <r>
    <n v="34870"/>
    <s v="South Darfur"/>
    <s v="SD03"/>
    <x v="120"/>
    <x v="121"/>
    <m/>
    <m/>
    <n v="34870"/>
  </r>
  <r>
    <n v="8405"/>
    <s v="South Darfur"/>
    <s v="SD03"/>
    <x v="121"/>
    <x v="122"/>
    <m/>
    <m/>
    <n v="8405"/>
  </r>
  <r>
    <n v="11130"/>
    <s v="South Darfur"/>
    <s v="SD03"/>
    <x v="122"/>
    <x v="123"/>
    <m/>
    <m/>
    <n v="11130"/>
  </r>
  <r>
    <n v="4950"/>
    <s v="South Darfur"/>
    <s v="SD03"/>
    <x v="123"/>
    <x v="124"/>
    <m/>
    <m/>
    <n v="4950"/>
  </r>
  <r>
    <n v="432976"/>
    <s v="South Darfur"/>
    <s v="SD03"/>
    <x v="124"/>
    <x v="125"/>
    <m/>
    <m/>
    <n v="432976"/>
  </r>
  <r>
    <n v="42971"/>
    <s v="South Darfur"/>
    <s v="SD03"/>
    <x v="125"/>
    <x v="126"/>
    <m/>
    <m/>
    <n v="42971"/>
  </r>
  <r>
    <n v="5187"/>
    <s v="South Darfur"/>
    <s v="SD03"/>
    <x v="126"/>
    <x v="127"/>
    <m/>
    <m/>
    <n v="5187"/>
  </r>
  <r>
    <n v="3610"/>
    <s v="South Darfur"/>
    <s v="SD03"/>
    <x v="127"/>
    <x v="128"/>
    <m/>
    <m/>
    <n v="3610"/>
  </r>
  <r>
    <n v="136232"/>
    <s v="South Darfur"/>
    <s v="SD03"/>
    <x v="128"/>
    <x v="129"/>
    <m/>
    <m/>
    <n v="136232"/>
  </r>
  <r>
    <n v="128069"/>
    <s v="South Darfur"/>
    <s v="SD03"/>
    <x v="129"/>
    <x v="130"/>
    <m/>
    <m/>
    <n v="128069"/>
  </r>
  <r>
    <n v="10917"/>
    <s v="South Darfur"/>
    <s v="SD03"/>
    <x v="130"/>
    <x v="131"/>
    <m/>
    <m/>
    <n v="10917"/>
  </r>
  <r>
    <n v="3732"/>
    <s v="South Darfur"/>
    <s v="SD03"/>
    <x v="131"/>
    <x v="132"/>
    <m/>
    <m/>
    <n v="3732"/>
  </r>
  <r>
    <n v="52848"/>
    <s v="South Darfur"/>
    <s v="SD03"/>
    <x v="132"/>
    <x v="133"/>
    <m/>
    <m/>
    <n v="52848"/>
  </r>
  <r>
    <n v="22958.5"/>
    <s v="South Darfur"/>
    <s v="SD03"/>
    <x v="133"/>
    <x v="134"/>
    <m/>
    <m/>
    <n v="22959"/>
  </r>
  <r>
    <n v="129389"/>
    <s v="South Darfur"/>
    <s v="SD03"/>
    <x v="134"/>
    <x v="135"/>
    <m/>
    <m/>
    <n v="129389"/>
  </r>
  <r>
    <n v="305428"/>
    <s v="South Darfur"/>
    <s v="SD03"/>
    <x v="135"/>
    <x v="136"/>
    <m/>
    <m/>
    <n v="305428"/>
  </r>
  <r>
    <n v="6950"/>
    <s v="South Darfur"/>
    <s v="SD03"/>
    <x v="136"/>
    <x v="137"/>
    <m/>
    <m/>
    <n v="6950"/>
  </r>
  <r>
    <n v="3824"/>
    <s v="South Darfur"/>
    <s v="SD03"/>
    <x v="137"/>
    <x v="138"/>
    <m/>
    <m/>
    <n v="3824"/>
  </r>
  <r>
    <n v="0"/>
    <s v="South Darfur"/>
    <s v="SD03"/>
    <x v="138"/>
    <x v="139"/>
    <m/>
    <m/>
    <n v="0"/>
  </r>
  <r>
    <n v="3757"/>
    <s v="South Darfur"/>
    <s v="SD03"/>
    <x v="139"/>
    <x v="140"/>
    <m/>
    <m/>
    <n v="3757"/>
  </r>
  <r>
    <n v="937"/>
    <s v="South Darfur"/>
    <s v="SD03"/>
    <x v="140"/>
    <x v="141"/>
    <m/>
    <m/>
    <n v="937"/>
  </r>
  <r>
    <n v="33213"/>
    <s v="South Kordofan"/>
    <s v="SD07"/>
    <x v="141"/>
    <x v="142"/>
    <m/>
    <m/>
    <n v="33213"/>
  </r>
  <r>
    <n v="51250"/>
    <s v="South Kordofan"/>
    <s v="SD07"/>
    <x v="142"/>
    <x v="143"/>
    <m/>
    <m/>
    <n v="51250"/>
  </r>
  <r>
    <n v="21442"/>
    <s v="South Kordofan"/>
    <s v="SD07"/>
    <x v="143"/>
    <x v="144"/>
    <m/>
    <m/>
    <n v="21442"/>
  </r>
  <r>
    <n v="0"/>
    <s v="South Kordofan"/>
    <s v="SD07"/>
    <x v="144"/>
    <x v="145"/>
    <m/>
    <m/>
    <n v="0"/>
  </r>
  <r>
    <n v="5651"/>
    <s v="South Kordofan"/>
    <s v="SD07"/>
    <x v="145"/>
    <x v="146"/>
    <m/>
    <m/>
    <n v="5651"/>
  </r>
  <r>
    <n v="5092"/>
    <s v="South Kordofan"/>
    <s v="SD07"/>
    <x v="146"/>
    <x v="147"/>
    <m/>
    <m/>
    <n v="5092"/>
  </r>
  <r>
    <n v="20189"/>
    <s v="South Kordofan"/>
    <s v="SD07"/>
    <x v="147"/>
    <x v="148"/>
    <m/>
    <m/>
    <n v="20189"/>
  </r>
  <r>
    <n v="21147"/>
    <s v="South Kordofan"/>
    <s v="SD07"/>
    <x v="148"/>
    <x v="149"/>
    <m/>
    <m/>
    <n v="21147"/>
  </r>
  <r>
    <n v="1994"/>
    <s v="South Kordofan"/>
    <s v="SD07"/>
    <x v="149"/>
    <x v="150"/>
    <m/>
    <m/>
    <n v="1994"/>
  </r>
  <r>
    <n v="4066"/>
    <s v="South Kordofan"/>
    <s v="SD07"/>
    <x v="150"/>
    <x v="151"/>
    <m/>
    <m/>
    <n v="4066"/>
  </r>
  <r>
    <n v="40105"/>
    <s v="South Kordofan"/>
    <s v="SD07"/>
    <x v="151"/>
    <x v="152"/>
    <m/>
    <m/>
    <n v="40105"/>
  </r>
  <r>
    <n v="15554"/>
    <s v="South Kordofan"/>
    <s v="SD07"/>
    <x v="152"/>
    <x v="153"/>
    <m/>
    <m/>
    <n v="15554"/>
  </r>
  <r>
    <n v="7213"/>
    <s v="South Kordofan"/>
    <s v="SD07"/>
    <x v="153"/>
    <x v="154"/>
    <m/>
    <m/>
    <n v="7213"/>
  </r>
  <r>
    <n v="0"/>
    <s v="South Kordofan"/>
    <s v="SD07"/>
    <x v="154"/>
    <x v="155"/>
    <m/>
    <m/>
    <n v="0"/>
  </r>
  <r>
    <n v="72742"/>
    <s v="South Kordofan"/>
    <s v="SD07"/>
    <x v="155"/>
    <x v="156"/>
    <m/>
    <m/>
    <n v="72742"/>
  </r>
  <r>
    <n v="16353"/>
    <s v="South Kordofan"/>
    <s v="SD07"/>
    <x v="156"/>
    <x v="157"/>
    <m/>
    <m/>
    <n v="16353"/>
  </r>
  <r>
    <n v="0"/>
    <s v="South Kordofan"/>
    <s v="SD07"/>
    <x v="157"/>
    <x v="158"/>
    <m/>
    <m/>
    <n v="0"/>
  </r>
  <r>
    <n v="16088"/>
    <s v="West Darfur"/>
    <s v="SD04"/>
    <x v="158"/>
    <x v="159"/>
    <m/>
    <m/>
    <n v="16088"/>
  </r>
  <r>
    <n v="25648"/>
    <s v="West Darfur"/>
    <s v="SD04"/>
    <x v="159"/>
    <x v="160"/>
    <m/>
    <m/>
    <n v="25648"/>
  </r>
  <r>
    <n v="7810"/>
    <s v="West Darfur"/>
    <s v="SD04"/>
    <x v="160"/>
    <x v="161"/>
    <m/>
    <m/>
    <n v="7810"/>
  </r>
  <r>
    <n v="40567"/>
    <s v="West Darfur"/>
    <s v="SD04"/>
    <x v="161"/>
    <x v="162"/>
    <m/>
    <m/>
    <n v="40567"/>
  </r>
  <r>
    <n v="51295"/>
    <s v="West Darfur"/>
    <s v="SD04"/>
    <x v="162"/>
    <x v="163"/>
    <m/>
    <m/>
    <n v="51295"/>
  </r>
  <r>
    <n v="38404"/>
    <s v="West Darfur"/>
    <s v="SD04"/>
    <x v="163"/>
    <x v="164"/>
    <m/>
    <m/>
    <n v="38404"/>
  </r>
  <r>
    <n v="38373"/>
    <s v="West Darfur"/>
    <s v="SD04"/>
    <x v="164"/>
    <x v="165"/>
    <m/>
    <m/>
    <n v="38373"/>
  </r>
  <r>
    <n v="3564"/>
    <s v="West Darfur"/>
    <s v="SD04"/>
    <x v="165"/>
    <x v="166"/>
    <m/>
    <m/>
    <n v="3564"/>
  </r>
  <r>
    <n v="9795"/>
    <s v="West Kordofan"/>
    <s v="SD18"/>
    <x v="166"/>
    <x v="167"/>
    <m/>
    <m/>
    <n v="9795"/>
  </r>
  <r>
    <n v="18772"/>
    <s v="West Kordofan"/>
    <s v="SD18"/>
    <x v="167"/>
    <x v="168"/>
    <m/>
    <m/>
    <n v="18772"/>
  </r>
  <r>
    <n v="8230"/>
    <s v="West Kordofan"/>
    <s v="SD18"/>
    <x v="168"/>
    <x v="169"/>
    <m/>
    <m/>
    <n v="8230"/>
  </r>
  <r>
    <n v="31158"/>
    <s v="West Kordofan"/>
    <s v="SD18"/>
    <x v="169"/>
    <x v="170"/>
    <m/>
    <m/>
    <n v="31158"/>
  </r>
  <r>
    <n v="4108"/>
    <s v="West Kordofan"/>
    <s v="SD18"/>
    <x v="170"/>
    <x v="171"/>
    <m/>
    <m/>
    <n v="4108"/>
  </r>
  <r>
    <n v="21876"/>
    <s v="West Kordofan"/>
    <s v="SD18"/>
    <x v="171"/>
    <x v="172"/>
    <m/>
    <m/>
    <n v="21876"/>
  </r>
  <r>
    <n v="4362"/>
    <s v="West Kordofan"/>
    <s v="SD18"/>
    <x v="172"/>
    <x v="173"/>
    <m/>
    <m/>
    <n v="4362"/>
  </r>
  <r>
    <n v="35968"/>
    <s v="West Kordofan"/>
    <s v="SD18"/>
    <x v="173"/>
    <x v="174"/>
    <m/>
    <m/>
    <n v="35968"/>
  </r>
  <r>
    <n v="17906"/>
    <s v="West Kordofan"/>
    <s v="SD18"/>
    <x v="174"/>
    <x v="175"/>
    <m/>
    <m/>
    <n v="17906"/>
  </r>
  <r>
    <n v="7189"/>
    <s v="West Kordofan"/>
    <s v="SD18"/>
    <x v="175"/>
    <x v="176"/>
    <m/>
    <m/>
    <n v="7189"/>
  </r>
  <r>
    <n v="14214"/>
    <s v="West Kordofan"/>
    <s v="SD18"/>
    <x v="176"/>
    <x v="177"/>
    <m/>
    <m/>
    <n v="14214"/>
  </r>
  <r>
    <n v="12124"/>
    <s v="West Kordofan"/>
    <s v="SD18"/>
    <x v="177"/>
    <x v="178"/>
    <m/>
    <m/>
    <n v="12124"/>
  </r>
  <r>
    <n v="11730"/>
    <s v="West Kordofan"/>
    <s v="SD18"/>
    <x v="178"/>
    <x v="179"/>
    <m/>
    <m/>
    <n v="11730"/>
  </r>
  <r>
    <n v="4603"/>
    <s v="West Kordofan"/>
    <s v="SD18"/>
    <x v="179"/>
    <x v="180"/>
    <m/>
    <m/>
    <n v="4603"/>
  </r>
  <r>
    <n v="70232"/>
    <s v="White Nile"/>
    <s v="SD09"/>
    <x v="180"/>
    <x v="181"/>
    <m/>
    <m/>
    <n v="70232"/>
  </r>
  <r>
    <n v="92993"/>
    <s v="White Nile"/>
    <s v="SD09"/>
    <x v="181"/>
    <x v="182"/>
    <m/>
    <m/>
    <n v="92993"/>
  </r>
  <r>
    <n v="29922"/>
    <s v="White Nile"/>
    <s v="SD09"/>
    <x v="182"/>
    <x v="183"/>
    <m/>
    <m/>
    <n v="29922"/>
  </r>
  <r>
    <n v="50395"/>
    <s v="White Nile"/>
    <s v="SD09"/>
    <x v="183"/>
    <x v="184"/>
    <m/>
    <m/>
    <n v="50395"/>
  </r>
  <r>
    <n v="4085"/>
    <s v="White Nile"/>
    <s v="SD09"/>
    <x v="184"/>
    <x v="185"/>
    <m/>
    <m/>
    <n v="4085"/>
  </r>
  <r>
    <n v="21256"/>
    <s v="White Nile"/>
    <s v="SD09"/>
    <x v="185"/>
    <x v="186"/>
    <m/>
    <m/>
    <n v="21256"/>
  </r>
  <r>
    <n v="21720"/>
    <s v="White Nile"/>
    <s v="SD09"/>
    <x v="186"/>
    <x v="187"/>
    <m/>
    <m/>
    <n v="21720"/>
  </r>
  <r>
    <n v="19986"/>
    <s v="White Nile"/>
    <s v="SD09"/>
    <x v="187"/>
    <x v="188"/>
    <m/>
    <m/>
    <n v="19986"/>
  </r>
  <r>
    <n v="20065"/>
    <s v="White Nile"/>
    <s v="SD09"/>
    <x v="188"/>
    <x v="189"/>
    <m/>
    <m/>
    <n v="20065"/>
  </r>
  <r>
    <n v="0"/>
    <s v="Abyei PCA"/>
    <s v="SD19"/>
    <x v="0"/>
    <x v="0"/>
    <m/>
    <m/>
    <n v="0"/>
  </r>
  <r>
    <n v="19234"/>
    <s v="Aj Jazirah"/>
    <s v="SD15"/>
    <x v="1"/>
    <x v="1"/>
    <m/>
    <m/>
    <n v="19234"/>
  </r>
  <r>
    <n v="138"/>
    <s v="Aj Jazirah"/>
    <s v="SD15"/>
    <x v="2"/>
    <x v="2"/>
    <m/>
    <m/>
    <n v="138"/>
  </r>
  <r>
    <n v="28"/>
    <s v="Aj Jazirah"/>
    <s v="SD15"/>
    <x v="3"/>
    <x v="3"/>
    <m/>
    <m/>
    <n v="28"/>
  </r>
  <r>
    <n v="0"/>
    <s v="Aj Jazirah"/>
    <s v="SD15"/>
    <x v="4"/>
    <x v="4"/>
    <m/>
    <m/>
    <n v="0"/>
  </r>
  <r>
    <n v="138"/>
    <s v="Aj Jazirah"/>
    <s v="SD15"/>
    <x v="5"/>
    <x v="5"/>
    <m/>
    <m/>
    <n v="138"/>
  </r>
  <r>
    <n v="138"/>
    <s v="Aj Jazirah"/>
    <s v="SD15"/>
    <x v="6"/>
    <x v="6"/>
    <m/>
    <m/>
    <n v="138"/>
  </r>
  <r>
    <n v="166"/>
    <s v="Aj Jazirah"/>
    <s v="SD15"/>
    <x v="7"/>
    <x v="7"/>
    <m/>
    <m/>
    <n v="166"/>
  </r>
  <r>
    <n v="14"/>
    <s v="Aj Jazirah"/>
    <s v="SD15"/>
    <x v="8"/>
    <x v="8"/>
    <m/>
    <m/>
    <n v="14"/>
  </r>
  <r>
    <n v="0"/>
    <s v="Blue Nile"/>
    <s v="SD08"/>
    <x v="9"/>
    <x v="9"/>
    <m/>
    <m/>
    <n v="0"/>
  </r>
  <r>
    <n v="1"/>
    <s v="Blue Nile"/>
    <s v="SD08"/>
    <x v="10"/>
    <x v="10"/>
    <m/>
    <m/>
    <n v="1"/>
  </r>
  <r>
    <n v="0"/>
    <s v="Blue Nile"/>
    <s v="SD08"/>
    <x v="11"/>
    <x v="11"/>
    <m/>
    <m/>
    <n v="0"/>
  </r>
  <r>
    <n v="0"/>
    <s v="Blue Nile"/>
    <s v="SD08"/>
    <x v="12"/>
    <x v="12"/>
    <m/>
    <m/>
    <n v="0"/>
  </r>
  <r>
    <n v="559"/>
    <s v="Blue Nile"/>
    <s v="SD08"/>
    <x v="13"/>
    <x v="13"/>
    <m/>
    <m/>
    <n v="559"/>
  </r>
  <r>
    <n v="0"/>
    <s v="Blue Nile"/>
    <s v="SD08"/>
    <x v="14"/>
    <x v="14"/>
    <m/>
    <m/>
    <n v="0"/>
  </r>
  <r>
    <n v="12539"/>
    <s v="Blue Nile"/>
    <s v="SD08"/>
    <x v="15"/>
    <x v="15"/>
    <m/>
    <m/>
    <n v="12539"/>
  </r>
  <r>
    <n v="3741"/>
    <s v="Central Darfur"/>
    <s v="SD06"/>
    <x v="16"/>
    <x v="16"/>
    <m/>
    <m/>
    <n v="3741"/>
  </r>
  <r>
    <n v="0"/>
    <s v="Central Darfur"/>
    <s v="SD06"/>
    <x v="17"/>
    <x v="17"/>
    <m/>
    <m/>
    <n v="0"/>
  </r>
  <r>
    <n v="0"/>
    <s v="Central Darfur"/>
    <s v="SD06"/>
    <x v="18"/>
    <x v="18"/>
    <m/>
    <m/>
    <n v="0"/>
  </r>
  <r>
    <n v="6"/>
    <s v="Central Darfur"/>
    <s v="SD06"/>
    <x v="19"/>
    <x v="19"/>
    <m/>
    <m/>
    <n v="6"/>
  </r>
  <r>
    <n v="0"/>
    <s v="Central Darfur"/>
    <s v="SD06"/>
    <x v="20"/>
    <x v="20"/>
    <m/>
    <m/>
    <n v="0"/>
  </r>
  <r>
    <n v="0"/>
    <s v="Central Darfur"/>
    <s v="SD06"/>
    <x v="21"/>
    <x v="21"/>
    <m/>
    <m/>
    <n v="0"/>
  </r>
  <r>
    <n v="0"/>
    <s v="Central Darfur"/>
    <s v="SD06"/>
    <x v="22"/>
    <x v="22"/>
    <m/>
    <m/>
    <n v="0"/>
  </r>
  <r>
    <n v="0"/>
    <s v="Central Darfur"/>
    <s v="SD06"/>
    <x v="23"/>
    <x v="23"/>
    <m/>
    <m/>
    <n v="0"/>
  </r>
  <r>
    <n v="532"/>
    <s v="Central Darfur"/>
    <s v="SD06"/>
    <x v="24"/>
    <x v="24"/>
    <m/>
    <m/>
    <n v="532"/>
  </r>
  <r>
    <n v="8981"/>
    <s v="East Darfur"/>
    <s v="SD05"/>
    <x v="25"/>
    <x v="25"/>
    <m/>
    <m/>
    <n v="8981"/>
  </r>
  <r>
    <n v="2593"/>
    <s v="East Darfur"/>
    <s v="SD05"/>
    <x v="26"/>
    <x v="26"/>
    <m/>
    <m/>
    <n v="2593"/>
  </r>
  <r>
    <n v="524"/>
    <s v="East Darfur"/>
    <s v="SD05"/>
    <x v="27"/>
    <x v="27"/>
    <m/>
    <m/>
    <n v="524"/>
  </r>
  <r>
    <n v="4081"/>
    <s v="East Darfur"/>
    <s v="SD05"/>
    <x v="28"/>
    <x v="28"/>
    <m/>
    <m/>
    <n v="4081"/>
  </r>
  <r>
    <n v="6275"/>
    <s v="East Darfur"/>
    <s v="SD05"/>
    <x v="29"/>
    <x v="29"/>
    <m/>
    <m/>
    <n v="6275"/>
  </r>
  <r>
    <n v="10766"/>
    <s v="East Darfur"/>
    <s v="SD05"/>
    <x v="30"/>
    <x v="30"/>
    <m/>
    <m/>
    <n v="10766"/>
  </r>
  <r>
    <n v="34834"/>
    <s v="East Darfur"/>
    <s v="SD05"/>
    <x v="31"/>
    <x v="31"/>
    <m/>
    <m/>
    <n v="34834"/>
  </r>
  <r>
    <n v="0"/>
    <s v="East Darfur"/>
    <s v="SD05"/>
    <x v="32"/>
    <x v="32"/>
    <m/>
    <m/>
    <n v="0"/>
  </r>
  <r>
    <n v="1344"/>
    <s v="East Darfur"/>
    <s v="SD05"/>
    <x v="33"/>
    <x v="33"/>
    <m/>
    <m/>
    <n v="1344"/>
  </r>
  <r>
    <n v="0"/>
    <s v="Gedaref"/>
    <s v="SD12"/>
    <x v="34"/>
    <x v="34"/>
    <m/>
    <m/>
    <n v="0"/>
  </r>
  <r>
    <n v="6"/>
    <s v="Gedaref"/>
    <s v="SD12"/>
    <x v="35"/>
    <x v="35"/>
    <m/>
    <m/>
    <n v="6"/>
  </r>
  <r>
    <n v="1463"/>
    <s v="Gedaref"/>
    <s v="SD12"/>
    <x v="36"/>
    <x v="36"/>
    <m/>
    <m/>
    <n v="1463"/>
  </r>
  <r>
    <n v="0"/>
    <s v="Gedaref"/>
    <s v="SD12"/>
    <x v="37"/>
    <x v="37"/>
    <m/>
    <m/>
    <n v="0"/>
  </r>
  <r>
    <n v="23807"/>
    <s v="Gedaref"/>
    <s v="SD12"/>
    <x v="38"/>
    <x v="38"/>
    <m/>
    <m/>
    <n v="23807"/>
  </r>
  <r>
    <n v="0"/>
    <s v="Gedaref"/>
    <s v="SD12"/>
    <x v="39"/>
    <x v="39"/>
    <m/>
    <m/>
    <n v="0"/>
  </r>
  <r>
    <n v="0"/>
    <s v="Gedaref"/>
    <s v="SD12"/>
    <x v="40"/>
    <x v="40"/>
    <m/>
    <m/>
    <n v="0"/>
  </r>
  <r>
    <n v="3146"/>
    <s v="Gedaref"/>
    <s v="SD12"/>
    <x v="41"/>
    <x v="41"/>
    <m/>
    <m/>
    <n v="3146"/>
  </r>
  <r>
    <n v="0"/>
    <s v="Gedaref"/>
    <s v="SD12"/>
    <x v="42"/>
    <x v="42"/>
    <m/>
    <m/>
    <n v="0"/>
  </r>
  <r>
    <n v="17673"/>
    <s v="Gedaref"/>
    <s v="SD12"/>
    <x v="43"/>
    <x v="43"/>
    <m/>
    <m/>
    <n v="17673"/>
  </r>
  <r>
    <n v="2"/>
    <s v="Gedaref"/>
    <s v="SD12"/>
    <x v="44"/>
    <x v="44"/>
    <m/>
    <m/>
    <n v="2"/>
  </r>
  <r>
    <n v="19049"/>
    <s v="Gedaref"/>
    <s v="SD12"/>
    <x v="45"/>
    <x v="45"/>
    <m/>
    <m/>
    <n v="19049"/>
  </r>
  <r>
    <n v="1078"/>
    <s v="Kassala"/>
    <s v="SD11"/>
    <x v="46"/>
    <x v="46"/>
    <m/>
    <m/>
    <n v="1078"/>
  </r>
  <r>
    <n v="6211"/>
    <s v="Kassala"/>
    <s v="SD11"/>
    <x v="47"/>
    <x v="47"/>
    <m/>
    <m/>
    <n v="6211"/>
  </r>
  <r>
    <n v="0"/>
    <s v="Kassala"/>
    <s v="SD11"/>
    <x v="48"/>
    <x v="48"/>
    <m/>
    <m/>
    <n v="0"/>
  </r>
  <r>
    <n v="0"/>
    <s v="Kassala"/>
    <s v="SD11"/>
    <x v="49"/>
    <x v="49"/>
    <m/>
    <m/>
    <n v="0"/>
  </r>
  <r>
    <n v="0"/>
    <s v="Kassala"/>
    <s v="SD11"/>
    <x v="50"/>
    <x v="50"/>
    <m/>
    <m/>
    <n v="0"/>
  </r>
  <r>
    <n v="26246"/>
    <s v="Kassala"/>
    <s v="SD11"/>
    <x v="51"/>
    <x v="51"/>
    <m/>
    <m/>
    <n v="26246"/>
  </r>
  <r>
    <n v="10777"/>
    <s v="Kassala"/>
    <s v="SD11"/>
    <x v="52"/>
    <x v="52"/>
    <m/>
    <m/>
    <n v="10777"/>
  </r>
  <r>
    <n v="0"/>
    <s v="Kassala"/>
    <s v="SD11"/>
    <x v="53"/>
    <x v="53"/>
    <m/>
    <m/>
    <n v="0"/>
  </r>
  <r>
    <n v="0"/>
    <s v="Kassala"/>
    <s v="SD11"/>
    <x v="54"/>
    <x v="54"/>
    <m/>
    <m/>
    <n v="0"/>
  </r>
  <r>
    <n v="0"/>
    <s v="Kassala"/>
    <s v="SD11"/>
    <x v="55"/>
    <x v="55"/>
    <m/>
    <m/>
    <n v="0"/>
  </r>
  <r>
    <n v="77452"/>
    <s v="Kassala"/>
    <s v="SD11"/>
    <x v="56"/>
    <x v="56"/>
    <m/>
    <m/>
    <n v="77452"/>
  </r>
  <r>
    <n v="5517"/>
    <s v="Khartoum"/>
    <s v="SD01"/>
    <x v="57"/>
    <x v="57"/>
    <m/>
    <m/>
    <n v="5517"/>
  </r>
  <r>
    <n v="14684"/>
    <s v="Khartoum"/>
    <s v="SD01"/>
    <x v="58"/>
    <x v="58"/>
    <m/>
    <m/>
    <n v="14684"/>
  </r>
  <r>
    <n v="1112"/>
    <s v="Khartoum"/>
    <s v="SD01"/>
    <x v="59"/>
    <x v="59"/>
    <m/>
    <m/>
    <n v="1112"/>
  </r>
  <r>
    <n v="19269"/>
    <s v="Khartoum"/>
    <s v="SD01"/>
    <x v="60"/>
    <x v="60"/>
    <m/>
    <m/>
    <n v="19269"/>
  </r>
  <r>
    <n v="13530"/>
    <s v="Khartoum"/>
    <s v="SD01"/>
    <x v="61"/>
    <x v="61"/>
    <m/>
    <m/>
    <n v="13530"/>
  </r>
  <r>
    <n v="8015"/>
    <s v="Khartoum"/>
    <s v="SD01"/>
    <x v="62"/>
    <x v="62"/>
    <m/>
    <m/>
    <n v="8015"/>
  </r>
  <r>
    <n v="5956"/>
    <s v="Khartoum"/>
    <s v="SD01"/>
    <x v="63"/>
    <x v="63"/>
    <m/>
    <m/>
    <n v="5956"/>
  </r>
  <r>
    <n v="1402"/>
    <s v="North Darfur"/>
    <s v="SD02"/>
    <x v="64"/>
    <x v="64"/>
    <m/>
    <m/>
    <n v="1402"/>
  </r>
  <r>
    <n v="0"/>
    <s v="North Darfur"/>
    <s v="SD02"/>
    <x v="65"/>
    <x v="65"/>
    <m/>
    <m/>
    <n v="0"/>
  </r>
  <r>
    <n v="22551"/>
    <s v="North Darfur"/>
    <s v="SD02"/>
    <x v="66"/>
    <x v="66"/>
    <m/>
    <m/>
    <n v="22551"/>
  </r>
  <r>
    <n v="0"/>
    <s v="North Darfur"/>
    <s v="SD02"/>
    <x v="67"/>
    <x v="67"/>
    <m/>
    <m/>
    <n v="0"/>
  </r>
  <r>
    <n v="0"/>
    <s v="North Darfur"/>
    <s v="SD02"/>
    <x v="68"/>
    <x v="68"/>
    <m/>
    <m/>
    <n v="0"/>
  </r>
  <r>
    <n v="0"/>
    <s v="North Darfur"/>
    <s v="SD02"/>
    <x v="69"/>
    <x v="69"/>
    <m/>
    <m/>
    <n v="0"/>
  </r>
  <r>
    <n v="0"/>
    <s v="North Darfur"/>
    <s v="SD02"/>
    <x v="70"/>
    <x v="70"/>
    <m/>
    <m/>
    <n v="0"/>
  </r>
  <r>
    <n v="0"/>
    <s v="North Darfur"/>
    <s v="SD02"/>
    <x v="71"/>
    <x v="71"/>
    <m/>
    <m/>
    <n v="0"/>
  </r>
  <r>
    <n v="0"/>
    <s v="North Darfur"/>
    <s v="SD02"/>
    <x v="72"/>
    <x v="72"/>
    <m/>
    <m/>
    <n v="0"/>
  </r>
  <r>
    <n v="0"/>
    <s v="North Darfur"/>
    <s v="SD02"/>
    <x v="73"/>
    <x v="73"/>
    <m/>
    <m/>
    <n v="0"/>
  </r>
  <r>
    <n v="0"/>
    <s v="North Darfur"/>
    <s v="SD02"/>
    <x v="74"/>
    <x v="74"/>
    <m/>
    <m/>
    <n v="0"/>
  </r>
  <r>
    <n v="0"/>
    <s v="North Darfur"/>
    <s v="SD02"/>
    <x v="75"/>
    <x v="75"/>
    <m/>
    <m/>
    <n v="0"/>
  </r>
  <r>
    <n v="0"/>
    <s v="North Darfur"/>
    <s v="SD02"/>
    <x v="76"/>
    <x v="76"/>
    <m/>
    <m/>
    <n v="0"/>
  </r>
  <r>
    <n v="0"/>
    <s v="North Darfur"/>
    <s v="SD02"/>
    <x v="77"/>
    <x v="77"/>
    <m/>
    <m/>
    <n v="0"/>
  </r>
  <r>
    <n v="0"/>
    <s v="North Darfur"/>
    <s v="SD02"/>
    <x v="78"/>
    <x v="78"/>
    <m/>
    <m/>
    <n v="0"/>
  </r>
  <r>
    <n v="0"/>
    <s v="North Darfur"/>
    <s v="SD02"/>
    <x v="79"/>
    <x v="79"/>
    <m/>
    <m/>
    <n v="0"/>
  </r>
  <r>
    <n v="0"/>
    <s v="North Darfur"/>
    <s v="SD02"/>
    <x v="80"/>
    <x v="80"/>
    <m/>
    <m/>
    <n v="0"/>
  </r>
  <r>
    <n v="0"/>
    <s v="North Darfur"/>
    <s v="SD02"/>
    <x v="81"/>
    <x v="81"/>
    <m/>
    <m/>
    <n v="0"/>
  </r>
  <r>
    <n v="1199"/>
    <s v="North Kordofan"/>
    <s v="SD13"/>
    <x v="40"/>
    <x v="82"/>
    <m/>
    <m/>
    <n v="1199"/>
  </r>
  <r>
    <n v="0"/>
    <s v="North Kordofan"/>
    <s v="SD13"/>
    <x v="82"/>
    <x v="83"/>
    <m/>
    <m/>
    <n v="0"/>
  </r>
  <r>
    <n v="0"/>
    <s v="North Kordofan"/>
    <s v="SD13"/>
    <x v="83"/>
    <x v="84"/>
    <m/>
    <m/>
    <n v="0"/>
  </r>
  <r>
    <n v="0"/>
    <s v="North Kordofan"/>
    <s v="SD13"/>
    <x v="84"/>
    <x v="85"/>
    <m/>
    <m/>
    <n v="0"/>
  </r>
  <r>
    <n v="9414"/>
    <s v="North Kordofan"/>
    <s v="SD13"/>
    <x v="85"/>
    <x v="86"/>
    <m/>
    <m/>
    <n v="9414"/>
  </r>
  <r>
    <n v="0"/>
    <s v="North Kordofan"/>
    <s v="SD13"/>
    <x v="86"/>
    <x v="87"/>
    <m/>
    <m/>
    <n v="0"/>
  </r>
  <r>
    <n v="0"/>
    <s v="North Kordofan"/>
    <s v="SD13"/>
    <x v="87"/>
    <x v="88"/>
    <m/>
    <m/>
    <n v="0"/>
  </r>
  <r>
    <n v="976"/>
    <s v="North Kordofan"/>
    <s v="SD13"/>
    <x v="88"/>
    <x v="89"/>
    <m/>
    <m/>
    <n v="976"/>
  </r>
  <r>
    <n v="220"/>
    <s v="Northern"/>
    <s v="SD17"/>
    <x v="89"/>
    <x v="90"/>
    <m/>
    <m/>
    <n v="220"/>
  </r>
  <r>
    <n v="0"/>
    <s v="Northern"/>
    <s v="SD17"/>
    <x v="90"/>
    <x v="91"/>
    <m/>
    <m/>
    <n v="0"/>
  </r>
  <r>
    <n v="0"/>
    <s v="Northern"/>
    <s v="SD17"/>
    <x v="91"/>
    <x v="92"/>
    <m/>
    <m/>
    <n v="0"/>
  </r>
  <r>
    <n v="0"/>
    <s v="Northern"/>
    <s v="SD17"/>
    <x v="92"/>
    <x v="93"/>
    <m/>
    <m/>
    <n v="0"/>
  </r>
  <r>
    <n v="844"/>
    <s v="Northern"/>
    <s v="SD17"/>
    <x v="93"/>
    <x v="94"/>
    <m/>
    <m/>
    <n v="844"/>
  </r>
  <r>
    <n v="0"/>
    <s v="Northern"/>
    <s v="SD17"/>
    <x v="94"/>
    <x v="95"/>
    <m/>
    <m/>
    <n v="0"/>
  </r>
  <r>
    <n v="44"/>
    <s v="Northern"/>
    <s v="SD17"/>
    <x v="95"/>
    <x v="96"/>
    <m/>
    <m/>
    <n v="44"/>
  </r>
  <r>
    <n v="0"/>
    <s v="Red Sea"/>
    <s v="SD10"/>
    <x v="96"/>
    <x v="97"/>
    <m/>
    <m/>
    <n v="0"/>
  </r>
  <r>
    <n v="0"/>
    <s v="Red Sea"/>
    <s v="SD10"/>
    <x v="97"/>
    <x v="98"/>
    <m/>
    <m/>
    <n v="0"/>
  </r>
  <r>
    <n v="0"/>
    <s v="Red Sea"/>
    <s v="SD10"/>
    <x v="98"/>
    <x v="99"/>
    <m/>
    <m/>
    <n v="0"/>
  </r>
  <r>
    <n v="0"/>
    <s v="Red Sea"/>
    <s v="SD10"/>
    <x v="99"/>
    <x v="100"/>
    <m/>
    <m/>
    <n v="0"/>
  </r>
  <r>
    <n v="0"/>
    <s v="Red Sea"/>
    <s v="SD10"/>
    <x v="100"/>
    <x v="101"/>
    <m/>
    <m/>
    <n v="0"/>
  </r>
  <r>
    <n v="0"/>
    <s v="Red Sea"/>
    <s v="SD10"/>
    <x v="101"/>
    <x v="102"/>
    <m/>
    <m/>
    <n v="0"/>
  </r>
  <r>
    <n v="21324"/>
    <s v="Red Sea"/>
    <s v="SD10"/>
    <x v="102"/>
    <x v="103"/>
    <m/>
    <m/>
    <n v="21324"/>
  </r>
  <r>
    <n v="1005"/>
    <s v="Red Sea"/>
    <s v="SD10"/>
    <x v="103"/>
    <x v="104"/>
    <m/>
    <m/>
    <n v="1005"/>
  </r>
  <r>
    <n v="68"/>
    <s v="Red Sea"/>
    <s v="SD10"/>
    <x v="104"/>
    <x v="105"/>
    <m/>
    <m/>
    <n v="68"/>
  </r>
  <r>
    <n v="32"/>
    <s v="Red Sea"/>
    <s v="SD10"/>
    <x v="105"/>
    <x v="106"/>
    <m/>
    <m/>
    <n v="32"/>
  </r>
  <r>
    <n v="0"/>
    <s v="River Nile"/>
    <s v="SD16"/>
    <x v="106"/>
    <x v="107"/>
    <m/>
    <m/>
    <n v="0"/>
  </r>
  <r>
    <n v="0"/>
    <s v="River Nile"/>
    <s v="SD16"/>
    <x v="107"/>
    <x v="108"/>
    <m/>
    <m/>
    <n v="0"/>
  </r>
  <r>
    <n v="0"/>
    <s v="River Nile"/>
    <s v="SD16"/>
    <x v="108"/>
    <x v="109"/>
    <m/>
    <m/>
    <n v="0"/>
  </r>
  <r>
    <n v="0"/>
    <s v="River Nile"/>
    <s v="SD16"/>
    <x v="109"/>
    <x v="110"/>
    <m/>
    <m/>
    <n v="0"/>
  </r>
  <r>
    <n v="1506"/>
    <s v="River Nile"/>
    <s v="SD16"/>
    <x v="110"/>
    <x v="111"/>
    <m/>
    <m/>
    <n v="1506"/>
  </r>
  <r>
    <n v="1130"/>
    <s v="River Nile"/>
    <s v="SD16"/>
    <x v="111"/>
    <x v="112"/>
    <m/>
    <m/>
    <n v="1130"/>
  </r>
  <r>
    <n v="1130"/>
    <s v="River Nile"/>
    <s v="SD16"/>
    <x v="112"/>
    <x v="113"/>
    <m/>
    <m/>
    <n v="1130"/>
  </r>
  <r>
    <n v="0"/>
    <s v="Sennar"/>
    <s v="SD14"/>
    <x v="113"/>
    <x v="114"/>
    <m/>
    <m/>
    <n v="0"/>
  </r>
  <r>
    <n v="0"/>
    <s v="Sennar"/>
    <s v="SD14"/>
    <x v="114"/>
    <x v="115"/>
    <m/>
    <m/>
    <n v="0"/>
  </r>
  <r>
    <n v="9808"/>
    <s v="Sennar"/>
    <s v="SD14"/>
    <x v="115"/>
    <x v="116"/>
    <m/>
    <m/>
    <n v="9808"/>
  </r>
  <r>
    <n v="0"/>
    <s v="Sennar"/>
    <s v="SD14"/>
    <x v="116"/>
    <x v="117"/>
    <m/>
    <m/>
    <n v="0"/>
  </r>
  <r>
    <n v="28"/>
    <s v="Sennar"/>
    <s v="SD14"/>
    <x v="117"/>
    <x v="118"/>
    <m/>
    <m/>
    <n v="28"/>
  </r>
  <r>
    <n v="0"/>
    <s v="Sennar"/>
    <s v="SD14"/>
    <x v="118"/>
    <x v="119"/>
    <m/>
    <m/>
    <n v="0"/>
  </r>
  <r>
    <n v="9"/>
    <s v="Sennar"/>
    <s v="SD14"/>
    <x v="119"/>
    <x v="120"/>
    <m/>
    <m/>
    <n v="9"/>
  </r>
  <r>
    <n v="16268"/>
    <s v="South Darfur"/>
    <s v="SD03"/>
    <x v="120"/>
    <x v="121"/>
    <m/>
    <m/>
    <n v="16268"/>
  </r>
  <r>
    <n v="0"/>
    <s v="South Darfur"/>
    <s v="SD03"/>
    <x v="121"/>
    <x v="122"/>
    <m/>
    <m/>
    <n v="0"/>
  </r>
  <r>
    <n v="1261"/>
    <s v="South Darfur"/>
    <s v="SD03"/>
    <x v="122"/>
    <x v="123"/>
    <m/>
    <m/>
    <n v="1261"/>
  </r>
  <r>
    <n v="0"/>
    <s v="South Darfur"/>
    <s v="SD03"/>
    <x v="123"/>
    <x v="124"/>
    <m/>
    <m/>
    <n v="0"/>
  </r>
  <r>
    <n v="6408"/>
    <s v="South Darfur"/>
    <s v="SD03"/>
    <x v="124"/>
    <x v="125"/>
    <m/>
    <m/>
    <n v="6408"/>
  </r>
  <r>
    <n v="692"/>
    <s v="South Darfur"/>
    <s v="SD03"/>
    <x v="125"/>
    <x v="126"/>
    <m/>
    <m/>
    <n v="692"/>
  </r>
  <r>
    <n v="2046"/>
    <s v="South Darfur"/>
    <s v="SD03"/>
    <x v="126"/>
    <x v="127"/>
    <m/>
    <m/>
    <n v="2046"/>
  </r>
  <r>
    <n v="0"/>
    <s v="South Darfur"/>
    <s v="SD03"/>
    <x v="127"/>
    <x v="128"/>
    <m/>
    <m/>
    <n v="0"/>
  </r>
  <r>
    <n v="0"/>
    <s v="South Darfur"/>
    <s v="SD03"/>
    <x v="128"/>
    <x v="129"/>
    <m/>
    <m/>
    <n v="0"/>
  </r>
  <r>
    <n v="0"/>
    <s v="South Darfur"/>
    <s v="SD03"/>
    <x v="129"/>
    <x v="130"/>
    <m/>
    <m/>
    <n v="0"/>
  </r>
  <r>
    <n v="0"/>
    <s v="South Darfur"/>
    <s v="SD03"/>
    <x v="130"/>
    <x v="131"/>
    <m/>
    <m/>
    <n v="0"/>
  </r>
  <r>
    <n v="0"/>
    <s v="South Darfur"/>
    <s v="SD03"/>
    <x v="131"/>
    <x v="132"/>
    <m/>
    <m/>
    <n v="0"/>
  </r>
  <r>
    <n v="0"/>
    <s v="South Darfur"/>
    <s v="SD03"/>
    <x v="132"/>
    <x v="133"/>
    <m/>
    <m/>
    <n v="0"/>
  </r>
  <r>
    <n v="0"/>
    <s v="South Darfur"/>
    <s v="SD03"/>
    <x v="133"/>
    <x v="134"/>
    <m/>
    <m/>
    <n v="0"/>
  </r>
  <r>
    <n v="5307"/>
    <s v="South Darfur"/>
    <s v="SD03"/>
    <x v="134"/>
    <x v="135"/>
    <m/>
    <m/>
    <n v="5307"/>
  </r>
  <r>
    <n v="0"/>
    <s v="South Darfur"/>
    <s v="SD03"/>
    <x v="135"/>
    <x v="136"/>
    <m/>
    <m/>
    <n v="0"/>
  </r>
  <r>
    <n v="0"/>
    <s v="South Darfur"/>
    <s v="SD03"/>
    <x v="136"/>
    <x v="137"/>
    <m/>
    <m/>
    <n v="0"/>
  </r>
  <r>
    <n v="0"/>
    <s v="South Darfur"/>
    <s v="SD03"/>
    <x v="137"/>
    <x v="138"/>
    <m/>
    <m/>
    <n v="0"/>
  </r>
  <r>
    <n v="0"/>
    <s v="South Darfur"/>
    <s v="SD03"/>
    <x v="138"/>
    <x v="139"/>
    <m/>
    <m/>
    <n v="0"/>
  </r>
  <r>
    <n v="0"/>
    <s v="South Darfur"/>
    <s v="SD03"/>
    <x v="139"/>
    <x v="140"/>
    <m/>
    <m/>
    <n v="0"/>
  </r>
  <r>
    <n v="4080"/>
    <s v="South Darfur"/>
    <s v="SD03"/>
    <x v="140"/>
    <x v="141"/>
    <m/>
    <m/>
    <n v="4080"/>
  </r>
  <r>
    <n v="0"/>
    <s v="South Kordofan"/>
    <s v="SD07"/>
    <x v="141"/>
    <x v="142"/>
    <m/>
    <m/>
    <n v="0"/>
  </r>
  <r>
    <n v="11294"/>
    <s v="South Kordofan"/>
    <s v="SD07"/>
    <x v="142"/>
    <x v="143"/>
    <m/>
    <m/>
    <n v="11294"/>
  </r>
  <r>
    <n v="0"/>
    <s v="South Kordofan"/>
    <s v="SD07"/>
    <x v="143"/>
    <x v="144"/>
    <m/>
    <m/>
    <n v="0"/>
  </r>
  <r>
    <n v="0"/>
    <s v="South Kordofan"/>
    <s v="SD07"/>
    <x v="144"/>
    <x v="145"/>
    <m/>
    <m/>
    <n v="0"/>
  </r>
  <r>
    <n v="2245"/>
    <s v="South Kordofan"/>
    <s v="SD07"/>
    <x v="145"/>
    <x v="146"/>
    <m/>
    <m/>
    <n v="2245"/>
  </r>
  <r>
    <n v="372"/>
    <s v="South Kordofan"/>
    <s v="SD07"/>
    <x v="146"/>
    <x v="147"/>
    <m/>
    <m/>
    <n v="372"/>
  </r>
  <r>
    <n v="205"/>
    <s v="South Kordofan"/>
    <s v="SD07"/>
    <x v="147"/>
    <x v="148"/>
    <m/>
    <m/>
    <n v="205"/>
  </r>
  <r>
    <n v="0"/>
    <s v="South Kordofan"/>
    <s v="SD07"/>
    <x v="148"/>
    <x v="149"/>
    <m/>
    <m/>
    <n v="0"/>
  </r>
  <r>
    <n v="1029"/>
    <s v="South Kordofan"/>
    <s v="SD07"/>
    <x v="149"/>
    <x v="150"/>
    <m/>
    <m/>
    <n v="1029"/>
  </r>
  <r>
    <n v="0"/>
    <s v="South Kordofan"/>
    <s v="SD07"/>
    <x v="150"/>
    <x v="151"/>
    <m/>
    <m/>
    <n v="0"/>
  </r>
  <r>
    <n v="793"/>
    <s v="South Kordofan"/>
    <s v="SD07"/>
    <x v="151"/>
    <x v="152"/>
    <m/>
    <m/>
    <n v="793"/>
  </r>
  <r>
    <n v="13941"/>
    <s v="South Kordofan"/>
    <s v="SD07"/>
    <x v="152"/>
    <x v="153"/>
    <m/>
    <m/>
    <n v="13941"/>
  </r>
  <r>
    <n v="313"/>
    <s v="South Kordofan"/>
    <s v="SD07"/>
    <x v="153"/>
    <x v="154"/>
    <m/>
    <m/>
    <n v="313"/>
  </r>
  <r>
    <n v="0"/>
    <s v="South Kordofan"/>
    <s v="SD07"/>
    <x v="154"/>
    <x v="155"/>
    <m/>
    <m/>
    <n v="0"/>
  </r>
  <r>
    <n v="2296"/>
    <s v="South Kordofan"/>
    <s v="SD07"/>
    <x v="155"/>
    <x v="156"/>
    <m/>
    <m/>
    <n v="2296"/>
  </r>
  <r>
    <n v="0"/>
    <s v="South Kordofan"/>
    <s v="SD07"/>
    <x v="156"/>
    <x v="157"/>
    <m/>
    <m/>
    <n v="0"/>
  </r>
  <r>
    <n v="0"/>
    <s v="South Kordofan"/>
    <s v="SD07"/>
    <x v="157"/>
    <x v="158"/>
    <m/>
    <m/>
    <n v="0"/>
  </r>
  <r>
    <n v="375"/>
    <s v="West Darfur"/>
    <s v="SD04"/>
    <x v="158"/>
    <x v="159"/>
    <m/>
    <m/>
    <n v="375"/>
  </r>
  <r>
    <n v="0"/>
    <s v="West Darfur"/>
    <s v="SD04"/>
    <x v="159"/>
    <x v="160"/>
    <m/>
    <m/>
    <n v="0"/>
  </r>
  <r>
    <n v="0"/>
    <s v="West Darfur"/>
    <s v="SD04"/>
    <x v="160"/>
    <x v="161"/>
    <m/>
    <m/>
    <n v="0"/>
  </r>
  <r>
    <n v="55"/>
    <s v="West Darfur"/>
    <s v="SD04"/>
    <x v="161"/>
    <x v="162"/>
    <m/>
    <m/>
    <n v="55"/>
  </r>
  <r>
    <n v="0"/>
    <s v="West Darfur"/>
    <s v="SD04"/>
    <x v="162"/>
    <x v="163"/>
    <m/>
    <m/>
    <n v="0"/>
  </r>
  <r>
    <n v="0"/>
    <s v="West Darfur"/>
    <s v="SD04"/>
    <x v="163"/>
    <x v="164"/>
    <m/>
    <m/>
    <n v="0"/>
  </r>
  <r>
    <n v="0"/>
    <s v="West Darfur"/>
    <s v="SD04"/>
    <x v="164"/>
    <x v="165"/>
    <m/>
    <m/>
    <n v="0"/>
  </r>
  <r>
    <n v="0"/>
    <s v="West Darfur"/>
    <s v="SD04"/>
    <x v="165"/>
    <x v="166"/>
    <m/>
    <m/>
    <n v="0"/>
  </r>
  <r>
    <n v="609"/>
    <s v="West Kordofan"/>
    <s v="SD18"/>
    <x v="166"/>
    <x v="167"/>
    <m/>
    <m/>
    <n v="609"/>
  </r>
  <r>
    <n v="3173"/>
    <s v="West Kordofan"/>
    <s v="SD18"/>
    <x v="167"/>
    <x v="168"/>
    <m/>
    <m/>
    <n v="3173"/>
  </r>
  <r>
    <n v="0"/>
    <s v="West Kordofan"/>
    <s v="SD18"/>
    <x v="168"/>
    <x v="169"/>
    <m/>
    <m/>
    <n v="0"/>
  </r>
  <r>
    <n v="3477"/>
    <s v="West Kordofan"/>
    <s v="SD18"/>
    <x v="169"/>
    <x v="170"/>
    <m/>
    <m/>
    <n v="3477"/>
  </r>
  <r>
    <n v="0"/>
    <s v="West Kordofan"/>
    <s v="SD18"/>
    <x v="170"/>
    <x v="171"/>
    <m/>
    <m/>
    <n v="0"/>
  </r>
  <r>
    <n v="2"/>
    <s v="West Kordofan"/>
    <s v="SD18"/>
    <x v="171"/>
    <x v="172"/>
    <m/>
    <m/>
    <n v="2"/>
  </r>
  <r>
    <n v="11719"/>
    <s v="West Kordofan"/>
    <s v="SD18"/>
    <x v="172"/>
    <x v="173"/>
    <m/>
    <m/>
    <n v="11719"/>
  </r>
  <r>
    <n v="0"/>
    <s v="West Kordofan"/>
    <s v="SD18"/>
    <x v="173"/>
    <x v="174"/>
    <m/>
    <m/>
    <n v="0"/>
  </r>
  <r>
    <n v="2683"/>
    <s v="West Kordofan"/>
    <s v="SD18"/>
    <x v="174"/>
    <x v="175"/>
    <m/>
    <m/>
    <n v="2683"/>
  </r>
  <r>
    <n v="0"/>
    <s v="West Kordofan"/>
    <s v="SD18"/>
    <x v="175"/>
    <x v="176"/>
    <m/>
    <m/>
    <n v="0"/>
  </r>
  <r>
    <n v="6059"/>
    <s v="West Kordofan"/>
    <s v="SD18"/>
    <x v="176"/>
    <x v="177"/>
    <m/>
    <m/>
    <n v="6059"/>
  </r>
  <r>
    <n v="7917"/>
    <s v="West Kordofan"/>
    <s v="SD18"/>
    <x v="177"/>
    <x v="178"/>
    <m/>
    <m/>
    <n v="7917"/>
  </r>
  <r>
    <n v="8937"/>
    <s v="West Kordofan"/>
    <s v="SD18"/>
    <x v="178"/>
    <x v="179"/>
    <m/>
    <m/>
    <n v="8937"/>
  </r>
  <r>
    <n v="4"/>
    <s v="West Kordofan"/>
    <s v="SD18"/>
    <x v="179"/>
    <x v="180"/>
    <m/>
    <m/>
    <n v="4"/>
  </r>
  <r>
    <n v="0"/>
    <s v="White Nile"/>
    <s v="SD09"/>
    <x v="180"/>
    <x v="181"/>
    <m/>
    <m/>
    <n v="0"/>
  </r>
  <r>
    <n v="138328"/>
    <s v="White Nile"/>
    <s v="SD09"/>
    <x v="181"/>
    <x v="182"/>
    <m/>
    <m/>
    <n v="138328"/>
  </r>
  <r>
    <n v="0"/>
    <s v="White Nile"/>
    <s v="SD09"/>
    <x v="182"/>
    <x v="183"/>
    <m/>
    <m/>
    <n v="0"/>
  </r>
  <r>
    <n v="218834"/>
    <s v="White Nile"/>
    <s v="SD09"/>
    <x v="183"/>
    <x v="184"/>
    <m/>
    <m/>
    <n v="218834"/>
  </r>
  <r>
    <n v="0"/>
    <s v="White Nile"/>
    <s v="SD09"/>
    <x v="184"/>
    <x v="185"/>
    <m/>
    <m/>
    <n v="0"/>
  </r>
  <r>
    <n v="58373"/>
    <s v="White Nile"/>
    <s v="SD09"/>
    <x v="185"/>
    <x v="186"/>
    <m/>
    <m/>
    <n v="58373"/>
  </r>
  <r>
    <n v="0"/>
    <s v="White Nile"/>
    <s v="SD09"/>
    <x v="186"/>
    <x v="187"/>
    <m/>
    <m/>
    <n v="0"/>
  </r>
  <r>
    <n v="0"/>
    <s v="White Nile"/>
    <s v="SD09"/>
    <x v="187"/>
    <x v="188"/>
    <m/>
    <m/>
    <n v="0"/>
  </r>
  <r>
    <n v="0"/>
    <s v="White Nile"/>
    <s v="SD09"/>
    <x v="188"/>
    <x v="189"/>
    <m/>
    <m/>
    <n v="0"/>
  </r>
  <r>
    <n v="0"/>
    <s v="Abyei PCA"/>
    <s v="SD19"/>
    <x v="0"/>
    <x v="0"/>
    <m/>
    <m/>
    <n v="0"/>
  </r>
  <r>
    <n v="41234"/>
    <s v="Aj Jazirah"/>
    <s v="SD15"/>
    <x v="1"/>
    <x v="1"/>
    <m/>
    <m/>
    <n v="41234"/>
  </r>
  <r>
    <n v="72373"/>
    <s v="Aj Jazirah"/>
    <s v="SD15"/>
    <x v="2"/>
    <x v="2"/>
    <m/>
    <m/>
    <n v="72373"/>
  </r>
  <r>
    <n v="29708"/>
    <s v="Aj Jazirah"/>
    <s v="SD15"/>
    <x v="3"/>
    <x v="3"/>
    <m/>
    <m/>
    <n v="29708"/>
  </r>
  <r>
    <n v="9110"/>
    <s v="Aj Jazirah"/>
    <s v="SD15"/>
    <x v="4"/>
    <x v="4"/>
    <m/>
    <m/>
    <n v="9110"/>
  </r>
  <r>
    <n v="22104"/>
    <s v="Aj Jazirah"/>
    <s v="SD15"/>
    <x v="5"/>
    <x v="5"/>
    <m/>
    <m/>
    <n v="22104"/>
  </r>
  <r>
    <n v="57832"/>
    <s v="Aj Jazirah"/>
    <s v="SD15"/>
    <x v="6"/>
    <x v="6"/>
    <m/>
    <m/>
    <n v="57832"/>
  </r>
  <r>
    <n v="14376"/>
    <s v="Aj Jazirah"/>
    <s v="SD15"/>
    <x v="7"/>
    <x v="7"/>
    <m/>
    <m/>
    <n v="14376"/>
  </r>
  <r>
    <n v="43043"/>
    <s v="Aj Jazirah"/>
    <s v="SD15"/>
    <x v="8"/>
    <x v="8"/>
    <m/>
    <m/>
    <n v="43043"/>
  </r>
  <r>
    <n v="19116"/>
    <s v="Blue Nile"/>
    <s v="SD08"/>
    <x v="9"/>
    <x v="9"/>
    <m/>
    <m/>
    <n v="19116"/>
  </r>
  <r>
    <n v="32756"/>
    <s v="Blue Nile"/>
    <s v="SD08"/>
    <x v="10"/>
    <x v="10"/>
    <m/>
    <m/>
    <n v="32756"/>
  </r>
  <r>
    <n v="16752"/>
    <s v="Blue Nile"/>
    <s v="SD08"/>
    <x v="11"/>
    <x v="11"/>
    <m/>
    <m/>
    <n v="16752"/>
  </r>
  <r>
    <n v="41256"/>
    <s v="Blue Nile"/>
    <s v="SD08"/>
    <x v="12"/>
    <x v="12"/>
    <m/>
    <m/>
    <n v="41256"/>
  </r>
  <r>
    <n v="49843"/>
    <s v="Blue Nile"/>
    <s v="SD08"/>
    <x v="13"/>
    <x v="13"/>
    <m/>
    <m/>
    <n v="49843"/>
  </r>
  <r>
    <n v="29421"/>
    <s v="Blue Nile"/>
    <s v="SD08"/>
    <x v="14"/>
    <x v="14"/>
    <m/>
    <m/>
    <n v="29421"/>
  </r>
  <r>
    <n v="20340"/>
    <s v="Blue Nile"/>
    <s v="SD08"/>
    <x v="15"/>
    <x v="15"/>
    <m/>
    <m/>
    <n v="20340"/>
  </r>
  <r>
    <n v="69761"/>
    <s v="Central Darfur"/>
    <s v="SD06"/>
    <x v="16"/>
    <x v="16"/>
    <m/>
    <m/>
    <n v="69761"/>
  </r>
  <r>
    <n v="29435"/>
    <s v="Central Darfur"/>
    <s v="SD06"/>
    <x v="17"/>
    <x v="17"/>
    <m/>
    <m/>
    <n v="29435"/>
  </r>
  <r>
    <n v="42700"/>
    <s v="Central Darfur"/>
    <s v="SD06"/>
    <x v="18"/>
    <x v="18"/>
    <m/>
    <m/>
    <n v="42700"/>
  </r>
  <r>
    <n v="25736"/>
    <s v="Central Darfur"/>
    <s v="SD06"/>
    <x v="19"/>
    <x v="19"/>
    <m/>
    <m/>
    <n v="25736"/>
  </r>
  <r>
    <n v="111818"/>
    <s v="Central Darfur"/>
    <s v="SD06"/>
    <x v="20"/>
    <x v="20"/>
    <m/>
    <m/>
    <n v="111818"/>
  </r>
  <r>
    <n v="50328"/>
    <s v="Central Darfur"/>
    <s v="SD06"/>
    <x v="21"/>
    <x v="21"/>
    <m/>
    <m/>
    <n v="50328"/>
  </r>
  <r>
    <n v="54305.8"/>
    <s v="Central Darfur"/>
    <s v="SD06"/>
    <x v="22"/>
    <x v="22"/>
    <m/>
    <m/>
    <n v="54306"/>
  </r>
  <r>
    <n v="74176"/>
    <s v="Central Darfur"/>
    <s v="SD06"/>
    <x v="23"/>
    <x v="23"/>
    <m/>
    <m/>
    <n v="74176"/>
  </r>
  <r>
    <n v="183690"/>
    <s v="Central Darfur"/>
    <s v="SD06"/>
    <x v="24"/>
    <x v="24"/>
    <m/>
    <m/>
    <n v="183690"/>
  </r>
  <r>
    <n v="49741"/>
    <s v="East Darfur"/>
    <s v="SD05"/>
    <x v="25"/>
    <x v="25"/>
    <m/>
    <m/>
    <n v="49741"/>
  </r>
  <r>
    <n v="36649"/>
    <s v="East Darfur"/>
    <s v="SD05"/>
    <x v="26"/>
    <x v="26"/>
    <m/>
    <m/>
    <n v="36649"/>
  </r>
  <r>
    <n v="88709"/>
    <s v="East Darfur"/>
    <s v="SD05"/>
    <x v="27"/>
    <x v="27"/>
    <m/>
    <m/>
    <n v="88709"/>
  </r>
  <r>
    <n v="53903"/>
    <s v="East Darfur"/>
    <s v="SD05"/>
    <x v="28"/>
    <x v="28"/>
    <m/>
    <m/>
    <n v="53903"/>
  </r>
  <r>
    <n v="7937"/>
    <s v="East Darfur"/>
    <s v="SD05"/>
    <x v="29"/>
    <x v="29"/>
    <m/>
    <m/>
    <n v="7937"/>
  </r>
  <r>
    <n v="16376"/>
    <s v="East Darfur"/>
    <s v="SD05"/>
    <x v="30"/>
    <x v="30"/>
    <m/>
    <m/>
    <n v="16376"/>
  </r>
  <r>
    <n v="84774"/>
    <s v="East Darfur"/>
    <s v="SD05"/>
    <x v="31"/>
    <x v="31"/>
    <m/>
    <m/>
    <n v="84774"/>
  </r>
  <r>
    <n v="4032"/>
    <s v="East Darfur"/>
    <s v="SD05"/>
    <x v="32"/>
    <x v="32"/>
    <m/>
    <m/>
    <n v="4032"/>
  </r>
  <r>
    <n v="4362.8999999999996"/>
    <s v="East Darfur"/>
    <s v="SD05"/>
    <x v="33"/>
    <x v="33"/>
    <m/>
    <m/>
    <n v="4363"/>
  </r>
  <r>
    <n v="2966"/>
    <s v="Gedaref"/>
    <s v="SD12"/>
    <x v="34"/>
    <x v="34"/>
    <m/>
    <m/>
    <n v="2966"/>
  </r>
  <r>
    <n v="11957"/>
    <s v="Gedaref"/>
    <s v="SD12"/>
    <x v="35"/>
    <x v="35"/>
    <m/>
    <m/>
    <n v="11957"/>
  </r>
  <r>
    <n v="14593"/>
    <s v="Gedaref"/>
    <s v="SD12"/>
    <x v="36"/>
    <x v="36"/>
    <m/>
    <m/>
    <n v="14593"/>
  </r>
  <r>
    <n v="8355"/>
    <s v="Gedaref"/>
    <s v="SD12"/>
    <x v="37"/>
    <x v="37"/>
    <m/>
    <m/>
    <n v="8355"/>
  </r>
  <r>
    <n v="41607"/>
    <s v="Gedaref"/>
    <s v="SD12"/>
    <x v="38"/>
    <x v="38"/>
    <m/>
    <m/>
    <n v="41607"/>
  </r>
  <r>
    <n v="18745"/>
    <s v="Gedaref"/>
    <s v="SD12"/>
    <x v="39"/>
    <x v="39"/>
    <m/>
    <m/>
    <n v="18745"/>
  </r>
  <r>
    <n v="36565"/>
    <s v="Gedaref"/>
    <s v="SD12"/>
    <x v="40"/>
    <x v="40"/>
    <m/>
    <m/>
    <n v="36565"/>
  </r>
  <r>
    <n v="30676"/>
    <s v="Gedaref"/>
    <s v="SD12"/>
    <x v="41"/>
    <x v="41"/>
    <m/>
    <m/>
    <n v="30676"/>
  </r>
  <r>
    <n v="12202"/>
    <s v="Gedaref"/>
    <s v="SD12"/>
    <x v="42"/>
    <x v="42"/>
    <m/>
    <m/>
    <n v="12202"/>
  </r>
  <r>
    <n v="45673"/>
    <s v="Gedaref"/>
    <s v="SD12"/>
    <x v="43"/>
    <x v="43"/>
    <m/>
    <m/>
    <n v="45673"/>
  </r>
  <r>
    <n v="72357"/>
    <s v="Gedaref"/>
    <s v="SD12"/>
    <x v="44"/>
    <x v="44"/>
    <m/>
    <m/>
    <n v="72357"/>
  </r>
  <r>
    <n v="37374"/>
    <s v="Gedaref"/>
    <s v="SD12"/>
    <x v="45"/>
    <x v="45"/>
    <m/>
    <m/>
    <n v="37374"/>
  </r>
  <r>
    <n v="33448"/>
    <s v="Kassala"/>
    <s v="SD11"/>
    <x v="46"/>
    <x v="46"/>
    <m/>
    <m/>
    <n v="33448"/>
  </r>
  <r>
    <n v="45576"/>
    <s v="Kassala"/>
    <s v="SD11"/>
    <x v="47"/>
    <x v="47"/>
    <m/>
    <m/>
    <n v="45576"/>
  </r>
  <r>
    <n v="690"/>
    <s v="Kassala"/>
    <s v="SD11"/>
    <x v="48"/>
    <x v="48"/>
    <m/>
    <m/>
    <n v="690"/>
  </r>
  <r>
    <n v="0"/>
    <s v="Kassala"/>
    <s v="SD11"/>
    <x v="49"/>
    <x v="49"/>
    <m/>
    <m/>
    <n v="0"/>
  </r>
  <r>
    <n v="0"/>
    <s v="Kassala"/>
    <s v="SD11"/>
    <x v="50"/>
    <x v="50"/>
    <m/>
    <m/>
    <n v="0"/>
  </r>
  <r>
    <n v="28823"/>
    <s v="Kassala"/>
    <s v="SD11"/>
    <x v="51"/>
    <x v="51"/>
    <m/>
    <m/>
    <n v="28823"/>
  </r>
  <r>
    <n v="18506"/>
    <s v="Kassala"/>
    <s v="SD11"/>
    <x v="52"/>
    <x v="52"/>
    <m/>
    <m/>
    <n v="18506"/>
  </r>
  <r>
    <n v="2391"/>
    <s v="Kassala"/>
    <s v="SD11"/>
    <x v="53"/>
    <x v="53"/>
    <m/>
    <m/>
    <n v="2391"/>
  </r>
  <r>
    <n v="3415"/>
    <s v="Kassala"/>
    <s v="SD11"/>
    <x v="54"/>
    <x v="54"/>
    <m/>
    <m/>
    <n v="3415"/>
  </r>
  <r>
    <n v="1855"/>
    <s v="Kassala"/>
    <s v="SD11"/>
    <x v="55"/>
    <x v="55"/>
    <m/>
    <m/>
    <n v="1855"/>
  </r>
  <r>
    <n v="73508"/>
    <s v="Kassala"/>
    <s v="SD11"/>
    <x v="56"/>
    <x v="56"/>
    <m/>
    <m/>
    <n v="73508"/>
  </r>
  <r>
    <n v="9967"/>
    <s v="Khartoum"/>
    <s v="SD01"/>
    <x v="57"/>
    <x v="57"/>
    <m/>
    <m/>
    <n v="9967"/>
  </r>
  <r>
    <n v="22064"/>
    <s v="Khartoum"/>
    <s v="SD01"/>
    <x v="58"/>
    <x v="58"/>
    <m/>
    <m/>
    <n v="22064"/>
  </r>
  <r>
    <n v="10477"/>
    <s v="Khartoum"/>
    <s v="SD01"/>
    <x v="59"/>
    <x v="59"/>
    <m/>
    <m/>
    <n v="10477"/>
  </r>
  <r>
    <n v="20760"/>
    <s v="Khartoum"/>
    <s v="SD01"/>
    <x v="60"/>
    <x v="60"/>
    <m/>
    <m/>
    <n v="20760"/>
  </r>
  <r>
    <n v="22780"/>
    <s v="Khartoum"/>
    <s v="SD01"/>
    <x v="61"/>
    <x v="61"/>
    <m/>
    <m/>
    <n v="22780"/>
  </r>
  <r>
    <n v="11185"/>
    <s v="Khartoum"/>
    <s v="SD01"/>
    <x v="62"/>
    <x v="62"/>
    <m/>
    <m/>
    <n v="11185"/>
  </r>
  <r>
    <n v="9936"/>
    <s v="Khartoum"/>
    <s v="SD01"/>
    <x v="63"/>
    <x v="63"/>
    <m/>
    <m/>
    <n v="9936"/>
  </r>
  <r>
    <n v="304635"/>
    <s v="North Darfur"/>
    <s v="SD02"/>
    <x v="64"/>
    <x v="64"/>
    <m/>
    <m/>
    <n v="304635"/>
  </r>
  <r>
    <n v="1750"/>
    <s v="North Darfur"/>
    <s v="SD02"/>
    <x v="65"/>
    <x v="65"/>
    <m/>
    <m/>
    <n v="1750"/>
  </r>
  <r>
    <n v="32704"/>
    <s v="North Darfur"/>
    <s v="SD02"/>
    <x v="66"/>
    <x v="66"/>
    <m/>
    <m/>
    <n v="32704"/>
  </r>
  <r>
    <n v="3990"/>
    <s v="North Darfur"/>
    <s v="SD02"/>
    <x v="67"/>
    <x v="67"/>
    <m/>
    <m/>
    <n v="3990"/>
  </r>
  <r>
    <n v="11546"/>
    <s v="North Darfur"/>
    <s v="SD02"/>
    <x v="68"/>
    <x v="68"/>
    <m/>
    <m/>
    <n v="11546"/>
  </r>
  <r>
    <n v="350"/>
    <s v="North Darfur"/>
    <s v="SD02"/>
    <x v="69"/>
    <x v="69"/>
    <m/>
    <m/>
    <n v="350"/>
  </r>
  <r>
    <n v="4815"/>
    <s v="North Darfur"/>
    <s v="SD02"/>
    <x v="70"/>
    <x v="70"/>
    <m/>
    <m/>
    <n v="4815"/>
  </r>
  <r>
    <n v="55166"/>
    <s v="North Darfur"/>
    <s v="SD02"/>
    <x v="71"/>
    <x v="71"/>
    <m/>
    <m/>
    <n v="55166"/>
  </r>
  <r>
    <n v="32047"/>
    <s v="North Darfur"/>
    <s v="SD02"/>
    <x v="72"/>
    <x v="72"/>
    <m/>
    <m/>
    <n v="32047"/>
  </r>
  <r>
    <n v="7818"/>
    <s v="North Darfur"/>
    <s v="SD02"/>
    <x v="73"/>
    <x v="73"/>
    <m/>
    <m/>
    <n v="7818"/>
  </r>
  <r>
    <n v="255"/>
    <s v="North Darfur"/>
    <s v="SD02"/>
    <x v="74"/>
    <x v="74"/>
    <m/>
    <m/>
    <n v="255"/>
  </r>
  <r>
    <n v="13945.800000000003"/>
    <s v="North Darfur"/>
    <s v="SD02"/>
    <x v="75"/>
    <x v="75"/>
    <m/>
    <m/>
    <n v="13946"/>
  </r>
  <r>
    <n v="21554"/>
    <s v="North Darfur"/>
    <s v="SD02"/>
    <x v="76"/>
    <x v="76"/>
    <m/>
    <m/>
    <n v="21554"/>
  </r>
  <r>
    <n v="78644"/>
    <s v="North Darfur"/>
    <s v="SD02"/>
    <x v="77"/>
    <x v="77"/>
    <m/>
    <m/>
    <n v="78644"/>
  </r>
  <r>
    <n v="3885"/>
    <s v="North Darfur"/>
    <s v="SD02"/>
    <x v="78"/>
    <x v="78"/>
    <m/>
    <m/>
    <n v="3885"/>
  </r>
  <r>
    <n v="827"/>
    <s v="North Darfur"/>
    <s v="SD02"/>
    <x v="79"/>
    <x v="79"/>
    <m/>
    <m/>
    <n v="827"/>
  </r>
  <r>
    <n v="750"/>
    <s v="North Darfur"/>
    <s v="SD02"/>
    <x v="80"/>
    <x v="80"/>
    <m/>
    <m/>
    <n v="750"/>
  </r>
  <r>
    <n v="0"/>
    <s v="North Darfur"/>
    <s v="SD02"/>
    <x v="81"/>
    <x v="81"/>
    <m/>
    <m/>
    <n v="0"/>
  </r>
  <r>
    <n v="31788"/>
    <s v="North Kordofan"/>
    <s v="SD13"/>
    <x v="40"/>
    <x v="82"/>
    <m/>
    <m/>
    <n v="31788"/>
  </r>
  <r>
    <n v="7868"/>
    <s v="North Kordofan"/>
    <s v="SD13"/>
    <x v="82"/>
    <x v="83"/>
    <m/>
    <m/>
    <n v="7868"/>
  </r>
  <r>
    <n v="3518"/>
    <s v="North Kordofan"/>
    <s v="SD13"/>
    <x v="83"/>
    <x v="84"/>
    <m/>
    <m/>
    <n v="3518"/>
  </r>
  <r>
    <n v="5613"/>
    <s v="North Kordofan"/>
    <s v="SD13"/>
    <x v="84"/>
    <x v="85"/>
    <m/>
    <m/>
    <n v="5613"/>
  </r>
  <r>
    <n v="30729"/>
    <s v="North Kordofan"/>
    <s v="SD13"/>
    <x v="85"/>
    <x v="86"/>
    <m/>
    <m/>
    <n v="30729"/>
  </r>
  <r>
    <n v="3630"/>
    <s v="North Kordofan"/>
    <s v="SD13"/>
    <x v="86"/>
    <x v="87"/>
    <m/>
    <m/>
    <n v="3630"/>
  </r>
  <r>
    <n v="7955"/>
    <s v="North Kordofan"/>
    <s v="SD13"/>
    <x v="87"/>
    <x v="88"/>
    <m/>
    <m/>
    <n v="7955"/>
  </r>
  <r>
    <n v="32604"/>
    <s v="North Kordofan"/>
    <s v="SD13"/>
    <x v="88"/>
    <x v="89"/>
    <m/>
    <m/>
    <n v="32604"/>
  </r>
  <r>
    <n v="69820"/>
    <s v="Northern"/>
    <s v="SD17"/>
    <x v="89"/>
    <x v="90"/>
    <m/>
    <m/>
    <n v="69820"/>
  </r>
  <r>
    <n v="44302"/>
    <s v="Northern"/>
    <s v="SD17"/>
    <x v="90"/>
    <x v="91"/>
    <m/>
    <m/>
    <n v="44302"/>
  </r>
  <r>
    <n v="40310"/>
    <s v="Northern"/>
    <s v="SD17"/>
    <x v="91"/>
    <x v="92"/>
    <m/>
    <m/>
    <n v="40310"/>
  </r>
  <r>
    <n v="44760"/>
    <s v="Northern"/>
    <s v="SD17"/>
    <x v="92"/>
    <x v="93"/>
    <m/>
    <m/>
    <n v="44760"/>
  </r>
  <r>
    <n v="50932"/>
    <s v="Northern"/>
    <s v="SD17"/>
    <x v="93"/>
    <x v="94"/>
    <m/>
    <m/>
    <n v="50932"/>
  </r>
  <r>
    <n v="22635"/>
    <s v="Northern"/>
    <s v="SD17"/>
    <x v="94"/>
    <x v="95"/>
    <m/>
    <m/>
    <n v="22635"/>
  </r>
  <r>
    <n v="67487"/>
    <s v="Northern"/>
    <s v="SD17"/>
    <x v="95"/>
    <x v="96"/>
    <m/>
    <m/>
    <n v="67487"/>
  </r>
  <r>
    <n v="0"/>
    <s v="Red Sea"/>
    <s v="SD10"/>
    <x v="96"/>
    <x v="97"/>
    <m/>
    <m/>
    <n v="0"/>
  </r>
  <r>
    <n v="0"/>
    <s v="Red Sea"/>
    <s v="SD10"/>
    <x v="97"/>
    <x v="98"/>
    <m/>
    <m/>
    <n v="0"/>
  </r>
  <r>
    <n v="325"/>
    <s v="Red Sea"/>
    <s v="SD10"/>
    <x v="98"/>
    <x v="99"/>
    <m/>
    <m/>
    <n v="325"/>
  </r>
  <r>
    <n v="0"/>
    <s v="Red Sea"/>
    <s v="SD10"/>
    <x v="99"/>
    <x v="100"/>
    <m/>
    <m/>
    <n v="0"/>
  </r>
  <r>
    <n v="2075"/>
    <s v="Red Sea"/>
    <s v="SD10"/>
    <x v="100"/>
    <x v="101"/>
    <m/>
    <m/>
    <n v="2075"/>
  </r>
  <r>
    <n v="100"/>
    <s v="Red Sea"/>
    <s v="SD10"/>
    <x v="101"/>
    <x v="102"/>
    <m/>
    <m/>
    <n v="100"/>
  </r>
  <r>
    <n v="135706"/>
    <s v="Red Sea"/>
    <s v="SD10"/>
    <x v="102"/>
    <x v="103"/>
    <m/>
    <m/>
    <n v="135706"/>
  </r>
  <r>
    <n v="2795"/>
    <s v="Red Sea"/>
    <s v="SD10"/>
    <x v="103"/>
    <x v="104"/>
    <m/>
    <m/>
    <n v="2795"/>
  </r>
  <r>
    <n v="2755"/>
    <s v="Red Sea"/>
    <s v="SD10"/>
    <x v="104"/>
    <x v="105"/>
    <m/>
    <m/>
    <n v="2755"/>
  </r>
  <r>
    <n v="2382"/>
    <s v="Red Sea"/>
    <s v="SD10"/>
    <x v="105"/>
    <x v="106"/>
    <m/>
    <m/>
    <n v="2382"/>
  </r>
  <r>
    <n v="28100"/>
    <s v="River Nile"/>
    <s v="SD16"/>
    <x v="106"/>
    <x v="107"/>
    <m/>
    <m/>
    <n v="28100"/>
  </r>
  <r>
    <n v="109903"/>
    <s v="River Nile"/>
    <s v="SD16"/>
    <x v="107"/>
    <x v="108"/>
    <m/>
    <m/>
    <n v="109903"/>
  </r>
  <r>
    <n v="31152"/>
    <s v="River Nile"/>
    <s v="SD16"/>
    <x v="108"/>
    <x v="109"/>
    <m/>
    <m/>
    <n v="31152"/>
  </r>
  <r>
    <n v="95866"/>
    <s v="River Nile"/>
    <s v="SD16"/>
    <x v="109"/>
    <x v="110"/>
    <m/>
    <m/>
    <n v="95866"/>
  </r>
  <r>
    <n v="103621"/>
    <s v="River Nile"/>
    <s v="SD16"/>
    <x v="110"/>
    <x v="111"/>
    <m/>
    <m/>
    <n v="103621"/>
  </r>
  <r>
    <n v="49736"/>
    <s v="River Nile"/>
    <s v="SD16"/>
    <x v="111"/>
    <x v="112"/>
    <m/>
    <m/>
    <n v="49736"/>
  </r>
  <r>
    <n v="101130"/>
    <s v="River Nile"/>
    <s v="SD16"/>
    <x v="112"/>
    <x v="113"/>
    <m/>
    <m/>
    <n v="101130"/>
  </r>
  <r>
    <n v="53196"/>
    <s v="Sennar"/>
    <s v="SD14"/>
    <x v="113"/>
    <x v="114"/>
    <m/>
    <m/>
    <n v="53196"/>
  </r>
  <r>
    <n v="35929"/>
    <s v="Sennar"/>
    <s v="SD14"/>
    <x v="114"/>
    <x v="115"/>
    <m/>
    <m/>
    <n v="35929"/>
  </r>
  <r>
    <n v="66773"/>
    <s v="Sennar"/>
    <s v="SD14"/>
    <x v="115"/>
    <x v="116"/>
    <m/>
    <m/>
    <n v="66773"/>
  </r>
  <r>
    <n v="62584"/>
    <s v="Sennar"/>
    <s v="SD14"/>
    <x v="116"/>
    <x v="117"/>
    <m/>
    <m/>
    <n v="62584"/>
  </r>
  <r>
    <n v="50802"/>
    <s v="Sennar"/>
    <s v="SD14"/>
    <x v="117"/>
    <x v="118"/>
    <m/>
    <m/>
    <n v="50802"/>
  </r>
  <r>
    <n v="37050"/>
    <s v="Sennar"/>
    <s v="SD14"/>
    <x v="118"/>
    <x v="119"/>
    <m/>
    <m/>
    <n v="37050"/>
  </r>
  <r>
    <n v="49892"/>
    <s v="Sennar"/>
    <s v="SD14"/>
    <x v="119"/>
    <x v="120"/>
    <m/>
    <m/>
    <n v="49892"/>
  </r>
  <r>
    <n v="51138"/>
    <s v="South Darfur"/>
    <s v="SD03"/>
    <x v="120"/>
    <x v="121"/>
    <m/>
    <m/>
    <n v="51138"/>
  </r>
  <r>
    <n v="8405"/>
    <s v="South Darfur"/>
    <s v="SD03"/>
    <x v="121"/>
    <x v="122"/>
    <m/>
    <m/>
    <n v="8405"/>
  </r>
  <r>
    <n v="12391"/>
    <s v="South Darfur"/>
    <s v="SD03"/>
    <x v="122"/>
    <x v="123"/>
    <m/>
    <m/>
    <n v="12391"/>
  </r>
  <r>
    <n v="4950"/>
    <s v="South Darfur"/>
    <s v="SD03"/>
    <x v="123"/>
    <x v="124"/>
    <m/>
    <m/>
    <n v="4950"/>
  </r>
  <r>
    <n v="17565.549999999988"/>
    <s v="South Darfur"/>
    <s v="SD03"/>
    <x v="124"/>
    <x v="125"/>
    <m/>
    <m/>
    <n v="17566"/>
  </r>
  <r>
    <n v="43663"/>
    <s v="South Darfur"/>
    <s v="SD03"/>
    <x v="125"/>
    <x v="126"/>
    <m/>
    <m/>
    <n v="43663"/>
  </r>
  <r>
    <n v="7233"/>
    <s v="South Darfur"/>
    <s v="SD03"/>
    <x v="126"/>
    <x v="127"/>
    <m/>
    <m/>
    <n v="7233"/>
  </r>
  <r>
    <n v="3610"/>
    <s v="South Darfur"/>
    <s v="SD03"/>
    <x v="127"/>
    <x v="128"/>
    <m/>
    <m/>
    <n v="3610"/>
  </r>
  <r>
    <n v="31651"/>
    <s v="South Darfur"/>
    <s v="SD03"/>
    <x v="128"/>
    <x v="129"/>
    <m/>
    <m/>
    <n v="31651"/>
  </r>
  <r>
    <n v="124125"/>
    <s v="South Darfur"/>
    <s v="SD03"/>
    <x v="129"/>
    <x v="130"/>
    <m/>
    <m/>
    <n v="124125"/>
  </r>
  <r>
    <n v="10917"/>
    <s v="South Darfur"/>
    <s v="SD03"/>
    <x v="130"/>
    <x v="131"/>
    <m/>
    <m/>
    <n v="10917"/>
  </r>
  <r>
    <n v="3732"/>
    <s v="South Darfur"/>
    <s v="SD03"/>
    <x v="131"/>
    <x v="132"/>
    <m/>
    <m/>
    <n v="3732"/>
  </r>
  <r>
    <n v="41178"/>
    <s v="South Darfur"/>
    <s v="SD03"/>
    <x v="132"/>
    <x v="133"/>
    <m/>
    <m/>
    <n v="41178"/>
  </r>
  <r>
    <n v="22958.5"/>
    <s v="South Darfur"/>
    <s v="SD03"/>
    <x v="133"/>
    <x v="134"/>
    <m/>
    <m/>
    <n v="22959"/>
  </r>
  <r>
    <n v="129389"/>
    <s v="South Darfur"/>
    <s v="SD03"/>
    <x v="134"/>
    <x v="135"/>
    <m/>
    <m/>
    <n v="129389"/>
  </r>
  <r>
    <n v="302166"/>
    <s v="South Darfur"/>
    <s v="SD03"/>
    <x v="135"/>
    <x v="136"/>
    <m/>
    <m/>
    <n v="302166"/>
  </r>
  <r>
    <n v="6950"/>
    <s v="South Darfur"/>
    <s v="SD03"/>
    <x v="136"/>
    <x v="137"/>
    <m/>
    <m/>
    <n v="6950"/>
  </r>
  <r>
    <n v="3824"/>
    <s v="South Darfur"/>
    <s v="SD03"/>
    <x v="137"/>
    <x v="138"/>
    <m/>
    <m/>
    <n v="3824"/>
  </r>
  <r>
    <n v="0"/>
    <s v="South Darfur"/>
    <s v="SD03"/>
    <x v="138"/>
    <x v="139"/>
    <m/>
    <m/>
    <n v="0"/>
  </r>
  <r>
    <n v="3757"/>
    <s v="South Darfur"/>
    <s v="SD03"/>
    <x v="139"/>
    <x v="140"/>
    <m/>
    <m/>
    <n v="3757"/>
  </r>
  <r>
    <n v="5017"/>
    <s v="South Darfur"/>
    <s v="SD03"/>
    <x v="140"/>
    <x v="141"/>
    <m/>
    <m/>
    <n v="5017"/>
  </r>
  <r>
    <n v="33213"/>
    <s v="South Kordofan"/>
    <s v="SD07"/>
    <x v="141"/>
    <x v="142"/>
    <m/>
    <m/>
    <n v="33213"/>
  </r>
  <r>
    <n v="62544"/>
    <s v="South Kordofan"/>
    <s v="SD07"/>
    <x v="142"/>
    <x v="143"/>
    <m/>
    <m/>
    <n v="62544"/>
  </r>
  <r>
    <n v="21442"/>
    <s v="South Kordofan"/>
    <s v="SD07"/>
    <x v="143"/>
    <x v="144"/>
    <m/>
    <m/>
    <n v="21442"/>
  </r>
  <r>
    <n v="0"/>
    <s v="South Kordofan"/>
    <s v="SD07"/>
    <x v="144"/>
    <x v="145"/>
    <m/>
    <m/>
    <n v="0"/>
  </r>
  <r>
    <n v="7896"/>
    <s v="South Kordofan"/>
    <s v="SD07"/>
    <x v="145"/>
    <x v="146"/>
    <m/>
    <m/>
    <n v="7896"/>
  </r>
  <r>
    <n v="5464"/>
    <s v="South Kordofan"/>
    <s v="SD07"/>
    <x v="146"/>
    <x v="147"/>
    <m/>
    <m/>
    <n v="5464"/>
  </r>
  <r>
    <n v="20394"/>
    <s v="South Kordofan"/>
    <s v="SD07"/>
    <x v="147"/>
    <x v="148"/>
    <m/>
    <m/>
    <n v="20394"/>
  </r>
  <r>
    <n v="21147"/>
    <s v="South Kordofan"/>
    <s v="SD07"/>
    <x v="148"/>
    <x v="149"/>
    <m/>
    <m/>
    <n v="21147"/>
  </r>
  <r>
    <n v="3023"/>
    <s v="South Kordofan"/>
    <s v="SD07"/>
    <x v="149"/>
    <x v="150"/>
    <m/>
    <m/>
    <n v="3023"/>
  </r>
  <r>
    <n v="4066"/>
    <s v="South Kordofan"/>
    <s v="SD07"/>
    <x v="150"/>
    <x v="151"/>
    <m/>
    <m/>
    <n v="4066"/>
  </r>
  <r>
    <n v="40898"/>
    <s v="South Kordofan"/>
    <s v="SD07"/>
    <x v="151"/>
    <x v="152"/>
    <m/>
    <m/>
    <n v="40898"/>
  </r>
  <r>
    <n v="29500"/>
    <s v="South Kordofan"/>
    <s v="SD07"/>
    <x v="152"/>
    <x v="153"/>
    <m/>
    <m/>
    <n v="29500"/>
  </r>
  <r>
    <n v="7526"/>
    <s v="South Kordofan"/>
    <s v="SD07"/>
    <x v="153"/>
    <x v="154"/>
    <m/>
    <m/>
    <n v="7526"/>
  </r>
  <r>
    <n v="0"/>
    <s v="South Kordofan"/>
    <s v="SD07"/>
    <x v="154"/>
    <x v="155"/>
    <m/>
    <m/>
    <n v="0"/>
  </r>
  <r>
    <n v="75037.600000000006"/>
    <s v="South Kordofan"/>
    <s v="SD07"/>
    <x v="155"/>
    <x v="156"/>
    <m/>
    <m/>
    <n v="75038"/>
  </r>
  <r>
    <n v="16353"/>
    <s v="South Kordofan"/>
    <s v="SD07"/>
    <x v="156"/>
    <x v="157"/>
    <m/>
    <m/>
    <n v="16353"/>
  </r>
  <r>
    <n v="0"/>
    <s v="South Kordofan"/>
    <s v="SD07"/>
    <x v="157"/>
    <x v="158"/>
    <m/>
    <m/>
    <n v="0"/>
  </r>
  <r>
    <n v="16462.790000000008"/>
    <s v="West Darfur"/>
    <s v="SD04"/>
    <x v="158"/>
    <x v="159"/>
    <m/>
    <m/>
    <n v="16463"/>
  </r>
  <r>
    <n v="25648"/>
    <s v="West Darfur"/>
    <s v="SD04"/>
    <x v="159"/>
    <x v="160"/>
    <m/>
    <m/>
    <n v="25648"/>
  </r>
  <r>
    <n v="7810"/>
    <s v="West Darfur"/>
    <s v="SD04"/>
    <x v="160"/>
    <x v="161"/>
    <m/>
    <m/>
    <n v="7810"/>
  </r>
  <r>
    <n v="40622"/>
    <s v="West Darfur"/>
    <s v="SD04"/>
    <x v="161"/>
    <x v="162"/>
    <m/>
    <m/>
    <n v="40622"/>
  </r>
  <r>
    <n v="10772"/>
    <s v="West Darfur"/>
    <s v="SD04"/>
    <x v="162"/>
    <x v="163"/>
    <m/>
    <m/>
    <n v="10772"/>
  </r>
  <r>
    <n v="38403.5"/>
    <s v="West Darfur"/>
    <s v="SD04"/>
    <x v="163"/>
    <x v="164"/>
    <m/>
    <m/>
    <n v="38404"/>
  </r>
  <r>
    <n v="17240.95"/>
    <s v="West Darfur"/>
    <s v="SD04"/>
    <x v="164"/>
    <x v="165"/>
    <m/>
    <m/>
    <n v="17241"/>
  </r>
  <r>
    <n v="3564"/>
    <s v="West Darfur"/>
    <s v="SD04"/>
    <x v="165"/>
    <x v="166"/>
    <m/>
    <m/>
    <n v="3564"/>
  </r>
  <r>
    <n v="10404"/>
    <s v="West Kordofan"/>
    <s v="SD18"/>
    <x v="166"/>
    <x v="167"/>
    <m/>
    <m/>
    <n v="10404"/>
  </r>
  <r>
    <n v="21945"/>
    <s v="West Kordofan"/>
    <s v="SD18"/>
    <x v="167"/>
    <x v="168"/>
    <m/>
    <m/>
    <n v="21945"/>
  </r>
  <r>
    <n v="8230"/>
    <s v="West Kordofan"/>
    <s v="SD18"/>
    <x v="168"/>
    <x v="169"/>
    <m/>
    <m/>
    <n v="8230"/>
  </r>
  <r>
    <n v="34635"/>
    <s v="West Kordofan"/>
    <s v="SD18"/>
    <x v="169"/>
    <x v="170"/>
    <m/>
    <m/>
    <n v="34635"/>
  </r>
  <r>
    <n v="4108"/>
    <s v="West Kordofan"/>
    <s v="SD18"/>
    <x v="170"/>
    <x v="171"/>
    <m/>
    <m/>
    <n v="4108"/>
  </r>
  <r>
    <n v="21878"/>
    <s v="West Kordofan"/>
    <s v="SD18"/>
    <x v="171"/>
    <x v="172"/>
    <m/>
    <m/>
    <n v="21878"/>
  </r>
  <r>
    <n v="16081"/>
    <s v="West Kordofan"/>
    <s v="SD18"/>
    <x v="172"/>
    <x v="173"/>
    <m/>
    <m/>
    <n v="16081"/>
  </r>
  <r>
    <n v="35968"/>
    <s v="West Kordofan"/>
    <s v="SD18"/>
    <x v="173"/>
    <x v="174"/>
    <m/>
    <m/>
    <n v="35968"/>
  </r>
  <r>
    <n v="20589"/>
    <s v="West Kordofan"/>
    <s v="SD18"/>
    <x v="174"/>
    <x v="175"/>
    <m/>
    <m/>
    <n v="20589"/>
  </r>
  <r>
    <n v="7189"/>
    <s v="West Kordofan"/>
    <s v="SD18"/>
    <x v="175"/>
    <x v="176"/>
    <m/>
    <m/>
    <n v="7189"/>
  </r>
  <r>
    <n v="20273"/>
    <s v="West Kordofan"/>
    <s v="SD18"/>
    <x v="176"/>
    <x v="177"/>
    <m/>
    <m/>
    <n v="20273"/>
  </r>
  <r>
    <n v="20041"/>
    <s v="West Kordofan"/>
    <s v="SD18"/>
    <x v="177"/>
    <x v="178"/>
    <m/>
    <m/>
    <n v="20041"/>
  </r>
  <r>
    <n v="20693"/>
    <s v="West Kordofan"/>
    <s v="SD18"/>
    <x v="178"/>
    <x v="179"/>
    <m/>
    <m/>
    <n v="20693"/>
  </r>
  <r>
    <n v="4607"/>
    <s v="West Kordofan"/>
    <s v="SD18"/>
    <x v="179"/>
    <x v="180"/>
    <m/>
    <m/>
    <n v="4607"/>
  </r>
  <r>
    <n v="70236"/>
    <s v="White Nile"/>
    <s v="SD09"/>
    <x v="180"/>
    <x v="181"/>
    <m/>
    <m/>
    <n v="70236"/>
  </r>
  <r>
    <n v="93002"/>
    <s v="White Nile"/>
    <s v="SD09"/>
    <x v="181"/>
    <x v="182"/>
    <m/>
    <m/>
    <n v="93002"/>
  </r>
  <r>
    <n v="168576"/>
    <s v="White Nile"/>
    <s v="SD09"/>
    <x v="182"/>
    <x v="183"/>
    <m/>
    <m/>
    <n v="168576"/>
  </r>
  <r>
    <n v="50397"/>
    <s v="White Nile"/>
    <s v="SD09"/>
    <x v="183"/>
    <x v="184"/>
    <m/>
    <m/>
    <n v="50397"/>
  </r>
  <r>
    <n v="223917"/>
    <s v="White Nile"/>
    <s v="SD09"/>
    <x v="184"/>
    <x v="185"/>
    <m/>
    <m/>
    <n v="223917"/>
  </r>
  <r>
    <n v="21256"/>
    <s v="White Nile"/>
    <s v="SD09"/>
    <x v="185"/>
    <x v="186"/>
    <m/>
    <m/>
    <n v="21256"/>
  </r>
  <r>
    <n v="80080"/>
    <s v="White Nile"/>
    <s v="SD09"/>
    <x v="186"/>
    <x v="187"/>
    <m/>
    <m/>
    <n v="80080"/>
  </r>
  <r>
    <n v="19986"/>
    <s v="White Nile"/>
    <s v="SD09"/>
    <x v="187"/>
    <x v="188"/>
    <m/>
    <m/>
    <n v="19986"/>
  </r>
  <r>
    <n v="20067"/>
    <s v="White Nile"/>
    <s v="SD09"/>
    <x v="188"/>
    <x v="189"/>
    <m/>
    <m/>
    <n v="20067"/>
  </r>
  <r>
    <n v="29245"/>
    <s v="Abyei PCA"/>
    <s v="SD19"/>
    <x v="0"/>
    <x v="0"/>
    <m/>
    <m/>
    <n v="29245"/>
  </r>
  <r>
    <n v="187257"/>
    <s v="Aj Jazirah"/>
    <s v="SD15"/>
    <x v="1"/>
    <x v="1"/>
    <m/>
    <m/>
    <n v="256235"/>
  </r>
  <r>
    <n v="146738"/>
    <s v="Aj Jazirah"/>
    <s v="SD15"/>
    <x v="2"/>
    <x v="2"/>
    <m/>
    <m/>
    <n v="177456"/>
  </r>
  <r>
    <n v="163346"/>
    <s v="Aj Jazirah"/>
    <s v="SD15"/>
    <x v="3"/>
    <x v="3"/>
    <m/>
    <m/>
    <n v="243909"/>
  </r>
  <r>
    <n v="73912"/>
    <s v="Aj Jazirah"/>
    <s v="SD15"/>
    <x v="4"/>
    <x v="4"/>
    <m/>
    <m/>
    <n v="154176"/>
  </r>
  <r>
    <n v="114595"/>
    <s v="Aj Jazirah"/>
    <s v="SD15"/>
    <x v="5"/>
    <x v="5"/>
    <m/>
    <m/>
    <n v="206181"/>
  </r>
  <r>
    <n v="39378"/>
    <s v="Aj Jazirah"/>
    <s v="SD15"/>
    <x v="6"/>
    <x v="6"/>
    <m/>
    <m/>
    <n v="49297"/>
  </r>
  <r>
    <n v="118211"/>
    <s v="Aj Jazirah"/>
    <s v="SD15"/>
    <x v="7"/>
    <x v="7"/>
    <m/>
    <m/>
    <n v="252048"/>
  </r>
  <r>
    <n v="48763"/>
    <s v="Aj Jazirah"/>
    <s v="SD15"/>
    <x v="8"/>
    <x v="8"/>
    <m/>
    <m/>
    <n v="92918"/>
  </r>
  <r>
    <n v="42112"/>
    <s v="Blue Nile"/>
    <s v="SD08"/>
    <x v="9"/>
    <x v="9"/>
    <m/>
    <m/>
    <n v="58956"/>
  </r>
  <r>
    <n v="38165"/>
    <s v="Blue Nile"/>
    <s v="SD08"/>
    <x v="10"/>
    <x v="10"/>
    <m/>
    <m/>
    <n v="50874"/>
  </r>
  <r>
    <n v="17486"/>
    <s v="Blue Nile"/>
    <s v="SD08"/>
    <x v="11"/>
    <x v="11"/>
    <m/>
    <m/>
    <n v="17486"/>
  </r>
  <r>
    <n v="16940"/>
    <s v="Blue Nile"/>
    <s v="SD08"/>
    <x v="12"/>
    <x v="12"/>
    <m/>
    <m/>
    <n v="25152"/>
  </r>
  <r>
    <n v="24257"/>
    <s v="Blue Nile"/>
    <s v="SD08"/>
    <x v="13"/>
    <x v="13"/>
    <m/>
    <m/>
    <n v="37914"/>
  </r>
  <r>
    <n v="10901"/>
    <s v="Blue Nile"/>
    <s v="SD08"/>
    <x v="14"/>
    <x v="14"/>
    <m/>
    <m/>
    <n v="17065"/>
  </r>
  <r>
    <n v="13044.6"/>
    <s v="Blue Nile"/>
    <s v="SD08"/>
    <x v="15"/>
    <x v="15"/>
    <m/>
    <m/>
    <n v="28988"/>
  </r>
  <r>
    <n v="0"/>
    <s v="Central Darfur"/>
    <s v="SD06"/>
    <x v="16"/>
    <x v="16"/>
    <m/>
    <m/>
    <n v="0"/>
  </r>
  <r>
    <n v="16119.5"/>
    <s v="Central Darfur"/>
    <s v="SD06"/>
    <x v="17"/>
    <x v="17"/>
    <m/>
    <m/>
    <n v="32239"/>
  </r>
  <r>
    <n v="86654"/>
    <s v="Central Darfur"/>
    <s v="SD06"/>
    <x v="18"/>
    <x v="18"/>
    <m/>
    <m/>
    <n v="117768"/>
  </r>
  <r>
    <n v="48372"/>
    <s v="Central Darfur"/>
    <s v="SD06"/>
    <x v="19"/>
    <x v="19"/>
    <m/>
    <m/>
    <n v="54375"/>
  </r>
  <r>
    <n v="6307"/>
    <s v="Central Darfur"/>
    <s v="SD06"/>
    <x v="20"/>
    <x v="20"/>
    <m/>
    <m/>
    <n v="6368"/>
  </r>
  <r>
    <n v="19640"/>
    <s v="Central Darfur"/>
    <s v="SD06"/>
    <x v="21"/>
    <x v="21"/>
    <m/>
    <m/>
    <n v="19675"/>
  </r>
  <r>
    <n v="67176"/>
    <s v="Central Darfur"/>
    <s v="SD06"/>
    <x v="22"/>
    <x v="22"/>
    <m/>
    <m/>
    <n v="119424"/>
  </r>
  <r>
    <n v="12189"/>
    <s v="Central Darfur"/>
    <s v="SD06"/>
    <x v="23"/>
    <x v="23"/>
    <m/>
    <m/>
    <n v="18104"/>
  </r>
  <r>
    <n v="0"/>
    <s v="Central Darfur"/>
    <s v="SD06"/>
    <x v="24"/>
    <x v="24"/>
    <m/>
    <m/>
    <n v="0"/>
  </r>
  <r>
    <n v="3364"/>
    <s v="East Darfur"/>
    <s v="SD05"/>
    <x v="25"/>
    <x v="25"/>
    <m/>
    <m/>
    <n v="3407"/>
  </r>
  <r>
    <n v="39972"/>
    <s v="East Darfur"/>
    <s v="SD05"/>
    <x v="26"/>
    <x v="26"/>
    <m/>
    <m/>
    <n v="51451"/>
  </r>
  <r>
    <n v="0"/>
    <s v="East Darfur"/>
    <s v="SD05"/>
    <x v="27"/>
    <x v="27"/>
    <m/>
    <m/>
    <n v="0"/>
  </r>
  <r>
    <n v="8596"/>
    <s v="East Darfur"/>
    <s v="SD05"/>
    <x v="28"/>
    <x v="28"/>
    <m/>
    <m/>
    <n v="17192"/>
  </r>
  <r>
    <n v="51220"/>
    <s v="East Darfur"/>
    <s v="SD05"/>
    <x v="29"/>
    <x v="29"/>
    <m/>
    <m/>
    <n v="53221"/>
  </r>
  <r>
    <n v="53250"/>
    <s v="East Darfur"/>
    <s v="SD05"/>
    <x v="30"/>
    <x v="30"/>
    <m/>
    <m/>
    <n v="53523"/>
  </r>
  <r>
    <n v="20438"/>
    <s v="East Darfur"/>
    <s v="SD05"/>
    <x v="31"/>
    <x v="31"/>
    <m/>
    <m/>
    <n v="21894"/>
  </r>
  <r>
    <n v="39911"/>
    <s v="East Darfur"/>
    <s v="SD05"/>
    <x v="32"/>
    <x v="32"/>
    <m/>
    <m/>
    <n v="40634"/>
  </r>
  <r>
    <n v="38072"/>
    <s v="East Darfur"/>
    <s v="SD05"/>
    <x v="33"/>
    <x v="33"/>
    <m/>
    <m/>
    <n v="39832"/>
  </r>
  <r>
    <n v="48143"/>
    <s v="Gedaref"/>
    <s v="SD12"/>
    <x v="34"/>
    <x v="34"/>
    <m/>
    <m/>
    <n v="49070"/>
  </r>
  <r>
    <n v="55340"/>
    <s v="Gedaref"/>
    <s v="SD12"/>
    <x v="35"/>
    <x v="35"/>
    <m/>
    <m/>
    <n v="63051"/>
  </r>
  <r>
    <n v="18199"/>
    <s v="Gedaref"/>
    <s v="SD12"/>
    <x v="36"/>
    <x v="36"/>
    <m/>
    <m/>
    <n v="24788"/>
  </r>
  <r>
    <n v="48762"/>
    <s v="Gedaref"/>
    <s v="SD12"/>
    <x v="37"/>
    <x v="37"/>
    <m/>
    <m/>
    <n v="50699"/>
  </r>
  <r>
    <n v="4046"/>
    <s v="Gedaref"/>
    <s v="SD12"/>
    <x v="38"/>
    <x v="38"/>
    <m/>
    <m/>
    <n v="4586"/>
  </r>
  <r>
    <n v="28017"/>
    <s v="Gedaref"/>
    <s v="SD12"/>
    <x v="39"/>
    <x v="39"/>
    <m/>
    <m/>
    <n v="38875"/>
  </r>
  <r>
    <n v="40985"/>
    <s v="Gedaref"/>
    <s v="SD12"/>
    <x v="40"/>
    <x v="40"/>
    <m/>
    <m/>
    <n v="51463"/>
  </r>
  <r>
    <n v="7217"/>
    <s v="Gedaref"/>
    <s v="SD12"/>
    <x v="41"/>
    <x v="41"/>
    <m/>
    <m/>
    <n v="7677"/>
  </r>
  <r>
    <n v="33942"/>
    <s v="Gedaref"/>
    <s v="SD12"/>
    <x v="42"/>
    <x v="42"/>
    <m/>
    <m/>
    <n v="37941"/>
  </r>
  <r>
    <n v="21610"/>
    <s v="Gedaref"/>
    <s v="SD12"/>
    <x v="43"/>
    <x v="43"/>
    <m/>
    <m/>
    <n v="26976"/>
  </r>
  <r>
    <n v="49588"/>
    <s v="Gedaref"/>
    <s v="SD12"/>
    <x v="44"/>
    <x v="44"/>
    <m/>
    <m/>
    <n v="49588"/>
  </r>
  <r>
    <n v="21724"/>
    <s v="Gedaref"/>
    <s v="SD12"/>
    <x v="45"/>
    <x v="45"/>
    <m/>
    <m/>
    <n v="35318"/>
  </r>
  <r>
    <n v="74538"/>
    <s v="Kassala"/>
    <s v="SD11"/>
    <x v="46"/>
    <x v="46"/>
    <m/>
    <m/>
    <n v="124438"/>
  </r>
  <r>
    <n v="81218.25"/>
    <s v="Kassala"/>
    <s v="SD11"/>
    <x v="47"/>
    <x v="47"/>
    <m/>
    <m/>
    <n v="180485"/>
  </r>
  <r>
    <n v="80526"/>
    <s v="Kassala"/>
    <s v="SD11"/>
    <x v="48"/>
    <x v="48"/>
    <m/>
    <m/>
    <n v="80526"/>
  </r>
  <r>
    <n v="106798"/>
    <s v="Kassala"/>
    <s v="SD11"/>
    <x v="49"/>
    <x v="49"/>
    <m/>
    <m/>
    <n v="110994"/>
  </r>
  <r>
    <n v="217712"/>
    <s v="Kassala"/>
    <s v="SD11"/>
    <x v="50"/>
    <x v="50"/>
    <m/>
    <m/>
    <n v="221658"/>
  </r>
  <r>
    <n v="34721"/>
    <s v="Kassala"/>
    <s v="SD11"/>
    <x v="51"/>
    <x v="51"/>
    <m/>
    <m/>
    <n v="40303"/>
  </r>
  <r>
    <n v="42462"/>
    <s v="Kassala"/>
    <s v="SD11"/>
    <x v="52"/>
    <x v="52"/>
    <m/>
    <m/>
    <n v="55146"/>
  </r>
  <r>
    <n v="116041"/>
    <s v="Kassala"/>
    <s v="SD11"/>
    <x v="53"/>
    <x v="53"/>
    <m/>
    <m/>
    <n v="117024"/>
  </r>
  <r>
    <n v="73313"/>
    <s v="Kassala"/>
    <s v="SD11"/>
    <x v="54"/>
    <x v="54"/>
    <m/>
    <m/>
    <n v="77375"/>
  </r>
  <r>
    <n v="181667"/>
    <s v="Kassala"/>
    <s v="SD11"/>
    <x v="55"/>
    <x v="55"/>
    <m/>
    <m/>
    <n v="215194"/>
  </r>
  <r>
    <n v="0"/>
    <s v="Kassala"/>
    <s v="SD11"/>
    <x v="56"/>
    <x v="56"/>
    <m/>
    <m/>
    <n v="0"/>
  </r>
  <r>
    <n v="226823"/>
    <s v="Khartoum"/>
    <s v="SD01"/>
    <x v="57"/>
    <x v="57"/>
    <m/>
    <m/>
    <n v="355633"/>
  </r>
  <r>
    <n v="577654"/>
    <s v="Khartoum"/>
    <s v="SD01"/>
    <x v="58"/>
    <x v="58"/>
    <m/>
    <m/>
    <n v="850366"/>
  </r>
  <r>
    <n v="388533.75"/>
    <s v="Khartoum"/>
    <s v="SD01"/>
    <x v="59"/>
    <x v="59"/>
    <m/>
    <m/>
    <n v="706425"/>
  </r>
  <r>
    <n v="246472.2"/>
    <s v="Khartoum"/>
    <s v="SD01"/>
    <x v="60"/>
    <x v="60"/>
    <m/>
    <m/>
    <n v="379188"/>
  </r>
  <r>
    <n v="267432.5"/>
    <s v="Khartoum"/>
    <s v="SD01"/>
    <x v="61"/>
    <x v="61"/>
    <m/>
    <m/>
    <n v="534865"/>
  </r>
  <r>
    <n v="590141.4"/>
    <s v="Khartoum"/>
    <s v="SD01"/>
    <x v="62"/>
    <x v="62"/>
    <m/>
    <m/>
    <n v="983569"/>
  </r>
  <r>
    <n v="152134.95000000001"/>
    <s v="Khartoum"/>
    <s v="SD01"/>
    <x v="63"/>
    <x v="63"/>
    <m/>
    <m/>
    <n v="276609"/>
  </r>
  <r>
    <n v="0"/>
    <s v="North Darfur"/>
    <s v="SD02"/>
    <x v="64"/>
    <x v="64"/>
    <m/>
    <m/>
    <n v="0"/>
  </r>
  <r>
    <n v="9000"/>
    <s v="North Darfur"/>
    <s v="SD02"/>
    <x v="65"/>
    <x v="65"/>
    <m/>
    <m/>
    <n v="10871"/>
  </r>
  <r>
    <n v="11205"/>
    <s v="North Darfur"/>
    <s v="SD02"/>
    <x v="66"/>
    <x v="66"/>
    <m/>
    <m/>
    <n v="21018"/>
  </r>
  <r>
    <n v="14082"/>
    <s v="North Darfur"/>
    <s v="SD02"/>
    <x v="67"/>
    <x v="67"/>
    <m/>
    <m/>
    <n v="35205"/>
  </r>
  <r>
    <n v="10726"/>
    <s v="North Darfur"/>
    <s v="SD02"/>
    <x v="68"/>
    <x v="68"/>
    <m/>
    <m/>
    <n v="11788"/>
  </r>
  <r>
    <n v="15157"/>
    <s v="North Darfur"/>
    <s v="SD02"/>
    <x v="69"/>
    <x v="69"/>
    <m/>
    <m/>
    <n v="37433"/>
  </r>
  <r>
    <n v="10004"/>
    <s v="North Darfur"/>
    <s v="SD02"/>
    <x v="70"/>
    <x v="70"/>
    <m/>
    <m/>
    <n v="10004"/>
  </r>
  <r>
    <n v="0"/>
    <s v="North Darfur"/>
    <s v="SD02"/>
    <x v="71"/>
    <x v="71"/>
    <m/>
    <m/>
    <n v="0"/>
  </r>
  <r>
    <n v="62599"/>
    <s v="North Darfur"/>
    <s v="SD02"/>
    <x v="72"/>
    <x v="72"/>
    <m/>
    <m/>
    <n v="62599"/>
  </r>
  <r>
    <n v="12607"/>
    <s v="North Darfur"/>
    <s v="SD02"/>
    <x v="73"/>
    <x v="73"/>
    <m/>
    <m/>
    <n v="19437"/>
  </r>
  <r>
    <n v="43272"/>
    <s v="North Darfur"/>
    <s v="SD02"/>
    <x v="74"/>
    <x v="74"/>
    <m/>
    <m/>
    <n v="47147"/>
  </r>
  <r>
    <n v="56166"/>
    <s v="North Darfur"/>
    <s v="SD02"/>
    <x v="75"/>
    <x v="75"/>
    <m/>
    <m/>
    <n v="92303"/>
  </r>
  <r>
    <n v="36131"/>
    <s v="North Darfur"/>
    <s v="SD02"/>
    <x v="76"/>
    <x v="76"/>
    <m/>
    <m/>
    <n v="48721"/>
  </r>
  <r>
    <n v="0"/>
    <s v="North Darfur"/>
    <s v="SD02"/>
    <x v="77"/>
    <x v="77"/>
    <m/>
    <m/>
    <n v="0"/>
  </r>
  <r>
    <n v="29526"/>
    <s v="North Darfur"/>
    <s v="SD02"/>
    <x v="78"/>
    <x v="78"/>
    <m/>
    <m/>
    <n v="35188"/>
  </r>
  <r>
    <n v="40283"/>
    <s v="North Darfur"/>
    <s v="SD02"/>
    <x v="79"/>
    <x v="79"/>
    <m/>
    <m/>
    <n v="41009"/>
  </r>
  <r>
    <n v="43165"/>
    <s v="North Darfur"/>
    <s v="SD02"/>
    <x v="80"/>
    <x v="80"/>
    <m/>
    <m/>
    <n v="54343"/>
  </r>
  <r>
    <n v="0"/>
    <s v="North Darfur"/>
    <s v="SD02"/>
    <x v="81"/>
    <x v="81"/>
    <m/>
    <m/>
    <n v="0"/>
  </r>
  <r>
    <n v="16861"/>
    <s v="North Kordofan"/>
    <s v="SD13"/>
    <x v="40"/>
    <x v="82"/>
    <m/>
    <m/>
    <n v="20665"/>
  </r>
  <r>
    <n v="71949"/>
    <s v="North Kordofan"/>
    <s v="SD13"/>
    <x v="82"/>
    <x v="83"/>
    <m/>
    <m/>
    <n v="82312"/>
  </r>
  <r>
    <n v="94776"/>
    <s v="North Kordofan"/>
    <s v="SD13"/>
    <x v="83"/>
    <x v="84"/>
    <m/>
    <m/>
    <n v="108875"/>
  </r>
  <r>
    <n v="56581"/>
    <s v="North Kordofan"/>
    <s v="SD13"/>
    <x v="84"/>
    <x v="85"/>
    <m/>
    <m/>
    <n v="82264"/>
  </r>
  <r>
    <n v="190219.68"/>
    <s v="North Kordofan"/>
    <s v="SD13"/>
    <x v="85"/>
    <x v="86"/>
    <m/>
    <m/>
    <n v="317033"/>
  </r>
  <r>
    <n v="135625"/>
    <s v="North Kordofan"/>
    <s v="SD13"/>
    <x v="86"/>
    <x v="87"/>
    <m/>
    <m/>
    <n v="142583"/>
  </r>
  <r>
    <n v="39227"/>
    <s v="North Kordofan"/>
    <s v="SD13"/>
    <x v="87"/>
    <x v="88"/>
    <m/>
    <m/>
    <n v="42675"/>
  </r>
  <r>
    <n v="70902"/>
    <s v="North Kordofan"/>
    <s v="SD13"/>
    <x v="88"/>
    <x v="89"/>
    <m/>
    <m/>
    <n v="83502"/>
  </r>
  <r>
    <n v="17844.8"/>
    <s v="Northern"/>
    <s v="SD17"/>
    <x v="89"/>
    <x v="90"/>
    <m/>
    <m/>
    <n v="44612"/>
  </r>
  <r>
    <n v="0"/>
    <s v="Northern"/>
    <s v="SD17"/>
    <x v="90"/>
    <x v="91"/>
    <m/>
    <m/>
    <n v="0"/>
  </r>
  <r>
    <n v="0"/>
    <s v="Northern"/>
    <s v="SD17"/>
    <x v="91"/>
    <x v="92"/>
    <m/>
    <m/>
    <n v="0"/>
  </r>
  <r>
    <n v="0"/>
    <s v="Northern"/>
    <s v="SD17"/>
    <x v="92"/>
    <x v="93"/>
    <m/>
    <m/>
    <n v="0"/>
  </r>
  <r>
    <n v="3740"/>
    <s v="Northern"/>
    <s v="SD17"/>
    <x v="93"/>
    <x v="94"/>
    <m/>
    <m/>
    <n v="3740"/>
  </r>
  <r>
    <n v="2312"/>
    <s v="Northern"/>
    <s v="SD17"/>
    <x v="94"/>
    <x v="95"/>
    <m/>
    <m/>
    <n v="2312"/>
  </r>
  <r>
    <n v="12578"/>
    <s v="Northern"/>
    <s v="SD17"/>
    <x v="95"/>
    <x v="96"/>
    <m/>
    <m/>
    <n v="20070"/>
  </r>
  <r>
    <n v="39523"/>
    <s v="Red Sea"/>
    <s v="SD10"/>
    <x v="96"/>
    <x v="97"/>
    <m/>
    <m/>
    <n v="39698"/>
  </r>
  <r>
    <n v="48202"/>
    <s v="Red Sea"/>
    <s v="SD10"/>
    <x v="97"/>
    <x v="98"/>
    <m/>
    <m/>
    <n v="52737"/>
  </r>
  <r>
    <n v="22567"/>
    <s v="Red Sea"/>
    <s v="SD10"/>
    <x v="98"/>
    <x v="99"/>
    <m/>
    <m/>
    <n v="23108"/>
  </r>
  <r>
    <n v="16046"/>
    <s v="Red Sea"/>
    <s v="SD10"/>
    <x v="99"/>
    <x v="100"/>
    <m/>
    <m/>
    <n v="16046"/>
  </r>
  <r>
    <n v="143305"/>
    <s v="Red Sea"/>
    <s v="SD10"/>
    <x v="100"/>
    <x v="101"/>
    <m/>
    <m/>
    <n v="145606"/>
  </r>
  <r>
    <n v="33092"/>
    <s v="Red Sea"/>
    <s v="SD10"/>
    <x v="101"/>
    <x v="102"/>
    <m/>
    <m/>
    <n v="39494"/>
  </r>
  <r>
    <n v="0"/>
    <s v="Red Sea"/>
    <s v="SD10"/>
    <x v="102"/>
    <x v="103"/>
    <m/>
    <m/>
    <n v="0"/>
  </r>
  <r>
    <n v="11368"/>
    <s v="Red Sea"/>
    <s v="SD10"/>
    <x v="103"/>
    <x v="104"/>
    <m/>
    <m/>
    <n v="11368"/>
  </r>
  <r>
    <n v="43833"/>
    <s v="Red Sea"/>
    <s v="SD10"/>
    <x v="104"/>
    <x v="105"/>
    <m/>
    <m/>
    <n v="46880"/>
  </r>
  <r>
    <n v="60004"/>
    <s v="Red Sea"/>
    <s v="SD10"/>
    <x v="105"/>
    <x v="106"/>
    <m/>
    <m/>
    <n v="63262"/>
  </r>
  <r>
    <n v="0"/>
    <s v="River Nile"/>
    <s v="SD16"/>
    <x v="106"/>
    <x v="107"/>
    <m/>
    <m/>
    <n v="0"/>
  </r>
  <r>
    <n v="0"/>
    <s v="River Nile"/>
    <s v="SD16"/>
    <x v="107"/>
    <x v="108"/>
    <m/>
    <m/>
    <n v="0"/>
  </r>
  <r>
    <n v="0"/>
    <s v="River Nile"/>
    <s v="SD16"/>
    <x v="108"/>
    <x v="109"/>
    <m/>
    <m/>
    <n v="0"/>
  </r>
  <r>
    <n v="0"/>
    <s v="River Nile"/>
    <s v="SD16"/>
    <x v="109"/>
    <x v="110"/>
    <m/>
    <m/>
    <n v="0"/>
  </r>
  <r>
    <n v="0"/>
    <s v="River Nile"/>
    <s v="SD16"/>
    <x v="110"/>
    <x v="111"/>
    <m/>
    <m/>
    <n v="0"/>
  </r>
  <r>
    <n v="0"/>
    <s v="River Nile"/>
    <s v="SD16"/>
    <x v="111"/>
    <x v="112"/>
    <m/>
    <m/>
    <n v="0"/>
  </r>
  <r>
    <n v="0"/>
    <s v="River Nile"/>
    <s v="SD16"/>
    <x v="112"/>
    <x v="113"/>
    <m/>
    <m/>
    <n v="0"/>
  </r>
  <r>
    <n v="27536"/>
    <s v="Sennar"/>
    <s v="SD14"/>
    <x v="113"/>
    <x v="114"/>
    <m/>
    <m/>
    <n v="32274"/>
  </r>
  <r>
    <n v="20394"/>
    <s v="Sennar"/>
    <s v="SD14"/>
    <x v="114"/>
    <x v="115"/>
    <m/>
    <m/>
    <n v="21798"/>
  </r>
  <r>
    <n v="32656"/>
    <s v="Sennar"/>
    <s v="SD14"/>
    <x v="115"/>
    <x v="116"/>
    <m/>
    <m/>
    <n v="37744"/>
  </r>
  <r>
    <n v="17266"/>
    <s v="Sennar"/>
    <s v="SD14"/>
    <x v="116"/>
    <x v="117"/>
    <m/>
    <m/>
    <n v="17266"/>
  </r>
  <r>
    <n v="44344.738299999997"/>
    <s v="Sennar"/>
    <s v="SD14"/>
    <x v="117"/>
    <x v="118"/>
    <m/>
    <m/>
    <n v="114379"/>
  </r>
  <r>
    <n v="98593"/>
    <s v="Sennar"/>
    <s v="SD14"/>
    <x v="118"/>
    <x v="119"/>
    <m/>
    <m/>
    <n v="129710"/>
  </r>
  <r>
    <n v="24425"/>
    <s v="Sennar"/>
    <s v="SD14"/>
    <x v="119"/>
    <x v="120"/>
    <m/>
    <m/>
    <n v="40085"/>
  </r>
  <r>
    <n v="13029"/>
    <s v="South Darfur"/>
    <s v="SD03"/>
    <x v="120"/>
    <x v="121"/>
    <m/>
    <m/>
    <n v="14993"/>
  </r>
  <r>
    <n v="20180"/>
    <s v="South Darfur"/>
    <s v="SD03"/>
    <x v="121"/>
    <x v="122"/>
    <m/>
    <m/>
    <n v="33153"/>
  </r>
  <r>
    <n v="40226"/>
    <s v="South Darfur"/>
    <s v="SD03"/>
    <x v="122"/>
    <x v="123"/>
    <m/>
    <m/>
    <n v="53663"/>
  </r>
  <r>
    <n v="71694"/>
    <s v="South Darfur"/>
    <s v="SD03"/>
    <x v="123"/>
    <x v="124"/>
    <m/>
    <m/>
    <n v="75770"/>
  </r>
  <r>
    <n v="118869.27"/>
    <s v="South Darfur"/>
    <s v="SD03"/>
    <x v="124"/>
    <x v="125"/>
    <m/>
    <m/>
    <n v="198115"/>
  </r>
  <r>
    <n v="45151"/>
    <s v="South Darfur"/>
    <s v="SD03"/>
    <x v="125"/>
    <x v="126"/>
    <m/>
    <m/>
    <n v="56744"/>
  </r>
  <r>
    <n v="53655"/>
    <s v="South Darfur"/>
    <s v="SD03"/>
    <x v="126"/>
    <x v="127"/>
    <m/>
    <m/>
    <n v="73119"/>
  </r>
  <r>
    <n v="86235"/>
    <s v="South Darfur"/>
    <s v="SD03"/>
    <x v="127"/>
    <x v="128"/>
    <m/>
    <m/>
    <n v="88274"/>
  </r>
  <r>
    <n v="48701"/>
    <s v="South Darfur"/>
    <s v="SD03"/>
    <x v="128"/>
    <x v="129"/>
    <m/>
    <m/>
    <n v="67801"/>
  </r>
  <r>
    <n v="0"/>
    <s v="South Darfur"/>
    <s v="SD03"/>
    <x v="129"/>
    <x v="130"/>
    <m/>
    <m/>
    <n v="0"/>
  </r>
  <r>
    <n v="44721"/>
    <s v="South Darfur"/>
    <s v="SD03"/>
    <x v="130"/>
    <x v="131"/>
    <m/>
    <m/>
    <n v="45671"/>
  </r>
  <r>
    <n v="65456"/>
    <s v="South Darfur"/>
    <s v="SD03"/>
    <x v="131"/>
    <x v="132"/>
    <m/>
    <m/>
    <n v="87310"/>
  </r>
  <r>
    <n v="8767"/>
    <s v="South Darfur"/>
    <s v="SD03"/>
    <x v="132"/>
    <x v="133"/>
    <m/>
    <m/>
    <n v="14522"/>
  </r>
  <r>
    <n v="35345"/>
    <s v="South Darfur"/>
    <s v="SD03"/>
    <x v="133"/>
    <x v="134"/>
    <m/>
    <m/>
    <n v="46964"/>
  </r>
  <r>
    <n v="50811.53"/>
    <s v="South Darfur"/>
    <s v="SD03"/>
    <x v="134"/>
    <x v="135"/>
    <m/>
    <m/>
    <n v="72588"/>
  </r>
  <r>
    <n v="0"/>
    <s v="South Darfur"/>
    <s v="SD03"/>
    <x v="135"/>
    <x v="136"/>
    <m/>
    <m/>
    <n v="0"/>
  </r>
  <r>
    <n v="95110"/>
    <s v="South Darfur"/>
    <s v="SD03"/>
    <x v="136"/>
    <x v="137"/>
    <m/>
    <m/>
    <n v="115790"/>
  </r>
  <r>
    <n v="4587.8"/>
    <s v="South Darfur"/>
    <s v="SD03"/>
    <x v="137"/>
    <x v="138"/>
    <m/>
    <m/>
    <n v="6554"/>
  </r>
  <r>
    <n v="26785"/>
    <s v="South Darfur"/>
    <s v="SD03"/>
    <x v="138"/>
    <x v="139"/>
    <m/>
    <m/>
    <n v="28522"/>
  </r>
  <r>
    <n v="76432"/>
    <s v="South Darfur"/>
    <s v="SD03"/>
    <x v="139"/>
    <x v="140"/>
    <m/>
    <m/>
    <n v="142571"/>
  </r>
  <r>
    <n v="29772"/>
    <s v="South Darfur"/>
    <s v="SD03"/>
    <x v="140"/>
    <x v="141"/>
    <m/>
    <m/>
    <n v="29991"/>
  </r>
  <r>
    <n v="54023"/>
    <s v="South Kordofan"/>
    <s v="SD07"/>
    <x v="141"/>
    <x v="142"/>
    <m/>
    <m/>
    <n v="61790"/>
  </r>
  <r>
    <n v="38319"/>
    <s v="South Kordofan"/>
    <s v="SD07"/>
    <x v="142"/>
    <x v="143"/>
    <m/>
    <m/>
    <n v="40979"/>
  </r>
  <r>
    <n v="30504"/>
    <s v="South Kordofan"/>
    <s v="SD07"/>
    <x v="143"/>
    <x v="144"/>
    <m/>
    <m/>
    <n v="35416"/>
  </r>
  <r>
    <n v="95861"/>
    <s v="South Kordofan"/>
    <s v="SD07"/>
    <x v="144"/>
    <x v="145"/>
    <m/>
    <m/>
    <n v="114776"/>
  </r>
  <r>
    <n v="16154"/>
    <s v="South Kordofan"/>
    <s v="SD07"/>
    <x v="145"/>
    <x v="146"/>
    <m/>
    <m/>
    <n v="16647"/>
  </r>
  <r>
    <n v="49448"/>
    <s v="South Kordofan"/>
    <s v="SD07"/>
    <x v="146"/>
    <x v="147"/>
    <m/>
    <m/>
    <n v="60502"/>
  </r>
  <r>
    <n v="14608"/>
    <s v="South Kordofan"/>
    <s v="SD07"/>
    <x v="147"/>
    <x v="148"/>
    <m/>
    <m/>
    <n v="16645"/>
  </r>
  <r>
    <n v="9860"/>
    <s v="South Kordofan"/>
    <s v="SD07"/>
    <x v="148"/>
    <x v="149"/>
    <m/>
    <m/>
    <n v="12928"/>
  </r>
  <r>
    <n v="39786"/>
    <s v="South Kordofan"/>
    <s v="SD07"/>
    <x v="149"/>
    <x v="150"/>
    <m/>
    <m/>
    <n v="41478"/>
  </r>
  <r>
    <n v="17283"/>
    <s v="South Kordofan"/>
    <s v="SD07"/>
    <x v="150"/>
    <x v="151"/>
    <m/>
    <m/>
    <n v="23809"/>
  </r>
  <r>
    <n v="75783.5"/>
    <s v="South Kordofan"/>
    <s v="SD07"/>
    <x v="151"/>
    <x v="152"/>
    <m/>
    <m/>
    <n v="116590"/>
  </r>
  <r>
    <n v="0"/>
    <s v="South Kordofan"/>
    <s v="SD07"/>
    <x v="152"/>
    <x v="153"/>
    <m/>
    <m/>
    <n v="0"/>
  </r>
  <r>
    <n v="27613"/>
    <s v="South Kordofan"/>
    <s v="SD07"/>
    <x v="153"/>
    <x v="154"/>
    <m/>
    <m/>
    <n v="31493"/>
  </r>
  <r>
    <n v="104512"/>
    <s v="South Kordofan"/>
    <s v="SD07"/>
    <x v="154"/>
    <x v="155"/>
    <m/>
    <m/>
    <n v="125134"/>
  </r>
  <r>
    <n v="23298"/>
    <s v="South Kordofan"/>
    <s v="SD07"/>
    <x v="155"/>
    <x v="156"/>
    <m/>
    <m/>
    <n v="33259"/>
  </r>
  <r>
    <n v="8191"/>
    <s v="South Kordofan"/>
    <s v="SD07"/>
    <x v="156"/>
    <x v="157"/>
    <m/>
    <m/>
    <n v="8616"/>
  </r>
  <r>
    <n v="70546"/>
    <s v="South Kordofan"/>
    <s v="SD07"/>
    <x v="157"/>
    <x v="158"/>
    <m/>
    <m/>
    <n v="84466"/>
  </r>
  <r>
    <n v="321307.84699999995"/>
    <s v="West Darfur"/>
    <s v="SD04"/>
    <x v="158"/>
    <x v="159"/>
    <m/>
    <m/>
    <n v="459011"/>
  </r>
  <r>
    <n v="74759"/>
    <s v="West Darfur"/>
    <s v="SD04"/>
    <x v="159"/>
    <x v="160"/>
    <m/>
    <m/>
    <n v="116049"/>
  </r>
  <r>
    <n v="49479"/>
    <s v="West Darfur"/>
    <s v="SD04"/>
    <x v="160"/>
    <x v="161"/>
    <m/>
    <m/>
    <n v="51088"/>
  </r>
  <r>
    <n v="33195"/>
    <s v="West Darfur"/>
    <s v="SD04"/>
    <x v="161"/>
    <x v="162"/>
    <m/>
    <m/>
    <n v="34141"/>
  </r>
  <r>
    <n v="30866"/>
    <s v="West Darfur"/>
    <s v="SD04"/>
    <x v="162"/>
    <x v="163"/>
    <m/>
    <m/>
    <n v="31574"/>
  </r>
  <r>
    <n v="125976.3"/>
    <s v="West Darfur"/>
    <s v="SD04"/>
    <x v="163"/>
    <x v="164"/>
    <m/>
    <m/>
    <n v="209961"/>
  </r>
  <r>
    <n v="11801"/>
    <s v="West Darfur"/>
    <s v="SD04"/>
    <x v="164"/>
    <x v="165"/>
    <m/>
    <m/>
    <n v="14379"/>
  </r>
  <r>
    <n v="69932"/>
    <s v="West Darfur"/>
    <s v="SD04"/>
    <x v="165"/>
    <x v="166"/>
    <m/>
    <m/>
    <n v="107455"/>
  </r>
  <r>
    <n v="23343"/>
    <s v="West Kordofan"/>
    <s v="SD18"/>
    <x v="166"/>
    <x v="167"/>
    <m/>
    <m/>
    <n v="42380"/>
  </r>
  <r>
    <n v="30423"/>
    <s v="West Kordofan"/>
    <s v="SD18"/>
    <x v="167"/>
    <x v="168"/>
    <m/>
    <m/>
    <n v="35666"/>
  </r>
  <r>
    <n v="25186"/>
    <s v="West Kordofan"/>
    <s v="SD18"/>
    <x v="168"/>
    <x v="169"/>
    <m/>
    <m/>
    <n v="29130"/>
  </r>
  <r>
    <n v="23157"/>
    <s v="West Kordofan"/>
    <s v="SD18"/>
    <x v="169"/>
    <x v="170"/>
    <m/>
    <m/>
    <n v="24836"/>
  </r>
  <r>
    <n v="20999"/>
    <s v="West Kordofan"/>
    <s v="SD18"/>
    <x v="170"/>
    <x v="171"/>
    <m/>
    <m/>
    <n v="38552"/>
  </r>
  <r>
    <n v="18996"/>
    <s v="West Kordofan"/>
    <s v="SD18"/>
    <x v="171"/>
    <x v="172"/>
    <m/>
    <m/>
    <n v="19386"/>
  </r>
  <r>
    <n v="9114"/>
    <s v="West Kordofan"/>
    <s v="SD18"/>
    <x v="172"/>
    <x v="173"/>
    <m/>
    <m/>
    <n v="9114"/>
  </r>
  <r>
    <n v="84760"/>
    <s v="West Kordofan"/>
    <s v="SD18"/>
    <x v="173"/>
    <x v="174"/>
    <m/>
    <m/>
    <n v="89438"/>
  </r>
  <r>
    <n v="11306"/>
    <s v="West Kordofan"/>
    <s v="SD18"/>
    <x v="174"/>
    <x v="175"/>
    <m/>
    <m/>
    <n v="21082"/>
  </r>
  <r>
    <n v="43349"/>
    <s v="West Kordofan"/>
    <s v="SD18"/>
    <x v="175"/>
    <x v="176"/>
    <m/>
    <m/>
    <n v="51822"/>
  </r>
  <r>
    <n v="9245"/>
    <s v="West Kordofan"/>
    <s v="SD18"/>
    <x v="176"/>
    <x v="177"/>
    <m/>
    <m/>
    <n v="10226"/>
  </r>
  <r>
    <n v="42140"/>
    <s v="West Kordofan"/>
    <s v="SD18"/>
    <x v="177"/>
    <x v="178"/>
    <m/>
    <m/>
    <n v="43745"/>
  </r>
  <r>
    <n v="9371.5"/>
    <s v="West Kordofan"/>
    <s v="SD18"/>
    <x v="178"/>
    <x v="179"/>
    <m/>
    <m/>
    <n v="18743"/>
  </r>
  <r>
    <n v="43487"/>
    <s v="West Kordofan"/>
    <s v="SD18"/>
    <x v="179"/>
    <x v="180"/>
    <m/>
    <m/>
    <n v="59433"/>
  </r>
  <r>
    <n v="41286"/>
    <s v="White Nile"/>
    <s v="SD09"/>
    <x v="180"/>
    <x v="181"/>
    <m/>
    <m/>
    <n v="65492"/>
  </r>
  <r>
    <n v="17922"/>
    <s v="White Nile"/>
    <s v="SD09"/>
    <x v="181"/>
    <x v="182"/>
    <m/>
    <m/>
    <n v="17922"/>
  </r>
  <r>
    <n v="0"/>
    <s v="White Nile"/>
    <s v="SD09"/>
    <x v="182"/>
    <x v="183"/>
    <m/>
    <m/>
    <n v="0"/>
  </r>
  <r>
    <n v="66149"/>
    <s v="White Nile"/>
    <s v="SD09"/>
    <x v="183"/>
    <x v="184"/>
    <m/>
    <m/>
    <n v="71831"/>
  </r>
  <r>
    <n v="0"/>
    <s v="White Nile"/>
    <s v="SD09"/>
    <x v="184"/>
    <x v="185"/>
    <m/>
    <m/>
    <n v="0"/>
  </r>
  <r>
    <n v="45735"/>
    <s v="White Nile"/>
    <s v="SD09"/>
    <x v="185"/>
    <x v="186"/>
    <m/>
    <m/>
    <n v="87631"/>
  </r>
  <r>
    <n v="19923"/>
    <s v="White Nile"/>
    <s v="SD09"/>
    <x v="186"/>
    <x v="187"/>
    <m/>
    <m/>
    <n v="19923"/>
  </r>
  <r>
    <n v="47350"/>
    <s v="White Nile"/>
    <s v="SD09"/>
    <x v="187"/>
    <x v="188"/>
    <m/>
    <m/>
    <n v="54513"/>
  </r>
  <r>
    <n v="26805"/>
    <s v="White Nile"/>
    <s v="SD09"/>
    <x v="188"/>
    <x v="189"/>
    <m/>
    <m/>
    <n v="42159"/>
  </r>
</pivotCacheRecords>
</file>

<file path=xl/pivotCache/pivotCacheRecords5.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88">
  <r>
    <s v="Aj Jazirah"/>
    <s v="SD15034"/>
    <s v="Al Hasahisa"/>
    <n v="892464"/>
    <n v="203181"/>
    <n v="93910"/>
    <n v="129206"/>
    <x v="0"/>
  </r>
  <r>
    <s v="Aj Jazirah"/>
    <s v="SD15035"/>
    <s v="Al Kamlin"/>
    <n v="659707"/>
    <n v="150190"/>
    <n v="100544"/>
    <n v="64382"/>
    <x v="0"/>
  </r>
  <r>
    <s v="Aj Jazirah"/>
    <s v="SD15036"/>
    <s v="Al Manaqil"/>
    <n v="885401"/>
    <n v="121124"/>
    <n v="66596"/>
    <n v="66413"/>
    <x v="1"/>
  </r>
  <r>
    <s v="Aj Jazirah"/>
    <s v="SD15037"/>
    <s v="Al Qurashi"/>
    <n v="587810"/>
    <n v="88992"/>
    <n v="30835"/>
    <n v="66889"/>
    <x v="1"/>
  </r>
  <r>
    <s v="Aj Jazirah"/>
    <s v="SD15031"/>
    <s v="Janub Aj Jazirah"/>
    <n v="803396"/>
    <n v="182903"/>
    <n v="54443"/>
    <n v="146406"/>
    <x v="0"/>
  </r>
  <r>
    <s v="Aj Jazirah"/>
    <s v="SD15030"/>
    <s v="Medani Al Kubra"/>
    <n v="257118"/>
    <n v="70244"/>
    <n v="46182"/>
    <n v="30954"/>
    <x v="0"/>
  </r>
  <r>
    <s v="Aj Jazirah"/>
    <s v="SD15033"/>
    <s v="Sharg Aj Jazirah"/>
    <n v="664108"/>
    <n v="151192"/>
    <n v="50410"/>
    <n v="115617"/>
    <x v="0"/>
  </r>
  <r>
    <s v="Aj Jazirah"/>
    <s v="SD15032"/>
    <s v="Um Algura"/>
    <n v="364745"/>
    <n v="83039"/>
    <n v="25821"/>
    <n v="65365"/>
    <x v="0"/>
  </r>
  <r>
    <s v="Blue Nile"/>
    <s v="SD08106"/>
    <s v="Al Kurmuk"/>
    <n v="81093"/>
    <n v="34262"/>
    <n v="23260"/>
    <n v="14365"/>
    <x v="1"/>
  </r>
  <r>
    <s v="Blue Nile"/>
    <s v="SD08107"/>
    <s v="Ar Rusayris"/>
    <n v="128320"/>
    <n v="18969"/>
    <n v="36379"/>
    <n v="-15549"/>
    <x v="2"/>
  </r>
  <r>
    <s v="Blue Nile"/>
    <s v="SD08108"/>
    <s v="At Tadamon - BN"/>
    <n v="84344"/>
    <n v="35441"/>
    <n v="13548"/>
    <n v="25370"/>
    <x v="1"/>
  </r>
  <r>
    <s v="Blue Nile"/>
    <s v="SD08104"/>
    <s v="Baw"/>
    <n v="106326"/>
    <n v="89931"/>
    <n v="29783"/>
    <n v="68972"/>
    <x v="0"/>
  </r>
  <r>
    <s v="Blue Nile"/>
    <s v="SD08105"/>
    <s v="Ed Damazine"/>
    <n v="277768"/>
    <n v="154324"/>
    <n v="37266"/>
    <n v="132200"/>
    <x v="1"/>
  </r>
  <r>
    <s v="Blue Nile"/>
    <s v="SD08109"/>
    <s v="Geisan"/>
    <n v="77407"/>
    <n v="45640"/>
    <n v="21065"/>
    <n v="29053"/>
    <x v="1"/>
  </r>
  <r>
    <s v="Blue Nile"/>
    <s v="SD08110"/>
    <s v="Wad Al Mahi"/>
    <n v="43076"/>
    <n v="13655"/>
    <n v="12986"/>
    <n v="2009"/>
    <x v="1"/>
  </r>
  <r>
    <s v="Central Darfur"/>
    <s v="SD06110"/>
    <s v="Azum"/>
    <n v="67400"/>
    <n v="57065"/>
    <n v="59492"/>
    <n v="3172"/>
    <x v="1"/>
  </r>
  <r>
    <s v="Central Darfur"/>
    <s v="SD06112"/>
    <s v="Bendasi"/>
    <n v="70183"/>
    <n v="34331"/>
    <n v="24109"/>
    <n v="13589"/>
    <x v="1"/>
  </r>
  <r>
    <s v="Central Darfur"/>
    <s v="SD06131"/>
    <s v="Gharb Jabal Marrah"/>
    <n v="114859"/>
    <n v="45728"/>
    <n v="40634"/>
    <n v="9581"/>
    <x v="1"/>
  </r>
  <r>
    <s v="Central Darfur"/>
    <s v="SD06130"/>
    <s v="Mukjar"/>
    <n v="44682"/>
    <n v="9368"/>
    <n v="26314"/>
    <n v="-16027"/>
    <x v="1"/>
  </r>
  <r>
    <s v="Central Darfur"/>
    <s v="SD06132"/>
    <s v="Shamal Jabal Marrah"/>
    <n v="131357"/>
    <n v="70815"/>
    <n v="90729"/>
    <n v="-12966"/>
    <x v="1"/>
  </r>
  <r>
    <s v="Central Darfur"/>
    <s v="SD06135"/>
    <s v="Um Dukhun"/>
    <n v="99785"/>
    <n v="48748"/>
    <n v="49230"/>
    <n v="4301"/>
    <x v="1"/>
  </r>
  <r>
    <s v="Central Darfur"/>
    <s v="SD06137"/>
    <s v="Wadi Salih"/>
    <n v="85993"/>
    <n v="34456"/>
    <n v="56468"/>
    <n v="-18631"/>
    <x v="1"/>
  </r>
  <r>
    <s v="Central Darfur"/>
    <s v="SD06139"/>
    <s v="Wasat Jabal Marrah"/>
    <n v="169210"/>
    <n v="139538"/>
    <n v="76772"/>
    <n v="76457"/>
    <x v="1"/>
  </r>
  <r>
    <s v="Central Darfur"/>
    <s v="SD06138"/>
    <s v="Zalingi"/>
    <n v="216688"/>
    <n v="138246"/>
    <n v="270117"/>
    <n v="-118306"/>
    <x v="3"/>
  </r>
  <r>
    <s v="East Darfur"/>
    <s v="SD05140"/>
    <s v="Abu Jabrah"/>
    <n v="184276"/>
    <n v="82870"/>
    <n v="26933"/>
    <n v="64068"/>
    <x v="1"/>
  </r>
  <r>
    <s v="East Darfur"/>
    <s v="SD05155"/>
    <s v="Abu Karinka"/>
    <n v="316946"/>
    <n v="68180"/>
    <n v="31242"/>
    <n v="43627"/>
    <x v="1"/>
  </r>
  <r>
    <s v="East Darfur"/>
    <s v="SD05142"/>
    <s v="Ad Du'ayn"/>
    <n v="262419"/>
    <n v="179229"/>
    <n v="150441"/>
    <n v="46374"/>
    <x v="1"/>
  </r>
  <r>
    <s v="East Darfur"/>
    <s v="SD05139"/>
    <s v="Adila"/>
    <n v="262708"/>
    <n v="56837"/>
    <n v="39538"/>
    <n v="22877"/>
    <x v="1"/>
  </r>
  <r>
    <s v="East Darfur"/>
    <s v="SD05152"/>
    <s v="Al Firdous"/>
    <n v="229776"/>
    <n v="65219"/>
    <n v="37817"/>
    <n v="33801"/>
    <x v="1"/>
  </r>
  <r>
    <s v="East Darfur"/>
    <s v="SD05163"/>
    <s v="Assalaya"/>
    <n v="262335"/>
    <n v="47058"/>
    <n v="16224"/>
    <n v="35451"/>
    <x v="1"/>
  </r>
  <r>
    <s v="East Darfur"/>
    <s v="SD05160"/>
    <s v="Bahr Al Arab"/>
    <n v="370070"/>
    <n v="116552"/>
    <n v="59763"/>
    <n v="68226"/>
    <x v="1"/>
  </r>
  <r>
    <s v="East Darfur"/>
    <s v="SD05148"/>
    <s v="Shia'ria"/>
    <n v="312693"/>
    <n v="224293"/>
    <n v="55328"/>
    <n v="190972"/>
    <x v="1"/>
  </r>
  <r>
    <s v="East Darfur"/>
    <s v="SD05165"/>
    <s v="Yassin"/>
    <n v="150857"/>
    <n v="79584"/>
    <n v="39946"/>
    <n v="47447"/>
    <x v="1"/>
  </r>
  <r>
    <s v="Gedaref"/>
    <s v="SD12073"/>
    <s v="Al Butanah"/>
    <n v="155547"/>
    <n v="10552"/>
    <n v="0"/>
    <n v="11587"/>
    <x v="1"/>
  </r>
  <r>
    <s v="Gedaref"/>
    <s v="SD12074"/>
    <s v="Al Fao"/>
    <n v="430374"/>
    <n v="36292"/>
    <n v="0"/>
    <n v="39853"/>
    <x v="1"/>
  </r>
  <r>
    <s v="Gedaref"/>
    <s v="SD12075"/>
    <s v="Al Fashaga"/>
    <n v="64601"/>
    <n v="26004"/>
    <n v="0"/>
    <n v="28555"/>
    <x v="1"/>
  </r>
  <r>
    <s v="Gedaref"/>
    <s v="SD12078"/>
    <s v="Al Galabat Al Gharbyah - Kassab"/>
    <n v="195438"/>
    <n v="9472"/>
    <n v="0"/>
    <n v="10401"/>
    <x v="1"/>
  </r>
  <r>
    <s v="Gedaref"/>
    <s v="SD12082"/>
    <s v="Al Mafaza"/>
    <n v="190685"/>
    <n v="80366"/>
    <n v="8321"/>
    <n v="79930"/>
    <x v="1"/>
  </r>
  <r>
    <s v="Gedaref"/>
    <s v="SD12076"/>
    <s v="Al Qureisha"/>
    <n v="222728"/>
    <n v="6446"/>
    <n v="3749"/>
    <n v="3330"/>
    <x v="2"/>
  </r>
  <r>
    <s v="Gedaref"/>
    <s v="SD12084"/>
    <s v="Ar Rahad"/>
    <n v="331633"/>
    <n v="80630"/>
    <n v="32232"/>
    <n v="56309"/>
    <x v="1"/>
  </r>
  <r>
    <s v="Gedaref"/>
    <s v="SD12077"/>
    <s v="Basundah"/>
    <n v="134733"/>
    <n v="76381"/>
    <n v="18682"/>
    <n v="65193"/>
    <x v="1"/>
  </r>
  <r>
    <s v="Gedaref"/>
    <s v="SD12079"/>
    <s v="Gala'a Al Nahal"/>
    <n v="140891"/>
    <n v="21088"/>
    <n v="2440"/>
    <n v="20716"/>
    <x v="1"/>
  </r>
  <r>
    <s v="Gedaref"/>
    <s v="SD12083"/>
    <s v="Galabat Ash-Shargiah"/>
    <n v="259925"/>
    <n v="5863"/>
    <n v="25700"/>
    <n v="-19261"/>
    <x v="2"/>
  </r>
  <r>
    <s v="Gedaref"/>
    <s v="SD12080"/>
    <s v="Madeinat Al Gedaref"/>
    <n v="663940"/>
    <n v="71450"/>
    <n v="75038"/>
    <n v="3423"/>
    <x v="1"/>
  </r>
  <r>
    <s v="Gedaref"/>
    <s v="SD12081"/>
    <s v="Wasat Al Gedaref"/>
    <n v="235489"/>
    <n v="24839"/>
    <n v="0"/>
    <n v="27276"/>
    <x v="1"/>
  </r>
  <r>
    <s v="Kassala"/>
    <s v="SD11052"/>
    <s v="Halfa Aj Jadeedah"/>
    <n v="368929"/>
    <n v="44721"/>
    <n v="44526"/>
    <n v="4583"/>
    <x v="1"/>
  </r>
  <r>
    <s v="Kassala"/>
    <s v="SD11053"/>
    <s v="Madeinat Kassala"/>
    <n v="566857"/>
    <n v="128783"/>
    <n v="60958"/>
    <n v="80461"/>
    <x v="1"/>
  </r>
  <r>
    <s v="Kassala"/>
    <s v="SD11055"/>
    <s v="Reifi Aroma"/>
    <n v="143071"/>
    <n v="3683"/>
    <n v="0"/>
    <n v="4044"/>
    <x v="1"/>
  </r>
  <r>
    <s v="Kassala"/>
    <s v="SD11054"/>
    <s v="Reifi Gharb Kassala"/>
    <n v="117463"/>
    <n v="5295"/>
    <n v="22199"/>
    <n v="-16384"/>
    <x v="1"/>
  </r>
  <r>
    <s v="Kassala"/>
    <s v="SD11058"/>
    <s v="Reifi Hamashkureib"/>
    <n v="312796"/>
    <n v="7962"/>
    <n v="66497"/>
    <n v="-57754"/>
    <x v="1"/>
  </r>
  <r>
    <s v="Kassala"/>
    <s v="SD11056"/>
    <s v="Reifi Kassla"/>
    <n v="216093"/>
    <n v="36442"/>
    <n v="0"/>
    <n v="40018"/>
    <x v="1"/>
  </r>
  <r>
    <s v="Kassala"/>
    <s v="SD11060"/>
    <s v="Reifi Khashm Elgirba"/>
    <n v="134515"/>
    <n v="5656"/>
    <n v="0"/>
    <n v="6210"/>
    <x v="2"/>
  </r>
  <r>
    <s v="Kassala"/>
    <s v="SD11062"/>
    <s v="Reifi Nahr Atbara"/>
    <n v="207263"/>
    <n v="44387"/>
    <n v="23405"/>
    <n v="25337"/>
    <x v="0"/>
  </r>
  <r>
    <s v="Kassala"/>
    <s v="SD11057"/>
    <s v="Reifi Shamal Ad Delta"/>
    <n v="131108"/>
    <n v="1742"/>
    <n v="17524"/>
    <n v="-15610"/>
    <x v="2"/>
  </r>
  <r>
    <s v="Kassala"/>
    <s v="SD11059"/>
    <s v="Reifi Telkok"/>
    <n v="352672"/>
    <n v="4334"/>
    <n v="44152"/>
    <n v="-39392"/>
    <x v="1"/>
  </r>
  <r>
    <s v="Kassala"/>
    <s v="SD11061"/>
    <s v="Reifi Wad Elhilaiw"/>
    <n v="35641"/>
    <n v="8555"/>
    <n v="0"/>
    <n v="9394"/>
    <x v="1"/>
  </r>
  <r>
    <s v="Khartoum"/>
    <s v="SD01003"/>
    <s v="Bahri"/>
    <n v="461173"/>
    <n v="83993"/>
    <n v="112243"/>
    <n v="-20009"/>
    <x v="0"/>
  </r>
  <r>
    <s v="Khartoum"/>
    <s v="SD01001"/>
    <s v="Jebel Awlia"/>
    <n v="1254646"/>
    <n v="114254"/>
    <n v="265427"/>
    <n v="-139963"/>
    <x v="1"/>
  </r>
  <r>
    <s v="Khartoum"/>
    <s v="SD01005"/>
    <s v="Karrari"/>
    <n v="1174609"/>
    <n v="106965"/>
    <n v="221515"/>
    <n v="-104054"/>
    <x v="1"/>
  </r>
  <r>
    <s v="Khartoum"/>
    <s v="SD01007"/>
    <s v="Khartoum"/>
    <n v="100433"/>
    <n v="22865"/>
    <n v="120472"/>
    <n v="-95364"/>
    <x v="0"/>
  </r>
  <r>
    <s v="Khartoum"/>
    <s v="SD01004"/>
    <s v="Sharg An Neel"/>
    <n v="991352"/>
    <n v="180555"/>
    <n v="172416"/>
    <n v="25855"/>
    <x v="0"/>
  </r>
  <r>
    <s v="Khartoum"/>
    <s v="SD01002"/>
    <s v="Um Bada"/>
    <n v="1562863"/>
    <n v="349805"/>
    <n v="299844"/>
    <n v="90872"/>
    <x v="0"/>
  </r>
  <r>
    <s v="Khartoum"/>
    <s v="SD01006"/>
    <s v="Um Durman"/>
    <n v="353710"/>
    <n v="80526"/>
    <n v="88154"/>
    <n v="274"/>
    <x v="0"/>
  </r>
  <r>
    <s v="North Darfur"/>
    <s v="SD02114"/>
    <s v="Al Fasher"/>
    <n v="909225"/>
    <n v="408696"/>
    <n v="535990"/>
    <n v="-87192"/>
    <x v="1"/>
  </r>
  <r>
    <s v="North Darfur"/>
    <s v="SD02116"/>
    <s v="Al Koma"/>
    <n v="43519"/>
    <n v="18318"/>
    <n v="0"/>
    <n v="20116"/>
    <x v="1"/>
  </r>
  <r>
    <s v="North Darfur"/>
    <s v="SD02169"/>
    <s v="Al Lait"/>
    <n v="169559"/>
    <n v="29531"/>
    <n v="0"/>
    <n v="32429"/>
    <x v="1"/>
  </r>
  <r>
    <s v="North Darfur"/>
    <s v="SD02117"/>
    <s v="Al Malha"/>
    <n v="133760"/>
    <n v="2492"/>
    <n v="9435"/>
    <n v="-6699"/>
    <x v="1"/>
  </r>
  <r>
    <s v="North Darfur"/>
    <s v="SD02118"/>
    <s v="As Serief"/>
    <n v="93384"/>
    <n v="18084"/>
    <n v="9285"/>
    <n v="10573"/>
    <x v="1"/>
  </r>
  <r>
    <s v="North Darfur"/>
    <s v="SD02119"/>
    <s v="At Tawisha"/>
    <n v="149175"/>
    <n v="2425"/>
    <n v="7697"/>
    <n v="-5033"/>
    <x v="1"/>
  </r>
  <r>
    <s v="North Darfur"/>
    <s v="SD02171"/>
    <s v="At Tina"/>
    <n v="52219"/>
    <n v="11776"/>
    <n v="0"/>
    <n v="12931"/>
    <x v="1"/>
  </r>
  <r>
    <s v="North Darfur"/>
    <s v="SD02113"/>
    <s v="Dar As Salam"/>
    <n v="154298"/>
    <n v="101481"/>
    <n v="44133"/>
    <n v="67305"/>
    <x v="1"/>
  </r>
  <r>
    <s v="North Darfur"/>
    <s v="SD02124"/>
    <s v="Kebkabiya"/>
    <n v="245285"/>
    <n v="139660"/>
    <n v="68396"/>
    <n v="84968"/>
    <x v="0"/>
  </r>
  <r>
    <s v="North Darfur"/>
    <s v="SD02126"/>
    <s v="Kelemando"/>
    <n v="35478"/>
    <n v="7525"/>
    <n v="8578"/>
    <n v="-315"/>
    <x v="1"/>
  </r>
  <r>
    <s v="North Darfur"/>
    <s v="SD02168"/>
    <s v="Kernoi"/>
    <n v="145140"/>
    <n v="1915"/>
    <n v="0"/>
    <n v="2103"/>
    <x v="1"/>
  </r>
  <r>
    <s v="North Darfur"/>
    <s v="SD02128"/>
    <s v="Kutum"/>
    <n v="277859"/>
    <n v="246910"/>
    <n v="89999"/>
    <n v="181138"/>
    <x v="1"/>
  </r>
  <r>
    <s v="North Darfur"/>
    <s v="SD02129"/>
    <s v="Melit"/>
    <n v="238634"/>
    <n v="57730"/>
    <n v="22677"/>
    <n v="40718"/>
    <x v="1"/>
  </r>
  <r>
    <s v="North Darfur"/>
    <s v="SD02133"/>
    <s v="Saraf Omra"/>
    <n v="237082"/>
    <n v="123122"/>
    <n v="62915"/>
    <n v="72287"/>
    <x v="1"/>
  </r>
  <r>
    <s v="North Darfur"/>
    <s v="SD02170"/>
    <s v="Tawila"/>
    <n v="215994"/>
    <n v="160932"/>
    <n v="72649"/>
    <n v="104073"/>
    <x v="3"/>
  </r>
  <r>
    <s v="North Darfur"/>
    <s v="SD02120"/>
    <s v="Um Baru"/>
    <n v="164069"/>
    <n v="462"/>
    <n v="0"/>
    <n v="508"/>
    <x v="2"/>
  </r>
  <r>
    <s v="North Darfur"/>
    <s v="SD02136"/>
    <s v="Um Kadadah"/>
    <n v="188456"/>
    <n v="52825"/>
    <n v="0"/>
    <n v="58007"/>
    <x v="1"/>
  </r>
  <r>
    <s v="North Kordofan"/>
    <s v="SD13030"/>
    <s v="Ar Rahad"/>
    <n v="282830"/>
    <n v="48407"/>
    <n v="22727"/>
    <n v="30431"/>
    <x v="1"/>
  </r>
  <r>
    <s v="North Kordofan"/>
    <s v="SD13026"/>
    <s v="Bara"/>
    <n v="337605"/>
    <n v="34098"/>
    <n v="0"/>
    <n v="37443"/>
    <x v="1"/>
  </r>
  <r>
    <s v="North Kordofan"/>
    <s v="SD13027"/>
    <s v="Gebrat Al Sheikh"/>
    <n v="357599"/>
    <n v="9107"/>
    <n v="22479"/>
    <n v="-12479"/>
    <x v="1"/>
  </r>
  <r>
    <s v="North Kordofan"/>
    <s v="SD13029"/>
    <s v="Gharb Bara"/>
    <n v="296900"/>
    <n v="11954"/>
    <n v="19821"/>
    <n v="-6694"/>
    <x v="1"/>
  </r>
  <r>
    <s v="North Kordofan"/>
    <s v="SD13024"/>
    <s v="Sheikan"/>
    <n v="884405"/>
    <n v="124952"/>
    <n v="118295"/>
    <n v="18918"/>
    <x v="1"/>
  </r>
  <r>
    <s v="North Kordofan"/>
    <s v="SD13025"/>
    <s v="Soudari"/>
    <n v="426546"/>
    <n v="3230"/>
    <n v="30695"/>
    <n v="-27149"/>
    <x v="1"/>
  </r>
  <r>
    <s v="North Kordofan"/>
    <s v="SD13028"/>
    <s v="Um Dam Haj Ahmed"/>
    <n v="240028"/>
    <n v="11438"/>
    <n v="0"/>
    <n v="12560"/>
    <x v="1"/>
  </r>
  <r>
    <s v="North Kordofan"/>
    <s v="SD13023"/>
    <s v="Um Rawaba"/>
    <n v="605466"/>
    <n v="47714"/>
    <n v="35872"/>
    <n v="16524"/>
    <x v="1"/>
  </r>
  <r>
    <s v="Northern"/>
    <s v="SD17019"/>
    <s v="Ad Dabbah"/>
    <n v="285969"/>
    <n v="48411"/>
    <n v="71628"/>
    <n v="-18467"/>
    <x v="1"/>
  </r>
  <r>
    <s v="Northern"/>
    <s v="SD17016"/>
    <s v="Al Burgaig"/>
    <n v="191246"/>
    <n v="34296"/>
    <n v="26581"/>
    <n v="11080"/>
    <x v="1"/>
  </r>
  <r>
    <s v="Northern"/>
    <s v="SD17018"/>
    <s v="Al Golid"/>
    <n v="181960"/>
    <n v="32685"/>
    <n v="24186"/>
    <n v="11705"/>
    <x v="1"/>
  </r>
  <r>
    <s v="Northern"/>
    <s v="SD17015"/>
    <s v="Delgo"/>
    <n v="104418"/>
    <n v="36037"/>
    <n v="26856"/>
    <n v="12717"/>
    <x v="1"/>
  </r>
  <r>
    <s v="Northern"/>
    <s v="SD17017"/>
    <s v="Dongola"/>
    <n v="276824"/>
    <n v="66479"/>
    <n v="46059"/>
    <n v="26943"/>
    <x v="1"/>
  </r>
  <r>
    <s v="Northern"/>
    <s v="SD17014"/>
    <s v="Halfa"/>
    <n v="84443"/>
    <n v="25731"/>
    <n v="36312"/>
    <n v="-8057"/>
    <x v="1"/>
  </r>
  <r>
    <s v="Northern"/>
    <s v="SD17020"/>
    <s v="Merwoe"/>
    <n v="310501"/>
    <n v="45340"/>
    <n v="64726"/>
    <n v="-14938"/>
    <x v="1"/>
  </r>
  <r>
    <s v="Red Sea"/>
    <s v="SD10072"/>
    <s v="Agig"/>
    <n v="103174"/>
    <n v="22194"/>
    <n v="7940"/>
    <n v="16431"/>
    <x v="0"/>
  </r>
  <r>
    <s v="Red Sea"/>
    <s v="SD10069"/>
    <s v="Al Ganab"/>
    <n v="152566"/>
    <n v="5575"/>
    <n v="10547"/>
    <n v="-4425"/>
    <x v="1"/>
  </r>
  <r>
    <s v="Red Sea"/>
    <s v="SD10063"/>
    <s v="Dordieb"/>
    <n v="77530"/>
    <n v="9161"/>
    <n v="0"/>
    <n v="10060"/>
    <x v="1"/>
  </r>
  <r>
    <s v="Red Sea"/>
    <s v="SD10066"/>
    <s v="Hala'ib"/>
    <n v="33884"/>
    <n v="469"/>
    <n v="3209"/>
    <n v="-2693"/>
    <x v="1"/>
  </r>
  <r>
    <s v="Red Sea"/>
    <s v="SD10070"/>
    <s v="Haya"/>
    <n v="355512"/>
    <n v="29757"/>
    <n v="29121"/>
    <n v="3556"/>
    <x v="1"/>
  </r>
  <r>
    <s v="Red Sea"/>
    <s v="SD10067"/>
    <s v="Jubayt Elma'aadin"/>
    <n v="129179"/>
    <n v="32284"/>
    <n v="0"/>
    <n v="35452"/>
    <x v="3"/>
  </r>
  <r>
    <s v="Red Sea"/>
    <s v="SD10064"/>
    <s v="Port Sudan"/>
    <n v="592765"/>
    <n v="330821"/>
    <n v="95682"/>
    <n v="267598"/>
    <x v="1"/>
  </r>
  <r>
    <s v="Red Sea"/>
    <s v="SD10068"/>
    <s v="Sawakin"/>
    <n v="114442"/>
    <n v="4900"/>
    <n v="0"/>
    <n v="5380"/>
    <x v="1"/>
  </r>
  <r>
    <s v="Red Sea"/>
    <s v="SD10071"/>
    <s v="Sinkat"/>
    <n v="236698"/>
    <n v="5557"/>
    <n v="0"/>
    <n v="6103"/>
    <x v="1"/>
  </r>
  <r>
    <s v="Red Sea"/>
    <s v="SD10065"/>
    <s v="Tawkar"/>
    <n v="220718"/>
    <n v="2388"/>
    <n v="0"/>
    <n v="2623"/>
    <x v="1"/>
  </r>
  <r>
    <s v="River Nile"/>
    <s v="SD16008"/>
    <s v="Abu Hamad"/>
    <n v="183707"/>
    <n v="13206"/>
    <n v="16860"/>
    <n v="-2359"/>
    <x v="2"/>
  </r>
  <r>
    <s v="River Nile"/>
    <s v="SD16011"/>
    <s v="Ad Damar"/>
    <n v="421107"/>
    <n v="145279"/>
    <n v="87923"/>
    <n v="71611"/>
    <x v="1"/>
  </r>
  <r>
    <s v="River Nile"/>
    <s v="SD16014"/>
    <s v="Al Buhaira"/>
    <n v="66475"/>
    <n v="18758"/>
    <n v="18691"/>
    <n v="1907"/>
    <x v="1"/>
  </r>
  <r>
    <s v="River Nile"/>
    <s v="SD16009"/>
    <s v="Al Matama"/>
    <n v="245635"/>
    <n v="66111"/>
    <n v="76693"/>
    <n v="-4095"/>
    <x v="1"/>
  </r>
  <r>
    <s v="River Nile"/>
    <s v="SD16012"/>
    <s v="Atbara"/>
    <n v="262741"/>
    <n v="92376"/>
    <n v="81993"/>
    <n v="19447"/>
    <x v="1"/>
  </r>
  <r>
    <s v="River Nile"/>
    <s v="SD16013"/>
    <s v="Barbar"/>
    <n v="181578"/>
    <n v="25950"/>
    <n v="29389"/>
    <n v="-893"/>
    <x v="1"/>
  </r>
  <r>
    <s v="River Nile"/>
    <s v="SD16010"/>
    <s v="Shendi"/>
    <n v="490060"/>
    <n v="221876"/>
    <n v="80226"/>
    <n v="163420"/>
    <x v="1"/>
  </r>
  <r>
    <s v="Sennar"/>
    <s v="SD14037"/>
    <s v="Abu Hujar"/>
    <n v="258332"/>
    <n v="11762"/>
    <n v="49012"/>
    <n v="-36095"/>
    <x v="1"/>
  </r>
  <r>
    <s v="Sennar"/>
    <s v="SD14039"/>
    <s v="Ad Dali"/>
    <n v="176032"/>
    <n v="16031"/>
    <n v="25918"/>
    <n v="-8315"/>
    <x v="1"/>
  </r>
  <r>
    <s v="Sennar"/>
    <s v="SD14040"/>
    <s v="Ad Dinder"/>
    <n v="362138"/>
    <n v="32978"/>
    <n v="61761"/>
    <n v="-25547"/>
    <x v="1"/>
  </r>
  <r>
    <s v="Sennar"/>
    <s v="SD14041"/>
    <s v="As Suki"/>
    <n v="434473"/>
    <n v="39566"/>
    <n v="59778"/>
    <n v="-16330"/>
    <x v="1"/>
  </r>
  <r>
    <s v="Sennar"/>
    <s v="SD14038"/>
    <s v="Sennar"/>
    <n v="564870"/>
    <n v="102879"/>
    <n v="63500"/>
    <n v="49473"/>
    <x v="0"/>
  </r>
  <r>
    <s v="Sennar"/>
    <s v="SD14042"/>
    <s v="Sharg Sennar"/>
    <n v="415098"/>
    <n v="37800"/>
    <n v="55582"/>
    <n v="-14072"/>
    <x v="1"/>
  </r>
  <r>
    <s v="Sennar"/>
    <s v="SD14043"/>
    <s v="Sinja"/>
    <n v="318383"/>
    <n v="28994"/>
    <n v="29931"/>
    <n v="1908"/>
    <x v="1"/>
  </r>
  <r>
    <s v="South Darfur"/>
    <s v="SD03141"/>
    <s v="Al Radoum"/>
    <n v="119603"/>
    <n v="23153"/>
    <n v="34149"/>
    <n v="-8724"/>
    <x v="1"/>
  </r>
  <r>
    <s v="South Darfur"/>
    <s v="SD03150"/>
    <s v="Al Wihda"/>
    <n v="48258"/>
    <n v="8008"/>
    <n v="0"/>
    <n v="8794"/>
    <x v="1"/>
  </r>
  <r>
    <s v="South Darfur"/>
    <s v="SD03166"/>
    <s v="As Salam - SD"/>
    <n v="106597"/>
    <n v="23767"/>
    <n v="0"/>
    <n v="26099"/>
    <x v="1"/>
  </r>
  <r>
    <s v="South Darfur"/>
    <s v="SD03156"/>
    <s v="As Sunta"/>
    <n v="187692"/>
    <n v="64784"/>
    <n v="0"/>
    <n v="71141"/>
    <x v="1"/>
  </r>
  <r>
    <s v="South Darfur"/>
    <s v="SD03162"/>
    <s v="Beliel"/>
    <n v="473048"/>
    <n v="319611"/>
    <n v="411086"/>
    <n v="-60115"/>
    <x v="1"/>
  </r>
  <r>
    <s v="South Darfur"/>
    <s v="SD03161"/>
    <s v="Buram"/>
    <n v="250400"/>
    <n v="151409"/>
    <n v="37270"/>
    <n v="128995"/>
    <x v="1"/>
  </r>
  <r>
    <s v="South Darfur"/>
    <s v="SD03172"/>
    <s v="Damso"/>
    <n v="179195"/>
    <n v="11093"/>
    <n v="0"/>
    <n v="12181"/>
    <x v="1"/>
  </r>
  <r>
    <s v="South Darfur"/>
    <s v="SD03143"/>
    <s v="Ed Al Fursan"/>
    <n v="212536"/>
    <n v="38162"/>
    <n v="19821"/>
    <n v="22086"/>
    <x v="1"/>
  </r>
  <r>
    <s v="South Darfur"/>
    <s v="SD03153"/>
    <s v="Gereida"/>
    <n v="140558"/>
    <n v="126932"/>
    <n v="101629"/>
    <n v="37757"/>
    <x v="1"/>
  </r>
  <r>
    <s v="South Darfur"/>
    <s v="SD03144"/>
    <s v="Kas"/>
    <n v="325289"/>
    <n v="210664"/>
    <n v="114080"/>
    <n v="117254"/>
    <x v="3"/>
  </r>
  <r>
    <s v="South Darfur"/>
    <s v="SD03159"/>
    <s v="Kateila"/>
    <n v="172016"/>
    <n v="43716"/>
    <n v="0"/>
    <n v="48006"/>
    <x v="1"/>
  </r>
  <r>
    <s v="South Darfur"/>
    <s v="SD03157"/>
    <s v="Kubum"/>
    <n v="232618"/>
    <n v="10733"/>
    <n v="19701"/>
    <n v="-7914"/>
    <x v="1"/>
  </r>
  <r>
    <s v="South Darfur"/>
    <s v="SD03145"/>
    <s v="Mershing"/>
    <n v="80670"/>
    <n v="42753"/>
    <n v="42849"/>
    <n v="4099"/>
    <x v="0"/>
  </r>
  <r>
    <s v="South Darfur"/>
    <s v="SD03151"/>
    <s v="Nitega"/>
    <n v="28694"/>
    <n v="23450"/>
    <n v="9183"/>
    <n v="16568"/>
    <x v="1"/>
  </r>
  <r>
    <s v="South Darfur"/>
    <s v="SD03167"/>
    <s v="Nyala Janoub"/>
    <n v="78632"/>
    <n v="39954"/>
    <n v="177043"/>
    <n v="-133169"/>
    <x v="1"/>
  </r>
  <r>
    <s v="South Darfur"/>
    <s v="SD03164"/>
    <s v="Nyala Shimal"/>
    <n v="495335"/>
    <n v="359393"/>
    <n v="273907"/>
    <n v="120750"/>
    <x v="1"/>
  </r>
  <r>
    <s v="South Darfur"/>
    <s v="SD03158"/>
    <s v="Rehaid Albirdi"/>
    <n v="256337"/>
    <n v="83877"/>
    <n v="23158"/>
    <n v="68950"/>
    <x v="3"/>
  </r>
  <r>
    <s v="South Darfur"/>
    <s v="SD03147"/>
    <s v="Sharg Aj Jabal"/>
    <n v="42045"/>
    <n v="19635"/>
    <n v="3606"/>
    <n v="17956"/>
    <x v="1"/>
  </r>
  <r>
    <s v="South Darfur"/>
    <s v="SD03154"/>
    <s v="Shattaya"/>
    <n v="6230"/>
    <n v="396"/>
    <n v="0"/>
    <n v="435"/>
    <x v="1"/>
  </r>
  <r>
    <s v="South Darfur"/>
    <s v="SD03149"/>
    <s v="Tulus"/>
    <n v="371853"/>
    <n v="8830"/>
    <n v="29265"/>
    <n v="-19569"/>
    <x v="1"/>
  </r>
  <r>
    <s v="South Darfur"/>
    <s v="SD03146"/>
    <s v="Um Dafoug"/>
    <n v="68504"/>
    <n v="8603"/>
    <n v="7376"/>
    <n v="2071"/>
    <x v="1"/>
  </r>
  <r>
    <s v="South Kordofan"/>
    <s v="SD07090"/>
    <s v="Abassiya"/>
    <n v="89902"/>
    <n v="77833"/>
    <n v="19928"/>
    <n v="65542"/>
    <x v="0"/>
  </r>
  <r>
    <s v="South Kordofan"/>
    <s v="SD07088"/>
    <s v="Abu Jubayhah"/>
    <n v="143981"/>
    <n v="61485"/>
    <n v="57709"/>
    <n v="9809"/>
    <x v="1"/>
  </r>
  <r>
    <s v="South Kordofan"/>
    <s v="SD07104"/>
    <s v="Abu Kershola"/>
    <n v="49323"/>
    <n v="30043"/>
    <n v="24236"/>
    <n v="8755"/>
    <x v="1"/>
  </r>
  <r>
    <s v="South Kordofan"/>
    <s v="SD07099"/>
    <s v="Al Buram"/>
    <n v="97552"/>
    <n v="17767"/>
    <n v="22955"/>
    <n v="-3445"/>
    <x v="0"/>
  </r>
  <r>
    <s v="South Kordofan"/>
    <s v="SD07105"/>
    <s v="Al Leri"/>
    <n v="26668"/>
    <n v="12889"/>
    <n v="8299"/>
    <n v="5855"/>
    <x v="1"/>
  </r>
  <r>
    <s v="South Kordofan"/>
    <s v="SD07094"/>
    <s v="Al Quoz"/>
    <n v="77558"/>
    <n v="9473"/>
    <n v="0"/>
    <n v="10402"/>
    <x v="1"/>
  </r>
  <r>
    <s v="South Kordofan"/>
    <s v="SD07093"/>
    <s v="Ar Rashad"/>
    <n v="46685"/>
    <n v="22331"/>
    <n v="8076"/>
    <n v="16446"/>
    <x v="1"/>
  </r>
  <r>
    <s v="South Kordofan"/>
    <s v="SD07097"/>
    <s v="Ar Reif Ash Shargi"/>
    <n v="39507"/>
    <n v="30567"/>
    <n v="12688"/>
    <n v="20878"/>
    <x v="1"/>
  </r>
  <r>
    <s v="South Kordofan"/>
    <s v="SD07106"/>
    <s v="At Tadamon - SK"/>
    <n v="49519"/>
    <n v="5137"/>
    <n v="8901"/>
    <n v="-3261"/>
    <x v="1"/>
  </r>
  <r>
    <s v="South Kordofan"/>
    <s v="SD07107"/>
    <s v="Delami"/>
    <n v="15148"/>
    <n v="6328"/>
    <n v="0"/>
    <n v="6949"/>
    <x v="1"/>
  </r>
  <r>
    <s v="South Kordofan"/>
    <s v="SD07095"/>
    <s v="Dilling"/>
    <n v="117111"/>
    <n v="32458"/>
    <n v="39360"/>
    <n v="-3718"/>
    <x v="1"/>
  </r>
  <r>
    <s v="South Kordofan"/>
    <s v="SD07108"/>
    <s v="Ghadeer"/>
    <n v="13458"/>
    <n v="8084"/>
    <n v="12122"/>
    <n v="-3245"/>
    <x v="1"/>
  </r>
  <r>
    <s v="South Kordofan"/>
    <s v="SD07103"/>
    <s v="Habila - SK"/>
    <n v="59694"/>
    <n v="50737"/>
    <n v="10689"/>
    <n v="45026"/>
    <x v="0"/>
  </r>
  <r>
    <s v="South Kordofan"/>
    <s v="SD07096"/>
    <s v="Heiban"/>
    <n v="138054"/>
    <n v="18858"/>
    <n v="25027"/>
    <n v="-4319"/>
    <x v="1"/>
  </r>
  <r>
    <s v="South Kordofan"/>
    <s v="SD07098"/>
    <s v="Kadugli"/>
    <n v="84840"/>
    <n v="45091"/>
    <n v="90682"/>
    <n v="-41166"/>
    <x v="1"/>
  </r>
  <r>
    <s v="South Kordofan"/>
    <s v="SD07089"/>
    <s v="Talawdi"/>
    <n v="10407"/>
    <n v="4535"/>
    <n v="6541"/>
    <n v="-1561"/>
    <x v="1"/>
  </r>
  <r>
    <s v="South Kordofan"/>
    <s v="SD07091"/>
    <s v="Um Durein"/>
    <n v="71757"/>
    <n v="9802"/>
    <n v="0"/>
    <n v="10764"/>
    <x v="1"/>
  </r>
  <r>
    <s v="West Darfur"/>
    <s v="SD04115"/>
    <s v="Ag Geneina"/>
    <n v="195216"/>
    <n v="50388"/>
    <n v="153866"/>
    <n v="-98534"/>
    <x v="1"/>
  </r>
  <r>
    <s v="West Darfur"/>
    <s v="SD04111"/>
    <s v="Beida"/>
    <n v="65138"/>
    <n v="8905"/>
    <n v="43729"/>
    <n v="-33950"/>
    <x v="1"/>
  </r>
  <r>
    <s v="West Darfur"/>
    <s v="SD04121"/>
    <s v="Foro Baranga"/>
    <n v="33152"/>
    <n v="13232"/>
    <n v="16466"/>
    <n v="-8524"/>
    <x v="1"/>
  </r>
  <r>
    <s v="West Darfur"/>
    <s v="SD04122"/>
    <s v="Habila - WD"/>
    <n v="45981"/>
    <n v="29311"/>
    <n v="39292"/>
    <n v="-7105"/>
    <x v="1"/>
  </r>
  <r>
    <s v="West Darfur"/>
    <s v="SD04123"/>
    <s v="Jebel Moon"/>
    <n v="70720"/>
    <n v="53316"/>
    <n v="39246"/>
    <n v="19301"/>
    <x v="1"/>
  </r>
  <r>
    <s v="West Darfur"/>
    <s v="SD04125"/>
    <s v="Kereneik"/>
    <n v="129063"/>
    <n v="56030"/>
    <n v="72715"/>
    <n v="-11188"/>
    <x v="1"/>
  </r>
  <r>
    <s v="West Darfur"/>
    <s v="SD04127"/>
    <s v="Kulbus"/>
    <n v="44562"/>
    <n v="14122"/>
    <n v="29348"/>
    <n v="-13840"/>
    <x v="1"/>
  </r>
  <r>
    <s v="West Darfur"/>
    <s v="SD04134"/>
    <s v="Sirba"/>
    <n v="53573"/>
    <n v="22012"/>
    <n v="24342"/>
    <n v="-170"/>
    <x v="1"/>
  </r>
  <r>
    <s v="West Kordofan"/>
    <s v="SD18028"/>
    <s v="Abu Zabad"/>
    <n v="176513"/>
    <n v="33951"/>
    <n v="14475"/>
    <n v="22808"/>
    <x v="1"/>
  </r>
  <r>
    <s v="West Kordofan"/>
    <s v="SD18087"/>
    <s v="Abyei"/>
    <n v="19629"/>
    <n v="9066"/>
    <n v="0"/>
    <n v="9955"/>
    <x v="1"/>
  </r>
  <r>
    <s v="West Kordofan"/>
    <s v="SD18103"/>
    <s v="Al Dibab"/>
    <n v="114569"/>
    <n v="31738"/>
    <n v="10764"/>
    <n v="24087"/>
    <x v="1"/>
  </r>
  <r>
    <s v="West Kordofan"/>
    <s v="SD18104"/>
    <s v="Al Idia"/>
    <n v="382306"/>
    <n v="73101"/>
    <n v="24357"/>
    <n v="55917"/>
    <x v="1"/>
  </r>
  <r>
    <s v="West Kordofan"/>
    <s v="SD18105"/>
    <s v="Al Khiwai"/>
    <n v="160761"/>
    <n v="3508"/>
    <n v="0"/>
    <n v="3852"/>
    <x v="1"/>
  </r>
  <r>
    <s v="West Kordofan"/>
    <s v="SD18102"/>
    <s v="Al Lagowa"/>
    <n v="146846"/>
    <n v="47122"/>
    <n v="21379"/>
    <n v="30366"/>
    <x v="1"/>
  </r>
  <r>
    <s v="West Kordofan"/>
    <s v="SD18106"/>
    <s v="Al Meiram"/>
    <n v="70858"/>
    <n v="21278"/>
    <n v="0"/>
    <n v="23366"/>
    <x v="1"/>
  </r>
  <r>
    <s v="West Kordofan"/>
    <s v="SD18022"/>
    <s v="An Nuhud"/>
    <n v="404270"/>
    <n v="37775"/>
    <n v="46663"/>
    <n v="-5182"/>
    <x v="1"/>
  </r>
  <r>
    <s v="West Kordofan"/>
    <s v="SD18086"/>
    <s v="As Salam - WK"/>
    <n v="216631"/>
    <n v="43913"/>
    <n v="15496"/>
    <n v="32725"/>
    <x v="1"/>
  </r>
  <r>
    <s v="West Kordofan"/>
    <s v="SD18092"/>
    <s v="As Sunut"/>
    <n v="252317"/>
    <n v="21143"/>
    <n v="14678"/>
    <n v="8539"/>
    <x v="1"/>
  </r>
  <r>
    <s v="West Kordofan"/>
    <s v="SD18100"/>
    <s v="Babanusa"/>
    <n v="74641"/>
    <n v="58717"/>
    <n v="11786"/>
    <n v="52692"/>
    <x v="1"/>
  </r>
  <r>
    <s v="West Kordofan"/>
    <s v="SD18021"/>
    <s v="Ghubaish"/>
    <n v="222346"/>
    <n v="29502"/>
    <n v="17607"/>
    <n v="14790"/>
    <x v="1"/>
  </r>
  <r>
    <s v="West Kordofan"/>
    <s v="SD18085"/>
    <s v="Keilak"/>
    <n v="113306"/>
    <n v="33619"/>
    <n v="4692"/>
    <n v="32226"/>
    <x v="1"/>
  </r>
  <r>
    <s v="West Kordofan"/>
    <s v="SD18029"/>
    <s v="Wad Bandah"/>
    <n v="226558"/>
    <n v="13726"/>
    <n v="0"/>
    <n v="15073"/>
    <x v="1"/>
  </r>
  <r>
    <s v="White Nile"/>
    <s v="SD09044"/>
    <s v="Ad Diwaim"/>
    <n v="546024"/>
    <n v="121533"/>
    <n v="76308"/>
    <n v="57150"/>
    <x v="1"/>
  </r>
  <r>
    <s v="White Nile"/>
    <s v="SD09051"/>
    <s v="Aj Jabalain"/>
    <n v="359361"/>
    <n v="293252"/>
    <n v="77980"/>
    <n v="244045"/>
    <x v="3"/>
  </r>
  <r>
    <s v="White Nile"/>
    <s v="SD09050"/>
    <s v="Al Gitaina"/>
    <n v="373623"/>
    <n v="27935"/>
    <n v="62542"/>
    <n v="-31867"/>
    <x v="1"/>
  </r>
  <r>
    <s v="White Nile"/>
    <s v="SD09049"/>
    <s v="As Salam / Ar Rawat"/>
    <n v="54837"/>
    <n v="43010"/>
    <n v="54682"/>
    <n v="-7452"/>
    <x v="1"/>
  </r>
  <r>
    <s v="White Nile"/>
    <s v="SD09052"/>
    <s v="Guli"/>
    <n v="249908"/>
    <n v="45533"/>
    <n v="44783"/>
    <n v="5217"/>
    <x v="1"/>
  </r>
  <r>
    <s v="White Nile"/>
    <s v="SD09047"/>
    <s v="Kosti"/>
    <n v="505017"/>
    <n v="164605"/>
    <n v="30279"/>
    <n v="150477"/>
    <x v="1"/>
  </r>
  <r>
    <s v="White Nile"/>
    <s v="SD09046"/>
    <s v="Rabak"/>
    <n v="517903"/>
    <n v="236740"/>
    <n v="24704"/>
    <n v="235264"/>
    <x v="0"/>
  </r>
  <r>
    <s v="White Nile"/>
    <s v="SD09048"/>
    <s v="Tendalti"/>
    <n v="235710"/>
    <n v="19883"/>
    <n v="22894"/>
    <n v="-1059"/>
    <x v="1"/>
  </r>
  <r>
    <s v="White Nile"/>
    <s v="SD09045"/>
    <s v="Um Rimta"/>
    <n v="194302"/>
    <n v="12912"/>
    <n v="20471"/>
    <n v="-6293"/>
    <x v="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68A6379E-4136-44ED-8446-65F83A9D894B}" name="PivotTable1" cacheId="72"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A3:F5" firstHeaderRow="1" firstDataRow="2" firstDataCol="1"/>
  <pivotFields count="65">
    <pivotField showAll="0"/>
    <pivotField showAll="0"/>
    <pivotField showAll="0"/>
    <pivotField showAll="0"/>
    <pivotField showAll="0"/>
    <pivotField showAll="0"/>
    <pivotField showAll="0"/>
    <pivotField numFmtId="167" showAll="0"/>
    <pivotField axis="axisCol" showAll="0">
      <items count="5">
        <item x="0"/>
        <item x="1"/>
        <item x="2"/>
        <item x="3"/>
        <item t="default"/>
      </items>
    </pivotField>
    <pivotField numFmtId="167" showAll="0"/>
    <pivotField numFmtId="167" showAll="0"/>
    <pivotField showAll="0"/>
    <pivotField numFmtId="167" showAll="0"/>
    <pivotField numFmtId="167" showAll="0"/>
    <pivotField numFmtId="167" showAll="0"/>
    <pivotField numFmtId="167" showAll="0"/>
    <pivotField showAll="0"/>
    <pivotField numFmtId="167" showAll="0"/>
    <pivotField numFmtId="167" showAll="0"/>
    <pivotField numFmtId="167" showAll="0"/>
    <pivotField numFmtId="167" showAll="0"/>
    <pivotField showAll="0"/>
    <pivotField showAll="0"/>
    <pivotField showAll="0"/>
    <pivotField showAll="0"/>
    <pivotField showAll="0"/>
    <pivotField showAll="0"/>
    <pivotField showAll="0"/>
    <pivotField showAll="0"/>
    <pivotField showAll="0"/>
    <pivotField showAll="0"/>
    <pivotField showAll="0"/>
    <pivotField showAll="0"/>
    <pivotField numFmtId="166"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67" showAll="0"/>
    <pivotField showAll="0"/>
    <pivotField showAll="0"/>
    <pivotField numFmtId="167" showAll="0"/>
    <pivotField showAll="0"/>
    <pivotField dataField="1" showAll="0"/>
    <pivotField showAll="0"/>
    <pivotField showAll="0">
      <items count="6">
        <item x="2"/>
        <item x="1"/>
        <item x="0"/>
        <item x="3"/>
        <item f="1" x="4"/>
        <item t="default"/>
      </items>
    </pivotField>
    <pivotField numFmtId="166" showAll="0"/>
    <pivotField numFmtId="166" showAll="0"/>
    <pivotField numFmtId="166" showAll="0"/>
    <pivotField numFmtId="166" showAll="0"/>
  </pivotFields>
  <rowItems count="1">
    <i/>
  </rowItems>
  <colFields count="1">
    <field x="8"/>
  </colFields>
  <colItems count="5">
    <i>
      <x/>
    </i>
    <i>
      <x v="1"/>
    </i>
    <i>
      <x v="2"/>
    </i>
    <i>
      <x v="3"/>
    </i>
    <i t="grand">
      <x/>
    </i>
  </colItems>
  <dataFields count="1">
    <dataField name="Sum of Final PiN" fld="58" baseField="4"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0.xml><?xml version="1.0" encoding="utf-8"?>
<pivotTableDefinition xmlns="http://schemas.openxmlformats.org/spreadsheetml/2006/main" xmlns:mc="http://schemas.openxmlformats.org/markup-compatibility/2006" xmlns:xr="http://schemas.microsoft.com/office/spreadsheetml/2014/revision" mc:Ignorable="xr" xr:uid="{409E9144-BF30-4763-A12E-D01BD4971E16}" name="PivotTable2" cacheId="76"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rowHeaderCaption="SEVERITY 2025 ">
  <location ref="A3:B8" firstHeaderRow="1" firstDataRow="1" firstDataCol="1"/>
  <pivotFields count="8">
    <pivotField showAll="0"/>
    <pivotField dataField="1" showAll="0"/>
    <pivotField showAll="0"/>
    <pivotField showAll="0"/>
    <pivotField numFmtId="167" showAll="0"/>
    <pivotField showAll="0"/>
    <pivotField showAll="0"/>
    <pivotField axis="axisRow" showAll="0">
      <items count="5">
        <item x="2"/>
        <item x="1"/>
        <item x="0"/>
        <item x="3"/>
        <item t="default"/>
      </items>
    </pivotField>
  </pivotFields>
  <rowFields count="1">
    <field x="7"/>
  </rowFields>
  <rowItems count="5">
    <i>
      <x/>
    </i>
    <i>
      <x v="1"/>
    </i>
    <i>
      <x v="2"/>
    </i>
    <i>
      <x v="3"/>
    </i>
    <i t="grand">
      <x/>
    </i>
  </rowItems>
  <colItems count="1">
    <i/>
  </colItems>
  <dataFields count="1">
    <dataField name="Localities" fld="1"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1.xml><?xml version="1.0" encoding="utf-8"?>
<pivotTableDefinition xmlns="http://schemas.openxmlformats.org/spreadsheetml/2006/main" xmlns:mc="http://schemas.openxmlformats.org/markup-compatibility/2006" xmlns:xr="http://schemas.microsoft.com/office/spreadsheetml/2014/revision" mc:Ignorable="xr" xr:uid="{9C95EC5E-12C4-4962-9FED-D24B57725F90}" name="PivotTable9" cacheId="72" applyNumberFormats="0" applyBorderFormats="0" applyFontFormats="0" applyPatternFormats="0" applyAlignmentFormats="0" applyWidthHeightFormats="1" dataCaption="Values" updatedVersion="8" minRefreshableVersion="3" useAutoFormatting="1" rowGrandTotals="0" itemPrintTitles="1" createdVersion="8" indent="0" outline="1" outlineData="1" multipleFieldFilters="0">
  <location ref="A49:B68" firstHeaderRow="1" firstDataRow="1" firstDataCol="1"/>
  <pivotFields count="65">
    <pivotField showAll="0" defaultSubtotal="0"/>
    <pivotField axis="axisRow" multipleItemSelectionAllowed="1" showAll="0" sortType="descending" defaultSubtotal="0">
      <items count="19">
        <item x="18"/>
        <item x="14"/>
        <item x="7"/>
        <item x="5"/>
        <item x="4"/>
        <item x="11"/>
        <item x="10"/>
        <item x="0"/>
        <item x="1"/>
        <item x="12"/>
        <item x="16"/>
        <item x="9"/>
        <item x="15"/>
        <item x="13"/>
        <item x="2"/>
        <item x="6"/>
        <item x="3"/>
        <item x="17"/>
        <item x="8"/>
      </items>
      <autoSortScope>
        <pivotArea dataOnly="0" outline="0" fieldPosition="0">
          <references count="1">
            <reference field="4294967294" count="1" selected="0">
              <x v="0"/>
            </reference>
          </references>
        </pivotArea>
      </autoSortScope>
    </pivotField>
    <pivotField showAll="0" defaultSubtotal="0"/>
    <pivotField showAll="0" defaultSubtotal="0"/>
    <pivotField showAll="0" defaultSubtotal="0"/>
    <pivotField showAll="0" defaultSubtotal="0"/>
    <pivotField showAll="0" defaultSubtotal="0"/>
    <pivotField numFmtId="167" showAll="0" defaultSubtotal="0"/>
    <pivotField multipleItemSelectionAllowed="1" showAll="0" defaultSubtotal="0"/>
    <pivotField numFmtId="167" showAll="0" defaultSubtotal="0"/>
    <pivotField numFmtId="167" showAll="0" defaultSubtotal="0"/>
    <pivotField showAll="0" defaultSubtotal="0"/>
    <pivotField numFmtId="167" showAll="0" defaultSubtotal="0"/>
    <pivotField numFmtId="167" showAll="0" defaultSubtotal="0"/>
    <pivotField numFmtId="167" showAll="0" defaultSubtotal="0"/>
    <pivotField numFmtId="167" showAll="0" defaultSubtotal="0"/>
    <pivotField showAll="0" defaultSubtotal="0"/>
    <pivotField numFmtId="167" showAll="0" defaultSubtotal="0"/>
    <pivotField numFmtId="167" showAll="0" defaultSubtotal="0"/>
    <pivotField numFmtId="167" showAll="0" defaultSubtotal="0"/>
    <pivotField numFmtId="167"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numFmtId="166"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numFmtId="167" showAll="0" defaultSubtotal="0"/>
    <pivotField showAll="0" defaultSubtotal="0"/>
    <pivotField showAll="0" defaultSubtotal="0"/>
    <pivotField numFmtId="167" showAll="0" defaultSubtotal="0"/>
    <pivotField showAll="0" defaultSubtotal="0"/>
    <pivotField dataField="1" showAll="0" defaultSubtotal="0"/>
    <pivotField showAll="0" defaultSubtotal="0"/>
    <pivotField showAll="0" defaultSubtotal="0">
      <items count="5">
        <item n="Accessible " x="2"/>
        <item n="Partially Accessible " x="1"/>
        <item n="Hard to Reach " x="0"/>
        <item h="1" x="3"/>
        <item f="1" x="4"/>
      </items>
    </pivotField>
    <pivotField numFmtId="166" showAll="0" defaultSubtotal="0"/>
    <pivotField numFmtId="166" showAll="0" defaultSubtotal="0"/>
    <pivotField numFmtId="166" showAll="0" defaultSubtotal="0"/>
    <pivotField numFmtId="166" showAll="0" defaultSubtotal="0"/>
  </pivotFields>
  <rowFields count="1">
    <field x="1"/>
  </rowFields>
  <rowItems count="19">
    <i>
      <x v="14"/>
    </i>
    <i>
      <x v="7"/>
    </i>
    <i>
      <x v="8"/>
    </i>
    <i>
      <x v="18"/>
    </i>
    <i>
      <x v="3"/>
    </i>
    <i>
      <x v="1"/>
    </i>
    <i>
      <x v="6"/>
    </i>
    <i>
      <x v="15"/>
    </i>
    <i>
      <x v="4"/>
    </i>
    <i>
      <x v="16"/>
    </i>
    <i>
      <x v="5"/>
    </i>
    <i>
      <x v="12"/>
    </i>
    <i>
      <x v="13"/>
    </i>
    <i>
      <x v="9"/>
    </i>
    <i>
      <x v="17"/>
    </i>
    <i>
      <x v="10"/>
    </i>
    <i>
      <x v="11"/>
    </i>
    <i>
      <x v="2"/>
    </i>
    <i>
      <x/>
    </i>
  </rowItems>
  <colItems count="1">
    <i/>
  </colItems>
  <dataFields count="1">
    <dataField name="Sum of Final PiN" fld="58" baseField="0" baseItem="0"/>
  </dataFields>
  <formats count="1">
    <format dxfId="0">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12.xml><?xml version="1.0" encoding="utf-8"?>
<pivotTableDefinition xmlns="http://schemas.openxmlformats.org/spreadsheetml/2006/main" xmlns:mc="http://schemas.openxmlformats.org/markup-compatibility/2006" xmlns:xr="http://schemas.microsoft.com/office/spreadsheetml/2014/revision" mc:Ignorable="xr" xr:uid="{02431F08-3039-4D9B-B616-E7C7E0E985A8}" name="PivotTable8" cacheId="72" dataOnRows="1"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A30:F43" firstHeaderRow="1" firstDataRow="2" firstDataCol="1"/>
  <pivotFields count="65">
    <pivotField showAll="0" defaultSubtotal="0"/>
    <pivotField multipleItemSelectionAllowed="1" showAll="0" defaultSubtotal="0"/>
    <pivotField showAll="0" defaultSubtotal="0"/>
    <pivotField showAll="0" defaultSubtotal="0"/>
    <pivotField showAll="0" defaultSubtotal="0"/>
    <pivotField showAll="0" defaultSubtotal="0"/>
    <pivotField showAll="0" defaultSubtotal="0"/>
    <pivotField numFmtId="167" showAll="0" defaultSubtotal="0"/>
    <pivotField axis="axisCol" multipleItemSelectionAllowed="1" showAll="0" defaultSubtotal="0">
      <items count="4">
        <item x="0"/>
        <item x="1"/>
        <item x="2"/>
        <item x="3"/>
      </items>
    </pivotField>
    <pivotField dataField="1" numFmtId="167" showAll="0" defaultSubtotal="0"/>
    <pivotField dataField="1" numFmtId="167" showAll="0" defaultSubtotal="0"/>
    <pivotField dataField="1" showAll="0" defaultSubtotal="0"/>
    <pivotField dataField="1" numFmtId="167" showAll="0" defaultSubtotal="0"/>
    <pivotField dataField="1" numFmtId="167" showAll="0" defaultSubtotal="0"/>
    <pivotField numFmtId="167" showAll="0" defaultSubtotal="0"/>
    <pivotField dataField="1" numFmtId="167" showAll="0" defaultSubtotal="0"/>
    <pivotField dataField="1" showAll="0" defaultSubtotal="0"/>
    <pivotField dataField="1" numFmtId="167" showAll="0" defaultSubtotal="0"/>
    <pivotField dataField="1" numFmtId="167" showAll="0" defaultSubtotal="0"/>
    <pivotField dataField="1" numFmtId="167" showAll="0" defaultSubtotal="0"/>
    <pivotField dataField="1" numFmtId="167"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numFmtId="166"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numFmtId="167" showAll="0" defaultSubtotal="0"/>
    <pivotField showAll="0" defaultSubtotal="0"/>
    <pivotField showAll="0" defaultSubtotal="0"/>
    <pivotField numFmtId="167" showAll="0" defaultSubtotal="0"/>
    <pivotField showAll="0" defaultSubtotal="0"/>
    <pivotField dataField="1" showAll="0" defaultSubtotal="0"/>
    <pivotField showAll="0" defaultSubtotal="0"/>
    <pivotField showAll="0" defaultSubtotal="0">
      <items count="5">
        <item n="Accessible " x="2"/>
        <item n="Partially Accessible " x="1"/>
        <item n="Hard to Reach " x="0"/>
        <item h="1" x="3"/>
        <item h="1" f="1" x="4"/>
      </items>
    </pivotField>
    <pivotField numFmtId="166" showAll="0" defaultSubtotal="0"/>
    <pivotField numFmtId="166" showAll="0" defaultSubtotal="0"/>
    <pivotField numFmtId="166" showAll="0" defaultSubtotal="0"/>
    <pivotField numFmtId="166" showAll="0" defaultSubtotal="0"/>
  </pivotFields>
  <rowFields count="1">
    <field x="-2"/>
  </rowFields>
  <rowItems count="12">
    <i>
      <x/>
    </i>
    <i i="1">
      <x v="1"/>
    </i>
    <i i="2">
      <x v="2"/>
    </i>
    <i i="3">
      <x v="3"/>
    </i>
    <i i="4">
      <x v="4"/>
    </i>
    <i i="5">
      <x v="5"/>
    </i>
    <i i="6">
      <x v="6"/>
    </i>
    <i i="7">
      <x v="7"/>
    </i>
    <i i="8">
      <x v="8"/>
    </i>
    <i i="9">
      <x v="9"/>
    </i>
    <i i="10">
      <x v="10"/>
    </i>
    <i i="11">
      <x v="11"/>
    </i>
  </rowItems>
  <colFields count="1">
    <field x="8"/>
  </colFields>
  <colItems count="5">
    <i>
      <x/>
    </i>
    <i>
      <x v="1"/>
    </i>
    <i>
      <x v="2"/>
    </i>
    <i>
      <x v="3"/>
    </i>
    <i t="grand">
      <x/>
    </i>
  </colItems>
  <dataFields count="12">
    <dataField name="Sum of Site Management " fld="9" baseField="0" baseItem="0"/>
    <dataField name="Sum of Education" fld="10" baseField="0" baseItem="0"/>
    <dataField name="Sum of Food Security and Livlihoods" fld="11" baseField="0" baseItem="0"/>
    <dataField name="Sum of Health " fld="12" baseField="0" baseItem="0"/>
    <dataField name="Sum of Nutrition" fld="13" baseField="0" baseItem="0"/>
    <dataField name="Sum of Shelter NFI " fld="15" baseField="0" baseItem="0"/>
    <dataField name="Sum of WASH" fld="16" baseField="0" baseItem="0"/>
    <dataField name="Sum of CP" fld="17" baseField="0" baseItem="0"/>
    <dataField name="Sum of GBV" fld="18" baseField="0" baseItem="0"/>
    <dataField name="Sum of Mine Action" fld="19" baseField="0" baseItem="0"/>
    <dataField name="Sum of General Protection" fld="20" baseField="0" baseItem="0"/>
    <dataField name="Sum of Final PiN" fld="58" baseField="0" baseItem="0"/>
  </dataFields>
  <formats count="3">
    <format dxfId="3">
      <pivotArea outline="0" collapsedLevelsAreSubtotals="1" fieldPosition="0"/>
    </format>
    <format dxfId="2">
      <pivotArea collapsedLevelsAreSubtotals="1" fieldPosition="0">
        <references count="1">
          <reference field="4294967294" count="1">
            <x v="11"/>
          </reference>
        </references>
      </pivotArea>
    </format>
    <format dxfId="1">
      <pivotArea dataOnly="0" labelOnly="1" outline="0" fieldPosition="0">
        <references count="1">
          <reference field="4294967294" count="1">
            <x v="1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13.xml><?xml version="1.0" encoding="utf-8"?>
<pivotTableDefinition xmlns="http://schemas.openxmlformats.org/spreadsheetml/2006/main" xmlns:mc="http://schemas.openxmlformats.org/markup-compatibility/2006" xmlns:xr="http://schemas.microsoft.com/office/spreadsheetml/2014/revision" mc:Ignorable="xr" xr:uid="{F2F2FFC0-71EE-4EE2-9F30-E56FF1A29D15}" name="PivotTable12" cacheId="72" applyNumberFormats="0" applyBorderFormats="0" applyFontFormats="0" applyPatternFormats="0" applyAlignmentFormats="0" applyWidthHeightFormats="1" dataCaption="Values" updatedVersion="8" minRefreshableVersion="3" useAutoFormatting="1" colGrandTotals="0" itemPrintTitles="1" createdVersion="8" indent="0" outline="1" outlineData="1" multipleFieldFilters="0">
  <location ref="H7:L28" firstHeaderRow="1" firstDataRow="2" firstDataCol="1" rowPageCount="1" colPageCount="1"/>
  <pivotFields count="65">
    <pivotField showAll="0" defaultSubtotal="0"/>
    <pivotField axis="axisRow" multipleItemSelectionAllowed="1" showAll="0" defaultSubtotal="0">
      <items count="19">
        <item x="18"/>
        <item x="14"/>
        <item x="7"/>
        <item x="5"/>
        <item x="4"/>
        <item x="11"/>
        <item x="10"/>
        <item x="0"/>
        <item x="1"/>
        <item x="12"/>
        <item x="16"/>
        <item x="9"/>
        <item x="15"/>
        <item x="13"/>
        <item x="2"/>
        <item x="6"/>
        <item x="3"/>
        <item x="17"/>
        <item x="8"/>
      </items>
    </pivotField>
    <pivotField dataField="1" showAll="0" defaultSubtotal="0"/>
    <pivotField showAll="0" defaultSubtotal="0"/>
    <pivotField showAll="0" defaultSubtotal="0"/>
    <pivotField showAll="0" defaultSubtotal="0"/>
    <pivotField showAll="0" defaultSubtotal="0"/>
    <pivotField numFmtId="167" showAll="0" defaultSubtotal="0"/>
    <pivotField axis="axisPage" multipleItemSelectionAllowed="1" showAll="0" defaultSubtotal="0">
      <items count="4">
        <item h="1" x="0"/>
        <item x="1"/>
        <item h="1" x="2"/>
        <item h="1" x="3"/>
      </items>
    </pivotField>
    <pivotField numFmtId="167" showAll="0" defaultSubtotal="0"/>
    <pivotField numFmtId="167" showAll="0" defaultSubtotal="0"/>
    <pivotField showAll="0" defaultSubtotal="0"/>
    <pivotField numFmtId="167" showAll="0" defaultSubtotal="0"/>
    <pivotField numFmtId="167" showAll="0" defaultSubtotal="0"/>
    <pivotField numFmtId="167" showAll="0" defaultSubtotal="0"/>
    <pivotField numFmtId="167" showAll="0" defaultSubtotal="0"/>
    <pivotField showAll="0" defaultSubtotal="0"/>
    <pivotField numFmtId="167" showAll="0" defaultSubtotal="0"/>
    <pivotField numFmtId="167" showAll="0" defaultSubtotal="0"/>
    <pivotField numFmtId="167" showAll="0" defaultSubtotal="0"/>
    <pivotField numFmtId="167"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numFmtId="166"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numFmtId="167" showAll="0" defaultSubtotal="0"/>
    <pivotField showAll="0" defaultSubtotal="0"/>
    <pivotField showAll="0" defaultSubtotal="0"/>
    <pivotField numFmtId="167" showAll="0" defaultSubtotal="0"/>
    <pivotField showAll="0" defaultSubtotal="0"/>
    <pivotField showAll="0" defaultSubtotal="0"/>
    <pivotField showAll="0" defaultSubtotal="0"/>
    <pivotField showAll="0" defaultSubtotal="0">
      <items count="5">
        <item n="Accessible " x="2"/>
        <item n="Partially Accessible " x="1"/>
        <item n="Hard to Reach " x="0"/>
        <item h="1" x="3"/>
        <item h="1" f="1" x="4"/>
      </items>
    </pivotField>
    <pivotField axis="axisCol" numFmtId="166" showAll="0" defaultSubtotal="0">
      <items count="4">
        <item x="3"/>
        <item x="2"/>
        <item x="0"/>
        <item x="1"/>
      </items>
    </pivotField>
    <pivotField numFmtId="166" showAll="0" defaultSubtotal="0"/>
    <pivotField numFmtId="166" showAll="0" defaultSubtotal="0"/>
    <pivotField numFmtId="166" showAll="0" defaultSubtotal="0"/>
  </pivotFields>
  <rowFields count="1">
    <field x="1"/>
  </rowFields>
  <rowItems count="20">
    <i>
      <x/>
    </i>
    <i>
      <x v="1"/>
    </i>
    <i>
      <x v="2"/>
    </i>
    <i>
      <x v="3"/>
    </i>
    <i>
      <x v="4"/>
    </i>
    <i>
      <x v="5"/>
    </i>
    <i>
      <x v="6"/>
    </i>
    <i>
      <x v="7"/>
    </i>
    <i>
      <x v="8"/>
    </i>
    <i>
      <x v="9"/>
    </i>
    <i>
      <x v="10"/>
    </i>
    <i>
      <x v="11"/>
    </i>
    <i>
      <x v="12"/>
    </i>
    <i>
      <x v="13"/>
    </i>
    <i>
      <x v="14"/>
    </i>
    <i>
      <x v="15"/>
    </i>
    <i>
      <x v="16"/>
    </i>
    <i>
      <x v="17"/>
    </i>
    <i>
      <x v="18"/>
    </i>
    <i t="grand">
      <x/>
    </i>
  </rowItems>
  <colFields count="1">
    <field x="61"/>
  </colFields>
  <colItems count="4">
    <i>
      <x/>
    </i>
    <i>
      <x v="1"/>
    </i>
    <i>
      <x v="2"/>
    </i>
    <i>
      <x v="3"/>
    </i>
  </colItems>
  <pageFields count="1">
    <pageField fld="8" hier="-1"/>
  </pageFields>
  <dataFields count="1">
    <dataField name="Count of Admin 1 P-Code" fld="2" subtotal="count" baseField="0" baseItem="0"/>
  </dataFields>
  <formats count="1">
    <format dxfId="4">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14.xml><?xml version="1.0" encoding="utf-8"?>
<pivotTableDefinition xmlns="http://schemas.openxmlformats.org/spreadsheetml/2006/main" xmlns:mc="http://schemas.openxmlformats.org/markup-compatibility/2006" xmlns:xr="http://schemas.microsoft.com/office/spreadsheetml/2014/revision" mc:Ignorable="xr" xr:uid="{EF45FC84-9D36-43B7-9CCD-3C990405838F}" name="PivotTable11" cacheId="72" applyNumberFormats="0" applyBorderFormats="0" applyFontFormats="0" applyPatternFormats="0" applyAlignmentFormats="0" applyWidthHeightFormats="1" dataCaption="Values" updatedVersion="8" minRefreshableVersion="3" useAutoFormatting="1" colGrandTotals="0" itemPrintTitles="1" createdVersion="8" indent="0" outline="1" outlineData="1" multipleFieldFilters="0">
  <location ref="H2:K3" firstHeaderRow="0" firstDataRow="1" firstDataCol="0"/>
  <pivotFields count="65">
    <pivotField showAll="0" defaultSubtotal="0"/>
    <pivotField multipleItemSelectionAllowed="1" showAll="0" defaultSubtotal="0"/>
    <pivotField showAll="0" defaultSubtotal="0"/>
    <pivotField showAll="0" defaultSubtotal="0"/>
    <pivotField showAll="0" defaultSubtotal="0"/>
    <pivotField showAll="0" defaultSubtotal="0"/>
    <pivotField showAll="0" defaultSubtotal="0"/>
    <pivotField numFmtId="167" showAll="0" defaultSubtotal="0"/>
    <pivotField multipleItemSelectionAllowed="1" showAll="0" defaultSubtotal="0"/>
    <pivotField numFmtId="167" showAll="0" defaultSubtotal="0"/>
    <pivotField numFmtId="167" showAll="0" defaultSubtotal="0"/>
    <pivotField showAll="0" defaultSubtotal="0"/>
    <pivotField numFmtId="167" showAll="0" defaultSubtotal="0"/>
    <pivotField numFmtId="167" showAll="0" defaultSubtotal="0"/>
    <pivotField numFmtId="167" showAll="0" defaultSubtotal="0"/>
    <pivotField numFmtId="167" showAll="0" defaultSubtotal="0"/>
    <pivotField showAll="0" defaultSubtotal="0"/>
    <pivotField numFmtId="167" showAll="0" defaultSubtotal="0"/>
    <pivotField numFmtId="167" showAll="0" defaultSubtotal="0"/>
    <pivotField numFmtId="167" showAll="0" defaultSubtotal="0"/>
    <pivotField numFmtId="167"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numFmtId="166"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numFmtId="167" showAll="0" defaultSubtotal="0"/>
    <pivotField showAll="0" defaultSubtotal="0"/>
    <pivotField showAll="0" defaultSubtotal="0"/>
    <pivotField numFmtId="167" showAll="0" defaultSubtotal="0"/>
    <pivotField showAll="0" defaultSubtotal="0"/>
    <pivotField dataField="1" showAll="0" defaultSubtotal="0"/>
    <pivotField showAll="0" defaultSubtotal="0"/>
    <pivotField showAll="0" defaultSubtotal="0">
      <items count="5">
        <item n="Accessible " x="2"/>
        <item n="Partially Accessible " x="1"/>
        <item n="Hard to Reach " x="0"/>
        <item h="1" x="3"/>
        <item h="1" f="1" x="4"/>
      </items>
    </pivotField>
    <pivotField numFmtId="166" showAll="0" defaultSubtotal="0"/>
    <pivotField dataField="1" numFmtId="166" showAll="0" defaultSubtotal="0"/>
    <pivotField dataField="1" numFmtId="166" showAll="0" defaultSubtotal="0"/>
    <pivotField dataField="1" numFmtId="166" showAll="0" defaultSubtotal="0"/>
  </pivotFields>
  <rowItems count="1">
    <i/>
  </rowItems>
  <colFields count="1">
    <field x="-2"/>
  </colFields>
  <colItems count="4">
    <i>
      <x/>
    </i>
    <i i="1">
      <x v="1"/>
    </i>
    <i i="2">
      <x v="2"/>
    </i>
    <i i="3">
      <x v="3"/>
    </i>
  </colItems>
  <dataFields count="4">
    <dataField name="Sum of Severity 5 PIN" fld="64" baseField="0" baseItem="0"/>
    <dataField name="Sum of Severity 4 PIN" fld="63" baseField="0" baseItem="0"/>
    <dataField name="Sum of Severity 3 PIN " fld="62" baseField="0" baseItem="0"/>
    <dataField name="Sum of Final PiN" fld="58" baseField="0" baseItem="0"/>
  </dataFields>
  <formats count="1">
    <format dxfId="5">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15.xml><?xml version="1.0" encoding="utf-8"?>
<pivotTableDefinition xmlns="http://schemas.openxmlformats.org/spreadsheetml/2006/main" xmlns:mc="http://schemas.openxmlformats.org/markup-compatibility/2006" xmlns:xr="http://schemas.microsoft.com/office/spreadsheetml/2014/revision" mc:Ignorable="xr" xr:uid="{AF88EBF5-C46C-47E5-B0BA-CBB5AC1C69EE}" name="PivotTable6" cacheId="72" applyNumberFormats="0" applyBorderFormats="0" applyFontFormats="0" applyPatternFormats="0" applyAlignmentFormats="0" applyWidthHeightFormats="1" dataCaption="Values" updatedVersion="8" minRefreshableVersion="3" useAutoFormatting="1" colGrandTotals="0" itemPrintTitles="1" createdVersion="8" indent="0" outline="1" outlineData="1" multipleFieldFilters="0">
  <location ref="A11:E15" firstHeaderRow="0" firstDataRow="1" firstDataCol="1" rowPageCount="1" colPageCount="1"/>
  <pivotFields count="65">
    <pivotField showAll="0" defaultSubtotal="0"/>
    <pivotField multipleItemSelectionAllowed="1" showAll="0" defaultSubtotal="0"/>
    <pivotField showAll="0" defaultSubtotal="0"/>
    <pivotField showAll="0" defaultSubtotal="0"/>
    <pivotField showAll="0" defaultSubtotal="0"/>
    <pivotField showAll="0" defaultSubtotal="0"/>
    <pivotField showAll="0" defaultSubtotal="0"/>
    <pivotField numFmtId="167" showAll="0" defaultSubtotal="0"/>
    <pivotField axis="axisPage" multipleItemSelectionAllowed="1" showAll="0" defaultSubtotal="0">
      <items count="4">
        <item x="0"/>
        <item x="1"/>
        <item x="2"/>
        <item x="3"/>
      </items>
    </pivotField>
    <pivotField numFmtId="167" showAll="0" defaultSubtotal="0"/>
    <pivotField numFmtId="167" showAll="0" defaultSubtotal="0"/>
    <pivotField showAll="0" defaultSubtotal="0"/>
    <pivotField numFmtId="167" showAll="0" defaultSubtotal="0"/>
    <pivotField numFmtId="167" showAll="0" defaultSubtotal="0"/>
    <pivotField numFmtId="167" showAll="0" defaultSubtotal="0"/>
    <pivotField numFmtId="167" showAll="0" defaultSubtotal="0"/>
    <pivotField showAll="0" defaultSubtotal="0"/>
    <pivotField numFmtId="167" showAll="0" defaultSubtotal="0"/>
    <pivotField numFmtId="167" showAll="0" defaultSubtotal="0"/>
    <pivotField numFmtId="167" showAll="0" defaultSubtotal="0"/>
    <pivotField numFmtId="167"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numFmtId="166"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numFmtId="167" showAll="0" defaultSubtotal="0"/>
    <pivotField showAll="0" defaultSubtotal="0"/>
    <pivotField showAll="0" defaultSubtotal="0"/>
    <pivotField numFmtId="167" showAll="0" defaultSubtotal="0"/>
    <pivotField showAll="0" defaultSubtotal="0"/>
    <pivotField dataField="1" showAll="0" defaultSubtotal="0"/>
    <pivotField showAll="0" defaultSubtotal="0"/>
    <pivotField axis="axisRow" showAll="0" defaultSubtotal="0">
      <items count="5">
        <item n="Accessible " x="2"/>
        <item n="Partially Accessible " x="1"/>
        <item n="Hard to Reach " x="0"/>
        <item h="1" x="3"/>
        <item h="1" f="1" x="4"/>
      </items>
    </pivotField>
    <pivotField numFmtId="166" showAll="0" defaultSubtotal="0"/>
    <pivotField dataField="1" numFmtId="166" showAll="0" defaultSubtotal="0"/>
    <pivotField dataField="1" numFmtId="166" showAll="0" defaultSubtotal="0"/>
    <pivotField dataField="1" numFmtId="166" showAll="0" defaultSubtotal="0"/>
  </pivotFields>
  <rowFields count="1">
    <field x="60"/>
  </rowFields>
  <rowItems count="4">
    <i>
      <x/>
    </i>
    <i>
      <x v="1"/>
    </i>
    <i>
      <x v="2"/>
    </i>
    <i t="grand">
      <x/>
    </i>
  </rowItems>
  <colFields count="1">
    <field x="-2"/>
  </colFields>
  <colItems count="4">
    <i>
      <x/>
    </i>
    <i i="1">
      <x v="1"/>
    </i>
    <i i="2">
      <x v="2"/>
    </i>
    <i i="3">
      <x v="3"/>
    </i>
  </colItems>
  <pageFields count="1">
    <pageField fld="8" hier="-1"/>
  </pageFields>
  <dataFields count="4">
    <dataField name="Sum of Severity 5 PIN" fld="64" baseField="0" baseItem="0"/>
    <dataField name="Sum of Severity 4 PIN" fld="63" baseField="0" baseItem="0"/>
    <dataField name="Sum of Severity 3 PIN " fld="62" baseField="0" baseItem="0"/>
    <dataField name="Sum of Final PiN" fld="58" baseField="0" baseItem="0"/>
  </dataFields>
  <formats count="1">
    <format dxfId="6">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16.xml><?xml version="1.0" encoding="utf-8"?>
<pivotTableDefinition xmlns="http://schemas.openxmlformats.org/spreadsheetml/2006/main" xmlns:mc="http://schemas.openxmlformats.org/markup-compatibility/2006" xmlns:xr="http://schemas.microsoft.com/office/spreadsheetml/2014/revision" mc:Ignorable="xr" xr:uid="{CAD14E20-0D88-48EB-A899-A8B4A36D105F}" name="PivotTable5" cacheId="72" applyNumberFormats="0" applyBorderFormats="0" applyFontFormats="0" applyPatternFormats="0" applyAlignmentFormats="0" applyWidthHeightFormats="1" dataCaption="Values" updatedVersion="8" minRefreshableVersion="3" useAutoFormatting="1" rowGrandTotals="0" itemPrintTitles="1" createdVersion="8" indent="0" outline="1" outlineData="1" multipleFieldFilters="0">
  <location ref="A3:F5" firstHeaderRow="1" firstDataRow="2" firstDataCol="1"/>
  <pivotFields count="65">
    <pivotField showAll="0" defaultSubtotal="0"/>
    <pivotField multipleItemSelectionAllowed="1" showAll="0" defaultSubtotal="0"/>
    <pivotField showAll="0" defaultSubtotal="0"/>
    <pivotField showAll="0" defaultSubtotal="0"/>
    <pivotField showAll="0" defaultSubtotal="0"/>
    <pivotField showAll="0" defaultSubtotal="0"/>
    <pivotField showAll="0" defaultSubtotal="0"/>
    <pivotField numFmtId="167" showAll="0" defaultSubtotal="0"/>
    <pivotField axis="axisCol" multipleItemSelectionAllowed="1" showAll="0" defaultSubtotal="0">
      <items count="4">
        <item x="0"/>
        <item x="1"/>
        <item x="2"/>
        <item x="3"/>
      </items>
    </pivotField>
    <pivotField numFmtId="167" showAll="0" defaultSubtotal="0"/>
    <pivotField numFmtId="167" showAll="0" defaultSubtotal="0"/>
    <pivotField showAll="0" defaultSubtotal="0"/>
    <pivotField numFmtId="167" showAll="0" defaultSubtotal="0"/>
    <pivotField numFmtId="167" showAll="0" defaultSubtotal="0"/>
    <pivotField numFmtId="167" showAll="0" defaultSubtotal="0"/>
    <pivotField numFmtId="167" showAll="0" defaultSubtotal="0"/>
    <pivotField showAll="0" defaultSubtotal="0"/>
    <pivotField numFmtId="167" showAll="0" defaultSubtotal="0"/>
    <pivotField numFmtId="167" showAll="0" defaultSubtotal="0"/>
    <pivotField numFmtId="167" showAll="0" defaultSubtotal="0"/>
    <pivotField numFmtId="167"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numFmtId="166"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numFmtId="167" showAll="0" defaultSubtotal="0"/>
    <pivotField showAll="0" defaultSubtotal="0"/>
    <pivotField showAll="0" defaultSubtotal="0"/>
    <pivotField numFmtId="167" showAll="0" defaultSubtotal="0"/>
    <pivotField showAll="0" defaultSubtotal="0"/>
    <pivotField dataField="1" showAll="0" defaultSubtotal="0"/>
    <pivotField showAll="0" defaultSubtotal="0"/>
    <pivotField showAll="0" defaultSubtotal="0">
      <items count="5">
        <item n="Accessible " x="2"/>
        <item n="Partially Accessible " x="1"/>
        <item n="Hard to Reach " x="0"/>
        <item h="1" x="3"/>
        <item f="1" x="4"/>
      </items>
    </pivotField>
    <pivotField numFmtId="166" showAll="0" defaultSubtotal="0"/>
    <pivotField numFmtId="166" showAll="0" defaultSubtotal="0"/>
    <pivotField numFmtId="166" showAll="0" defaultSubtotal="0"/>
    <pivotField numFmtId="166" showAll="0" defaultSubtotal="0"/>
  </pivotFields>
  <rowItems count="1">
    <i/>
  </rowItems>
  <colFields count="1">
    <field x="8"/>
  </colFields>
  <colItems count="5">
    <i>
      <x/>
    </i>
    <i>
      <x v="1"/>
    </i>
    <i>
      <x v="2"/>
    </i>
    <i>
      <x v="3"/>
    </i>
    <i t="grand">
      <x/>
    </i>
  </colItems>
  <dataFields count="1">
    <dataField name="Sum of Final PiN" fld="58" baseField="0" baseItem="0"/>
  </dataFields>
  <formats count="1">
    <format dxfId="7">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341DDA8D-B677-4CE5-A7C4-19BA2BC37132}" name="PivotTable5" cacheId="72" dataOnRows="1" applyNumberFormats="0" applyBorderFormats="0" applyFontFormats="0" applyPatternFormats="0" applyAlignmentFormats="0" applyWidthHeightFormats="1" dataCaption="Values" updatedVersion="8" minRefreshableVersion="3" useAutoFormatting="1" colGrandTotals="0" itemPrintTitles="1" createdVersion="8" indent="0" outline="1" outlineData="1" multipleFieldFilters="0">
  <location ref="A24:B27" firstHeaderRow="1" firstDataRow="1" firstDataCol="1"/>
  <pivotFields count="65">
    <pivotField showAll="0"/>
    <pivotField showAll="0"/>
    <pivotField showAll="0"/>
    <pivotField showAll="0"/>
    <pivotField showAll="0"/>
    <pivotField showAll="0"/>
    <pivotField showAll="0"/>
    <pivotField numFmtId="167" showAll="0"/>
    <pivotField showAll="0"/>
    <pivotField numFmtId="167" showAll="0"/>
    <pivotField numFmtId="167" showAll="0"/>
    <pivotField showAll="0"/>
    <pivotField numFmtId="167" showAll="0"/>
    <pivotField numFmtId="167" showAll="0"/>
    <pivotField numFmtId="167" showAll="0"/>
    <pivotField numFmtId="167" showAll="0"/>
    <pivotField numFmtId="167" showAll="0"/>
    <pivotField numFmtId="167" showAll="0"/>
    <pivotField numFmtId="167" showAll="0"/>
    <pivotField numFmtId="167" showAll="0"/>
    <pivotField numFmtId="167" showAll="0"/>
    <pivotField showAll="0"/>
    <pivotField showAll="0"/>
    <pivotField showAll="0"/>
    <pivotField showAll="0"/>
    <pivotField showAll="0"/>
    <pivotField showAll="0"/>
    <pivotField showAll="0"/>
    <pivotField showAll="0"/>
    <pivotField showAll="0"/>
    <pivotField showAll="0"/>
    <pivotField showAll="0"/>
    <pivotField showAll="0"/>
    <pivotField numFmtId="166"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67" showAll="0"/>
    <pivotField showAll="0"/>
    <pivotField showAll="0"/>
    <pivotField numFmtId="167" showAll="0"/>
    <pivotField showAll="0"/>
    <pivotField numFmtId="166" showAll="0"/>
    <pivotField showAll="0"/>
    <pivotField showAll="0">
      <items count="6">
        <item x="2"/>
        <item x="1"/>
        <item x="0"/>
        <item x="3"/>
        <item f="1" x="4"/>
        <item t="default"/>
      </items>
    </pivotField>
    <pivotField numFmtId="166" showAll="0"/>
    <pivotField dataField="1" numFmtId="166" showAll="0"/>
    <pivotField dataField="1" numFmtId="166" showAll="0"/>
    <pivotField dataField="1" numFmtId="166" showAll="0"/>
  </pivotFields>
  <rowFields count="1">
    <field x="-2"/>
  </rowFields>
  <rowItems count="3">
    <i>
      <x/>
    </i>
    <i i="1">
      <x v="1"/>
    </i>
    <i i="2">
      <x v="2"/>
    </i>
  </rowItems>
  <colItems count="1">
    <i/>
  </colItems>
  <dataFields count="3">
    <dataField name="Sum of Severity 3 PIN " fld="62" baseField="0" baseItem="0"/>
    <dataField name="Sum of Severity 4 PIN" fld="63" baseField="0" baseItem="0"/>
    <dataField name="Sum of Severity 5 PIN" fld="64" baseField="0" baseItem="0"/>
  </dataFields>
  <formats count="1">
    <format dxfId="184">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3AD8814B-4BF0-4E92-BAA8-31D4555D16E4}" name="PivotTable1" cacheId="72" dataOnRows="1"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A29:B49" firstHeaderRow="1" firstDataRow="1" firstDataCol="1"/>
  <pivotFields count="65">
    <pivotField showAll="0"/>
    <pivotField showAll="0">
      <items count="20">
        <item x="18"/>
        <item x="14"/>
        <item x="7"/>
        <item x="5"/>
        <item x="4"/>
        <item x="11"/>
        <item x="10"/>
        <item x="0"/>
        <item x="1"/>
        <item x="12"/>
        <item x="16"/>
        <item x="9"/>
        <item x="15"/>
        <item x="13"/>
        <item x="2"/>
        <item x="6"/>
        <item x="3"/>
        <item x="17"/>
        <item x="8"/>
        <item t="default"/>
      </items>
    </pivotField>
    <pivotField axis="axisRow" showAll="0">
      <items count="20">
        <item x="0"/>
        <item x="1"/>
        <item x="2"/>
        <item x="3"/>
        <item x="4"/>
        <item x="5"/>
        <item x="6"/>
        <item x="7"/>
        <item x="8"/>
        <item x="9"/>
        <item x="10"/>
        <item x="11"/>
        <item x="12"/>
        <item x="13"/>
        <item x="14"/>
        <item x="15"/>
        <item x="16"/>
        <item x="17"/>
        <item x="18"/>
        <item t="default"/>
      </items>
    </pivotField>
    <pivotField showAll="0"/>
    <pivotField showAll="0">
      <items count="191">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t="default"/>
      </items>
    </pivotField>
    <pivotField showAll="0"/>
    <pivotField showAll="0"/>
    <pivotField numFmtId="167" showAll="0"/>
    <pivotField showAll="0">
      <items count="5">
        <item x="0"/>
        <item x="1"/>
        <item x="2"/>
        <item h="1" x="3"/>
        <item t="default"/>
      </items>
    </pivotField>
    <pivotField numFmtId="167" showAll="0"/>
    <pivotField numFmtId="167" showAll="0"/>
    <pivotField showAll="0"/>
    <pivotField numFmtId="167" showAll="0"/>
    <pivotField numFmtId="167" showAll="0"/>
    <pivotField numFmtId="167" showAll="0"/>
    <pivotField numFmtId="167" showAll="0"/>
    <pivotField numFmtId="167" showAll="0"/>
    <pivotField numFmtId="167" showAll="0"/>
    <pivotField numFmtId="167" showAll="0"/>
    <pivotField numFmtId="167" showAll="0"/>
    <pivotField numFmtId="167" showAll="0"/>
    <pivotField showAll="0"/>
    <pivotField showAll="0"/>
    <pivotField showAll="0"/>
    <pivotField showAll="0"/>
    <pivotField showAll="0"/>
    <pivotField showAll="0"/>
    <pivotField showAll="0"/>
    <pivotField showAll="0"/>
    <pivotField showAll="0"/>
    <pivotField showAll="0"/>
    <pivotField showAll="0"/>
    <pivotField showAll="0"/>
    <pivotField numFmtId="166"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67" showAll="0"/>
    <pivotField showAll="0"/>
    <pivotField showAll="0"/>
    <pivotField numFmtId="167" showAll="0"/>
    <pivotField showAll="0"/>
    <pivotField dataField="1" numFmtId="166" showAll="0"/>
    <pivotField showAll="0"/>
    <pivotField showAll="0">
      <items count="6">
        <item x="2"/>
        <item x="1"/>
        <item x="0"/>
        <item x="3"/>
        <item f="1" x="4"/>
        <item t="default"/>
      </items>
    </pivotField>
    <pivotField numFmtId="166" showAll="0"/>
    <pivotField numFmtId="166" showAll="0"/>
    <pivotField numFmtId="166" showAll="0"/>
    <pivotField numFmtId="166" showAll="0"/>
  </pivotFields>
  <rowFields count="1">
    <field x="2"/>
  </rowFields>
  <rowItems count="20">
    <i>
      <x/>
    </i>
    <i>
      <x v="1"/>
    </i>
    <i>
      <x v="2"/>
    </i>
    <i>
      <x v="3"/>
    </i>
    <i>
      <x v="4"/>
    </i>
    <i>
      <x v="5"/>
    </i>
    <i>
      <x v="6"/>
    </i>
    <i>
      <x v="7"/>
    </i>
    <i>
      <x v="8"/>
    </i>
    <i>
      <x v="9"/>
    </i>
    <i>
      <x v="10"/>
    </i>
    <i>
      <x v="11"/>
    </i>
    <i>
      <x v="12"/>
    </i>
    <i>
      <x v="13"/>
    </i>
    <i>
      <x v="14"/>
    </i>
    <i>
      <x v="15"/>
    </i>
    <i>
      <x v="16"/>
    </i>
    <i>
      <x v="17"/>
    </i>
    <i>
      <x v="18"/>
    </i>
    <i t="grand">
      <x/>
    </i>
  </rowItems>
  <colItems count="1">
    <i/>
  </colItems>
  <dataFields count="1">
    <dataField name="Sum of Final PiN" fld="58" baseField="0" baseItem="0"/>
  </dataFields>
  <formats count="1">
    <format dxfId="185">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BF3D162E-05AF-41A8-8008-2A7370FC7AE8}" name="PivotTable2" cacheId="72" dataOnRows="1"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A3:E17" firstHeaderRow="1" firstDataRow="2" firstDataCol="1"/>
  <pivotFields count="65">
    <pivotField showAll="0"/>
    <pivotField showAll="0"/>
    <pivotField showAll="0"/>
    <pivotField showAll="0"/>
    <pivotField showAll="0"/>
    <pivotField showAll="0"/>
    <pivotField showAll="0"/>
    <pivotField numFmtId="167" showAll="0"/>
    <pivotField axis="axisCol" showAll="0">
      <items count="5">
        <item x="0"/>
        <item x="1"/>
        <item x="2"/>
        <item h="1" x="3"/>
        <item t="default"/>
      </items>
    </pivotField>
    <pivotField dataField="1" numFmtId="167" showAll="0"/>
    <pivotField dataField="1" numFmtId="167" showAll="0"/>
    <pivotField dataField="1" showAll="0"/>
    <pivotField dataField="1" numFmtId="167" showAll="0"/>
    <pivotField dataField="1" numFmtId="167" showAll="0"/>
    <pivotField dataField="1" numFmtId="167" showAll="0"/>
    <pivotField dataField="1" numFmtId="167" showAll="0"/>
    <pivotField dataField="1" numFmtId="167" showAll="0"/>
    <pivotField dataField="1" numFmtId="167" showAll="0"/>
    <pivotField dataField="1" numFmtId="167" showAll="0"/>
    <pivotField dataField="1" numFmtId="167" showAll="0"/>
    <pivotField dataField="1" numFmtId="167" showAll="0"/>
    <pivotField showAll="0"/>
    <pivotField showAll="0"/>
    <pivotField showAll="0"/>
    <pivotField showAll="0"/>
    <pivotField showAll="0"/>
    <pivotField showAll="0"/>
    <pivotField showAll="0"/>
    <pivotField showAll="0"/>
    <pivotField showAll="0"/>
    <pivotField showAll="0"/>
    <pivotField showAll="0"/>
    <pivotField showAll="0"/>
    <pivotField numFmtId="166"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67" showAll="0"/>
    <pivotField showAll="0"/>
    <pivotField showAll="0"/>
    <pivotField numFmtId="167" showAll="0"/>
    <pivotField showAll="0"/>
    <pivotField dataField="1" numFmtId="166" showAll="0"/>
    <pivotField showAll="0"/>
    <pivotField showAll="0">
      <items count="6">
        <item x="2"/>
        <item x="1"/>
        <item x="0"/>
        <item x="3"/>
        <item f="1" x="4"/>
        <item t="default"/>
      </items>
    </pivotField>
    <pivotField numFmtId="166" showAll="0"/>
    <pivotField numFmtId="166" showAll="0"/>
    <pivotField numFmtId="166" showAll="0"/>
    <pivotField numFmtId="166" showAll="0"/>
  </pivotFields>
  <rowFields count="1">
    <field x="-2"/>
  </rowFields>
  <rowItems count="13">
    <i>
      <x/>
    </i>
    <i i="1">
      <x v="1"/>
    </i>
    <i i="2">
      <x v="2"/>
    </i>
    <i i="3">
      <x v="3"/>
    </i>
    <i i="4">
      <x v="4"/>
    </i>
    <i i="5">
      <x v="5"/>
    </i>
    <i i="6">
      <x v="6"/>
    </i>
    <i i="7">
      <x v="7"/>
    </i>
    <i i="8">
      <x v="8"/>
    </i>
    <i i="9">
      <x v="9"/>
    </i>
    <i i="10">
      <x v="10"/>
    </i>
    <i i="11">
      <x v="11"/>
    </i>
    <i i="12">
      <x v="12"/>
    </i>
  </rowItems>
  <colFields count="1">
    <field x="8"/>
  </colFields>
  <colItems count="4">
    <i>
      <x/>
    </i>
    <i>
      <x v="1"/>
    </i>
    <i>
      <x v="2"/>
    </i>
    <i t="grand">
      <x/>
    </i>
  </colItems>
  <dataFields count="13">
    <dataField name="Sum of Education" fld="10" baseField="0" baseItem="0"/>
    <dataField name="Sum of Food Security and Livlihoods" fld="11" baseField="0" baseItem="0"/>
    <dataField name="Sum of Health " fld="12" baseField="0" baseItem="0"/>
    <dataField name="Sum of Nutrition" fld="13" baseField="0" baseItem="0"/>
    <dataField name="Sum of Protection" fld="14" baseField="0" baseItem="0"/>
    <dataField name="Sum of CP" fld="17" baseField="0" baseItem="0"/>
    <dataField name="Sum of GBV" fld="18" baseField="0" baseItem="0"/>
    <dataField name="Sum of General Protection" fld="20" baseField="0" baseItem="0"/>
    <dataField name="Sum of Mine Action" fld="19" baseField="0" baseItem="0"/>
    <dataField name="Sum of Shelter NFI " fld="15" baseField="0" baseItem="0"/>
    <dataField name="Sum of Site Management " fld="9" baseField="0" baseItem="0"/>
    <dataField name="Sum of WASH" fld="16" baseField="0" baseItem="0"/>
    <dataField name="Sum of Final PiN" fld="58" baseField="0" baseItem="0"/>
  </dataFields>
  <formats count="1">
    <format dxfId="186">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37486494-04FE-4DDF-9E24-CF2AF8ABB5B8}" name="PivotTable4" cacheId="72" dataOnRows="1"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M1:O15" firstHeaderRow="1" firstDataRow="2" firstDataCol="1"/>
  <pivotFields count="65">
    <pivotField showAll="0"/>
    <pivotField showAll="0"/>
    <pivotField showAll="0"/>
    <pivotField showAll="0"/>
    <pivotField showAll="0"/>
    <pivotField showAll="0"/>
    <pivotField showAll="0"/>
    <pivotField numFmtId="167" showAll="0"/>
    <pivotField axis="axisCol" showAll="0">
      <items count="5">
        <item h="1" x="0"/>
        <item h="1" x="1"/>
        <item h="1" x="2"/>
        <item x="3"/>
        <item t="default"/>
      </items>
    </pivotField>
    <pivotField dataField="1" numFmtId="167" showAll="0"/>
    <pivotField dataField="1" numFmtId="167" showAll="0"/>
    <pivotField dataField="1" showAll="0"/>
    <pivotField dataField="1" numFmtId="167" showAll="0"/>
    <pivotField dataField="1" numFmtId="167" showAll="0"/>
    <pivotField dataField="1" numFmtId="167" showAll="0"/>
    <pivotField dataField="1" numFmtId="167" showAll="0"/>
    <pivotField dataField="1" numFmtId="167" showAll="0"/>
    <pivotField dataField="1" numFmtId="167" showAll="0"/>
    <pivotField dataField="1" numFmtId="167" showAll="0"/>
    <pivotField dataField="1" numFmtId="167" showAll="0"/>
    <pivotField dataField="1" numFmtId="167" showAll="0"/>
    <pivotField showAll="0"/>
    <pivotField showAll="0"/>
    <pivotField showAll="0"/>
    <pivotField showAll="0"/>
    <pivotField showAll="0"/>
    <pivotField showAll="0"/>
    <pivotField showAll="0"/>
    <pivotField showAll="0"/>
    <pivotField showAll="0"/>
    <pivotField showAll="0"/>
    <pivotField showAll="0"/>
    <pivotField showAll="0"/>
    <pivotField numFmtId="166"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67" showAll="0"/>
    <pivotField showAll="0"/>
    <pivotField showAll="0"/>
    <pivotField numFmtId="167" showAll="0"/>
    <pivotField showAll="0"/>
    <pivotField dataField="1" numFmtId="166" showAll="0"/>
    <pivotField showAll="0"/>
    <pivotField showAll="0">
      <items count="6">
        <item x="2"/>
        <item x="1"/>
        <item x="0"/>
        <item x="3"/>
        <item f="1" x="4"/>
        <item t="default"/>
      </items>
    </pivotField>
    <pivotField numFmtId="166" showAll="0"/>
    <pivotField numFmtId="166" showAll="0"/>
    <pivotField numFmtId="166" showAll="0"/>
    <pivotField numFmtId="166" showAll="0"/>
  </pivotFields>
  <rowFields count="1">
    <field x="-2"/>
  </rowFields>
  <rowItems count="13">
    <i>
      <x/>
    </i>
    <i i="1">
      <x v="1"/>
    </i>
    <i i="2">
      <x v="2"/>
    </i>
    <i i="3">
      <x v="3"/>
    </i>
    <i i="4">
      <x v="4"/>
    </i>
    <i i="5">
      <x v="5"/>
    </i>
    <i i="6">
      <x v="6"/>
    </i>
    <i i="7">
      <x v="7"/>
    </i>
    <i i="8">
      <x v="8"/>
    </i>
    <i i="9">
      <x v="9"/>
    </i>
    <i i="10">
      <x v="10"/>
    </i>
    <i i="11">
      <x v="11"/>
    </i>
    <i i="12">
      <x v="12"/>
    </i>
  </rowItems>
  <colFields count="1">
    <field x="8"/>
  </colFields>
  <colItems count="2">
    <i>
      <x v="3"/>
    </i>
    <i t="grand">
      <x/>
    </i>
  </colItems>
  <dataFields count="13">
    <dataField name="Sum of Education" fld="10" baseField="0" baseItem="0"/>
    <dataField name="Sum of Food Security and Livlihoods" fld="11" baseField="0" baseItem="0"/>
    <dataField name="Sum of Health " fld="12" baseField="0" baseItem="0"/>
    <dataField name="Sum of Nutrition" fld="13" baseField="0" baseItem="0"/>
    <dataField name="Sum of Protection" fld="14" baseField="0" baseItem="0"/>
    <dataField name="Sum of CP" fld="17" baseField="0" baseItem="0"/>
    <dataField name="Sum of GBV" fld="18" baseField="0" baseItem="0"/>
    <dataField name="Sum of General Protection" fld="20" baseField="0" baseItem="0"/>
    <dataField name="Sum of Mine Action" fld="19" baseField="0" baseItem="0"/>
    <dataField name="Sum of Shelter NFI " fld="15" baseField="0" baseItem="0"/>
    <dataField name="Sum of Site Management " fld="9" baseField="0" baseItem="0"/>
    <dataField name="Sum of WASH" fld="16" baseField="0" baseItem="0"/>
    <dataField name="Sum of Final PiN" fld="58" baseField="0" baseItem="0"/>
  </dataFields>
  <formats count="1">
    <format dxfId="187">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C2066FD5-2B96-4769-858D-9CBB93C6F07E}" name="PivotTable1" cacheId="72" applyNumberFormats="0" applyBorderFormats="0" applyFontFormats="0" applyPatternFormats="0" applyAlignmentFormats="0" applyWidthHeightFormats="1" dataCaption="Values" updatedVersion="8" minRefreshableVersion="3" useAutoFormatting="1" rowGrandTotals="0" colGrandTotals="0" itemPrintTitles="1" createdVersion="8" indent="0" compact="0" compactData="0" multipleFieldFilters="0">
  <location ref="A3:D68" firstHeaderRow="1" firstDataRow="1" firstDataCol="3" rowPageCount="1" colPageCount="1"/>
  <pivotFields count="65">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19">
        <item h="1" x="18"/>
        <item h="1" x="14"/>
        <item h="1" x="7"/>
        <item x="5"/>
        <item x="4"/>
        <item h="1" x="11"/>
        <item h="1" x="10"/>
        <item h="1" x="0"/>
        <item x="1"/>
        <item h="1" x="12"/>
        <item h="1" x="16"/>
        <item h="1" x="9"/>
        <item h="1" x="15"/>
        <item h="1" x="13"/>
        <item x="2"/>
        <item h="1" x="6"/>
        <item x="3"/>
        <item h="1" x="17"/>
        <item h="1" x="8"/>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189">
        <item x="73"/>
        <item x="159"/>
        <item x="144"/>
        <item x="54"/>
        <item x="71"/>
        <item x="58"/>
        <item x="83"/>
        <item x="175"/>
        <item x="179"/>
        <item x="187"/>
        <item x="171"/>
        <item x="146"/>
        <item x="162"/>
        <item x="147"/>
        <item x="95"/>
        <item x="55"/>
        <item x="53"/>
        <item x="46"/>
        <item x="113"/>
        <item x="102"/>
        <item x="165"/>
        <item x="81"/>
        <item x="168"/>
        <item x="125"/>
        <item x="183"/>
        <item x="126"/>
        <item x="127"/>
        <item x="8"/>
        <item x="57"/>
        <item x="130"/>
        <item x="110"/>
        <item x="101"/>
        <item x="170"/>
        <item x="155"/>
        <item x="184"/>
        <item x="156"/>
        <item x="185"/>
        <item x="9"/>
        <item x="90"/>
        <item x="182"/>
        <item x="21"/>
        <item x="84"/>
        <item x="134"/>
        <item x="10"/>
        <item x="157"/>
        <item x="160"/>
        <item x="186"/>
        <item x="76"/>
        <item x="158"/>
        <item x="128"/>
        <item x="24"/>
        <item x="188"/>
        <item x="31"/>
        <item x="174"/>
        <item x="136"/>
        <item x="75"/>
        <item x="79"/>
        <item x="91"/>
        <item x="42"/>
        <item x="178"/>
        <item x="100"/>
        <item x="11"/>
        <item x="148"/>
        <item x="35"/>
        <item x="180"/>
        <item x="60"/>
        <item x="92"/>
        <item x="85"/>
        <item x="12"/>
        <item x="23"/>
        <item x="163"/>
        <item x="62"/>
        <item x="181"/>
        <item x="59"/>
        <item x="2"/>
        <item x="140"/>
        <item x="164"/>
        <item x="129"/>
        <item x="88"/>
        <item x="45"/>
        <item x="40"/>
        <item x="63"/>
        <item x="39"/>
        <item x="44"/>
        <item x="7"/>
        <item x="86"/>
        <item x="167"/>
        <item x="77"/>
        <item x="169"/>
        <item x="104"/>
        <item x="25"/>
        <item x="89"/>
        <item x="47"/>
        <item x="131"/>
        <item x="135"/>
        <item x="141"/>
        <item x="93"/>
        <item x="33"/>
        <item x="87"/>
        <item x="143"/>
        <item x="65"/>
        <item x="173"/>
        <item x="103"/>
        <item x="82"/>
        <item x="48"/>
        <item x="107"/>
        <item x="166"/>
        <item x="114"/>
        <item x="111"/>
        <item x="78"/>
        <item x="152"/>
        <item x="0"/>
        <item x="49"/>
        <item x="108"/>
        <item x="80"/>
        <item x="4"/>
        <item x="26"/>
        <item x="38"/>
        <item x="14"/>
        <item x="177"/>
        <item x="15"/>
        <item x="50"/>
        <item x="20"/>
        <item x="6"/>
        <item x="98"/>
        <item x="36"/>
        <item x="51"/>
        <item x="16"/>
        <item x="132"/>
        <item x="115"/>
        <item x="151"/>
        <item x="17"/>
        <item x="27"/>
        <item x="172"/>
        <item x="64"/>
        <item x="32"/>
        <item x="43"/>
        <item x="41"/>
        <item x="105"/>
        <item x="97"/>
        <item x="37"/>
        <item x="117"/>
        <item x="116"/>
        <item x="120"/>
        <item x="118"/>
        <item x="122"/>
        <item x="124"/>
        <item x="119"/>
        <item x="121"/>
        <item x="123"/>
        <item x="18"/>
        <item x="109"/>
        <item x="145"/>
        <item x="66"/>
        <item x="29"/>
        <item x="154"/>
        <item x="3"/>
        <item x="149"/>
        <item x="34"/>
        <item x="138"/>
        <item x="161"/>
        <item x="56"/>
        <item x="150"/>
        <item x="112"/>
        <item x="52"/>
        <item x="139"/>
        <item x="72"/>
        <item x="22"/>
        <item x="106"/>
        <item x="99"/>
        <item x="30"/>
        <item x="153"/>
        <item x="1"/>
        <item x="13"/>
        <item x="28"/>
        <item x="142"/>
        <item x="67"/>
        <item x="74"/>
        <item x="5"/>
        <item x="19"/>
        <item x="137"/>
        <item x="96"/>
        <item x="94"/>
        <item x="176"/>
        <item x="68"/>
        <item x="133"/>
        <item x="70"/>
        <item x="61"/>
        <item x="69"/>
      </items>
      <extLst>
        <ext xmlns:x14="http://schemas.microsoft.com/office/spreadsheetml/2009/9/main" uri="{2946ED86-A175-432a-8AC1-64E0C546D7DE}">
          <x14:pivotField fillDownLabels="1"/>
        </ext>
      </extLst>
    </pivotField>
    <pivotField axis="axisRow" compact="0" outline="0" showAll="0" defaultSubtotal="0">
      <items count="190">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67" outline="0" showAll="0" defaultSubtotal="0">
      <extLst>
        <ext xmlns:x14="http://schemas.microsoft.com/office/spreadsheetml/2009/9/main" uri="{2946ED86-A175-432a-8AC1-64E0C546D7DE}">
          <x14:pivotField fillDownLabels="1"/>
        </ext>
      </extLst>
    </pivotField>
    <pivotField axis="axisPage" compact="0" outline="0" multipleItemSelectionAllowed="1" showAll="0" defaultSubtotal="0">
      <items count="4">
        <item x="0"/>
        <item x="1"/>
        <item x="2"/>
        <item x="3"/>
      </items>
      <extLst>
        <ext xmlns:x14="http://schemas.microsoft.com/office/spreadsheetml/2009/9/main" uri="{2946ED86-A175-432a-8AC1-64E0C546D7DE}">
          <x14:pivotField fillDownLabels="1"/>
        </ext>
      </extLst>
    </pivotField>
    <pivotField compact="0" numFmtId="167" outline="0" showAll="0" defaultSubtotal="0">
      <extLst>
        <ext xmlns:x14="http://schemas.microsoft.com/office/spreadsheetml/2009/9/main" uri="{2946ED86-A175-432a-8AC1-64E0C546D7DE}">
          <x14:pivotField fillDownLabels="1"/>
        </ext>
      </extLst>
    </pivotField>
    <pivotField compact="0" numFmtId="167"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67" outline="0" showAll="0" defaultSubtotal="0">
      <extLst>
        <ext xmlns:x14="http://schemas.microsoft.com/office/spreadsheetml/2009/9/main" uri="{2946ED86-A175-432a-8AC1-64E0C546D7DE}">
          <x14:pivotField fillDownLabels="1"/>
        </ext>
      </extLst>
    </pivotField>
    <pivotField compact="0" numFmtId="167" outline="0" showAll="0" defaultSubtotal="0">
      <extLst>
        <ext xmlns:x14="http://schemas.microsoft.com/office/spreadsheetml/2009/9/main" uri="{2946ED86-A175-432a-8AC1-64E0C546D7DE}">
          <x14:pivotField fillDownLabels="1"/>
        </ext>
      </extLst>
    </pivotField>
    <pivotField compact="0" numFmtId="167" outline="0" showAll="0" defaultSubtotal="0">
      <extLst>
        <ext xmlns:x14="http://schemas.microsoft.com/office/spreadsheetml/2009/9/main" uri="{2946ED86-A175-432a-8AC1-64E0C546D7DE}">
          <x14:pivotField fillDownLabels="1"/>
        </ext>
      </extLst>
    </pivotField>
    <pivotField compact="0" numFmtId="167" outline="0" showAll="0" defaultSubtotal="0">
      <extLst>
        <ext xmlns:x14="http://schemas.microsoft.com/office/spreadsheetml/2009/9/main" uri="{2946ED86-A175-432a-8AC1-64E0C546D7DE}">
          <x14:pivotField fillDownLabels="1"/>
        </ext>
      </extLst>
    </pivotField>
    <pivotField compact="0" numFmtId="167" outline="0" showAll="0" defaultSubtotal="0">
      <extLst>
        <ext xmlns:x14="http://schemas.microsoft.com/office/spreadsheetml/2009/9/main" uri="{2946ED86-A175-432a-8AC1-64E0C546D7DE}">
          <x14:pivotField fillDownLabels="1"/>
        </ext>
      </extLst>
    </pivotField>
    <pivotField compact="0" numFmtId="167" outline="0" showAll="0" defaultSubtotal="0">
      <extLst>
        <ext xmlns:x14="http://schemas.microsoft.com/office/spreadsheetml/2009/9/main" uri="{2946ED86-A175-432a-8AC1-64E0C546D7DE}">
          <x14:pivotField fillDownLabels="1"/>
        </ext>
      </extLst>
    </pivotField>
    <pivotField compact="0" numFmtId="167" outline="0" showAll="0" defaultSubtotal="0">
      <extLst>
        <ext xmlns:x14="http://schemas.microsoft.com/office/spreadsheetml/2009/9/main" uri="{2946ED86-A175-432a-8AC1-64E0C546D7DE}">
          <x14:pivotField fillDownLabels="1"/>
        </ext>
      </extLst>
    </pivotField>
    <pivotField compact="0" numFmtId="167" outline="0" showAll="0" defaultSubtotal="0">
      <extLst>
        <ext xmlns:x14="http://schemas.microsoft.com/office/spreadsheetml/2009/9/main" uri="{2946ED86-A175-432a-8AC1-64E0C546D7DE}">
          <x14:pivotField fillDownLabels="1"/>
        </ext>
      </extLst>
    </pivotField>
    <pivotField compact="0" numFmtId="167"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66"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67"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67"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dataField="1" compact="0" numFmtId="166"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items count="5">
        <item x="2"/>
        <item x="1"/>
        <item x="0"/>
        <item x="3"/>
        <item f="1" x="4"/>
      </items>
      <extLst>
        <ext xmlns:x14="http://schemas.microsoft.com/office/spreadsheetml/2009/9/main" uri="{2946ED86-A175-432a-8AC1-64E0C546D7DE}">
          <x14:pivotField fillDownLabels="1"/>
        </ext>
      </extLst>
    </pivotField>
    <pivotField compact="0" numFmtId="166" outline="0" showAll="0" defaultSubtotal="0">
      <extLst>
        <ext xmlns:x14="http://schemas.microsoft.com/office/spreadsheetml/2009/9/main" uri="{2946ED86-A175-432a-8AC1-64E0C546D7DE}">
          <x14:pivotField fillDownLabels="1"/>
        </ext>
      </extLst>
    </pivotField>
    <pivotField compact="0" numFmtId="166" outline="0" showAll="0" defaultSubtotal="0">
      <extLst>
        <ext xmlns:x14="http://schemas.microsoft.com/office/spreadsheetml/2009/9/main" uri="{2946ED86-A175-432a-8AC1-64E0C546D7DE}">
          <x14:pivotField fillDownLabels="1"/>
        </ext>
      </extLst>
    </pivotField>
    <pivotField compact="0" numFmtId="166" outline="0" showAll="0" defaultSubtotal="0">
      <extLst>
        <ext xmlns:x14="http://schemas.microsoft.com/office/spreadsheetml/2009/9/main" uri="{2946ED86-A175-432a-8AC1-64E0C546D7DE}">
          <x14:pivotField fillDownLabels="1"/>
        </ext>
      </extLst>
    </pivotField>
    <pivotField compact="0" numFmtId="166" outline="0" showAll="0" defaultSubtotal="0">
      <extLst>
        <ext xmlns:x14="http://schemas.microsoft.com/office/spreadsheetml/2009/9/main" uri="{2946ED86-A175-432a-8AC1-64E0C546D7DE}">
          <x14:pivotField fillDownLabels="1"/>
        </ext>
      </extLst>
    </pivotField>
  </pivotFields>
  <rowFields count="3">
    <field x="1"/>
    <field x="4"/>
    <field x="3"/>
  </rowFields>
  <rowItems count="65">
    <i>
      <x v="3"/>
      <x v="62"/>
      <x v="71"/>
    </i>
    <i r="1">
      <x v="63"/>
      <x v="81"/>
    </i>
    <i r="1">
      <x v="64"/>
      <x v="134"/>
    </i>
    <i r="1">
      <x v="65"/>
      <x v="100"/>
    </i>
    <i r="1">
      <x v="66"/>
      <x v="153"/>
    </i>
    <i r="1">
      <x v="67"/>
      <x v="176"/>
    </i>
    <i r="1">
      <x v="68"/>
      <x v="184"/>
    </i>
    <i r="1">
      <x v="69"/>
      <x v="188"/>
    </i>
    <i r="1">
      <x v="70"/>
      <x v="186"/>
    </i>
    <i>
      <x v="4"/>
      <x v="53"/>
      <x v="16"/>
    </i>
    <i r="1">
      <x v="54"/>
      <x v="3"/>
    </i>
    <i r="1">
      <x v="55"/>
      <x v="15"/>
    </i>
    <i r="1">
      <x v="56"/>
      <x v="161"/>
    </i>
    <i r="1">
      <x v="57"/>
      <x v="28"/>
    </i>
    <i r="1">
      <x v="58"/>
      <x v="5"/>
    </i>
    <i r="1">
      <x v="59"/>
      <x v="73"/>
    </i>
    <i r="1">
      <x v="60"/>
      <x v="65"/>
    </i>
    <i r="1">
      <x v="61"/>
      <x v="187"/>
    </i>
    <i>
      <x v="8"/>
      <x v="7"/>
      <x v="84"/>
    </i>
    <i r="1">
      <x v="8"/>
      <x v="27"/>
    </i>
    <i r="1">
      <x v="9"/>
      <x v="37"/>
    </i>
    <i r="1">
      <x v="10"/>
      <x v="43"/>
    </i>
    <i r="1">
      <x v="11"/>
      <x v="61"/>
    </i>
    <i r="1">
      <x v="12"/>
      <x v="68"/>
    </i>
    <i r="1">
      <x v="13"/>
      <x v="173"/>
    </i>
    <i r="1">
      <x v="14"/>
      <x v="118"/>
    </i>
    <i r="1">
      <x v="15"/>
      <x v="120"/>
    </i>
    <i r="1">
      <x v="16"/>
      <x v="127"/>
    </i>
    <i r="1">
      <x v="17"/>
      <x v="131"/>
    </i>
    <i r="1">
      <x v="18"/>
      <x v="150"/>
    </i>
    <i r="1">
      <x v="19"/>
      <x v="179"/>
    </i>
    <i r="1">
      <x v="20"/>
      <x v="122"/>
    </i>
    <i r="1">
      <x v="21"/>
      <x v="40"/>
    </i>
    <i r="1">
      <x v="22"/>
      <x v="167"/>
    </i>
    <i r="1">
      <x v="23"/>
      <x v="69"/>
    </i>
    <i r="1">
      <x v="189"/>
      <x v="51"/>
    </i>
    <i>
      <x v="14"/>
      <x v="24"/>
      <x v="50"/>
    </i>
    <i r="1">
      <x v="25"/>
      <x v="90"/>
    </i>
    <i r="1">
      <x v="26"/>
      <x v="116"/>
    </i>
    <i r="1">
      <x v="27"/>
      <x v="132"/>
    </i>
    <i r="1">
      <x v="28"/>
      <x v="174"/>
    </i>
    <i r="1">
      <x v="29"/>
      <x v="154"/>
    </i>
    <i r="1">
      <x v="30"/>
      <x v="170"/>
    </i>
    <i r="1">
      <x v="31"/>
      <x v="52"/>
    </i>
    <i r="1">
      <x v="32"/>
      <x v="135"/>
    </i>
    <i r="1">
      <x v="33"/>
      <x v="97"/>
    </i>
    <i r="1">
      <x v="34"/>
      <x v="158"/>
    </i>
    <i r="1">
      <x v="35"/>
      <x v="63"/>
    </i>
    <i r="1">
      <x v="36"/>
      <x v="125"/>
    </i>
    <i r="1">
      <x v="37"/>
      <x v="140"/>
    </i>
    <i r="1">
      <x v="38"/>
      <x v="117"/>
    </i>
    <i r="1">
      <x v="39"/>
      <x v="82"/>
    </i>
    <i r="1">
      <x v="40"/>
      <x v="80"/>
    </i>
    <i r="1">
      <x v="41"/>
      <x v="137"/>
    </i>
    <i r="1">
      <x v="42"/>
      <x v="58"/>
    </i>
    <i r="1">
      <x v="43"/>
      <x v="136"/>
    </i>
    <i r="1">
      <x v="44"/>
      <x v="83"/>
    </i>
    <i>
      <x v="16"/>
      <x v="45"/>
      <x v="79"/>
    </i>
    <i r="1">
      <x v="46"/>
      <x v="17"/>
    </i>
    <i r="1">
      <x v="47"/>
      <x v="92"/>
    </i>
    <i r="1">
      <x v="48"/>
      <x v="104"/>
    </i>
    <i r="1">
      <x v="49"/>
      <x v="112"/>
    </i>
    <i r="1">
      <x v="50"/>
      <x v="121"/>
    </i>
    <i r="1">
      <x v="51"/>
      <x v="126"/>
    </i>
    <i r="1">
      <x v="52"/>
      <x v="164"/>
    </i>
  </rowItems>
  <colItems count="1">
    <i/>
  </colItems>
  <pageFields count="1">
    <pageField fld="8" hier="-1"/>
  </pageFields>
  <dataFields count="1">
    <dataField name="Sum of Final PiN" fld="58"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nabledSubtotalsDefault="0" SubtotalsOnTopDefault="0"/>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8FAFA770-E7CE-4BDF-AD1E-3223248A496D}" name="PivotTable4" cacheId="74"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J4:K9" firstHeaderRow="1" firstDataRow="1" firstDataCol="1"/>
  <pivotFields count="4">
    <pivotField showAll="0"/>
    <pivotField showAll="0"/>
    <pivotField dataField="1" showAll="0"/>
    <pivotField axis="axisRow" showAll="0">
      <items count="5">
        <item x="3"/>
        <item x="2"/>
        <item x="0"/>
        <item x="1"/>
        <item t="default"/>
      </items>
    </pivotField>
  </pivotFields>
  <rowFields count="1">
    <field x="3"/>
  </rowFields>
  <rowItems count="5">
    <i>
      <x/>
    </i>
    <i>
      <x v="1"/>
    </i>
    <i>
      <x v="2"/>
    </i>
    <i>
      <x v="3"/>
    </i>
    <i t="grand">
      <x/>
    </i>
  </rowItems>
  <colItems count="1">
    <i/>
  </colItems>
  <dataFields count="1">
    <dataField name="Sum of Sum of Final PiN" fld="2" baseField="0" baseItem="0" numFmtId="167"/>
  </dataFields>
  <formats count="1">
    <format dxfId="138">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11F253B0-EE76-4530-BFFF-88239D4D868B}" name="PivotTable2" cacheId="75"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A3:C194" firstHeaderRow="1" firstDataRow="1" firstDataCol="2"/>
  <pivotFields count="8">
    <pivotField dataField="1" showAll="0"/>
    <pivotField showAll="0"/>
    <pivotField showAll="0"/>
    <pivotField axis="axisRow" showAll="0">
      <items count="190">
        <item x="141"/>
        <item x="106"/>
        <item x="113"/>
        <item x="25"/>
        <item x="142"/>
        <item x="26"/>
        <item x="143"/>
        <item x="166"/>
        <item x="167"/>
        <item x="0"/>
        <item x="89"/>
        <item x="114"/>
        <item x="107"/>
        <item x="115"/>
        <item x="180"/>
        <item x="27"/>
        <item x="28"/>
        <item x="158"/>
        <item x="96"/>
        <item x="181"/>
        <item x="108"/>
        <item x="144"/>
        <item x="90"/>
        <item x="34"/>
        <item x="168"/>
        <item x="35"/>
        <item x="36"/>
        <item x="64"/>
        <item x="29"/>
        <item x="37"/>
        <item x="97"/>
        <item x="182"/>
        <item x="91"/>
        <item x="1"/>
        <item x="169"/>
        <item x="2"/>
        <item x="170"/>
        <item x="65"/>
        <item x="9"/>
        <item x="171"/>
        <item x="66"/>
        <item x="145"/>
        <item x="38"/>
        <item x="67"/>
        <item x="3"/>
        <item x="109"/>
        <item x="172"/>
        <item x="146"/>
        <item x="4"/>
        <item x="39"/>
        <item x="120"/>
        <item x="81"/>
        <item x="121"/>
        <item x="173"/>
        <item x="40"/>
        <item x="147"/>
        <item x="148"/>
        <item x="10"/>
        <item x="122"/>
        <item x="174"/>
        <item x="183"/>
        <item x="68"/>
        <item x="116"/>
        <item x="123"/>
        <item x="175"/>
        <item x="30"/>
        <item x="11"/>
        <item x="149"/>
        <item x="69"/>
        <item x="70"/>
        <item x="110"/>
        <item x="16"/>
        <item x="176"/>
        <item x="31"/>
        <item x="57"/>
        <item x="82"/>
        <item x="111"/>
        <item x="41"/>
        <item x="12"/>
        <item x="159"/>
        <item x="124"/>
        <item x="17"/>
        <item x="125"/>
        <item x="126"/>
        <item x="71"/>
        <item x="150"/>
        <item x="92"/>
        <item x="151"/>
        <item x="93"/>
        <item x="98"/>
        <item x="127"/>
        <item x="13"/>
        <item x="160"/>
        <item x="42"/>
        <item x="43"/>
        <item x="83"/>
        <item x="14"/>
        <item x="128"/>
        <item x="152"/>
        <item x="84"/>
        <item x="18"/>
        <item x="177"/>
        <item x="184"/>
        <item x="153"/>
        <item x="161"/>
        <item x="99"/>
        <item x="94"/>
        <item x="46"/>
        <item x="100"/>
        <item x="154"/>
        <item x="5"/>
        <item x="58"/>
        <item x="162"/>
        <item x="101"/>
        <item x="155"/>
        <item x="59"/>
        <item x="129"/>
        <item x="130"/>
        <item x="72"/>
        <item x="178"/>
        <item x="73"/>
        <item x="163"/>
        <item x="74"/>
        <item x="60"/>
        <item x="185"/>
        <item x="131"/>
        <item x="164"/>
        <item x="75"/>
        <item x="44"/>
        <item x="47"/>
        <item x="6"/>
        <item x="76"/>
        <item x="132"/>
        <item x="95"/>
        <item x="19"/>
        <item x="133"/>
        <item x="134"/>
        <item x="135"/>
        <item x="102"/>
        <item x="186"/>
        <item x="136"/>
        <item x="48"/>
        <item x="49"/>
        <item x="50"/>
        <item x="51"/>
        <item x="52"/>
        <item x="53"/>
        <item x="54"/>
        <item x="55"/>
        <item x="56"/>
        <item x="77"/>
        <item x="103"/>
        <item x="117"/>
        <item x="20"/>
        <item x="137"/>
        <item x="7"/>
        <item x="61"/>
        <item x="118"/>
        <item x="138"/>
        <item x="85"/>
        <item x="112"/>
        <item x="32"/>
        <item x="119"/>
        <item x="104"/>
        <item x="165"/>
        <item x="86"/>
        <item x="156"/>
        <item x="78"/>
        <item x="105"/>
        <item x="187"/>
        <item x="139"/>
        <item x="8"/>
        <item x="62"/>
        <item x="79"/>
        <item x="140"/>
        <item x="87"/>
        <item x="21"/>
        <item x="157"/>
        <item x="63"/>
        <item x="80"/>
        <item x="88"/>
        <item x="188"/>
        <item x="15"/>
        <item x="179"/>
        <item x="22"/>
        <item x="45"/>
        <item x="23"/>
        <item x="33"/>
        <item x="24"/>
        <item t="default"/>
      </items>
    </pivotField>
    <pivotField axis="axisRow" outline="0" showAll="0" defaultSubtotal="0">
      <items count="190">
        <item x="58"/>
        <item x="62"/>
        <item x="57"/>
        <item x="61"/>
        <item x="59"/>
        <item x="63"/>
        <item x="60"/>
        <item x="71"/>
        <item x="64"/>
        <item x="65"/>
        <item x="67"/>
        <item x="68"/>
        <item x="69"/>
        <item x="79"/>
        <item x="72"/>
        <item x="73"/>
        <item x="75"/>
        <item x="76"/>
        <item x="77"/>
        <item x="80"/>
        <item x="74"/>
        <item x="66"/>
        <item x="78"/>
        <item x="70"/>
        <item x="121"/>
        <item x="128"/>
        <item x="130"/>
        <item x="133"/>
        <item x="141"/>
        <item x="138"/>
        <item x="140"/>
        <item x="122"/>
        <item x="134"/>
        <item x="129"/>
        <item x="139"/>
        <item x="124"/>
        <item x="132"/>
        <item x="137"/>
        <item x="131"/>
        <item x="126"/>
        <item x="125"/>
        <item x="136"/>
        <item x="123"/>
        <item x="135"/>
        <item x="127"/>
        <item x="160"/>
        <item x="159"/>
        <item x="161"/>
        <item x="162"/>
        <item x="163"/>
        <item x="164"/>
        <item x="165"/>
        <item x="166"/>
        <item x="28"/>
        <item x="25"/>
        <item x="27"/>
        <item x="32"/>
        <item x="29"/>
        <item x="26"/>
        <item x="31"/>
        <item x="30"/>
        <item x="33"/>
        <item x="16"/>
        <item x="17"/>
        <item x="19"/>
        <item x="18"/>
        <item x="20"/>
        <item x="21"/>
        <item x="22"/>
        <item x="24"/>
        <item x="23"/>
        <item x="143"/>
        <item x="157"/>
        <item x="142"/>
        <item x="158"/>
        <item x="148"/>
        <item x="147"/>
        <item x="152"/>
        <item x="155"/>
        <item x="149"/>
        <item x="156"/>
        <item x="145"/>
        <item x="154"/>
        <item x="144"/>
        <item x="146"/>
        <item x="150"/>
        <item x="151"/>
        <item x="153"/>
        <item x="12"/>
        <item x="13"/>
        <item x="9"/>
        <item x="10"/>
        <item x="11"/>
        <item x="14"/>
        <item x="15"/>
        <item x="181"/>
        <item x="189"/>
        <item x="187"/>
        <item x="186"/>
        <item x="188"/>
        <item x="184"/>
        <item x="183"/>
        <item x="182"/>
        <item x="185"/>
        <item x="99"/>
        <item x="103"/>
        <item x="106"/>
        <item x="100"/>
        <item x="102"/>
        <item x="104"/>
        <item x="98"/>
        <item x="101"/>
        <item x="105"/>
        <item x="97"/>
        <item x="46"/>
        <item x="47"/>
        <item x="49"/>
        <item x="48"/>
        <item x="51"/>
        <item x="54"/>
        <item x="50"/>
        <item x="55"/>
        <item x="52"/>
        <item x="56"/>
        <item x="53"/>
        <item x="34"/>
        <item x="35"/>
        <item x="36"/>
        <item x="39"/>
        <item x="41"/>
        <item x="37"/>
        <item x="42"/>
        <item x="44"/>
        <item x="45"/>
        <item x="38"/>
        <item x="43"/>
        <item x="40"/>
        <item x="89"/>
        <item x="86"/>
        <item x="87"/>
        <item x="83"/>
        <item x="84"/>
        <item x="88"/>
        <item x="85"/>
        <item x="82"/>
        <item x="114"/>
        <item x="118"/>
        <item x="115"/>
        <item x="116"/>
        <item x="117"/>
        <item x="119"/>
        <item x="120"/>
        <item x="6"/>
        <item x="5"/>
        <item x="8"/>
        <item x="7"/>
        <item x="1"/>
        <item x="2"/>
        <item x="3"/>
        <item x="4"/>
        <item x="107"/>
        <item x="110"/>
        <item x="113"/>
        <item x="108"/>
        <item x="111"/>
        <item x="112"/>
        <item x="109"/>
        <item x="95"/>
        <item x="93"/>
        <item x="91"/>
        <item x="94"/>
        <item x="92"/>
        <item x="90"/>
        <item x="96"/>
        <item x="178"/>
        <item x="174"/>
        <item x="167"/>
        <item x="180"/>
        <item x="179"/>
        <item x="175"/>
        <item x="168"/>
        <item x="176"/>
        <item x="177"/>
        <item x="172"/>
        <item x="169"/>
        <item x="170"/>
        <item x="171"/>
        <item x="173"/>
        <item x="0"/>
        <item x="81"/>
      </items>
      <extLst>
        <ext xmlns:x14="http://schemas.microsoft.com/office/spreadsheetml/2009/9/main" uri="{2946ED86-A175-432a-8AC1-64E0C546D7DE}">
          <x14:pivotField fillDownLabels="1"/>
        </ext>
      </extLst>
    </pivotField>
    <pivotField showAll="0"/>
    <pivotField showAll="0"/>
    <pivotField numFmtId="167" showAll="0"/>
  </pivotFields>
  <rowFields count="2">
    <field x="4"/>
    <field x="3"/>
  </rowFields>
  <rowItems count="191">
    <i>
      <x/>
      <x v="111"/>
    </i>
    <i>
      <x v="1"/>
      <x v="172"/>
    </i>
    <i>
      <x v="2"/>
      <x v="74"/>
    </i>
    <i>
      <x v="3"/>
      <x v="156"/>
    </i>
    <i>
      <x v="4"/>
      <x v="115"/>
    </i>
    <i>
      <x v="5"/>
      <x v="178"/>
    </i>
    <i>
      <x v="6"/>
      <x v="123"/>
    </i>
    <i>
      <x v="7"/>
      <x v="84"/>
    </i>
    <i>
      <x v="8"/>
      <x v="27"/>
    </i>
    <i>
      <x v="9"/>
      <x v="37"/>
    </i>
    <i>
      <x v="10"/>
      <x v="43"/>
    </i>
    <i>
      <x v="11"/>
      <x v="61"/>
    </i>
    <i>
      <x v="12"/>
      <x v="68"/>
    </i>
    <i>
      <x v="13"/>
      <x v="173"/>
    </i>
    <i>
      <x v="14"/>
      <x v="118"/>
    </i>
    <i>
      <x v="15"/>
      <x v="120"/>
    </i>
    <i>
      <x v="16"/>
      <x v="127"/>
    </i>
    <i>
      <x v="17"/>
      <x v="131"/>
    </i>
    <i>
      <x v="18"/>
      <x v="150"/>
    </i>
    <i>
      <x v="19"/>
      <x v="179"/>
    </i>
    <i>
      <x v="20"/>
      <x v="122"/>
    </i>
    <i>
      <x v="21"/>
      <x v="40"/>
    </i>
    <i>
      <x v="22"/>
      <x v="167"/>
    </i>
    <i>
      <x v="23"/>
      <x v="69"/>
    </i>
    <i>
      <x v="24"/>
      <x v="50"/>
    </i>
    <i>
      <x v="25"/>
      <x v="90"/>
    </i>
    <i>
      <x v="26"/>
      <x v="116"/>
    </i>
    <i>
      <x v="27"/>
      <x v="132"/>
    </i>
    <i>
      <x v="28"/>
      <x v="174"/>
    </i>
    <i>
      <x v="29"/>
      <x v="154"/>
    </i>
    <i>
      <x v="30"/>
      <x v="170"/>
    </i>
    <i>
      <x v="31"/>
      <x v="52"/>
    </i>
    <i>
      <x v="32"/>
      <x v="135"/>
    </i>
    <i>
      <x v="33"/>
      <x v="97"/>
    </i>
    <i>
      <x v="34"/>
      <x v="158"/>
    </i>
    <i>
      <x v="35"/>
      <x v="63"/>
    </i>
    <i>
      <x v="36"/>
      <x v="125"/>
    </i>
    <i>
      <x v="37"/>
      <x v="140"/>
    </i>
    <i>
      <x v="38"/>
      <x v="117"/>
    </i>
    <i>
      <x v="39"/>
      <x v="82"/>
    </i>
    <i>
      <x v="40"/>
      <x v="80"/>
    </i>
    <i>
      <x v="41"/>
      <x v="137"/>
    </i>
    <i>
      <x v="42"/>
      <x v="58"/>
    </i>
    <i>
      <x v="43"/>
      <x v="136"/>
    </i>
    <i>
      <x v="44"/>
      <x v="83"/>
    </i>
    <i>
      <x v="45"/>
      <x v="79"/>
    </i>
    <i>
      <x v="46"/>
      <x v="17"/>
    </i>
    <i>
      <x v="47"/>
      <x v="92"/>
    </i>
    <i>
      <x v="48"/>
      <x v="104"/>
    </i>
    <i>
      <x v="49"/>
      <x v="112"/>
    </i>
    <i>
      <x v="50"/>
      <x v="121"/>
    </i>
    <i>
      <x v="51"/>
      <x v="126"/>
    </i>
    <i>
      <x v="52"/>
      <x v="164"/>
    </i>
    <i>
      <x v="53"/>
      <x v="16"/>
    </i>
    <i>
      <x v="54"/>
      <x v="3"/>
    </i>
    <i>
      <x v="55"/>
      <x v="15"/>
    </i>
    <i>
      <x v="56"/>
      <x v="161"/>
    </i>
    <i>
      <x v="57"/>
      <x v="28"/>
    </i>
    <i>
      <x v="58"/>
      <x v="5"/>
    </i>
    <i>
      <x v="59"/>
      <x v="73"/>
    </i>
    <i>
      <x v="60"/>
      <x v="65"/>
    </i>
    <i>
      <x v="61"/>
      <x v="187"/>
    </i>
    <i>
      <x v="62"/>
      <x v="71"/>
    </i>
    <i>
      <x v="63"/>
      <x v="81"/>
    </i>
    <i>
      <x v="64"/>
      <x v="134"/>
    </i>
    <i>
      <x v="65"/>
      <x v="100"/>
    </i>
    <i>
      <x v="66"/>
      <x v="153"/>
    </i>
    <i>
      <x v="67"/>
      <x v="176"/>
    </i>
    <i>
      <x v="68"/>
      <x v="184"/>
    </i>
    <i>
      <x v="69"/>
      <x v="188"/>
    </i>
    <i>
      <x v="70"/>
      <x v="186"/>
    </i>
    <i>
      <x v="71"/>
      <x v="4"/>
    </i>
    <i>
      <x v="72"/>
      <x v="166"/>
    </i>
    <i>
      <x v="73"/>
      <x/>
    </i>
    <i>
      <x v="74"/>
      <x v="177"/>
    </i>
    <i>
      <x v="75"/>
      <x v="55"/>
    </i>
    <i>
      <x v="76"/>
      <x v="47"/>
    </i>
    <i>
      <x v="77"/>
      <x v="87"/>
    </i>
    <i>
      <x v="78"/>
      <x v="109"/>
    </i>
    <i>
      <x v="79"/>
      <x v="56"/>
    </i>
    <i>
      <x v="80"/>
      <x v="114"/>
    </i>
    <i>
      <x v="81"/>
      <x v="21"/>
    </i>
    <i>
      <x v="82"/>
      <x v="103"/>
    </i>
    <i>
      <x v="83"/>
      <x v="6"/>
    </i>
    <i>
      <x v="84"/>
      <x v="41"/>
    </i>
    <i>
      <x v="85"/>
      <x v="67"/>
    </i>
    <i>
      <x v="86"/>
      <x v="85"/>
    </i>
    <i>
      <x v="87"/>
      <x v="98"/>
    </i>
    <i>
      <x v="88"/>
      <x v="78"/>
    </i>
    <i>
      <x v="89"/>
      <x v="91"/>
    </i>
    <i>
      <x v="90"/>
      <x v="38"/>
    </i>
    <i>
      <x v="91"/>
      <x v="57"/>
    </i>
    <i>
      <x v="92"/>
      <x v="66"/>
    </i>
    <i>
      <x v="93"/>
      <x v="96"/>
    </i>
    <i>
      <x v="94"/>
      <x v="182"/>
    </i>
    <i>
      <x v="95"/>
      <x v="14"/>
    </i>
    <i>
      <x v="96"/>
      <x v="181"/>
    </i>
    <i>
      <x v="97"/>
      <x v="139"/>
    </i>
    <i>
      <x v="98"/>
      <x v="124"/>
    </i>
    <i>
      <x v="99"/>
      <x v="169"/>
    </i>
    <i>
      <x v="100"/>
      <x v="60"/>
    </i>
    <i>
      <x v="101"/>
      <x v="31"/>
    </i>
    <i>
      <x v="102"/>
      <x v="19"/>
    </i>
    <i>
      <x v="103"/>
      <x v="102"/>
    </i>
    <i>
      <x v="104"/>
      <x v="89"/>
    </i>
    <i>
      <x v="105"/>
      <x v="138"/>
    </i>
    <i>
      <x v="106"/>
      <x v="168"/>
    </i>
    <i>
      <x v="107"/>
      <x v="105"/>
    </i>
    <i>
      <x v="108"/>
      <x v="113"/>
    </i>
    <i>
      <x v="109"/>
      <x v="151"/>
    </i>
    <i>
      <x v="110"/>
      <x v="30"/>
    </i>
    <i>
      <x v="111"/>
      <x v="108"/>
    </i>
    <i>
      <x v="112"/>
      <x v="163"/>
    </i>
    <i>
      <x v="113"/>
      <x v="18"/>
    </i>
    <i>
      <x v="114"/>
      <x v="107"/>
    </i>
    <i>
      <x v="115"/>
      <x v="129"/>
    </i>
    <i>
      <x v="116"/>
      <x v="142"/>
    </i>
    <i>
      <x v="117"/>
      <x v="141"/>
    </i>
    <i>
      <x v="118"/>
      <x v="144"/>
    </i>
    <i>
      <x v="119"/>
      <x v="147"/>
    </i>
    <i>
      <x v="120"/>
      <x v="143"/>
    </i>
    <i>
      <x v="121"/>
      <x v="148"/>
    </i>
    <i>
      <x v="122"/>
      <x v="145"/>
    </i>
    <i>
      <x v="123"/>
      <x v="149"/>
    </i>
    <i>
      <x v="124"/>
      <x v="146"/>
    </i>
    <i>
      <x v="125"/>
      <x v="23"/>
    </i>
    <i>
      <x v="126"/>
      <x v="25"/>
    </i>
    <i>
      <x v="127"/>
      <x v="26"/>
    </i>
    <i>
      <x v="128"/>
      <x v="49"/>
    </i>
    <i>
      <x v="129"/>
      <x v="77"/>
    </i>
    <i>
      <x v="130"/>
      <x v="29"/>
    </i>
    <i>
      <x v="131"/>
      <x v="93"/>
    </i>
    <i>
      <x v="132"/>
      <x v="128"/>
    </i>
    <i>
      <x v="133"/>
      <x v="185"/>
    </i>
    <i>
      <x v="134"/>
      <x v="42"/>
    </i>
    <i>
      <x v="135"/>
      <x v="94"/>
    </i>
    <i>
      <x v="136"/>
      <x v="54"/>
    </i>
    <i>
      <x v="137"/>
      <x v="180"/>
    </i>
    <i>
      <x v="138"/>
      <x v="159"/>
    </i>
    <i>
      <x v="139"/>
      <x v="165"/>
    </i>
    <i>
      <x v="140"/>
      <x v="75"/>
    </i>
    <i>
      <x v="141"/>
      <x v="95"/>
    </i>
    <i>
      <x v="142"/>
      <x v="175"/>
    </i>
    <i>
      <x v="143"/>
      <x v="99"/>
    </i>
    <i>
      <x v="144"/>
      <x v="54"/>
    </i>
    <i>
      <x v="145"/>
      <x v="2"/>
    </i>
    <i>
      <x v="146"/>
      <x v="152"/>
    </i>
    <i>
      <x v="147"/>
      <x v="11"/>
    </i>
    <i>
      <x v="148"/>
      <x v="13"/>
    </i>
    <i>
      <x v="149"/>
      <x v="62"/>
    </i>
    <i>
      <x v="150"/>
      <x v="157"/>
    </i>
    <i>
      <x v="151"/>
      <x v="162"/>
    </i>
    <i>
      <x v="152"/>
      <x v="130"/>
    </i>
    <i>
      <x v="153"/>
      <x v="110"/>
    </i>
    <i>
      <x v="154"/>
      <x v="171"/>
    </i>
    <i>
      <x v="155"/>
      <x v="155"/>
    </i>
    <i>
      <x v="156"/>
      <x v="33"/>
    </i>
    <i>
      <x v="157"/>
      <x v="35"/>
    </i>
    <i>
      <x v="158"/>
      <x v="44"/>
    </i>
    <i>
      <x v="159"/>
      <x v="48"/>
    </i>
    <i>
      <x v="160"/>
      <x v="1"/>
    </i>
    <i>
      <x v="161"/>
      <x v="45"/>
    </i>
    <i>
      <x v="162"/>
      <x v="160"/>
    </i>
    <i>
      <x v="163"/>
      <x v="12"/>
    </i>
    <i>
      <x v="164"/>
      <x v="70"/>
    </i>
    <i>
      <x v="165"/>
      <x v="76"/>
    </i>
    <i>
      <x v="166"/>
      <x v="20"/>
    </i>
    <i>
      <x v="167"/>
      <x v="106"/>
    </i>
    <i>
      <x v="168"/>
      <x v="86"/>
    </i>
    <i>
      <x v="169"/>
      <x v="22"/>
    </i>
    <i>
      <x v="170"/>
      <x v="88"/>
    </i>
    <i>
      <x v="171"/>
      <x v="32"/>
    </i>
    <i>
      <x v="172"/>
      <x v="10"/>
    </i>
    <i>
      <x v="173"/>
      <x v="133"/>
    </i>
    <i>
      <x v="174"/>
      <x v="101"/>
    </i>
    <i>
      <x v="175"/>
      <x v="53"/>
    </i>
    <i>
      <x v="176"/>
      <x v="7"/>
    </i>
    <i>
      <x v="177"/>
      <x v="183"/>
    </i>
    <i>
      <x v="178"/>
      <x v="119"/>
    </i>
    <i>
      <x v="179"/>
      <x v="59"/>
    </i>
    <i>
      <x v="180"/>
      <x v="8"/>
    </i>
    <i>
      <x v="181"/>
      <x v="64"/>
    </i>
    <i>
      <x v="182"/>
      <x v="72"/>
    </i>
    <i>
      <x v="183"/>
      <x v="39"/>
    </i>
    <i>
      <x v="184"/>
      <x v="24"/>
    </i>
    <i>
      <x v="185"/>
      <x v="34"/>
    </i>
    <i>
      <x v="186"/>
      <x v="36"/>
    </i>
    <i>
      <x v="187"/>
      <x v="46"/>
    </i>
    <i>
      <x v="188"/>
      <x v="9"/>
    </i>
    <i>
      <x v="189"/>
      <x v="51"/>
    </i>
    <i t="grand">
      <x/>
    </i>
  </rowItems>
  <colItems count="1">
    <i/>
  </colItems>
  <dataFields count="1">
    <dataField name="Sum of Final PiN" fld="0"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F7484AA4-C3AA-4809-BD18-E07843D4F431}" name="PivotTable3" cacheId="73"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chartFormat="5">
  <location ref="A3:A22" firstHeaderRow="1" firstDataRow="1" firstDataCol="1"/>
  <pivotFields count="27">
    <pivotField showAll="0"/>
    <pivotField axis="axisRow" showAll="0">
      <items count="21">
        <item m="1" x="18"/>
        <item x="14"/>
        <item x="7"/>
        <item x="5"/>
        <item x="4"/>
        <item x="11"/>
        <item x="10"/>
        <item x="0"/>
        <item x="1"/>
        <item x="12"/>
        <item x="16"/>
        <item x="9"/>
        <item x="15"/>
        <item x="13"/>
        <item x="2"/>
        <item x="6"/>
        <item x="3"/>
        <item x="17"/>
        <item x="8"/>
        <item m="1" x="19"/>
        <item t="default"/>
      </items>
    </pivotField>
    <pivotField showAll="0"/>
    <pivotField showAll="0"/>
    <pivotField showAll="0"/>
    <pivotField showAll="0"/>
    <pivotField numFmtId="167" showAll="0"/>
    <pivotField numFmtId="167" showAll="0"/>
    <pivotField numFmtId="167" showAll="0"/>
    <pivotField numFmtId="167" showAll="0"/>
    <pivotField numFmtId="167" showAll="0"/>
    <pivotField numFmtId="167" showAll="0"/>
    <pivotField numFmtId="167" showAll="0"/>
    <pivotField showAll="0"/>
    <pivotField showAll="0"/>
    <pivotField numFmtId="167" showAll="0"/>
    <pivotField showAll="0"/>
    <pivotField showAll="0"/>
    <pivotField showAll="0"/>
    <pivotField showAll="0"/>
    <pivotField showAll="0"/>
    <pivotField showAll="0"/>
    <pivotField showAll="0"/>
    <pivotField showAll="0"/>
    <pivotField showAll="0"/>
    <pivotField showAll="0"/>
    <pivotField numFmtId="166" showAll="0"/>
  </pivotFields>
  <rowFields count="1">
    <field x="1"/>
  </rowFields>
  <rowItems count="19">
    <i>
      <x v="1"/>
    </i>
    <i>
      <x v="2"/>
    </i>
    <i>
      <x v="3"/>
    </i>
    <i>
      <x v="4"/>
    </i>
    <i>
      <x v="5"/>
    </i>
    <i>
      <x v="6"/>
    </i>
    <i>
      <x v="7"/>
    </i>
    <i>
      <x v="8"/>
    </i>
    <i>
      <x v="9"/>
    </i>
    <i>
      <x v="10"/>
    </i>
    <i>
      <x v="11"/>
    </i>
    <i>
      <x v="12"/>
    </i>
    <i>
      <x v="13"/>
    </i>
    <i>
      <x v="14"/>
    </i>
    <i>
      <x v="15"/>
    </i>
    <i>
      <x v="16"/>
    </i>
    <i>
      <x v="17"/>
    </i>
    <i>
      <x v="18"/>
    </i>
    <i t="grand">
      <x/>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91B2E729-C4CB-4990-8130-69B8BDF0ADD8}" name="tblSubSectorPopulation" displayName="tblSubSectorPopulation" ref="B25:C29" totalsRowShown="0" headerRowDxfId="212" dataDxfId="210" headerRowBorderDxfId="211" tableBorderDxfId="209">
  <autoFilter ref="B25:C29" xr:uid="{00EC1285-A7DF-434F-A470-6874D5630451}"/>
  <tableColumns count="2">
    <tableColumn id="1" xr3:uid="{6F9626FB-B046-4FA6-904A-8BB4B957CB86}" name="Sector" dataDxfId="208"/>
    <tableColumn id="2" xr3:uid="{88B372FE-9A02-42DE-9216-ADA6FDC49EF0}" name="Proportion of sector target population in overall population" dataDxfId="207"/>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8BA02FA4-D22E-4C99-BCE9-7238505316C0}" name="tblThresholds" displayName="tblThresholds" ref="B13:F22" totalsRowShown="0" headerRowDxfId="206" headerRowBorderDxfId="205" tableBorderDxfId="204" totalsRowBorderDxfId="203">
  <autoFilter ref="B13:F22" xr:uid="{0DE4E12E-91D1-4306-9474-A7F058008BD9}"/>
  <tableColumns count="5">
    <tableColumn id="1" xr3:uid="{5E3DD8AF-1226-4011-B808-49265632B755}" name="Flag Description " dataDxfId="202"/>
    <tableColumn id="2" xr3:uid="{CE07FA20-4A30-4068-9EE9-D2C5FA1F0238}" name="Recommended Threshold" dataDxfId="201"/>
    <tableColumn id="3" xr3:uid="{7C9E4D63-8010-4899-8DBC-3ECAEEB1F411}" name="Country Threshold" dataDxfId="200"/>
    <tableColumn id="4" xr3:uid="{9BE9BB1C-324E-4B22-8F47-34B9FEFC219F}" name="Explanation for proposing another threshold " dataDxfId="199"/>
    <tableColumn id="5" xr3:uid="{0A46C68D-C00F-49A0-91D8-05C1B4548EF3}" name="Purpose" dataDxfId="198"/>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BD13D58-5B72-45E2-B449-6F33F2CABE4D}" name="tblPopulation13" displayName="tblPopulation13" ref="B7:I9" totalsRowShown="0" headerRowDxfId="197" dataDxfId="196">
  <autoFilter ref="B7:I9" xr:uid="{4973469E-8DDF-4288-B9B5-42F4561E07B1}"/>
  <tableColumns count="8">
    <tableColumn id="1" xr3:uid="{D400121A-217B-4D51-98A4-D57118229BC7}" name="Adult Male" dataDxfId="195"/>
    <tableColumn id="2" xr3:uid="{ECF28CED-0F8A-4987-B698-91DE88775BA0}" name="Adult Female" dataDxfId="194"/>
    <tableColumn id="3" xr3:uid="{31349EAB-195E-464F-9403-9A05DF342C3E}" name="Children Male" dataDxfId="193"/>
    <tableColumn id="4" xr3:uid="{1F2D325F-59F9-419B-B827-F7D541A99C45}" name="Children Female" dataDxfId="192"/>
    <tableColumn id="5" xr3:uid="{33207593-8B16-467B-B637-5F72028ABAED}" name="Children U5 Male" dataDxfId="191"/>
    <tableColumn id="6" xr3:uid="{BC2E80C3-A626-4DEA-8D9A-045D27567EC3}" name="Children U5 Female" dataDxfId="190"/>
    <tableColumn id="7" xr3:uid="{FEA14067-59F0-4C8B-8BCE-2ACABC1C3D24}" name="Elderly Male 60+" dataDxfId="189"/>
    <tableColumn id="8" xr3:uid="{F248BA59-A932-452F-B653-C5BB69B9F5DA}" name="Elderly Female 60+" dataDxfId="188"/>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11C7DAF7-37A5-437D-A71A-78BDE7153DE7}" name="tblPiNAnalysis" displayName="tblPiNAnalysis" ref="A3:AL567" totalsRowShown="0" headerRowDxfId="182" dataDxfId="180" headerRowBorderDxfId="181" tableBorderDxfId="179" totalsRowBorderDxfId="178" headerRowCellStyle="Comma 2">
  <autoFilter ref="A3:AL567" xr:uid="{11C7DAF7-37A5-437D-A71A-78BDE7153DE7}">
    <filterColumn colId="6">
      <filters>
        <filter val="Non-hosting Population"/>
      </filters>
    </filterColumn>
  </autoFilter>
  <sortState xmlns:xlrd2="http://schemas.microsoft.com/office/spreadsheetml/2017/richdata2" ref="A4:AL567">
    <sortCondition ref="E3:E567"/>
  </sortState>
  <tableColumns count="38">
    <tableColumn id="1" xr3:uid="{29B0DB33-662D-4AED-BA8B-CC3DD3050C18}" name="ID" dataDxfId="177">
      <calculatedColumnFormula>_xlfn.CONCAT(IF(tblPiNAnalysis[[#This Row],[Population Group]]="", "",tblPiNAnalysis[[#This Row],[Population Group]] ), _xlfn.IFS(tblPiNAnalysis[[#This Row],[Admin 2 P-Code]]&lt;&gt;"", tblPiNAnalysis[[#This Row],[Admin 2 P-Code]], tblPiNAnalysis[[#This Row],[Admin 1 P-Code]]&lt;&gt;"", tblPiNAnalysis[[#This Row],[Admin 1 P-Code]]))</calculatedColumnFormula>
    </tableColumn>
    <tableColumn id="2" xr3:uid="{90C30682-CC85-4A40-8C59-3DE4818FD180}" name="Admin 1" dataDxfId="176"/>
    <tableColumn id="15" xr3:uid="{7B726629-BA89-49F5-8F57-2B9EB4CDD021}" name="Admin 1 P-Code" dataDxfId="175"/>
    <tableColumn id="14" xr3:uid="{BAE67459-66F5-4493-A91C-9D2B08E6B8EC}" name="Admin 2" dataDxfId="174"/>
    <tableColumn id="3" xr3:uid="{19F61B87-5E5C-480C-970D-62A72E5FF1E6}" name="Admin 2 P-Code" dataDxfId="173"/>
    <tableColumn id="4" xr3:uid="{C3D266F4-08AD-4E59-ACFC-6FCB92954911}" name="Total Population" dataDxfId="172"/>
    <tableColumn id="29" xr3:uid="{E0F650EC-BD3F-4798-948C-937FC547C3AC}" name="Population Group" dataDxfId="171" dataCellStyle="Comma"/>
    <tableColumn id="8" xr3:uid="{F9A63AE1-604E-42EF-A449-294D1C9BA734}" name="Site Management " dataDxfId="170"/>
    <tableColumn id="31" xr3:uid="{C853B6B0-0D51-4D27-A0DE-8BBED5DB5DBC}" name="Education" dataDxfId="169"/>
    <tableColumn id="32" xr3:uid="{56EE9F16-B087-4DC5-9E34-9168FFDBAB16}" name="Food Security and Livlihoods" dataDxfId="168"/>
    <tableColumn id="39" xr3:uid="{FF7B7F99-AF4B-4FFA-B034-F9B9FBBCD737}" name="Health " dataDxfId="167" dataCellStyle="Comma"/>
    <tableColumn id="10" xr3:uid="{C2D31B2E-F8B2-40B5-B8BE-579B6F858303}" name="Nutrition" dataDxfId="166"/>
    <tableColumn id="33" xr3:uid="{EA7D01DC-FF04-481D-832D-E586DCE04584}" name="Protection" dataDxfId="165"/>
    <tableColumn id="11" xr3:uid="{35F16878-B666-46A1-BBFF-0BE781639BC0}" name="Shelter NFI " dataDxfId="164">
      <calculatedColumnFormula>_xlfn.XLOOKUP(CONCATENATE(tblPiNAnalysis[[#This Row],[Admin 2 P-Code]],tblPiNAnalysis[[#This Row],[Population Group]]),'Overall severity &amp; PIN Analysis'!A:A,'Overall severity &amp; PIN Analysis'!P:P,0,0)</calculatedColumnFormula>
    </tableColumn>
    <tableColumn id="17" xr3:uid="{BB2853C7-D9DD-4C35-A144-B7DE9E3D8429}" name="WASH" dataDxfId="163"/>
    <tableColumn id="66" xr3:uid="{A3B5A376-64B2-4BCD-AEDF-EAA9FEEA0CF0}" name="CP" dataDxfId="162"/>
    <tableColumn id="65" xr3:uid="{560FC162-D3A5-42CC-BD97-D595B39B18E3}" name="GBV" dataDxfId="161"/>
    <tableColumn id="64" xr3:uid="{BB4F3E41-F899-4CD2-AE0B-09D7AF93EA95}" name="Mine Action" dataDxfId="160"/>
    <tableColumn id="63" xr3:uid="{67480CAD-7DF9-43EE-AA75-530A1DACB064}" name="General Protection" dataDxfId="159"/>
    <tableColumn id="13" xr3:uid="{84EB6432-4FF9-4406-915E-0C0FFA9C3B31}" name="Site Management %" dataDxfId="158">
      <calculatedColumnFormula>IF(tblPiNAnalysis[[#This Row],[Site Management ]]="", "", tblPiNAnalysis[[#This Row],[Site Management ]]/tblPiNAnalysis[[#This Row],[Total Population]])</calculatedColumnFormula>
    </tableColumn>
    <tableColumn id="16" xr3:uid="{614333A2-B706-4F70-9C4F-9CC17D604920}" name="Education %" dataDxfId="157">
      <calculatedColumnFormula>IF(tblPiNAnalysis[[#This Row],[Education]]="", "", tblPiNAnalysis[[#This Row],[Education]]/tblPiNAnalysis[[#This Row],[Total Population]])</calculatedColumnFormula>
    </tableColumn>
    <tableColumn id="19" xr3:uid="{2D3BACE2-BF35-4152-A515-D3C0068BE785}" name="Food Security and Livlihoods %" dataDxfId="156">
      <calculatedColumnFormula>IF(tblPiNAnalysis[[#This Row],[Food Security and Livlihoods]]="", "", tblPiNAnalysis[[#This Row],[Food Security and Livlihoods]]/tblPiNAnalysis[[#This Row],[Total Population]])</calculatedColumnFormula>
    </tableColumn>
    <tableColumn id="46" xr3:uid="{B2C11D56-5387-4909-8853-241F73B1757E}" name="Health %" dataDxfId="155" dataCellStyle="Comma">
      <calculatedColumnFormula>IF(tblPiNAnalysis[[#This Row],[Health ]]="", "", tblPiNAnalysis[[#This Row],[Health ]]/tblPiNAnalysis[[#This Row],[Total Population]])</calculatedColumnFormula>
    </tableColumn>
    <tableColumn id="41" xr3:uid="{B00207D5-50EC-44D1-BB96-A8C43B705FF2}" name="Nutrition %" dataDxfId="154">
      <calculatedColumnFormula>IF(tblPiNAnalysis[[#This Row],[Nutrition]]="", "", tblPiNAnalysis[[#This Row],[Nutrition]]/tblPiNAnalysis[[#This Row],[Total Population]])</calculatedColumnFormula>
    </tableColumn>
    <tableColumn id="18" xr3:uid="{274587A6-D19C-4004-9BE3-EEF2BF4636E0}" name="Protection %" dataDxfId="153">
      <calculatedColumnFormula>IF(tblPiNAnalysis[[#This Row],[Protection]]="", "", tblPiNAnalysis[[#This Row],[Protection]]/tblPiNAnalysis[[#This Row],[Total Population]])</calculatedColumnFormula>
    </tableColumn>
    <tableColumn id="30" xr3:uid="{76A8633A-9354-4BA9-A815-969A9A4095BC}" name="Shelter NFI %" dataDxfId="152">
      <calculatedColumnFormula>IF(tblPiNAnalysis[[#This Row],[Shelter NFI ]]="", "", tblPiNAnalysis[[#This Row],[Shelter NFI ]]/tblPiNAnalysis[[#This Row],[Total Population]])</calculatedColumnFormula>
    </tableColumn>
    <tableColumn id="35" xr3:uid="{3C23AE7E-5AB3-47CF-9EA0-02463685ADA4}" name="WASH %" dataDxfId="151">
      <calculatedColumnFormula>IF(tblPiNAnalysis[[#This Row],[WASH]]="", "", tblPiNAnalysis[[#This Row],[WASH]]/tblPiNAnalysis[[#This Row],[Total Population]])</calculatedColumnFormula>
    </tableColumn>
    <tableColumn id="61" xr3:uid="{112CF96E-9F13-544B-A245-73545238CFF5}" name="Child Protection (CP)%" dataDxfId="150">
      <calculatedColumnFormula>IFERROR(IF(tblPiNAnalysis[[#This Row],[CP]]="", "", MROUND(tblPiNAnalysis[[#This Row],[CP]]/tblPiNAnalysis[[#This Row],[Total Population]], 0.05)), "")</calculatedColumnFormula>
    </tableColumn>
    <tableColumn id="62" xr3:uid="{C41733D8-6D32-2F4D-99C1-0BACA483FAB4}" name="Gender-based Violence (GBV)%" dataDxfId="149">
      <calculatedColumnFormula>IFERROR(IF(tblPiNAnalysis[[#This Row],[GBV]]="", "", MROUND(tblPiNAnalysis[[#This Row],[GBV]]/tblPiNAnalysis[[#This Row],[Total Population]], 0.05)), "")</calculatedColumnFormula>
    </tableColumn>
    <tableColumn id="48" xr3:uid="{681CFBE2-2587-BC40-BC23-27962C6185A0}" name="Mine Action%" dataDxfId="148">
      <calculatedColumnFormula>IFERROR(IF(tblPiNAnalysis[[#This Row],[Mine Action]]="", "", MROUND(tblPiNAnalysis[[#This Row],[Mine Action]]/tblPiNAnalysis[[#This Row],[Total Population]], 0.05)), "")</calculatedColumnFormula>
    </tableColumn>
    <tableColumn id="60" xr3:uid="{DE455047-9A49-E74F-98B5-B0C0FCA1249D}" name="General Protection%" dataDxfId="147">
      <calculatedColumnFormula>IFERROR(IF(tblPiNAnalysis[[#This Row],[General Protection]]="", "", MROUND(tblPiNAnalysis[[#This Row],[General Protection]]/tblPiNAnalysis[[#This Row],[Total Population]], 0.05)), "")</calculatedColumnFormula>
    </tableColumn>
    <tableColumn id="12" xr3:uid="{F51CCB8C-B7B3-49F6-B2F6-2ABEDE72599E}" name="Highest PiN" dataDxfId="146">
      <calculatedColumnFormula>IFERROR(LARGE(tblPiNAnalysis[[#This Row],[Site Management ]:[General Protection]], 1), "")</calculatedColumnFormula>
    </tableColumn>
    <tableColumn id="27" xr3:uid="{5BDD9F1E-13DE-4906-8856-160E9BE502BA}" name="Highest sector(s') PiN %" dataDxfId="145">
      <calculatedColumnFormula>IF(tblPiNAnalysis[[#This Row],[Highest PiN]]="", "",tblPiNAnalysis[[#This Row],[Highest PiN]]/ tblPiNAnalysis[[#This Row],[Total Population]])</calculatedColumnFormula>
    </tableColumn>
    <tableColumn id="45" xr3:uid="{6223ED00-19BF-42C3-A58C-3611DAB4D294}" name="Highest PiN greater than 90% of total affected population" dataDxfId="144">
      <calculatedColumnFormula>IFERROR(IF(tblPiNAnalysis[[#This Row],[Highest PiN]]="", "", IF(tblPiNAnalysis[[#This Row],[Highest sector(s'') PiN %]]&gt;=flag_pin_perc, "Flagged", "")), "")</calculatedColumnFormula>
    </tableColumn>
    <tableColumn id="53" xr3:uid="{7C03EE48-EEA9-4476-A6DD-4158C12C4F8E}" name="Manual Flag" dataDxfId="143"/>
    <tableColumn id="55" xr3:uid="{11CE3DCA-E095-40B8-A7E6-2E4D874070E9}" name="Explanation for Manual Flag" dataDxfId="142"/>
    <tableColumn id="43" xr3:uid="{CFE4F24F-8A37-42E8-9228-246259204EF1}" name="# Flags" dataDxfId="141">
      <calculatedColumnFormula>COUNTIFS(tblPiNAnalysis[[#This Row],[Highest PiN greater than 90% of total affected population]:[Manual Flag]],"Flagged")</calculatedColumnFormula>
    </tableColumn>
    <tableColumn id="37" xr3:uid="{2AC961A8-EBC6-4B58-950C-076CC926484C}" name="Flagged" dataDxfId="140">
      <calculatedColumnFormula>IF(tblPiNAnalysis[[#This Row],['# Flags]]&gt;0, "Flagged", "")</calculatedColumnFormula>
    </tableColumn>
  </tableColumns>
  <tableStyleInfo name="TableStyleLight11"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2A4A29CD-8C7D-40AC-8348-EDEDB3976926}" name="Table4" displayName="Table4" ref="A1:H189" totalsRowShown="0" headerRowDxfId="136" dataDxfId="135">
  <autoFilter ref="A1:H189" xr:uid="{2A4A29CD-8C7D-40AC-8348-EDEDB3976926}"/>
  <tableColumns count="8">
    <tableColumn id="1" xr3:uid="{E9632D32-65A9-40FF-8977-4192D7751674}" name="State" dataDxfId="134"/>
    <tableColumn id="2" xr3:uid="{21508C34-A17E-438A-B87F-E7051247D6AA}" name="locality P-Code" dataDxfId="133"/>
    <tableColumn id="3" xr3:uid="{5DBF04FF-496D-4469-93ED-C1FC5EB70D5D}" name="Locality" dataDxfId="132"/>
    <tableColumn id="4" xr3:uid="{F49F8FE2-A4F5-4BF2-91F4-1F5CDE5051AE}" name="Pop" dataDxfId="131" dataCellStyle="Comma"/>
    <tableColumn id="5" xr3:uid="{631C44EE-48FC-4FD9-9973-CD6E94F266BF}" name="PIN 2025" dataDxfId="130" dataCellStyle="Comma"/>
    <tableColumn id="6" xr3:uid="{AA06051A-FDA3-455D-96F6-78E452D5752B}" name="PIN 2024" dataDxfId="129" dataCellStyle="Comma"/>
    <tableColumn id="7" xr3:uid="{AC487549-5EBE-4257-9A68-3BCAD1BF2B5F}" name="PIN changes" dataDxfId="128" dataCellStyle="Comma"/>
    <tableColumn id="8" xr3:uid="{2405F904-AD2E-416F-8358-406760A8B1DF}" name="severity score" dataDxfId="127"/>
  </tableColumns>
  <tableStyleInfo name="TableStyleLight1"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62F25301-D0EB-4466-8610-593D4070A226}" name="tblPiNHistorical" displayName="tblPiNHistorical" ref="A3:BA763" totalsRowShown="0" headerRowDxfId="125" dataDxfId="123" headerRowBorderDxfId="124" tableBorderDxfId="122" totalsRowBorderDxfId="121" headerRowCellStyle="Comma 2">
  <autoFilter ref="A3:BA763" xr:uid="{62F25301-D0EB-4466-8610-593D4070A226}"/>
  <tableColumns count="53">
    <tableColumn id="1" xr3:uid="{EBEDD39D-0803-488F-B264-37F11E97AA0A}" name="ID" dataDxfId="120">
      <calculatedColumnFormula>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calculatedColumnFormula>
    </tableColumn>
    <tableColumn id="2" xr3:uid="{F6E6FC1E-F46B-4373-A498-70FBD8D55403}" name="Admin 1" dataDxfId="119"/>
    <tableColumn id="15" xr3:uid="{7205F2A9-2D90-4E82-AA2B-9E03B32722F5}" name="Admin 1 P-Code" dataDxfId="118"/>
    <tableColumn id="14" xr3:uid="{3C82ABBD-107D-4174-A0E8-A34A809196B4}" name="Admin 2" dataDxfId="117"/>
    <tableColumn id="3" xr3:uid="{7AADCFA6-7AD6-4673-AADF-84C1095146FD}" name="Admin 2 P-Code" dataDxfId="116"/>
    <tableColumn id="6" xr3:uid="{8D2BC654-2071-43F8-A743-AB5731DEB983}" name="Admin 3" dataDxfId="115"/>
    <tableColumn id="36" xr3:uid="{D116B196-FB88-4BE4-91D3-5A3B3E7AE184}" name="Admin 3 P-Code" dataDxfId="114"/>
    <tableColumn id="4" xr3:uid="{0F1C3EBE-F260-40F3-9FBE-0D21DA819B8C}" name="Population" dataDxfId="113"/>
    <tableColumn id="29" xr3:uid="{88EA9ED2-9C4C-4000-80ED-6F73E1829DE6}" name="Population Group" dataDxfId="112"/>
    <tableColumn id="8" xr3:uid="{030C5973-1707-4485-A6B1-521E6912BBFE}" name="Site Management - Old" dataDxfId="111"/>
    <tableColumn id="18" xr3:uid="{8E881CE5-2E7E-413E-A529-FC4AF564AF52}" name="Education Old" dataDxfId="110"/>
    <tableColumn id="10" xr3:uid="{8754FC3D-E4A5-41DD-BB52-C1AA3AF08FB5}" name="Food Security and Livlihoods Old" dataDxfId="109"/>
    <tableColumn id="28" xr3:uid="{387BF0E6-0792-4DA3-AE55-8A541079EC51}" name="Health Old" dataDxfId="108" dataCellStyle="Comma"/>
    <tableColumn id="31" xr3:uid="{769C8193-6632-41B7-B237-D48D3062C82B}" name="Nutrition Old" dataDxfId="107"/>
    <tableColumn id="33" xr3:uid="{B3A5DF0D-28A2-477B-881E-23313A01BA60}" name="Protection Old" dataDxfId="106"/>
    <tableColumn id="45" xr3:uid="{B2D9B288-97F7-4C17-B61B-96472348F151}" name="CP Old " dataDxfId="105" dataCellStyle="Comma"/>
    <tableColumn id="43" xr3:uid="{E25F43A4-CDC3-4A6F-85EF-22E0FA90B669}" name="GBV Old" dataDxfId="104" dataCellStyle="Comma"/>
    <tableColumn id="11" xr3:uid="{630EBA6D-F1E8-4DF6-8A23-E83979B0F803}" name="Mine Action Old" dataDxfId="103"/>
    <tableColumn id="9" xr3:uid="{5C7F0089-EFE8-4543-B000-7F9117FE0ABA}" name="Shelter NFI Old" dataDxfId="102"/>
    <tableColumn id="17" xr3:uid="{BE065327-F485-4EA1-86E5-9B34975EB75D}" name="WASH Old" dataDxfId="101"/>
    <tableColumn id="13" xr3:uid="{4CC9CDCA-F7C8-4F2B-A54C-CC17517583F3}" name="Site Management - New" dataDxfId="100">
      <calculatedColumnFormula>IFERROR(INDEX(tblPiNAnalysis[[Site Management ]], MATCH(tblPiNHistorical[[#This Row],[ID]], tblPiNAnalysis[ID], 0)), "")</calculatedColumnFormula>
    </tableColumn>
    <tableColumn id="27" xr3:uid="{90CBBEA2-52CD-4938-A731-A3039A83AA27}" name="Education New" dataDxfId="99">
      <calculatedColumnFormula>IFERROR(INDEX(tblPiNAnalysis[Education], MATCH(tblPiNHistorical[[#This Row],[ID]], tblPiNAnalysis[ID], 0)), "")</calculatedColumnFormula>
    </tableColumn>
    <tableColumn id="39" xr3:uid="{79049057-4CB6-4344-B8AE-D043DE348509}" name="Food Security and Livlihoods New" dataDxfId="98">
      <calculatedColumnFormula>IFERROR(INDEX(tblPiNAnalysis[Food Security and Livlihoods], MATCH(tblPiNHistorical[[#This Row],[ID]], tblPiNAnalysis[ID], 0)), "")</calculatedColumnFormula>
    </tableColumn>
    <tableColumn id="44" xr3:uid="{F7177B2F-15CC-486A-ABC9-5F4C104BAA34}" name="Health New" dataDxfId="97" dataCellStyle="Comma">
      <calculatedColumnFormula>IFERROR(INDEX(tblPiNAnalysis[[Health ]], MATCH(tblPiNHistorical[[#This Row],[ID]], tblPiNAnalysis[ID], 0)), "")</calculatedColumnFormula>
    </tableColumn>
    <tableColumn id="16" xr3:uid="{AB91784D-784E-470B-9B6B-0C5C96DE7BC3}" name="Nutrition New" dataDxfId="96">
      <calculatedColumnFormula>IFERROR(INDEX(tblPiNAnalysis[Nutrition], MATCH(tblPiNHistorical[[#This Row],[ID]], tblPiNAnalysis[ID], 0)), "")</calculatedColumnFormula>
    </tableColumn>
    <tableColumn id="19" xr3:uid="{DF836EFA-4D5C-4A76-A230-CFE18E7635C8}" name="Protection New" dataDxfId="95">
      <calculatedColumnFormula>IFERROR(INDEX(tblPiNAnalysis[Protection], MATCH(tblPiNHistorical[[#This Row],[ID]], tblPiNAnalysis[ID], 0)), "")</calculatedColumnFormula>
    </tableColumn>
    <tableColumn id="50" xr3:uid="{A610F0B0-E047-4F06-A9F9-6F3F983F7538}" name="CP New" dataDxfId="94" dataCellStyle="Comma">
      <calculatedColumnFormula>IFERROR(INDEX(tblPiNAnalysis[CP], MATCH(tblPiNHistorical[[#This Row],[ID]], tblPiNAnalysis[ID], 0)), "")</calculatedColumnFormula>
    </tableColumn>
    <tableColumn id="51" xr3:uid="{C673A84C-EDB7-4333-89D2-CDD6639A01EF}" name="GBV New" dataDxfId="93" dataCellStyle="Comma">
      <calculatedColumnFormula>IFERROR(INDEX(tblPiNAnalysis[GBV], MATCH(tblPiNHistorical[[#This Row],[ID]], tblPiNAnalysis[ID], 0)), "")</calculatedColumnFormula>
    </tableColumn>
    <tableColumn id="30" xr3:uid="{4F573CA9-AAC4-4543-A2D5-BEAFABE4C540}" name="Mine Action New" dataDxfId="92">
      <calculatedColumnFormula>IFERROR(INDEX(tblPiNAnalysis[Mine Action], MATCH(tblPiNHistorical[[#This Row],[ID]], tblPiNAnalysis[ID], 0)), "")</calculatedColumnFormula>
    </tableColumn>
    <tableColumn id="34" xr3:uid="{4240201E-BD32-4261-B98A-8D0DA7648C58}" name="Shelter NFI New" dataDxfId="91">
      <calculatedColumnFormula>IFERROR(INDEX(tblPiNAnalysis[[Shelter NFI ]], MATCH(tblPiNHistorical[[#This Row],[ID]], tblPiNAnalysis[ID], 0)), "")</calculatedColumnFormula>
    </tableColumn>
    <tableColumn id="35" xr3:uid="{2967BDE4-A11B-4005-A24B-D9CFBB6026D1}" name="WASH New" dataDxfId="90">
      <calculatedColumnFormula>IFERROR(INDEX(tblPiNAnalysis[WASH], MATCH(tblPiNHistorical[[#This Row],[ID]], tblPiNAnalysis[ID], 0)), "")</calculatedColumnFormula>
    </tableColumn>
    <tableColumn id="32" xr3:uid="{112BC0F4-3EB6-4905-B067-C9CFE2267560}" name="PiN Difference for Site Management " dataDxfId="89">
      <calculatedColumnFormula>IF(OR(tblPiNHistorical[[#This Row],[Site Management - Old]]="", tblPiNHistorical[[#This Row],[Site Management - Old]]=0, tblPiNHistorical[[#This Row],[Site Management - New]]="", tblPiNHistorical[[#This Row],[Site Management - New]]=0), "", tblPiNHistorical[[#This Row],[Site Management - New]]-tblPiNHistorical[[#This Row],[Site Management - Old]])</calculatedColumnFormula>
    </tableColumn>
    <tableColumn id="25" xr3:uid="{794F3A76-2CF2-4DB6-B3A7-A8FBC4A039A4}" name="PiN Difference for Education" dataDxfId="88">
      <calculatedColumnFormula>IF(OR(tblPiNHistorical[[#This Row],[Education Old]]="", tblPiNHistorical[[#This Row],[Education Old]]=0, tblPiNHistorical[[#This Row],[Education New]]="", tblPiNHistorical[[#This Row],[Education New]]=0), "", tblPiNHistorical[[#This Row],[Education New]]-tblPiNHistorical[[#This Row],[Education Old]])</calculatedColumnFormula>
    </tableColumn>
    <tableColumn id="23" xr3:uid="{208EA54B-C721-4CC7-8278-0241C2CF01E7}" name="Food Security and Livlihoods" dataDxfId="87">
      <calculatedColumnFormula>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calculatedColumnFormula>
    </tableColumn>
    <tableColumn id="46" xr3:uid="{B2F7ABA2-5CC7-41C6-8CDA-38CEF558371B}" name="PiN Difference for Health " dataDxfId="86" dataCellStyle="Comma">
      <calculatedColumnFormula>IF(OR(tblPiNHistorical[[#This Row],[Health Old]]="", tblPiNHistorical[[#This Row],[Health Old]]=0, tblPiNHistorical[[#This Row],[Health New]]="", tblPiNHistorical[[#This Row],[Health New]]=0), "", tblPiNHistorical[[#This Row],[Health New]]-tblPiNHistorical[[#This Row],[Health Old]])</calculatedColumnFormula>
    </tableColumn>
    <tableColumn id="21" xr3:uid="{40533A56-0681-449E-B1DB-61A403CAF744}" name="PiN Difference for Nutrition" dataDxfId="85">
      <calculatedColumnFormula>IF(OR(tblPiNHistorical[[#This Row],[Nutrition Old]]="", tblPiNHistorical[[#This Row],[Nutrition Old]]=0, tblPiNHistorical[[#This Row],[Nutrition New]]="", tblPiNHistorical[[#This Row],[Nutrition New]]=0), "", tblPiNHistorical[[#This Row],[Nutrition New]]-tblPiNHistorical[[#This Row],[Nutrition Old]])</calculatedColumnFormula>
    </tableColumn>
    <tableColumn id="38" xr3:uid="{0E421EF8-4E9C-4FDD-9078-6F037F6B5AAE}" name="PiN Difference for Protection" dataDxfId="84">
      <calculatedColumnFormula>IF(OR(tblPiNHistorical[[#This Row],[Protection Old]]="", tblPiNHistorical[[#This Row],[Protection Old]]=0, tblPiNHistorical[[#This Row],[Protection New]]="", tblPiNHistorical[[#This Row],[Protection New]]=0), "", tblPiNHistorical[[#This Row],[Protection New]]-tblPiNHistorical[[#This Row],[Protection Old]])</calculatedColumnFormula>
    </tableColumn>
    <tableColumn id="55" xr3:uid="{88FD27B4-907E-41F8-A378-6707B48B73BD}" name="PiN Difference CP" dataDxfId="83">
      <calculatedColumnFormula>IF(OR(tblPiNHistorical[[#This Row],[CP Old ]]="", tblPiNHistorical[[#This Row],[CP Old ]]=0, tblPiNHistorical[[#This Row],[CP New]]="", tblPiNHistorical[[#This Row],[CP New]]=0), "", tblPiNHistorical[[#This Row],[CP New]]-tblPiNHistorical[[#This Row],[CP Old ]])</calculatedColumnFormula>
    </tableColumn>
    <tableColumn id="56" xr3:uid="{3A87AC25-BD50-4E9D-91FC-C0C76286FAAF}" name="PiN Difference GBV " dataDxfId="82">
      <calculatedColumnFormula>IF(OR(tblPiNHistorical[[#This Row],[GBV Old]]="", tblPiNHistorical[[#This Row],[GBV Old]]=0, tblPiNHistorical[[#This Row],[GBV New]]="", tblPiNHistorical[[#This Row],[GBV New]]=0), "", tblPiNHistorical[[#This Row],[GBV New]]-tblPiNHistorical[[#This Row],[GBV Old]])</calculatedColumnFormula>
    </tableColumn>
    <tableColumn id="12" xr3:uid="{BE2332DE-8C64-4A96-BC08-85AC305264CB}" name="PiN Difference for Mine Action " dataDxfId="81">
      <calculatedColumnFormula>IF(OR(tblPiNHistorical[[#This Row],[Mine Action Old]]="", tblPiNHistorical[[#This Row],[Mine Action Old]]=0, tblPiNHistorical[[#This Row],[Mine Action New]]="", tblPiNHistorical[[#This Row],[Mine Action New]]=0), "", tblPiNHistorical[[#This Row],[Mine Action New]]-tblPiNHistorical[[#This Row],[Mine Action Old]])</calculatedColumnFormula>
    </tableColumn>
    <tableColumn id="40" xr3:uid="{3B8D8A64-8484-4AFE-BE65-0C2BCB9F7887}" name="PiN Difference for Shelter NFI" dataDxfId="80">
      <calculatedColumnFormula>IF(OR(tblPiNHistorical[[#This Row],[Shelter NFI Old]]="", tblPiNHistorical[[#This Row],[Shelter NFI Old]]=0, tblPiNHistorical[[#This Row],[Shelter NFI New]]="", tblPiNHistorical[[#This Row],[Shelter NFI New]]=0), "", tblPiNHistorical[[#This Row],[Shelter NFI New]]-tblPiNHistorical[[#This Row],[Shelter NFI Old]])</calculatedColumnFormula>
    </tableColumn>
    <tableColumn id="5" xr3:uid="{5E99E83B-21D7-4AB9-9389-9E3FBBB916EE}" name="PiN Difference for WASH" dataDxfId="79">
      <calculatedColumnFormula>IF(OR(tblPiNHistorical[[#This Row],[WASH Old]]="", tblPiNHistorical[[#This Row],[WASH Old]]=0, tblPiNHistorical[[#This Row],[WASH New]]="", tblPiNHistorical[[#This Row],[WASH New]]=0), "", tblPiNHistorical[[#This Row],[WASH New]]-tblPiNHistorical[[#This Row],[WASH Old]])</calculatedColumnFormula>
    </tableColumn>
    <tableColumn id="37" xr3:uid="{7D7EBA8D-F540-446F-90A8-354EDCB9EA65}" name="Site Management " dataDxfId="78">
      <calculatedColumnFormula>IFERROR(ROUND((tblPiNHistorical[[#This Row],[Site Management - New]] - tblPiNHistorical[[#This Row],[Site Management - Old]])/tblPiNHistorical[[#This Row],[Site Management - Old]], 1), "")</calculatedColumnFormula>
    </tableColumn>
    <tableColumn id="26" xr3:uid="{10261328-1C0B-4D45-98A3-77FF935B86EE}" name="Education" dataDxfId="77">
      <calculatedColumnFormula>IFERROR(ROUND((tblPiNHistorical[[#This Row],[Education New]]-tblPiNHistorical[[#This Row],[Education Old]])/tblPiNHistorical[[#This Row],[Education Old]], 1), "")</calculatedColumnFormula>
    </tableColumn>
    <tableColumn id="24" xr3:uid="{E1D42502-F0CC-4C4E-9DB3-2544989D2B90}" name="Food Security and Livlihoods2" dataDxfId="76">
      <calculatedColumnFormula>IFERROR(ROUND((tblPiNHistorical[[#This Row],[Food Security and Livlihoods New]]-tblPiNHistorical[[#This Row],[Food Security and Livlihoods Old]])/tblPiNHistorical[[#This Row],[Food Security and Livlihoods Old]], 1), "")</calculatedColumnFormula>
    </tableColumn>
    <tableColumn id="48" xr3:uid="{DFEBCB50-AF21-41DF-8B79-EC107EB17B8B}" name="Health " dataDxfId="75" dataCellStyle="Percent">
      <calculatedColumnFormula>IFERROR(ROUND((tblPiNHistorical[[#This Row],[Health New]]-tblPiNHistorical[[#This Row],[Health Old]])/tblPiNHistorical[[#This Row],[Health Old]], 1), "")</calculatedColumnFormula>
    </tableColumn>
    <tableColumn id="22" xr3:uid="{1B7E3635-614A-4EA6-B272-7391D69C00F2}" name="Nutrition" dataDxfId="74">
      <calculatedColumnFormula>IFERROR(ROUND((tblPiNHistorical[[#This Row],[Nutrition New]]-tblPiNHistorical[[#This Row],[Nutrition Old]])/tblPiNHistorical[[#This Row],[Nutrition Old]], 1), "")</calculatedColumnFormula>
    </tableColumn>
    <tableColumn id="42" xr3:uid="{FC34482E-E387-497E-8003-2417B5E19C46}" name="Protection" dataDxfId="73">
      <calculatedColumnFormula>IFERROR(ROUND((tblPiNHistorical[[#This Row],[Protection New]]-tblPiNHistorical[[#This Row],[Protection Old]])/tblPiNHistorical[[#This Row],[Protection Old]], 1), "")</calculatedColumnFormula>
    </tableColumn>
    <tableColumn id="52" xr3:uid="{B3EFF5D7-ACE0-46C0-B531-D0C0DEE3E296}" name="CP" dataDxfId="72" dataCellStyle="Comma">
      <calculatedColumnFormula>IFERROR(ROUND((tblPiNHistorical[[#This Row],[CP New]]-tblPiNHistorical[[#This Row],[CP Old ]])/tblPiNHistorical[[#This Row],[CP Old ]], 1), "")</calculatedColumnFormula>
    </tableColumn>
    <tableColumn id="54" xr3:uid="{6EB8E2AE-36C9-4002-950B-D1612E0FFE17}" name="GBV" dataDxfId="71" dataCellStyle="Comma">
      <calculatedColumnFormula>IFERROR(ROUND((tblPiNHistorical[[#This Row],[GBV New]]-tblPiNHistorical[[#This Row],[GBV Old]])/tblPiNHistorical[[#This Row],[GBV Old]], 1), "")</calculatedColumnFormula>
    </tableColumn>
    <tableColumn id="20" xr3:uid="{65C345EC-E776-478C-8FB0-EA96406E6DCC}" name="Mine Action " dataDxfId="70">
      <calculatedColumnFormula>IFERROR(ROUND((tblPiNHistorical[[#This Row],[Mine Action New]]-tblPiNHistorical[[#This Row],[Mine Action Old]])/tblPiNHistorical[[#This Row],[Mine Action Old]], 1), "")</calculatedColumnFormula>
    </tableColumn>
    <tableColumn id="41" xr3:uid="{0725D732-91AD-4A3F-9238-B3A1376580BF}" name="Shelter NFI " dataDxfId="69">
      <calculatedColumnFormula>IFERROR(ROUND((tblPiNHistorical[[#This Row],[Shelter NFI New]]-tblPiNHistorical[[#This Row],[Shelter NFI Old]])/tblPiNHistorical[[#This Row],[Shelter NFI Old]], 1), "")</calculatedColumnFormula>
    </tableColumn>
    <tableColumn id="7" xr3:uid="{3CD32DEE-C0B2-4756-8061-4C4FC7A219E4}" name="WASH2" dataDxfId="68">
      <calculatedColumnFormula>IFERROR(ROUND((tblPiNHistorical[[#This Row],[WASH New]]-tblPiNHistorical[[#This Row],[WASH Old]])/tblPiNHistorical[[#This Row],[WASH Old]], 1), "")</calculatedColumnFormula>
    </tableColumn>
  </tableColumns>
  <tableStyleInfo name="TableStyleLight11"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C1C62CB9-79E0-497E-A079-06B621BAA7FA}" name="tblSeverityAnalysis" displayName="tblSeverityAnalysis" ref="A3:AA191" totalsRowShown="0" headerRowDxfId="66" dataDxfId="64" headerRowBorderDxfId="65" tableBorderDxfId="63" totalsRowBorderDxfId="62" headerRowCellStyle="Comma 2">
  <autoFilter ref="A3:AA191" xr:uid="{C1C62CB9-79E0-497E-A079-06B621BAA7FA}">
    <filterColumn colId="11">
      <filters>
        <filter val="4"/>
      </filters>
    </filterColumn>
  </autoFilter>
  <sortState xmlns:xlrd2="http://schemas.microsoft.com/office/spreadsheetml/2017/richdata2" ref="A4:AA191">
    <sortCondition descending="1" ref="L3:L191"/>
  </sortState>
  <tableColumns count="27">
    <tableColumn id="7" xr3:uid="{12E8B687-B3A9-47AD-878D-880B213B4194}" name="ID" dataDxfId="61">
      <calculatedColumnFormula>tblSeverityAnalysis[[#This Row],[Admin 2 P-Code]]</calculatedColumnFormula>
    </tableColumn>
    <tableColumn id="2" xr3:uid="{DE5C2973-C3F7-4CA7-A76B-64D8D90C3D11}" name="Admin 1" dataDxfId="60"/>
    <tableColumn id="15" xr3:uid="{B194334C-81FA-4EF2-9AE3-5E75730B9BF4}" name="Admin 1 P-Code" dataDxfId="59"/>
    <tableColumn id="14" xr3:uid="{3DF13833-849E-4712-95EC-D8335688FB50}" name="Admin 2" dataDxfId="58"/>
    <tableColumn id="3" xr3:uid="{D7B62F2F-A63B-44BE-AE4E-30223A2CCBFD}" name="Admin 2 P-Code" dataDxfId="57"/>
    <tableColumn id="8" xr3:uid="{2EAA504B-FE48-494A-8CCF-FE05D7E55168}" name="Site Management " dataDxfId="56"/>
    <tableColumn id="10" xr3:uid="{8E2042EE-1CD5-45A3-A0F4-6E648C2C2C9A}" name="Education" dataDxfId="55"/>
    <tableColumn id="31" xr3:uid="{623EB35B-A873-438D-B4FC-568020B0E314}" name="Food Security and Livlihoods" dataDxfId="54"/>
    <tableColumn id="18" xr3:uid="{2FAFCAE9-662D-4546-A716-3E4FEBD5F86D}" name="Health " dataDxfId="53" dataCellStyle="Comma"/>
    <tableColumn id="33" xr3:uid="{A3845C6F-B00A-4D3D-BCD9-7001DF7C2BF3}" name="Nutrition" dataDxfId="52"/>
    <tableColumn id="16" xr3:uid="{CCC771BB-071E-462D-BAD3-7ECDFD8BA39C}" name="Protection" dataDxfId="51"/>
    <tableColumn id="11" xr3:uid="{C2D74A6D-BDA9-499B-B531-C38E9D023E99}" name="Shelter NFI " dataDxfId="50">
      <calculatedColumnFormula>_xlfn.XLOOKUP(tblSeverityAnalysis[[#This Row],[Admin 2 P-Code]],'PIN2025'!B:B,'PIN2025'!H:H,0,0)</calculatedColumnFormula>
    </tableColumn>
    <tableColumn id="17" xr3:uid="{E84A9292-43B6-4C5B-94DA-076D49B68338}" name="WASH" dataDxfId="49"/>
    <tableColumn id="21" xr3:uid="{C48240FC-85EC-B548-BDBE-D7ECF22A8C33}" name="CP" dataDxfId="48"/>
    <tableColumn id="23" xr3:uid="{BE6A09F9-4A73-E54A-BF31-9F855B209A36}" name="GBV" dataDxfId="47"/>
    <tableColumn id="25" xr3:uid="{C03DC446-1D83-844A-9E03-2E9406A823F3}" name="Mine Action" dataDxfId="46"/>
    <tableColumn id="22" xr3:uid="{4B787361-B788-4E4D-897A-486A99CAA304}" name="General Protection" dataDxfId="45"/>
    <tableColumn id="32" xr3:uid="{A49C4B3C-7EE7-47B7-8956-A2E6603DB966}" name=" 1 " dataDxfId="44">
      <calculatedColumnFormula>IF(COUNTIF(tblSeverityAnalysis[[#This Row],[Site Management ]:[WASH]], 1)=0, "", COUNTIF(tblSeverityAnalysis[[#This Row],[Site Management ]:[WASH]], 1))</calculatedColumnFormula>
    </tableColumn>
    <tableColumn id="38" xr3:uid="{6D27F5BF-2269-470D-AB93-ECADB389B60C}" name=" 2 " dataDxfId="43">
      <calculatedColumnFormula>IF(COUNTIF(tblSeverityAnalysis[[#This Row],[Site Management ]:[WASH]], 2)=0, "", COUNTIF(tblSeverityAnalysis[[#This Row],[Site Management ]:[WASH]], 2))</calculatedColumnFormula>
    </tableColumn>
    <tableColumn id="39" xr3:uid="{1E74531A-C61A-413B-B1BC-92F41D56542F}" name=" 3 " dataDxfId="42">
      <calculatedColumnFormula>IF(COUNTIF(tblSeverityAnalysis[[#This Row],[Site Management ]:[WASH]], 3)=0, "", COUNTIF(tblSeverityAnalysis[[#This Row],[Site Management ]:[WASH]], 3))</calculatedColumnFormula>
    </tableColumn>
    <tableColumn id="45" xr3:uid="{18DBAD4C-1868-4113-B9B0-5C9A2BE963EB}" name=" 4 " dataDxfId="41">
      <calculatedColumnFormula>IF(COUNTIF(tblSeverityAnalysis[[#This Row],[Site Management ]:[WASH]], 4)=0, "", COUNTIF(tblSeverityAnalysis[[#This Row],[Site Management ]:[WASH]], 4))</calculatedColumnFormula>
    </tableColumn>
    <tableColumn id="50" xr3:uid="{32158D2A-FFD3-47A5-BAD2-0E76DE3E6ECB}" name="5" dataDxfId="40">
      <calculatedColumnFormula>IF(COUNTIF(tblSeverityAnalysis[[#This Row],[Site Management ]:[WASH]], 5)=0, "", COUNTIF(tblSeverityAnalysis[[#This Row],[Site Management ]:[WASH]], 5))</calculatedColumnFormula>
    </tableColumn>
    <tableColumn id="4" xr3:uid="{1A086415-7210-4F6A-AAAF-3E95B16AA640}" name="Severity" dataDxfId="39" dataCellStyle="Comma [0]">
      <calculatedColumnFormula>IFERROR(LARGE(tblSeverityAnalysis[[#This Row],[Site Management ]:[General Protection]],1),"")</calculatedColumnFormula>
    </tableColumn>
    <tableColumn id="1" xr3:uid="{E5324947-EF33-46C6-9A5F-4E4B0271CA4A}" name="1 sectors in severity phase 5 [modify the threshold]" dataDxfId="38">
      <calculatedColumnFormula>IFERROR(IF(AND(tblSeverityAnalysis[[#This Row],[5]] &lt;&gt; "", tblSeverityAnalysis[[#This Row],[5]]&gt;=sectors_sev_5), "Flagged", ""), "")</calculatedColumnFormula>
    </tableColumn>
    <tableColumn id="52" xr3:uid="{F4C98AEA-A2B9-4138-8DCA-1D09D65131D5}" name="Manual Flag" dataDxfId="37"/>
    <tableColumn id="54" xr3:uid="{8AF44857-9B03-4E29-90F4-7BAB96595ABB}" name="Explanation for Manual Flag" dataDxfId="36"/>
    <tableColumn id="43" xr3:uid="{3627B379-5857-4DE8-97E3-98B77B9F16ED}" name="# Flags" dataDxfId="35">
      <calculatedColumnFormula>COUNTIF(tblSeverityAnalysis[[#This Row],[1 sectors in severity phase 5 '[modify the threshold']]:[Manual Flag]], "Flagged")</calculatedColumnFormula>
    </tableColumn>
  </tableColumns>
  <tableStyleInfo name="TableStyleLight11"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85BF5B1A-B6A1-484D-BF81-A5488E04A560}" name="tblSeverityReference" displayName="tblSeverityReference" ref="A3:V191" totalsRowShown="0" headerRowDxfId="34" dataDxfId="32" headerRowBorderDxfId="33" tableBorderDxfId="31" totalsRowBorderDxfId="30" headerRowCellStyle="Comma 2">
  <autoFilter ref="A3:V191" xr:uid="{85BF5B1A-B6A1-484D-BF81-A5488E04A560}"/>
  <tableColumns count="22">
    <tableColumn id="1" xr3:uid="{EA35D9D4-B041-42F8-8CD2-8437E1E1C66A}" name="ID" dataDxfId="29">
      <calculatedColumnFormula>tblSeverityReference[[#This Row],[Admin 2 P-Code]]</calculatedColumnFormula>
    </tableColumn>
    <tableColumn id="2" xr3:uid="{5DC6AC69-6C07-4315-BBEA-5918E5448609}" name="Admin 1" dataDxfId="28"/>
    <tableColumn id="15" xr3:uid="{4EA63701-0CB2-4A55-8370-61E80E5899C0}" name="Admin 1 P-Code" dataDxfId="27"/>
    <tableColumn id="14" xr3:uid="{885AD3D6-0994-4B7D-AE97-97E6A7FE1CDF}" name="Admin 2" dataDxfId="26"/>
    <tableColumn id="3" xr3:uid="{42D64701-C39F-4754-8AE0-045A3E355FD5}" name="Admin 2 P-Code" dataDxfId="25"/>
    <tableColumn id="45" xr3:uid="{557BE843-F5AF-4BDC-ACF8-03C6F968B99F}" name="Crude Death Rate1: &lt;0.5/10,000/day OR " dataDxfId="24"/>
    <tableColumn id="7" xr3:uid="{5F9388E3-72A2-4AA4-A2B3-30F1F64F1CE8}" name="Crude Death Rate:  &lt;0.5/10,000/day OR" dataDxfId="23"/>
    <tableColumn id="5" xr3:uid="{7DEA85F9-5885-491C-88E2-890AAB2E80E7}" name="Crude Death Rate: 0.5-0.99/10,000/day" dataDxfId="22"/>
    <tableColumn id="8" xr3:uid="{E32D3781-4602-4E73-95EB-DA2705ACBF62}" name="Crude Death Rate: 1.0-1.99/10,000/day" dataDxfId="21">
      <calculatedColumnFormula array="1">_xlfn.IFS(AND(tblSeverityReference[[#This Row],[Crude Death Rate1: &lt;0.5/10,000/day OR ]]="", tblSeverityReference[[#This Row],[Crude Death Rate:  &lt;0.5/10,000/day OR]]="", tblSeverityReference[[#This Row],[Crude Death Rate: 0.5-0.99/10,000/day]]=""), "", OR(tblSeverityReference[[#This Row],[Crude Death Rate: 0.5-0.99/10,000/day]]&gt;=2, tblSeverityReference[[#This Row],[Crude Death Rate1: &lt;0.5/10,000/day OR ]]&gt;=2, tblSeverityReference[[#This Row],[Crude Death Rate:  &lt;0.5/10,000/day OR]]&gt;=4), 5, OR(tblSeverityReference[[#This Row],[Crude Death Rate: 0.5-0.99/10,000/day]]&gt;=1, tblSeverityReference[[#This Row],[Crude Death Rate1: &lt;0.5/10,000/day OR ]]&gt;=1, tblSeverityReference[[#This Row],[Crude Death Rate:  &lt;0.5/10,000/day OR]]&gt;=2), 4, OR(tblSeverityReference[[#This Row],[Crude Death Rate: 0.5-0.99/10,000/day]]&gt;=0.5, tblSeverityReference[[#This Row],[Crude Death Rate1: &lt;0.5/10,000/day OR ]]&gt;=0.5, tblSeverityReference[[#This Row],[Crude Death Rate:  &lt;0.5/10,000/day OR]]&gt;=1), 3, OR(tblSeverityReference[[#This Row],[Crude Death Rate: 0.5-0.99/10,000/day]]&gt;=0, tblSeverityReference[[#This Row],[Crude Death Rate1: &lt;0.5/10,000/day OR ]]&gt;=0, tblSeverityReference[[#This Row],[Crude Death Rate:  &lt;0.5/10,000/day OR]]&gt;=0), 2)</calculatedColumnFormula>
    </tableColumn>
    <tableColumn id="31" xr3:uid="{23922B33-0085-45F2-BB44-B33A144B1C54}" name="Crude Death Rate: ≥2/10,000/day" dataDxfId="20"/>
    <tableColumn id="12" xr3:uid="{C6C12292-1F2C-403A-9912-DB64FC439D74}" name="Crude Death Rate Final severity" dataDxfId="19"/>
    <tableColumn id="33" xr3:uid="{7203C1C9-945E-4F25-B27B-179E5D0F90BD}" name="Under-Five Death Rate: &lt;1/10,000/day" dataDxfId="18"/>
    <tableColumn id="18" xr3:uid="{D0C4B065-CC30-4233-B8B6-C90883EA4916}" name="Under-Five Death Rate: &lt;1/10,000/day2" dataDxfId="17"/>
    <tableColumn id="9" xr3:uid="{9F9DE9AB-5588-48E7-BA26-4FB6BCD4482A}" name="Under-Five Death Rate: 1-2/10,000/day_x000a_OR rate &gt; than baseline" dataDxfId="16"/>
    <tableColumn id="10" xr3:uid="{83B53DC6-75D9-431D-B235-F3E11C44957B}" name="Under-Five Death Rate:  2-3.99/10,000/day_x000a_OR rate &gt; 2x rbaseline" dataDxfId="15"/>
    <tableColumn id="4" xr3:uid="{5AD619C5-75BC-457F-82B1-C534ED857923}" name="Under-Five Death Rate: ≥4/10,000/day_x000a_OR rate much greater than 2x baseline" dataDxfId="14" dataCellStyle="Comma"/>
    <tableColumn id="17" xr3:uid="{BCE88250-BB8E-4C8A-9C03-E7022A09521F}" name="Under 5 Death Rate Final severity" dataDxfId="13"/>
    <tableColumn id="46" xr3:uid="{373BD611-D9B0-4066-AB33-A7859A6D501D}" name="Weight for heigh z-score (WHZ) &lt;5%" dataDxfId="12"/>
    <tableColumn id="47" xr3:uid="{05DFD7E1-7704-4386-A5E9-816CD3B72724}" name="WHZ: 5-9.9%" dataDxfId="11"/>
    <tableColumn id="48" xr3:uid="{9C31F5FC-D186-4677-A497-48B112788A30}" name="WHZ: 10-14.9%" dataDxfId="10"/>
    <tableColumn id="49" xr3:uid="{25DA146F-5FA1-4712-894A-54C6A8219859}" name="WHZ: 15-29.9%" dataDxfId="9"/>
    <tableColumn id="50" xr3:uid="{E1913089-62D2-4264-96D2-08B70EFDBB72}" name="WHZ: 30% or higher" dataDxfId="8">
      <calculatedColumnFormula array="1">_xlfn.IFS(SUM(tblSeverityReference[[#This Row],[Under 5 Death Rate Final severity]:[WHZ: 15-29.9%]])=0, "", tblSeverityReference[[#This Row],[WHZ: 15-29.9%]]&gt;0.2, 5, tblSeverityReference[[#This Row],[WHZ: 15-29.9%]]+tblSeverityReference[[#This Row],[WHZ: 10-14.9%]]&gt;0.2, 4, tblSeverityReference[[#This Row],[WHZ: 15-29.9%]]+tblSeverityReference[[#This Row],[WHZ: 10-14.9%]]+tblSeverityReference[[#This Row],[WHZ: 5-9.9%]]&gt;0.2, 3, tblSeverityReference[[#This Row],[WHZ: 15-29.9%]]+tblSeverityReference[[#This Row],[WHZ: 10-14.9%]]+tblSeverityReference[[#This Row],[WHZ: 5-9.9%]]+tblSeverityReference[[#This Row],[Weight for heigh z-score (WHZ) &lt;5%]]&gt;0.2, 2, 1=1, 1)</calculatedColumnFormula>
    </tableColumn>
  </tableColumns>
  <tableStyleInfo name="TableStyleLight11"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table" Target="../tables/table1.xml"/><Relationship Id="rId1" Type="http://schemas.openxmlformats.org/officeDocument/2006/relationships/printerSettings" Target="../printerSettings/printerSettings1.bin"/><Relationship Id="rId4" Type="http://schemas.openxmlformats.org/officeDocument/2006/relationships/table" Target="../tables/table3.xml"/></Relationships>
</file>

<file path=xl/worksheets/_rels/sheet11.xml.rels><?xml version="1.0" encoding="UTF-8" standalone="yes"?>
<Relationships xmlns="http://schemas.openxmlformats.org/package/2006/relationships"><Relationship Id="rId1" Type="http://schemas.openxmlformats.org/officeDocument/2006/relationships/pivotTable" Target="../pivotTables/pivotTable9.xml"/></Relationships>
</file>

<file path=xl/worksheets/_rels/sheet13.xml.rels><?xml version="1.0" encoding="UTF-8" standalone="yes"?>
<Relationships xmlns="http://schemas.openxmlformats.org/package/2006/relationships"><Relationship Id="rId1" Type="http://schemas.openxmlformats.org/officeDocument/2006/relationships/pivotTable" Target="../pivotTables/pivotTable10.xml"/></Relationships>
</file>

<file path=xl/worksheets/_rels/sheet14.xml.rels><?xml version="1.0" encoding="UTF-8" standalone="yes"?>
<Relationships xmlns="http://schemas.openxmlformats.org/package/2006/relationships"><Relationship Id="rId1" Type="http://schemas.openxmlformats.org/officeDocument/2006/relationships/table" Target="../tables/table5.xml"/></Relationships>
</file>

<file path=xl/worksheets/_rels/sheet15.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5.bin"/></Relationships>
</file>

<file path=xl/worksheets/_rels/sheet16.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printerSettings" Target="../printerSettings/printerSettings6.bin"/></Relationships>
</file>

<file path=xl/worksheets/_rels/sheet18.xml.rels><?xml version="1.0" encoding="UTF-8" standalone="yes"?>
<Relationships xmlns="http://schemas.openxmlformats.org/package/2006/relationships"><Relationship Id="rId2" Type="http://schemas.openxmlformats.org/officeDocument/2006/relationships/table" Target="../tables/table8.xml"/><Relationship Id="rId1" Type="http://schemas.openxmlformats.org/officeDocument/2006/relationships/printerSettings" Target="../printerSettings/printerSettings7.bin"/></Relationships>
</file>

<file path=xl/worksheets/_rels/sheet19.xml.rels><?xml version="1.0" encoding="UTF-8" standalone="yes"?>
<Relationships xmlns="http://schemas.openxmlformats.org/package/2006/relationships"><Relationship Id="rId3" Type="http://schemas.openxmlformats.org/officeDocument/2006/relationships/pivotTable" Target="../pivotTables/pivotTable13.xml"/><Relationship Id="rId2" Type="http://schemas.openxmlformats.org/officeDocument/2006/relationships/pivotTable" Target="../pivotTables/pivotTable12.xml"/><Relationship Id="rId1" Type="http://schemas.openxmlformats.org/officeDocument/2006/relationships/pivotTable" Target="../pivotTables/pivotTable11.xml"/><Relationship Id="rId6" Type="http://schemas.openxmlformats.org/officeDocument/2006/relationships/pivotTable" Target="../pivotTables/pivotTable16.xml"/><Relationship Id="rId5" Type="http://schemas.openxmlformats.org/officeDocument/2006/relationships/pivotTable" Target="../pivotTables/pivotTable15.xml"/><Relationship Id="rId4" Type="http://schemas.openxmlformats.org/officeDocument/2006/relationships/pivotTable" Target="../pivotTables/pivotTable14.xml"/></Relationships>
</file>

<file path=xl/worksheets/_rels/sheet3.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4.xml.rels><?xml version="1.0" encoding="UTF-8" standalone="yes"?>
<Relationships xmlns="http://schemas.openxmlformats.org/package/2006/relationships"><Relationship Id="rId3" Type="http://schemas.openxmlformats.org/officeDocument/2006/relationships/pivotTable" Target="../pivotTables/pivotTable4.xml"/><Relationship Id="rId2" Type="http://schemas.openxmlformats.org/officeDocument/2006/relationships/pivotTable" Target="../pivotTables/pivotTable3.xml"/><Relationship Id="rId1" Type="http://schemas.openxmlformats.org/officeDocument/2006/relationships/pivotTable" Target="../pivotTables/pivotTable2.xml"/><Relationship Id="rId5" Type="http://schemas.openxmlformats.org/officeDocument/2006/relationships/printerSettings" Target="../printerSettings/printerSettings2.bin"/><Relationship Id="rId4" Type="http://schemas.openxmlformats.org/officeDocument/2006/relationships/pivotTable" Target="../pivotTables/pivotTable5.xml"/></Relationships>
</file>

<file path=xl/worksheets/_rels/sheet5.xml.rels><?xml version="1.0" encoding="UTF-8" standalone="yes"?>
<Relationships xmlns="http://schemas.openxmlformats.org/package/2006/relationships"><Relationship Id="rId1" Type="http://schemas.openxmlformats.org/officeDocument/2006/relationships/pivotTable" Target="../pivotTables/pivotTable6.xml"/></Relationships>
</file>

<file path=xl/worksheets/_rels/sheet6.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vmlDrawing" Target="../drawings/vmlDrawing1.v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pivotTable" Target="../pivotTables/pivotTable8.xml"/><Relationship Id="rId1" Type="http://schemas.openxmlformats.org/officeDocument/2006/relationships/pivotTable" Target="../pivotTables/pivotTable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225889-E388-4FA4-B65E-534DEACB1C87}">
  <sheetPr codeName="Sheet9">
    <tabColor theme="0" tint="-0.14999847407452621"/>
  </sheetPr>
  <dimension ref="A1:I39"/>
  <sheetViews>
    <sheetView zoomScale="80" zoomScaleNormal="80" workbookViewId="0">
      <selection activeCell="F27" sqref="F27"/>
    </sheetView>
  </sheetViews>
  <sheetFormatPr defaultColWidth="8.7109375" defaultRowHeight="11.25" x14ac:dyDescent="0.2"/>
  <cols>
    <col min="1" max="1" width="33.28515625" style="3" customWidth="1"/>
    <col min="2" max="2" width="48.7109375" style="3" customWidth="1"/>
    <col min="3" max="3" width="17.28515625" style="3" customWidth="1"/>
    <col min="4" max="4" width="14.28515625" style="3" customWidth="1"/>
    <col min="5" max="5" width="21.28515625" style="3" customWidth="1"/>
    <col min="6" max="6" width="27.28515625" style="3" customWidth="1"/>
    <col min="7" max="7" width="17" style="3" bestFit="1" customWidth="1"/>
    <col min="8" max="8" width="13" style="3" bestFit="1" customWidth="1"/>
    <col min="9" max="9" width="17.7109375" style="3" bestFit="1" customWidth="1"/>
    <col min="10" max="16384" width="8.7109375" style="3"/>
  </cols>
  <sheetData>
    <row r="1" spans="1:9" x14ac:dyDescent="0.2">
      <c r="C1" s="390" t="s">
        <v>0</v>
      </c>
      <c r="D1" s="390"/>
      <c r="E1" s="390"/>
      <c r="F1" s="390"/>
    </row>
    <row r="3" spans="1:9" x14ac:dyDescent="0.2">
      <c r="C3" s="390" t="s">
        <v>1</v>
      </c>
      <c r="D3" s="390"/>
      <c r="E3" s="390"/>
      <c r="F3" s="390"/>
    </row>
    <row r="4" spans="1:9" hidden="1" x14ac:dyDescent="0.2"/>
    <row r="5" spans="1:9" hidden="1" x14ac:dyDescent="0.2">
      <c r="B5" s="385" t="s">
        <v>2</v>
      </c>
      <c r="C5" s="385"/>
      <c r="D5" s="385"/>
      <c r="E5" s="385"/>
      <c r="F5" s="385"/>
      <c r="G5" s="385"/>
    </row>
    <row r="6" spans="1:9" hidden="1" x14ac:dyDescent="0.2">
      <c r="B6" s="387" t="s">
        <v>3</v>
      </c>
      <c r="C6" s="388"/>
      <c r="D6" s="387" t="s">
        <v>4</v>
      </c>
      <c r="E6" s="388"/>
      <c r="F6" s="387" t="s">
        <v>5</v>
      </c>
      <c r="G6" s="388"/>
      <c r="H6" s="387" t="s">
        <v>6</v>
      </c>
      <c r="I6" s="388"/>
    </row>
    <row r="7" spans="1:9" hidden="1" x14ac:dyDescent="0.2">
      <c r="B7" s="3" t="s">
        <v>7</v>
      </c>
      <c r="C7" s="3" t="s">
        <v>8</v>
      </c>
      <c r="D7" s="3" t="s">
        <v>9</v>
      </c>
      <c r="E7" s="3" t="s">
        <v>10</v>
      </c>
      <c r="F7" s="10" t="s">
        <v>11</v>
      </c>
      <c r="G7" s="9" t="s">
        <v>12</v>
      </c>
      <c r="H7" s="10" t="s">
        <v>13</v>
      </c>
      <c r="I7" s="10" t="s">
        <v>14</v>
      </c>
    </row>
    <row r="8" spans="1:9" hidden="1" x14ac:dyDescent="0.2">
      <c r="B8" s="8"/>
      <c r="C8" s="8"/>
      <c r="D8" s="8"/>
      <c r="E8" s="8"/>
      <c r="F8" s="8"/>
      <c r="G8" s="8"/>
      <c r="H8" s="8"/>
      <c r="I8" s="8"/>
    </row>
    <row r="9" spans="1:9" hidden="1" x14ac:dyDescent="0.2">
      <c r="B9" s="8"/>
      <c r="C9" s="8"/>
      <c r="D9" s="8"/>
      <c r="E9" s="8"/>
      <c r="F9" s="8"/>
      <c r="G9" s="8"/>
    </row>
    <row r="10" spans="1:9" hidden="1" x14ac:dyDescent="0.2"/>
    <row r="12" spans="1:9" x14ac:dyDescent="0.2">
      <c r="B12" s="389" t="s">
        <v>15</v>
      </c>
      <c r="C12" s="389"/>
    </row>
    <row r="13" spans="1:9" ht="22.5" x14ac:dyDescent="0.2">
      <c r="A13" s="79" t="s">
        <v>16</v>
      </c>
      <c r="B13" s="101" t="s">
        <v>17</v>
      </c>
      <c r="C13" s="102" t="s">
        <v>18</v>
      </c>
      <c r="D13" s="103" t="s">
        <v>19</v>
      </c>
      <c r="E13" s="101" t="s">
        <v>20</v>
      </c>
      <c r="F13" s="101" t="s">
        <v>21</v>
      </c>
    </row>
    <row r="14" spans="1:9" s="90" customFormat="1" x14ac:dyDescent="0.2">
      <c r="A14" s="104"/>
      <c r="B14" s="105" t="s">
        <v>22</v>
      </c>
      <c r="C14" s="104">
        <v>2</v>
      </c>
      <c r="D14" s="104">
        <v>2</v>
      </c>
      <c r="E14" s="104"/>
      <c r="F14" s="104" t="s">
        <v>23</v>
      </c>
    </row>
    <row r="15" spans="1:9" ht="45" customHeight="1" x14ac:dyDescent="0.2">
      <c r="A15" s="4" t="s">
        <v>24</v>
      </c>
      <c r="B15" s="89" t="s">
        <v>25</v>
      </c>
      <c r="C15" s="78">
        <v>0.3</v>
      </c>
      <c r="D15" s="78">
        <v>0.3</v>
      </c>
      <c r="E15" s="4"/>
      <c r="F15" s="4" t="s">
        <v>26</v>
      </c>
    </row>
    <row r="16" spans="1:9" ht="22.5" x14ac:dyDescent="0.2">
      <c r="A16" s="4" t="s">
        <v>27</v>
      </c>
      <c r="B16" s="89" t="s">
        <v>28</v>
      </c>
      <c r="C16" s="78">
        <v>0.5</v>
      </c>
      <c r="D16" s="78">
        <v>0.5</v>
      </c>
      <c r="E16" s="4"/>
      <c r="F16" s="4" t="s">
        <v>26</v>
      </c>
    </row>
    <row r="17" spans="1:6" ht="22.5" x14ac:dyDescent="0.2">
      <c r="A17" s="4" t="s">
        <v>29</v>
      </c>
      <c r="B17" s="89" t="s">
        <v>30</v>
      </c>
      <c r="C17" s="78"/>
      <c r="D17" s="4"/>
      <c r="E17" s="4"/>
      <c r="F17" s="4"/>
    </row>
    <row r="18" spans="1:6" ht="22.5" x14ac:dyDescent="0.2">
      <c r="A18" s="4" t="s">
        <v>31</v>
      </c>
      <c r="B18" s="89" t="s">
        <v>32</v>
      </c>
      <c r="C18" s="78">
        <v>0.9</v>
      </c>
      <c r="D18" s="78">
        <v>0.9</v>
      </c>
      <c r="E18" s="4"/>
      <c r="F18" s="4"/>
    </row>
    <row r="19" spans="1:6" ht="33.75" x14ac:dyDescent="0.2">
      <c r="A19" s="4" t="s">
        <v>33</v>
      </c>
      <c r="B19" s="89" t="s">
        <v>34</v>
      </c>
      <c r="C19" s="78">
        <v>1</v>
      </c>
      <c r="D19" s="78">
        <v>1</v>
      </c>
      <c r="E19" s="4"/>
      <c r="F19" s="4"/>
    </row>
    <row r="20" spans="1:6" ht="22.5" x14ac:dyDescent="0.2">
      <c r="A20" s="4" t="s">
        <v>35</v>
      </c>
      <c r="B20" s="89" t="s">
        <v>36</v>
      </c>
      <c r="C20" s="78"/>
      <c r="D20" s="78"/>
      <c r="E20" s="4"/>
      <c r="F20" s="4"/>
    </row>
    <row r="21" spans="1:6" s="90" customFormat="1" ht="29.25" hidden="1" customHeight="1" x14ac:dyDescent="0.2">
      <c r="B21" s="99" t="s">
        <v>37</v>
      </c>
      <c r="C21" s="100"/>
      <c r="D21" s="100"/>
      <c r="E21" s="91"/>
      <c r="F21" s="91"/>
    </row>
    <row r="22" spans="1:6" s="98" customFormat="1" ht="22.5" hidden="1" x14ac:dyDescent="0.2">
      <c r="B22" s="95" t="s">
        <v>38</v>
      </c>
      <c r="C22" s="96" t="s">
        <v>39</v>
      </c>
      <c r="D22" s="96" t="s">
        <v>39</v>
      </c>
      <c r="E22" s="97"/>
      <c r="F22" s="97" t="s">
        <v>26</v>
      </c>
    </row>
    <row r="23" spans="1:6" s="92" customFormat="1" x14ac:dyDescent="0.2">
      <c r="B23" s="93"/>
      <c r="C23" s="94"/>
      <c r="D23" s="94"/>
    </row>
    <row r="24" spans="1:6" x14ac:dyDescent="0.2">
      <c r="B24" s="389" t="s">
        <v>40</v>
      </c>
      <c r="C24" s="389"/>
    </row>
    <row r="25" spans="1:6" ht="33.75" x14ac:dyDescent="0.2">
      <c r="B25" s="7" t="s">
        <v>41</v>
      </c>
      <c r="C25" s="6" t="s">
        <v>42</v>
      </c>
    </row>
    <row r="26" spans="1:6" ht="12.75" x14ac:dyDescent="0.2">
      <c r="A26" s="113" t="s">
        <v>43</v>
      </c>
      <c r="B26" s="4" t="s">
        <v>44</v>
      </c>
      <c r="C26" s="5"/>
    </row>
    <row r="27" spans="1:6" x14ac:dyDescent="0.2">
      <c r="A27" s="386" t="s">
        <v>45</v>
      </c>
      <c r="B27" s="4" t="s">
        <v>46</v>
      </c>
      <c r="C27" s="5"/>
    </row>
    <row r="28" spans="1:6" x14ac:dyDescent="0.2">
      <c r="A28" s="386"/>
      <c r="B28" s="27"/>
      <c r="C28" s="5"/>
    </row>
    <row r="29" spans="1:6" x14ac:dyDescent="0.2">
      <c r="A29" s="386"/>
      <c r="B29" s="4"/>
      <c r="C29" s="5"/>
    </row>
    <row r="30" spans="1:6" x14ac:dyDescent="0.2">
      <c r="A30" s="386"/>
    </row>
    <row r="31" spans="1:6" x14ac:dyDescent="0.2">
      <c r="A31" s="386"/>
      <c r="B31" s="11"/>
      <c r="C31" s="48"/>
    </row>
    <row r="32" spans="1:6" ht="22.5" customHeight="1" x14ac:dyDescent="0.2">
      <c r="B32" s="385" t="s">
        <v>47</v>
      </c>
      <c r="C32" s="385"/>
    </row>
    <row r="33" spans="2:5" ht="33.75" x14ac:dyDescent="0.2">
      <c r="B33" s="79" t="s">
        <v>48</v>
      </c>
      <c r="C33" s="80" t="s">
        <v>18</v>
      </c>
      <c r="D33" s="81" t="s">
        <v>19</v>
      </c>
      <c r="E33" s="79" t="s">
        <v>20</v>
      </c>
    </row>
    <row r="34" spans="2:5" x14ac:dyDescent="0.2">
      <c r="B34" s="74" t="s">
        <v>49</v>
      </c>
      <c r="C34" s="75">
        <v>1</v>
      </c>
      <c r="D34" s="76">
        <v>1</v>
      </c>
      <c r="E34" s="76"/>
    </row>
    <row r="35" spans="2:5" x14ac:dyDescent="0.2">
      <c r="B35" s="89" t="s">
        <v>50</v>
      </c>
      <c r="C35" s="4">
        <v>5</v>
      </c>
      <c r="D35" s="4">
        <v>5</v>
      </c>
      <c r="E35" s="5"/>
    </row>
    <row r="36" spans="2:5" x14ac:dyDescent="0.2">
      <c r="B36" s="11"/>
      <c r="C36" s="48"/>
    </row>
    <row r="37" spans="2:5" x14ac:dyDescent="0.2">
      <c r="B37" s="11"/>
      <c r="C37" s="48"/>
    </row>
    <row r="38" spans="2:5" x14ac:dyDescent="0.2">
      <c r="B38" s="106" t="s">
        <v>51</v>
      </c>
      <c r="C38" s="107"/>
      <c r="D38" s="107"/>
      <c r="E38" s="107"/>
    </row>
    <row r="39" spans="2:5" x14ac:dyDescent="0.2">
      <c r="B39" s="4"/>
      <c r="C39" s="4"/>
      <c r="D39" s="4"/>
      <c r="E39" s="4"/>
    </row>
  </sheetData>
  <mergeCells count="11">
    <mergeCell ref="C1:F1"/>
    <mergeCell ref="C3:F3"/>
    <mergeCell ref="B5:G5"/>
    <mergeCell ref="D6:E6"/>
    <mergeCell ref="F6:G6"/>
    <mergeCell ref="B6:C6"/>
    <mergeCell ref="B32:C32"/>
    <mergeCell ref="A27:A31"/>
    <mergeCell ref="H6:I6"/>
    <mergeCell ref="B24:C24"/>
    <mergeCell ref="B12:C12"/>
  </mergeCells>
  <phoneticPr fontId="9" type="noConversion"/>
  <pageMargins left="0.7" right="0.7" top="0.75" bottom="0.75" header="0.3" footer="0.3"/>
  <pageSetup paperSize="9" orientation="portrait" r:id="rId1"/>
  <tableParts count="3">
    <tablePart r:id="rId2"/>
    <tablePart r:id="rId3"/>
    <tablePart r:id="rId4"/>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DE5A8C-4389-47AE-AFF2-6EE54D011CD8}">
  <dimension ref="A1:O763"/>
  <sheetViews>
    <sheetView topLeftCell="A3" workbookViewId="0">
      <selection activeCell="N3" sqref="N1:N1048576"/>
    </sheetView>
  </sheetViews>
  <sheetFormatPr defaultRowHeight="15" x14ac:dyDescent="0.25"/>
  <cols>
    <col min="2" max="2" width="16.5703125" style="13" customWidth="1"/>
    <col min="3" max="3" width="14.7109375" style="61" customWidth="1"/>
    <col min="4" max="4" width="17.28515625" style="61" customWidth="1"/>
    <col min="5" max="5" width="18" style="61" customWidth="1"/>
    <col min="6" max="6" width="14.7109375" style="13" customWidth="1"/>
    <col min="7" max="7" width="18" style="13" customWidth="1"/>
    <col min="8" max="8" width="14" style="14" customWidth="1"/>
    <col min="9" max="9" width="16.85546875" style="14" customWidth="1"/>
  </cols>
  <sheetData>
    <row r="1" spans="1:15" ht="15.75" thickBot="1" x14ac:dyDescent="0.3">
      <c r="A1">
        <v>24779309.0053</v>
      </c>
      <c r="B1" s="19"/>
      <c r="C1" s="57"/>
      <c r="D1" s="57"/>
      <c r="E1" s="57"/>
      <c r="F1" s="19"/>
      <c r="G1" s="19"/>
      <c r="H1" s="20"/>
      <c r="I1" s="20"/>
    </row>
    <row r="2" spans="1:15" ht="16.5" thickTop="1" thickBot="1" x14ac:dyDescent="0.3">
      <c r="B2" s="415" t="s">
        <v>55</v>
      </c>
      <c r="C2" s="415"/>
      <c r="D2" s="415"/>
      <c r="E2" s="415"/>
      <c r="F2" s="415"/>
      <c r="G2" s="415"/>
      <c r="H2" s="41" t="s">
        <v>290</v>
      </c>
      <c r="I2" s="125"/>
      <c r="M2" t="s">
        <v>575</v>
      </c>
      <c r="N2" t="s">
        <v>576</v>
      </c>
    </row>
    <row r="3" spans="1:15" ht="27" thickTop="1" thickBot="1" x14ac:dyDescent="0.3">
      <c r="A3" t="s">
        <v>322</v>
      </c>
      <c r="B3" s="112" t="s">
        <v>69</v>
      </c>
      <c r="C3" s="58" t="s">
        <v>295</v>
      </c>
      <c r="D3" s="58" t="s">
        <v>70</v>
      </c>
      <c r="E3" s="58" t="s">
        <v>139</v>
      </c>
      <c r="F3" s="38" t="s">
        <v>71</v>
      </c>
      <c r="G3" s="38" t="s">
        <v>296</v>
      </c>
      <c r="H3" s="55" t="s">
        <v>577</v>
      </c>
      <c r="I3" s="39" t="s">
        <v>137</v>
      </c>
      <c r="L3" t="s">
        <v>139</v>
      </c>
      <c r="M3" t="s">
        <v>578</v>
      </c>
      <c r="N3" t="s">
        <v>579</v>
      </c>
      <c r="O3" t="s">
        <v>580</v>
      </c>
    </row>
    <row r="4" spans="1:15" ht="15.75" thickTop="1" x14ac:dyDescent="0.25">
      <c r="A4">
        <v>0</v>
      </c>
      <c r="B4" s="128" t="s">
        <v>144</v>
      </c>
      <c r="C4" s="124" t="s">
        <v>136</v>
      </c>
      <c r="D4" s="143" t="s">
        <v>574</v>
      </c>
      <c r="E4" s="59" t="s">
        <v>573</v>
      </c>
      <c r="F4" s="54"/>
      <c r="G4" s="29"/>
      <c r="H4" s="53">
        <v>0</v>
      </c>
      <c r="I4" s="53" t="s">
        <v>88</v>
      </c>
      <c r="L4" t="s">
        <v>324</v>
      </c>
      <c r="M4">
        <v>5</v>
      </c>
      <c r="N4">
        <v>5</v>
      </c>
      <c r="O4">
        <v>4</v>
      </c>
    </row>
    <row r="5" spans="1:15" x14ac:dyDescent="0.25">
      <c r="A5">
        <v>21980</v>
      </c>
      <c r="B5" s="128" t="s">
        <v>147</v>
      </c>
      <c r="C5" s="124" t="s">
        <v>132</v>
      </c>
      <c r="D5" s="144" t="s">
        <v>504</v>
      </c>
      <c r="E5" s="59" t="s">
        <v>505</v>
      </c>
      <c r="F5" s="54"/>
      <c r="G5" s="29"/>
      <c r="H5" s="53">
        <v>21980</v>
      </c>
      <c r="I5" s="53" t="s">
        <v>88</v>
      </c>
      <c r="L5" t="s">
        <v>326</v>
      </c>
      <c r="M5">
        <v>5</v>
      </c>
      <c r="N5">
        <v>5</v>
      </c>
      <c r="O5">
        <v>4</v>
      </c>
    </row>
    <row r="6" spans="1:15" x14ac:dyDescent="0.25">
      <c r="A6">
        <v>72235</v>
      </c>
      <c r="B6" s="33" t="s">
        <v>147</v>
      </c>
      <c r="C6" s="124" t="s">
        <v>132</v>
      </c>
      <c r="D6" s="144" t="s">
        <v>506</v>
      </c>
      <c r="E6" s="59" t="s">
        <v>507</v>
      </c>
      <c r="F6" s="54"/>
      <c r="G6" s="29"/>
      <c r="H6" s="53">
        <v>72235</v>
      </c>
      <c r="I6" s="53" t="s">
        <v>88</v>
      </c>
      <c r="L6" t="s">
        <v>328</v>
      </c>
      <c r="M6">
        <v>5</v>
      </c>
      <c r="N6">
        <v>5</v>
      </c>
      <c r="O6">
        <v>4</v>
      </c>
    </row>
    <row r="7" spans="1:15" x14ac:dyDescent="0.25">
      <c r="A7">
        <v>29680</v>
      </c>
      <c r="B7" s="128" t="s">
        <v>147</v>
      </c>
      <c r="C7" s="124" t="s">
        <v>132</v>
      </c>
      <c r="D7" s="144" t="s">
        <v>508</v>
      </c>
      <c r="E7" s="59" t="s">
        <v>509</v>
      </c>
      <c r="F7" s="54"/>
      <c r="G7" s="29"/>
      <c r="H7" s="53">
        <v>29680</v>
      </c>
      <c r="I7" s="53" t="s">
        <v>88</v>
      </c>
      <c r="L7" t="s">
        <v>330</v>
      </c>
      <c r="M7">
        <v>5</v>
      </c>
      <c r="N7">
        <v>4</v>
      </c>
      <c r="O7">
        <v>4</v>
      </c>
    </row>
    <row r="8" spans="1:15" x14ac:dyDescent="0.25">
      <c r="A8">
        <v>9110</v>
      </c>
      <c r="B8" s="33" t="s">
        <v>147</v>
      </c>
      <c r="C8" s="124" t="s">
        <v>132</v>
      </c>
      <c r="D8" s="144" t="s">
        <v>510</v>
      </c>
      <c r="E8" s="59" t="s">
        <v>511</v>
      </c>
      <c r="F8" s="54"/>
      <c r="G8" s="29"/>
      <c r="H8" s="53">
        <v>9110</v>
      </c>
      <c r="I8" s="53" t="s">
        <v>88</v>
      </c>
      <c r="L8" t="s">
        <v>332</v>
      </c>
      <c r="M8">
        <v>5</v>
      </c>
      <c r="N8">
        <v>4</v>
      </c>
      <c r="O8">
        <v>5</v>
      </c>
    </row>
    <row r="9" spans="1:15" x14ac:dyDescent="0.25">
      <c r="A9">
        <v>21966</v>
      </c>
      <c r="B9" s="33" t="s">
        <v>147</v>
      </c>
      <c r="C9" s="124" t="s">
        <v>132</v>
      </c>
      <c r="D9" s="144" t="s">
        <v>498</v>
      </c>
      <c r="E9" s="59" t="s">
        <v>499</v>
      </c>
      <c r="F9" s="54"/>
      <c r="G9" s="29"/>
      <c r="H9" s="53">
        <v>21966</v>
      </c>
      <c r="I9" s="53" t="s">
        <v>88</v>
      </c>
      <c r="L9" t="s">
        <v>334</v>
      </c>
      <c r="M9">
        <v>5</v>
      </c>
      <c r="N9">
        <v>5</v>
      </c>
      <c r="O9">
        <v>5</v>
      </c>
    </row>
    <row r="10" spans="1:15" x14ac:dyDescent="0.25">
      <c r="A10">
        <v>57694</v>
      </c>
      <c r="B10" s="33" t="s">
        <v>147</v>
      </c>
      <c r="C10" s="124" t="s">
        <v>132</v>
      </c>
      <c r="D10" s="144" t="s">
        <v>496</v>
      </c>
      <c r="E10" s="59" t="s">
        <v>497</v>
      </c>
      <c r="F10" s="54"/>
      <c r="G10" s="29"/>
      <c r="H10" s="53">
        <v>57694</v>
      </c>
      <c r="I10" s="53" t="s">
        <v>88</v>
      </c>
      <c r="L10" t="s">
        <v>335</v>
      </c>
      <c r="M10">
        <v>5</v>
      </c>
      <c r="N10">
        <v>5</v>
      </c>
      <c r="O10">
        <v>5</v>
      </c>
    </row>
    <row r="11" spans="1:15" x14ac:dyDescent="0.25">
      <c r="A11">
        <v>14210</v>
      </c>
      <c r="B11" s="33" t="s">
        <v>147</v>
      </c>
      <c r="C11" s="124" t="s">
        <v>132</v>
      </c>
      <c r="D11" s="144" t="s">
        <v>502</v>
      </c>
      <c r="E11" s="59" t="s">
        <v>503</v>
      </c>
      <c r="F11" s="54"/>
      <c r="G11" s="29"/>
      <c r="H11" s="53">
        <v>14210</v>
      </c>
      <c r="I11" s="53" t="s">
        <v>88</v>
      </c>
      <c r="L11" t="s">
        <v>195</v>
      </c>
      <c r="M11">
        <v>4</v>
      </c>
      <c r="N11">
        <v>4</v>
      </c>
      <c r="O11">
        <v>4</v>
      </c>
    </row>
    <row r="12" spans="1:15" x14ac:dyDescent="0.25">
      <c r="A12">
        <v>43029</v>
      </c>
      <c r="B12" s="33" t="s">
        <v>147</v>
      </c>
      <c r="C12" s="124" t="s">
        <v>132</v>
      </c>
      <c r="D12" s="144" t="s">
        <v>500</v>
      </c>
      <c r="E12" s="59" t="s">
        <v>501</v>
      </c>
      <c r="F12" s="54"/>
      <c r="G12" s="29"/>
      <c r="H12" s="53">
        <v>43029</v>
      </c>
      <c r="I12" s="53" t="s">
        <v>88</v>
      </c>
      <c r="L12" t="s">
        <v>198</v>
      </c>
      <c r="M12">
        <v>5</v>
      </c>
      <c r="N12">
        <v>5</v>
      </c>
      <c r="O12">
        <v>4</v>
      </c>
    </row>
    <row r="13" spans="1:15" x14ac:dyDescent="0.25">
      <c r="A13">
        <v>19116</v>
      </c>
      <c r="B13" s="33" t="s">
        <v>150</v>
      </c>
      <c r="C13" s="124" t="s">
        <v>125</v>
      </c>
      <c r="D13" s="144" t="s">
        <v>374</v>
      </c>
      <c r="E13" s="59" t="s">
        <v>375</v>
      </c>
      <c r="F13" s="54"/>
      <c r="G13" s="29"/>
      <c r="H13" s="53">
        <v>19116</v>
      </c>
      <c r="I13" s="53" t="s">
        <v>88</v>
      </c>
      <c r="L13" t="s">
        <v>200</v>
      </c>
      <c r="M13">
        <v>3</v>
      </c>
      <c r="N13">
        <v>3</v>
      </c>
      <c r="O13">
        <v>3</v>
      </c>
    </row>
    <row r="14" spans="1:15" x14ac:dyDescent="0.25">
      <c r="A14">
        <v>32755</v>
      </c>
      <c r="B14" s="33" t="s">
        <v>150</v>
      </c>
      <c r="C14" s="124" t="s">
        <v>125</v>
      </c>
      <c r="D14" s="144" t="s">
        <v>376</v>
      </c>
      <c r="E14" s="59" t="s">
        <v>377</v>
      </c>
      <c r="F14" s="54"/>
      <c r="G14" s="29"/>
      <c r="H14" s="53">
        <v>32755</v>
      </c>
      <c r="I14" s="53" t="s">
        <v>88</v>
      </c>
      <c r="L14" t="s">
        <v>202</v>
      </c>
      <c r="M14">
        <v>3</v>
      </c>
      <c r="N14">
        <v>3</v>
      </c>
      <c r="O14">
        <v>3</v>
      </c>
    </row>
    <row r="15" spans="1:15" x14ac:dyDescent="0.25">
      <c r="A15">
        <v>16752</v>
      </c>
      <c r="B15" s="128" t="s">
        <v>150</v>
      </c>
      <c r="C15" s="124" t="s">
        <v>125</v>
      </c>
      <c r="D15" s="144" t="s">
        <v>378</v>
      </c>
      <c r="E15" s="59" t="s">
        <v>379</v>
      </c>
      <c r="F15" s="54"/>
      <c r="G15" s="29"/>
      <c r="H15" s="53">
        <v>16752</v>
      </c>
      <c r="I15" s="53" t="s">
        <v>88</v>
      </c>
      <c r="L15" t="s">
        <v>204</v>
      </c>
      <c r="M15">
        <v>5</v>
      </c>
      <c r="N15">
        <v>4</v>
      </c>
      <c r="O15">
        <v>4</v>
      </c>
    </row>
    <row r="16" spans="1:15" x14ac:dyDescent="0.25">
      <c r="A16">
        <v>41256</v>
      </c>
      <c r="B16" s="33" t="s">
        <v>150</v>
      </c>
      <c r="C16" s="124" t="s">
        <v>125</v>
      </c>
      <c r="D16" s="144" t="s">
        <v>370</v>
      </c>
      <c r="E16" s="59" t="s">
        <v>371</v>
      </c>
      <c r="F16" s="54"/>
      <c r="G16" s="29"/>
      <c r="H16" s="53">
        <v>41256</v>
      </c>
      <c r="I16" s="53" t="s">
        <v>88</v>
      </c>
      <c r="L16" t="s">
        <v>206</v>
      </c>
      <c r="M16">
        <v>3</v>
      </c>
      <c r="N16">
        <v>3</v>
      </c>
      <c r="O16">
        <v>3</v>
      </c>
    </row>
    <row r="17" spans="1:15" x14ac:dyDescent="0.25">
      <c r="A17">
        <v>49284</v>
      </c>
      <c r="B17" s="33" t="s">
        <v>150</v>
      </c>
      <c r="C17" s="124" t="s">
        <v>125</v>
      </c>
      <c r="D17" s="144" t="s">
        <v>372</v>
      </c>
      <c r="E17" s="59" t="s">
        <v>373</v>
      </c>
      <c r="F17" s="54"/>
      <c r="G17" s="29"/>
      <c r="H17" s="53">
        <v>49284</v>
      </c>
      <c r="I17" s="53" t="s">
        <v>88</v>
      </c>
      <c r="L17" t="s">
        <v>208</v>
      </c>
      <c r="M17">
        <v>3</v>
      </c>
      <c r="N17">
        <v>3</v>
      </c>
      <c r="O17">
        <v>3</v>
      </c>
    </row>
    <row r="18" spans="1:15" x14ac:dyDescent="0.25">
      <c r="A18">
        <v>29421</v>
      </c>
      <c r="B18" s="33" t="s">
        <v>150</v>
      </c>
      <c r="C18" s="124" t="s">
        <v>125</v>
      </c>
      <c r="D18" s="144" t="s">
        <v>380</v>
      </c>
      <c r="E18" s="59" t="s">
        <v>381</v>
      </c>
      <c r="F18" s="54"/>
      <c r="G18" s="29"/>
      <c r="H18" s="53">
        <v>29421</v>
      </c>
      <c r="I18" s="53" t="s">
        <v>88</v>
      </c>
      <c r="L18" t="s">
        <v>210</v>
      </c>
      <c r="M18">
        <v>5</v>
      </c>
      <c r="N18">
        <v>5</v>
      </c>
      <c r="O18">
        <v>5</v>
      </c>
    </row>
    <row r="19" spans="1:15" x14ac:dyDescent="0.25">
      <c r="A19">
        <v>7801</v>
      </c>
      <c r="B19" s="33" t="s">
        <v>150</v>
      </c>
      <c r="C19" s="124" t="s">
        <v>125</v>
      </c>
      <c r="D19" s="144" t="s">
        <v>382</v>
      </c>
      <c r="E19" s="59" t="s">
        <v>383</v>
      </c>
      <c r="F19" s="54"/>
      <c r="G19" s="29"/>
      <c r="H19" s="53">
        <v>7801</v>
      </c>
      <c r="I19" s="53" t="s">
        <v>88</v>
      </c>
      <c r="L19" t="s">
        <v>212</v>
      </c>
      <c r="M19">
        <v>3</v>
      </c>
      <c r="N19">
        <v>3</v>
      </c>
      <c r="O19">
        <v>3</v>
      </c>
    </row>
    <row r="20" spans="1:15" x14ac:dyDescent="0.25">
      <c r="A20">
        <v>75900</v>
      </c>
      <c r="B20" s="33" t="s">
        <v>141</v>
      </c>
      <c r="C20" s="124" t="s">
        <v>123</v>
      </c>
      <c r="D20" s="144" t="s">
        <v>143</v>
      </c>
      <c r="E20" s="59" t="s">
        <v>142</v>
      </c>
      <c r="F20" s="54"/>
      <c r="G20" s="29"/>
      <c r="H20" s="53">
        <v>75900</v>
      </c>
      <c r="I20" s="53" t="s">
        <v>88</v>
      </c>
      <c r="L20" t="s">
        <v>214</v>
      </c>
      <c r="M20">
        <v>5</v>
      </c>
      <c r="N20">
        <v>5</v>
      </c>
      <c r="O20">
        <v>5</v>
      </c>
    </row>
    <row r="21" spans="1:15" x14ac:dyDescent="0.25">
      <c r="A21">
        <v>29435</v>
      </c>
      <c r="B21" s="33" t="s">
        <v>141</v>
      </c>
      <c r="C21" s="124" t="s">
        <v>123</v>
      </c>
      <c r="D21" s="144" t="s">
        <v>146</v>
      </c>
      <c r="E21" s="59" t="s">
        <v>145</v>
      </c>
      <c r="F21" s="54"/>
      <c r="G21" s="29"/>
      <c r="H21" s="53">
        <v>29435</v>
      </c>
      <c r="I21" s="53" t="s">
        <v>88</v>
      </c>
      <c r="L21" t="s">
        <v>216</v>
      </c>
      <c r="M21">
        <v>4</v>
      </c>
      <c r="N21">
        <v>4</v>
      </c>
      <c r="O21">
        <v>4</v>
      </c>
    </row>
    <row r="22" spans="1:15" ht="28.5" x14ac:dyDescent="0.25">
      <c r="A22">
        <v>42700</v>
      </c>
      <c r="B22" s="33" t="s">
        <v>141</v>
      </c>
      <c r="C22" s="124" t="s">
        <v>123</v>
      </c>
      <c r="D22" s="144" t="s">
        <v>152</v>
      </c>
      <c r="E22" s="59" t="s">
        <v>151</v>
      </c>
      <c r="F22" s="54"/>
      <c r="G22" s="29"/>
      <c r="H22" s="53">
        <v>42700</v>
      </c>
      <c r="I22" s="53" t="s">
        <v>88</v>
      </c>
      <c r="L22" t="s">
        <v>218</v>
      </c>
      <c r="M22">
        <v>4</v>
      </c>
      <c r="N22">
        <v>4</v>
      </c>
      <c r="O22">
        <v>4</v>
      </c>
    </row>
    <row r="23" spans="1:15" x14ac:dyDescent="0.25">
      <c r="A23">
        <v>25730</v>
      </c>
      <c r="B23" s="33" t="s">
        <v>141</v>
      </c>
      <c r="C23" s="124" t="s">
        <v>123</v>
      </c>
      <c r="D23" s="144" t="s">
        <v>149</v>
      </c>
      <c r="E23" s="59" t="s">
        <v>148</v>
      </c>
      <c r="F23" s="54"/>
      <c r="G23" s="29"/>
      <c r="H23" s="53">
        <v>25730</v>
      </c>
      <c r="I23" s="53" t="s">
        <v>88</v>
      </c>
      <c r="L23" t="s">
        <v>220</v>
      </c>
      <c r="M23">
        <v>3</v>
      </c>
      <c r="N23">
        <v>3</v>
      </c>
      <c r="O23">
        <v>3</v>
      </c>
    </row>
    <row r="24" spans="1:15" ht="28.5" x14ac:dyDescent="0.25">
      <c r="A24">
        <v>111818</v>
      </c>
      <c r="B24" s="33" t="s">
        <v>141</v>
      </c>
      <c r="C24" s="124" t="s">
        <v>123</v>
      </c>
      <c r="D24" s="144" t="s">
        <v>154</v>
      </c>
      <c r="E24" s="59" t="s">
        <v>153</v>
      </c>
      <c r="F24" s="54"/>
      <c r="G24" s="29"/>
      <c r="H24" s="53">
        <v>111818</v>
      </c>
      <c r="I24" s="53" t="s">
        <v>88</v>
      </c>
      <c r="L24" t="s">
        <v>222</v>
      </c>
      <c r="M24">
        <v>3</v>
      </c>
      <c r="N24">
        <v>3</v>
      </c>
      <c r="O24">
        <v>3</v>
      </c>
    </row>
    <row r="25" spans="1:15" x14ac:dyDescent="0.25">
      <c r="A25">
        <v>50328</v>
      </c>
      <c r="B25" s="33" t="s">
        <v>141</v>
      </c>
      <c r="C25" s="124" t="s">
        <v>123</v>
      </c>
      <c r="D25" s="144" t="s">
        <v>157</v>
      </c>
      <c r="E25" s="59" t="s">
        <v>156</v>
      </c>
      <c r="F25" s="54"/>
      <c r="G25" s="29"/>
      <c r="H25" s="53">
        <v>50328</v>
      </c>
      <c r="I25" s="53" t="s">
        <v>88</v>
      </c>
      <c r="L25" t="s">
        <v>224</v>
      </c>
      <c r="M25">
        <v>3</v>
      </c>
      <c r="N25">
        <v>3</v>
      </c>
      <c r="O25">
        <v>3</v>
      </c>
    </row>
    <row r="26" spans="1:15" x14ac:dyDescent="0.25">
      <c r="A26">
        <v>54306</v>
      </c>
      <c r="B26" s="33" t="s">
        <v>141</v>
      </c>
      <c r="C26" s="124" t="s">
        <v>123</v>
      </c>
      <c r="D26" s="144" t="s">
        <v>160</v>
      </c>
      <c r="E26" s="59" t="s">
        <v>159</v>
      </c>
      <c r="F26" s="54"/>
      <c r="G26" s="29"/>
      <c r="H26" s="53">
        <v>54306</v>
      </c>
      <c r="I26" s="53" t="s">
        <v>88</v>
      </c>
      <c r="L26" t="s">
        <v>226</v>
      </c>
      <c r="M26">
        <v>5</v>
      </c>
      <c r="N26">
        <v>4</v>
      </c>
      <c r="O26">
        <v>5</v>
      </c>
    </row>
    <row r="27" spans="1:15" ht="28.5" x14ac:dyDescent="0.25">
      <c r="A27">
        <v>84830</v>
      </c>
      <c r="B27" s="33" t="s">
        <v>141</v>
      </c>
      <c r="C27" s="124" t="s">
        <v>123</v>
      </c>
      <c r="D27" s="144" t="s">
        <v>166</v>
      </c>
      <c r="E27" s="59" t="s">
        <v>165</v>
      </c>
      <c r="F27" s="54"/>
      <c r="G27" s="29"/>
      <c r="H27" s="53">
        <v>84830</v>
      </c>
      <c r="I27" s="53" t="s">
        <v>88</v>
      </c>
      <c r="L27" t="s">
        <v>228</v>
      </c>
      <c r="M27">
        <v>4</v>
      </c>
      <c r="N27">
        <v>4</v>
      </c>
      <c r="O27">
        <v>4</v>
      </c>
    </row>
    <row r="28" spans="1:15" x14ac:dyDescent="0.25">
      <c r="A28">
        <v>268763</v>
      </c>
      <c r="B28" s="33" t="s">
        <v>141</v>
      </c>
      <c r="C28" s="124" t="s">
        <v>123</v>
      </c>
      <c r="D28" s="144" t="s">
        <v>163</v>
      </c>
      <c r="E28" s="59" t="s">
        <v>162</v>
      </c>
      <c r="F28" s="54"/>
      <c r="G28" s="29"/>
      <c r="H28" s="53">
        <v>268763</v>
      </c>
      <c r="I28" s="53" t="s">
        <v>88</v>
      </c>
      <c r="L28" t="s">
        <v>232</v>
      </c>
      <c r="M28">
        <v>3</v>
      </c>
      <c r="N28">
        <v>3</v>
      </c>
      <c r="O28">
        <v>3</v>
      </c>
    </row>
    <row r="29" spans="1:15" x14ac:dyDescent="0.25">
      <c r="A29">
        <v>40760</v>
      </c>
      <c r="B29" s="33" t="s">
        <v>155</v>
      </c>
      <c r="C29" s="124" t="s">
        <v>122</v>
      </c>
      <c r="D29" s="144" t="s">
        <v>172</v>
      </c>
      <c r="E29" s="59" t="s">
        <v>171</v>
      </c>
      <c r="F29" s="54"/>
      <c r="G29" s="29"/>
      <c r="H29" s="53">
        <v>40760</v>
      </c>
      <c r="I29" s="53" t="s">
        <v>88</v>
      </c>
      <c r="L29" t="s">
        <v>234</v>
      </c>
      <c r="M29">
        <v>3</v>
      </c>
      <c r="N29">
        <v>3</v>
      </c>
      <c r="O29">
        <v>3</v>
      </c>
    </row>
    <row r="30" spans="1:15" x14ac:dyDescent="0.25">
      <c r="A30">
        <v>34056</v>
      </c>
      <c r="B30" s="33" t="s">
        <v>155</v>
      </c>
      <c r="C30" s="124" t="s">
        <v>122</v>
      </c>
      <c r="D30" s="144" t="s">
        <v>184</v>
      </c>
      <c r="E30" s="59" t="s">
        <v>183</v>
      </c>
      <c r="F30" s="54"/>
      <c r="G30" s="29"/>
      <c r="H30" s="53">
        <v>34056</v>
      </c>
      <c r="I30" s="53" t="s">
        <v>88</v>
      </c>
      <c r="L30" t="s">
        <v>236</v>
      </c>
      <c r="M30">
        <v>4</v>
      </c>
      <c r="N30">
        <v>4</v>
      </c>
      <c r="O30">
        <v>4</v>
      </c>
    </row>
    <row r="31" spans="1:15" x14ac:dyDescent="0.25">
      <c r="A31">
        <v>154785</v>
      </c>
      <c r="B31" s="33" t="s">
        <v>155</v>
      </c>
      <c r="C31" s="124" t="s">
        <v>122</v>
      </c>
      <c r="D31" s="144" t="s">
        <v>175</v>
      </c>
      <c r="E31" s="59" t="s">
        <v>174</v>
      </c>
      <c r="F31" s="54"/>
      <c r="G31" s="29"/>
      <c r="H31" s="53">
        <v>154785</v>
      </c>
      <c r="I31" s="53" t="s">
        <v>88</v>
      </c>
      <c r="L31" t="s">
        <v>238</v>
      </c>
      <c r="M31">
        <v>4</v>
      </c>
      <c r="N31">
        <v>4</v>
      </c>
      <c r="O31">
        <v>4</v>
      </c>
    </row>
    <row r="32" spans="1:15" x14ac:dyDescent="0.25">
      <c r="A32">
        <v>49822</v>
      </c>
      <c r="B32" s="33" t="s">
        <v>155</v>
      </c>
      <c r="C32" s="124" t="s">
        <v>122</v>
      </c>
      <c r="D32" s="144" t="s">
        <v>169</v>
      </c>
      <c r="E32" s="59" t="s">
        <v>168</v>
      </c>
      <c r="F32" s="54"/>
      <c r="G32" s="29"/>
      <c r="H32" s="53">
        <v>49822</v>
      </c>
      <c r="I32" s="53" t="s">
        <v>88</v>
      </c>
      <c r="L32" t="s">
        <v>240</v>
      </c>
      <c r="M32">
        <v>3</v>
      </c>
      <c r="N32">
        <v>3</v>
      </c>
      <c r="O32">
        <v>3</v>
      </c>
    </row>
    <row r="33" spans="1:15" x14ac:dyDescent="0.25">
      <c r="A33">
        <v>41320</v>
      </c>
      <c r="B33" s="33" t="s">
        <v>155</v>
      </c>
      <c r="C33" s="124" t="s">
        <v>122</v>
      </c>
      <c r="D33" s="144" t="s">
        <v>181</v>
      </c>
      <c r="E33" s="59" t="s">
        <v>180</v>
      </c>
      <c r="F33" s="54"/>
      <c r="G33" s="29"/>
      <c r="H33" s="53">
        <v>41320</v>
      </c>
      <c r="I33" s="53" t="s">
        <v>88</v>
      </c>
      <c r="L33" t="s">
        <v>242</v>
      </c>
      <c r="M33">
        <v>4</v>
      </c>
      <c r="N33">
        <v>4</v>
      </c>
      <c r="O33">
        <v>4</v>
      </c>
    </row>
    <row r="34" spans="1:15" x14ac:dyDescent="0.25">
      <c r="A34">
        <v>5610</v>
      </c>
      <c r="B34" s="33" t="s">
        <v>155</v>
      </c>
      <c r="C34" s="124" t="s">
        <v>122</v>
      </c>
      <c r="D34" s="144" t="s">
        <v>190</v>
      </c>
      <c r="E34" s="59" t="s">
        <v>189</v>
      </c>
      <c r="F34" s="54"/>
      <c r="G34" s="29"/>
      <c r="H34" s="53">
        <v>5610</v>
      </c>
      <c r="I34" s="53" t="s">
        <v>88</v>
      </c>
      <c r="L34" t="s">
        <v>244</v>
      </c>
      <c r="M34">
        <v>3</v>
      </c>
      <c r="N34">
        <v>3</v>
      </c>
      <c r="O34">
        <v>3</v>
      </c>
    </row>
    <row r="35" spans="1:15" x14ac:dyDescent="0.25">
      <c r="A35">
        <v>49920</v>
      </c>
      <c r="B35" s="33" t="s">
        <v>155</v>
      </c>
      <c r="C35" s="124" t="s">
        <v>122</v>
      </c>
      <c r="D35" s="144" t="s">
        <v>187</v>
      </c>
      <c r="E35" s="59" t="s">
        <v>186</v>
      </c>
      <c r="F35" s="54"/>
      <c r="G35" s="29"/>
      <c r="H35" s="53">
        <v>49920</v>
      </c>
      <c r="I35" s="53" t="s">
        <v>88</v>
      </c>
      <c r="L35" t="s">
        <v>246</v>
      </c>
      <c r="M35">
        <v>4</v>
      </c>
      <c r="N35">
        <v>4</v>
      </c>
      <c r="O35">
        <v>4</v>
      </c>
    </row>
    <row r="36" spans="1:15" x14ac:dyDescent="0.25">
      <c r="A36">
        <v>77325</v>
      </c>
      <c r="B36" s="33" t="s">
        <v>155</v>
      </c>
      <c r="C36" s="124" t="s">
        <v>122</v>
      </c>
      <c r="D36" s="144" t="s">
        <v>178</v>
      </c>
      <c r="E36" s="59" t="s">
        <v>177</v>
      </c>
      <c r="F36" s="54"/>
      <c r="G36" s="29"/>
      <c r="H36" s="53">
        <v>77325</v>
      </c>
      <c r="I36" s="53" t="s">
        <v>88</v>
      </c>
      <c r="L36" t="s">
        <v>248</v>
      </c>
      <c r="M36">
        <v>4</v>
      </c>
      <c r="N36">
        <v>4</v>
      </c>
      <c r="O36">
        <v>4</v>
      </c>
    </row>
    <row r="37" spans="1:15" x14ac:dyDescent="0.25">
      <c r="A37">
        <v>65122</v>
      </c>
      <c r="B37" s="33" t="s">
        <v>155</v>
      </c>
      <c r="C37" s="124" t="s">
        <v>122</v>
      </c>
      <c r="D37" s="144" t="s">
        <v>193</v>
      </c>
      <c r="E37" s="59" t="s">
        <v>192</v>
      </c>
      <c r="F37" s="54"/>
      <c r="G37" s="29"/>
      <c r="H37" s="53">
        <v>65122</v>
      </c>
      <c r="I37" s="53" t="s">
        <v>88</v>
      </c>
      <c r="L37" t="s">
        <v>250</v>
      </c>
      <c r="M37">
        <v>4</v>
      </c>
      <c r="N37">
        <v>4</v>
      </c>
      <c r="O37">
        <v>4</v>
      </c>
    </row>
    <row r="38" spans="1:15" x14ac:dyDescent="0.25">
      <c r="A38">
        <v>2966</v>
      </c>
      <c r="B38" s="33" t="s">
        <v>158</v>
      </c>
      <c r="C38" s="124" t="s">
        <v>129</v>
      </c>
      <c r="D38" s="144" t="s">
        <v>444</v>
      </c>
      <c r="E38" s="59" t="s">
        <v>445</v>
      </c>
      <c r="F38" s="54"/>
      <c r="G38" s="29"/>
      <c r="H38" s="53">
        <v>2966</v>
      </c>
      <c r="I38" s="53" t="s">
        <v>88</v>
      </c>
      <c r="L38" t="s">
        <v>252</v>
      </c>
      <c r="M38">
        <v>3</v>
      </c>
      <c r="N38">
        <v>3</v>
      </c>
      <c r="O38">
        <v>3</v>
      </c>
    </row>
    <row r="39" spans="1:15" x14ac:dyDescent="0.25">
      <c r="A39">
        <v>11951</v>
      </c>
      <c r="B39" s="33" t="s">
        <v>158</v>
      </c>
      <c r="C39" s="124" t="s">
        <v>129</v>
      </c>
      <c r="D39" s="144" t="s">
        <v>446</v>
      </c>
      <c r="E39" s="59" t="s">
        <v>447</v>
      </c>
      <c r="F39" s="54"/>
      <c r="G39" s="29"/>
      <c r="H39" s="53">
        <v>11951</v>
      </c>
      <c r="I39" s="53" t="s">
        <v>88</v>
      </c>
      <c r="L39" t="s">
        <v>254</v>
      </c>
      <c r="M39">
        <v>3</v>
      </c>
      <c r="N39">
        <v>3</v>
      </c>
      <c r="O39">
        <v>3</v>
      </c>
    </row>
    <row r="40" spans="1:15" x14ac:dyDescent="0.25">
      <c r="A40">
        <v>13130</v>
      </c>
      <c r="B40" s="33" t="s">
        <v>158</v>
      </c>
      <c r="C40" s="124" t="s">
        <v>129</v>
      </c>
      <c r="D40" s="144" t="s">
        <v>448</v>
      </c>
      <c r="E40" s="59" t="s">
        <v>449</v>
      </c>
      <c r="F40" s="54"/>
      <c r="G40" s="29"/>
      <c r="H40" s="53">
        <v>13130</v>
      </c>
      <c r="I40" s="53" t="s">
        <v>88</v>
      </c>
      <c r="L40" t="s">
        <v>256</v>
      </c>
      <c r="M40">
        <v>4</v>
      </c>
      <c r="N40">
        <v>4</v>
      </c>
      <c r="O40">
        <v>5</v>
      </c>
    </row>
    <row r="41" spans="1:15" ht="42.75" x14ac:dyDescent="0.25">
      <c r="A41">
        <v>8355</v>
      </c>
      <c r="B41" s="128" t="s">
        <v>158</v>
      </c>
      <c r="C41" s="124" t="s">
        <v>129</v>
      </c>
      <c r="D41" s="144" t="s">
        <v>454</v>
      </c>
      <c r="E41" s="59" t="s">
        <v>455</v>
      </c>
      <c r="F41" s="54"/>
      <c r="G41" s="29"/>
      <c r="H41" s="53">
        <v>8355</v>
      </c>
      <c r="I41" s="53" t="s">
        <v>88</v>
      </c>
      <c r="L41" t="s">
        <v>258</v>
      </c>
      <c r="M41">
        <v>4</v>
      </c>
      <c r="N41">
        <v>4</v>
      </c>
      <c r="O41">
        <v>4</v>
      </c>
    </row>
    <row r="42" spans="1:15" x14ac:dyDescent="0.25">
      <c r="A42">
        <v>17800</v>
      </c>
      <c r="B42" s="33" t="s">
        <v>158</v>
      </c>
      <c r="C42" s="124" t="s">
        <v>129</v>
      </c>
      <c r="D42" s="144" t="s">
        <v>462</v>
      </c>
      <c r="E42" s="59" t="s">
        <v>463</v>
      </c>
      <c r="F42" s="54"/>
      <c r="G42" s="29"/>
      <c r="H42" s="53">
        <v>17800</v>
      </c>
      <c r="I42" s="53" t="s">
        <v>88</v>
      </c>
      <c r="L42" t="s">
        <v>260</v>
      </c>
      <c r="M42">
        <v>4</v>
      </c>
      <c r="N42">
        <v>4</v>
      </c>
      <c r="O42">
        <v>4</v>
      </c>
    </row>
    <row r="43" spans="1:15" x14ac:dyDescent="0.25">
      <c r="A43">
        <v>18745</v>
      </c>
      <c r="B43" s="33" t="s">
        <v>158</v>
      </c>
      <c r="C43" s="124" t="s">
        <v>129</v>
      </c>
      <c r="D43" s="144" t="s">
        <v>450</v>
      </c>
      <c r="E43" s="59" t="s">
        <v>451</v>
      </c>
      <c r="F43" s="54"/>
      <c r="G43" s="29"/>
      <c r="H43" s="53">
        <v>18745</v>
      </c>
      <c r="I43" s="53" t="s">
        <v>88</v>
      </c>
      <c r="L43" t="s">
        <v>262</v>
      </c>
      <c r="M43">
        <v>4</v>
      </c>
      <c r="N43">
        <v>4</v>
      </c>
      <c r="O43">
        <v>4</v>
      </c>
    </row>
    <row r="44" spans="1:15" x14ac:dyDescent="0.25">
      <c r="A44">
        <v>36565</v>
      </c>
      <c r="B44" s="33" t="s">
        <v>158</v>
      </c>
      <c r="C44" s="124" t="s">
        <v>129</v>
      </c>
      <c r="D44" s="144" t="s">
        <v>466</v>
      </c>
      <c r="E44" s="59" t="s">
        <v>467</v>
      </c>
      <c r="F44" s="54"/>
      <c r="G44" s="29"/>
      <c r="H44" s="53">
        <v>36565</v>
      </c>
      <c r="I44" s="53" t="s">
        <v>88</v>
      </c>
      <c r="L44" t="s">
        <v>264</v>
      </c>
      <c r="M44">
        <v>5</v>
      </c>
      <c r="N44">
        <v>4</v>
      </c>
      <c r="O44">
        <v>4</v>
      </c>
    </row>
    <row r="45" spans="1:15" x14ac:dyDescent="0.25">
      <c r="A45">
        <v>27530</v>
      </c>
      <c r="B45" s="33" t="s">
        <v>158</v>
      </c>
      <c r="C45" s="124" t="s">
        <v>129</v>
      </c>
      <c r="D45" s="144" t="s">
        <v>452</v>
      </c>
      <c r="E45" s="59" t="s">
        <v>453</v>
      </c>
      <c r="F45" s="54"/>
      <c r="G45" s="29"/>
      <c r="H45" s="53">
        <v>27530</v>
      </c>
      <c r="I45" s="53" t="s">
        <v>88</v>
      </c>
      <c r="L45" t="s">
        <v>266</v>
      </c>
      <c r="M45">
        <v>5</v>
      </c>
      <c r="N45">
        <v>5</v>
      </c>
      <c r="O45">
        <v>5</v>
      </c>
    </row>
    <row r="46" spans="1:15" x14ac:dyDescent="0.25">
      <c r="A46">
        <v>12202</v>
      </c>
      <c r="B46" s="33" t="s">
        <v>158</v>
      </c>
      <c r="C46" s="124" t="s">
        <v>129</v>
      </c>
      <c r="D46" s="144" t="s">
        <v>456</v>
      </c>
      <c r="E46" s="59" t="s">
        <v>457</v>
      </c>
      <c r="F46" s="54"/>
      <c r="G46" s="29"/>
      <c r="H46" s="53">
        <v>12202</v>
      </c>
      <c r="I46" s="53" t="s">
        <v>88</v>
      </c>
      <c r="L46" t="s">
        <v>268</v>
      </c>
      <c r="M46">
        <v>4</v>
      </c>
      <c r="N46">
        <v>4</v>
      </c>
      <c r="O46">
        <v>4</v>
      </c>
    </row>
    <row r="47" spans="1:15" ht="28.5" x14ac:dyDescent="0.25">
      <c r="A47">
        <v>27925</v>
      </c>
      <c r="B47" s="33" t="s">
        <v>158</v>
      </c>
      <c r="C47" s="124" t="s">
        <v>129</v>
      </c>
      <c r="D47" s="144" t="s">
        <v>464</v>
      </c>
      <c r="E47" s="59" t="s">
        <v>465</v>
      </c>
      <c r="F47" s="54"/>
      <c r="G47" s="29"/>
      <c r="H47" s="53">
        <v>27925</v>
      </c>
      <c r="I47" s="53" t="s">
        <v>88</v>
      </c>
      <c r="L47" t="s">
        <v>270</v>
      </c>
      <c r="M47">
        <v>5</v>
      </c>
      <c r="N47">
        <v>5</v>
      </c>
      <c r="O47">
        <v>5</v>
      </c>
    </row>
    <row r="48" spans="1:15" ht="28.5" x14ac:dyDescent="0.25">
      <c r="A48">
        <v>72355</v>
      </c>
      <c r="B48" s="33" t="s">
        <v>158</v>
      </c>
      <c r="C48" s="124" t="s">
        <v>129</v>
      </c>
      <c r="D48" s="144" t="s">
        <v>458</v>
      </c>
      <c r="E48" s="59" t="s">
        <v>459</v>
      </c>
      <c r="F48" s="54"/>
      <c r="G48" s="29"/>
      <c r="H48" s="53">
        <v>72355</v>
      </c>
      <c r="I48" s="53" t="s">
        <v>88</v>
      </c>
      <c r="L48" t="s">
        <v>272</v>
      </c>
      <c r="M48">
        <v>3</v>
      </c>
      <c r="N48">
        <v>3</v>
      </c>
      <c r="O48">
        <v>3</v>
      </c>
    </row>
    <row r="49" spans="1:15" ht="28.5" x14ac:dyDescent="0.25">
      <c r="A49">
        <v>18325</v>
      </c>
      <c r="B49" s="33" t="s">
        <v>158</v>
      </c>
      <c r="C49" s="124" t="s">
        <v>129</v>
      </c>
      <c r="D49" s="144" t="s">
        <v>460</v>
      </c>
      <c r="E49" s="59" t="s">
        <v>461</v>
      </c>
      <c r="F49" s="54"/>
      <c r="G49" s="29"/>
      <c r="H49" s="53">
        <v>18325</v>
      </c>
      <c r="I49" s="53" t="s">
        <v>88</v>
      </c>
      <c r="L49" t="s">
        <v>274</v>
      </c>
      <c r="M49">
        <v>5</v>
      </c>
      <c r="N49">
        <v>4</v>
      </c>
      <c r="O49">
        <v>4</v>
      </c>
    </row>
    <row r="50" spans="1:15" ht="28.5" x14ac:dyDescent="0.25">
      <c r="A50">
        <v>32370</v>
      </c>
      <c r="B50" s="33" t="s">
        <v>161</v>
      </c>
      <c r="C50" s="124" t="s">
        <v>128</v>
      </c>
      <c r="D50" s="144" t="s">
        <v>422</v>
      </c>
      <c r="E50" s="59" t="s">
        <v>423</v>
      </c>
      <c r="F50" s="54"/>
      <c r="G50" s="29"/>
      <c r="H50" s="53">
        <v>32370</v>
      </c>
      <c r="I50" s="53" t="s">
        <v>88</v>
      </c>
      <c r="L50" t="s">
        <v>276</v>
      </c>
      <c r="M50">
        <v>5</v>
      </c>
      <c r="N50">
        <v>5</v>
      </c>
      <c r="O50">
        <v>4</v>
      </c>
    </row>
    <row r="51" spans="1:15" ht="28.5" x14ac:dyDescent="0.25">
      <c r="A51">
        <v>39365</v>
      </c>
      <c r="B51" s="33" t="s">
        <v>161</v>
      </c>
      <c r="C51" s="124" t="s">
        <v>128</v>
      </c>
      <c r="D51" s="144" t="s">
        <v>424</v>
      </c>
      <c r="E51" s="59" t="s">
        <v>425</v>
      </c>
      <c r="F51" s="54"/>
      <c r="G51" s="29"/>
      <c r="H51" s="53">
        <v>39365</v>
      </c>
      <c r="I51" s="53" t="s">
        <v>88</v>
      </c>
      <c r="L51" t="s">
        <v>278</v>
      </c>
      <c r="M51">
        <v>5</v>
      </c>
      <c r="N51">
        <v>5</v>
      </c>
      <c r="O51">
        <v>5</v>
      </c>
    </row>
    <row r="52" spans="1:15" x14ac:dyDescent="0.25">
      <c r="A52">
        <v>690</v>
      </c>
      <c r="B52" s="33" t="s">
        <v>161</v>
      </c>
      <c r="C52" s="124" t="s">
        <v>128</v>
      </c>
      <c r="D52" s="144" t="s">
        <v>428</v>
      </c>
      <c r="E52" s="59" t="s">
        <v>429</v>
      </c>
      <c r="F52" s="54"/>
      <c r="G52" s="29"/>
      <c r="H52" s="53">
        <v>690</v>
      </c>
      <c r="I52" s="53" t="s">
        <v>88</v>
      </c>
      <c r="L52" t="s">
        <v>280</v>
      </c>
      <c r="M52">
        <v>5</v>
      </c>
      <c r="N52">
        <v>4</v>
      </c>
      <c r="O52">
        <v>4</v>
      </c>
    </row>
    <row r="53" spans="1:15" ht="28.5" x14ac:dyDescent="0.25">
      <c r="A53">
        <v>0</v>
      </c>
      <c r="B53" s="33" t="s">
        <v>161</v>
      </c>
      <c r="C53" s="124" t="s">
        <v>128</v>
      </c>
      <c r="D53" s="144" t="s">
        <v>426</v>
      </c>
      <c r="E53" s="59" t="s">
        <v>427</v>
      </c>
      <c r="F53" s="54"/>
      <c r="G53" s="29"/>
      <c r="H53" s="53">
        <v>0</v>
      </c>
      <c r="I53" s="53" t="s">
        <v>88</v>
      </c>
      <c r="L53" t="s">
        <v>282</v>
      </c>
      <c r="M53">
        <v>4</v>
      </c>
      <c r="N53">
        <v>4</v>
      </c>
      <c r="O53">
        <v>4</v>
      </c>
    </row>
    <row r="54" spans="1:15" ht="28.5" x14ac:dyDescent="0.25">
      <c r="A54">
        <v>0</v>
      </c>
      <c r="B54" s="33" t="s">
        <v>161</v>
      </c>
      <c r="C54" s="124" t="s">
        <v>128</v>
      </c>
      <c r="D54" s="144" t="s">
        <v>434</v>
      </c>
      <c r="E54" s="59" t="s">
        <v>435</v>
      </c>
      <c r="F54" s="54"/>
      <c r="G54" s="29"/>
      <c r="H54" s="53">
        <v>0</v>
      </c>
      <c r="I54" s="53" t="s">
        <v>88</v>
      </c>
      <c r="L54" t="s">
        <v>284</v>
      </c>
      <c r="M54">
        <v>5</v>
      </c>
      <c r="N54">
        <v>4</v>
      </c>
      <c r="O54">
        <v>4</v>
      </c>
    </row>
    <row r="55" spans="1:15" x14ac:dyDescent="0.25">
      <c r="A55">
        <v>2545</v>
      </c>
      <c r="B55" s="33" t="s">
        <v>161</v>
      </c>
      <c r="C55" s="124" t="s">
        <v>128</v>
      </c>
      <c r="D55" s="144" t="s">
        <v>430</v>
      </c>
      <c r="E55" s="59" t="s">
        <v>431</v>
      </c>
      <c r="F55" s="54"/>
      <c r="G55" s="29"/>
      <c r="H55" s="53">
        <v>2545</v>
      </c>
      <c r="I55" s="53" t="s">
        <v>88</v>
      </c>
      <c r="L55" t="s">
        <v>286</v>
      </c>
      <c r="M55">
        <v>4</v>
      </c>
      <c r="N55">
        <v>4</v>
      </c>
      <c r="O55">
        <v>4</v>
      </c>
    </row>
    <row r="56" spans="1:15" ht="28.5" x14ac:dyDescent="0.25">
      <c r="A56">
        <v>7729</v>
      </c>
      <c r="B56" s="33" t="s">
        <v>161</v>
      </c>
      <c r="C56" s="124" t="s">
        <v>128</v>
      </c>
      <c r="D56" s="144" t="s">
        <v>438</v>
      </c>
      <c r="E56" s="59" t="s">
        <v>439</v>
      </c>
      <c r="F56" s="54"/>
      <c r="G56" s="29"/>
      <c r="H56" s="53">
        <v>7729</v>
      </c>
      <c r="I56" s="53" t="s">
        <v>88</v>
      </c>
      <c r="L56" t="s">
        <v>288</v>
      </c>
      <c r="M56">
        <v>4</v>
      </c>
      <c r="N56">
        <v>4</v>
      </c>
      <c r="O56">
        <v>4</v>
      </c>
    </row>
    <row r="57" spans="1:15" x14ac:dyDescent="0.25">
      <c r="A57">
        <v>2391</v>
      </c>
      <c r="B57" s="33" t="s">
        <v>161</v>
      </c>
      <c r="C57" s="124" t="s">
        <v>128</v>
      </c>
      <c r="D57" s="144" t="s">
        <v>442</v>
      </c>
      <c r="E57" s="59" t="s">
        <v>443</v>
      </c>
      <c r="F57" s="54"/>
      <c r="G57" s="29"/>
      <c r="H57" s="53">
        <v>2391</v>
      </c>
      <c r="I57" s="53" t="s">
        <v>88</v>
      </c>
      <c r="L57" t="s">
        <v>168</v>
      </c>
      <c r="M57">
        <v>4</v>
      </c>
      <c r="N57">
        <v>4</v>
      </c>
      <c r="O57">
        <v>4</v>
      </c>
    </row>
    <row r="58" spans="1:15" ht="28.5" x14ac:dyDescent="0.25">
      <c r="A58">
        <v>3415</v>
      </c>
      <c r="B58" s="33" t="s">
        <v>161</v>
      </c>
      <c r="C58" s="124" t="s">
        <v>128</v>
      </c>
      <c r="D58" s="144" t="s">
        <v>432</v>
      </c>
      <c r="E58" s="59" t="s">
        <v>433</v>
      </c>
      <c r="F58" s="54"/>
      <c r="G58" s="29"/>
      <c r="H58" s="53">
        <v>3415</v>
      </c>
      <c r="I58" s="53" t="s">
        <v>88</v>
      </c>
      <c r="L58" t="s">
        <v>171</v>
      </c>
      <c r="M58">
        <v>3</v>
      </c>
      <c r="N58">
        <v>3</v>
      </c>
      <c r="O58">
        <v>3</v>
      </c>
    </row>
    <row r="59" spans="1:15" x14ac:dyDescent="0.25">
      <c r="A59">
        <v>1855</v>
      </c>
      <c r="B59" s="33" t="s">
        <v>161</v>
      </c>
      <c r="C59" s="124" t="s">
        <v>128</v>
      </c>
      <c r="D59" s="144" t="s">
        <v>436</v>
      </c>
      <c r="E59" s="59" t="s">
        <v>437</v>
      </c>
      <c r="F59" s="54"/>
      <c r="G59" s="29"/>
      <c r="H59" s="53">
        <v>1855</v>
      </c>
      <c r="I59" s="53" t="s">
        <v>88</v>
      </c>
      <c r="L59" t="s">
        <v>174</v>
      </c>
      <c r="M59">
        <v>4</v>
      </c>
      <c r="N59">
        <v>4</v>
      </c>
      <c r="O59">
        <v>4</v>
      </c>
    </row>
    <row r="60" spans="1:15" ht="28.5" x14ac:dyDescent="0.25">
      <c r="A60">
        <v>0</v>
      </c>
      <c r="B60" s="33" t="s">
        <v>161</v>
      </c>
      <c r="C60" s="124" t="s">
        <v>128</v>
      </c>
      <c r="D60" s="144" t="s">
        <v>440</v>
      </c>
      <c r="E60" s="59" t="s">
        <v>441</v>
      </c>
      <c r="F60" s="54"/>
      <c r="G60" s="29"/>
      <c r="H60" s="53">
        <v>0</v>
      </c>
      <c r="I60" s="53" t="s">
        <v>88</v>
      </c>
      <c r="L60" t="s">
        <v>177</v>
      </c>
      <c r="M60">
        <v>4</v>
      </c>
      <c r="N60">
        <v>4</v>
      </c>
      <c r="O60">
        <v>4</v>
      </c>
    </row>
    <row r="61" spans="1:15" x14ac:dyDescent="0.25">
      <c r="A61">
        <v>4450</v>
      </c>
      <c r="B61" s="33" t="s">
        <v>164</v>
      </c>
      <c r="C61" s="124" t="s">
        <v>118</v>
      </c>
      <c r="D61" s="144" t="s">
        <v>327</v>
      </c>
      <c r="E61" s="59" t="s">
        <v>328</v>
      </c>
      <c r="F61" s="54"/>
      <c r="G61" s="29"/>
      <c r="H61" s="53">
        <v>4450</v>
      </c>
      <c r="I61" s="53" t="s">
        <v>88</v>
      </c>
      <c r="L61" t="s">
        <v>180</v>
      </c>
      <c r="M61">
        <v>4</v>
      </c>
      <c r="N61">
        <v>4</v>
      </c>
      <c r="O61">
        <v>4</v>
      </c>
    </row>
    <row r="62" spans="1:15" x14ac:dyDescent="0.25">
      <c r="A62">
        <v>7380</v>
      </c>
      <c r="B62" s="33" t="s">
        <v>164</v>
      </c>
      <c r="C62" s="124" t="s">
        <v>118</v>
      </c>
      <c r="D62" s="144" t="s">
        <v>323</v>
      </c>
      <c r="E62" s="59" t="s">
        <v>324</v>
      </c>
      <c r="F62" s="54"/>
      <c r="G62" s="29"/>
      <c r="H62" s="53">
        <v>7380</v>
      </c>
      <c r="I62" s="53" t="s">
        <v>88</v>
      </c>
      <c r="L62" t="s">
        <v>183</v>
      </c>
      <c r="M62">
        <v>3</v>
      </c>
      <c r="N62">
        <v>3</v>
      </c>
      <c r="O62">
        <v>3</v>
      </c>
    </row>
    <row r="63" spans="1:15" x14ac:dyDescent="0.25">
      <c r="A63">
        <v>9365</v>
      </c>
      <c r="B63" s="33" t="s">
        <v>164</v>
      </c>
      <c r="C63" s="124" t="s">
        <v>118</v>
      </c>
      <c r="D63" s="144" t="s">
        <v>331</v>
      </c>
      <c r="E63" s="59" t="s">
        <v>332</v>
      </c>
      <c r="F63" s="54"/>
      <c r="G63" s="29"/>
      <c r="H63" s="53">
        <v>9365</v>
      </c>
      <c r="I63" s="53" t="s">
        <v>88</v>
      </c>
      <c r="L63" t="s">
        <v>186</v>
      </c>
      <c r="M63">
        <v>4</v>
      </c>
      <c r="N63">
        <v>4</v>
      </c>
      <c r="O63">
        <v>4</v>
      </c>
    </row>
    <row r="64" spans="1:15" x14ac:dyDescent="0.25">
      <c r="A64">
        <v>3205</v>
      </c>
      <c r="B64" s="33" t="s">
        <v>164</v>
      </c>
      <c r="C64" s="124" t="s">
        <v>118</v>
      </c>
      <c r="D64" s="144" t="s">
        <v>164</v>
      </c>
      <c r="E64" s="59" t="s">
        <v>335</v>
      </c>
      <c r="F64" s="54"/>
      <c r="G64" s="29"/>
      <c r="H64" s="53">
        <v>3205</v>
      </c>
      <c r="I64" s="53" t="s">
        <v>88</v>
      </c>
      <c r="L64" t="s">
        <v>189</v>
      </c>
      <c r="M64">
        <v>4</v>
      </c>
      <c r="N64">
        <v>4</v>
      </c>
      <c r="O64">
        <v>4</v>
      </c>
    </row>
    <row r="65" spans="1:15" x14ac:dyDescent="0.25">
      <c r="A65">
        <v>9250</v>
      </c>
      <c r="B65" s="33" t="s">
        <v>164</v>
      </c>
      <c r="C65" s="124" t="s">
        <v>118</v>
      </c>
      <c r="D65" s="144" t="s">
        <v>329</v>
      </c>
      <c r="E65" s="59" t="s">
        <v>330</v>
      </c>
      <c r="F65" s="54"/>
      <c r="G65" s="29"/>
      <c r="H65" s="53">
        <v>9250</v>
      </c>
      <c r="I65" s="53" t="s">
        <v>88</v>
      </c>
      <c r="L65" t="s">
        <v>192</v>
      </c>
      <c r="M65">
        <v>4</v>
      </c>
      <c r="N65">
        <v>4</v>
      </c>
      <c r="O65">
        <v>4</v>
      </c>
    </row>
    <row r="66" spans="1:15" x14ac:dyDescent="0.25">
      <c r="A66">
        <v>3170</v>
      </c>
      <c r="B66" s="33" t="s">
        <v>164</v>
      </c>
      <c r="C66" s="124" t="s">
        <v>118</v>
      </c>
      <c r="D66" s="144" t="s">
        <v>325</v>
      </c>
      <c r="E66" s="59" t="s">
        <v>326</v>
      </c>
      <c r="F66" s="54"/>
      <c r="G66" s="29"/>
      <c r="H66" s="53">
        <v>3170</v>
      </c>
      <c r="I66" s="53" t="s">
        <v>88</v>
      </c>
      <c r="L66" t="s">
        <v>142</v>
      </c>
      <c r="M66">
        <v>4</v>
      </c>
      <c r="N66">
        <v>4</v>
      </c>
      <c r="O66">
        <v>4</v>
      </c>
    </row>
    <row r="67" spans="1:15" x14ac:dyDescent="0.25">
      <c r="A67">
        <v>3980</v>
      </c>
      <c r="B67" s="33" t="s">
        <v>164</v>
      </c>
      <c r="C67" s="124" t="s">
        <v>118</v>
      </c>
      <c r="D67" s="144" t="s">
        <v>333</v>
      </c>
      <c r="E67" s="59" t="s">
        <v>334</v>
      </c>
      <c r="F67" s="54"/>
      <c r="G67" s="29"/>
      <c r="H67" s="53">
        <v>3980</v>
      </c>
      <c r="I67" s="53" t="s">
        <v>88</v>
      </c>
      <c r="L67" t="s">
        <v>145</v>
      </c>
      <c r="M67">
        <v>4</v>
      </c>
      <c r="N67">
        <v>4</v>
      </c>
      <c r="O67">
        <v>4</v>
      </c>
    </row>
    <row r="68" spans="1:15" x14ac:dyDescent="0.25">
      <c r="A68">
        <v>555749</v>
      </c>
      <c r="B68" s="33" t="s">
        <v>167</v>
      </c>
      <c r="C68" s="124" t="s">
        <v>119</v>
      </c>
      <c r="D68" s="144" t="s">
        <v>199</v>
      </c>
      <c r="E68" s="59" t="s">
        <v>198</v>
      </c>
      <c r="F68" s="54"/>
      <c r="G68" s="29"/>
      <c r="H68" s="53">
        <v>555749</v>
      </c>
      <c r="I68" s="53" t="s">
        <v>88</v>
      </c>
      <c r="L68" t="s">
        <v>148</v>
      </c>
      <c r="M68">
        <v>4</v>
      </c>
      <c r="N68">
        <v>4</v>
      </c>
      <c r="O68">
        <v>4</v>
      </c>
    </row>
    <row r="69" spans="1:15" x14ac:dyDescent="0.25">
      <c r="A69">
        <v>1750</v>
      </c>
      <c r="B69" s="33" t="s">
        <v>167</v>
      </c>
      <c r="C69" s="124" t="s">
        <v>119</v>
      </c>
      <c r="D69" s="144" t="s">
        <v>201</v>
      </c>
      <c r="E69" s="59" t="s">
        <v>200</v>
      </c>
      <c r="F69" s="54"/>
      <c r="G69" s="29"/>
      <c r="H69" s="53">
        <v>1750</v>
      </c>
      <c r="I69" s="53" t="s">
        <v>88</v>
      </c>
      <c r="L69" t="s">
        <v>151</v>
      </c>
      <c r="M69">
        <v>4</v>
      </c>
      <c r="N69">
        <v>4</v>
      </c>
      <c r="O69">
        <v>4</v>
      </c>
    </row>
    <row r="70" spans="1:15" x14ac:dyDescent="0.25">
      <c r="A70">
        <v>10152</v>
      </c>
      <c r="B70" s="33" t="s">
        <v>167</v>
      </c>
      <c r="C70" s="124" t="s">
        <v>119</v>
      </c>
      <c r="D70" s="144" t="s">
        <v>225</v>
      </c>
      <c r="E70" s="59" t="s">
        <v>224</v>
      </c>
      <c r="F70" s="54"/>
      <c r="G70" s="29"/>
      <c r="H70" s="53">
        <v>10152</v>
      </c>
      <c r="I70" s="53" t="s">
        <v>88</v>
      </c>
      <c r="L70" t="s">
        <v>153</v>
      </c>
      <c r="M70">
        <v>4</v>
      </c>
      <c r="N70">
        <v>4</v>
      </c>
      <c r="O70">
        <v>4</v>
      </c>
    </row>
    <row r="71" spans="1:15" x14ac:dyDescent="0.25">
      <c r="A71">
        <v>3990</v>
      </c>
      <c r="B71" s="33" t="s">
        <v>167</v>
      </c>
      <c r="C71" s="124" t="s">
        <v>119</v>
      </c>
      <c r="D71" s="144" t="s">
        <v>203</v>
      </c>
      <c r="E71" s="59" t="s">
        <v>202</v>
      </c>
      <c r="F71" s="54"/>
      <c r="G71" s="29"/>
      <c r="H71" s="53">
        <v>3990</v>
      </c>
      <c r="I71" s="53" t="s">
        <v>88</v>
      </c>
      <c r="L71" t="s">
        <v>156</v>
      </c>
      <c r="M71">
        <v>4</v>
      </c>
      <c r="N71">
        <v>4</v>
      </c>
      <c r="O71">
        <v>4</v>
      </c>
    </row>
    <row r="72" spans="1:15" x14ac:dyDescent="0.25">
      <c r="A72">
        <v>11546</v>
      </c>
      <c r="B72" s="33" t="s">
        <v>167</v>
      </c>
      <c r="C72" s="124" t="s">
        <v>119</v>
      </c>
      <c r="D72" s="144" t="s">
        <v>205</v>
      </c>
      <c r="E72" s="59" t="s">
        <v>204</v>
      </c>
      <c r="F72" s="54"/>
      <c r="G72" s="29"/>
      <c r="H72" s="53">
        <v>11546</v>
      </c>
      <c r="I72" s="53" t="s">
        <v>88</v>
      </c>
      <c r="L72" t="s">
        <v>159</v>
      </c>
      <c r="M72">
        <v>3</v>
      </c>
      <c r="N72">
        <v>3</v>
      </c>
      <c r="O72">
        <v>3</v>
      </c>
    </row>
    <row r="73" spans="1:15" x14ac:dyDescent="0.25">
      <c r="A73">
        <v>350</v>
      </c>
      <c r="B73" s="33" t="s">
        <v>167</v>
      </c>
      <c r="C73" s="124" t="s">
        <v>119</v>
      </c>
      <c r="D73" s="144" t="s">
        <v>207</v>
      </c>
      <c r="E73" s="59" t="s">
        <v>206</v>
      </c>
      <c r="F73" s="54"/>
      <c r="G73" s="29"/>
      <c r="H73" s="53">
        <v>350</v>
      </c>
      <c r="I73" s="53" t="s">
        <v>88</v>
      </c>
      <c r="L73" t="s">
        <v>162</v>
      </c>
      <c r="M73">
        <v>5</v>
      </c>
      <c r="N73">
        <v>5</v>
      </c>
      <c r="O73">
        <v>5</v>
      </c>
    </row>
    <row r="74" spans="1:15" x14ac:dyDescent="0.25">
      <c r="A74">
        <v>4815</v>
      </c>
      <c r="B74" s="33" t="s">
        <v>167</v>
      </c>
      <c r="C74" s="124" t="s">
        <v>119</v>
      </c>
      <c r="D74" s="144" t="s">
        <v>229</v>
      </c>
      <c r="E74" s="59" t="s">
        <v>228</v>
      </c>
      <c r="F74" s="54"/>
      <c r="G74" s="29"/>
      <c r="H74" s="53">
        <v>4815</v>
      </c>
      <c r="I74" s="53" t="s">
        <v>88</v>
      </c>
      <c r="L74" t="s">
        <v>165</v>
      </c>
      <c r="M74">
        <v>4</v>
      </c>
      <c r="N74">
        <v>4</v>
      </c>
      <c r="O74">
        <v>4</v>
      </c>
    </row>
    <row r="75" spans="1:15" x14ac:dyDescent="0.25">
      <c r="A75">
        <v>55166</v>
      </c>
      <c r="B75" s="33" t="s">
        <v>167</v>
      </c>
      <c r="C75" s="124" t="s">
        <v>119</v>
      </c>
      <c r="D75" s="144" t="s">
        <v>196</v>
      </c>
      <c r="E75" s="59" t="s">
        <v>195</v>
      </c>
      <c r="F75" s="54"/>
      <c r="G75" s="29"/>
      <c r="H75" s="53">
        <v>55166</v>
      </c>
      <c r="I75" s="53" t="s">
        <v>88</v>
      </c>
      <c r="L75" t="s">
        <v>337</v>
      </c>
      <c r="M75">
        <v>5</v>
      </c>
      <c r="N75">
        <v>4</v>
      </c>
      <c r="O75">
        <v>4</v>
      </c>
    </row>
    <row r="76" spans="1:15" x14ac:dyDescent="0.25">
      <c r="A76">
        <v>82445</v>
      </c>
      <c r="B76" s="33" t="s">
        <v>167</v>
      </c>
      <c r="C76" s="124" t="s">
        <v>119</v>
      </c>
      <c r="D76" s="144" t="s">
        <v>211</v>
      </c>
      <c r="E76" s="59" t="s">
        <v>210</v>
      </c>
      <c r="F76" s="54"/>
      <c r="G76" s="29"/>
      <c r="H76" s="53">
        <v>82445</v>
      </c>
      <c r="I76" s="53" t="s">
        <v>88</v>
      </c>
      <c r="L76" t="s">
        <v>339</v>
      </c>
      <c r="M76">
        <v>3</v>
      </c>
      <c r="N76">
        <v>3</v>
      </c>
      <c r="O76">
        <v>3</v>
      </c>
    </row>
    <row r="77" spans="1:15" x14ac:dyDescent="0.25">
      <c r="A77">
        <v>7818</v>
      </c>
      <c r="B77" s="33" t="s">
        <v>167</v>
      </c>
      <c r="C77" s="124" t="s">
        <v>119</v>
      </c>
      <c r="D77" s="144" t="s">
        <v>213</v>
      </c>
      <c r="E77" s="59" t="s">
        <v>212</v>
      </c>
      <c r="F77" s="54"/>
      <c r="G77" s="29"/>
      <c r="H77" s="53">
        <v>7818</v>
      </c>
      <c r="I77" s="53" t="s">
        <v>88</v>
      </c>
      <c r="L77" t="s">
        <v>341</v>
      </c>
      <c r="M77">
        <v>4</v>
      </c>
      <c r="N77">
        <v>4</v>
      </c>
      <c r="O77">
        <v>4</v>
      </c>
    </row>
    <row r="78" spans="1:15" x14ac:dyDescent="0.25">
      <c r="A78">
        <v>255</v>
      </c>
      <c r="B78" s="33" t="s">
        <v>167</v>
      </c>
      <c r="C78" s="124" t="s">
        <v>119</v>
      </c>
      <c r="D78" s="144" t="s">
        <v>223</v>
      </c>
      <c r="E78" s="59" t="s">
        <v>222</v>
      </c>
      <c r="F78" s="54"/>
      <c r="G78" s="29"/>
      <c r="H78" s="53">
        <v>255</v>
      </c>
      <c r="I78" s="53" t="s">
        <v>88</v>
      </c>
      <c r="L78" t="s">
        <v>343</v>
      </c>
      <c r="M78">
        <v>3</v>
      </c>
      <c r="N78">
        <v>3</v>
      </c>
      <c r="O78">
        <v>3</v>
      </c>
    </row>
    <row r="79" spans="1:15" x14ac:dyDescent="0.25">
      <c r="A79">
        <v>114582</v>
      </c>
      <c r="B79" s="33" t="s">
        <v>167</v>
      </c>
      <c r="C79" s="124" t="s">
        <v>119</v>
      </c>
      <c r="D79" s="144" t="s">
        <v>215</v>
      </c>
      <c r="E79" s="59" t="s">
        <v>214</v>
      </c>
      <c r="F79" s="54"/>
      <c r="G79" s="29"/>
      <c r="H79" s="53">
        <v>114582</v>
      </c>
      <c r="I79" s="53" t="s">
        <v>88</v>
      </c>
      <c r="L79" t="s">
        <v>345</v>
      </c>
      <c r="M79">
        <v>3</v>
      </c>
      <c r="N79">
        <v>3</v>
      </c>
      <c r="O79">
        <v>3</v>
      </c>
    </row>
    <row r="80" spans="1:15" x14ac:dyDescent="0.25">
      <c r="A80">
        <v>21554</v>
      </c>
      <c r="B80" s="33" t="s">
        <v>167</v>
      </c>
      <c r="C80" s="124" t="s">
        <v>119</v>
      </c>
      <c r="D80" s="144" t="s">
        <v>217</v>
      </c>
      <c r="E80" s="59" t="s">
        <v>216</v>
      </c>
      <c r="F80" s="54"/>
      <c r="G80" s="29"/>
      <c r="H80" s="53">
        <v>21554</v>
      </c>
      <c r="I80" s="53" t="s">
        <v>88</v>
      </c>
      <c r="L80" t="s">
        <v>347</v>
      </c>
      <c r="M80">
        <v>3</v>
      </c>
      <c r="N80">
        <v>3</v>
      </c>
      <c r="O80">
        <v>3</v>
      </c>
    </row>
    <row r="81" spans="1:15" x14ac:dyDescent="0.25">
      <c r="A81">
        <v>78644</v>
      </c>
      <c r="B81" s="33" t="s">
        <v>167</v>
      </c>
      <c r="C81" s="124" t="s">
        <v>119</v>
      </c>
      <c r="D81" s="144" t="s">
        <v>219</v>
      </c>
      <c r="E81" s="59" t="s">
        <v>218</v>
      </c>
      <c r="F81" s="54"/>
      <c r="G81" s="29"/>
      <c r="H81" s="53">
        <v>78644</v>
      </c>
      <c r="I81" s="53" t="s">
        <v>88</v>
      </c>
      <c r="L81" t="s">
        <v>349</v>
      </c>
      <c r="M81">
        <v>3</v>
      </c>
      <c r="N81">
        <v>3</v>
      </c>
      <c r="O81">
        <v>3</v>
      </c>
    </row>
    <row r="82" spans="1:15" x14ac:dyDescent="0.25">
      <c r="A82">
        <v>107408</v>
      </c>
      <c r="B82" s="33" t="s">
        <v>167</v>
      </c>
      <c r="C82" s="124" t="s">
        <v>119</v>
      </c>
      <c r="D82" s="144" t="s">
        <v>227</v>
      </c>
      <c r="E82" s="59" t="s">
        <v>226</v>
      </c>
      <c r="F82" s="54"/>
      <c r="G82" s="29"/>
      <c r="H82" s="53">
        <v>107408</v>
      </c>
      <c r="I82" s="53" t="s">
        <v>88</v>
      </c>
      <c r="L82" t="s">
        <v>351</v>
      </c>
      <c r="M82">
        <v>3</v>
      </c>
      <c r="N82">
        <v>3</v>
      </c>
      <c r="O82">
        <v>3</v>
      </c>
    </row>
    <row r="83" spans="1:15" x14ac:dyDescent="0.25">
      <c r="A83">
        <v>827</v>
      </c>
      <c r="B83" s="33" t="s">
        <v>167</v>
      </c>
      <c r="C83" s="124" t="s">
        <v>119</v>
      </c>
      <c r="D83" s="144" t="s">
        <v>209</v>
      </c>
      <c r="E83" s="59" t="s">
        <v>208</v>
      </c>
      <c r="F83" s="54"/>
      <c r="G83" s="29"/>
      <c r="H83" s="53">
        <v>827</v>
      </c>
      <c r="I83" s="53" t="s">
        <v>88</v>
      </c>
      <c r="L83" t="s">
        <v>353</v>
      </c>
      <c r="M83">
        <v>3</v>
      </c>
      <c r="N83">
        <v>3</v>
      </c>
      <c r="O83">
        <v>3</v>
      </c>
    </row>
    <row r="84" spans="1:15" x14ac:dyDescent="0.25">
      <c r="A84">
        <v>750</v>
      </c>
      <c r="B84" s="33" t="s">
        <v>167</v>
      </c>
      <c r="C84" s="124" t="s">
        <v>119</v>
      </c>
      <c r="D84" s="144" t="s">
        <v>221</v>
      </c>
      <c r="E84" s="59" t="s">
        <v>220</v>
      </c>
      <c r="F84" s="54"/>
      <c r="G84" s="29"/>
      <c r="H84" s="53">
        <v>750</v>
      </c>
      <c r="I84" s="53" t="s">
        <v>88</v>
      </c>
      <c r="L84" t="s">
        <v>355</v>
      </c>
      <c r="M84">
        <v>5</v>
      </c>
      <c r="N84">
        <v>5</v>
      </c>
      <c r="O84">
        <v>5</v>
      </c>
    </row>
    <row r="85" spans="1:15" x14ac:dyDescent="0.25">
      <c r="A85">
        <v>0</v>
      </c>
      <c r="B85" s="33" t="s">
        <v>167</v>
      </c>
      <c r="C85" s="124" t="s">
        <v>119</v>
      </c>
      <c r="D85" s="144" t="s">
        <v>231</v>
      </c>
      <c r="E85" s="59" t="s">
        <v>230</v>
      </c>
      <c r="F85" s="54"/>
      <c r="G85" s="29"/>
      <c r="H85" s="53">
        <v>0</v>
      </c>
      <c r="I85" s="53" t="s">
        <v>88</v>
      </c>
      <c r="L85" t="s">
        <v>357</v>
      </c>
      <c r="M85">
        <v>3</v>
      </c>
      <c r="N85">
        <v>3</v>
      </c>
      <c r="O85">
        <v>3</v>
      </c>
    </row>
    <row r="86" spans="1:15" x14ac:dyDescent="0.25">
      <c r="A86">
        <v>30589</v>
      </c>
      <c r="B86" s="33" t="s">
        <v>170</v>
      </c>
      <c r="C86" s="124" t="s">
        <v>130</v>
      </c>
      <c r="D86" s="144" t="s">
        <v>466</v>
      </c>
      <c r="E86" s="59" t="s">
        <v>482</v>
      </c>
      <c r="F86" s="54"/>
      <c r="G86" s="29"/>
      <c r="H86" s="53">
        <v>30589</v>
      </c>
      <c r="I86" s="53" t="s">
        <v>88</v>
      </c>
      <c r="L86" t="s">
        <v>359</v>
      </c>
      <c r="M86">
        <v>4</v>
      </c>
      <c r="N86">
        <v>4</v>
      </c>
      <c r="O86">
        <v>4</v>
      </c>
    </row>
    <row r="87" spans="1:15" x14ac:dyDescent="0.25">
      <c r="A87">
        <v>7868</v>
      </c>
      <c r="B87" s="33" t="s">
        <v>170</v>
      </c>
      <c r="C87" s="124" t="s">
        <v>130</v>
      </c>
      <c r="D87" s="144" t="s">
        <v>474</v>
      </c>
      <c r="E87" s="59" t="s">
        <v>475</v>
      </c>
      <c r="F87" s="54"/>
      <c r="G87" s="29"/>
      <c r="H87" s="53">
        <v>7868</v>
      </c>
      <c r="I87" s="53" t="s">
        <v>88</v>
      </c>
      <c r="L87" t="s">
        <v>361</v>
      </c>
      <c r="M87">
        <v>4</v>
      </c>
      <c r="N87">
        <v>4</v>
      </c>
      <c r="O87">
        <v>4</v>
      </c>
    </row>
    <row r="88" spans="1:15" x14ac:dyDescent="0.25">
      <c r="A88">
        <v>3518</v>
      </c>
      <c r="B88" s="33" t="s">
        <v>170</v>
      </c>
      <c r="C88" s="124" t="s">
        <v>130</v>
      </c>
      <c r="D88" s="144" t="s">
        <v>476</v>
      </c>
      <c r="E88" s="59" t="s">
        <v>477</v>
      </c>
      <c r="F88" s="54"/>
      <c r="G88" s="29"/>
      <c r="H88" s="53">
        <v>3518</v>
      </c>
      <c r="I88" s="53" t="s">
        <v>88</v>
      </c>
      <c r="L88" t="s">
        <v>363</v>
      </c>
      <c r="M88">
        <v>4</v>
      </c>
      <c r="N88">
        <v>4</v>
      </c>
      <c r="O88">
        <v>4</v>
      </c>
    </row>
    <row r="89" spans="1:15" x14ac:dyDescent="0.25">
      <c r="A89">
        <v>5613</v>
      </c>
      <c r="B89" s="33" t="s">
        <v>170</v>
      </c>
      <c r="C89" s="124" t="s">
        <v>130</v>
      </c>
      <c r="D89" s="144" t="s">
        <v>480</v>
      </c>
      <c r="E89" s="59" t="s">
        <v>481</v>
      </c>
      <c r="F89" s="54"/>
      <c r="G89" s="29"/>
      <c r="H89" s="53">
        <v>5613</v>
      </c>
      <c r="I89" s="53" t="s">
        <v>88</v>
      </c>
      <c r="L89" t="s">
        <v>365</v>
      </c>
      <c r="M89">
        <v>3</v>
      </c>
      <c r="N89">
        <v>3</v>
      </c>
      <c r="O89">
        <v>3</v>
      </c>
    </row>
    <row r="90" spans="1:15" x14ac:dyDescent="0.25">
      <c r="A90">
        <v>21299</v>
      </c>
      <c r="B90" s="33" t="s">
        <v>170</v>
      </c>
      <c r="C90" s="124" t="s">
        <v>130</v>
      </c>
      <c r="D90" s="144" t="s">
        <v>470</v>
      </c>
      <c r="E90" s="59" t="s">
        <v>471</v>
      </c>
      <c r="F90" s="54"/>
      <c r="G90" s="29"/>
      <c r="H90" s="53">
        <v>21299</v>
      </c>
      <c r="I90" s="53" t="s">
        <v>88</v>
      </c>
      <c r="L90" t="s">
        <v>367</v>
      </c>
      <c r="M90">
        <v>3</v>
      </c>
      <c r="N90">
        <v>3</v>
      </c>
      <c r="O90">
        <v>5</v>
      </c>
    </row>
    <row r="91" spans="1:15" x14ac:dyDescent="0.25">
      <c r="A91">
        <v>3630</v>
      </c>
      <c r="B91" s="33" t="s">
        <v>170</v>
      </c>
      <c r="C91" s="124" t="s">
        <v>130</v>
      </c>
      <c r="D91" s="144" t="s">
        <v>472</v>
      </c>
      <c r="E91" s="59" t="s">
        <v>473</v>
      </c>
      <c r="F91" s="54"/>
      <c r="G91" s="29"/>
      <c r="H91" s="53">
        <v>3630</v>
      </c>
      <c r="I91" s="53" t="s">
        <v>88</v>
      </c>
      <c r="L91" t="s">
        <v>369</v>
      </c>
      <c r="M91">
        <v>5</v>
      </c>
      <c r="N91">
        <v>4</v>
      </c>
      <c r="O91">
        <v>5</v>
      </c>
    </row>
    <row r="92" spans="1:15" ht="28.5" x14ac:dyDescent="0.25">
      <c r="A92">
        <v>7955</v>
      </c>
      <c r="B92" s="33" t="s">
        <v>170</v>
      </c>
      <c r="C92" s="124" t="s">
        <v>130</v>
      </c>
      <c r="D92" s="144" t="s">
        <v>478</v>
      </c>
      <c r="E92" s="59" t="s">
        <v>479</v>
      </c>
      <c r="F92" s="54"/>
      <c r="G92" s="29"/>
      <c r="H92" s="53">
        <v>7955</v>
      </c>
      <c r="I92" s="53" t="s">
        <v>88</v>
      </c>
      <c r="L92" t="s">
        <v>371</v>
      </c>
      <c r="M92">
        <v>3</v>
      </c>
      <c r="N92">
        <v>3</v>
      </c>
      <c r="O92">
        <v>3</v>
      </c>
    </row>
    <row r="93" spans="1:15" x14ac:dyDescent="0.25">
      <c r="A93">
        <v>31628</v>
      </c>
      <c r="B93" s="33" t="s">
        <v>170</v>
      </c>
      <c r="C93" s="124" t="s">
        <v>130</v>
      </c>
      <c r="D93" s="144" t="s">
        <v>468</v>
      </c>
      <c r="E93" s="59" t="s">
        <v>469</v>
      </c>
      <c r="F93" s="54"/>
      <c r="G93" s="29"/>
      <c r="H93" s="53">
        <v>31628</v>
      </c>
      <c r="I93" s="53" t="s">
        <v>88</v>
      </c>
      <c r="L93" t="s">
        <v>373</v>
      </c>
      <c r="M93">
        <v>3</v>
      </c>
      <c r="N93">
        <v>3</v>
      </c>
      <c r="O93">
        <v>3</v>
      </c>
    </row>
    <row r="94" spans="1:15" x14ac:dyDescent="0.25">
      <c r="A94">
        <v>69600</v>
      </c>
      <c r="B94" s="33" t="s">
        <v>173</v>
      </c>
      <c r="C94" s="124" t="s">
        <v>134</v>
      </c>
      <c r="D94" s="144" t="s">
        <v>536</v>
      </c>
      <c r="E94" s="59" t="s">
        <v>537</v>
      </c>
      <c r="F94" s="54"/>
      <c r="G94" s="29"/>
      <c r="H94" s="53">
        <v>69600</v>
      </c>
      <c r="I94" s="53" t="s">
        <v>88</v>
      </c>
      <c r="L94" t="s">
        <v>375</v>
      </c>
      <c r="M94">
        <v>4</v>
      </c>
      <c r="N94">
        <v>4</v>
      </c>
      <c r="O94">
        <v>4</v>
      </c>
    </row>
    <row r="95" spans="1:15" x14ac:dyDescent="0.25">
      <c r="A95">
        <v>44302</v>
      </c>
      <c r="B95" s="33" t="s">
        <v>173</v>
      </c>
      <c r="C95" s="124" t="s">
        <v>134</v>
      </c>
      <c r="D95" s="144" t="s">
        <v>530</v>
      </c>
      <c r="E95" s="59" t="s">
        <v>531</v>
      </c>
      <c r="F95" s="54"/>
      <c r="G95" s="29"/>
      <c r="H95" s="53">
        <v>44302</v>
      </c>
      <c r="I95" s="53" t="s">
        <v>88</v>
      </c>
      <c r="L95" t="s">
        <v>377</v>
      </c>
      <c r="M95">
        <v>3</v>
      </c>
      <c r="N95">
        <v>3</v>
      </c>
      <c r="O95">
        <v>3</v>
      </c>
    </row>
    <row r="96" spans="1:15" x14ac:dyDescent="0.25">
      <c r="A96">
        <v>40310</v>
      </c>
      <c r="B96" s="33" t="s">
        <v>173</v>
      </c>
      <c r="C96" s="124" t="s">
        <v>134</v>
      </c>
      <c r="D96" s="144" t="s">
        <v>534</v>
      </c>
      <c r="E96" s="59" t="s">
        <v>535</v>
      </c>
      <c r="F96" s="54"/>
      <c r="G96" s="29"/>
      <c r="H96" s="53">
        <v>40310</v>
      </c>
      <c r="I96" s="53" t="s">
        <v>88</v>
      </c>
      <c r="L96" t="s">
        <v>379</v>
      </c>
      <c r="M96">
        <v>3</v>
      </c>
      <c r="N96">
        <v>3</v>
      </c>
      <c r="O96">
        <v>3</v>
      </c>
    </row>
    <row r="97" spans="1:15" x14ac:dyDescent="0.25">
      <c r="A97">
        <v>44760</v>
      </c>
      <c r="B97" s="33" t="s">
        <v>173</v>
      </c>
      <c r="C97" s="124" t="s">
        <v>134</v>
      </c>
      <c r="D97" s="144" t="s">
        <v>528</v>
      </c>
      <c r="E97" s="59" t="s">
        <v>529</v>
      </c>
      <c r="F97" s="54"/>
      <c r="G97" s="29"/>
      <c r="H97" s="53">
        <v>44760</v>
      </c>
      <c r="I97" s="53" t="s">
        <v>88</v>
      </c>
      <c r="L97" t="s">
        <v>381</v>
      </c>
      <c r="M97">
        <v>4</v>
      </c>
      <c r="N97">
        <v>4</v>
      </c>
      <c r="O97">
        <v>4</v>
      </c>
    </row>
    <row r="98" spans="1:15" x14ac:dyDescent="0.25">
      <c r="A98">
        <v>50051</v>
      </c>
      <c r="B98" s="33" t="s">
        <v>173</v>
      </c>
      <c r="C98" s="124" t="s">
        <v>134</v>
      </c>
      <c r="D98" s="144" t="s">
        <v>532</v>
      </c>
      <c r="E98" s="59" t="s">
        <v>533</v>
      </c>
      <c r="F98" s="54"/>
      <c r="G98" s="29"/>
      <c r="H98" s="53">
        <v>50051</v>
      </c>
      <c r="I98" s="53" t="s">
        <v>88</v>
      </c>
      <c r="L98" t="s">
        <v>383</v>
      </c>
      <c r="M98">
        <v>3</v>
      </c>
      <c r="N98">
        <v>5</v>
      </c>
      <c r="O98">
        <v>5</v>
      </c>
    </row>
    <row r="99" spans="1:15" x14ac:dyDescent="0.25">
      <c r="A99">
        <v>52205</v>
      </c>
      <c r="B99" s="33" t="s">
        <v>173</v>
      </c>
      <c r="C99" s="124" t="s">
        <v>134</v>
      </c>
      <c r="D99" s="144" t="s">
        <v>526</v>
      </c>
      <c r="E99" s="59" t="s">
        <v>527</v>
      </c>
      <c r="F99" s="54"/>
      <c r="G99" s="29"/>
      <c r="H99" s="53">
        <v>52205</v>
      </c>
      <c r="I99" s="53" t="s">
        <v>88</v>
      </c>
      <c r="L99" t="s">
        <v>385</v>
      </c>
      <c r="M99">
        <v>4</v>
      </c>
      <c r="N99">
        <v>4</v>
      </c>
      <c r="O99">
        <v>4</v>
      </c>
    </row>
    <row r="100" spans="1:15" x14ac:dyDescent="0.25">
      <c r="A100">
        <v>67443</v>
      </c>
      <c r="B100" s="33" t="s">
        <v>173</v>
      </c>
      <c r="C100" s="124" t="s">
        <v>134</v>
      </c>
      <c r="D100" s="144" t="s">
        <v>538</v>
      </c>
      <c r="E100" s="59" t="s">
        <v>539</v>
      </c>
      <c r="F100" s="54"/>
      <c r="G100" s="29"/>
      <c r="H100" s="53">
        <v>67443</v>
      </c>
      <c r="I100" s="53" t="s">
        <v>88</v>
      </c>
      <c r="L100" t="s">
        <v>387</v>
      </c>
      <c r="M100">
        <v>3</v>
      </c>
      <c r="N100">
        <v>3</v>
      </c>
      <c r="O100">
        <v>3</v>
      </c>
    </row>
    <row r="101" spans="1:15" x14ac:dyDescent="0.25">
      <c r="A101">
        <v>0</v>
      </c>
      <c r="B101" s="33" t="s">
        <v>176</v>
      </c>
      <c r="C101" s="124" t="s">
        <v>127</v>
      </c>
      <c r="D101" s="144" t="s">
        <v>420</v>
      </c>
      <c r="E101" s="59" t="s">
        <v>421</v>
      </c>
      <c r="F101" s="54"/>
      <c r="G101" s="29"/>
      <c r="H101" s="53">
        <v>0</v>
      </c>
      <c r="I101" s="53" t="s">
        <v>88</v>
      </c>
      <c r="L101" t="s">
        <v>389</v>
      </c>
      <c r="M101">
        <v>3</v>
      </c>
      <c r="N101">
        <v>3</v>
      </c>
      <c r="O101">
        <v>3</v>
      </c>
    </row>
    <row r="102" spans="1:15" x14ac:dyDescent="0.25">
      <c r="A102">
        <v>0</v>
      </c>
      <c r="B102" s="33" t="s">
        <v>176</v>
      </c>
      <c r="C102" s="124" t="s">
        <v>127</v>
      </c>
      <c r="D102" s="144" t="s">
        <v>414</v>
      </c>
      <c r="E102" s="59" t="s">
        <v>415</v>
      </c>
      <c r="F102" s="54"/>
      <c r="G102" s="29"/>
      <c r="H102" s="53">
        <v>0</v>
      </c>
      <c r="I102" s="53" t="s">
        <v>88</v>
      </c>
      <c r="L102" t="s">
        <v>391</v>
      </c>
      <c r="M102">
        <v>3</v>
      </c>
      <c r="N102">
        <v>3</v>
      </c>
      <c r="O102">
        <v>3</v>
      </c>
    </row>
    <row r="103" spans="1:15" x14ac:dyDescent="0.25">
      <c r="A103">
        <v>325</v>
      </c>
      <c r="B103" s="33" t="s">
        <v>176</v>
      </c>
      <c r="C103" s="124" t="s">
        <v>127</v>
      </c>
      <c r="D103" s="144" t="s">
        <v>402</v>
      </c>
      <c r="E103" s="59" t="s">
        <v>403</v>
      </c>
      <c r="F103" s="54"/>
      <c r="G103" s="29"/>
      <c r="H103" s="53">
        <v>325</v>
      </c>
      <c r="I103" s="53" t="s">
        <v>88</v>
      </c>
      <c r="L103" t="s">
        <v>393</v>
      </c>
      <c r="M103">
        <v>3</v>
      </c>
      <c r="N103">
        <v>3</v>
      </c>
      <c r="O103">
        <v>3</v>
      </c>
    </row>
    <row r="104" spans="1:15" x14ac:dyDescent="0.25">
      <c r="A104">
        <v>0</v>
      </c>
      <c r="B104" s="33" t="s">
        <v>176</v>
      </c>
      <c r="C104" s="124" t="s">
        <v>127</v>
      </c>
      <c r="D104" s="144" t="s">
        <v>408</v>
      </c>
      <c r="E104" s="59" t="s">
        <v>409</v>
      </c>
      <c r="F104" s="54"/>
      <c r="G104" s="29"/>
      <c r="H104" s="53">
        <v>0</v>
      </c>
      <c r="I104" s="53" t="s">
        <v>88</v>
      </c>
      <c r="L104" t="s">
        <v>395</v>
      </c>
      <c r="M104">
        <v>5</v>
      </c>
      <c r="N104">
        <v>4</v>
      </c>
      <c r="O104">
        <v>4</v>
      </c>
    </row>
    <row r="105" spans="1:15" x14ac:dyDescent="0.25">
      <c r="A105">
        <v>2075</v>
      </c>
      <c r="B105" s="33" t="s">
        <v>176</v>
      </c>
      <c r="C105" s="124" t="s">
        <v>127</v>
      </c>
      <c r="D105" s="144" t="s">
        <v>416</v>
      </c>
      <c r="E105" s="59" t="s">
        <v>417</v>
      </c>
      <c r="F105" s="54"/>
      <c r="G105" s="29"/>
      <c r="H105" s="53">
        <v>2075</v>
      </c>
      <c r="I105" s="53" t="s">
        <v>88</v>
      </c>
      <c r="L105" t="s">
        <v>397</v>
      </c>
      <c r="M105">
        <v>3</v>
      </c>
      <c r="N105">
        <v>3</v>
      </c>
      <c r="O105">
        <v>3</v>
      </c>
    </row>
    <row r="106" spans="1:15" ht="28.5" x14ac:dyDescent="0.25">
      <c r="A106">
        <v>100</v>
      </c>
      <c r="B106" s="33" t="s">
        <v>176</v>
      </c>
      <c r="C106" s="124" t="s">
        <v>127</v>
      </c>
      <c r="D106" s="144" t="s">
        <v>410</v>
      </c>
      <c r="E106" s="59" t="s">
        <v>411</v>
      </c>
      <c r="F106" s="54"/>
      <c r="G106" s="29"/>
      <c r="H106" s="53">
        <v>100</v>
      </c>
      <c r="I106" s="53" t="s">
        <v>88</v>
      </c>
      <c r="L106" t="s">
        <v>399</v>
      </c>
      <c r="M106">
        <v>5</v>
      </c>
      <c r="N106">
        <v>4</v>
      </c>
      <c r="O106">
        <v>4</v>
      </c>
    </row>
    <row r="107" spans="1:15" x14ac:dyDescent="0.25">
      <c r="A107">
        <v>114235</v>
      </c>
      <c r="B107" s="33" t="s">
        <v>176</v>
      </c>
      <c r="C107" s="124" t="s">
        <v>127</v>
      </c>
      <c r="D107" s="144" t="s">
        <v>404</v>
      </c>
      <c r="E107" s="59" t="s">
        <v>405</v>
      </c>
      <c r="F107" s="54"/>
      <c r="G107" s="29"/>
      <c r="H107" s="53">
        <v>114235</v>
      </c>
      <c r="I107" s="53" t="s">
        <v>88</v>
      </c>
      <c r="L107" t="s">
        <v>401</v>
      </c>
      <c r="M107">
        <v>3</v>
      </c>
      <c r="N107">
        <v>3</v>
      </c>
      <c r="O107">
        <v>3</v>
      </c>
    </row>
    <row r="108" spans="1:15" x14ac:dyDescent="0.25">
      <c r="A108">
        <v>1790</v>
      </c>
      <c r="B108" s="33" t="s">
        <v>176</v>
      </c>
      <c r="C108" s="124" t="s">
        <v>127</v>
      </c>
      <c r="D108" s="144" t="s">
        <v>412</v>
      </c>
      <c r="E108" s="59" t="s">
        <v>413</v>
      </c>
      <c r="F108" s="54"/>
      <c r="G108" s="29"/>
      <c r="H108" s="53">
        <v>1790</v>
      </c>
      <c r="I108" s="53" t="s">
        <v>88</v>
      </c>
      <c r="L108" t="s">
        <v>403</v>
      </c>
      <c r="M108">
        <v>3</v>
      </c>
      <c r="N108">
        <v>3</v>
      </c>
      <c r="O108">
        <v>3</v>
      </c>
    </row>
    <row r="109" spans="1:15" x14ac:dyDescent="0.25">
      <c r="A109">
        <v>2687</v>
      </c>
      <c r="B109" s="33" t="s">
        <v>176</v>
      </c>
      <c r="C109" s="124" t="s">
        <v>127</v>
      </c>
      <c r="D109" s="144" t="s">
        <v>418</v>
      </c>
      <c r="E109" s="59" t="s">
        <v>419</v>
      </c>
      <c r="F109" s="54"/>
      <c r="G109" s="29"/>
      <c r="H109" s="53">
        <v>2687</v>
      </c>
      <c r="I109" s="53" t="s">
        <v>88</v>
      </c>
      <c r="L109" t="s">
        <v>405</v>
      </c>
      <c r="M109">
        <v>3</v>
      </c>
      <c r="N109">
        <v>3</v>
      </c>
      <c r="O109">
        <v>3</v>
      </c>
    </row>
    <row r="110" spans="1:15" x14ac:dyDescent="0.25">
      <c r="A110">
        <v>2350</v>
      </c>
      <c r="B110" s="33" t="s">
        <v>176</v>
      </c>
      <c r="C110" s="124" t="s">
        <v>127</v>
      </c>
      <c r="D110" s="144" t="s">
        <v>406</v>
      </c>
      <c r="E110" s="59" t="s">
        <v>407</v>
      </c>
      <c r="F110" s="54"/>
      <c r="G110" s="29"/>
      <c r="H110" s="53">
        <v>2350</v>
      </c>
      <c r="I110" s="53" t="s">
        <v>88</v>
      </c>
      <c r="L110" t="s">
        <v>407</v>
      </c>
      <c r="M110">
        <v>3</v>
      </c>
      <c r="N110">
        <v>3</v>
      </c>
      <c r="O110">
        <v>3</v>
      </c>
    </row>
    <row r="111" spans="1:15" x14ac:dyDescent="0.25">
      <c r="A111">
        <v>28100</v>
      </c>
      <c r="B111" s="33" t="s">
        <v>179</v>
      </c>
      <c r="C111" s="124" t="s">
        <v>133</v>
      </c>
      <c r="D111" s="144" t="s">
        <v>512</v>
      </c>
      <c r="E111" s="59" t="s">
        <v>513</v>
      </c>
      <c r="F111" s="54"/>
      <c r="G111" s="29"/>
      <c r="H111" s="53">
        <v>28100</v>
      </c>
      <c r="I111" s="145" t="s">
        <v>88</v>
      </c>
      <c r="L111" t="s">
        <v>409</v>
      </c>
      <c r="M111">
        <v>3</v>
      </c>
      <c r="N111">
        <v>3</v>
      </c>
      <c r="O111">
        <v>3</v>
      </c>
    </row>
    <row r="112" spans="1:15" x14ac:dyDescent="0.25">
      <c r="A112">
        <v>109903</v>
      </c>
      <c r="B112" s="33" t="s">
        <v>179</v>
      </c>
      <c r="C112" s="124" t="s">
        <v>133</v>
      </c>
      <c r="D112" s="144" t="s">
        <v>518</v>
      </c>
      <c r="E112" s="59" t="s">
        <v>519</v>
      </c>
      <c r="F112" s="54"/>
      <c r="G112" s="29"/>
      <c r="H112" s="53">
        <v>109903</v>
      </c>
      <c r="I112" s="53" t="s">
        <v>88</v>
      </c>
      <c r="L112" t="s">
        <v>411</v>
      </c>
      <c r="M112">
        <v>3</v>
      </c>
      <c r="N112">
        <v>3</v>
      </c>
      <c r="O112">
        <v>3</v>
      </c>
    </row>
    <row r="113" spans="1:15" x14ac:dyDescent="0.25">
      <c r="A113">
        <v>31152</v>
      </c>
      <c r="B113" s="33" t="s">
        <v>179</v>
      </c>
      <c r="C113" s="124" t="s">
        <v>133</v>
      </c>
      <c r="D113" s="144" t="s">
        <v>524</v>
      </c>
      <c r="E113" s="59" t="s">
        <v>525</v>
      </c>
      <c r="F113" s="54"/>
      <c r="G113" s="29"/>
      <c r="H113" s="53">
        <v>31152</v>
      </c>
      <c r="I113" s="53" t="s">
        <v>88</v>
      </c>
      <c r="L113" t="s">
        <v>413</v>
      </c>
      <c r="M113">
        <v>3</v>
      </c>
      <c r="N113">
        <v>3</v>
      </c>
      <c r="O113">
        <v>3</v>
      </c>
    </row>
    <row r="114" spans="1:15" x14ac:dyDescent="0.25">
      <c r="A114">
        <v>95866</v>
      </c>
      <c r="B114" s="33" t="s">
        <v>179</v>
      </c>
      <c r="C114" s="124" t="s">
        <v>133</v>
      </c>
      <c r="D114" s="144" t="s">
        <v>514</v>
      </c>
      <c r="E114" s="59" t="s">
        <v>515</v>
      </c>
      <c r="F114" s="54"/>
      <c r="G114" s="29"/>
      <c r="H114" s="53">
        <v>95866</v>
      </c>
      <c r="I114" s="53" t="s">
        <v>88</v>
      </c>
      <c r="L114" t="s">
        <v>415</v>
      </c>
      <c r="M114">
        <v>3</v>
      </c>
      <c r="N114">
        <v>3</v>
      </c>
      <c r="O114">
        <v>3</v>
      </c>
    </row>
    <row r="115" spans="1:15" x14ac:dyDescent="0.25">
      <c r="A115">
        <v>102115</v>
      </c>
      <c r="B115" s="33" t="s">
        <v>179</v>
      </c>
      <c r="C115" s="124" t="s">
        <v>133</v>
      </c>
      <c r="D115" s="144" t="s">
        <v>520</v>
      </c>
      <c r="E115" s="59" t="s">
        <v>521</v>
      </c>
      <c r="F115" s="54"/>
      <c r="G115" s="29"/>
      <c r="H115" s="53">
        <v>102115</v>
      </c>
      <c r="I115" s="53" t="s">
        <v>88</v>
      </c>
      <c r="L115" t="s">
        <v>417</v>
      </c>
      <c r="M115">
        <v>3</v>
      </c>
      <c r="N115">
        <v>3</v>
      </c>
      <c r="O115">
        <v>3</v>
      </c>
    </row>
    <row r="116" spans="1:15" x14ac:dyDescent="0.25">
      <c r="A116">
        <v>48606</v>
      </c>
      <c r="B116" s="33" t="s">
        <v>179</v>
      </c>
      <c r="C116" s="124" t="s">
        <v>133</v>
      </c>
      <c r="D116" s="144" t="s">
        <v>522</v>
      </c>
      <c r="E116" s="59" t="s">
        <v>523</v>
      </c>
      <c r="F116" s="54"/>
      <c r="G116" s="29"/>
      <c r="H116" s="53">
        <v>48606</v>
      </c>
      <c r="I116" s="53" t="s">
        <v>88</v>
      </c>
      <c r="L116" t="s">
        <v>419</v>
      </c>
      <c r="M116">
        <v>3</v>
      </c>
      <c r="N116">
        <v>3</v>
      </c>
      <c r="O116">
        <v>3</v>
      </c>
    </row>
    <row r="117" spans="1:15" x14ac:dyDescent="0.25">
      <c r="A117">
        <v>100000</v>
      </c>
      <c r="B117" s="33" t="s">
        <v>179</v>
      </c>
      <c r="C117" s="124" t="s">
        <v>133</v>
      </c>
      <c r="D117" s="144" t="s">
        <v>516</v>
      </c>
      <c r="E117" s="59" t="s">
        <v>517</v>
      </c>
      <c r="F117" s="54"/>
      <c r="G117" s="29"/>
      <c r="H117" s="53">
        <v>100000</v>
      </c>
      <c r="I117" s="53" t="s">
        <v>88</v>
      </c>
      <c r="L117" t="s">
        <v>421</v>
      </c>
      <c r="M117">
        <v>3</v>
      </c>
      <c r="N117">
        <v>3</v>
      </c>
      <c r="O117">
        <v>3</v>
      </c>
    </row>
    <row r="118" spans="1:15" x14ac:dyDescent="0.25">
      <c r="A118">
        <v>53196</v>
      </c>
      <c r="B118" s="33" t="s">
        <v>182</v>
      </c>
      <c r="C118" s="124" t="s">
        <v>131</v>
      </c>
      <c r="D118" s="144" t="s">
        <v>483</v>
      </c>
      <c r="E118" s="59" t="s">
        <v>484</v>
      </c>
      <c r="F118" s="54"/>
      <c r="G118" s="29"/>
      <c r="H118" s="53">
        <v>53196</v>
      </c>
      <c r="I118" s="53" t="s">
        <v>88</v>
      </c>
      <c r="L118" t="s">
        <v>423</v>
      </c>
      <c r="M118">
        <v>3</v>
      </c>
      <c r="N118">
        <v>3</v>
      </c>
      <c r="O118">
        <v>3</v>
      </c>
    </row>
    <row r="119" spans="1:15" x14ac:dyDescent="0.25">
      <c r="A119">
        <v>35929</v>
      </c>
      <c r="B119" s="33" t="s">
        <v>182</v>
      </c>
      <c r="C119" s="124" t="s">
        <v>131</v>
      </c>
      <c r="D119" s="144" t="s">
        <v>486</v>
      </c>
      <c r="E119" s="59" t="s">
        <v>487</v>
      </c>
      <c r="F119" s="54"/>
      <c r="G119" s="29"/>
      <c r="H119" s="53">
        <v>35929</v>
      </c>
      <c r="I119" s="53" t="s">
        <v>88</v>
      </c>
      <c r="L119" t="s">
        <v>425</v>
      </c>
      <c r="M119">
        <v>3</v>
      </c>
      <c r="N119">
        <v>3</v>
      </c>
      <c r="O119">
        <v>3</v>
      </c>
    </row>
    <row r="120" spans="1:15" x14ac:dyDescent="0.25">
      <c r="A120">
        <v>56966</v>
      </c>
      <c r="B120" s="33" t="s">
        <v>182</v>
      </c>
      <c r="C120" s="124" t="s">
        <v>131</v>
      </c>
      <c r="D120" s="144" t="s">
        <v>488</v>
      </c>
      <c r="E120" s="59" t="s">
        <v>489</v>
      </c>
      <c r="F120" s="54"/>
      <c r="G120" s="29"/>
      <c r="H120" s="53">
        <v>56966</v>
      </c>
      <c r="I120" s="53" t="s">
        <v>88</v>
      </c>
      <c r="L120" t="s">
        <v>427</v>
      </c>
      <c r="M120">
        <v>3</v>
      </c>
      <c r="N120">
        <v>3</v>
      </c>
      <c r="O120">
        <v>3</v>
      </c>
    </row>
    <row r="121" spans="1:15" x14ac:dyDescent="0.25">
      <c r="A121">
        <v>62584</v>
      </c>
      <c r="B121" s="33" t="s">
        <v>182</v>
      </c>
      <c r="C121" s="124" t="s">
        <v>131</v>
      </c>
      <c r="D121" s="144" t="s">
        <v>490</v>
      </c>
      <c r="E121" s="59" t="s">
        <v>491</v>
      </c>
      <c r="F121" s="54"/>
      <c r="G121" s="29"/>
      <c r="H121" s="53">
        <v>62584</v>
      </c>
      <c r="I121" s="53" t="s">
        <v>88</v>
      </c>
      <c r="L121" t="s">
        <v>429</v>
      </c>
      <c r="M121">
        <v>3</v>
      </c>
      <c r="N121">
        <v>3</v>
      </c>
      <c r="O121">
        <v>3</v>
      </c>
    </row>
    <row r="122" spans="1:15" x14ac:dyDescent="0.25">
      <c r="A122">
        <v>50774</v>
      </c>
      <c r="B122" s="33" t="s">
        <v>182</v>
      </c>
      <c r="C122" s="124" t="s">
        <v>131</v>
      </c>
      <c r="D122" s="144" t="s">
        <v>182</v>
      </c>
      <c r="E122" s="59" t="s">
        <v>485</v>
      </c>
      <c r="F122" s="54"/>
      <c r="G122" s="29"/>
      <c r="H122" s="53">
        <v>50774</v>
      </c>
      <c r="I122" s="53" t="s">
        <v>88</v>
      </c>
      <c r="L122" t="s">
        <v>431</v>
      </c>
      <c r="M122">
        <v>3</v>
      </c>
      <c r="N122">
        <v>3</v>
      </c>
      <c r="O122">
        <v>3</v>
      </c>
    </row>
    <row r="123" spans="1:15" x14ac:dyDescent="0.25">
      <c r="A123">
        <v>37050</v>
      </c>
      <c r="B123" s="33" t="s">
        <v>182</v>
      </c>
      <c r="C123" s="124" t="s">
        <v>131</v>
      </c>
      <c r="D123" s="144" t="s">
        <v>492</v>
      </c>
      <c r="E123" s="59" t="s">
        <v>493</v>
      </c>
      <c r="F123" s="54"/>
      <c r="G123" s="29"/>
      <c r="H123" s="53">
        <v>37050</v>
      </c>
      <c r="I123" s="53" t="s">
        <v>88</v>
      </c>
      <c r="L123" t="s">
        <v>433</v>
      </c>
      <c r="M123">
        <v>4</v>
      </c>
      <c r="N123">
        <v>4</v>
      </c>
      <c r="O123">
        <v>4</v>
      </c>
    </row>
    <row r="124" spans="1:15" x14ac:dyDescent="0.25">
      <c r="A124">
        <v>49883</v>
      </c>
      <c r="B124" s="33" t="s">
        <v>182</v>
      </c>
      <c r="C124" s="124" t="s">
        <v>131</v>
      </c>
      <c r="D124" s="144" t="s">
        <v>494</v>
      </c>
      <c r="E124" s="59" t="s">
        <v>495</v>
      </c>
      <c r="F124" s="54"/>
      <c r="G124" s="29"/>
      <c r="H124" s="53">
        <v>49883</v>
      </c>
      <c r="I124" s="53" t="s">
        <v>88</v>
      </c>
      <c r="L124" t="s">
        <v>435</v>
      </c>
      <c r="M124">
        <v>4</v>
      </c>
      <c r="N124">
        <v>4</v>
      </c>
      <c r="O124">
        <v>4</v>
      </c>
    </row>
    <row r="125" spans="1:15" x14ac:dyDescent="0.25">
      <c r="A125">
        <v>34870</v>
      </c>
      <c r="B125" s="33" t="s">
        <v>185</v>
      </c>
      <c r="C125" s="124" t="s">
        <v>120</v>
      </c>
      <c r="D125" s="144" t="s">
        <v>233</v>
      </c>
      <c r="E125" s="59" t="s">
        <v>232</v>
      </c>
      <c r="F125" s="54"/>
      <c r="G125" s="29"/>
      <c r="H125" s="53">
        <v>34870</v>
      </c>
      <c r="I125" s="53" t="s">
        <v>88</v>
      </c>
      <c r="L125" t="s">
        <v>437</v>
      </c>
      <c r="M125">
        <v>3</v>
      </c>
      <c r="N125">
        <v>3</v>
      </c>
      <c r="O125">
        <v>3</v>
      </c>
    </row>
    <row r="126" spans="1:15" x14ac:dyDescent="0.25">
      <c r="A126">
        <v>8405</v>
      </c>
      <c r="B126" s="33" t="s">
        <v>185</v>
      </c>
      <c r="C126" s="124" t="s">
        <v>120</v>
      </c>
      <c r="D126" s="144" t="s">
        <v>247</v>
      </c>
      <c r="E126" s="59" t="s">
        <v>246</v>
      </c>
      <c r="F126" s="54"/>
      <c r="G126" s="29"/>
      <c r="H126" s="53">
        <v>8405</v>
      </c>
      <c r="I126" s="53" t="s">
        <v>88</v>
      </c>
      <c r="L126" t="s">
        <v>439</v>
      </c>
      <c r="M126">
        <v>3</v>
      </c>
      <c r="N126">
        <v>3</v>
      </c>
      <c r="O126">
        <v>3</v>
      </c>
    </row>
    <row r="127" spans="1:15" x14ac:dyDescent="0.25">
      <c r="A127">
        <v>11130</v>
      </c>
      <c r="B127" s="33" t="s">
        <v>185</v>
      </c>
      <c r="C127" s="124" t="s">
        <v>120</v>
      </c>
      <c r="D127" s="144" t="s">
        <v>269</v>
      </c>
      <c r="E127" s="59" t="s">
        <v>268</v>
      </c>
      <c r="F127" s="54"/>
      <c r="G127" s="29"/>
      <c r="H127" s="53">
        <v>11130</v>
      </c>
      <c r="I127" s="53" t="s">
        <v>88</v>
      </c>
      <c r="L127" t="s">
        <v>441</v>
      </c>
      <c r="M127">
        <v>3</v>
      </c>
      <c r="N127">
        <v>3</v>
      </c>
      <c r="O127">
        <v>3</v>
      </c>
    </row>
    <row r="128" spans="1:15" x14ac:dyDescent="0.25">
      <c r="A128">
        <v>4950</v>
      </c>
      <c r="B128" s="33" t="s">
        <v>185</v>
      </c>
      <c r="C128" s="124" t="s">
        <v>120</v>
      </c>
      <c r="D128" s="144" t="s">
        <v>255</v>
      </c>
      <c r="E128" s="59" t="s">
        <v>254</v>
      </c>
      <c r="F128" s="54"/>
      <c r="G128" s="29"/>
      <c r="H128" s="53">
        <v>4950</v>
      </c>
      <c r="I128" s="53" t="s">
        <v>88</v>
      </c>
      <c r="L128" t="s">
        <v>443</v>
      </c>
      <c r="M128">
        <v>3</v>
      </c>
      <c r="N128">
        <v>3</v>
      </c>
      <c r="O128">
        <v>3</v>
      </c>
    </row>
    <row r="129" spans="1:15" x14ac:dyDescent="0.25">
      <c r="A129">
        <v>432976</v>
      </c>
      <c r="B129" s="33" t="s">
        <v>185</v>
      </c>
      <c r="C129" s="124" t="s">
        <v>120</v>
      </c>
      <c r="D129" s="144" t="s">
        <v>265</v>
      </c>
      <c r="E129" s="59" t="s">
        <v>264</v>
      </c>
      <c r="F129" s="54"/>
      <c r="G129" s="29"/>
      <c r="H129" s="53">
        <v>432976</v>
      </c>
      <c r="I129" s="53" t="s">
        <v>88</v>
      </c>
      <c r="L129" t="s">
        <v>445</v>
      </c>
      <c r="M129">
        <v>3</v>
      </c>
      <c r="N129">
        <v>3</v>
      </c>
      <c r="O129">
        <v>3</v>
      </c>
    </row>
    <row r="130" spans="1:15" x14ac:dyDescent="0.25">
      <c r="A130">
        <v>42971</v>
      </c>
      <c r="B130" s="33" t="s">
        <v>185</v>
      </c>
      <c r="C130" s="124" t="s">
        <v>120</v>
      </c>
      <c r="D130" s="144" t="s">
        <v>263</v>
      </c>
      <c r="E130" s="59" t="s">
        <v>262</v>
      </c>
      <c r="F130" s="54"/>
      <c r="G130" s="29"/>
      <c r="H130" s="53">
        <v>42971</v>
      </c>
      <c r="I130" s="53" t="s">
        <v>88</v>
      </c>
      <c r="L130" t="s">
        <v>447</v>
      </c>
      <c r="M130">
        <v>3</v>
      </c>
      <c r="N130">
        <v>3</v>
      </c>
      <c r="O130">
        <v>3</v>
      </c>
    </row>
    <row r="131" spans="1:15" x14ac:dyDescent="0.25">
      <c r="A131">
        <v>5187</v>
      </c>
      <c r="B131" s="33" t="s">
        <v>185</v>
      </c>
      <c r="C131" s="124" t="s">
        <v>120</v>
      </c>
      <c r="D131" s="144" t="s">
        <v>273</v>
      </c>
      <c r="E131" s="59" t="s">
        <v>272</v>
      </c>
      <c r="F131" s="54"/>
      <c r="G131" s="29"/>
      <c r="H131" s="53">
        <v>5187</v>
      </c>
      <c r="I131" s="53" t="s">
        <v>88</v>
      </c>
      <c r="L131" t="s">
        <v>449</v>
      </c>
      <c r="M131">
        <v>3</v>
      </c>
      <c r="N131">
        <v>3</v>
      </c>
      <c r="O131">
        <v>3</v>
      </c>
    </row>
    <row r="132" spans="1:15" x14ac:dyDescent="0.25">
      <c r="A132">
        <v>3610</v>
      </c>
      <c r="B132" s="33" t="s">
        <v>185</v>
      </c>
      <c r="C132" s="124" t="s">
        <v>120</v>
      </c>
      <c r="D132" s="144" t="s">
        <v>235</v>
      </c>
      <c r="E132" s="59" t="s">
        <v>234</v>
      </c>
      <c r="F132" s="54"/>
      <c r="G132" s="29"/>
      <c r="H132" s="53">
        <v>3610</v>
      </c>
      <c r="I132" s="53" t="s">
        <v>88</v>
      </c>
      <c r="L132" t="s">
        <v>451</v>
      </c>
      <c r="M132">
        <v>3</v>
      </c>
      <c r="N132">
        <v>3</v>
      </c>
      <c r="O132">
        <v>3</v>
      </c>
    </row>
    <row r="133" spans="1:15" x14ac:dyDescent="0.25">
      <c r="A133">
        <v>136232</v>
      </c>
      <c r="B133" s="33" t="s">
        <v>185</v>
      </c>
      <c r="C133" s="124" t="s">
        <v>120</v>
      </c>
      <c r="D133" s="144" t="s">
        <v>251</v>
      </c>
      <c r="E133" s="59" t="s">
        <v>250</v>
      </c>
      <c r="F133" s="54"/>
      <c r="G133" s="29"/>
      <c r="H133" s="53">
        <v>136232</v>
      </c>
      <c r="I133" s="53" t="s">
        <v>88</v>
      </c>
      <c r="L133" t="s">
        <v>453</v>
      </c>
      <c r="M133">
        <v>3</v>
      </c>
      <c r="N133">
        <v>3</v>
      </c>
      <c r="O133">
        <v>3</v>
      </c>
    </row>
    <row r="134" spans="1:15" x14ac:dyDescent="0.25">
      <c r="A134">
        <v>128069</v>
      </c>
      <c r="B134" s="33" t="s">
        <v>185</v>
      </c>
      <c r="C134" s="124" t="s">
        <v>120</v>
      </c>
      <c r="D134" s="144" t="s">
        <v>237</v>
      </c>
      <c r="E134" s="59" t="s">
        <v>236</v>
      </c>
      <c r="F134" s="54"/>
      <c r="G134" s="29"/>
      <c r="H134" s="53">
        <v>128069</v>
      </c>
      <c r="I134" s="53" t="s">
        <v>88</v>
      </c>
      <c r="L134" t="s">
        <v>455</v>
      </c>
      <c r="M134">
        <v>3</v>
      </c>
      <c r="N134">
        <v>3</v>
      </c>
      <c r="O134">
        <v>3</v>
      </c>
    </row>
    <row r="135" spans="1:15" x14ac:dyDescent="0.25">
      <c r="A135">
        <v>10917</v>
      </c>
      <c r="B135" s="33" t="s">
        <v>185</v>
      </c>
      <c r="C135" s="124" t="s">
        <v>120</v>
      </c>
      <c r="D135" s="144" t="s">
        <v>261</v>
      </c>
      <c r="E135" s="59" t="s">
        <v>260</v>
      </c>
      <c r="F135" s="54"/>
      <c r="G135" s="29"/>
      <c r="H135" s="53">
        <v>10917</v>
      </c>
      <c r="I135" s="53" t="s">
        <v>88</v>
      </c>
      <c r="L135" t="s">
        <v>457</v>
      </c>
      <c r="M135">
        <v>3</v>
      </c>
      <c r="N135">
        <v>3</v>
      </c>
      <c r="O135">
        <v>3</v>
      </c>
    </row>
    <row r="136" spans="1:15" x14ac:dyDescent="0.25">
      <c r="A136">
        <v>3732</v>
      </c>
      <c r="B136" s="33" t="s">
        <v>185</v>
      </c>
      <c r="C136" s="124" t="s">
        <v>120</v>
      </c>
      <c r="D136" s="144" t="s">
        <v>257</v>
      </c>
      <c r="E136" s="59" t="s">
        <v>256</v>
      </c>
      <c r="F136" s="54"/>
      <c r="G136" s="29"/>
      <c r="H136" s="53">
        <v>3732</v>
      </c>
      <c r="I136" s="53" t="s">
        <v>88</v>
      </c>
      <c r="L136" t="s">
        <v>459</v>
      </c>
      <c r="M136">
        <v>3</v>
      </c>
      <c r="N136">
        <v>3</v>
      </c>
      <c r="O136">
        <v>3</v>
      </c>
    </row>
    <row r="137" spans="1:15" x14ac:dyDescent="0.25">
      <c r="A137">
        <v>52848</v>
      </c>
      <c r="B137" s="33" t="s">
        <v>185</v>
      </c>
      <c r="C137" s="124" t="s">
        <v>120</v>
      </c>
      <c r="D137" s="144" t="s">
        <v>239</v>
      </c>
      <c r="E137" s="59" t="s">
        <v>238</v>
      </c>
      <c r="F137" s="54"/>
      <c r="G137" s="29"/>
      <c r="H137" s="53">
        <v>52848</v>
      </c>
      <c r="I137" s="53" t="s">
        <v>88</v>
      </c>
      <c r="L137" t="s">
        <v>461</v>
      </c>
      <c r="M137">
        <v>3</v>
      </c>
      <c r="N137">
        <v>3</v>
      </c>
      <c r="O137">
        <v>3</v>
      </c>
    </row>
    <row r="138" spans="1:15" x14ac:dyDescent="0.25">
      <c r="A138">
        <v>22958.5</v>
      </c>
      <c r="B138" s="33" t="s">
        <v>185</v>
      </c>
      <c r="C138" s="124" t="s">
        <v>120</v>
      </c>
      <c r="D138" s="144" t="s">
        <v>249</v>
      </c>
      <c r="E138" s="59" t="s">
        <v>248</v>
      </c>
      <c r="F138" s="54"/>
      <c r="G138" s="29"/>
      <c r="H138" s="53">
        <v>22959</v>
      </c>
      <c r="I138" s="53" t="s">
        <v>88</v>
      </c>
      <c r="L138" t="s">
        <v>463</v>
      </c>
      <c r="M138">
        <v>3</v>
      </c>
      <c r="N138">
        <v>3</v>
      </c>
      <c r="O138">
        <v>3</v>
      </c>
    </row>
    <row r="139" spans="1:15" x14ac:dyDescent="0.25">
      <c r="A139">
        <v>129389</v>
      </c>
      <c r="B139" s="33" t="s">
        <v>185</v>
      </c>
      <c r="C139" s="124" t="s">
        <v>120</v>
      </c>
      <c r="D139" s="144" t="s">
        <v>271</v>
      </c>
      <c r="E139" s="59" t="s">
        <v>270</v>
      </c>
      <c r="F139" s="54"/>
      <c r="G139" s="29"/>
      <c r="H139" s="53">
        <v>129389</v>
      </c>
      <c r="I139" s="53" t="s">
        <v>88</v>
      </c>
      <c r="L139" t="s">
        <v>465</v>
      </c>
      <c r="M139">
        <v>3</v>
      </c>
      <c r="N139">
        <v>3</v>
      </c>
      <c r="O139">
        <v>3</v>
      </c>
    </row>
    <row r="140" spans="1:15" x14ac:dyDescent="0.25">
      <c r="A140">
        <v>305428</v>
      </c>
      <c r="B140" s="33" t="s">
        <v>185</v>
      </c>
      <c r="C140" s="124" t="s">
        <v>120</v>
      </c>
      <c r="D140" s="144" t="s">
        <v>267</v>
      </c>
      <c r="E140" s="59" t="s">
        <v>266</v>
      </c>
      <c r="F140" s="54"/>
      <c r="G140" s="29"/>
      <c r="H140" s="53">
        <v>305428</v>
      </c>
      <c r="I140" s="53" t="s">
        <v>88</v>
      </c>
      <c r="L140" t="s">
        <v>467</v>
      </c>
      <c r="M140">
        <v>3</v>
      </c>
      <c r="N140">
        <v>3</v>
      </c>
      <c r="O140">
        <v>3</v>
      </c>
    </row>
    <row r="141" spans="1:15" x14ac:dyDescent="0.25">
      <c r="A141">
        <v>6950</v>
      </c>
      <c r="B141" s="33" t="s">
        <v>185</v>
      </c>
      <c r="C141" s="124" t="s">
        <v>120</v>
      </c>
      <c r="D141" s="144" t="s">
        <v>259</v>
      </c>
      <c r="E141" s="59" t="s">
        <v>258</v>
      </c>
      <c r="F141" s="54"/>
      <c r="G141" s="29"/>
      <c r="H141" s="53">
        <v>6950</v>
      </c>
      <c r="I141" s="53" t="s">
        <v>88</v>
      </c>
      <c r="L141" t="s">
        <v>469</v>
      </c>
      <c r="M141">
        <v>4</v>
      </c>
      <c r="N141">
        <v>4</v>
      </c>
      <c r="O141">
        <v>5</v>
      </c>
    </row>
    <row r="142" spans="1:15" x14ac:dyDescent="0.25">
      <c r="A142">
        <v>3824</v>
      </c>
      <c r="B142" s="33" t="s">
        <v>185</v>
      </c>
      <c r="C142" s="124" t="s">
        <v>120</v>
      </c>
      <c r="D142" s="144" t="s">
        <v>243</v>
      </c>
      <c r="E142" s="59" t="s">
        <v>242</v>
      </c>
      <c r="F142" s="54"/>
      <c r="G142" s="29"/>
      <c r="H142" s="53">
        <v>3824</v>
      </c>
      <c r="I142" s="53" t="s">
        <v>88</v>
      </c>
      <c r="L142" t="s">
        <v>471</v>
      </c>
      <c r="M142">
        <v>5</v>
      </c>
      <c r="N142">
        <v>5</v>
      </c>
      <c r="O142">
        <v>5</v>
      </c>
    </row>
    <row r="143" spans="1:15" x14ac:dyDescent="0.25">
      <c r="A143">
        <v>0</v>
      </c>
      <c r="B143" s="33" t="s">
        <v>185</v>
      </c>
      <c r="C143" s="124" t="s">
        <v>120</v>
      </c>
      <c r="D143" s="144" t="s">
        <v>253</v>
      </c>
      <c r="E143" s="59" t="s">
        <v>252</v>
      </c>
      <c r="F143" s="54"/>
      <c r="G143" s="29"/>
      <c r="H143" s="53">
        <v>0</v>
      </c>
      <c r="I143" s="53" t="s">
        <v>88</v>
      </c>
      <c r="L143" t="s">
        <v>473</v>
      </c>
      <c r="M143">
        <v>3</v>
      </c>
      <c r="N143">
        <v>3</v>
      </c>
      <c r="O143">
        <v>3</v>
      </c>
    </row>
    <row r="144" spans="1:15" x14ac:dyDescent="0.25">
      <c r="A144">
        <v>3757</v>
      </c>
      <c r="B144" s="33" t="s">
        <v>185</v>
      </c>
      <c r="C144" s="124" t="s">
        <v>120</v>
      </c>
      <c r="D144" s="144" t="s">
        <v>245</v>
      </c>
      <c r="E144" s="59" t="s">
        <v>244</v>
      </c>
      <c r="F144" s="54"/>
      <c r="G144" s="29"/>
      <c r="H144" s="53">
        <v>3757</v>
      </c>
      <c r="I144" s="53" t="s">
        <v>88</v>
      </c>
      <c r="L144" t="s">
        <v>475</v>
      </c>
      <c r="M144">
        <v>3</v>
      </c>
      <c r="N144">
        <v>3</v>
      </c>
      <c r="O144">
        <v>3</v>
      </c>
    </row>
    <row r="145" spans="1:15" x14ac:dyDescent="0.25">
      <c r="A145">
        <v>937</v>
      </c>
      <c r="B145" s="33" t="s">
        <v>185</v>
      </c>
      <c r="C145" s="124" t="s">
        <v>120</v>
      </c>
      <c r="D145" s="144" t="s">
        <v>241</v>
      </c>
      <c r="E145" s="59" t="s">
        <v>240</v>
      </c>
      <c r="F145" s="54"/>
      <c r="G145" s="29"/>
      <c r="H145" s="53">
        <v>937</v>
      </c>
      <c r="I145" s="53" t="s">
        <v>88</v>
      </c>
      <c r="L145" t="s">
        <v>477</v>
      </c>
      <c r="M145">
        <v>3</v>
      </c>
      <c r="N145">
        <v>3</v>
      </c>
      <c r="O145">
        <v>3</v>
      </c>
    </row>
    <row r="146" spans="1:15" x14ac:dyDescent="0.25">
      <c r="A146">
        <v>33213</v>
      </c>
      <c r="B146" s="33" t="s">
        <v>188</v>
      </c>
      <c r="C146" s="124" t="s">
        <v>124</v>
      </c>
      <c r="D146" s="144" t="s">
        <v>340</v>
      </c>
      <c r="E146" s="59" t="s">
        <v>341</v>
      </c>
      <c r="F146" s="54"/>
      <c r="G146" s="29"/>
      <c r="H146" s="53">
        <v>33213</v>
      </c>
      <c r="I146" s="53" t="s">
        <v>88</v>
      </c>
      <c r="L146" t="s">
        <v>479</v>
      </c>
      <c r="M146">
        <v>3</v>
      </c>
      <c r="N146">
        <v>3</v>
      </c>
      <c r="O146">
        <v>3</v>
      </c>
    </row>
    <row r="147" spans="1:15" x14ac:dyDescent="0.25">
      <c r="A147">
        <v>51250</v>
      </c>
      <c r="B147" s="33" t="s">
        <v>188</v>
      </c>
      <c r="C147" s="124" t="s">
        <v>124</v>
      </c>
      <c r="D147" s="144" t="s">
        <v>336</v>
      </c>
      <c r="E147" s="59" t="s">
        <v>337</v>
      </c>
      <c r="F147" s="54"/>
      <c r="G147" s="29"/>
      <c r="H147" s="53">
        <v>51250</v>
      </c>
      <c r="I147" s="53" t="s">
        <v>88</v>
      </c>
      <c r="L147" t="s">
        <v>481</v>
      </c>
      <c r="M147">
        <v>3</v>
      </c>
      <c r="N147">
        <v>3</v>
      </c>
      <c r="O147">
        <v>3</v>
      </c>
    </row>
    <row r="148" spans="1:15" x14ac:dyDescent="0.25">
      <c r="A148">
        <v>21442</v>
      </c>
      <c r="B148" s="33" t="s">
        <v>188</v>
      </c>
      <c r="C148" s="124" t="s">
        <v>124</v>
      </c>
      <c r="D148" s="144" t="s">
        <v>360</v>
      </c>
      <c r="E148" s="59" t="s">
        <v>361</v>
      </c>
      <c r="F148" s="54"/>
      <c r="G148" s="29"/>
      <c r="H148" s="53">
        <v>21442</v>
      </c>
      <c r="I148" s="53" t="s">
        <v>88</v>
      </c>
      <c r="L148" t="s">
        <v>482</v>
      </c>
      <c r="M148">
        <v>5</v>
      </c>
      <c r="N148">
        <v>4</v>
      </c>
      <c r="O148">
        <v>4</v>
      </c>
    </row>
    <row r="149" spans="1:15" x14ac:dyDescent="0.25">
      <c r="A149">
        <v>0</v>
      </c>
      <c r="B149" s="33" t="s">
        <v>188</v>
      </c>
      <c r="C149" s="124" t="s">
        <v>124</v>
      </c>
      <c r="D149" s="144" t="s">
        <v>356</v>
      </c>
      <c r="E149" s="59" t="s">
        <v>357</v>
      </c>
      <c r="F149" s="54"/>
      <c r="G149" s="29"/>
      <c r="H149" s="53">
        <v>0</v>
      </c>
      <c r="I149" s="53" t="s">
        <v>88</v>
      </c>
      <c r="L149" t="s">
        <v>484</v>
      </c>
      <c r="M149">
        <v>3</v>
      </c>
      <c r="N149">
        <v>3</v>
      </c>
      <c r="O149">
        <v>3</v>
      </c>
    </row>
    <row r="150" spans="1:15" x14ac:dyDescent="0.25">
      <c r="A150">
        <v>5651</v>
      </c>
      <c r="B150" s="33" t="s">
        <v>188</v>
      </c>
      <c r="C150" s="124" t="s">
        <v>124</v>
      </c>
      <c r="D150" s="144" t="s">
        <v>362</v>
      </c>
      <c r="E150" s="59" t="s">
        <v>363</v>
      </c>
      <c r="F150" s="54"/>
      <c r="G150" s="29"/>
      <c r="H150" s="53">
        <v>5651</v>
      </c>
      <c r="I150" s="53" t="s">
        <v>88</v>
      </c>
      <c r="L150" t="s">
        <v>485</v>
      </c>
      <c r="M150">
        <v>3</v>
      </c>
      <c r="N150">
        <v>3</v>
      </c>
      <c r="O150">
        <v>3</v>
      </c>
    </row>
    <row r="151" spans="1:15" x14ac:dyDescent="0.25">
      <c r="A151">
        <v>5092</v>
      </c>
      <c r="B151" s="33" t="s">
        <v>188</v>
      </c>
      <c r="C151" s="124" t="s">
        <v>124</v>
      </c>
      <c r="D151" s="144" t="s">
        <v>346</v>
      </c>
      <c r="E151" s="59" t="s">
        <v>347</v>
      </c>
      <c r="F151" s="54"/>
      <c r="G151" s="29"/>
      <c r="H151" s="53">
        <v>5092</v>
      </c>
      <c r="I151" s="53" t="s">
        <v>88</v>
      </c>
      <c r="L151" t="s">
        <v>487</v>
      </c>
      <c r="M151">
        <v>3</v>
      </c>
      <c r="N151">
        <v>3</v>
      </c>
      <c r="O151">
        <v>3</v>
      </c>
    </row>
    <row r="152" spans="1:15" x14ac:dyDescent="0.25">
      <c r="A152">
        <v>20189</v>
      </c>
      <c r="B152" s="33" t="s">
        <v>188</v>
      </c>
      <c r="C152" s="124" t="s">
        <v>124</v>
      </c>
      <c r="D152" s="144" t="s">
        <v>344</v>
      </c>
      <c r="E152" s="59" t="s">
        <v>345</v>
      </c>
      <c r="F152" s="54"/>
      <c r="G152" s="29"/>
      <c r="H152" s="53">
        <v>20189</v>
      </c>
      <c r="I152" s="53" t="s">
        <v>88</v>
      </c>
      <c r="L152" t="s">
        <v>489</v>
      </c>
      <c r="M152">
        <v>4</v>
      </c>
      <c r="N152">
        <v>4</v>
      </c>
      <c r="O152">
        <v>4</v>
      </c>
    </row>
    <row r="153" spans="1:15" ht="28.5" x14ac:dyDescent="0.25">
      <c r="A153">
        <v>21147</v>
      </c>
      <c r="B153" s="33" t="s">
        <v>188</v>
      </c>
      <c r="C153" s="124" t="s">
        <v>124</v>
      </c>
      <c r="D153" s="144" t="s">
        <v>352</v>
      </c>
      <c r="E153" s="59" t="s">
        <v>353</v>
      </c>
      <c r="F153" s="54"/>
      <c r="G153" s="29"/>
      <c r="H153" s="53">
        <v>21147</v>
      </c>
      <c r="I153" s="53" t="s">
        <v>88</v>
      </c>
      <c r="L153" t="s">
        <v>491</v>
      </c>
      <c r="M153">
        <v>3</v>
      </c>
      <c r="N153">
        <v>3</v>
      </c>
      <c r="O153">
        <v>3</v>
      </c>
    </row>
    <row r="154" spans="1:15" x14ac:dyDescent="0.25">
      <c r="A154">
        <v>1994</v>
      </c>
      <c r="B154" s="33" t="s">
        <v>188</v>
      </c>
      <c r="C154" s="124" t="s">
        <v>124</v>
      </c>
      <c r="D154" s="144" t="s">
        <v>364</v>
      </c>
      <c r="E154" s="59" t="s">
        <v>365</v>
      </c>
      <c r="F154" s="54"/>
      <c r="G154" s="29"/>
      <c r="H154" s="53">
        <v>1994</v>
      </c>
      <c r="I154" s="53" t="s">
        <v>88</v>
      </c>
      <c r="L154" t="s">
        <v>493</v>
      </c>
      <c r="M154">
        <v>3</v>
      </c>
      <c r="N154">
        <v>3</v>
      </c>
      <c r="O154">
        <v>3</v>
      </c>
    </row>
    <row r="155" spans="1:15" x14ac:dyDescent="0.25">
      <c r="A155">
        <v>4066</v>
      </c>
      <c r="B155" s="33" t="s">
        <v>188</v>
      </c>
      <c r="C155" s="124" t="s">
        <v>124</v>
      </c>
      <c r="D155" s="144" t="s">
        <v>366</v>
      </c>
      <c r="E155" s="59" t="s">
        <v>367</v>
      </c>
      <c r="F155" s="54"/>
      <c r="G155" s="29"/>
      <c r="H155" s="53">
        <v>4066</v>
      </c>
      <c r="I155" s="53" t="s">
        <v>88</v>
      </c>
      <c r="L155" t="s">
        <v>495</v>
      </c>
      <c r="M155">
        <v>3</v>
      </c>
      <c r="N155">
        <v>3</v>
      </c>
      <c r="O155">
        <v>3</v>
      </c>
    </row>
    <row r="156" spans="1:15" x14ac:dyDescent="0.25">
      <c r="A156">
        <v>40105</v>
      </c>
      <c r="B156" s="33" t="s">
        <v>188</v>
      </c>
      <c r="C156" s="124" t="s">
        <v>124</v>
      </c>
      <c r="D156" s="144" t="s">
        <v>348</v>
      </c>
      <c r="E156" s="59" t="s">
        <v>349</v>
      </c>
      <c r="F156" s="54"/>
      <c r="G156" s="29"/>
      <c r="H156" s="53">
        <v>40105</v>
      </c>
      <c r="I156" s="53" t="s">
        <v>88</v>
      </c>
      <c r="L156" t="s">
        <v>497</v>
      </c>
      <c r="M156">
        <v>3</v>
      </c>
      <c r="N156">
        <v>3</v>
      </c>
      <c r="O156">
        <v>3</v>
      </c>
    </row>
    <row r="157" spans="1:15" x14ac:dyDescent="0.25">
      <c r="A157">
        <v>15554</v>
      </c>
      <c r="B157" s="33" t="s">
        <v>188</v>
      </c>
      <c r="C157" s="124" t="s">
        <v>124</v>
      </c>
      <c r="D157" s="144" t="s">
        <v>368</v>
      </c>
      <c r="E157" s="59" t="s">
        <v>369</v>
      </c>
      <c r="F157" s="54"/>
      <c r="G157" s="29"/>
      <c r="H157" s="53">
        <v>15554</v>
      </c>
      <c r="I157" s="53" t="s">
        <v>88</v>
      </c>
      <c r="L157" t="s">
        <v>499</v>
      </c>
      <c r="M157">
        <v>3</v>
      </c>
      <c r="N157">
        <v>3</v>
      </c>
      <c r="O157">
        <v>3</v>
      </c>
    </row>
    <row r="158" spans="1:15" x14ac:dyDescent="0.25">
      <c r="A158">
        <v>7213</v>
      </c>
      <c r="B158" s="33" t="s">
        <v>188</v>
      </c>
      <c r="C158" s="124" t="s">
        <v>124</v>
      </c>
      <c r="D158" s="144" t="s">
        <v>358</v>
      </c>
      <c r="E158" s="59" t="s">
        <v>359</v>
      </c>
      <c r="F158" s="54"/>
      <c r="G158" s="29"/>
      <c r="H158" s="53">
        <v>7213</v>
      </c>
      <c r="I158" s="53" t="s">
        <v>88</v>
      </c>
      <c r="L158" t="s">
        <v>501</v>
      </c>
      <c r="M158">
        <v>3</v>
      </c>
      <c r="N158">
        <v>3</v>
      </c>
      <c r="O158">
        <v>3</v>
      </c>
    </row>
    <row r="159" spans="1:15" x14ac:dyDescent="0.25">
      <c r="A159">
        <v>0</v>
      </c>
      <c r="B159" s="33" t="s">
        <v>188</v>
      </c>
      <c r="C159" s="124" t="s">
        <v>124</v>
      </c>
      <c r="D159" s="144" t="s">
        <v>350</v>
      </c>
      <c r="E159" s="59" t="s">
        <v>351</v>
      </c>
      <c r="F159" s="54"/>
      <c r="G159" s="29"/>
      <c r="H159" s="53">
        <v>0</v>
      </c>
      <c r="I159" s="53" t="s">
        <v>88</v>
      </c>
      <c r="L159" t="s">
        <v>503</v>
      </c>
      <c r="M159">
        <v>3</v>
      </c>
      <c r="N159">
        <v>3</v>
      </c>
      <c r="O159">
        <v>3</v>
      </c>
    </row>
    <row r="160" spans="1:15" x14ac:dyDescent="0.25">
      <c r="A160">
        <v>72742</v>
      </c>
      <c r="B160" s="33" t="s">
        <v>188</v>
      </c>
      <c r="C160" s="124" t="s">
        <v>124</v>
      </c>
      <c r="D160" s="144" t="s">
        <v>354</v>
      </c>
      <c r="E160" s="59" t="s">
        <v>355</v>
      </c>
      <c r="F160" s="54"/>
      <c r="G160" s="29"/>
      <c r="H160" s="53">
        <v>72742</v>
      </c>
      <c r="I160" s="53" t="s">
        <v>88</v>
      </c>
      <c r="L160" t="s">
        <v>505</v>
      </c>
      <c r="M160">
        <v>3</v>
      </c>
      <c r="N160">
        <v>3</v>
      </c>
      <c r="O160">
        <v>3</v>
      </c>
    </row>
    <row r="161" spans="1:15" x14ac:dyDescent="0.25">
      <c r="A161">
        <v>16353</v>
      </c>
      <c r="B161" s="33" t="s">
        <v>188</v>
      </c>
      <c r="C161" s="124" t="s">
        <v>124</v>
      </c>
      <c r="D161" s="144" t="s">
        <v>338</v>
      </c>
      <c r="E161" s="59" t="s">
        <v>339</v>
      </c>
      <c r="F161" s="54"/>
      <c r="G161" s="29"/>
      <c r="H161" s="53">
        <v>16353</v>
      </c>
      <c r="I161" s="53" t="s">
        <v>88</v>
      </c>
      <c r="L161" t="s">
        <v>507</v>
      </c>
      <c r="M161">
        <v>4</v>
      </c>
      <c r="N161">
        <v>4</v>
      </c>
      <c r="O161">
        <v>4</v>
      </c>
    </row>
    <row r="162" spans="1:15" x14ac:dyDescent="0.25">
      <c r="A162">
        <v>0</v>
      </c>
      <c r="B162" s="33" t="s">
        <v>188</v>
      </c>
      <c r="C162" s="124" t="s">
        <v>124</v>
      </c>
      <c r="D162" s="144" t="s">
        <v>342</v>
      </c>
      <c r="E162" s="59" t="s">
        <v>343</v>
      </c>
      <c r="F162" s="54"/>
      <c r="G162" s="29"/>
      <c r="H162" s="53">
        <v>0</v>
      </c>
      <c r="I162" s="53" t="s">
        <v>88</v>
      </c>
      <c r="L162" t="s">
        <v>509</v>
      </c>
      <c r="M162">
        <v>3</v>
      </c>
      <c r="N162">
        <v>3</v>
      </c>
      <c r="O162">
        <v>3</v>
      </c>
    </row>
    <row r="163" spans="1:15" x14ac:dyDescent="0.25">
      <c r="A163">
        <v>16088</v>
      </c>
      <c r="B163" s="33" t="s">
        <v>191</v>
      </c>
      <c r="C163" s="124" t="s">
        <v>121</v>
      </c>
      <c r="D163" s="144" t="s">
        <v>277</v>
      </c>
      <c r="E163" s="59" t="s">
        <v>276</v>
      </c>
      <c r="F163" s="54"/>
      <c r="G163" s="29"/>
      <c r="H163" s="53">
        <v>16088</v>
      </c>
      <c r="I163" s="53" t="s">
        <v>88</v>
      </c>
      <c r="L163" t="s">
        <v>511</v>
      </c>
      <c r="M163">
        <v>3</v>
      </c>
      <c r="N163">
        <v>3</v>
      </c>
      <c r="O163">
        <v>3</v>
      </c>
    </row>
    <row r="164" spans="1:15" x14ac:dyDescent="0.25">
      <c r="A164">
        <v>25648</v>
      </c>
      <c r="B164" s="33" t="s">
        <v>191</v>
      </c>
      <c r="C164" s="124" t="s">
        <v>121</v>
      </c>
      <c r="D164" s="144" t="s">
        <v>275</v>
      </c>
      <c r="E164" s="59" t="s">
        <v>274</v>
      </c>
      <c r="F164" s="54"/>
      <c r="G164" s="29"/>
      <c r="H164" s="53">
        <v>25648</v>
      </c>
      <c r="I164" s="53" t="s">
        <v>88</v>
      </c>
      <c r="L164" t="s">
        <v>513</v>
      </c>
      <c r="M164">
        <v>3</v>
      </c>
      <c r="N164">
        <v>3</v>
      </c>
      <c r="O164">
        <v>3</v>
      </c>
    </row>
    <row r="165" spans="1:15" x14ac:dyDescent="0.25">
      <c r="A165">
        <v>7810</v>
      </c>
      <c r="B165" s="33" t="s">
        <v>191</v>
      </c>
      <c r="C165" s="124" t="s">
        <v>121</v>
      </c>
      <c r="D165" s="144" t="s">
        <v>279</v>
      </c>
      <c r="E165" s="59" t="s">
        <v>278</v>
      </c>
      <c r="F165" s="54"/>
      <c r="G165" s="29"/>
      <c r="H165" s="53">
        <v>7810</v>
      </c>
      <c r="I165" s="53" t="s">
        <v>88</v>
      </c>
      <c r="L165" t="s">
        <v>515</v>
      </c>
      <c r="M165">
        <v>3</v>
      </c>
      <c r="N165">
        <v>3</v>
      </c>
      <c r="O165">
        <v>3</v>
      </c>
    </row>
    <row r="166" spans="1:15" x14ac:dyDescent="0.25">
      <c r="A166">
        <v>40567</v>
      </c>
      <c r="B166" s="33" t="s">
        <v>191</v>
      </c>
      <c r="C166" s="124" t="s">
        <v>121</v>
      </c>
      <c r="D166" s="144" t="s">
        <v>281</v>
      </c>
      <c r="E166" s="59" t="s">
        <v>280</v>
      </c>
      <c r="F166" s="54"/>
      <c r="G166" s="29"/>
      <c r="H166" s="53">
        <v>40567</v>
      </c>
      <c r="I166" s="53" t="s">
        <v>88</v>
      </c>
      <c r="L166" t="s">
        <v>517</v>
      </c>
      <c r="M166">
        <v>4</v>
      </c>
      <c r="N166">
        <v>4</v>
      </c>
      <c r="O166">
        <v>4</v>
      </c>
    </row>
    <row r="167" spans="1:15" x14ac:dyDescent="0.25">
      <c r="A167">
        <v>51295</v>
      </c>
      <c r="B167" s="33" t="s">
        <v>191</v>
      </c>
      <c r="C167" s="124" t="s">
        <v>121</v>
      </c>
      <c r="D167" s="144" t="s">
        <v>283</v>
      </c>
      <c r="E167" s="59" t="s">
        <v>282</v>
      </c>
      <c r="F167" s="54"/>
      <c r="G167" s="29"/>
      <c r="H167" s="53">
        <v>51295</v>
      </c>
      <c r="I167" s="53" t="s">
        <v>88</v>
      </c>
      <c r="L167" t="s">
        <v>519</v>
      </c>
      <c r="M167">
        <v>3</v>
      </c>
      <c r="N167">
        <v>3</v>
      </c>
      <c r="O167">
        <v>3</v>
      </c>
    </row>
    <row r="168" spans="1:15" x14ac:dyDescent="0.25">
      <c r="A168">
        <v>38404</v>
      </c>
      <c r="B168" s="33" t="s">
        <v>191</v>
      </c>
      <c r="C168" s="124" t="s">
        <v>121</v>
      </c>
      <c r="D168" s="144" t="s">
        <v>285</v>
      </c>
      <c r="E168" s="59" t="s">
        <v>284</v>
      </c>
      <c r="F168" s="54"/>
      <c r="G168" s="29"/>
      <c r="H168" s="53">
        <v>38404</v>
      </c>
      <c r="I168" s="53" t="s">
        <v>88</v>
      </c>
      <c r="L168" t="s">
        <v>521</v>
      </c>
      <c r="M168">
        <v>3</v>
      </c>
      <c r="N168">
        <v>3</v>
      </c>
      <c r="O168">
        <v>3</v>
      </c>
    </row>
    <row r="169" spans="1:15" x14ac:dyDescent="0.25">
      <c r="A169">
        <v>38373</v>
      </c>
      <c r="B169" s="33" t="s">
        <v>191</v>
      </c>
      <c r="C169" s="124" t="s">
        <v>121</v>
      </c>
      <c r="D169" s="144" t="s">
        <v>287</v>
      </c>
      <c r="E169" s="59" t="s">
        <v>286</v>
      </c>
      <c r="F169" s="54"/>
      <c r="G169" s="29"/>
      <c r="H169" s="53">
        <v>38373</v>
      </c>
      <c r="I169" s="53" t="s">
        <v>88</v>
      </c>
      <c r="L169" t="s">
        <v>523</v>
      </c>
      <c r="M169">
        <v>3</v>
      </c>
      <c r="N169">
        <v>3</v>
      </c>
      <c r="O169">
        <v>3</v>
      </c>
    </row>
    <row r="170" spans="1:15" x14ac:dyDescent="0.25">
      <c r="A170">
        <v>3564</v>
      </c>
      <c r="B170" s="33" t="s">
        <v>191</v>
      </c>
      <c r="C170" s="124" t="s">
        <v>121</v>
      </c>
      <c r="D170" s="144" t="s">
        <v>289</v>
      </c>
      <c r="E170" s="59" t="s">
        <v>288</v>
      </c>
      <c r="F170" s="54"/>
      <c r="G170" s="29"/>
      <c r="H170" s="53">
        <v>3564</v>
      </c>
      <c r="I170" s="53" t="s">
        <v>88</v>
      </c>
      <c r="L170" t="s">
        <v>525</v>
      </c>
      <c r="M170">
        <v>3</v>
      </c>
      <c r="N170">
        <v>3</v>
      </c>
      <c r="O170">
        <v>3</v>
      </c>
    </row>
    <row r="171" spans="1:15" x14ac:dyDescent="0.25">
      <c r="A171">
        <v>9795</v>
      </c>
      <c r="B171" s="33" t="s">
        <v>194</v>
      </c>
      <c r="C171" s="124" t="s">
        <v>135</v>
      </c>
      <c r="D171" s="144" t="s">
        <v>544</v>
      </c>
      <c r="E171" s="59" t="s">
        <v>545</v>
      </c>
      <c r="F171" s="54"/>
      <c r="G171" s="29"/>
      <c r="H171" s="53">
        <v>9795</v>
      </c>
      <c r="I171" s="53" t="s">
        <v>88</v>
      </c>
      <c r="L171" t="s">
        <v>527</v>
      </c>
      <c r="M171">
        <v>3</v>
      </c>
      <c r="N171">
        <v>3</v>
      </c>
      <c r="O171">
        <v>3</v>
      </c>
    </row>
    <row r="172" spans="1:15" x14ac:dyDescent="0.25">
      <c r="A172">
        <v>18772</v>
      </c>
      <c r="B172" s="33" t="s">
        <v>194</v>
      </c>
      <c r="C172" s="124" t="s">
        <v>135</v>
      </c>
      <c r="D172" s="144" t="s">
        <v>552</v>
      </c>
      <c r="E172" s="59" t="s">
        <v>553</v>
      </c>
      <c r="F172" s="54"/>
      <c r="G172" s="29"/>
      <c r="H172" s="53">
        <v>18772</v>
      </c>
      <c r="I172" s="53" t="s">
        <v>88</v>
      </c>
      <c r="L172" t="s">
        <v>529</v>
      </c>
      <c r="M172">
        <v>3</v>
      </c>
      <c r="N172">
        <v>3</v>
      </c>
      <c r="O172">
        <v>3</v>
      </c>
    </row>
    <row r="173" spans="1:15" x14ac:dyDescent="0.25">
      <c r="A173">
        <v>8230</v>
      </c>
      <c r="B173" s="33" t="s">
        <v>194</v>
      </c>
      <c r="C173" s="124" t="s">
        <v>135</v>
      </c>
      <c r="D173" s="144" t="s">
        <v>560</v>
      </c>
      <c r="E173" s="59" t="s">
        <v>561</v>
      </c>
      <c r="F173" s="54"/>
      <c r="G173" s="29"/>
      <c r="H173" s="53">
        <v>8230</v>
      </c>
      <c r="I173" s="53" t="s">
        <v>88</v>
      </c>
      <c r="L173" t="s">
        <v>531</v>
      </c>
      <c r="M173">
        <v>3</v>
      </c>
      <c r="N173">
        <v>3</v>
      </c>
      <c r="O173">
        <v>3</v>
      </c>
    </row>
    <row r="174" spans="1:15" x14ac:dyDescent="0.25">
      <c r="A174">
        <v>31158</v>
      </c>
      <c r="B174" s="33" t="s">
        <v>194</v>
      </c>
      <c r="C174" s="124" t="s">
        <v>135</v>
      </c>
      <c r="D174" s="144" t="s">
        <v>562</v>
      </c>
      <c r="E174" s="59" t="s">
        <v>563</v>
      </c>
      <c r="F174" s="54"/>
      <c r="G174" s="29"/>
      <c r="H174" s="53">
        <v>31158</v>
      </c>
      <c r="I174" s="53" t="s">
        <v>88</v>
      </c>
      <c r="L174" t="s">
        <v>533</v>
      </c>
      <c r="M174">
        <v>3</v>
      </c>
      <c r="N174">
        <v>3</v>
      </c>
      <c r="O174">
        <v>3</v>
      </c>
    </row>
    <row r="175" spans="1:15" x14ac:dyDescent="0.25">
      <c r="A175">
        <v>4108</v>
      </c>
      <c r="B175" s="33" t="s">
        <v>194</v>
      </c>
      <c r="C175" s="124" t="s">
        <v>135</v>
      </c>
      <c r="D175" s="144" t="s">
        <v>564</v>
      </c>
      <c r="E175" s="59" t="s">
        <v>565</v>
      </c>
      <c r="F175" s="54"/>
      <c r="G175" s="29"/>
      <c r="H175" s="53">
        <v>4108</v>
      </c>
      <c r="I175" s="53" t="s">
        <v>88</v>
      </c>
      <c r="L175" t="s">
        <v>535</v>
      </c>
      <c r="M175">
        <v>3</v>
      </c>
      <c r="N175">
        <v>3</v>
      </c>
      <c r="O175">
        <v>3</v>
      </c>
    </row>
    <row r="176" spans="1:15" x14ac:dyDescent="0.25">
      <c r="A176">
        <v>21876</v>
      </c>
      <c r="B176" s="33" t="s">
        <v>194</v>
      </c>
      <c r="C176" s="124" t="s">
        <v>135</v>
      </c>
      <c r="D176" s="144" t="s">
        <v>558</v>
      </c>
      <c r="E176" s="59" t="s">
        <v>559</v>
      </c>
      <c r="F176" s="54"/>
      <c r="G176" s="29"/>
      <c r="H176" s="53">
        <v>21876</v>
      </c>
      <c r="I176" s="53" t="s">
        <v>88</v>
      </c>
      <c r="L176" t="s">
        <v>537</v>
      </c>
      <c r="M176">
        <v>3</v>
      </c>
      <c r="N176">
        <v>3</v>
      </c>
      <c r="O176">
        <v>3</v>
      </c>
    </row>
    <row r="177" spans="1:15" x14ac:dyDescent="0.25">
      <c r="A177">
        <v>4362</v>
      </c>
      <c r="B177" s="33" t="s">
        <v>194</v>
      </c>
      <c r="C177" s="124" t="s">
        <v>135</v>
      </c>
      <c r="D177" s="144" t="s">
        <v>566</v>
      </c>
      <c r="E177" s="59" t="s">
        <v>567</v>
      </c>
      <c r="F177" s="54"/>
      <c r="G177" s="29"/>
      <c r="H177" s="53">
        <v>4362</v>
      </c>
      <c r="I177" s="53" t="s">
        <v>88</v>
      </c>
      <c r="L177" t="s">
        <v>539</v>
      </c>
      <c r="M177">
        <v>3</v>
      </c>
      <c r="N177">
        <v>3</v>
      </c>
      <c r="O177">
        <v>3</v>
      </c>
    </row>
    <row r="178" spans="1:15" x14ac:dyDescent="0.25">
      <c r="A178">
        <v>35968</v>
      </c>
      <c r="B178" s="33" t="s">
        <v>194</v>
      </c>
      <c r="C178" s="124" t="s">
        <v>135</v>
      </c>
      <c r="D178" s="144" t="s">
        <v>542</v>
      </c>
      <c r="E178" s="59" t="s">
        <v>543</v>
      </c>
      <c r="F178" s="54"/>
      <c r="G178" s="29"/>
      <c r="H178" s="53">
        <v>35968</v>
      </c>
      <c r="I178" s="53" t="s">
        <v>88</v>
      </c>
      <c r="L178" t="s">
        <v>541</v>
      </c>
      <c r="M178">
        <v>3</v>
      </c>
      <c r="N178">
        <v>3</v>
      </c>
      <c r="O178">
        <v>3</v>
      </c>
    </row>
    <row r="179" spans="1:15" x14ac:dyDescent="0.25">
      <c r="A179">
        <v>17906</v>
      </c>
      <c r="B179" s="33" t="s">
        <v>194</v>
      </c>
      <c r="C179" s="124" t="s">
        <v>135</v>
      </c>
      <c r="D179" s="144" t="s">
        <v>550</v>
      </c>
      <c r="E179" s="59" t="s">
        <v>551</v>
      </c>
      <c r="F179" s="54"/>
      <c r="G179" s="29"/>
      <c r="H179" s="53">
        <v>17906</v>
      </c>
      <c r="I179" s="53" t="s">
        <v>88</v>
      </c>
      <c r="L179" t="s">
        <v>543</v>
      </c>
      <c r="M179">
        <v>4</v>
      </c>
      <c r="N179">
        <v>4</v>
      </c>
      <c r="O179">
        <v>4</v>
      </c>
    </row>
    <row r="180" spans="1:15" x14ac:dyDescent="0.25">
      <c r="A180">
        <v>7189</v>
      </c>
      <c r="B180" s="33" t="s">
        <v>194</v>
      </c>
      <c r="C180" s="124" t="s">
        <v>135</v>
      </c>
      <c r="D180" s="144" t="s">
        <v>554</v>
      </c>
      <c r="E180" s="59" t="s">
        <v>555</v>
      </c>
      <c r="F180" s="54"/>
      <c r="G180" s="29"/>
      <c r="H180" s="53">
        <v>7189</v>
      </c>
      <c r="I180" s="53" t="s">
        <v>88</v>
      </c>
      <c r="L180" t="s">
        <v>545</v>
      </c>
      <c r="M180">
        <v>4</v>
      </c>
      <c r="N180">
        <v>4</v>
      </c>
      <c r="O180">
        <v>4</v>
      </c>
    </row>
    <row r="181" spans="1:15" x14ac:dyDescent="0.25">
      <c r="A181">
        <v>14214</v>
      </c>
      <c r="B181" s="33" t="s">
        <v>194</v>
      </c>
      <c r="C181" s="124" t="s">
        <v>135</v>
      </c>
      <c r="D181" s="144" t="s">
        <v>556</v>
      </c>
      <c r="E181" s="59" t="s">
        <v>557</v>
      </c>
      <c r="F181" s="54"/>
      <c r="G181" s="29"/>
      <c r="H181" s="53">
        <v>14214</v>
      </c>
      <c r="I181" s="53" t="s">
        <v>88</v>
      </c>
      <c r="L181" t="s">
        <v>547</v>
      </c>
      <c r="M181">
        <v>3</v>
      </c>
      <c r="N181">
        <v>3</v>
      </c>
      <c r="O181">
        <v>3</v>
      </c>
    </row>
    <row r="182" spans="1:15" x14ac:dyDescent="0.25">
      <c r="A182">
        <v>12124</v>
      </c>
      <c r="B182" s="33" t="s">
        <v>194</v>
      </c>
      <c r="C182" s="124" t="s">
        <v>135</v>
      </c>
      <c r="D182" s="144" t="s">
        <v>540</v>
      </c>
      <c r="E182" s="59" t="s">
        <v>541</v>
      </c>
      <c r="F182" s="54"/>
      <c r="G182" s="29"/>
      <c r="H182" s="53">
        <v>12124</v>
      </c>
      <c r="I182" s="53" t="s">
        <v>88</v>
      </c>
      <c r="L182" t="s">
        <v>549</v>
      </c>
      <c r="M182">
        <v>4</v>
      </c>
      <c r="N182">
        <v>4</v>
      </c>
      <c r="O182">
        <v>4</v>
      </c>
    </row>
    <row r="183" spans="1:15" x14ac:dyDescent="0.25">
      <c r="A183">
        <v>11730</v>
      </c>
      <c r="B183" s="33" t="s">
        <v>194</v>
      </c>
      <c r="C183" s="124" t="s">
        <v>135</v>
      </c>
      <c r="D183" s="144" t="s">
        <v>548</v>
      </c>
      <c r="E183" s="59" t="s">
        <v>549</v>
      </c>
      <c r="F183" s="54"/>
      <c r="G183" s="29"/>
      <c r="H183" s="53">
        <v>11730</v>
      </c>
      <c r="I183" s="53" t="s">
        <v>88</v>
      </c>
      <c r="L183" t="s">
        <v>551</v>
      </c>
      <c r="M183">
        <v>3</v>
      </c>
      <c r="N183">
        <v>3</v>
      </c>
      <c r="O183">
        <v>3</v>
      </c>
    </row>
    <row r="184" spans="1:15" x14ac:dyDescent="0.25">
      <c r="A184">
        <v>4603</v>
      </c>
      <c r="B184" s="33" t="s">
        <v>194</v>
      </c>
      <c r="C184" s="124" t="s">
        <v>135</v>
      </c>
      <c r="D184" s="144" t="s">
        <v>546</v>
      </c>
      <c r="E184" s="59" t="s">
        <v>547</v>
      </c>
      <c r="F184" s="54"/>
      <c r="G184" s="29"/>
      <c r="H184" s="53">
        <v>4603</v>
      </c>
      <c r="I184" s="53" t="s">
        <v>88</v>
      </c>
      <c r="L184" t="s">
        <v>553</v>
      </c>
      <c r="M184">
        <v>4</v>
      </c>
      <c r="N184">
        <v>4</v>
      </c>
      <c r="O184">
        <v>4</v>
      </c>
    </row>
    <row r="185" spans="1:15" x14ac:dyDescent="0.25">
      <c r="A185">
        <v>70232</v>
      </c>
      <c r="B185" s="33" t="s">
        <v>197</v>
      </c>
      <c r="C185" s="124" t="s">
        <v>126</v>
      </c>
      <c r="D185" s="144" t="s">
        <v>384</v>
      </c>
      <c r="E185" s="59" t="s">
        <v>385</v>
      </c>
      <c r="F185" s="54"/>
      <c r="G185" s="29"/>
      <c r="H185" s="53">
        <v>70232</v>
      </c>
      <c r="I185" s="53" t="s">
        <v>88</v>
      </c>
      <c r="L185" t="s">
        <v>555</v>
      </c>
      <c r="M185">
        <v>3</v>
      </c>
      <c r="N185">
        <v>3</v>
      </c>
      <c r="O185">
        <v>3</v>
      </c>
    </row>
    <row r="186" spans="1:15" x14ac:dyDescent="0.25">
      <c r="A186">
        <v>92993</v>
      </c>
      <c r="B186" s="33" t="s">
        <v>197</v>
      </c>
      <c r="C186" s="124" t="s">
        <v>126</v>
      </c>
      <c r="D186" s="144" t="s">
        <v>398</v>
      </c>
      <c r="E186" s="59" t="s">
        <v>399</v>
      </c>
      <c r="F186" s="54"/>
      <c r="G186" s="29"/>
      <c r="H186" s="53">
        <v>92993</v>
      </c>
      <c r="I186" s="53" t="s">
        <v>88</v>
      </c>
      <c r="L186" t="s">
        <v>557</v>
      </c>
      <c r="M186">
        <v>3</v>
      </c>
      <c r="N186">
        <v>3</v>
      </c>
      <c r="O186">
        <v>3</v>
      </c>
    </row>
    <row r="187" spans="1:15" x14ac:dyDescent="0.25">
      <c r="A187">
        <v>29922</v>
      </c>
      <c r="B187" s="33" t="s">
        <v>197</v>
      </c>
      <c r="C187" s="124" t="s">
        <v>126</v>
      </c>
      <c r="D187" s="144" t="s">
        <v>396</v>
      </c>
      <c r="E187" s="59" t="s">
        <v>397</v>
      </c>
      <c r="F187" s="54"/>
      <c r="G187" s="29"/>
      <c r="H187" s="53">
        <v>29922</v>
      </c>
      <c r="I187" s="53" t="s">
        <v>88</v>
      </c>
      <c r="L187" t="s">
        <v>559</v>
      </c>
      <c r="M187">
        <v>5</v>
      </c>
      <c r="N187">
        <v>4</v>
      </c>
      <c r="O187">
        <v>4</v>
      </c>
    </row>
    <row r="188" spans="1:15" ht="28.5" x14ac:dyDescent="0.25">
      <c r="A188">
        <v>50395</v>
      </c>
      <c r="B188" s="33" t="s">
        <v>197</v>
      </c>
      <c r="C188" s="124" t="s">
        <v>126</v>
      </c>
      <c r="D188" s="144" t="s">
        <v>394</v>
      </c>
      <c r="E188" s="59" t="s">
        <v>395</v>
      </c>
      <c r="F188" s="54"/>
      <c r="G188" s="29"/>
      <c r="H188" s="53">
        <v>50395</v>
      </c>
      <c r="I188" s="53" t="s">
        <v>88</v>
      </c>
      <c r="L188" t="s">
        <v>561</v>
      </c>
      <c r="M188">
        <v>3</v>
      </c>
      <c r="N188">
        <v>4</v>
      </c>
      <c r="O188">
        <v>4</v>
      </c>
    </row>
    <row r="189" spans="1:15" x14ac:dyDescent="0.25">
      <c r="A189">
        <v>4085</v>
      </c>
      <c r="B189" s="33" t="s">
        <v>197</v>
      </c>
      <c r="C189" s="124" t="s">
        <v>126</v>
      </c>
      <c r="D189" s="144" t="s">
        <v>400</v>
      </c>
      <c r="E189" s="59" t="s">
        <v>401</v>
      </c>
      <c r="F189" s="54"/>
      <c r="G189" s="29"/>
      <c r="H189" s="53">
        <v>4085</v>
      </c>
      <c r="I189" s="53" t="s">
        <v>88</v>
      </c>
      <c r="L189" t="s">
        <v>563</v>
      </c>
      <c r="M189">
        <v>3</v>
      </c>
      <c r="N189">
        <v>3</v>
      </c>
      <c r="O189">
        <v>3</v>
      </c>
    </row>
    <row r="190" spans="1:15" x14ac:dyDescent="0.25">
      <c r="A190">
        <v>21256</v>
      </c>
      <c r="B190" s="33" t="s">
        <v>197</v>
      </c>
      <c r="C190" s="124" t="s">
        <v>126</v>
      </c>
      <c r="D190" s="144" t="s">
        <v>390</v>
      </c>
      <c r="E190" s="59" t="s">
        <v>391</v>
      </c>
      <c r="F190" s="54"/>
      <c r="G190" s="29"/>
      <c r="H190" s="53">
        <v>21256</v>
      </c>
      <c r="I190" s="53" t="s">
        <v>88</v>
      </c>
      <c r="L190" t="s">
        <v>565</v>
      </c>
      <c r="M190">
        <v>3</v>
      </c>
      <c r="N190">
        <v>3</v>
      </c>
      <c r="O190">
        <v>3</v>
      </c>
    </row>
    <row r="191" spans="1:15" x14ac:dyDescent="0.25">
      <c r="A191">
        <v>21720</v>
      </c>
      <c r="B191" s="33" t="s">
        <v>197</v>
      </c>
      <c r="C191" s="124" t="s">
        <v>126</v>
      </c>
      <c r="D191" s="144" t="s">
        <v>388</v>
      </c>
      <c r="E191" s="59" t="s">
        <v>389</v>
      </c>
      <c r="F191" s="54"/>
      <c r="G191" s="29"/>
      <c r="H191" s="53">
        <v>21720</v>
      </c>
      <c r="I191" s="53" t="s">
        <v>88</v>
      </c>
      <c r="L191" t="s">
        <v>567</v>
      </c>
      <c r="M191">
        <v>3</v>
      </c>
      <c r="N191">
        <v>3</v>
      </c>
      <c r="O191">
        <v>3</v>
      </c>
    </row>
    <row r="192" spans="1:15" x14ac:dyDescent="0.25">
      <c r="A192">
        <v>19986</v>
      </c>
      <c r="B192" s="33" t="s">
        <v>197</v>
      </c>
      <c r="C192" s="124" t="s">
        <v>126</v>
      </c>
      <c r="D192" s="144" t="s">
        <v>392</v>
      </c>
      <c r="E192" s="59" t="s">
        <v>393</v>
      </c>
      <c r="F192" s="54"/>
      <c r="G192" s="29"/>
      <c r="H192" s="53">
        <v>19986</v>
      </c>
      <c r="I192" s="53" t="s">
        <v>88</v>
      </c>
      <c r="L192" t="s">
        <v>573</v>
      </c>
      <c r="M192">
        <v>3</v>
      </c>
      <c r="N192">
        <v>3</v>
      </c>
      <c r="O192">
        <v>3</v>
      </c>
    </row>
    <row r="193" spans="1:15" x14ac:dyDescent="0.25">
      <c r="A193">
        <v>20065</v>
      </c>
      <c r="B193" s="33" t="s">
        <v>197</v>
      </c>
      <c r="C193" s="124" t="s">
        <v>126</v>
      </c>
      <c r="D193" s="144" t="s">
        <v>386</v>
      </c>
      <c r="E193" s="59" t="s">
        <v>387</v>
      </c>
      <c r="F193" s="54"/>
      <c r="G193" s="29"/>
      <c r="H193" s="53">
        <v>20065</v>
      </c>
      <c r="I193" s="53" t="s">
        <v>88</v>
      </c>
      <c r="L193" t="s">
        <v>230</v>
      </c>
      <c r="M193">
        <v>1</v>
      </c>
      <c r="N193">
        <v>1</v>
      </c>
      <c r="O193">
        <v>1</v>
      </c>
    </row>
    <row r="194" spans="1:15" x14ac:dyDescent="0.25">
      <c r="A194">
        <v>0</v>
      </c>
      <c r="B194" s="33" t="s">
        <v>144</v>
      </c>
      <c r="C194" s="124" t="s">
        <v>136</v>
      </c>
      <c r="D194" s="144" t="s">
        <v>574</v>
      </c>
      <c r="E194" s="59" t="s">
        <v>573</v>
      </c>
      <c r="F194" s="54"/>
      <c r="G194" s="29"/>
      <c r="H194" s="53">
        <v>0</v>
      </c>
      <c r="I194" s="53" t="s">
        <v>90</v>
      </c>
      <c r="M194" t="s">
        <v>581</v>
      </c>
    </row>
    <row r="195" spans="1:15" x14ac:dyDescent="0.25">
      <c r="A195">
        <v>19234</v>
      </c>
      <c r="B195" s="33" t="s">
        <v>147</v>
      </c>
      <c r="C195" s="124" t="s">
        <v>132</v>
      </c>
      <c r="D195" s="144" t="s">
        <v>504</v>
      </c>
      <c r="E195" s="59" t="s">
        <v>505</v>
      </c>
      <c r="F195" s="54"/>
      <c r="G195" s="29"/>
      <c r="H195" s="53">
        <v>19234</v>
      </c>
      <c r="I195" s="53" t="s">
        <v>90</v>
      </c>
      <c r="M195" t="s">
        <v>581</v>
      </c>
    </row>
    <row r="196" spans="1:15" x14ac:dyDescent="0.25">
      <c r="A196">
        <v>138</v>
      </c>
      <c r="B196" s="33" t="s">
        <v>147</v>
      </c>
      <c r="C196" s="124" t="s">
        <v>132</v>
      </c>
      <c r="D196" s="144" t="s">
        <v>506</v>
      </c>
      <c r="E196" s="59" t="s">
        <v>507</v>
      </c>
      <c r="F196" s="54"/>
      <c r="G196" s="29"/>
      <c r="H196" s="53">
        <v>138</v>
      </c>
      <c r="I196" s="53" t="s">
        <v>90</v>
      </c>
      <c r="M196" t="s">
        <v>581</v>
      </c>
    </row>
    <row r="197" spans="1:15" x14ac:dyDescent="0.25">
      <c r="A197">
        <v>28</v>
      </c>
      <c r="B197" s="33" t="s">
        <v>147</v>
      </c>
      <c r="C197" s="124" t="s">
        <v>132</v>
      </c>
      <c r="D197" s="144" t="s">
        <v>508</v>
      </c>
      <c r="E197" s="59" t="s">
        <v>509</v>
      </c>
      <c r="F197" s="54"/>
      <c r="G197" s="29"/>
      <c r="H197" s="53">
        <v>28</v>
      </c>
      <c r="I197" s="53" t="s">
        <v>90</v>
      </c>
      <c r="M197" t="s">
        <v>581</v>
      </c>
    </row>
    <row r="198" spans="1:15" x14ac:dyDescent="0.25">
      <c r="A198">
        <v>0</v>
      </c>
      <c r="B198" s="33" t="s">
        <v>147</v>
      </c>
      <c r="C198" s="124" t="s">
        <v>132</v>
      </c>
      <c r="D198" s="144" t="s">
        <v>510</v>
      </c>
      <c r="E198" s="59" t="s">
        <v>511</v>
      </c>
      <c r="F198" s="54"/>
      <c r="G198" s="29"/>
      <c r="H198" s="53">
        <v>0</v>
      </c>
      <c r="I198" s="53" t="s">
        <v>90</v>
      </c>
      <c r="M198" t="s">
        <v>581</v>
      </c>
    </row>
    <row r="199" spans="1:15" x14ac:dyDescent="0.25">
      <c r="A199">
        <v>138</v>
      </c>
      <c r="B199" s="33" t="s">
        <v>147</v>
      </c>
      <c r="C199" s="124" t="s">
        <v>132</v>
      </c>
      <c r="D199" s="144" t="s">
        <v>498</v>
      </c>
      <c r="E199" s="59" t="s">
        <v>499</v>
      </c>
      <c r="F199" s="54"/>
      <c r="G199" s="29"/>
      <c r="H199" s="53">
        <v>138</v>
      </c>
      <c r="I199" s="53" t="s">
        <v>90</v>
      </c>
      <c r="M199" t="s">
        <v>581</v>
      </c>
    </row>
    <row r="200" spans="1:15" x14ac:dyDescent="0.25">
      <c r="A200">
        <v>138</v>
      </c>
      <c r="B200" s="33" t="s">
        <v>147</v>
      </c>
      <c r="C200" s="124" t="s">
        <v>132</v>
      </c>
      <c r="D200" s="144" t="s">
        <v>496</v>
      </c>
      <c r="E200" s="59" t="s">
        <v>497</v>
      </c>
      <c r="F200" s="54"/>
      <c r="G200" s="29"/>
      <c r="H200" s="53">
        <v>138</v>
      </c>
      <c r="I200" s="53" t="s">
        <v>90</v>
      </c>
      <c r="M200" t="s">
        <v>581</v>
      </c>
    </row>
    <row r="201" spans="1:15" x14ac:dyDescent="0.25">
      <c r="A201">
        <v>166</v>
      </c>
      <c r="B201" s="33" t="s">
        <v>147</v>
      </c>
      <c r="C201" s="124" t="s">
        <v>132</v>
      </c>
      <c r="D201" s="144" t="s">
        <v>502</v>
      </c>
      <c r="E201" s="59" t="s">
        <v>503</v>
      </c>
      <c r="F201" s="54"/>
      <c r="G201" s="29"/>
      <c r="H201" s="53">
        <v>166</v>
      </c>
      <c r="I201" s="53" t="s">
        <v>90</v>
      </c>
      <c r="M201" t="s">
        <v>581</v>
      </c>
    </row>
    <row r="202" spans="1:15" x14ac:dyDescent="0.25">
      <c r="A202">
        <v>14</v>
      </c>
      <c r="B202" s="33" t="s">
        <v>147</v>
      </c>
      <c r="C202" s="124" t="s">
        <v>132</v>
      </c>
      <c r="D202" s="144" t="s">
        <v>500</v>
      </c>
      <c r="E202" s="59" t="s">
        <v>501</v>
      </c>
      <c r="F202" s="54"/>
      <c r="G202" s="29"/>
      <c r="H202" s="53">
        <v>14</v>
      </c>
      <c r="I202" s="53" t="s">
        <v>90</v>
      </c>
      <c r="M202" t="s">
        <v>581</v>
      </c>
    </row>
    <row r="203" spans="1:15" x14ac:dyDescent="0.25">
      <c r="A203">
        <v>0</v>
      </c>
      <c r="B203" s="33" t="s">
        <v>150</v>
      </c>
      <c r="C203" s="124" t="s">
        <v>125</v>
      </c>
      <c r="D203" s="144" t="s">
        <v>374</v>
      </c>
      <c r="E203" s="59" t="s">
        <v>375</v>
      </c>
      <c r="F203" s="54"/>
      <c r="G203" s="29"/>
      <c r="H203" s="53">
        <v>0</v>
      </c>
      <c r="I203" s="53" t="s">
        <v>90</v>
      </c>
      <c r="M203" t="s">
        <v>581</v>
      </c>
    </row>
    <row r="204" spans="1:15" x14ac:dyDescent="0.25">
      <c r="A204">
        <v>1</v>
      </c>
      <c r="B204" s="33" t="s">
        <v>150</v>
      </c>
      <c r="C204" s="124" t="s">
        <v>125</v>
      </c>
      <c r="D204" s="144" t="s">
        <v>376</v>
      </c>
      <c r="E204" s="59" t="s">
        <v>377</v>
      </c>
      <c r="F204" s="54"/>
      <c r="G204" s="29"/>
      <c r="H204" s="53">
        <v>1</v>
      </c>
      <c r="I204" s="53" t="s">
        <v>90</v>
      </c>
      <c r="M204" t="s">
        <v>581</v>
      </c>
    </row>
    <row r="205" spans="1:15" x14ac:dyDescent="0.25">
      <c r="A205">
        <v>0</v>
      </c>
      <c r="B205" s="33" t="s">
        <v>150</v>
      </c>
      <c r="C205" s="124" t="s">
        <v>125</v>
      </c>
      <c r="D205" s="144" t="s">
        <v>378</v>
      </c>
      <c r="E205" s="59" t="s">
        <v>379</v>
      </c>
      <c r="F205" s="54"/>
      <c r="G205" s="29"/>
      <c r="H205" s="53">
        <v>0</v>
      </c>
      <c r="I205" s="53" t="s">
        <v>90</v>
      </c>
      <c r="M205" t="s">
        <v>581</v>
      </c>
    </row>
    <row r="206" spans="1:15" x14ac:dyDescent="0.25">
      <c r="A206">
        <v>0</v>
      </c>
      <c r="B206" s="33" t="s">
        <v>150</v>
      </c>
      <c r="C206" s="124" t="s">
        <v>125</v>
      </c>
      <c r="D206" s="144" t="s">
        <v>370</v>
      </c>
      <c r="E206" s="59" t="s">
        <v>371</v>
      </c>
      <c r="F206" s="54"/>
      <c r="G206" s="29"/>
      <c r="H206" s="53">
        <v>0</v>
      </c>
      <c r="I206" s="53" t="s">
        <v>90</v>
      </c>
      <c r="M206" t="s">
        <v>581</v>
      </c>
    </row>
    <row r="207" spans="1:15" x14ac:dyDescent="0.25">
      <c r="A207">
        <v>559</v>
      </c>
      <c r="B207" s="33" t="s">
        <v>150</v>
      </c>
      <c r="C207" s="124" t="s">
        <v>125</v>
      </c>
      <c r="D207" s="144" t="s">
        <v>372</v>
      </c>
      <c r="E207" s="59" t="s">
        <v>373</v>
      </c>
      <c r="F207" s="54"/>
      <c r="G207" s="29"/>
      <c r="H207" s="53">
        <v>559</v>
      </c>
      <c r="I207" s="53" t="s">
        <v>90</v>
      </c>
      <c r="M207" t="s">
        <v>581</v>
      </c>
    </row>
    <row r="208" spans="1:15" x14ac:dyDescent="0.25">
      <c r="A208">
        <v>0</v>
      </c>
      <c r="B208" s="33" t="s">
        <v>150</v>
      </c>
      <c r="C208" s="124" t="s">
        <v>125</v>
      </c>
      <c r="D208" s="144" t="s">
        <v>380</v>
      </c>
      <c r="E208" s="59" t="s">
        <v>381</v>
      </c>
      <c r="F208" s="54"/>
      <c r="G208" s="29"/>
      <c r="H208" s="53">
        <v>0</v>
      </c>
      <c r="I208" s="53" t="s">
        <v>90</v>
      </c>
      <c r="M208" t="s">
        <v>581</v>
      </c>
    </row>
    <row r="209" spans="1:13" x14ac:dyDescent="0.25">
      <c r="A209">
        <v>12539</v>
      </c>
      <c r="B209" s="33" t="s">
        <v>150</v>
      </c>
      <c r="C209" s="124" t="s">
        <v>125</v>
      </c>
      <c r="D209" s="144" t="s">
        <v>382</v>
      </c>
      <c r="E209" s="59" t="s">
        <v>383</v>
      </c>
      <c r="F209" s="54"/>
      <c r="G209" s="29"/>
      <c r="H209" s="53">
        <v>12539</v>
      </c>
      <c r="I209" s="53" t="s">
        <v>90</v>
      </c>
      <c r="M209" t="s">
        <v>581</v>
      </c>
    </row>
    <row r="210" spans="1:13" x14ac:dyDescent="0.25">
      <c r="A210">
        <v>3741</v>
      </c>
      <c r="B210" s="33" t="s">
        <v>141</v>
      </c>
      <c r="C210" s="124" t="s">
        <v>123</v>
      </c>
      <c r="D210" s="144" t="s">
        <v>143</v>
      </c>
      <c r="E210" s="59" t="s">
        <v>142</v>
      </c>
      <c r="F210" s="54"/>
      <c r="G210" s="29"/>
      <c r="H210" s="53">
        <v>3741</v>
      </c>
      <c r="I210" s="53" t="s">
        <v>90</v>
      </c>
      <c r="M210" t="s">
        <v>581</v>
      </c>
    </row>
    <row r="211" spans="1:13" x14ac:dyDescent="0.25">
      <c r="A211">
        <v>0</v>
      </c>
      <c r="B211" s="33" t="s">
        <v>141</v>
      </c>
      <c r="C211" s="124" t="s">
        <v>123</v>
      </c>
      <c r="D211" s="144" t="s">
        <v>146</v>
      </c>
      <c r="E211" s="59" t="s">
        <v>145</v>
      </c>
      <c r="F211" s="54"/>
      <c r="G211" s="29"/>
      <c r="H211" s="53">
        <v>0</v>
      </c>
      <c r="I211" s="53" t="s">
        <v>90</v>
      </c>
      <c r="M211" t="s">
        <v>581</v>
      </c>
    </row>
    <row r="212" spans="1:13" ht="28.5" x14ac:dyDescent="0.25">
      <c r="A212">
        <v>0</v>
      </c>
      <c r="B212" s="33" t="s">
        <v>141</v>
      </c>
      <c r="C212" s="124" t="s">
        <v>123</v>
      </c>
      <c r="D212" s="144" t="s">
        <v>152</v>
      </c>
      <c r="E212" s="59" t="s">
        <v>151</v>
      </c>
      <c r="F212" s="54"/>
      <c r="G212" s="29"/>
      <c r="H212" s="53">
        <v>0</v>
      </c>
      <c r="I212" s="53" t="s">
        <v>90</v>
      </c>
      <c r="M212" t="s">
        <v>581</v>
      </c>
    </row>
    <row r="213" spans="1:13" x14ac:dyDescent="0.25">
      <c r="A213">
        <v>6</v>
      </c>
      <c r="B213" s="33" t="s">
        <v>141</v>
      </c>
      <c r="C213" s="124" t="s">
        <v>123</v>
      </c>
      <c r="D213" s="144" t="s">
        <v>149</v>
      </c>
      <c r="E213" s="59" t="s">
        <v>148</v>
      </c>
      <c r="F213" s="54"/>
      <c r="G213" s="29"/>
      <c r="H213" s="53">
        <v>6</v>
      </c>
      <c r="I213" s="53" t="s">
        <v>90</v>
      </c>
      <c r="M213" t="s">
        <v>581</v>
      </c>
    </row>
    <row r="214" spans="1:13" ht="28.5" x14ac:dyDescent="0.25">
      <c r="A214">
        <v>0</v>
      </c>
      <c r="B214" s="33" t="s">
        <v>141</v>
      </c>
      <c r="C214" s="124" t="s">
        <v>123</v>
      </c>
      <c r="D214" s="144" t="s">
        <v>154</v>
      </c>
      <c r="E214" s="59" t="s">
        <v>153</v>
      </c>
      <c r="F214" s="54"/>
      <c r="G214" s="29"/>
      <c r="H214" s="53">
        <v>0</v>
      </c>
      <c r="I214" s="53" t="s">
        <v>90</v>
      </c>
      <c r="M214" t="s">
        <v>581</v>
      </c>
    </row>
    <row r="215" spans="1:13" x14ac:dyDescent="0.25">
      <c r="A215">
        <v>0</v>
      </c>
      <c r="B215" s="33" t="s">
        <v>141</v>
      </c>
      <c r="C215" s="124" t="s">
        <v>123</v>
      </c>
      <c r="D215" s="144" t="s">
        <v>157</v>
      </c>
      <c r="E215" s="59" t="s">
        <v>156</v>
      </c>
      <c r="F215" s="54"/>
      <c r="G215" s="29"/>
      <c r="H215" s="53">
        <v>0</v>
      </c>
      <c r="I215" s="53" t="s">
        <v>90</v>
      </c>
      <c r="M215" t="s">
        <v>581</v>
      </c>
    </row>
    <row r="216" spans="1:13" x14ac:dyDescent="0.25">
      <c r="A216">
        <v>0</v>
      </c>
      <c r="B216" s="33" t="s">
        <v>141</v>
      </c>
      <c r="C216" s="124" t="s">
        <v>123</v>
      </c>
      <c r="D216" s="144" t="s">
        <v>160</v>
      </c>
      <c r="E216" s="59" t="s">
        <v>159</v>
      </c>
      <c r="F216" s="54"/>
      <c r="G216" s="29"/>
      <c r="H216" s="53">
        <v>0</v>
      </c>
      <c r="I216" s="53" t="s">
        <v>90</v>
      </c>
      <c r="M216" t="s">
        <v>581</v>
      </c>
    </row>
    <row r="217" spans="1:13" ht="28.5" x14ac:dyDescent="0.25">
      <c r="A217">
        <v>0</v>
      </c>
      <c r="B217" s="33" t="s">
        <v>141</v>
      </c>
      <c r="C217" s="124" t="s">
        <v>123</v>
      </c>
      <c r="D217" s="144" t="s">
        <v>166</v>
      </c>
      <c r="E217" s="59" t="s">
        <v>165</v>
      </c>
      <c r="F217" s="54"/>
      <c r="G217" s="29"/>
      <c r="H217" s="53">
        <v>0</v>
      </c>
      <c r="I217" s="53" t="s">
        <v>90</v>
      </c>
      <c r="M217" t="s">
        <v>581</v>
      </c>
    </row>
    <row r="218" spans="1:13" x14ac:dyDescent="0.25">
      <c r="A218">
        <v>532</v>
      </c>
      <c r="B218" s="33" t="s">
        <v>141</v>
      </c>
      <c r="C218" s="124" t="s">
        <v>123</v>
      </c>
      <c r="D218" s="144" t="s">
        <v>163</v>
      </c>
      <c r="E218" s="59" t="s">
        <v>162</v>
      </c>
      <c r="F218" s="54"/>
      <c r="G218" s="29"/>
      <c r="H218" s="53">
        <v>532</v>
      </c>
      <c r="I218" s="53" t="s">
        <v>90</v>
      </c>
      <c r="M218" t="s">
        <v>581</v>
      </c>
    </row>
    <row r="219" spans="1:13" x14ac:dyDescent="0.25">
      <c r="A219">
        <v>8981</v>
      </c>
      <c r="B219" s="33" t="s">
        <v>155</v>
      </c>
      <c r="C219" s="124" t="s">
        <v>122</v>
      </c>
      <c r="D219" s="144" t="s">
        <v>172</v>
      </c>
      <c r="E219" s="59" t="s">
        <v>171</v>
      </c>
      <c r="F219" s="54"/>
      <c r="G219" s="29"/>
      <c r="H219" s="53">
        <v>8981</v>
      </c>
      <c r="I219" s="53" t="s">
        <v>90</v>
      </c>
      <c r="M219" t="s">
        <v>581</v>
      </c>
    </row>
    <row r="220" spans="1:13" x14ac:dyDescent="0.25">
      <c r="A220">
        <v>2593</v>
      </c>
      <c r="B220" s="33" t="s">
        <v>155</v>
      </c>
      <c r="C220" s="124" t="s">
        <v>122</v>
      </c>
      <c r="D220" s="144" t="s">
        <v>184</v>
      </c>
      <c r="E220" s="59" t="s">
        <v>183</v>
      </c>
      <c r="F220" s="54"/>
      <c r="G220" s="29"/>
      <c r="H220" s="53">
        <v>2593</v>
      </c>
      <c r="I220" s="53" t="s">
        <v>90</v>
      </c>
      <c r="M220" t="s">
        <v>581</v>
      </c>
    </row>
    <row r="221" spans="1:13" x14ac:dyDescent="0.25">
      <c r="A221">
        <v>524</v>
      </c>
      <c r="B221" s="33" t="s">
        <v>155</v>
      </c>
      <c r="C221" s="124" t="s">
        <v>122</v>
      </c>
      <c r="D221" s="144" t="s">
        <v>175</v>
      </c>
      <c r="E221" s="59" t="s">
        <v>174</v>
      </c>
      <c r="F221" s="54"/>
      <c r="G221" s="29"/>
      <c r="H221" s="53">
        <v>524</v>
      </c>
      <c r="I221" s="53" t="s">
        <v>90</v>
      </c>
      <c r="M221" t="s">
        <v>581</v>
      </c>
    </row>
    <row r="222" spans="1:13" x14ac:dyDescent="0.25">
      <c r="A222">
        <v>4081</v>
      </c>
      <c r="B222" s="33" t="s">
        <v>155</v>
      </c>
      <c r="C222" s="124" t="s">
        <v>122</v>
      </c>
      <c r="D222" s="144" t="s">
        <v>169</v>
      </c>
      <c r="E222" s="59" t="s">
        <v>168</v>
      </c>
      <c r="F222" s="54"/>
      <c r="G222" s="29"/>
      <c r="H222" s="53">
        <v>4081</v>
      </c>
      <c r="I222" s="53" t="s">
        <v>90</v>
      </c>
      <c r="M222" t="s">
        <v>581</v>
      </c>
    </row>
    <row r="223" spans="1:13" x14ac:dyDescent="0.25">
      <c r="A223">
        <v>6275</v>
      </c>
      <c r="B223" s="33" t="s">
        <v>155</v>
      </c>
      <c r="C223" s="124" t="s">
        <v>122</v>
      </c>
      <c r="D223" s="144" t="s">
        <v>181</v>
      </c>
      <c r="E223" s="59" t="s">
        <v>180</v>
      </c>
      <c r="F223" s="54"/>
      <c r="G223" s="29"/>
      <c r="H223" s="53">
        <v>6275</v>
      </c>
      <c r="I223" s="53" t="s">
        <v>90</v>
      </c>
      <c r="M223" t="s">
        <v>581</v>
      </c>
    </row>
    <row r="224" spans="1:13" x14ac:dyDescent="0.25">
      <c r="A224">
        <v>10766</v>
      </c>
      <c r="B224" s="33" t="s">
        <v>155</v>
      </c>
      <c r="C224" s="124" t="s">
        <v>122</v>
      </c>
      <c r="D224" s="144" t="s">
        <v>190</v>
      </c>
      <c r="E224" s="59" t="s">
        <v>189</v>
      </c>
      <c r="F224" s="54"/>
      <c r="G224" s="29"/>
      <c r="H224" s="53">
        <v>10766</v>
      </c>
      <c r="I224" s="53" t="s">
        <v>90</v>
      </c>
      <c r="M224" t="s">
        <v>581</v>
      </c>
    </row>
    <row r="225" spans="1:13" x14ac:dyDescent="0.25">
      <c r="A225">
        <v>34834</v>
      </c>
      <c r="B225" s="33" t="s">
        <v>155</v>
      </c>
      <c r="C225" s="124" t="s">
        <v>122</v>
      </c>
      <c r="D225" s="144" t="s">
        <v>187</v>
      </c>
      <c r="E225" s="59" t="s">
        <v>186</v>
      </c>
      <c r="F225" s="54"/>
      <c r="G225" s="29"/>
      <c r="H225" s="53">
        <v>34834</v>
      </c>
      <c r="I225" s="53" t="s">
        <v>90</v>
      </c>
      <c r="M225" t="s">
        <v>581</v>
      </c>
    </row>
    <row r="226" spans="1:13" x14ac:dyDescent="0.25">
      <c r="A226">
        <v>0</v>
      </c>
      <c r="B226" s="33" t="s">
        <v>155</v>
      </c>
      <c r="C226" s="124" t="s">
        <v>122</v>
      </c>
      <c r="D226" s="144" t="s">
        <v>178</v>
      </c>
      <c r="E226" s="59" t="s">
        <v>177</v>
      </c>
      <c r="F226" s="54"/>
      <c r="G226" s="29"/>
      <c r="H226" s="53">
        <v>0</v>
      </c>
      <c r="I226" s="53" t="s">
        <v>90</v>
      </c>
      <c r="M226" t="s">
        <v>581</v>
      </c>
    </row>
    <row r="227" spans="1:13" x14ac:dyDescent="0.25">
      <c r="A227">
        <v>1344</v>
      </c>
      <c r="B227" s="33" t="s">
        <v>155</v>
      </c>
      <c r="C227" s="124" t="s">
        <v>122</v>
      </c>
      <c r="D227" s="144" t="s">
        <v>193</v>
      </c>
      <c r="E227" s="59" t="s">
        <v>192</v>
      </c>
      <c r="F227" s="54"/>
      <c r="G227" s="29"/>
      <c r="H227" s="53">
        <v>1344</v>
      </c>
      <c r="I227" s="53" t="s">
        <v>90</v>
      </c>
      <c r="M227" t="s">
        <v>581</v>
      </c>
    </row>
    <row r="228" spans="1:13" x14ac:dyDescent="0.25">
      <c r="A228">
        <v>0</v>
      </c>
      <c r="B228" s="33" t="s">
        <v>158</v>
      </c>
      <c r="C228" s="124" t="s">
        <v>129</v>
      </c>
      <c r="D228" s="144" t="s">
        <v>444</v>
      </c>
      <c r="E228" s="59" t="s">
        <v>445</v>
      </c>
      <c r="F228" s="54"/>
      <c r="G228" s="29"/>
      <c r="H228" s="53">
        <v>0</v>
      </c>
      <c r="I228" s="53" t="s">
        <v>90</v>
      </c>
      <c r="M228" t="s">
        <v>581</v>
      </c>
    </row>
    <row r="229" spans="1:13" x14ac:dyDescent="0.25">
      <c r="A229">
        <v>6</v>
      </c>
      <c r="B229" s="33" t="s">
        <v>158</v>
      </c>
      <c r="C229" s="124" t="s">
        <v>129</v>
      </c>
      <c r="D229" s="144" t="s">
        <v>446</v>
      </c>
      <c r="E229" s="59" t="s">
        <v>447</v>
      </c>
      <c r="F229" s="54"/>
      <c r="G229" s="29"/>
      <c r="H229" s="53">
        <v>6</v>
      </c>
      <c r="I229" s="53" t="s">
        <v>90</v>
      </c>
      <c r="M229" t="s">
        <v>581</v>
      </c>
    </row>
    <row r="230" spans="1:13" x14ac:dyDescent="0.25">
      <c r="A230">
        <v>1463</v>
      </c>
      <c r="B230" s="33" t="s">
        <v>158</v>
      </c>
      <c r="C230" s="124" t="s">
        <v>129</v>
      </c>
      <c r="D230" s="144" t="s">
        <v>448</v>
      </c>
      <c r="E230" s="59" t="s">
        <v>449</v>
      </c>
      <c r="F230" s="54"/>
      <c r="G230" s="29"/>
      <c r="H230" s="53">
        <v>1463</v>
      </c>
      <c r="I230" s="53" t="s">
        <v>90</v>
      </c>
      <c r="M230" t="s">
        <v>581</v>
      </c>
    </row>
    <row r="231" spans="1:13" ht="42.75" x14ac:dyDescent="0.25">
      <c r="A231">
        <v>0</v>
      </c>
      <c r="B231" s="33" t="s">
        <v>158</v>
      </c>
      <c r="C231" s="124" t="s">
        <v>129</v>
      </c>
      <c r="D231" s="144" t="s">
        <v>454</v>
      </c>
      <c r="E231" s="59" t="s">
        <v>455</v>
      </c>
      <c r="F231" s="54"/>
      <c r="G231" s="29"/>
      <c r="H231" s="53">
        <v>0</v>
      </c>
      <c r="I231" s="53" t="s">
        <v>90</v>
      </c>
      <c r="M231" t="s">
        <v>581</v>
      </c>
    </row>
    <row r="232" spans="1:13" x14ac:dyDescent="0.25">
      <c r="A232">
        <v>23807</v>
      </c>
      <c r="B232" s="33" t="s">
        <v>158</v>
      </c>
      <c r="C232" s="124" t="s">
        <v>129</v>
      </c>
      <c r="D232" s="144" t="s">
        <v>462</v>
      </c>
      <c r="E232" s="59" t="s">
        <v>463</v>
      </c>
      <c r="F232" s="54"/>
      <c r="G232" s="29"/>
      <c r="H232" s="53">
        <v>23807</v>
      </c>
      <c r="I232" s="53" t="s">
        <v>90</v>
      </c>
      <c r="M232" t="s">
        <v>581</v>
      </c>
    </row>
    <row r="233" spans="1:13" x14ac:dyDescent="0.25">
      <c r="A233">
        <v>0</v>
      </c>
      <c r="B233" s="33" t="s">
        <v>158</v>
      </c>
      <c r="C233" s="124" t="s">
        <v>129</v>
      </c>
      <c r="D233" s="144" t="s">
        <v>450</v>
      </c>
      <c r="E233" s="59" t="s">
        <v>451</v>
      </c>
      <c r="F233" s="54"/>
      <c r="G233" s="29"/>
      <c r="H233" s="53">
        <v>0</v>
      </c>
      <c r="I233" s="53" t="s">
        <v>90</v>
      </c>
      <c r="M233" t="s">
        <v>581</v>
      </c>
    </row>
    <row r="234" spans="1:13" x14ac:dyDescent="0.25">
      <c r="A234">
        <v>0</v>
      </c>
      <c r="B234" s="33" t="s">
        <v>158</v>
      </c>
      <c r="C234" s="124" t="s">
        <v>129</v>
      </c>
      <c r="D234" s="144" t="s">
        <v>466</v>
      </c>
      <c r="E234" s="59" t="s">
        <v>467</v>
      </c>
      <c r="F234" s="54"/>
      <c r="G234" s="29"/>
      <c r="H234" s="53">
        <v>0</v>
      </c>
      <c r="I234" s="53" t="s">
        <v>90</v>
      </c>
      <c r="M234" t="s">
        <v>581</v>
      </c>
    </row>
    <row r="235" spans="1:13" x14ac:dyDescent="0.25">
      <c r="A235">
        <v>3146</v>
      </c>
      <c r="B235" s="33" t="s">
        <v>158</v>
      </c>
      <c r="C235" s="124" t="s">
        <v>129</v>
      </c>
      <c r="D235" s="144" t="s">
        <v>452</v>
      </c>
      <c r="E235" s="59" t="s">
        <v>453</v>
      </c>
      <c r="F235" s="54"/>
      <c r="G235" s="29"/>
      <c r="H235" s="53">
        <v>3146</v>
      </c>
      <c r="I235" s="53" t="s">
        <v>90</v>
      </c>
      <c r="M235" t="s">
        <v>581</v>
      </c>
    </row>
    <row r="236" spans="1:13" x14ac:dyDescent="0.25">
      <c r="A236">
        <v>0</v>
      </c>
      <c r="B236" s="33" t="s">
        <v>158</v>
      </c>
      <c r="C236" s="124" t="s">
        <v>129</v>
      </c>
      <c r="D236" s="144" t="s">
        <v>456</v>
      </c>
      <c r="E236" s="59" t="s">
        <v>457</v>
      </c>
      <c r="F236" s="54"/>
      <c r="G236" s="29"/>
      <c r="H236" s="53">
        <v>0</v>
      </c>
      <c r="I236" s="53" t="s">
        <v>90</v>
      </c>
      <c r="M236" t="s">
        <v>581</v>
      </c>
    </row>
    <row r="237" spans="1:13" ht="28.5" x14ac:dyDescent="0.25">
      <c r="A237">
        <v>17673</v>
      </c>
      <c r="B237" s="33" t="s">
        <v>158</v>
      </c>
      <c r="C237" s="124" t="s">
        <v>129</v>
      </c>
      <c r="D237" s="144" t="s">
        <v>464</v>
      </c>
      <c r="E237" s="59" t="s">
        <v>465</v>
      </c>
      <c r="F237" s="54"/>
      <c r="G237" s="29"/>
      <c r="H237" s="53">
        <v>17673</v>
      </c>
      <c r="I237" s="53" t="s">
        <v>90</v>
      </c>
      <c r="M237" t="s">
        <v>581</v>
      </c>
    </row>
    <row r="238" spans="1:13" ht="28.5" x14ac:dyDescent="0.25">
      <c r="A238">
        <v>2</v>
      </c>
      <c r="B238" s="33" t="s">
        <v>158</v>
      </c>
      <c r="C238" s="124" t="s">
        <v>129</v>
      </c>
      <c r="D238" s="144" t="s">
        <v>458</v>
      </c>
      <c r="E238" s="59" t="s">
        <v>459</v>
      </c>
      <c r="F238" s="54"/>
      <c r="G238" s="29"/>
      <c r="H238" s="53">
        <v>2</v>
      </c>
      <c r="I238" s="53" t="s">
        <v>90</v>
      </c>
      <c r="M238" t="s">
        <v>581</v>
      </c>
    </row>
    <row r="239" spans="1:13" ht="28.5" x14ac:dyDescent="0.25">
      <c r="A239">
        <v>19049</v>
      </c>
      <c r="B239" s="33" t="s">
        <v>158</v>
      </c>
      <c r="C239" s="124" t="s">
        <v>129</v>
      </c>
      <c r="D239" s="144" t="s">
        <v>460</v>
      </c>
      <c r="E239" s="59" t="s">
        <v>461</v>
      </c>
      <c r="F239" s="54"/>
      <c r="G239" s="29"/>
      <c r="H239" s="53">
        <v>19049</v>
      </c>
      <c r="I239" s="53" t="s">
        <v>90</v>
      </c>
      <c r="M239" t="s">
        <v>581</v>
      </c>
    </row>
    <row r="240" spans="1:13" ht="28.5" x14ac:dyDescent="0.25">
      <c r="A240">
        <v>1078</v>
      </c>
      <c r="B240" s="33" t="s">
        <v>161</v>
      </c>
      <c r="C240" s="124" t="s">
        <v>128</v>
      </c>
      <c r="D240" s="144" t="s">
        <v>422</v>
      </c>
      <c r="E240" s="59" t="s">
        <v>423</v>
      </c>
      <c r="F240" s="54"/>
      <c r="G240" s="29"/>
      <c r="H240" s="53">
        <v>1078</v>
      </c>
      <c r="I240" s="53" t="s">
        <v>90</v>
      </c>
      <c r="M240" t="s">
        <v>581</v>
      </c>
    </row>
    <row r="241" spans="1:13" ht="28.5" x14ac:dyDescent="0.25">
      <c r="A241">
        <v>6211</v>
      </c>
      <c r="B241" s="33" t="s">
        <v>161</v>
      </c>
      <c r="C241" s="124" t="s">
        <v>128</v>
      </c>
      <c r="D241" s="144" t="s">
        <v>424</v>
      </c>
      <c r="E241" s="59" t="s">
        <v>425</v>
      </c>
      <c r="F241" s="54"/>
      <c r="G241" s="29"/>
      <c r="H241" s="53">
        <v>6211</v>
      </c>
      <c r="I241" s="53" t="s">
        <v>90</v>
      </c>
      <c r="M241" t="s">
        <v>581</v>
      </c>
    </row>
    <row r="242" spans="1:13" x14ac:dyDescent="0.25">
      <c r="A242">
        <v>0</v>
      </c>
      <c r="B242" s="33" t="s">
        <v>161</v>
      </c>
      <c r="C242" s="124" t="s">
        <v>128</v>
      </c>
      <c r="D242" s="144" t="s">
        <v>428</v>
      </c>
      <c r="E242" s="59" t="s">
        <v>429</v>
      </c>
      <c r="F242" s="54"/>
      <c r="G242" s="29"/>
      <c r="H242" s="53">
        <v>0</v>
      </c>
      <c r="I242" s="53" t="s">
        <v>90</v>
      </c>
      <c r="M242" t="s">
        <v>581</v>
      </c>
    </row>
    <row r="243" spans="1:13" ht="28.5" x14ac:dyDescent="0.25">
      <c r="A243">
        <v>0</v>
      </c>
      <c r="B243" s="33" t="s">
        <v>161</v>
      </c>
      <c r="C243" s="124" t="s">
        <v>128</v>
      </c>
      <c r="D243" s="144" t="s">
        <v>426</v>
      </c>
      <c r="E243" s="59" t="s">
        <v>427</v>
      </c>
      <c r="F243" s="54"/>
      <c r="G243" s="29"/>
      <c r="H243" s="53">
        <v>0</v>
      </c>
      <c r="I243" s="53" t="s">
        <v>90</v>
      </c>
      <c r="M243" t="s">
        <v>581</v>
      </c>
    </row>
    <row r="244" spans="1:13" ht="28.5" x14ac:dyDescent="0.25">
      <c r="A244">
        <v>0</v>
      </c>
      <c r="B244" s="33" t="s">
        <v>161</v>
      </c>
      <c r="C244" s="124" t="s">
        <v>128</v>
      </c>
      <c r="D244" s="144" t="s">
        <v>434</v>
      </c>
      <c r="E244" s="59" t="s">
        <v>435</v>
      </c>
      <c r="F244" s="54"/>
      <c r="G244" s="29"/>
      <c r="H244" s="53">
        <v>0</v>
      </c>
      <c r="I244" s="53" t="s">
        <v>90</v>
      </c>
      <c r="M244" t="s">
        <v>581</v>
      </c>
    </row>
    <row r="245" spans="1:13" x14ac:dyDescent="0.25">
      <c r="A245">
        <v>26246</v>
      </c>
      <c r="B245" s="33" t="s">
        <v>161</v>
      </c>
      <c r="C245" s="124" t="s">
        <v>128</v>
      </c>
      <c r="D245" s="144" t="s">
        <v>430</v>
      </c>
      <c r="E245" s="59" t="s">
        <v>431</v>
      </c>
      <c r="F245" s="54"/>
      <c r="G245" s="29"/>
      <c r="H245" s="53">
        <v>26246</v>
      </c>
      <c r="I245" s="53" t="s">
        <v>90</v>
      </c>
      <c r="M245" t="s">
        <v>581</v>
      </c>
    </row>
    <row r="246" spans="1:13" ht="28.5" x14ac:dyDescent="0.25">
      <c r="A246">
        <v>10777</v>
      </c>
      <c r="B246" s="33" t="s">
        <v>161</v>
      </c>
      <c r="C246" s="124" t="s">
        <v>128</v>
      </c>
      <c r="D246" s="144" t="s">
        <v>438</v>
      </c>
      <c r="E246" s="59" t="s">
        <v>439</v>
      </c>
      <c r="F246" s="54"/>
      <c r="G246" s="29"/>
      <c r="H246" s="53">
        <v>10777</v>
      </c>
      <c r="I246" s="53" t="s">
        <v>90</v>
      </c>
      <c r="M246" t="s">
        <v>581</v>
      </c>
    </row>
    <row r="247" spans="1:13" x14ac:dyDescent="0.25">
      <c r="A247">
        <v>0</v>
      </c>
      <c r="B247" s="33" t="s">
        <v>161</v>
      </c>
      <c r="C247" s="124" t="s">
        <v>128</v>
      </c>
      <c r="D247" s="144" t="s">
        <v>442</v>
      </c>
      <c r="E247" s="59" t="s">
        <v>443</v>
      </c>
      <c r="F247" s="54"/>
      <c r="G247" s="29"/>
      <c r="H247" s="53">
        <v>0</v>
      </c>
      <c r="I247" s="53" t="s">
        <v>90</v>
      </c>
      <c r="M247" t="s">
        <v>581</v>
      </c>
    </row>
    <row r="248" spans="1:13" ht="28.5" x14ac:dyDescent="0.25">
      <c r="A248">
        <v>0</v>
      </c>
      <c r="B248" s="33" t="s">
        <v>161</v>
      </c>
      <c r="C248" s="124" t="s">
        <v>128</v>
      </c>
      <c r="D248" s="144" t="s">
        <v>432</v>
      </c>
      <c r="E248" s="59" t="s">
        <v>433</v>
      </c>
      <c r="F248" s="54"/>
      <c r="G248" s="29"/>
      <c r="H248" s="53">
        <v>0</v>
      </c>
      <c r="I248" s="53" t="s">
        <v>90</v>
      </c>
      <c r="M248" t="s">
        <v>581</v>
      </c>
    </row>
    <row r="249" spans="1:13" x14ac:dyDescent="0.25">
      <c r="A249">
        <v>0</v>
      </c>
      <c r="B249" s="33" t="s">
        <v>161</v>
      </c>
      <c r="C249" s="124" t="s">
        <v>128</v>
      </c>
      <c r="D249" s="144" t="s">
        <v>436</v>
      </c>
      <c r="E249" s="59" t="s">
        <v>437</v>
      </c>
      <c r="F249" s="54"/>
      <c r="G249" s="29"/>
      <c r="H249" s="53">
        <v>0</v>
      </c>
      <c r="I249" s="53" t="s">
        <v>90</v>
      </c>
      <c r="M249" t="s">
        <v>581</v>
      </c>
    </row>
    <row r="250" spans="1:13" ht="28.5" x14ac:dyDescent="0.25">
      <c r="A250">
        <v>77452</v>
      </c>
      <c r="B250" s="33" t="s">
        <v>161</v>
      </c>
      <c r="C250" s="124" t="s">
        <v>128</v>
      </c>
      <c r="D250" s="144" t="s">
        <v>440</v>
      </c>
      <c r="E250" s="59" t="s">
        <v>441</v>
      </c>
      <c r="F250" s="54"/>
      <c r="G250" s="29"/>
      <c r="H250" s="53">
        <v>77452</v>
      </c>
      <c r="I250" s="53" t="s">
        <v>90</v>
      </c>
      <c r="M250" t="s">
        <v>581</v>
      </c>
    </row>
    <row r="251" spans="1:13" x14ac:dyDescent="0.25">
      <c r="A251">
        <v>5517</v>
      </c>
      <c r="B251" s="33" t="s">
        <v>164</v>
      </c>
      <c r="C251" s="124" t="s">
        <v>118</v>
      </c>
      <c r="D251" s="144" t="s">
        <v>327</v>
      </c>
      <c r="E251" s="59" t="s">
        <v>328</v>
      </c>
      <c r="F251" s="54"/>
      <c r="G251" s="29"/>
      <c r="H251" s="53">
        <v>5517</v>
      </c>
      <c r="I251" s="53" t="s">
        <v>90</v>
      </c>
      <c r="M251" t="s">
        <v>581</v>
      </c>
    </row>
    <row r="252" spans="1:13" x14ac:dyDescent="0.25">
      <c r="A252">
        <v>14684</v>
      </c>
      <c r="B252" s="33" t="s">
        <v>164</v>
      </c>
      <c r="C252" s="124" t="s">
        <v>118</v>
      </c>
      <c r="D252" s="144" t="s">
        <v>323</v>
      </c>
      <c r="E252" s="59" t="s">
        <v>324</v>
      </c>
      <c r="F252" s="54"/>
      <c r="G252" s="29"/>
      <c r="H252" s="53">
        <v>14684</v>
      </c>
      <c r="I252" s="53" t="s">
        <v>90</v>
      </c>
      <c r="M252" t="s">
        <v>581</v>
      </c>
    </row>
    <row r="253" spans="1:13" x14ac:dyDescent="0.25">
      <c r="A253">
        <v>1112</v>
      </c>
      <c r="B253" s="33" t="s">
        <v>164</v>
      </c>
      <c r="C253" s="124" t="s">
        <v>118</v>
      </c>
      <c r="D253" s="144" t="s">
        <v>331</v>
      </c>
      <c r="E253" s="59" t="s">
        <v>332</v>
      </c>
      <c r="F253" s="54"/>
      <c r="G253" s="29"/>
      <c r="H253" s="53">
        <v>1112</v>
      </c>
      <c r="I253" s="53" t="s">
        <v>90</v>
      </c>
      <c r="M253" t="s">
        <v>581</v>
      </c>
    </row>
    <row r="254" spans="1:13" x14ac:dyDescent="0.25">
      <c r="A254">
        <v>19269</v>
      </c>
      <c r="B254" s="33" t="s">
        <v>164</v>
      </c>
      <c r="C254" s="124" t="s">
        <v>118</v>
      </c>
      <c r="D254" s="144" t="s">
        <v>164</v>
      </c>
      <c r="E254" s="59" t="s">
        <v>335</v>
      </c>
      <c r="F254" s="54"/>
      <c r="G254" s="29"/>
      <c r="H254" s="53">
        <v>19269</v>
      </c>
      <c r="I254" s="53" t="s">
        <v>90</v>
      </c>
      <c r="M254" t="s">
        <v>581</v>
      </c>
    </row>
    <row r="255" spans="1:13" x14ac:dyDescent="0.25">
      <c r="A255">
        <v>13530</v>
      </c>
      <c r="B255" s="33" t="s">
        <v>164</v>
      </c>
      <c r="C255" s="124" t="s">
        <v>118</v>
      </c>
      <c r="D255" s="144" t="s">
        <v>329</v>
      </c>
      <c r="E255" s="59" t="s">
        <v>330</v>
      </c>
      <c r="F255" s="54"/>
      <c r="G255" s="29"/>
      <c r="H255" s="53">
        <v>13530</v>
      </c>
      <c r="I255" s="53" t="s">
        <v>90</v>
      </c>
      <c r="M255" t="s">
        <v>581</v>
      </c>
    </row>
    <row r="256" spans="1:13" x14ac:dyDescent="0.25">
      <c r="A256">
        <v>8015</v>
      </c>
      <c r="B256" s="33" t="s">
        <v>164</v>
      </c>
      <c r="C256" s="124" t="s">
        <v>118</v>
      </c>
      <c r="D256" s="144" t="s">
        <v>325</v>
      </c>
      <c r="E256" s="59" t="s">
        <v>326</v>
      </c>
      <c r="F256" s="54"/>
      <c r="G256" s="29"/>
      <c r="H256" s="53">
        <v>8015</v>
      </c>
      <c r="I256" s="53" t="s">
        <v>90</v>
      </c>
      <c r="M256" t="s">
        <v>581</v>
      </c>
    </row>
    <row r="257" spans="1:13" x14ac:dyDescent="0.25">
      <c r="A257">
        <v>5956</v>
      </c>
      <c r="B257" s="33" t="s">
        <v>164</v>
      </c>
      <c r="C257" s="124" t="s">
        <v>118</v>
      </c>
      <c r="D257" s="144" t="s">
        <v>333</v>
      </c>
      <c r="E257" s="59" t="s">
        <v>334</v>
      </c>
      <c r="F257" s="54"/>
      <c r="G257" s="29"/>
      <c r="H257" s="53">
        <v>5956</v>
      </c>
      <c r="I257" s="53" t="s">
        <v>90</v>
      </c>
      <c r="M257" t="s">
        <v>581</v>
      </c>
    </row>
    <row r="258" spans="1:13" x14ac:dyDescent="0.25">
      <c r="A258">
        <v>1402</v>
      </c>
      <c r="B258" s="33" t="s">
        <v>167</v>
      </c>
      <c r="C258" s="124" t="s">
        <v>119</v>
      </c>
      <c r="D258" s="144" t="s">
        <v>199</v>
      </c>
      <c r="E258" s="59" t="s">
        <v>198</v>
      </c>
      <c r="F258" s="54"/>
      <c r="G258" s="29"/>
      <c r="H258" s="53">
        <v>1402</v>
      </c>
      <c r="I258" s="53" t="s">
        <v>90</v>
      </c>
      <c r="M258" t="s">
        <v>581</v>
      </c>
    </row>
    <row r="259" spans="1:13" x14ac:dyDescent="0.25">
      <c r="A259">
        <v>0</v>
      </c>
      <c r="B259" s="33" t="s">
        <v>167</v>
      </c>
      <c r="C259" s="124" t="s">
        <v>119</v>
      </c>
      <c r="D259" s="144" t="s">
        <v>201</v>
      </c>
      <c r="E259" s="59" t="s">
        <v>200</v>
      </c>
      <c r="F259" s="54"/>
      <c r="G259" s="29"/>
      <c r="H259" s="53">
        <v>0</v>
      </c>
      <c r="I259" s="53" t="s">
        <v>90</v>
      </c>
      <c r="M259" t="s">
        <v>581</v>
      </c>
    </row>
    <row r="260" spans="1:13" x14ac:dyDescent="0.25">
      <c r="A260">
        <v>22551</v>
      </c>
      <c r="B260" s="33" t="s">
        <v>167</v>
      </c>
      <c r="C260" s="124" t="s">
        <v>119</v>
      </c>
      <c r="D260" s="144" t="s">
        <v>225</v>
      </c>
      <c r="E260" s="59" t="s">
        <v>224</v>
      </c>
      <c r="F260" s="54"/>
      <c r="G260" s="29"/>
      <c r="H260" s="53">
        <v>22551</v>
      </c>
      <c r="I260" s="53" t="s">
        <v>90</v>
      </c>
      <c r="M260" t="s">
        <v>581</v>
      </c>
    </row>
    <row r="261" spans="1:13" x14ac:dyDescent="0.25">
      <c r="A261">
        <v>0</v>
      </c>
      <c r="B261" s="33" t="s">
        <v>167</v>
      </c>
      <c r="C261" s="124" t="s">
        <v>119</v>
      </c>
      <c r="D261" s="144" t="s">
        <v>203</v>
      </c>
      <c r="E261" s="59" t="s">
        <v>202</v>
      </c>
      <c r="F261" s="54"/>
      <c r="G261" s="29"/>
      <c r="H261" s="53">
        <v>0</v>
      </c>
      <c r="I261" s="53" t="s">
        <v>90</v>
      </c>
      <c r="M261" t="s">
        <v>581</v>
      </c>
    </row>
    <row r="262" spans="1:13" x14ac:dyDescent="0.25">
      <c r="A262">
        <v>0</v>
      </c>
      <c r="B262" s="33" t="s">
        <v>167</v>
      </c>
      <c r="C262" s="124" t="s">
        <v>119</v>
      </c>
      <c r="D262" s="144" t="s">
        <v>205</v>
      </c>
      <c r="E262" s="59" t="s">
        <v>204</v>
      </c>
      <c r="F262" s="54"/>
      <c r="G262" s="29"/>
      <c r="H262" s="53">
        <v>0</v>
      </c>
      <c r="I262" s="53" t="s">
        <v>90</v>
      </c>
      <c r="M262" t="s">
        <v>581</v>
      </c>
    </row>
    <row r="263" spans="1:13" x14ac:dyDescent="0.25">
      <c r="A263">
        <v>0</v>
      </c>
      <c r="B263" s="33" t="s">
        <v>167</v>
      </c>
      <c r="C263" s="124" t="s">
        <v>119</v>
      </c>
      <c r="D263" s="144" t="s">
        <v>207</v>
      </c>
      <c r="E263" s="59" t="s">
        <v>206</v>
      </c>
      <c r="F263" s="54"/>
      <c r="G263" s="29"/>
      <c r="H263" s="53">
        <v>0</v>
      </c>
      <c r="I263" s="53" t="s">
        <v>90</v>
      </c>
      <c r="M263" t="s">
        <v>581</v>
      </c>
    </row>
    <row r="264" spans="1:13" x14ac:dyDescent="0.25">
      <c r="A264">
        <v>0</v>
      </c>
      <c r="B264" s="33" t="s">
        <v>167</v>
      </c>
      <c r="C264" s="124" t="s">
        <v>119</v>
      </c>
      <c r="D264" s="144" t="s">
        <v>229</v>
      </c>
      <c r="E264" s="59" t="s">
        <v>228</v>
      </c>
      <c r="F264" s="54"/>
      <c r="G264" s="29"/>
      <c r="H264" s="53">
        <v>0</v>
      </c>
      <c r="I264" s="53" t="s">
        <v>90</v>
      </c>
      <c r="M264" t="s">
        <v>581</v>
      </c>
    </row>
    <row r="265" spans="1:13" x14ac:dyDescent="0.25">
      <c r="A265">
        <v>0</v>
      </c>
      <c r="B265" s="33" t="s">
        <v>167</v>
      </c>
      <c r="C265" s="124" t="s">
        <v>119</v>
      </c>
      <c r="D265" s="144" t="s">
        <v>196</v>
      </c>
      <c r="E265" s="59" t="s">
        <v>195</v>
      </c>
      <c r="F265" s="54"/>
      <c r="G265" s="29"/>
      <c r="H265" s="53">
        <v>0</v>
      </c>
      <c r="I265" s="53" t="s">
        <v>90</v>
      </c>
      <c r="M265" t="s">
        <v>581</v>
      </c>
    </row>
    <row r="266" spans="1:13" x14ac:dyDescent="0.25">
      <c r="A266">
        <v>0</v>
      </c>
      <c r="B266" s="33" t="s">
        <v>167</v>
      </c>
      <c r="C266" s="124" t="s">
        <v>119</v>
      </c>
      <c r="D266" s="144" t="s">
        <v>211</v>
      </c>
      <c r="E266" s="59" t="s">
        <v>210</v>
      </c>
      <c r="F266" s="54"/>
      <c r="G266" s="29"/>
      <c r="H266" s="53">
        <v>0</v>
      </c>
      <c r="I266" s="53" t="s">
        <v>90</v>
      </c>
      <c r="M266" t="s">
        <v>581</v>
      </c>
    </row>
    <row r="267" spans="1:13" x14ac:dyDescent="0.25">
      <c r="A267">
        <v>0</v>
      </c>
      <c r="B267" s="33" t="s">
        <v>167</v>
      </c>
      <c r="C267" s="124" t="s">
        <v>119</v>
      </c>
      <c r="D267" s="144" t="s">
        <v>213</v>
      </c>
      <c r="E267" s="59" t="s">
        <v>212</v>
      </c>
      <c r="F267" s="54"/>
      <c r="G267" s="29"/>
      <c r="H267" s="53">
        <v>0</v>
      </c>
      <c r="I267" s="53" t="s">
        <v>90</v>
      </c>
      <c r="M267" t="s">
        <v>581</v>
      </c>
    </row>
    <row r="268" spans="1:13" x14ac:dyDescent="0.25">
      <c r="A268">
        <v>0</v>
      </c>
      <c r="B268" s="33" t="s">
        <v>167</v>
      </c>
      <c r="C268" s="124" t="s">
        <v>119</v>
      </c>
      <c r="D268" s="144" t="s">
        <v>223</v>
      </c>
      <c r="E268" s="59" t="s">
        <v>222</v>
      </c>
      <c r="F268" s="54"/>
      <c r="G268" s="29"/>
      <c r="H268" s="53">
        <v>0</v>
      </c>
      <c r="I268" s="53" t="s">
        <v>90</v>
      </c>
      <c r="M268" t="s">
        <v>581</v>
      </c>
    </row>
    <row r="269" spans="1:13" x14ac:dyDescent="0.25">
      <c r="A269">
        <v>0</v>
      </c>
      <c r="B269" s="33" t="s">
        <v>167</v>
      </c>
      <c r="C269" s="124" t="s">
        <v>119</v>
      </c>
      <c r="D269" s="144" t="s">
        <v>215</v>
      </c>
      <c r="E269" s="59" t="s">
        <v>214</v>
      </c>
      <c r="F269" s="54"/>
      <c r="G269" s="29"/>
      <c r="H269" s="53">
        <v>0</v>
      </c>
      <c r="I269" s="53" t="s">
        <v>90</v>
      </c>
      <c r="M269" t="s">
        <v>581</v>
      </c>
    </row>
    <row r="270" spans="1:13" x14ac:dyDescent="0.25">
      <c r="A270">
        <v>0</v>
      </c>
      <c r="B270" s="33" t="s">
        <v>167</v>
      </c>
      <c r="C270" s="124" t="s">
        <v>119</v>
      </c>
      <c r="D270" s="144" t="s">
        <v>217</v>
      </c>
      <c r="E270" s="59" t="s">
        <v>216</v>
      </c>
      <c r="F270" s="54"/>
      <c r="G270" s="29"/>
      <c r="H270" s="53">
        <v>0</v>
      </c>
      <c r="I270" s="53" t="s">
        <v>90</v>
      </c>
      <c r="M270" t="s">
        <v>581</v>
      </c>
    </row>
    <row r="271" spans="1:13" x14ac:dyDescent="0.25">
      <c r="A271">
        <v>0</v>
      </c>
      <c r="B271" s="33" t="s">
        <v>167</v>
      </c>
      <c r="C271" s="124" t="s">
        <v>119</v>
      </c>
      <c r="D271" s="144" t="s">
        <v>219</v>
      </c>
      <c r="E271" s="59" t="s">
        <v>218</v>
      </c>
      <c r="F271" s="54"/>
      <c r="G271" s="29"/>
      <c r="H271" s="53">
        <v>0</v>
      </c>
      <c r="I271" s="53" t="s">
        <v>90</v>
      </c>
      <c r="M271" t="s">
        <v>581</v>
      </c>
    </row>
    <row r="272" spans="1:13" x14ac:dyDescent="0.25">
      <c r="A272">
        <v>0</v>
      </c>
      <c r="B272" s="33" t="s">
        <v>167</v>
      </c>
      <c r="C272" s="124" t="s">
        <v>119</v>
      </c>
      <c r="D272" s="144" t="s">
        <v>227</v>
      </c>
      <c r="E272" s="59" t="s">
        <v>226</v>
      </c>
      <c r="F272" s="54"/>
      <c r="G272" s="29"/>
      <c r="H272" s="53">
        <v>0</v>
      </c>
      <c r="I272" s="53" t="s">
        <v>90</v>
      </c>
      <c r="M272" t="s">
        <v>581</v>
      </c>
    </row>
    <row r="273" spans="1:13" x14ac:dyDescent="0.25">
      <c r="A273">
        <v>0</v>
      </c>
      <c r="B273" s="33" t="s">
        <v>167</v>
      </c>
      <c r="C273" s="124" t="s">
        <v>119</v>
      </c>
      <c r="D273" s="144" t="s">
        <v>209</v>
      </c>
      <c r="E273" s="59" t="s">
        <v>208</v>
      </c>
      <c r="F273" s="54"/>
      <c r="G273" s="29"/>
      <c r="H273" s="53">
        <v>0</v>
      </c>
      <c r="I273" s="53" t="s">
        <v>90</v>
      </c>
      <c r="M273" t="s">
        <v>581</v>
      </c>
    </row>
    <row r="274" spans="1:13" x14ac:dyDescent="0.25">
      <c r="A274">
        <v>0</v>
      </c>
      <c r="B274" s="33" t="s">
        <v>167</v>
      </c>
      <c r="C274" s="124" t="s">
        <v>119</v>
      </c>
      <c r="D274" s="144" t="s">
        <v>221</v>
      </c>
      <c r="E274" s="59" t="s">
        <v>220</v>
      </c>
      <c r="F274" s="54"/>
      <c r="G274" s="29"/>
      <c r="H274" s="53">
        <v>0</v>
      </c>
      <c r="I274" s="53" t="s">
        <v>90</v>
      </c>
      <c r="M274" t="s">
        <v>581</v>
      </c>
    </row>
    <row r="275" spans="1:13" x14ac:dyDescent="0.25">
      <c r="A275">
        <v>0</v>
      </c>
      <c r="B275" s="33" t="s">
        <v>167</v>
      </c>
      <c r="C275" s="124" t="s">
        <v>119</v>
      </c>
      <c r="D275" s="144" t="s">
        <v>231</v>
      </c>
      <c r="E275" s="59" t="s">
        <v>230</v>
      </c>
      <c r="F275" s="54"/>
      <c r="G275" s="29"/>
      <c r="H275" s="53">
        <v>0</v>
      </c>
      <c r="I275" s="53" t="s">
        <v>90</v>
      </c>
      <c r="M275" t="s">
        <v>581</v>
      </c>
    </row>
    <row r="276" spans="1:13" x14ac:dyDescent="0.25">
      <c r="A276">
        <v>1199</v>
      </c>
      <c r="B276" s="33" t="s">
        <v>170</v>
      </c>
      <c r="C276" s="124" t="s">
        <v>130</v>
      </c>
      <c r="D276" s="144" t="s">
        <v>466</v>
      </c>
      <c r="E276" s="59" t="s">
        <v>482</v>
      </c>
      <c r="F276" s="54"/>
      <c r="G276" s="29"/>
      <c r="H276" s="53">
        <v>1199</v>
      </c>
      <c r="I276" s="53" t="s">
        <v>90</v>
      </c>
      <c r="M276" t="s">
        <v>581</v>
      </c>
    </row>
    <row r="277" spans="1:13" x14ac:dyDescent="0.25">
      <c r="A277">
        <v>0</v>
      </c>
      <c r="B277" s="33" t="s">
        <v>170</v>
      </c>
      <c r="C277" s="124" t="s">
        <v>130</v>
      </c>
      <c r="D277" s="144" t="s">
        <v>474</v>
      </c>
      <c r="E277" s="59" t="s">
        <v>475</v>
      </c>
      <c r="F277" s="54"/>
      <c r="G277" s="29"/>
      <c r="H277" s="53">
        <v>0</v>
      </c>
      <c r="I277" s="53" t="s">
        <v>90</v>
      </c>
      <c r="M277" t="s">
        <v>581</v>
      </c>
    </row>
    <row r="278" spans="1:13" x14ac:dyDescent="0.25">
      <c r="A278">
        <v>0</v>
      </c>
      <c r="B278" s="33" t="s">
        <v>170</v>
      </c>
      <c r="C278" s="124" t="s">
        <v>130</v>
      </c>
      <c r="D278" s="144" t="s">
        <v>476</v>
      </c>
      <c r="E278" s="59" t="s">
        <v>477</v>
      </c>
      <c r="F278" s="54"/>
      <c r="G278" s="29"/>
      <c r="H278" s="53">
        <v>0</v>
      </c>
      <c r="I278" s="53" t="s">
        <v>90</v>
      </c>
      <c r="M278" t="s">
        <v>581</v>
      </c>
    </row>
    <row r="279" spans="1:13" x14ac:dyDescent="0.25">
      <c r="A279">
        <v>0</v>
      </c>
      <c r="B279" s="33" t="s">
        <v>170</v>
      </c>
      <c r="C279" s="124" t="s">
        <v>130</v>
      </c>
      <c r="D279" s="144" t="s">
        <v>480</v>
      </c>
      <c r="E279" s="59" t="s">
        <v>481</v>
      </c>
      <c r="F279" s="54"/>
      <c r="G279" s="29"/>
      <c r="H279" s="53">
        <v>0</v>
      </c>
      <c r="I279" s="53" t="s">
        <v>90</v>
      </c>
      <c r="M279" t="s">
        <v>581</v>
      </c>
    </row>
    <row r="280" spans="1:13" x14ac:dyDescent="0.25">
      <c r="A280">
        <v>9414</v>
      </c>
      <c r="B280" s="33" t="s">
        <v>170</v>
      </c>
      <c r="C280" s="124" t="s">
        <v>130</v>
      </c>
      <c r="D280" s="144" t="s">
        <v>470</v>
      </c>
      <c r="E280" s="59" t="s">
        <v>471</v>
      </c>
      <c r="F280" s="54"/>
      <c r="G280" s="29"/>
      <c r="H280" s="53">
        <v>9414</v>
      </c>
      <c r="I280" s="53" t="s">
        <v>90</v>
      </c>
      <c r="M280" t="s">
        <v>581</v>
      </c>
    </row>
    <row r="281" spans="1:13" x14ac:dyDescent="0.25">
      <c r="A281">
        <v>0</v>
      </c>
      <c r="B281" s="33" t="s">
        <v>170</v>
      </c>
      <c r="C281" s="124" t="s">
        <v>130</v>
      </c>
      <c r="D281" s="144" t="s">
        <v>472</v>
      </c>
      <c r="E281" s="59" t="s">
        <v>473</v>
      </c>
      <c r="F281" s="54"/>
      <c r="G281" s="29"/>
      <c r="H281" s="53">
        <v>0</v>
      </c>
      <c r="I281" s="53" t="s">
        <v>90</v>
      </c>
      <c r="M281" t="s">
        <v>581</v>
      </c>
    </row>
    <row r="282" spans="1:13" ht="28.5" x14ac:dyDescent="0.25">
      <c r="A282">
        <v>0</v>
      </c>
      <c r="B282" s="33" t="s">
        <v>170</v>
      </c>
      <c r="C282" s="124" t="s">
        <v>130</v>
      </c>
      <c r="D282" s="144" t="s">
        <v>478</v>
      </c>
      <c r="E282" s="59" t="s">
        <v>479</v>
      </c>
      <c r="F282" s="54"/>
      <c r="G282" s="29"/>
      <c r="H282" s="53">
        <v>0</v>
      </c>
      <c r="I282" s="53" t="s">
        <v>90</v>
      </c>
      <c r="M282" t="s">
        <v>581</v>
      </c>
    </row>
    <row r="283" spans="1:13" x14ac:dyDescent="0.25">
      <c r="A283">
        <v>976</v>
      </c>
      <c r="B283" s="33" t="s">
        <v>170</v>
      </c>
      <c r="C283" s="124" t="s">
        <v>130</v>
      </c>
      <c r="D283" s="144" t="s">
        <v>468</v>
      </c>
      <c r="E283" s="59" t="s">
        <v>469</v>
      </c>
      <c r="F283" s="54"/>
      <c r="G283" s="29"/>
      <c r="H283" s="53">
        <v>976</v>
      </c>
      <c r="I283" s="53" t="s">
        <v>90</v>
      </c>
      <c r="M283" t="s">
        <v>581</v>
      </c>
    </row>
    <row r="284" spans="1:13" x14ac:dyDescent="0.25">
      <c r="A284">
        <v>220</v>
      </c>
      <c r="B284" s="33" t="s">
        <v>173</v>
      </c>
      <c r="C284" s="124" t="s">
        <v>134</v>
      </c>
      <c r="D284" s="144" t="s">
        <v>536</v>
      </c>
      <c r="E284" s="59" t="s">
        <v>537</v>
      </c>
      <c r="F284" s="54"/>
      <c r="G284" s="29"/>
      <c r="H284" s="53">
        <v>220</v>
      </c>
      <c r="I284" s="53" t="s">
        <v>90</v>
      </c>
      <c r="M284" t="s">
        <v>581</v>
      </c>
    </row>
    <row r="285" spans="1:13" x14ac:dyDescent="0.25">
      <c r="A285">
        <v>0</v>
      </c>
      <c r="B285" s="33" t="s">
        <v>173</v>
      </c>
      <c r="C285" s="124" t="s">
        <v>134</v>
      </c>
      <c r="D285" s="144" t="s">
        <v>530</v>
      </c>
      <c r="E285" s="59" t="s">
        <v>531</v>
      </c>
      <c r="F285" s="54"/>
      <c r="G285" s="29"/>
      <c r="H285" s="53">
        <v>0</v>
      </c>
      <c r="I285" s="53" t="s">
        <v>90</v>
      </c>
      <c r="M285" t="s">
        <v>581</v>
      </c>
    </row>
    <row r="286" spans="1:13" x14ac:dyDescent="0.25">
      <c r="A286">
        <v>0</v>
      </c>
      <c r="B286" s="33" t="s">
        <v>173</v>
      </c>
      <c r="C286" s="124" t="s">
        <v>134</v>
      </c>
      <c r="D286" s="144" t="s">
        <v>534</v>
      </c>
      <c r="E286" s="59" t="s">
        <v>535</v>
      </c>
      <c r="F286" s="54"/>
      <c r="G286" s="29"/>
      <c r="H286" s="53">
        <v>0</v>
      </c>
      <c r="I286" s="53" t="s">
        <v>90</v>
      </c>
      <c r="M286" t="s">
        <v>581</v>
      </c>
    </row>
    <row r="287" spans="1:13" x14ac:dyDescent="0.25">
      <c r="A287">
        <v>0</v>
      </c>
      <c r="B287" s="33" t="s">
        <v>173</v>
      </c>
      <c r="C287" s="124" t="s">
        <v>134</v>
      </c>
      <c r="D287" s="144" t="s">
        <v>528</v>
      </c>
      <c r="E287" s="59" t="s">
        <v>529</v>
      </c>
      <c r="F287" s="54"/>
      <c r="G287" s="29"/>
      <c r="H287" s="53">
        <v>0</v>
      </c>
      <c r="I287" s="53" t="s">
        <v>90</v>
      </c>
      <c r="M287" t="s">
        <v>581</v>
      </c>
    </row>
    <row r="288" spans="1:13" x14ac:dyDescent="0.25">
      <c r="A288">
        <v>844</v>
      </c>
      <c r="B288" s="33" t="s">
        <v>173</v>
      </c>
      <c r="C288" s="124" t="s">
        <v>134</v>
      </c>
      <c r="D288" s="144" t="s">
        <v>532</v>
      </c>
      <c r="E288" s="59" t="s">
        <v>533</v>
      </c>
      <c r="F288" s="54"/>
      <c r="G288" s="29"/>
      <c r="H288" s="53">
        <v>844</v>
      </c>
      <c r="I288" s="53" t="s">
        <v>90</v>
      </c>
      <c r="M288" t="s">
        <v>581</v>
      </c>
    </row>
    <row r="289" spans="1:13" x14ac:dyDescent="0.25">
      <c r="A289">
        <v>0</v>
      </c>
      <c r="B289" s="33" t="s">
        <v>173</v>
      </c>
      <c r="C289" s="124" t="s">
        <v>134</v>
      </c>
      <c r="D289" s="144" t="s">
        <v>526</v>
      </c>
      <c r="E289" s="59" t="s">
        <v>527</v>
      </c>
      <c r="F289" s="54"/>
      <c r="G289" s="29"/>
      <c r="H289" s="53">
        <v>0</v>
      </c>
      <c r="I289" s="53" t="s">
        <v>90</v>
      </c>
      <c r="M289" t="s">
        <v>581</v>
      </c>
    </row>
    <row r="290" spans="1:13" x14ac:dyDescent="0.25">
      <c r="A290">
        <v>44</v>
      </c>
      <c r="B290" s="33" t="s">
        <v>173</v>
      </c>
      <c r="C290" s="124" t="s">
        <v>134</v>
      </c>
      <c r="D290" s="144" t="s">
        <v>538</v>
      </c>
      <c r="E290" s="59" t="s">
        <v>539</v>
      </c>
      <c r="F290" s="54"/>
      <c r="G290" s="29"/>
      <c r="H290" s="53">
        <v>44</v>
      </c>
      <c r="I290" s="53" t="s">
        <v>90</v>
      </c>
      <c r="M290" t="s">
        <v>581</v>
      </c>
    </row>
    <row r="291" spans="1:13" x14ac:dyDescent="0.25">
      <c r="A291">
        <v>0</v>
      </c>
      <c r="B291" s="33" t="s">
        <v>176</v>
      </c>
      <c r="C291" s="124" t="s">
        <v>127</v>
      </c>
      <c r="D291" s="144" t="s">
        <v>420</v>
      </c>
      <c r="E291" s="59" t="s">
        <v>421</v>
      </c>
      <c r="F291" s="54"/>
      <c r="G291" s="29"/>
      <c r="H291" s="53">
        <v>0</v>
      </c>
      <c r="I291" s="53" t="s">
        <v>90</v>
      </c>
      <c r="M291" t="s">
        <v>581</v>
      </c>
    </row>
    <row r="292" spans="1:13" x14ac:dyDescent="0.25">
      <c r="A292">
        <v>0</v>
      </c>
      <c r="B292" s="33" t="s">
        <v>176</v>
      </c>
      <c r="C292" s="124" t="s">
        <v>127</v>
      </c>
      <c r="D292" s="144" t="s">
        <v>414</v>
      </c>
      <c r="E292" s="59" t="s">
        <v>415</v>
      </c>
      <c r="F292" s="54"/>
      <c r="G292" s="29"/>
      <c r="H292" s="53">
        <v>0</v>
      </c>
      <c r="I292" s="53" t="s">
        <v>90</v>
      </c>
      <c r="M292" t="s">
        <v>581</v>
      </c>
    </row>
    <row r="293" spans="1:13" x14ac:dyDescent="0.25">
      <c r="A293">
        <v>0</v>
      </c>
      <c r="B293" s="33" t="s">
        <v>176</v>
      </c>
      <c r="C293" s="124" t="s">
        <v>127</v>
      </c>
      <c r="D293" s="144" t="s">
        <v>402</v>
      </c>
      <c r="E293" s="59" t="s">
        <v>403</v>
      </c>
      <c r="F293" s="54"/>
      <c r="G293" s="29"/>
      <c r="H293" s="53">
        <v>0</v>
      </c>
      <c r="I293" s="53" t="s">
        <v>90</v>
      </c>
      <c r="M293" t="s">
        <v>581</v>
      </c>
    </row>
    <row r="294" spans="1:13" x14ac:dyDescent="0.25">
      <c r="A294">
        <v>0</v>
      </c>
      <c r="B294" s="33" t="s">
        <v>176</v>
      </c>
      <c r="C294" s="124" t="s">
        <v>127</v>
      </c>
      <c r="D294" s="144" t="s">
        <v>408</v>
      </c>
      <c r="E294" s="59" t="s">
        <v>409</v>
      </c>
      <c r="F294" s="54"/>
      <c r="G294" s="29"/>
      <c r="H294" s="53">
        <v>0</v>
      </c>
      <c r="I294" s="53" t="s">
        <v>90</v>
      </c>
      <c r="M294" t="s">
        <v>581</v>
      </c>
    </row>
    <row r="295" spans="1:13" x14ac:dyDescent="0.25">
      <c r="A295">
        <v>0</v>
      </c>
      <c r="B295" s="33" t="s">
        <v>176</v>
      </c>
      <c r="C295" s="124" t="s">
        <v>127</v>
      </c>
      <c r="D295" s="144" t="s">
        <v>416</v>
      </c>
      <c r="E295" s="59" t="s">
        <v>417</v>
      </c>
      <c r="F295" s="54"/>
      <c r="G295" s="29"/>
      <c r="H295" s="53">
        <v>0</v>
      </c>
      <c r="I295" s="53" t="s">
        <v>90</v>
      </c>
      <c r="M295" t="s">
        <v>581</v>
      </c>
    </row>
    <row r="296" spans="1:13" ht="28.5" x14ac:dyDescent="0.25">
      <c r="A296">
        <v>0</v>
      </c>
      <c r="B296" s="33" t="s">
        <v>176</v>
      </c>
      <c r="C296" s="124" t="s">
        <v>127</v>
      </c>
      <c r="D296" s="144" t="s">
        <v>410</v>
      </c>
      <c r="E296" s="59" t="s">
        <v>411</v>
      </c>
      <c r="F296" s="54"/>
      <c r="G296" s="29"/>
      <c r="H296" s="53">
        <v>0</v>
      </c>
      <c r="I296" s="53" t="s">
        <v>90</v>
      </c>
      <c r="M296" t="s">
        <v>581</v>
      </c>
    </row>
    <row r="297" spans="1:13" x14ac:dyDescent="0.25">
      <c r="A297">
        <v>21324</v>
      </c>
      <c r="B297" s="33" t="s">
        <v>176</v>
      </c>
      <c r="C297" s="124" t="s">
        <v>127</v>
      </c>
      <c r="D297" s="144" t="s">
        <v>404</v>
      </c>
      <c r="E297" s="59" t="s">
        <v>405</v>
      </c>
      <c r="F297" s="54"/>
      <c r="G297" s="29"/>
      <c r="H297" s="53">
        <v>21324</v>
      </c>
      <c r="I297" s="53" t="s">
        <v>90</v>
      </c>
      <c r="M297" t="s">
        <v>581</v>
      </c>
    </row>
    <row r="298" spans="1:13" x14ac:dyDescent="0.25">
      <c r="A298">
        <v>1005</v>
      </c>
      <c r="B298" s="33" t="s">
        <v>176</v>
      </c>
      <c r="C298" s="124" t="s">
        <v>127</v>
      </c>
      <c r="D298" s="144" t="s">
        <v>412</v>
      </c>
      <c r="E298" s="59" t="s">
        <v>413</v>
      </c>
      <c r="F298" s="54"/>
      <c r="G298" s="29"/>
      <c r="H298" s="53">
        <v>1005</v>
      </c>
      <c r="I298" s="53" t="s">
        <v>90</v>
      </c>
      <c r="M298" t="s">
        <v>581</v>
      </c>
    </row>
    <row r="299" spans="1:13" x14ac:dyDescent="0.25">
      <c r="A299">
        <v>68</v>
      </c>
      <c r="B299" s="33" t="s">
        <v>176</v>
      </c>
      <c r="C299" s="124" t="s">
        <v>127</v>
      </c>
      <c r="D299" s="144" t="s">
        <v>418</v>
      </c>
      <c r="E299" s="59" t="s">
        <v>419</v>
      </c>
      <c r="F299" s="54"/>
      <c r="G299" s="29"/>
      <c r="H299" s="53">
        <v>68</v>
      </c>
      <c r="I299" s="53" t="s">
        <v>90</v>
      </c>
      <c r="M299" t="s">
        <v>581</v>
      </c>
    </row>
    <row r="300" spans="1:13" x14ac:dyDescent="0.25">
      <c r="A300">
        <v>32</v>
      </c>
      <c r="B300" s="33" t="s">
        <v>176</v>
      </c>
      <c r="C300" s="124" t="s">
        <v>127</v>
      </c>
      <c r="D300" s="144" t="s">
        <v>406</v>
      </c>
      <c r="E300" s="59" t="s">
        <v>407</v>
      </c>
      <c r="F300" s="54"/>
      <c r="G300" s="29"/>
      <c r="H300" s="53">
        <v>32</v>
      </c>
      <c r="I300" s="53" t="s">
        <v>90</v>
      </c>
      <c r="M300" t="s">
        <v>581</v>
      </c>
    </row>
    <row r="301" spans="1:13" x14ac:dyDescent="0.25">
      <c r="A301">
        <v>0</v>
      </c>
      <c r="B301" s="33" t="s">
        <v>179</v>
      </c>
      <c r="C301" s="124" t="s">
        <v>133</v>
      </c>
      <c r="D301" s="144" t="s">
        <v>512</v>
      </c>
      <c r="E301" s="59" t="s">
        <v>513</v>
      </c>
      <c r="F301" s="54"/>
      <c r="G301" s="29"/>
      <c r="H301" s="53">
        <v>0</v>
      </c>
      <c r="I301" s="53" t="s">
        <v>90</v>
      </c>
      <c r="M301" t="s">
        <v>581</v>
      </c>
    </row>
    <row r="302" spans="1:13" x14ac:dyDescent="0.25">
      <c r="A302">
        <v>0</v>
      </c>
      <c r="B302" s="33" t="s">
        <v>179</v>
      </c>
      <c r="C302" s="124" t="s">
        <v>133</v>
      </c>
      <c r="D302" s="144" t="s">
        <v>518</v>
      </c>
      <c r="E302" s="59" t="s">
        <v>519</v>
      </c>
      <c r="F302" s="54"/>
      <c r="G302" s="29"/>
      <c r="H302" s="53">
        <v>0</v>
      </c>
      <c r="I302" s="53" t="s">
        <v>90</v>
      </c>
      <c r="M302" t="s">
        <v>581</v>
      </c>
    </row>
    <row r="303" spans="1:13" x14ac:dyDescent="0.25">
      <c r="A303">
        <v>0</v>
      </c>
      <c r="B303" s="33" t="s">
        <v>179</v>
      </c>
      <c r="C303" s="124" t="s">
        <v>133</v>
      </c>
      <c r="D303" s="144" t="s">
        <v>524</v>
      </c>
      <c r="E303" s="59" t="s">
        <v>525</v>
      </c>
      <c r="F303" s="54"/>
      <c r="G303" s="29"/>
      <c r="H303" s="53">
        <v>0</v>
      </c>
      <c r="I303" s="53" t="s">
        <v>90</v>
      </c>
      <c r="M303" t="s">
        <v>581</v>
      </c>
    </row>
    <row r="304" spans="1:13" x14ac:dyDescent="0.25">
      <c r="A304">
        <v>0</v>
      </c>
      <c r="B304" s="33" t="s">
        <v>179</v>
      </c>
      <c r="C304" s="124" t="s">
        <v>133</v>
      </c>
      <c r="D304" s="144" t="s">
        <v>514</v>
      </c>
      <c r="E304" s="59" t="s">
        <v>515</v>
      </c>
      <c r="F304" s="54"/>
      <c r="G304" s="29"/>
      <c r="H304" s="53">
        <v>0</v>
      </c>
      <c r="I304" s="53" t="s">
        <v>90</v>
      </c>
      <c r="M304" t="s">
        <v>581</v>
      </c>
    </row>
    <row r="305" spans="1:13" x14ac:dyDescent="0.25">
      <c r="A305">
        <v>1506</v>
      </c>
      <c r="B305" s="33" t="s">
        <v>179</v>
      </c>
      <c r="C305" s="124" t="s">
        <v>133</v>
      </c>
      <c r="D305" s="144" t="s">
        <v>520</v>
      </c>
      <c r="E305" s="59" t="s">
        <v>521</v>
      </c>
      <c r="F305" s="54"/>
      <c r="G305" s="29"/>
      <c r="H305" s="53">
        <v>1506</v>
      </c>
      <c r="I305" s="53" t="s">
        <v>90</v>
      </c>
      <c r="M305" t="s">
        <v>581</v>
      </c>
    </row>
    <row r="306" spans="1:13" x14ac:dyDescent="0.25">
      <c r="A306">
        <v>1130</v>
      </c>
      <c r="B306" s="33" t="s">
        <v>179</v>
      </c>
      <c r="C306" s="124" t="s">
        <v>133</v>
      </c>
      <c r="D306" s="144" t="s">
        <v>522</v>
      </c>
      <c r="E306" s="59" t="s">
        <v>523</v>
      </c>
      <c r="F306" s="54"/>
      <c r="G306" s="29"/>
      <c r="H306" s="53">
        <v>1130</v>
      </c>
      <c r="I306" s="53" t="s">
        <v>90</v>
      </c>
      <c r="M306" t="s">
        <v>581</v>
      </c>
    </row>
    <row r="307" spans="1:13" x14ac:dyDescent="0.25">
      <c r="A307">
        <v>1130</v>
      </c>
      <c r="B307" s="33" t="s">
        <v>179</v>
      </c>
      <c r="C307" s="124" t="s">
        <v>133</v>
      </c>
      <c r="D307" s="144" t="s">
        <v>516</v>
      </c>
      <c r="E307" s="59" t="s">
        <v>517</v>
      </c>
      <c r="F307" s="54"/>
      <c r="G307" s="29"/>
      <c r="H307" s="53">
        <v>1130</v>
      </c>
      <c r="I307" s="53" t="s">
        <v>90</v>
      </c>
      <c r="M307" t="s">
        <v>581</v>
      </c>
    </row>
    <row r="308" spans="1:13" x14ac:dyDescent="0.25">
      <c r="A308">
        <v>0</v>
      </c>
      <c r="B308" s="33" t="s">
        <v>182</v>
      </c>
      <c r="C308" s="124" t="s">
        <v>131</v>
      </c>
      <c r="D308" s="144" t="s">
        <v>483</v>
      </c>
      <c r="E308" s="59" t="s">
        <v>484</v>
      </c>
      <c r="F308" s="54"/>
      <c r="G308" s="29"/>
      <c r="H308" s="53">
        <v>0</v>
      </c>
      <c r="I308" s="53" t="s">
        <v>90</v>
      </c>
      <c r="M308" t="s">
        <v>581</v>
      </c>
    </row>
    <row r="309" spans="1:13" x14ac:dyDescent="0.25">
      <c r="A309">
        <v>0</v>
      </c>
      <c r="B309" s="33" t="s">
        <v>182</v>
      </c>
      <c r="C309" s="124" t="s">
        <v>131</v>
      </c>
      <c r="D309" s="144" t="s">
        <v>486</v>
      </c>
      <c r="E309" s="59" t="s">
        <v>487</v>
      </c>
      <c r="F309" s="54"/>
      <c r="G309" s="29"/>
      <c r="H309" s="53">
        <v>0</v>
      </c>
      <c r="I309" s="53" t="s">
        <v>90</v>
      </c>
      <c r="M309" t="s">
        <v>581</v>
      </c>
    </row>
    <row r="310" spans="1:13" x14ac:dyDescent="0.25">
      <c r="A310">
        <v>9808</v>
      </c>
      <c r="B310" s="33" t="s">
        <v>182</v>
      </c>
      <c r="C310" s="124" t="s">
        <v>131</v>
      </c>
      <c r="D310" s="144" t="s">
        <v>488</v>
      </c>
      <c r="E310" s="59" t="s">
        <v>489</v>
      </c>
      <c r="F310" s="54"/>
      <c r="G310" s="29"/>
      <c r="H310" s="53">
        <v>9808</v>
      </c>
      <c r="I310" s="53" t="s">
        <v>90</v>
      </c>
      <c r="M310" t="s">
        <v>581</v>
      </c>
    </row>
    <row r="311" spans="1:13" x14ac:dyDescent="0.25">
      <c r="A311">
        <v>0</v>
      </c>
      <c r="B311" s="33" t="s">
        <v>182</v>
      </c>
      <c r="C311" s="124" t="s">
        <v>131</v>
      </c>
      <c r="D311" s="144" t="s">
        <v>490</v>
      </c>
      <c r="E311" s="59" t="s">
        <v>491</v>
      </c>
      <c r="F311" s="54"/>
      <c r="G311" s="29"/>
      <c r="H311" s="53">
        <v>0</v>
      </c>
      <c r="I311" s="53" t="s">
        <v>90</v>
      </c>
      <c r="M311" t="s">
        <v>581</v>
      </c>
    </row>
    <row r="312" spans="1:13" x14ac:dyDescent="0.25">
      <c r="A312">
        <v>28</v>
      </c>
      <c r="B312" s="33" t="s">
        <v>182</v>
      </c>
      <c r="C312" s="124" t="s">
        <v>131</v>
      </c>
      <c r="D312" s="144" t="s">
        <v>182</v>
      </c>
      <c r="E312" s="59" t="s">
        <v>485</v>
      </c>
      <c r="F312" s="54"/>
      <c r="G312" s="29"/>
      <c r="H312" s="53">
        <v>28</v>
      </c>
      <c r="I312" s="53" t="s">
        <v>90</v>
      </c>
      <c r="M312" t="s">
        <v>581</v>
      </c>
    </row>
    <row r="313" spans="1:13" x14ac:dyDescent="0.25">
      <c r="A313">
        <v>0</v>
      </c>
      <c r="B313" s="33" t="s">
        <v>182</v>
      </c>
      <c r="C313" s="124" t="s">
        <v>131</v>
      </c>
      <c r="D313" s="144" t="s">
        <v>492</v>
      </c>
      <c r="E313" s="59" t="s">
        <v>493</v>
      </c>
      <c r="F313" s="54"/>
      <c r="G313" s="29"/>
      <c r="H313" s="53">
        <v>0</v>
      </c>
      <c r="I313" s="53" t="s">
        <v>90</v>
      </c>
      <c r="M313" t="s">
        <v>581</v>
      </c>
    </row>
    <row r="314" spans="1:13" x14ac:dyDescent="0.25">
      <c r="A314">
        <v>9</v>
      </c>
      <c r="B314" s="33" t="s">
        <v>182</v>
      </c>
      <c r="C314" s="124" t="s">
        <v>131</v>
      </c>
      <c r="D314" s="144" t="s">
        <v>494</v>
      </c>
      <c r="E314" s="59" t="s">
        <v>495</v>
      </c>
      <c r="F314" s="54"/>
      <c r="G314" s="29"/>
      <c r="H314" s="53">
        <v>9</v>
      </c>
      <c r="I314" s="53" t="s">
        <v>90</v>
      </c>
      <c r="M314" t="s">
        <v>581</v>
      </c>
    </row>
    <row r="315" spans="1:13" x14ac:dyDescent="0.25">
      <c r="A315">
        <v>16268</v>
      </c>
      <c r="B315" s="33" t="s">
        <v>185</v>
      </c>
      <c r="C315" s="124" t="s">
        <v>120</v>
      </c>
      <c r="D315" s="144" t="s">
        <v>233</v>
      </c>
      <c r="E315" s="59" t="s">
        <v>232</v>
      </c>
      <c r="F315" s="54"/>
      <c r="G315" s="29"/>
      <c r="H315" s="53">
        <v>16268</v>
      </c>
      <c r="I315" s="53" t="s">
        <v>90</v>
      </c>
      <c r="M315" t="s">
        <v>581</v>
      </c>
    </row>
    <row r="316" spans="1:13" x14ac:dyDescent="0.25">
      <c r="A316">
        <v>0</v>
      </c>
      <c r="B316" s="33" t="s">
        <v>185</v>
      </c>
      <c r="C316" s="124" t="s">
        <v>120</v>
      </c>
      <c r="D316" s="144" t="s">
        <v>247</v>
      </c>
      <c r="E316" s="59" t="s">
        <v>246</v>
      </c>
      <c r="F316" s="54"/>
      <c r="G316" s="29"/>
      <c r="H316" s="53">
        <v>0</v>
      </c>
      <c r="I316" s="53" t="s">
        <v>90</v>
      </c>
      <c r="M316" t="s">
        <v>581</v>
      </c>
    </row>
    <row r="317" spans="1:13" x14ac:dyDescent="0.25">
      <c r="A317">
        <v>1261</v>
      </c>
      <c r="B317" s="33" t="s">
        <v>185</v>
      </c>
      <c r="C317" s="124" t="s">
        <v>120</v>
      </c>
      <c r="D317" s="144" t="s">
        <v>269</v>
      </c>
      <c r="E317" s="59" t="s">
        <v>268</v>
      </c>
      <c r="F317" s="54"/>
      <c r="G317" s="29"/>
      <c r="H317" s="53">
        <v>1261</v>
      </c>
      <c r="I317" s="53" t="s">
        <v>90</v>
      </c>
      <c r="M317" t="s">
        <v>581</v>
      </c>
    </row>
    <row r="318" spans="1:13" x14ac:dyDescent="0.25">
      <c r="A318">
        <v>0</v>
      </c>
      <c r="B318" s="33" t="s">
        <v>185</v>
      </c>
      <c r="C318" s="124" t="s">
        <v>120</v>
      </c>
      <c r="D318" s="144" t="s">
        <v>255</v>
      </c>
      <c r="E318" s="59" t="s">
        <v>254</v>
      </c>
      <c r="F318" s="54"/>
      <c r="G318" s="29"/>
      <c r="H318" s="53">
        <v>0</v>
      </c>
      <c r="I318" s="53" t="s">
        <v>90</v>
      </c>
      <c r="M318" t="s">
        <v>581</v>
      </c>
    </row>
    <row r="319" spans="1:13" x14ac:dyDescent="0.25">
      <c r="A319">
        <v>6408</v>
      </c>
      <c r="B319" s="33" t="s">
        <v>185</v>
      </c>
      <c r="C319" s="124" t="s">
        <v>120</v>
      </c>
      <c r="D319" s="144" t="s">
        <v>265</v>
      </c>
      <c r="E319" s="59" t="s">
        <v>264</v>
      </c>
      <c r="F319" s="54"/>
      <c r="G319" s="29"/>
      <c r="H319" s="53">
        <v>6408</v>
      </c>
      <c r="I319" s="53" t="s">
        <v>90</v>
      </c>
      <c r="M319" t="s">
        <v>581</v>
      </c>
    </row>
    <row r="320" spans="1:13" x14ac:dyDescent="0.25">
      <c r="A320">
        <v>692</v>
      </c>
      <c r="B320" s="33" t="s">
        <v>185</v>
      </c>
      <c r="C320" s="124" t="s">
        <v>120</v>
      </c>
      <c r="D320" s="144" t="s">
        <v>263</v>
      </c>
      <c r="E320" s="59" t="s">
        <v>262</v>
      </c>
      <c r="F320" s="54"/>
      <c r="G320" s="29"/>
      <c r="H320" s="53">
        <v>692</v>
      </c>
      <c r="I320" s="53" t="s">
        <v>90</v>
      </c>
      <c r="M320" t="s">
        <v>581</v>
      </c>
    </row>
    <row r="321" spans="1:13" x14ac:dyDescent="0.25">
      <c r="A321">
        <v>2046</v>
      </c>
      <c r="B321" s="33" t="s">
        <v>185</v>
      </c>
      <c r="C321" s="124" t="s">
        <v>120</v>
      </c>
      <c r="D321" s="144" t="s">
        <v>273</v>
      </c>
      <c r="E321" s="59" t="s">
        <v>272</v>
      </c>
      <c r="F321" s="54"/>
      <c r="G321" s="29"/>
      <c r="H321" s="53">
        <v>2046</v>
      </c>
      <c r="I321" s="53" t="s">
        <v>90</v>
      </c>
      <c r="M321" t="s">
        <v>581</v>
      </c>
    </row>
    <row r="322" spans="1:13" x14ac:dyDescent="0.25">
      <c r="A322">
        <v>0</v>
      </c>
      <c r="B322" s="33" t="s">
        <v>185</v>
      </c>
      <c r="C322" s="124" t="s">
        <v>120</v>
      </c>
      <c r="D322" s="144" t="s">
        <v>235</v>
      </c>
      <c r="E322" s="59" t="s">
        <v>234</v>
      </c>
      <c r="F322" s="54"/>
      <c r="G322" s="29"/>
      <c r="H322" s="53">
        <v>0</v>
      </c>
      <c r="I322" s="53" t="s">
        <v>90</v>
      </c>
      <c r="M322" t="s">
        <v>581</v>
      </c>
    </row>
    <row r="323" spans="1:13" x14ac:dyDescent="0.25">
      <c r="A323">
        <v>0</v>
      </c>
      <c r="B323" s="33" t="s">
        <v>185</v>
      </c>
      <c r="C323" s="124" t="s">
        <v>120</v>
      </c>
      <c r="D323" s="144" t="s">
        <v>251</v>
      </c>
      <c r="E323" s="59" t="s">
        <v>250</v>
      </c>
      <c r="F323" s="54"/>
      <c r="G323" s="29"/>
      <c r="H323" s="53">
        <v>0</v>
      </c>
      <c r="I323" s="53" t="s">
        <v>90</v>
      </c>
      <c r="M323" t="s">
        <v>581</v>
      </c>
    </row>
    <row r="324" spans="1:13" x14ac:dyDescent="0.25">
      <c r="A324">
        <v>0</v>
      </c>
      <c r="B324" s="33" t="s">
        <v>185</v>
      </c>
      <c r="C324" s="124" t="s">
        <v>120</v>
      </c>
      <c r="D324" s="144" t="s">
        <v>237</v>
      </c>
      <c r="E324" s="59" t="s">
        <v>236</v>
      </c>
      <c r="F324" s="54"/>
      <c r="G324" s="29"/>
      <c r="H324" s="53">
        <v>0</v>
      </c>
      <c r="I324" s="53" t="s">
        <v>90</v>
      </c>
      <c r="M324" t="s">
        <v>581</v>
      </c>
    </row>
    <row r="325" spans="1:13" x14ac:dyDescent="0.25">
      <c r="A325">
        <v>0</v>
      </c>
      <c r="B325" s="33" t="s">
        <v>185</v>
      </c>
      <c r="C325" s="124" t="s">
        <v>120</v>
      </c>
      <c r="D325" s="144" t="s">
        <v>261</v>
      </c>
      <c r="E325" s="59" t="s">
        <v>260</v>
      </c>
      <c r="F325" s="54"/>
      <c r="G325" s="29"/>
      <c r="H325" s="53">
        <v>0</v>
      </c>
      <c r="I325" s="53" t="s">
        <v>90</v>
      </c>
      <c r="M325" t="s">
        <v>581</v>
      </c>
    </row>
    <row r="326" spans="1:13" x14ac:dyDescent="0.25">
      <c r="A326">
        <v>0</v>
      </c>
      <c r="B326" s="33" t="s">
        <v>185</v>
      </c>
      <c r="C326" s="124" t="s">
        <v>120</v>
      </c>
      <c r="D326" s="144" t="s">
        <v>257</v>
      </c>
      <c r="E326" s="59" t="s">
        <v>256</v>
      </c>
      <c r="F326" s="54"/>
      <c r="G326" s="29"/>
      <c r="H326" s="53">
        <v>0</v>
      </c>
      <c r="I326" s="53" t="s">
        <v>90</v>
      </c>
      <c r="M326" t="s">
        <v>581</v>
      </c>
    </row>
    <row r="327" spans="1:13" x14ac:dyDescent="0.25">
      <c r="A327">
        <v>0</v>
      </c>
      <c r="B327" s="33" t="s">
        <v>185</v>
      </c>
      <c r="C327" s="124" t="s">
        <v>120</v>
      </c>
      <c r="D327" s="144" t="s">
        <v>239</v>
      </c>
      <c r="E327" s="59" t="s">
        <v>238</v>
      </c>
      <c r="F327" s="54"/>
      <c r="G327" s="29"/>
      <c r="H327" s="53">
        <v>0</v>
      </c>
      <c r="I327" s="53" t="s">
        <v>90</v>
      </c>
      <c r="M327" t="s">
        <v>581</v>
      </c>
    </row>
    <row r="328" spans="1:13" x14ac:dyDescent="0.25">
      <c r="A328">
        <v>0</v>
      </c>
      <c r="B328" s="33" t="s">
        <v>185</v>
      </c>
      <c r="C328" s="124" t="s">
        <v>120</v>
      </c>
      <c r="D328" s="144" t="s">
        <v>249</v>
      </c>
      <c r="E328" s="59" t="s">
        <v>248</v>
      </c>
      <c r="F328" s="54"/>
      <c r="G328" s="29"/>
      <c r="H328" s="53">
        <v>0</v>
      </c>
      <c r="I328" s="53" t="s">
        <v>90</v>
      </c>
      <c r="M328" t="s">
        <v>581</v>
      </c>
    </row>
    <row r="329" spans="1:13" x14ac:dyDescent="0.25">
      <c r="A329">
        <v>5307</v>
      </c>
      <c r="B329" s="33" t="s">
        <v>185</v>
      </c>
      <c r="C329" s="124" t="s">
        <v>120</v>
      </c>
      <c r="D329" s="144" t="s">
        <v>271</v>
      </c>
      <c r="E329" s="59" t="s">
        <v>270</v>
      </c>
      <c r="F329" s="54"/>
      <c r="G329" s="29"/>
      <c r="H329" s="53">
        <v>5307</v>
      </c>
      <c r="I329" s="53" t="s">
        <v>90</v>
      </c>
      <c r="M329" t="s">
        <v>581</v>
      </c>
    </row>
    <row r="330" spans="1:13" x14ac:dyDescent="0.25">
      <c r="A330">
        <v>0</v>
      </c>
      <c r="B330" s="33" t="s">
        <v>185</v>
      </c>
      <c r="C330" s="124" t="s">
        <v>120</v>
      </c>
      <c r="D330" s="144" t="s">
        <v>267</v>
      </c>
      <c r="E330" s="59" t="s">
        <v>266</v>
      </c>
      <c r="F330" s="54"/>
      <c r="G330" s="29"/>
      <c r="H330" s="53">
        <v>0</v>
      </c>
      <c r="I330" s="53" t="s">
        <v>90</v>
      </c>
      <c r="M330" t="s">
        <v>581</v>
      </c>
    </row>
    <row r="331" spans="1:13" x14ac:dyDescent="0.25">
      <c r="A331">
        <v>0</v>
      </c>
      <c r="B331" s="33" t="s">
        <v>185</v>
      </c>
      <c r="C331" s="124" t="s">
        <v>120</v>
      </c>
      <c r="D331" s="144" t="s">
        <v>259</v>
      </c>
      <c r="E331" s="59" t="s">
        <v>258</v>
      </c>
      <c r="F331" s="54"/>
      <c r="G331" s="29"/>
      <c r="H331" s="53">
        <v>0</v>
      </c>
      <c r="I331" s="53" t="s">
        <v>90</v>
      </c>
      <c r="M331" t="s">
        <v>581</v>
      </c>
    </row>
    <row r="332" spans="1:13" x14ac:dyDescent="0.25">
      <c r="A332">
        <v>0</v>
      </c>
      <c r="B332" s="33" t="s">
        <v>185</v>
      </c>
      <c r="C332" s="124" t="s">
        <v>120</v>
      </c>
      <c r="D332" s="144" t="s">
        <v>243</v>
      </c>
      <c r="E332" s="59" t="s">
        <v>242</v>
      </c>
      <c r="F332" s="54"/>
      <c r="G332" s="29"/>
      <c r="H332" s="53">
        <v>0</v>
      </c>
      <c r="I332" s="53" t="s">
        <v>90</v>
      </c>
      <c r="M332" t="s">
        <v>581</v>
      </c>
    </row>
    <row r="333" spans="1:13" x14ac:dyDescent="0.25">
      <c r="A333">
        <v>0</v>
      </c>
      <c r="B333" s="33" t="s">
        <v>185</v>
      </c>
      <c r="C333" s="124" t="s">
        <v>120</v>
      </c>
      <c r="D333" s="144" t="s">
        <v>253</v>
      </c>
      <c r="E333" s="59" t="s">
        <v>252</v>
      </c>
      <c r="F333" s="54"/>
      <c r="G333" s="29"/>
      <c r="H333" s="53">
        <v>0</v>
      </c>
      <c r="I333" s="53" t="s">
        <v>90</v>
      </c>
      <c r="M333" t="s">
        <v>581</v>
      </c>
    </row>
    <row r="334" spans="1:13" x14ac:dyDescent="0.25">
      <c r="A334">
        <v>0</v>
      </c>
      <c r="B334" s="33" t="s">
        <v>185</v>
      </c>
      <c r="C334" s="124" t="s">
        <v>120</v>
      </c>
      <c r="D334" s="144" t="s">
        <v>245</v>
      </c>
      <c r="E334" s="59" t="s">
        <v>244</v>
      </c>
      <c r="F334" s="54"/>
      <c r="G334" s="29"/>
      <c r="H334" s="53">
        <v>0</v>
      </c>
      <c r="I334" s="53" t="s">
        <v>90</v>
      </c>
      <c r="M334" t="s">
        <v>581</v>
      </c>
    </row>
    <row r="335" spans="1:13" x14ac:dyDescent="0.25">
      <c r="A335">
        <v>4080</v>
      </c>
      <c r="B335" s="33" t="s">
        <v>185</v>
      </c>
      <c r="C335" s="124" t="s">
        <v>120</v>
      </c>
      <c r="D335" s="144" t="s">
        <v>241</v>
      </c>
      <c r="E335" s="59" t="s">
        <v>240</v>
      </c>
      <c r="F335" s="54"/>
      <c r="G335" s="29"/>
      <c r="H335" s="53">
        <v>4080</v>
      </c>
      <c r="I335" s="53" t="s">
        <v>90</v>
      </c>
      <c r="M335" t="s">
        <v>581</v>
      </c>
    </row>
    <row r="336" spans="1:13" x14ac:dyDescent="0.25">
      <c r="A336">
        <v>0</v>
      </c>
      <c r="B336" s="33" t="s">
        <v>188</v>
      </c>
      <c r="C336" s="124" t="s">
        <v>124</v>
      </c>
      <c r="D336" s="144" t="s">
        <v>340</v>
      </c>
      <c r="E336" s="59" t="s">
        <v>341</v>
      </c>
      <c r="F336" s="54"/>
      <c r="G336" s="29"/>
      <c r="H336" s="53">
        <v>0</v>
      </c>
      <c r="I336" s="53" t="s">
        <v>90</v>
      </c>
      <c r="M336" t="s">
        <v>581</v>
      </c>
    </row>
    <row r="337" spans="1:13" x14ac:dyDescent="0.25">
      <c r="A337">
        <v>11294</v>
      </c>
      <c r="B337" s="33" t="s">
        <v>188</v>
      </c>
      <c r="C337" s="124" t="s">
        <v>124</v>
      </c>
      <c r="D337" s="144" t="s">
        <v>336</v>
      </c>
      <c r="E337" s="59" t="s">
        <v>337</v>
      </c>
      <c r="F337" s="54"/>
      <c r="G337" s="29"/>
      <c r="H337" s="53">
        <v>11294</v>
      </c>
      <c r="I337" s="53" t="s">
        <v>90</v>
      </c>
      <c r="M337" t="s">
        <v>581</v>
      </c>
    </row>
    <row r="338" spans="1:13" x14ac:dyDescent="0.25">
      <c r="A338">
        <v>0</v>
      </c>
      <c r="B338" s="33" t="s">
        <v>188</v>
      </c>
      <c r="C338" s="124" t="s">
        <v>124</v>
      </c>
      <c r="D338" s="144" t="s">
        <v>360</v>
      </c>
      <c r="E338" s="59" t="s">
        <v>361</v>
      </c>
      <c r="F338" s="54"/>
      <c r="G338" s="29"/>
      <c r="H338" s="53">
        <v>0</v>
      </c>
      <c r="I338" s="53" t="s">
        <v>90</v>
      </c>
      <c r="M338" t="s">
        <v>581</v>
      </c>
    </row>
    <row r="339" spans="1:13" x14ac:dyDescent="0.25">
      <c r="A339">
        <v>0</v>
      </c>
      <c r="B339" s="33" t="s">
        <v>188</v>
      </c>
      <c r="C339" s="124" t="s">
        <v>124</v>
      </c>
      <c r="D339" s="144" t="s">
        <v>356</v>
      </c>
      <c r="E339" s="59" t="s">
        <v>357</v>
      </c>
      <c r="F339" s="54"/>
      <c r="G339" s="29"/>
      <c r="H339" s="53">
        <v>0</v>
      </c>
      <c r="I339" s="53" t="s">
        <v>90</v>
      </c>
      <c r="M339" t="s">
        <v>581</v>
      </c>
    </row>
    <row r="340" spans="1:13" x14ac:dyDescent="0.25">
      <c r="A340">
        <v>2245</v>
      </c>
      <c r="B340" s="33" t="s">
        <v>188</v>
      </c>
      <c r="C340" s="124" t="s">
        <v>124</v>
      </c>
      <c r="D340" s="144" t="s">
        <v>362</v>
      </c>
      <c r="E340" s="59" t="s">
        <v>363</v>
      </c>
      <c r="F340" s="54"/>
      <c r="G340" s="29"/>
      <c r="H340" s="53">
        <v>2245</v>
      </c>
      <c r="I340" s="53" t="s">
        <v>90</v>
      </c>
      <c r="M340" t="s">
        <v>581</v>
      </c>
    </row>
    <row r="341" spans="1:13" x14ac:dyDescent="0.25">
      <c r="A341">
        <v>372</v>
      </c>
      <c r="B341" s="33" t="s">
        <v>188</v>
      </c>
      <c r="C341" s="124" t="s">
        <v>124</v>
      </c>
      <c r="D341" s="144" t="s">
        <v>346</v>
      </c>
      <c r="E341" s="59" t="s">
        <v>347</v>
      </c>
      <c r="F341" s="54"/>
      <c r="G341" s="29"/>
      <c r="H341" s="53">
        <v>372</v>
      </c>
      <c r="I341" s="53" t="s">
        <v>90</v>
      </c>
      <c r="M341" t="s">
        <v>581</v>
      </c>
    </row>
    <row r="342" spans="1:13" x14ac:dyDescent="0.25">
      <c r="A342">
        <v>205</v>
      </c>
      <c r="B342" s="33" t="s">
        <v>188</v>
      </c>
      <c r="C342" s="124" t="s">
        <v>124</v>
      </c>
      <c r="D342" s="144" t="s">
        <v>344</v>
      </c>
      <c r="E342" s="59" t="s">
        <v>345</v>
      </c>
      <c r="F342" s="54"/>
      <c r="G342" s="29"/>
      <c r="H342" s="53">
        <v>205</v>
      </c>
      <c r="I342" s="53" t="s">
        <v>90</v>
      </c>
      <c r="M342" t="s">
        <v>581</v>
      </c>
    </row>
    <row r="343" spans="1:13" ht="28.5" x14ac:dyDescent="0.25">
      <c r="A343">
        <v>0</v>
      </c>
      <c r="B343" s="33" t="s">
        <v>188</v>
      </c>
      <c r="C343" s="124" t="s">
        <v>124</v>
      </c>
      <c r="D343" s="144" t="s">
        <v>352</v>
      </c>
      <c r="E343" s="59" t="s">
        <v>353</v>
      </c>
      <c r="F343" s="54"/>
      <c r="G343" s="29"/>
      <c r="H343" s="53">
        <v>0</v>
      </c>
      <c r="I343" s="53" t="s">
        <v>90</v>
      </c>
      <c r="M343" t="s">
        <v>581</v>
      </c>
    </row>
    <row r="344" spans="1:13" x14ac:dyDescent="0.25">
      <c r="A344">
        <v>1029</v>
      </c>
      <c r="B344" s="33" t="s">
        <v>188</v>
      </c>
      <c r="C344" s="124" t="s">
        <v>124</v>
      </c>
      <c r="D344" s="144" t="s">
        <v>364</v>
      </c>
      <c r="E344" s="59" t="s">
        <v>365</v>
      </c>
      <c r="F344" s="54"/>
      <c r="G344" s="29"/>
      <c r="H344" s="53">
        <v>1029</v>
      </c>
      <c r="I344" s="53" t="s">
        <v>90</v>
      </c>
      <c r="M344" t="s">
        <v>581</v>
      </c>
    </row>
    <row r="345" spans="1:13" x14ac:dyDescent="0.25">
      <c r="A345">
        <v>0</v>
      </c>
      <c r="B345" s="33" t="s">
        <v>188</v>
      </c>
      <c r="C345" s="124" t="s">
        <v>124</v>
      </c>
      <c r="D345" s="144" t="s">
        <v>366</v>
      </c>
      <c r="E345" s="59" t="s">
        <v>367</v>
      </c>
      <c r="F345" s="54"/>
      <c r="G345" s="29"/>
      <c r="H345" s="53">
        <v>0</v>
      </c>
      <c r="I345" s="53" t="s">
        <v>90</v>
      </c>
      <c r="M345" t="s">
        <v>581</v>
      </c>
    </row>
    <row r="346" spans="1:13" x14ac:dyDescent="0.25">
      <c r="A346">
        <v>793</v>
      </c>
      <c r="B346" s="33" t="s">
        <v>188</v>
      </c>
      <c r="C346" s="124" t="s">
        <v>124</v>
      </c>
      <c r="D346" s="144" t="s">
        <v>348</v>
      </c>
      <c r="E346" s="59" t="s">
        <v>349</v>
      </c>
      <c r="F346" s="54"/>
      <c r="G346" s="29"/>
      <c r="H346" s="53">
        <v>793</v>
      </c>
      <c r="I346" s="53" t="s">
        <v>90</v>
      </c>
      <c r="M346" t="s">
        <v>581</v>
      </c>
    </row>
    <row r="347" spans="1:13" x14ac:dyDescent="0.25">
      <c r="A347">
        <v>13941</v>
      </c>
      <c r="B347" s="33" t="s">
        <v>188</v>
      </c>
      <c r="C347" s="124" t="s">
        <v>124</v>
      </c>
      <c r="D347" s="144" t="s">
        <v>368</v>
      </c>
      <c r="E347" s="59" t="s">
        <v>369</v>
      </c>
      <c r="F347" s="54"/>
      <c r="G347" s="29"/>
      <c r="H347" s="53">
        <v>13941</v>
      </c>
      <c r="I347" s="53" t="s">
        <v>90</v>
      </c>
      <c r="M347" t="s">
        <v>581</v>
      </c>
    </row>
    <row r="348" spans="1:13" x14ac:dyDescent="0.25">
      <c r="A348">
        <v>313</v>
      </c>
      <c r="B348" s="33" t="s">
        <v>188</v>
      </c>
      <c r="C348" s="124" t="s">
        <v>124</v>
      </c>
      <c r="D348" s="144" t="s">
        <v>358</v>
      </c>
      <c r="E348" s="59" t="s">
        <v>359</v>
      </c>
      <c r="F348" s="54"/>
      <c r="G348" s="29"/>
      <c r="H348" s="53">
        <v>313</v>
      </c>
      <c r="I348" s="53" t="s">
        <v>90</v>
      </c>
      <c r="M348" t="s">
        <v>581</v>
      </c>
    </row>
    <row r="349" spans="1:13" x14ac:dyDescent="0.25">
      <c r="A349">
        <v>0</v>
      </c>
      <c r="B349" s="33" t="s">
        <v>188</v>
      </c>
      <c r="C349" s="124" t="s">
        <v>124</v>
      </c>
      <c r="D349" s="144" t="s">
        <v>350</v>
      </c>
      <c r="E349" s="59" t="s">
        <v>351</v>
      </c>
      <c r="F349" s="54"/>
      <c r="G349" s="29"/>
      <c r="H349" s="53">
        <v>0</v>
      </c>
      <c r="I349" s="53" t="s">
        <v>90</v>
      </c>
      <c r="M349" t="s">
        <v>581</v>
      </c>
    </row>
    <row r="350" spans="1:13" x14ac:dyDescent="0.25">
      <c r="A350">
        <v>2296</v>
      </c>
      <c r="B350" s="33" t="s">
        <v>188</v>
      </c>
      <c r="C350" s="124" t="s">
        <v>124</v>
      </c>
      <c r="D350" s="144" t="s">
        <v>354</v>
      </c>
      <c r="E350" s="59" t="s">
        <v>355</v>
      </c>
      <c r="F350" s="54"/>
      <c r="G350" s="29"/>
      <c r="H350" s="53">
        <v>2296</v>
      </c>
      <c r="I350" s="53" t="s">
        <v>90</v>
      </c>
      <c r="M350" t="s">
        <v>581</v>
      </c>
    </row>
    <row r="351" spans="1:13" x14ac:dyDescent="0.25">
      <c r="A351">
        <v>0</v>
      </c>
      <c r="B351" s="33" t="s">
        <v>188</v>
      </c>
      <c r="C351" s="124" t="s">
        <v>124</v>
      </c>
      <c r="D351" s="144" t="s">
        <v>338</v>
      </c>
      <c r="E351" s="59" t="s">
        <v>339</v>
      </c>
      <c r="F351" s="54"/>
      <c r="G351" s="29"/>
      <c r="H351" s="53">
        <v>0</v>
      </c>
      <c r="I351" s="53" t="s">
        <v>90</v>
      </c>
      <c r="M351" t="s">
        <v>581</v>
      </c>
    </row>
    <row r="352" spans="1:13" x14ac:dyDescent="0.25">
      <c r="A352">
        <v>0</v>
      </c>
      <c r="B352" s="33" t="s">
        <v>188</v>
      </c>
      <c r="C352" s="124" t="s">
        <v>124</v>
      </c>
      <c r="D352" s="144" t="s">
        <v>342</v>
      </c>
      <c r="E352" s="59" t="s">
        <v>343</v>
      </c>
      <c r="F352" s="54"/>
      <c r="G352" s="29"/>
      <c r="H352" s="53">
        <v>0</v>
      </c>
      <c r="I352" s="53" t="s">
        <v>90</v>
      </c>
      <c r="M352" t="s">
        <v>581</v>
      </c>
    </row>
    <row r="353" spans="1:13" x14ac:dyDescent="0.25">
      <c r="A353">
        <v>375</v>
      </c>
      <c r="B353" s="33" t="s">
        <v>191</v>
      </c>
      <c r="C353" s="124" t="s">
        <v>121</v>
      </c>
      <c r="D353" s="144" t="s">
        <v>277</v>
      </c>
      <c r="E353" s="59" t="s">
        <v>276</v>
      </c>
      <c r="F353" s="54"/>
      <c r="G353" s="29"/>
      <c r="H353" s="53">
        <v>375</v>
      </c>
      <c r="I353" s="53" t="s">
        <v>90</v>
      </c>
      <c r="M353" t="s">
        <v>581</v>
      </c>
    </row>
    <row r="354" spans="1:13" x14ac:dyDescent="0.25">
      <c r="A354">
        <v>0</v>
      </c>
      <c r="B354" s="33" t="s">
        <v>191</v>
      </c>
      <c r="C354" s="124" t="s">
        <v>121</v>
      </c>
      <c r="D354" s="144" t="s">
        <v>275</v>
      </c>
      <c r="E354" s="59" t="s">
        <v>274</v>
      </c>
      <c r="F354" s="54"/>
      <c r="G354" s="29"/>
      <c r="H354" s="53">
        <v>0</v>
      </c>
      <c r="I354" s="53" t="s">
        <v>90</v>
      </c>
      <c r="M354" t="s">
        <v>581</v>
      </c>
    </row>
    <row r="355" spans="1:13" x14ac:dyDescent="0.25">
      <c r="A355">
        <v>0</v>
      </c>
      <c r="B355" s="33" t="s">
        <v>191</v>
      </c>
      <c r="C355" s="124" t="s">
        <v>121</v>
      </c>
      <c r="D355" s="144" t="s">
        <v>279</v>
      </c>
      <c r="E355" s="59" t="s">
        <v>278</v>
      </c>
      <c r="F355" s="54"/>
      <c r="G355" s="29"/>
      <c r="H355" s="53">
        <v>0</v>
      </c>
      <c r="I355" s="53" t="s">
        <v>90</v>
      </c>
      <c r="M355" t="s">
        <v>581</v>
      </c>
    </row>
    <row r="356" spans="1:13" x14ac:dyDescent="0.25">
      <c r="A356">
        <v>55</v>
      </c>
      <c r="B356" s="33" t="s">
        <v>191</v>
      </c>
      <c r="C356" s="124" t="s">
        <v>121</v>
      </c>
      <c r="D356" s="144" t="s">
        <v>281</v>
      </c>
      <c r="E356" s="59" t="s">
        <v>280</v>
      </c>
      <c r="F356" s="54"/>
      <c r="G356" s="29"/>
      <c r="H356" s="53">
        <v>55</v>
      </c>
      <c r="I356" s="53" t="s">
        <v>90</v>
      </c>
      <c r="M356" t="s">
        <v>581</v>
      </c>
    </row>
    <row r="357" spans="1:13" x14ac:dyDescent="0.25">
      <c r="A357">
        <v>0</v>
      </c>
      <c r="B357" s="33" t="s">
        <v>191</v>
      </c>
      <c r="C357" s="124" t="s">
        <v>121</v>
      </c>
      <c r="D357" s="144" t="s">
        <v>283</v>
      </c>
      <c r="E357" s="59" t="s">
        <v>282</v>
      </c>
      <c r="F357" s="54"/>
      <c r="G357" s="29"/>
      <c r="H357" s="53">
        <v>0</v>
      </c>
      <c r="I357" s="53" t="s">
        <v>90</v>
      </c>
      <c r="M357" t="s">
        <v>581</v>
      </c>
    </row>
    <row r="358" spans="1:13" x14ac:dyDescent="0.25">
      <c r="A358">
        <v>0</v>
      </c>
      <c r="B358" s="33" t="s">
        <v>191</v>
      </c>
      <c r="C358" s="124" t="s">
        <v>121</v>
      </c>
      <c r="D358" s="144" t="s">
        <v>285</v>
      </c>
      <c r="E358" s="59" t="s">
        <v>284</v>
      </c>
      <c r="F358" s="54"/>
      <c r="G358" s="29"/>
      <c r="H358" s="53">
        <v>0</v>
      </c>
      <c r="I358" s="53" t="s">
        <v>90</v>
      </c>
      <c r="M358" t="s">
        <v>581</v>
      </c>
    </row>
    <row r="359" spans="1:13" x14ac:dyDescent="0.25">
      <c r="A359">
        <v>0</v>
      </c>
      <c r="B359" s="33" t="s">
        <v>191</v>
      </c>
      <c r="C359" s="124" t="s">
        <v>121</v>
      </c>
      <c r="D359" s="144" t="s">
        <v>287</v>
      </c>
      <c r="E359" s="59" t="s">
        <v>286</v>
      </c>
      <c r="F359" s="54"/>
      <c r="G359" s="29"/>
      <c r="H359" s="53">
        <v>0</v>
      </c>
      <c r="I359" s="53" t="s">
        <v>90</v>
      </c>
      <c r="M359" t="s">
        <v>581</v>
      </c>
    </row>
    <row r="360" spans="1:13" x14ac:dyDescent="0.25">
      <c r="A360">
        <v>0</v>
      </c>
      <c r="B360" s="33" t="s">
        <v>191</v>
      </c>
      <c r="C360" s="124" t="s">
        <v>121</v>
      </c>
      <c r="D360" s="144" t="s">
        <v>289</v>
      </c>
      <c r="E360" s="59" t="s">
        <v>288</v>
      </c>
      <c r="F360" s="54"/>
      <c r="G360" s="29"/>
      <c r="H360" s="53">
        <v>0</v>
      </c>
      <c r="I360" s="53" t="s">
        <v>90</v>
      </c>
      <c r="M360" t="s">
        <v>581</v>
      </c>
    </row>
    <row r="361" spans="1:13" x14ac:dyDescent="0.25">
      <c r="A361">
        <v>609</v>
      </c>
      <c r="B361" s="33" t="s">
        <v>194</v>
      </c>
      <c r="C361" s="124" t="s">
        <v>135</v>
      </c>
      <c r="D361" s="144" t="s">
        <v>544</v>
      </c>
      <c r="E361" s="59" t="s">
        <v>545</v>
      </c>
      <c r="F361" s="54"/>
      <c r="G361" s="29"/>
      <c r="H361" s="53">
        <v>609</v>
      </c>
      <c r="I361" s="53" t="s">
        <v>90</v>
      </c>
      <c r="M361" t="s">
        <v>581</v>
      </c>
    </row>
    <row r="362" spans="1:13" x14ac:dyDescent="0.25">
      <c r="A362">
        <v>3173</v>
      </c>
      <c r="B362" s="33" t="s">
        <v>194</v>
      </c>
      <c r="C362" s="124" t="s">
        <v>135</v>
      </c>
      <c r="D362" s="144" t="s">
        <v>552</v>
      </c>
      <c r="E362" s="59" t="s">
        <v>553</v>
      </c>
      <c r="F362" s="54"/>
      <c r="G362" s="29"/>
      <c r="H362" s="53">
        <v>3173</v>
      </c>
      <c r="I362" s="53" t="s">
        <v>90</v>
      </c>
      <c r="M362" t="s">
        <v>581</v>
      </c>
    </row>
    <row r="363" spans="1:13" x14ac:dyDescent="0.25">
      <c r="A363">
        <v>0</v>
      </c>
      <c r="B363" s="33" t="s">
        <v>194</v>
      </c>
      <c r="C363" s="124" t="s">
        <v>135</v>
      </c>
      <c r="D363" s="144" t="s">
        <v>560</v>
      </c>
      <c r="E363" s="59" t="s">
        <v>561</v>
      </c>
      <c r="F363" s="54"/>
      <c r="G363" s="29"/>
      <c r="H363" s="53">
        <v>0</v>
      </c>
      <c r="I363" s="53" t="s">
        <v>90</v>
      </c>
      <c r="M363" t="s">
        <v>581</v>
      </c>
    </row>
    <row r="364" spans="1:13" x14ac:dyDescent="0.25">
      <c r="A364">
        <v>3477</v>
      </c>
      <c r="B364" s="33" t="s">
        <v>194</v>
      </c>
      <c r="C364" s="124" t="s">
        <v>135</v>
      </c>
      <c r="D364" s="144" t="s">
        <v>562</v>
      </c>
      <c r="E364" s="59" t="s">
        <v>563</v>
      </c>
      <c r="F364" s="54"/>
      <c r="G364" s="29"/>
      <c r="H364" s="53">
        <v>3477</v>
      </c>
      <c r="I364" s="53" t="s">
        <v>90</v>
      </c>
      <c r="M364" t="s">
        <v>581</v>
      </c>
    </row>
    <row r="365" spans="1:13" x14ac:dyDescent="0.25">
      <c r="A365">
        <v>0</v>
      </c>
      <c r="B365" s="33" t="s">
        <v>194</v>
      </c>
      <c r="C365" s="124" t="s">
        <v>135</v>
      </c>
      <c r="D365" s="144" t="s">
        <v>564</v>
      </c>
      <c r="E365" s="59" t="s">
        <v>565</v>
      </c>
      <c r="F365" s="54"/>
      <c r="G365" s="29"/>
      <c r="H365" s="53">
        <v>0</v>
      </c>
      <c r="I365" s="53" t="s">
        <v>90</v>
      </c>
      <c r="M365" t="s">
        <v>581</v>
      </c>
    </row>
    <row r="366" spans="1:13" x14ac:dyDescent="0.25">
      <c r="A366">
        <v>2</v>
      </c>
      <c r="B366" s="33" t="s">
        <v>194</v>
      </c>
      <c r="C366" s="124" t="s">
        <v>135</v>
      </c>
      <c r="D366" s="144" t="s">
        <v>558</v>
      </c>
      <c r="E366" s="59" t="s">
        <v>559</v>
      </c>
      <c r="F366" s="54"/>
      <c r="G366" s="29"/>
      <c r="H366" s="53">
        <v>2</v>
      </c>
      <c r="I366" s="53" t="s">
        <v>90</v>
      </c>
      <c r="M366" t="s">
        <v>581</v>
      </c>
    </row>
    <row r="367" spans="1:13" x14ac:dyDescent="0.25">
      <c r="A367">
        <v>11719</v>
      </c>
      <c r="B367" s="33" t="s">
        <v>194</v>
      </c>
      <c r="C367" s="124" t="s">
        <v>135</v>
      </c>
      <c r="D367" s="144" t="s">
        <v>566</v>
      </c>
      <c r="E367" s="59" t="s">
        <v>567</v>
      </c>
      <c r="F367" s="54"/>
      <c r="G367" s="29"/>
      <c r="H367" s="53">
        <v>11719</v>
      </c>
      <c r="I367" s="53" t="s">
        <v>90</v>
      </c>
      <c r="M367" t="s">
        <v>581</v>
      </c>
    </row>
    <row r="368" spans="1:13" x14ac:dyDescent="0.25">
      <c r="A368">
        <v>0</v>
      </c>
      <c r="B368" s="33" t="s">
        <v>194</v>
      </c>
      <c r="C368" s="124" t="s">
        <v>135</v>
      </c>
      <c r="D368" s="144" t="s">
        <v>542</v>
      </c>
      <c r="E368" s="59" t="s">
        <v>543</v>
      </c>
      <c r="F368" s="54"/>
      <c r="G368" s="29"/>
      <c r="H368" s="53">
        <v>0</v>
      </c>
      <c r="I368" s="53" t="s">
        <v>90</v>
      </c>
      <c r="M368" t="s">
        <v>581</v>
      </c>
    </row>
    <row r="369" spans="1:13" x14ac:dyDescent="0.25">
      <c r="A369">
        <v>2683</v>
      </c>
      <c r="B369" s="33" t="s">
        <v>194</v>
      </c>
      <c r="C369" s="124" t="s">
        <v>135</v>
      </c>
      <c r="D369" s="144" t="s">
        <v>550</v>
      </c>
      <c r="E369" s="59" t="s">
        <v>551</v>
      </c>
      <c r="F369" s="54"/>
      <c r="G369" s="29"/>
      <c r="H369" s="53">
        <v>2683</v>
      </c>
      <c r="I369" s="53" t="s">
        <v>90</v>
      </c>
      <c r="M369" t="s">
        <v>581</v>
      </c>
    </row>
    <row r="370" spans="1:13" x14ac:dyDescent="0.25">
      <c r="A370">
        <v>0</v>
      </c>
      <c r="B370" s="33" t="s">
        <v>194</v>
      </c>
      <c r="C370" s="124" t="s">
        <v>135</v>
      </c>
      <c r="D370" s="144" t="s">
        <v>554</v>
      </c>
      <c r="E370" s="59" t="s">
        <v>555</v>
      </c>
      <c r="F370" s="54"/>
      <c r="G370" s="29"/>
      <c r="H370" s="53">
        <v>0</v>
      </c>
      <c r="I370" s="53" t="s">
        <v>90</v>
      </c>
      <c r="M370" t="s">
        <v>581</v>
      </c>
    </row>
    <row r="371" spans="1:13" x14ac:dyDescent="0.25">
      <c r="A371">
        <v>6059</v>
      </c>
      <c r="B371" s="33" t="s">
        <v>194</v>
      </c>
      <c r="C371" s="124" t="s">
        <v>135</v>
      </c>
      <c r="D371" s="144" t="s">
        <v>556</v>
      </c>
      <c r="E371" s="59" t="s">
        <v>557</v>
      </c>
      <c r="F371" s="54"/>
      <c r="G371" s="29"/>
      <c r="H371" s="53">
        <v>6059</v>
      </c>
      <c r="I371" s="53" t="s">
        <v>90</v>
      </c>
      <c r="M371" t="s">
        <v>581</v>
      </c>
    </row>
    <row r="372" spans="1:13" x14ac:dyDescent="0.25">
      <c r="A372">
        <v>7917</v>
      </c>
      <c r="B372" s="33" t="s">
        <v>194</v>
      </c>
      <c r="C372" s="124" t="s">
        <v>135</v>
      </c>
      <c r="D372" s="144" t="s">
        <v>540</v>
      </c>
      <c r="E372" s="59" t="s">
        <v>541</v>
      </c>
      <c r="F372" s="54"/>
      <c r="G372" s="29"/>
      <c r="H372" s="53">
        <v>7917</v>
      </c>
      <c r="I372" s="53" t="s">
        <v>90</v>
      </c>
      <c r="M372" t="s">
        <v>581</v>
      </c>
    </row>
    <row r="373" spans="1:13" x14ac:dyDescent="0.25">
      <c r="A373">
        <v>8937</v>
      </c>
      <c r="B373" s="33" t="s">
        <v>194</v>
      </c>
      <c r="C373" s="124" t="s">
        <v>135</v>
      </c>
      <c r="D373" s="144" t="s">
        <v>548</v>
      </c>
      <c r="E373" s="59" t="s">
        <v>549</v>
      </c>
      <c r="F373" s="54"/>
      <c r="G373" s="29"/>
      <c r="H373" s="53">
        <v>8937</v>
      </c>
      <c r="I373" s="53" t="s">
        <v>90</v>
      </c>
      <c r="M373" t="s">
        <v>581</v>
      </c>
    </row>
    <row r="374" spans="1:13" x14ac:dyDescent="0.25">
      <c r="A374">
        <v>4</v>
      </c>
      <c r="B374" s="33" t="s">
        <v>194</v>
      </c>
      <c r="C374" s="124" t="s">
        <v>135</v>
      </c>
      <c r="D374" s="144" t="s">
        <v>546</v>
      </c>
      <c r="E374" s="59" t="s">
        <v>547</v>
      </c>
      <c r="F374" s="54"/>
      <c r="G374" s="29"/>
      <c r="H374" s="53">
        <v>4</v>
      </c>
      <c r="I374" s="53" t="s">
        <v>90</v>
      </c>
      <c r="M374" t="s">
        <v>581</v>
      </c>
    </row>
    <row r="375" spans="1:13" x14ac:dyDescent="0.25">
      <c r="A375">
        <v>0</v>
      </c>
      <c r="B375" s="33" t="s">
        <v>197</v>
      </c>
      <c r="C375" s="124" t="s">
        <v>126</v>
      </c>
      <c r="D375" s="144" t="s">
        <v>384</v>
      </c>
      <c r="E375" s="59" t="s">
        <v>385</v>
      </c>
      <c r="F375" s="54"/>
      <c r="G375" s="29"/>
      <c r="H375" s="53">
        <v>0</v>
      </c>
      <c r="I375" s="53" t="s">
        <v>90</v>
      </c>
      <c r="M375" t="s">
        <v>581</v>
      </c>
    </row>
    <row r="376" spans="1:13" x14ac:dyDescent="0.25">
      <c r="A376">
        <v>138328</v>
      </c>
      <c r="B376" s="33" t="s">
        <v>197</v>
      </c>
      <c r="C376" s="124" t="s">
        <v>126</v>
      </c>
      <c r="D376" s="144" t="s">
        <v>398</v>
      </c>
      <c r="E376" s="59" t="s">
        <v>399</v>
      </c>
      <c r="F376" s="54"/>
      <c r="G376" s="29"/>
      <c r="H376" s="53">
        <v>138328</v>
      </c>
      <c r="I376" s="53" t="s">
        <v>90</v>
      </c>
      <c r="M376" t="s">
        <v>581</v>
      </c>
    </row>
    <row r="377" spans="1:13" x14ac:dyDescent="0.25">
      <c r="A377">
        <v>0</v>
      </c>
      <c r="B377" s="33" t="s">
        <v>197</v>
      </c>
      <c r="C377" s="124" t="s">
        <v>126</v>
      </c>
      <c r="D377" s="144" t="s">
        <v>396</v>
      </c>
      <c r="E377" s="59" t="s">
        <v>397</v>
      </c>
      <c r="F377" s="54"/>
      <c r="G377" s="29"/>
      <c r="H377" s="53">
        <v>0</v>
      </c>
      <c r="I377" s="53" t="s">
        <v>90</v>
      </c>
      <c r="M377" t="s">
        <v>581</v>
      </c>
    </row>
    <row r="378" spans="1:13" ht="28.5" x14ac:dyDescent="0.25">
      <c r="A378">
        <v>218834</v>
      </c>
      <c r="B378" s="33" t="s">
        <v>197</v>
      </c>
      <c r="C378" s="124" t="s">
        <v>126</v>
      </c>
      <c r="D378" s="144" t="s">
        <v>394</v>
      </c>
      <c r="E378" s="59" t="s">
        <v>395</v>
      </c>
      <c r="F378" s="54"/>
      <c r="G378" s="29"/>
      <c r="H378" s="53">
        <v>218834</v>
      </c>
      <c r="I378" s="53" t="s">
        <v>90</v>
      </c>
      <c r="M378" t="s">
        <v>581</v>
      </c>
    </row>
    <row r="379" spans="1:13" x14ac:dyDescent="0.25">
      <c r="A379">
        <v>0</v>
      </c>
      <c r="B379" s="33" t="s">
        <v>197</v>
      </c>
      <c r="C379" s="124" t="s">
        <v>126</v>
      </c>
      <c r="D379" s="144" t="s">
        <v>400</v>
      </c>
      <c r="E379" s="59" t="s">
        <v>401</v>
      </c>
      <c r="F379" s="54"/>
      <c r="G379" s="29"/>
      <c r="H379" s="53">
        <v>0</v>
      </c>
      <c r="I379" s="53" t="s">
        <v>90</v>
      </c>
      <c r="M379" t="s">
        <v>581</v>
      </c>
    </row>
    <row r="380" spans="1:13" x14ac:dyDescent="0.25">
      <c r="A380">
        <v>58373</v>
      </c>
      <c r="B380" s="33" t="s">
        <v>197</v>
      </c>
      <c r="C380" s="124" t="s">
        <v>126</v>
      </c>
      <c r="D380" s="144" t="s">
        <v>390</v>
      </c>
      <c r="E380" s="59" t="s">
        <v>391</v>
      </c>
      <c r="F380" s="54"/>
      <c r="G380" s="29"/>
      <c r="H380" s="53">
        <v>58373</v>
      </c>
      <c r="I380" s="53" t="s">
        <v>90</v>
      </c>
      <c r="M380" t="s">
        <v>581</v>
      </c>
    </row>
    <row r="381" spans="1:13" x14ac:dyDescent="0.25">
      <c r="A381">
        <v>0</v>
      </c>
      <c r="B381" s="33" t="s">
        <v>197</v>
      </c>
      <c r="C381" s="124" t="s">
        <v>126</v>
      </c>
      <c r="D381" s="144" t="s">
        <v>388</v>
      </c>
      <c r="E381" s="59" t="s">
        <v>389</v>
      </c>
      <c r="F381" s="54"/>
      <c r="G381" s="29"/>
      <c r="H381" s="53">
        <v>0</v>
      </c>
      <c r="I381" s="53" t="s">
        <v>90</v>
      </c>
      <c r="M381" t="s">
        <v>581</v>
      </c>
    </row>
    <row r="382" spans="1:13" x14ac:dyDescent="0.25">
      <c r="A382">
        <v>0</v>
      </c>
      <c r="B382" s="33" t="s">
        <v>197</v>
      </c>
      <c r="C382" s="124" t="s">
        <v>126</v>
      </c>
      <c r="D382" s="144" t="s">
        <v>392</v>
      </c>
      <c r="E382" s="59" t="s">
        <v>393</v>
      </c>
      <c r="F382" s="54"/>
      <c r="G382" s="29"/>
      <c r="H382" s="53">
        <v>0</v>
      </c>
      <c r="I382" s="53" t="s">
        <v>90</v>
      </c>
      <c r="M382" t="s">
        <v>581</v>
      </c>
    </row>
    <row r="383" spans="1:13" x14ac:dyDescent="0.25">
      <c r="A383">
        <v>0</v>
      </c>
      <c r="B383" s="33" t="s">
        <v>197</v>
      </c>
      <c r="C383" s="124" t="s">
        <v>126</v>
      </c>
      <c r="D383" s="144" t="s">
        <v>386</v>
      </c>
      <c r="E383" s="59" t="s">
        <v>387</v>
      </c>
      <c r="F383" s="54"/>
      <c r="G383" s="29"/>
      <c r="H383" s="53">
        <v>0</v>
      </c>
      <c r="I383" s="53" t="s">
        <v>90</v>
      </c>
      <c r="M383" t="s">
        <v>581</v>
      </c>
    </row>
    <row r="384" spans="1:13" x14ac:dyDescent="0.25">
      <c r="A384">
        <v>0</v>
      </c>
      <c r="B384" s="33" t="s">
        <v>144</v>
      </c>
      <c r="C384" s="124" t="s">
        <v>136</v>
      </c>
      <c r="D384" s="144" t="s">
        <v>574</v>
      </c>
      <c r="E384" s="59" t="s">
        <v>573</v>
      </c>
      <c r="F384" s="54"/>
      <c r="G384" s="29"/>
      <c r="H384" s="53">
        <v>0</v>
      </c>
      <c r="I384" s="53" t="s">
        <v>87</v>
      </c>
      <c r="M384" t="s">
        <v>581</v>
      </c>
    </row>
    <row r="385" spans="1:13" x14ac:dyDescent="0.25">
      <c r="A385">
        <v>41234</v>
      </c>
      <c r="B385" s="33" t="s">
        <v>147</v>
      </c>
      <c r="C385" s="124" t="s">
        <v>132</v>
      </c>
      <c r="D385" s="144" t="s">
        <v>504</v>
      </c>
      <c r="E385" s="59" t="s">
        <v>505</v>
      </c>
      <c r="F385" s="54"/>
      <c r="G385" s="29"/>
      <c r="H385" s="53">
        <v>41234</v>
      </c>
      <c r="I385" s="53" t="s">
        <v>87</v>
      </c>
      <c r="M385" t="s">
        <v>581</v>
      </c>
    </row>
    <row r="386" spans="1:13" x14ac:dyDescent="0.25">
      <c r="A386">
        <v>72373</v>
      </c>
      <c r="B386" s="33" t="s">
        <v>147</v>
      </c>
      <c r="C386" s="124" t="s">
        <v>132</v>
      </c>
      <c r="D386" s="144" t="s">
        <v>506</v>
      </c>
      <c r="E386" s="59" t="s">
        <v>507</v>
      </c>
      <c r="F386" s="54"/>
      <c r="G386" s="29"/>
      <c r="H386" s="53">
        <v>72373</v>
      </c>
      <c r="I386" s="53" t="s">
        <v>87</v>
      </c>
      <c r="M386" t="s">
        <v>581</v>
      </c>
    </row>
    <row r="387" spans="1:13" x14ac:dyDescent="0.25">
      <c r="A387">
        <v>29708</v>
      </c>
      <c r="B387" s="33" t="s">
        <v>147</v>
      </c>
      <c r="C387" s="124" t="s">
        <v>132</v>
      </c>
      <c r="D387" s="144" t="s">
        <v>508</v>
      </c>
      <c r="E387" s="59" t="s">
        <v>509</v>
      </c>
      <c r="F387" s="54"/>
      <c r="G387" s="29"/>
      <c r="H387" s="53">
        <v>29708</v>
      </c>
      <c r="I387" s="53" t="s">
        <v>87</v>
      </c>
      <c r="M387" t="s">
        <v>581</v>
      </c>
    </row>
    <row r="388" spans="1:13" x14ac:dyDescent="0.25">
      <c r="A388">
        <v>9110</v>
      </c>
      <c r="B388" s="33" t="s">
        <v>147</v>
      </c>
      <c r="C388" s="124" t="s">
        <v>132</v>
      </c>
      <c r="D388" s="144" t="s">
        <v>510</v>
      </c>
      <c r="E388" s="59" t="s">
        <v>511</v>
      </c>
      <c r="F388" s="54"/>
      <c r="G388" s="29"/>
      <c r="H388" s="53">
        <v>9110</v>
      </c>
      <c r="I388" s="53" t="s">
        <v>87</v>
      </c>
      <c r="M388" t="s">
        <v>581</v>
      </c>
    </row>
    <row r="389" spans="1:13" x14ac:dyDescent="0.25">
      <c r="A389">
        <v>22104</v>
      </c>
      <c r="B389" s="33" t="s">
        <v>147</v>
      </c>
      <c r="C389" s="124" t="s">
        <v>132</v>
      </c>
      <c r="D389" s="144" t="s">
        <v>498</v>
      </c>
      <c r="E389" s="59" t="s">
        <v>499</v>
      </c>
      <c r="F389" s="54"/>
      <c r="G389" s="29"/>
      <c r="H389" s="53">
        <v>22104</v>
      </c>
      <c r="I389" s="53" t="s">
        <v>87</v>
      </c>
      <c r="M389" t="s">
        <v>581</v>
      </c>
    </row>
    <row r="390" spans="1:13" x14ac:dyDescent="0.25">
      <c r="A390">
        <v>57832</v>
      </c>
      <c r="B390" s="33" t="s">
        <v>147</v>
      </c>
      <c r="C390" s="124" t="s">
        <v>132</v>
      </c>
      <c r="D390" s="144" t="s">
        <v>496</v>
      </c>
      <c r="E390" s="59" t="s">
        <v>497</v>
      </c>
      <c r="F390" s="54"/>
      <c r="G390" s="29"/>
      <c r="H390" s="53">
        <v>57832</v>
      </c>
      <c r="I390" s="53" t="s">
        <v>87</v>
      </c>
      <c r="M390" t="s">
        <v>581</v>
      </c>
    </row>
    <row r="391" spans="1:13" x14ac:dyDescent="0.25">
      <c r="A391">
        <v>14376</v>
      </c>
      <c r="B391" s="33" t="s">
        <v>147</v>
      </c>
      <c r="C391" s="124" t="s">
        <v>132</v>
      </c>
      <c r="D391" s="144" t="s">
        <v>502</v>
      </c>
      <c r="E391" s="59" t="s">
        <v>503</v>
      </c>
      <c r="F391" s="54"/>
      <c r="G391" s="29"/>
      <c r="H391" s="53">
        <v>14376</v>
      </c>
      <c r="I391" s="53" t="s">
        <v>87</v>
      </c>
      <c r="M391" t="s">
        <v>581</v>
      </c>
    </row>
    <row r="392" spans="1:13" x14ac:dyDescent="0.25">
      <c r="A392">
        <v>43043</v>
      </c>
      <c r="B392" s="33" t="s">
        <v>147</v>
      </c>
      <c r="C392" s="124" t="s">
        <v>132</v>
      </c>
      <c r="D392" s="144" t="s">
        <v>500</v>
      </c>
      <c r="E392" s="59" t="s">
        <v>501</v>
      </c>
      <c r="F392" s="54"/>
      <c r="G392" s="29"/>
      <c r="H392" s="53">
        <v>43043</v>
      </c>
      <c r="I392" s="53" t="s">
        <v>87</v>
      </c>
      <c r="M392" t="s">
        <v>581</v>
      </c>
    </row>
    <row r="393" spans="1:13" x14ac:dyDescent="0.25">
      <c r="A393">
        <v>19116</v>
      </c>
      <c r="B393" s="33" t="s">
        <v>150</v>
      </c>
      <c r="C393" s="124" t="s">
        <v>125</v>
      </c>
      <c r="D393" s="144" t="s">
        <v>374</v>
      </c>
      <c r="E393" s="59" t="s">
        <v>375</v>
      </c>
      <c r="F393" s="54"/>
      <c r="G393" s="29"/>
      <c r="H393" s="53">
        <v>19116</v>
      </c>
      <c r="I393" s="53" t="s">
        <v>87</v>
      </c>
      <c r="M393" t="s">
        <v>581</v>
      </c>
    </row>
    <row r="394" spans="1:13" x14ac:dyDescent="0.25">
      <c r="A394">
        <v>32756</v>
      </c>
      <c r="B394" s="33" t="s">
        <v>150</v>
      </c>
      <c r="C394" s="124" t="s">
        <v>125</v>
      </c>
      <c r="D394" s="144" t="s">
        <v>376</v>
      </c>
      <c r="E394" s="59" t="s">
        <v>377</v>
      </c>
      <c r="F394" s="54"/>
      <c r="G394" s="29"/>
      <c r="H394" s="53">
        <v>32756</v>
      </c>
      <c r="I394" s="53" t="s">
        <v>87</v>
      </c>
      <c r="M394" t="s">
        <v>581</v>
      </c>
    </row>
    <row r="395" spans="1:13" x14ac:dyDescent="0.25">
      <c r="A395">
        <v>16752</v>
      </c>
      <c r="B395" s="33" t="s">
        <v>150</v>
      </c>
      <c r="C395" s="124" t="s">
        <v>125</v>
      </c>
      <c r="D395" s="144" t="s">
        <v>378</v>
      </c>
      <c r="E395" s="59" t="s">
        <v>379</v>
      </c>
      <c r="F395" s="54"/>
      <c r="G395" s="29"/>
      <c r="H395" s="53">
        <v>16752</v>
      </c>
      <c r="I395" s="53" t="s">
        <v>87</v>
      </c>
      <c r="M395" t="s">
        <v>581</v>
      </c>
    </row>
    <row r="396" spans="1:13" x14ac:dyDescent="0.25">
      <c r="A396">
        <v>41256</v>
      </c>
      <c r="B396" s="33" t="s">
        <v>150</v>
      </c>
      <c r="C396" s="124" t="s">
        <v>125</v>
      </c>
      <c r="D396" s="144" t="s">
        <v>370</v>
      </c>
      <c r="E396" s="59" t="s">
        <v>371</v>
      </c>
      <c r="F396" s="54"/>
      <c r="G396" s="29"/>
      <c r="H396" s="53">
        <v>41256</v>
      </c>
      <c r="I396" s="53" t="s">
        <v>87</v>
      </c>
      <c r="M396" t="s">
        <v>581</v>
      </c>
    </row>
    <row r="397" spans="1:13" x14ac:dyDescent="0.25">
      <c r="A397">
        <v>49843</v>
      </c>
      <c r="B397" s="33" t="s">
        <v>150</v>
      </c>
      <c r="C397" s="124" t="s">
        <v>125</v>
      </c>
      <c r="D397" s="144" t="s">
        <v>372</v>
      </c>
      <c r="E397" s="59" t="s">
        <v>373</v>
      </c>
      <c r="F397" s="54"/>
      <c r="G397" s="29"/>
      <c r="H397" s="53">
        <v>49843</v>
      </c>
      <c r="I397" s="53" t="s">
        <v>87</v>
      </c>
      <c r="M397" t="s">
        <v>581</v>
      </c>
    </row>
    <row r="398" spans="1:13" x14ac:dyDescent="0.25">
      <c r="A398">
        <v>29421</v>
      </c>
      <c r="B398" s="33" t="s">
        <v>150</v>
      </c>
      <c r="C398" s="124" t="s">
        <v>125</v>
      </c>
      <c r="D398" s="144" t="s">
        <v>380</v>
      </c>
      <c r="E398" s="59" t="s">
        <v>381</v>
      </c>
      <c r="F398" s="54"/>
      <c r="G398" s="29"/>
      <c r="H398" s="53">
        <v>29421</v>
      </c>
      <c r="I398" s="53" t="s">
        <v>87</v>
      </c>
      <c r="M398" t="s">
        <v>581</v>
      </c>
    </row>
    <row r="399" spans="1:13" x14ac:dyDescent="0.25">
      <c r="A399">
        <v>20340</v>
      </c>
      <c r="B399" s="33" t="s">
        <v>150</v>
      </c>
      <c r="C399" s="124" t="s">
        <v>125</v>
      </c>
      <c r="D399" s="144" t="s">
        <v>382</v>
      </c>
      <c r="E399" s="59" t="s">
        <v>383</v>
      </c>
      <c r="F399" s="54"/>
      <c r="G399" s="29"/>
      <c r="H399" s="53">
        <v>20340</v>
      </c>
      <c r="I399" s="53" t="s">
        <v>87</v>
      </c>
      <c r="M399" t="s">
        <v>581</v>
      </c>
    </row>
    <row r="400" spans="1:13" x14ac:dyDescent="0.25">
      <c r="A400">
        <v>69761</v>
      </c>
      <c r="B400" s="33" t="s">
        <v>141</v>
      </c>
      <c r="C400" s="124" t="s">
        <v>123</v>
      </c>
      <c r="D400" s="144" t="s">
        <v>143</v>
      </c>
      <c r="E400" s="59" t="s">
        <v>142</v>
      </c>
      <c r="F400" s="54"/>
      <c r="G400" s="29"/>
      <c r="H400" s="53">
        <v>69761</v>
      </c>
      <c r="I400" s="53" t="s">
        <v>87</v>
      </c>
      <c r="M400" t="s">
        <v>581</v>
      </c>
    </row>
    <row r="401" spans="1:13" x14ac:dyDescent="0.25">
      <c r="A401">
        <v>29435</v>
      </c>
      <c r="B401" s="33" t="s">
        <v>141</v>
      </c>
      <c r="C401" s="124" t="s">
        <v>123</v>
      </c>
      <c r="D401" s="144" t="s">
        <v>146</v>
      </c>
      <c r="E401" s="59" t="s">
        <v>145</v>
      </c>
      <c r="F401" s="54"/>
      <c r="G401" s="29"/>
      <c r="H401" s="53">
        <v>29435</v>
      </c>
      <c r="I401" s="53" t="s">
        <v>87</v>
      </c>
      <c r="M401" t="s">
        <v>581</v>
      </c>
    </row>
    <row r="402" spans="1:13" ht="28.5" x14ac:dyDescent="0.25">
      <c r="A402">
        <v>42700</v>
      </c>
      <c r="B402" s="33" t="s">
        <v>141</v>
      </c>
      <c r="C402" s="124" t="s">
        <v>123</v>
      </c>
      <c r="D402" s="144" t="s">
        <v>152</v>
      </c>
      <c r="E402" s="59" t="s">
        <v>151</v>
      </c>
      <c r="F402" s="54"/>
      <c r="G402" s="29"/>
      <c r="H402" s="53">
        <v>42700</v>
      </c>
      <c r="I402" s="53" t="s">
        <v>87</v>
      </c>
      <c r="M402" t="s">
        <v>581</v>
      </c>
    </row>
    <row r="403" spans="1:13" x14ac:dyDescent="0.25">
      <c r="A403">
        <v>25736</v>
      </c>
      <c r="B403" s="33" t="s">
        <v>141</v>
      </c>
      <c r="C403" s="124" t="s">
        <v>123</v>
      </c>
      <c r="D403" s="144" t="s">
        <v>149</v>
      </c>
      <c r="E403" s="59" t="s">
        <v>148</v>
      </c>
      <c r="F403" s="54"/>
      <c r="G403" s="29"/>
      <c r="H403" s="53">
        <v>25736</v>
      </c>
      <c r="I403" s="53" t="s">
        <v>87</v>
      </c>
      <c r="M403" t="s">
        <v>581</v>
      </c>
    </row>
    <row r="404" spans="1:13" ht="28.5" x14ac:dyDescent="0.25">
      <c r="A404">
        <v>111818</v>
      </c>
      <c r="B404" s="33" t="s">
        <v>141</v>
      </c>
      <c r="C404" s="124" t="s">
        <v>123</v>
      </c>
      <c r="D404" s="144" t="s">
        <v>154</v>
      </c>
      <c r="E404" s="59" t="s">
        <v>153</v>
      </c>
      <c r="F404" s="54"/>
      <c r="G404" s="29"/>
      <c r="H404" s="53">
        <v>111818</v>
      </c>
      <c r="I404" s="53" t="s">
        <v>87</v>
      </c>
      <c r="M404" t="s">
        <v>581</v>
      </c>
    </row>
    <row r="405" spans="1:13" x14ac:dyDescent="0.25">
      <c r="A405">
        <v>50328</v>
      </c>
      <c r="B405" s="33" t="s">
        <v>141</v>
      </c>
      <c r="C405" s="124" t="s">
        <v>123</v>
      </c>
      <c r="D405" s="144" t="s">
        <v>157</v>
      </c>
      <c r="E405" s="59" t="s">
        <v>156</v>
      </c>
      <c r="F405" s="54"/>
      <c r="G405" s="29"/>
      <c r="H405" s="53">
        <v>50328</v>
      </c>
      <c r="I405" s="53" t="s">
        <v>87</v>
      </c>
      <c r="M405" t="s">
        <v>581</v>
      </c>
    </row>
    <row r="406" spans="1:13" x14ac:dyDescent="0.25">
      <c r="A406">
        <v>54305.8</v>
      </c>
      <c r="B406" s="33" t="s">
        <v>141</v>
      </c>
      <c r="C406" s="124" t="s">
        <v>123</v>
      </c>
      <c r="D406" s="144" t="s">
        <v>160</v>
      </c>
      <c r="E406" s="59" t="s">
        <v>159</v>
      </c>
      <c r="F406" s="54"/>
      <c r="G406" s="29"/>
      <c r="H406" s="53">
        <v>54306</v>
      </c>
      <c r="I406" s="53" t="s">
        <v>87</v>
      </c>
      <c r="M406" t="s">
        <v>581</v>
      </c>
    </row>
    <row r="407" spans="1:13" ht="28.5" x14ac:dyDescent="0.25">
      <c r="A407">
        <v>74176</v>
      </c>
      <c r="B407" s="33" t="s">
        <v>141</v>
      </c>
      <c r="C407" s="124" t="s">
        <v>123</v>
      </c>
      <c r="D407" s="144" t="s">
        <v>166</v>
      </c>
      <c r="E407" s="59" t="s">
        <v>165</v>
      </c>
      <c r="F407" s="54"/>
      <c r="G407" s="29"/>
      <c r="H407" s="53">
        <v>74176</v>
      </c>
      <c r="I407" s="53" t="s">
        <v>87</v>
      </c>
      <c r="M407" t="s">
        <v>581</v>
      </c>
    </row>
    <row r="408" spans="1:13" x14ac:dyDescent="0.25">
      <c r="A408">
        <v>183690</v>
      </c>
      <c r="B408" s="33" t="s">
        <v>141</v>
      </c>
      <c r="C408" s="124" t="s">
        <v>123</v>
      </c>
      <c r="D408" s="144" t="s">
        <v>163</v>
      </c>
      <c r="E408" s="59" t="s">
        <v>162</v>
      </c>
      <c r="F408" s="54"/>
      <c r="G408" s="29"/>
      <c r="H408" s="53">
        <v>183690</v>
      </c>
      <c r="I408" s="53" t="s">
        <v>87</v>
      </c>
      <c r="M408" t="s">
        <v>581</v>
      </c>
    </row>
    <row r="409" spans="1:13" x14ac:dyDescent="0.25">
      <c r="A409">
        <v>49741</v>
      </c>
      <c r="B409" s="33" t="s">
        <v>155</v>
      </c>
      <c r="C409" s="124" t="s">
        <v>122</v>
      </c>
      <c r="D409" s="144" t="s">
        <v>172</v>
      </c>
      <c r="E409" s="59" t="s">
        <v>171</v>
      </c>
      <c r="F409" s="54"/>
      <c r="G409" s="29"/>
      <c r="H409" s="53">
        <v>49741</v>
      </c>
      <c r="I409" s="53" t="s">
        <v>87</v>
      </c>
      <c r="M409" t="s">
        <v>581</v>
      </c>
    </row>
    <row r="410" spans="1:13" x14ac:dyDescent="0.25">
      <c r="A410">
        <v>36649</v>
      </c>
      <c r="B410" s="33" t="s">
        <v>155</v>
      </c>
      <c r="C410" s="124" t="s">
        <v>122</v>
      </c>
      <c r="D410" s="144" t="s">
        <v>184</v>
      </c>
      <c r="E410" s="59" t="s">
        <v>183</v>
      </c>
      <c r="F410" s="54"/>
      <c r="G410" s="29"/>
      <c r="H410" s="53">
        <v>36649</v>
      </c>
      <c r="I410" s="53" t="s">
        <v>87</v>
      </c>
      <c r="M410" t="s">
        <v>581</v>
      </c>
    </row>
    <row r="411" spans="1:13" x14ac:dyDescent="0.25">
      <c r="A411">
        <v>88709</v>
      </c>
      <c r="B411" s="33" t="s">
        <v>155</v>
      </c>
      <c r="C411" s="124" t="s">
        <v>122</v>
      </c>
      <c r="D411" s="144" t="s">
        <v>175</v>
      </c>
      <c r="E411" s="59" t="s">
        <v>174</v>
      </c>
      <c r="F411" s="54"/>
      <c r="G411" s="29"/>
      <c r="H411" s="53">
        <v>88709</v>
      </c>
      <c r="I411" s="53" t="s">
        <v>87</v>
      </c>
      <c r="M411" t="s">
        <v>581</v>
      </c>
    </row>
    <row r="412" spans="1:13" x14ac:dyDescent="0.25">
      <c r="A412">
        <v>53903</v>
      </c>
      <c r="B412" s="33" t="s">
        <v>155</v>
      </c>
      <c r="C412" s="124" t="s">
        <v>122</v>
      </c>
      <c r="D412" s="144" t="s">
        <v>169</v>
      </c>
      <c r="E412" s="59" t="s">
        <v>168</v>
      </c>
      <c r="F412" s="54"/>
      <c r="G412" s="29"/>
      <c r="H412" s="53">
        <v>53903</v>
      </c>
      <c r="I412" s="53" t="s">
        <v>87</v>
      </c>
      <c r="M412" t="s">
        <v>581</v>
      </c>
    </row>
    <row r="413" spans="1:13" x14ac:dyDescent="0.25">
      <c r="A413">
        <v>7937</v>
      </c>
      <c r="B413" s="33" t="s">
        <v>155</v>
      </c>
      <c r="C413" s="124" t="s">
        <v>122</v>
      </c>
      <c r="D413" s="144" t="s">
        <v>181</v>
      </c>
      <c r="E413" s="59" t="s">
        <v>180</v>
      </c>
      <c r="F413" s="54"/>
      <c r="G413" s="29"/>
      <c r="H413" s="53">
        <v>7937</v>
      </c>
      <c r="I413" s="53" t="s">
        <v>87</v>
      </c>
      <c r="M413" t="s">
        <v>581</v>
      </c>
    </row>
    <row r="414" spans="1:13" x14ac:dyDescent="0.25">
      <c r="A414">
        <v>16376</v>
      </c>
      <c r="B414" s="33" t="s">
        <v>155</v>
      </c>
      <c r="C414" s="124" t="s">
        <v>122</v>
      </c>
      <c r="D414" s="144" t="s">
        <v>190</v>
      </c>
      <c r="E414" s="59" t="s">
        <v>189</v>
      </c>
      <c r="F414" s="54"/>
      <c r="G414" s="29"/>
      <c r="H414" s="53">
        <v>16376</v>
      </c>
      <c r="I414" s="53" t="s">
        <v>87</v>
      </c>
      <c r="M414" t="s">
        <v>581</v>
      </c>
    </row>
    <row r="415" spans="1:13" x14ac:dyDescent="0.25">
      <c r="A415">
        <v>84774</v>
      </c>
      <c r="B415" s="33" t="s">
        <v>155</v>
      </c>
      <c r="C415" s="124" t="s">
        <v>122</v>
      </c>
      <c r="D415" s="144" t="s">
        <v>187</v>
      </c>
      <c r="E415" s="59" t="s">
        <v>186</v>
      </c>
      <c r="F415" s="54"/>
      <c r="G415" s="29"/>
      <c r="H415" s="53">
        <v>84774</v>
      </c>
      <c r="I415" s="53" t="s">
        <v>87</v>
      </c>
      <c r="M415" t="s">
        <v>581</v>
      </c>
    </row>
    <row r="416" spans="1:13" x14ac:dyDescent="0.25">
      <c r="A416">
        <v>4032</v>
      </c>
      <c r="B416" s="33" t="s">
        <v>155</v>
      </c>
      <c r="C416" s="124" t="s">
        <v>122</v>
      </c>
      <c r="D416" s="144" t="s">
        <v>178</v>
      </c>
      <c r="E416" s="59" t="s">
        <v>177</v>
      </c>
      <c r="F416" s="54"/>
      <c r="G416" s="29"/>
      <c r="H416" s="53">
        <v>4032</v>
      </c>
      <c r="I416" s="53" t="s">
        <v>87</v>
      </c>
      <c r="M416" t="s">
        <v>581</v>
      </c>
    </row>
    <row r="417" spans="1:13" x14ac:dyDescent="0.25">
      <c r="A417">
        <v>4362.8999999999996</v>
      </c>
      <c r="B417" s="33" t="s">
        <v>155</v>
      </c>
      <c r="C417" s="124" t="s">
        <v>122</v>
      </c>
      <c r="D417" s="144" t="s">
        <v>193</v>
      </c>
      <c r="E417" s="59" t="s">
        <v>192</v>
      </c>
      <c r="F417" s="54"/>
      <c r="G417" s="29"/>
      <c r="H417" s="53">
        <v>4363</v>
      </c>
      <c r="I417" s="53" t="s">
        <v>87</v>
      </c>
      <c r="M417" t="s">
        <v>581</v>
      </c>
    </row>
    <row r="418" spans="1:13" x14ac:dyDescent="0.25">
      <c r="A418">
        <v>2966</v>
      </c>
      <c r="B418" s="33" t="s">
        <v>158</v>
      </c>
      <c r="C418" s="124" t="s">
        <v>129</v>
      </c>
      <c r="D418" s="144" t="s">
        <v>444</v>
      </c>
      <c r="E418" s="59" t="s">
        <v>445</v>
      </c>
      <c r="F418" s="54"/>
      <c r="G418" s="29"/>
      <c r="H418" s="53">
        <v>2966</v>
      </c>
      <c r="I418" s="53" t="s">
        <v>87</v>
      </c>
      <c r="M418" t="s">
        <v>581</v>
      </c>
    </row>
    <row r="419" spans="1:13" x14ac:dyDescent="0.25">
      <c r="A419">
        <v>11957</v>
      </c>
      <c r="B419" s="33" t="s">
        <v>158</v>
      </c>
      <c r="C419" s="124" t="s">
        <v>129</v>
      </c>
      <c r="D419" s="144" t="s">
        <v>446</v>
      </c>
      <c r="E419" s="59" t="s">
        <v>447</v>
      </c>
      <c r="F419" s="54"/>
      <c r="G419" s="29"/>
      <c r="H419" s="53">
        <v>11957</v>
      </c>
      <c r="I419" s="53" t="s">
        <v>87</v>
      </c>
      <c r="M419" t="s">
        <v>581</v>
      </c>
    </row>
    <row r="420" spans="1:13" x14ac:dyDescent="0.25">
      <c r="A420">
        <v>14593</v>
      </c>
      <c r="B420" s="33" t="s">
        <v>158</v>
      </c>
      <c r="C420" s="124" t="s">
        <v>129</v>
      </c>
      <c r="D420" s="144" t="s">
        <v>448</v>
      </c>
      <c r="E420" s="59" t="s">
        <v>449</v>
      </c>
      <c r="F420" s="54"/>
      <c r="G420" s="29"/>
      <c r="H420" s="53">
        <v>14593</v>
      </c>
      <c r="I420" s="53" t="s">
        <v>87</v>
      </c>
      <c r="M420" t="s">
        <v>581</v>
      </c>
    </row>
    <row r="421" spans="1:13" ht="42.75" x14ac:dyDescent="0.25">
      <c r="A421">
        <v>8355</v>
      </c>
      <c r="B421" s="33" t="s">
        <v>158</v>
      </c>
      <c r="C421" s="124" t="s">
        <v>129</v>
      </c>
      <c r="D421" s="144" t="s">
        <v>454</v>
      </c>
      <c r="E421" s="59" t="s">
        <v>455</v>
      </c>
      <c r="F421" s="54"/>
      <c r="G421" s="29"/>
      <c r="H421" s="53">
        <v>8355</v>
      </c>
      <c r="I421" s="53" t="s">
        <v>87</v>
      </c>
      <c r="M421" t="s">
        <v>581</v>
      </c>
    </row>
    <row r="422" spans="1:13" x14ac:dyDescent="0.25">
      <c r="A422">
        <v>41607</v>
      </c>
      <c r="B422" s="33" t="s">
        <v>158</v>
      </c>
      <c r="C422" s="124" t="s">
        <v>129</v>
      </c>
      <c r="D422" s="144" t="s">
        <v>462</v>
      </c>
      <c r="E422" s="59" t="s">
        <v>463</v>
      </c>
      <c r="F422" s="54"/>
      <c r="G422" s="29"/>
      <c r="H422" s="53">
        <v>41607</v>
      </c>
      <c r="I422" s="53" t="s">
        <v>87</v>
      </c>
      <c r="M422" t="s">
        <v>581</v>
      </c>
    </row>
    <row r="423" spans="1:13" x14ac:dyDescent="0.25">
      <c r="A423">
        <v>18745</v>
      </c>
      <c r="B423" s="33" t="s">
        <v>158</v>
      </c>
      <c r="C423" s="124" t="s">
        <v>129</v>
      </c>
      <c r="D423" s="144" t="s">
        <v>450</v>
      </c>
      <c r="E423" s="59" t="s">
        <v>451</v>
      </c>
      <c r="F423" s="54"/>
      <c r="G423" s="29"/>
      <c r="H423" s="53">
        <v>18745</v>
      </c>
      <c r="I423" s="53" t="s">
        <v>87</v>
      </c>
      <c r="M423" t="s">
        <v>581</v>
      </c>
    </row>
    <row r="424" spans="1:13" x14ac:dyDescent="0.25">
      <c r="A424">
        <v>36565</v>
      </c>
      <c r="B424" s="33" t="s">
        <v>158</v>
      </c>
      <c r="C424" s="124" t="s">
        <v>129</v>
      </c>
      <c r="D424" s="144" t="s">
        <v>466</v>
      </c>
      <c r="E424" s="59" t="s">
        <v>467</v>
      </c>
      <c r="F424" s="54"/>
      <c r="G424" s="29"/>
      <c r="H424" s="53">
        <v>36565</v>
      </c>
      <c r="I424" s="53" t="s">
        <v>87</v>
      </c>
      <c r="M424" t="s">
        <v>581</v>
      </c>
    </row>
    <row r="425" spans="1:13" x14ac:dyDescent="0.25">
      <c r="A425">
        <v>30676</v>
      </c>
      <c r="B425" s="33" t="s">
        <v>158</v>
      </c>
      <c r="C425" s="124" t="s">
        <v>129</v>
      </c>
      <c r="D425" s="144" t="s">
        <v>452</v>
      </c>
      <c r="E425" s="59" t="s">
        <v>453</v>
      </c>
      <c r="F425" s="54"/>
      <c r="G425" s="29"/>
      <c r="H425" s="53">
        <v>30676</v>
      </c>
      <c r="I425" s="53" t="s">
        <v>87</v>
      </c>
      <c r="M425" t="s">
        <v>581</v>
      </c>
    </row>
    <row r="426" spans="1:13" x14ac:dyDescent="0.25">
      <c r="A426">
        <v>12202</v>
      </c>
      <c r="B426" s="33" t="s">
        <v>158</v>
      </c>
      <c r="C426" s="124" t="s">
        <v>129</v>
      </c>
      <c r="D426" s="144" t="s">
        <v>456</v>
      </c>
      <c r="E426" s="59" t="s">
        <v>457</v>
      </c>
      <c r="F426" s="54"/>
      <c r="G426" s="29"/>
      <c r="H426" s="53">
        <v>12202</v>
      </c>
      <c r="I426" s="53" t="s">
        <v>87</v>
      </c>
      <c r="M426" t="s">
        <v>581</v>
      </c>
    </row>
    <row r="427" spans="1:13" ht="28.5" x14ac:dyDescent="0.25">
      <c r="A427">
        <v>45673</v>
      </c>
      <c r="B427" s="33" t="s">
        <v>158</v>
      </c>
      <c r="C427" s="124" t="s">
        <v>129</v>
      </c>
      <c r="D427" s="144" t="s">
        <v>464</v>
      </c>
      <c r="E427" s="59" t="s">
        <v>465</v>
      </c>
      <c r="F427" s="54"/>
      <c r="G427" s="29"/>
      <c r="H427" s="53">
        <v>45673</v>
      </c>
      <c r="I427" s="53" t="s">
        <v>87</v>
      </c>
      <c r="M427" t="s">
        <v>581</v>
      </c>
    </row>
    <row r="428" spans="1:13" ht="28.5" x14ac:dyDescent="0.25">
      <c r="A428">
        <v>72357</v>
      </c>
      <c r="B428" s="33" t="s">
        <v>158</v>
      </c>
      <c r="C428" s="124" t="s">
        <v>129</v>
      </c>
      <c r="D428" s="144" t="s">
        <v>458</v>
      </c>
      <c r="E428" s="59" t="s">
        <v>459</v>
      </c>
      <c r="F428" s="54"/>
      <c r="G428" s="29"/>
      <c r="H428" s="53">
        <v>72357</v>
      </c>
      <c r="I428" s="53" t="s">
        <v>87</v>
      </c>
      <c r="M428" t="s">
        <v>581</v>
      </c>
    </row>
    <row r="429" spans="1:13" ht="28.5" x14ac:dyDescent="0.25">
      <c r="A429">
        <v>37374</v>
      </c>
      <c r="B429" s="33" t="s">
        <v>158</v>
      </c>
      <c r="C429" s="124" t="s">
        <v>129</v>
      </c>
      <c r="D429" s="144" t="s">
        <v>460</v>
      </c>
      <c r="E429" s="59" t="s">
        <v>461</v>
      </c>
      <c r="F429" s="54"/>
      <c r="G429" s="29"/>
      <c r="H429" s="53">
        <v>37374</v>
      </c>
      <c r="I429" s="53" t="s">
        <v>87</v>
      </c>
      <c r="M429" t="s">
        <v>581</v>
      </c>
    </row>
    <row r="430" spans="1:13" ht="28.5" x14ac:dyDescent="0.25">
      <c r="A430">
        <v>33448</v>
      </c>
      <c r="B430" s="33" t="s">
        <v>161</v>
      </c>
      <c r="C430" s="124" t="s">
        <v>128</v>
      </c>
      <c r="D430" s="144" t="s">
        <v>422</v>
      </c>
      <c r="E430" s="59" t="s">
        <v>423</v>
      </c>
      <c r="F430" s="54"/>
      <c r="G430" s="29"/>
      <c r="H430" s="53">
        <v>33448</v>
      </c>
      <c r="I430" s="53" t="s">
        <v>87</v>
      </c>
      <c r="M430" t="s">
        <v>581</v>
      </c>
    </row>
    <row r="431" spans="1:13" ht="28.5" x14ac:dyDescent="0.25">
      <c r="A431">
        <v>45576</v>
      </c>
      <c r="B431" s="33" t="s">
        <v>161</v>
      </c>
      <c r="C431" s="124" t="s">
        <v>128</v>
      </c>
      <c r="D431" s="144" t="s">
        <v>424</v>
      </c>
      <c r="E431" s="59" t="s">
        <v>425</v>
      </c>
      <c r="F431" s="54"/>
      <c r="G431" s="29"/>
      <c r="H431" s="53">
        <v>45576</v>
      </c>
      <c r="I431" s="53" t="s">
        <v>87</v>
      </c>
      <c r="M431" t="s">
        <v>581</v>
      </c>
    </row>
    <row r="432" spans="1:13" x14ac:dyDescent="0.25">
      <c r="A432">
        <v>690</v>
      </c>
      <c r="B432" s="33" t="s">
        <v>161</v>
      </c>
      <c r="C432" s="124" t="s">
        <v>128</v>
      </c>
      <c r="D432" s="144" t="s">
        <v>428</v>
      </c>
      <c r="E432" s="59" t="s">
        <v>429</v>
      </c>
      <c r="F432" s="54"/>
      <c r="G432" s="29"/>
      <c r="H432" s="53">
        <v>690</v>
      </c>
      <c r="I432" s="53" t="s">
        <v>87</v>
      </c>
      <c r="M432" t="s">
        <v>581</v>
      </c>
    </row>
    <row r="433" spans="1:13" ht="28.5" x14ac:dyDescent="0.25">
      <c r="A433">
        <v>0</v>
      </c>
      <c r="B433" s="33" t="s">
        <v>161</v>
      </c>
      <c r="C433" s="124" t="s">
        <v>128</v>
      </c>
      <c r="D433" s="144" t="s">
        <v>426</v>
      </c>
      <c r="E433" s="59" t="s">
        <v>427</v>
      </c>
      <c r="F433" s="54"/>
      <c r="G433" s="29"/>
      <c r="H433" s="53">
        <v>0</v>
      </c>
      <c r="I433" s="53" t="s">
        <v>87</v>
      </c>
      <c r="M433" t="s">
        <v>581</v>
      </c>
    </row>
    <row r="434" spans="1:13" ht="28.5" x14ac:dyDescent="0.25">
      <c r="A434">
        <v>0</v>
      </c>
      <c r="B434" s="33" t="s">
        <v>161</v>
      </c>
      <c r="C434" s="124" t="s">
        <v>128</v>
      </c>
      <c r="D434" s="144" t="s">
        <v>434</v>
      </c>
      <c r="E434" s="59" t="s">
        <v>435</v>
      </c>
      <c r="F434" s="54"/>
      <c r="G434" s="29"/>
      <c r="H434" s="53">
        <v>0</v>
      </c>
      <c r="I434" s="53" t="s">
        <v>87</v>
      </c>
      <c r="M434" t="s">
        <v>581</v>
      </c>
    </row>
    <row r="435" spans="1:13" x14ac:dyDescent="0.25">
      <c r="A435">
        <v>28823</v>
      </c>
      <c r="B435" s="33" t="s">
        <v>161</v>
      </c>
      <c r="C435" s="124" t="s">
        <v>128</v>
      </c>
      <c r="D435" s="144" t="s">
        <v>430</v>
      </c>
      <c r="E435" s="59" t="s">
        <v>431</v>
      </c>
      <c r="F435" s="54"/>
      <c r="G435" s="29"/>
      <c r="H435" s="53">
        <v>28823</v>
      </c>
      <c r="I435" s="53" t="s">
        <v>87</v>
      </c>
      <c r="M435" t="s">
        <v>581</v>
      </c>
    </row>
    <row r="436" spans="1:13" ht="28.5" x14ac:dyDescent="0.25">
      <c r="A436">
        <v>18506</v>
      </c>
      <c r="B436" s="33" t="s">
        <v>161</v>
      </c>
      <c r="C436" s="124" t="s">
        <v>128</v>
      </c>
      <c r="D436" s="144" t="s">
        <v>438</v>
      </c>
      <c r="E436" s="59" t="s">
        <v>439</v>
      </c>
      <c r="F436" s="54"/>
      <c r="G436" s="29"/>
      <c r="H436" s="53">
        <v>18506</v>
      </c>
      <c r="I436" s="53" t="s">
        <v>87</v>
      </c>
      <c r="M436" t="s">
        <v>581</v>
      </c>
    </row>
    <row r="437" spans="1:13" x14ac:dyDescent="0.25">
      <c r="A437">
        <v>2391</v>
      </c>
      <c r="B437" s="33" t="s">
        <v>161</v>
      </c>
      <c r="C437" s="124" t="s">
        <v>128</v>
      </c>
      <c r="D437" s="144" t="s">
        <v>442</v>
      </c>
      <c r="E437" s="59" t="s">
        <v>443</v>
      </c>
      <c r="F437" s="54"/>
      <c r="G437" s="29"/>
      <c r="H437" s="53">
        <v>2391</v>
      </c>
      <c r="I437" s="53" t="s">
        <v>87</v>
      </c>
      <c r="M437" t="s">
        <v>581</v>
      </c>
    </row>
    <row r="438" spans="1:13" ht="28.5" x14ac:dyDescent="0.25">
      <c r="A438">
        <v>3415</v>
      </c>
      <c r="B438" s="33" t="s">
        <v>161</v>
      </c>
      <c r="C438" s="124" t="s">
        <v>128</v>
      </c>
      <c r="D438" s="144" t="s">
        <v>432</v>
      </c>
      <c r="E438" s="59" t="s">
        <v>433</v>
      </c>
      <c r="F438" s="54"/>
      <c r="G438" s="29"/>
      <c r="H438" s="53">
        <v>3415</v>
      </c>
      <c r="I438" s="53" t="s">
        <v>87</v>
      </c>
      <c r="M438" t="s">
        <v>581</v>
      </c>
    </row>
    <row r="439" spans="1:13" x14ac:dyDescent="0.25">
      <c r="A439">
        <v>1855</v>
      </c>
      <c r="B439" s="33" t="s">
        <v>161</v>
      </c>
      <c r="C439" s="124" t="s">
        <v>128</v>
      </c>
      <c r="D439" s="144" t="s">
        <v>436</v>
      </c>
      <c r="E439" s="59" t="s">
        <v>437</v>
      </c>
      <c r="F439" s="54"/>
      <c r="G439" s="29"/>
      <c r="H439" s="53">
        <v>1855</v>
      </c>
      <c r="I439" s="53" t="s">
        <v>87</v>
      </c>
      <c r="M439" t="s">
        <v>581</v>
      </c>
    </row>
    <row r="440" spans="1:13" ht="28.5" x14ac:dyDescent="0.25">
      <c r="A440">
        <v>73508</v>
      </c>
      <c r="B440" s="33" t="s">
        <v>161</v>
      </c>
      <c r="C440" s="124" t="s">
        <v>128</v>
      </c>
      <c r="D440" s="144" t="s">
        <v>440</v>
      </c>
      <c r="E440" s="59" t="s">
        <v>441</v>
      </c>
      <c r="F440" s="54"/>
      <c r="G440" s="29"/>
      <c r="H440" s="53">
        <v>73508</v>
      </c>
      <c r="I440" s="53" t="s">
        <v>87</v>
      </c>
      <c r="M440" t="s">
        <v>581</v>
      </c>
    </row>
    <row r="441" spans="1:13" x14ac:dyDescent="0.25">
      <c r="A441">
        <v>9967</v>
      </c>
      <c r="B441" s="33" t="s">
        <v>164</v>
      </c>
      <c r="C441" s="124" t="s">
        <v>118</v>
      </c>
      <c r="D441" s="144" t="s">
        <v>327</v>
      </c>
      <c r="E441" s="59" t="s">
        <v>328</v>
      </c>
      <c r="F441" s="54"/>
      <c r="G441" s="29"/>
      <c r="H441" s="53">
        <v>9967</v>
      </c>
      <c r="I441" s="53" t="s">
        <v>87</v>
      </c>
      <c r="M441" t="s">
        <v>581</v>
      </c>
    </row>
    <row r="442" spans="1:13" x14ac:dyDescent="0.25">
      <c r="A442">
        <v>22064</v>
      </c>
      <c r="B442" s="33" t="s">
        <v>164</v>
      </c>
      <c r="C442" s="124" t="s">
        <v>118</v>
      </c>
      <c r="D442" s="144" t="s">
        <v>323</v>
      </c>
      <c r="E442" s="59" t="s">
        <v>324</v>
      </c>
      <c r="F442" s="54"/>
      <c r="G442" s="29"/>
      <c r="H442" s="53">
        <v>22064</v>
      </c>
      <c r="I442" s="53" t="s">
        <v>87</v>
      </c>
      <c r="M442" t="s">
        <v>581</v>
      </c>
    </row>
    <row r="443" spans="1:13" x14ac:dyDescent="0.25">
      <c r="A443">
        <v>10477</v>
      </c>
      <c r="B443" s="33" t="s">
        <v>164</v>
      </c>
      <c r="C443" s="124" t="s">
        <v>118</v>
      </c>
      <c r="D443" s="144" t="s">
        <v>331</v>
      </c>
      <c r="E443" s="59" t="s">
        <v>332</v>
      </c>
      <c r="F443" s="54"/>
      <c r="G443" s="29"/>
      <c r="H443" s="53">
        <v>10477</v>
      </c>
      <c r="I443" s="53" t="s">
        <v>87</v>
      </c>
      <c r="M443" t="s">
        <v>581</v>
      </c>
    </row>
    <row r="444" spans="1:13" x14ac:dyDescent="0.25">
      <c r="A444">
        <v>20760</v>
      </c>
      <c r="B444" s="33" t="s">
        <v>164</v>
      </c>
      <c r="C444" s="124" t="s">
        <v>118</v>
      </c>
      <c r="D444" s="144" t="s">
        <v>164</v>
      </c>
      <c r="E444" s="59" t="s">
        <v>335</v>
      </c>
      <c r="F444" s="54"/>
      <c r="G444" s="29"/>
      <c r="H444" s="53">
        <v>20760</v>
      </c>
      <c r="I444" s="53" t="s">
        <v>87</v>
      </c>
      <c r="M444" t="s">
        <v>581</v>
      </c>
    </row>
    <row r="445" spans="1:13" x14ac:dyDescent="0.25">
      <c r="A445">
        <v>22780</v>
      </c>
      <c r="B445" s="33" t="s">
        <v>164</v>
      </c>
      <c r="C445" s="124" t="s">
        <v>118</v>
      </c>
      <c r="D445" s="144" t="s">
        <v>329</v>
      </c>
      <c r="E445" s="59" t="s">
        <v>330</v>
      </c>
      <c r="F445" s="54"/>
      <c r="G445" s="29"/>
      <c r="H445" s="53">
        <v>22780</v>
      </c>
      <c r="I445" s="53" t="s">
        <v>87</v>
      </c>
      <c r="M445" t="s">
        <v>581</v>
      </c>
    </row>
    <row r="446" spans="1:13" x14ac:dyDescent="0.25">
      <c r="A446">
        <v>11185</v>
      </c>
      <c r="B446" s="33" t="s">
        <v>164</v>
      </c>
      <c r="C446" s="124" t="s">
        <v>118</v>
      </c>
      <c r="D446" s="144" t="s">
        <v>325</v>
      </c>
      <c r="E446" s="59" t="s">
        <v>326</v>
      </c>
      <c r="F446" s="54"/>
      <c r="G446" s="29"/>
      <c r="H446" s="53">
        <v>11185</v>
      </c>
      <c r="I446" s="53" t="s">
        <v>87</v>
      </c>
      <c r="M446" t="s">
        <v>581</v>
      </c>
    </row>
    <row r="447" spans="1:13" x14ac:dyDescent="0.25">
      <c r="A447">
        <v>9936</v>
      </c>
      <c r="B447" s="33" t="s">
        <v>164</v>
      </c>
      <c r="C447" s="124" t="s">
        <v>118</v>
      </c>
      <c r="D447" s="144" t="s">
        <v>333</v>
      </c>
      <c r="E447" s="59" t="s">
        <v>334</v>
      </c>
      <c r="F447" s="54"/>
      <c r="G447" s="29"/>
      <c r="H447" s="53">
        <v>9936</v>
      </c>
      <c r="I447" s="53" t="s">
        <v>87</v>
      </c>
      <c r="M447" t="s">
        <v>581</v>
      </c>
    </row>
    <row r="448" spans="1:13" x14ac:dyDescent="0.25">
      <c r="A448">
        <v>304635</v>
      </c>
      <c r="B448" s="33" t="s">
        <v>167</v>
      </c>
      <c r="C448" s="124" t="s">
        <v>119</v>
      </c>
      <c r="D448" s="144" t="s">
        <v>199</v>
      </c>
      <c r="E448" s="59" t="s">
        <v>198</v>
      </c>
      <c r="F448" s="54"/>
      <c r="G448" s="29"/>
      <c r="H448" s="53">
        <v>304635</v>
      </c>
      <c r="I448" s="53" t="s">
        <v>87</v>
      </c>
      <c r="M448" t="s">
        <v>581</v>
      </c>
    </row>
    <row r="449" spans="1:13" x14ac:dyDescent="0.25">
      <c r="A449">
        <v>1750</v>
      </c>
      <c r="B449" s="33" t="s">
        <v>167</v>
      </c>
      <c r="C449" s="124" t="s">
        <v>119</v>
      </c>
      <c r="D449" s="144" t="s">
        <v>201</v>
      </c>
      <c r="E449" s="59" t="s">
        <v>200</v>
      </c>
      <c r="F449" s="54"/>
      <c r="G449" s="29"/>
      <c r="H449" s="53">
        <v>1750</v>
      </c>
      <c r="I449" s="53" t="s">
        <v>87</v>
      </c>
      <c r="M449" t="s">
        <v>581</v>
      </c>
    </row>
    <row r="450" spans="1:13" x14ac:dyDescent="0.25">
      <c r="A450">
        <v>32704</v>
      </c>
      <c r="B450" s="33" t="s">
        <v>167</v>
      </c>
      <c r="C450" s="124" t="s">
        <v>119</v>
      </c>
      <c r="D450" s="144" t="s">
        <v>225</v>
      </c>
      <c r="E450" s="59" t="s">
        <v>224</v>
      </c>
      <c r="F450" s="54"/>
      <c r="G450" s="29"/>
      <c r="H450" s="53">
        <v>32704</v>
      </c>
      <c r="I450" s="53" t="s">
        <v>87</v>
      </c>
      <c r="M450" t="s">
        <v>581</v>
      </c>
    </row>
    <row r="451" spans="1:13" x14ac:dyDescent="0.25">
      <c r="A451">
        <v>3990</v>
      </c>
      <c r="B451" s="33" t="s">
        <v>167</v>
      </c>
      <c r="C451" s="124" t="s">
        <v>119</v>
      </c>
      <c r="D451" s="144" t="s">
        <v>203</v>
      </c>
      <c r="E451" s="59" t="s">
        <v>202</v>
      </c>
      <c r="F451" s="54"/>
      <c r="G451" s="29"/>
      <c r="H451" s="53">
        <v>3990</v>
      </c>
      <c r="I451" s="53" t="s">
        <v>87</v>
      </c>
      <c r="M451" t="s">
        <v>581</v>
      </c>
    </row>
    <row r="452" spans="1:13" x14ac:dyDescent="0.25">
      <c r="A452">
        <v>11546</v>
      </c>
      <c r="B452" s="33" t="s">
        <v>167</v>
      </c>
      <c r="C452" s="124" t="s">
        <v>119</v>
      </c>
      <c r="D452" s="144" t="s">
        <v>205</v>
      </c>
      <c r="E452" s="59" t="s">
        <v>204</v>
      </c>
      <c r="F452" s="54"/>
      <c r="G452" s="29"/>
      <c r="H452" s="53">
        <v>11546</v>
      </c>
      <c r="I452" s="53" t="s">
        <v>87</v>
      </c>
      <c r="M452" t="s">
        <v>581</v>
      </c>
    </row>
    <row r="453" spans="1:13" x14ac:dyDescent="0.25">
      <c r="A453">
        <v>350</v>
      </c>
      <c r="B453" s="33" t="s">
        <v>167</v>
      </c>
      <c r="C453" s="124" t="s">
        <v>119</v>
      </c>
      <c r="D453" s="144" t="s">
        <v>207</v>
      </c>
      <c r="E453" s="59" t="s">
        <v>206</v>
      </c>
      <c r="F453" s="54"/>
      <c r="G453" s="29"/>
      <c r="H453" s="53">
        <v>350</v>
      </c>
      <c r="I453" s="53" t="s">
        <v>87</v>
      </c>
      <c r="M453" t="s">
        <v>581</v>
      </c>
    </row>
    <row r="454" spans="1:13" x14ac:dyDescent="0.25">
      <c r="A454">
        <v>4815</v>
      </c>
      <c r="B454" s="33" t="s">
        <v>167</v>
      </c>
      <c r="C454" s="124" t="s">
        <v>119</v>
      </c>
      <c r="D454" s="144" t="s">
        <v>229</v>
      </c>
      <c r="E454" s="59" t="s">
        <v>228</v>
      </c>
      <c r="F454" s="54"/>
      <c r="G454" s="29"/>
      <c r="H454" s="53">
        <v>4815</v>
      </c>
      <c r="I454" s="53" t="s">
        <v>87</v>
      </c>
      <c r="M454" t="s">
        <v>581</v>
      </c>
    </row>
    <row r="455" spans="1:13" x14ac:dyDescent="0.25">
      <c r="A455">
        <v>55166</v>
      </c>
      <c r="B455" s="33" t="s">
        <v>167</v>
      </c>
      <c r="C455" s="124" t="s">
        <v>119</v>
      </c>
      <c r="D455" s="144" t="s">
        <v>196</v>
      </c>
      <c r="E455" s="59" t="s">
        <v>195</v>
      </c>
      <c r="F455" s="54"/>
      <c r="G455" s="29"/>
      <c r="H455" s="53">
        <v>55166</v>
      </c>
      <c r="I455" s="53" t="s">
        <v>87</v>
      </c>
      <c r="M455" t="s">
        <v>581</v>
      </c>
    </row>
    <row r="456" spans="1:13" x14ac:dyDescent="0.25">
      <c r="A456">
        <v>32047</v>
      </c>
      <c r="B456" s="33" t="s">
        <v>167</v>
      </c>
      <c r="C456" s="124" t="s">
        <v>119</v>
      </c>
      <c r="D456" s="144" t="s">
        <v>211</v>
      </c>
      <c r="E456" s="59" t="s">
        <v>210</v>
      </c>
      <c r="F456" s="54"/>
      <c r="G456" s="29"/>
      <c r="H456" s="53">
        <v>32047</v>
      </c>
      <c r="I456" s="53" t="s">
        <v>87</v>
      </c>
      <c r="M456" t="s">
        <v>581</v>
      </c>
    </row>
    <row r="457" spans="1:13" x14ac:dyDescent="0.25">
      <c r="A457">
        <v>7818</v>
      </c>
      <c r="B457" s="33" t="s">
        <v>167</v>
      </c>
      <c r="C457" s="124" t="s">
        <v>119</v>
      </c>
      <c r="D457" s="144" t="s">
        <v>213</v>
      </c>
      <c r="E457" s="59" t="s">
        <v>212</v>
      </c>
      <c r="F457" s="54"/>
      <c r="G457" s="29"/>
      <c r="H457" s="53">
        <v>7818</v>
      </c>
      <c r="I457" s="53" t="s">
        <v>87</v>
      </c>
      <c r="M457" t="s">
        <v>581</v>
      </c>
    </row>
    <row r="458" spans="1:13" x14ac:dyDescent="0.25">
      <c r="A458">
        <v>255</v>
      </c>
      <c r="B458" s="33" t="s">
        <v>167</v>
      </c>
      <c r="C458" s="124" t="s">
        <v>119</v>
      </c>
      <c r="D458" s="144" t="s">
        <v>223</v>
      </c>
      <c r="E458" s="59" t="s">
        <v>222</v>
      </c>
      <c r="F458" s="54"/>
      <c r="G458" s="29"/>
      <c r="H458" s="53">
        <v>255</v>
      </c>
      <c r="I458" s="53" t="s">
        <v>87</v>
      </c>
      <c r="M458" t="s">
        <v>581</v>
      </c>
    </row>
    <row r="459" spans="1:13" x14ac:dyDescent="0.25">
      <c r="A459">
        <v>13945.800000000003</v>
      </c>
      <c r="B459" s="33" t="s">
        <v>167</v>
      </c>
      <c r="C459" s="124" t="s">
        <v>119</v>
      </c>
      <c r="D459" s="144" t="s">
        <v>215</v>
      </c>
      <c r="E459" s="59" t="s">
        <v>214</v>
      </c>
      <c r="F459" s="54"/>
      <c r="G459" s="29"/>
      <c r="H459" s="53">
        <v>13946</v>
      </c>
      <c r="I459" s="53" t="s">
        <v>87</v>
      </c>
      <c r="M459" t="s">
        <v>581</v>
      </c>
    </row>
    <row r="460" spans="1:13" x14ac:dyDescent="0.25">
      <c r="A460">
        <v>21554</v>
      </c>
      <c r="B460" s="33" t="s">
        <v>167</v>
      </c>
      <c r="C460" s="124" t="s">
        <v>119</v>
      </c>
      <c r="D460" s="144" t="s">
        <v>217</v>
      </c>
      <c r="E460" s="59" t="s">
        <v>216</v>
      </c>
      <c r="F460" s="54"/>
      <c r="G460" s="29"/>
      <c r="H460" s="53">
        <v>21554</v>
      </c>
      <c r="I460" s="53" t="s">
        <v>87</v>
      </c>
      <c r="M460" t="s">
        <v>581</v>
      </c>
    </row>
    <row r="461" spans="1:13" x14ac:dyDescent="0.25">
      <c r="A461">
        <v>78644</v>
      </c>
      <c r="B461" s="33" t="s">
        <v>167</v>
      </c>
      <c r="C461" s="124" t="s">
        <v>119</v>
      </c>
      <c r="D461" s="144" t="s">
        <v>219</v>
      </c>
      <c r="E461" s="59" t="s">
        <v>218</v>
      </c>
      <c r="F461" s="54"/>
      <c r="G461" s="29"/>
      <c r="H461" s="53">
        <v>78644</v>
      </c>
      <c r="I461" s="53" t="s">
        <v>87</v>
      </c>
      <c r="M461" t="s">
        <v>581</v>
      </c>
    </row>
    <row r="462" spans="1:13" x14ac:dyDescent="0.25">
      <c r="A462">
        <v>3885</v>
      </c>
      <c r="B462" s="33" t="s">
        <v>167</v>
      </c>
      <c r="C462" s="124" t="s">
        <v>119</v>
      </c>
      <c r="D462" s="144" t="s">
        <v>227</v>
      </c>
      <c r="E462" s="59" t="s">
        <v>226</v>
      </c>
      <c r="F462" s="54"/>
      <c r="G462" s="29"/>
      <c r="H462" s="53">
        <v>3885</v>
      </c>
      <c r="I462" s="53" t="s">
        <v>87</v>
      </c>
      <c r="M462" t="s">
        <v>581</v>
      </c>
    </row>
    <row r="463" spans="1:13" x14ac:dyDescent="0.25">
      <c r="A463">
        <v>827</v>
      </c>
      <c r="B463" s="33" t="s">
        <v>167</v>
      </c>
      <c r="C463" s="124" t="s">
        <v>119</v>
      </c>
      <c r="D463" s="144" t="s">
        <v>209</v>
      </c>
      <c r="E463" s="59" t="s">
        <v>208</v>
      </c>
      <c r="F463" s="54"/>
      <c r="G463" s="29"/>
      <c r="H463" s="53">
        <v>827</v>
      </c>
      <c r="I463" s="53" t="s">
        <v>87</v>
      </c>
      <c r="M463" t="s">
        <v>581</v>
      </c>
    </row>
    <row r="464" spans="1:13" x14ac:dyDescent="0.25">
      <c r="A464">
        <v>750</v>
      </c>
      <c r="B464" s="33" t="s">
        <v>167</v>
      </c>
      <c r="C464" s="124" t="s">
        <v>119</v>
      </c>
      <c r="D464" s="144" t="s">
        <v>221</v>
      </c>
      <c r="E464" s="59" t="s">
        <v>220</v>
      </c>
      <c r="F464" s="54"/>
      <c r="G464" s="29"/>
      <c r="H464" s="53">
        <v>750</v>
      </c>
      <c r="I464" s="53" t="s">
        <v>87</v>
      </c>
      <c r="M464" t="s">
        <v>581</v>
      </c>
    </row>
    <row r="465" spans="1:13" x14ac:dyDescent="0.25">
      <c r="A465">
        <v>0</v>
      </c>
      <c r="B465" s="33" t="s">
        <v>167</v>
      </c>
      <c r="C465" s="124" t="s">
        <v>119</v>
      </c>
      <c r="D465" s="144" t="s">
        <v>231</v>
      </c>
      <c r="E465" s="59" t="s">
        <v>230</v>
      </c>
      <c r="F465" s="54"/>
      <c r="G465" s="29"/>
      <c r="H465" s="53">
        <v>0</v>
      </c>
      <c r="I465" s="53" t="s">
        <v>87</v>
      </c>
      <c r="M465" t="s">
        <v>581</v>
      </c>
    </row>
    <row r="466" spans="1:13" x14ac:dyDescent="0.25">
      <c r="A466">
        <v>31788</v>
      </c>
      <c r="B466" s="33" t="s">
        <v>170</v>
      </c>
      <c r="C466" s="124" t="s">
        <v>130</v>
      </c>
      <c r="D466" s="144" t="s">
        <v>466</v>
      </c>
      <c r="E466" s="59" t="s">
        <v>482</v>
      </c>
      <c r="F466" s="54"/>
      <c r="G466" s="29"/>
      <c r="H466" s="53">
        <v>31788</v>
      </c>
      <c r="I466" s="53" t="s">
        <v>87</v>
      </c>
      <c r="M466" t="s">
        <v>581</v>
      </c>
    </row>
    <row r="467" spans="1:13" x14ac:dyDescent="0.25">
      <c r="A467">
        <v>7868</v>
      </c>
      <c r="B467" s="33" t="s">
        <v>170</v>
      </c>
      <c r="C467" s="124" t="s">
        <v>130</v>
      </c>
      <c r="D467" s="144" t="s">
        <v>474</v>
      </c>
      <c r="E467" s="59" t="s">
        <v>475</v>
      </c>
      <c r="F467" s="54"/>
      <c r="G467" s="29"/>
      <c r="H467" s="53">
        <v>7868</v>
      </c>
      <c r="I467" s="53" t="s">
        <v>87</v>
      </c>
      <c r="M467" t="s">
        <v>581</v>
      </c>
    </row>
    <row r="468" spans="1:13" x14ac:dyDescent="0.25">
      <c r="A468">
        <v>3518</v>
      </c>
      <c r="B468" s="33" t="s">
        <v>170</v>
      </c>
      <c r="C468" s="124" t="s">
        <v>130</v>
      </c>
      <c r="D468" s="144" t="s">
        <v>476</v>
      </c>
      <c r="E468" s="59" t="s">
        <v>477</v>
      </c>
      <c r="F468" s="54"/>
      <c r="G468" s="29"/>
      <c r="H468" s="53">
        <v>3518</v>
      </c>
      <c r="I468" s="53" t="s">
        <v>87</v>
      </c>
      <c r="M468" t="s">
        <v>581</v>
      </c>
    </row>
    <row r="469" spans="1:13" x14ac:dyDescent="0.25">
      <c r="A469">
        <v>5613</v>
      </c>
      <c r="B469" s="33" t="s">
        <v>170</v>
      </c>
      <c r="C469" s="124" t="s">
        <v>130</v>
      </c>
      <c r="D469" s="144" t="s">
        <v>480</v>
      </c>
      <c r="E469" s="59" t="s">
        <v>481</v>
      </c>
      <c r="F469" s="54"/>
      <c r="G469" s="29"/>
      <c r="H469" s="53">
        <v>5613</v>
      </c>
      <c r="I469" s="53" t="s">
        <v>87</v>
      </c>
      <c r="M469" t="s">
        <v>581</v>
      </c>
    </row>
    <row r="470" spans="1:13" x14ac:dyDescent="0.25">
      <c r="A470">
        <v>30729</v>
      </c>
      <c r="B470" s="33" t="s">
        <v>170</v>
      </c>
      <c r="C470" s="124" t="s">
        <v>130</v>
      </c>
      <c r="D470" s="144" t="s">
        <v>470</v>
      </c>
      <c r="E470" s="59" t="s">
        <v>471</v>
      </c>
      <c r="F470" s="54"/>
      <c r="G470" s="29"/>
      <c r="H470" s="53">
        <v>30729</v>
      </c>
      <c r="I470" s="53" t="s">
        <v>87</v>
      </c>
      <c r="M470" t="s">
        <v>581</v>
      </c>
    </row>
    <row r="471" spans="1:13" x14ac:dyDescent="0.25">
      <c r="A471">
        <v>3630</v>
      </c>
      <c r="B471" s="33" t="s">
        <v>170</v>
      </c>
      <c r="C471" s="124" t="s">
        <v>130</v>
      </c>
      <c r="D471" s="144" t="s">
        <v>472</v>
      </c>
      <c r="E471" s="59" t="s">
        <v>473</v>
      </c>
      <c r="F471" s="54"/>
      <c r="G471" s="29"/>
      <c r="H471" s="53">
        <v>3630</v>
      </c>
      <c r="I471" s="53" t="s">
        <v>87</v>
      </c>
      <c r="M471" t="s">
        <v>581</v>
      </c>
    </row>
    <row r="472" spans="1:13" ht="28.5" x14ac:dyDescent="0.25">
      <c r="A472">
        <v>7955</v>
      </c>
      <c r="B472" s="33" t="s">
        <v>170</v>
      </c>
      <c r="C472" s="124" t="s">
        <v>130</v>
      </c>
      <c r="D472" s="144" t="s">
        <v>478</v>
      </c>
      <c r="E472" s="59" t="s">
        <v>479</v>
      </c>
      <c r="F472" s="54"/>
      <c r="G472" s="29"/>
      <c r="H472" s="53">
        <v>7955</v>
      </c>
      <c r="I472" s="53" t="s">
        <v>87</v>
      </c>
      <c r="M472" t="s">
        <v>581</v>
      </c>
    </row>
    <row r="473" spans="1:13" x14ac:dyDescent="0.25">
      <c r="A473">
        <v>32604</v>
      </c>
      <c r="B473" s="33" t="s">
        <v>170</v>
      </c>
      <c r="C473" s="124" t="s">
        <v>130</v>
      </c>
      <c r="D473" s="144" t="s">
        <v>468</v>
      </c>
      <c r="E473" s="59" t="s">
        <v>469</v>
      </c>
      <c r="F473" s="54"/>
      <c r="G473" s="29"/>
      <c r="H473" s="53">
        <v>32604</v>
      </c>
      <c r="I473" s="53" t="s">
        <v>87</v>
      </c>
      <c r="M473" t="s">
        <v>581</v>
      </c>
    </row>
    <row r="474" spans="1:13" x14ac:dyDescent="0.25">
      <c r="A474">
        <v>69820</v>
      </c>
      <c r="B474" s="33" t="s">
        <v>173</v>
      </c>
      <c r="C474" s="124" t="s">
        <v>134</v>
      </c>
      <c r="D474" s="144" t="s">
        <v>536</v>
      </c>
      <c r="E474" s="59" t="s">
        <v>537</v>
      </c>
      <c r="F474" s="54"/>
      <c r="G474" s="29"/>
      <c r="H474" s="53">
        <v>69820</v>
      </c>
      <c r="I474" s="53" t="s">
        <v>87</v>
      </c>
      <c r="M474" t="s">
        <v>581</v>
      </c>
    </row>
    <row r="475" spans="1:13" x14ac:dyDescent="0.25">
      <c r="A475">
        <v>44302</v>
      </c>
      <c r="B475" s="33" t="s">
        <v>173</v>
      </c>
      <c r="C475" s="124" t="s">
        <v>134</v>
      </c>
      <c r="D475" s="144" t="s">
        <v>530</v>
      </c>
      <c r="E475" s="59" t="s">
        <v>531</v>
      </c>
      <c r="F475" s="54"/>
      <c r="G475" s="29"/>
      <c r="H475" s="53">
        <v>44302</v>
      </c>
      <c r="I475" s="53" t="s">
        <v>87</v>
      </c>
      <c r="M475" t="s">
        <v>581</v>
      </c>
    </row>
    <row r="476" spans="1:13" x14ac:dyDescent="0.25">
      <c r="A476">
        <v>40310</v>
      </c>
      <c r="B476" s="33" t="s">
        <v>173</v>
      </c>
      <c r="C476" s="124" t="s">
        <v>134</v>
      </c>
      <c r="D476" s="144" t="s">
        <v>534</v>
      </c>
      <c r="E476" s="59" t="s">
        <v>535</v>
      </c>
      <c r="F476" s="54"/>
      <c r="G476" s="29"/>
      <c r="H476" s="53">
        <v>40310</v>
      </c>
      <c r="I476" s="53" t="s">
        <v>87</v>
      </c>
      <c r="M476" t="s">
        <v>581</v>
      </c>
    </row>
    <row r="477" spans="1:13" x14ac:dyDescent="0.25">
      <c r="A477">
        <v>44760</v>
      </c>
      <c r="B477" s="33" t="s">
        <v>173</v>
      </c>
      <c r="C477" s="124" t="s">
        <v>134</v>
      </c>
      <c r="D477" s="144" t="s">
        <v>528</v>
      </c>
      <c r="E477" s="59" t="s">
        <v>529</v>
      </c>
      <c r="F477" s="54"/>
      <c r="G477" s="29"/>
      <c r="H477" s="53">
        <v>44760</v>
      </c>
      <c r="I477" s="53" t="s">
        <v>87</v>
      </c>
      <c r="M477" t="s">
        <v>581</v>
      </c>
    </row>
    <row r="478" spans="1:13" x14ac:dyDescent="0.25">
      <c r="A478">
        <v>50932</v>
      </c>
      <c r="B478" s="33" t="s">
        <v>173</v>
      </c>
      <c r="C478" s="124" t="s">
        <v>134</v>
      </c>
      <c r="D478" s="144" t="s">
        <v>532</v>
      </c>
      <c r="E478" s="59" t="s">
        <v>533</v>
      </c>
      <c r="F478" s="54"/>
      <c r="G478" s="29"/>
      <c r="H478" s="53">
        <v>50932</v>
      </c>
      <c r="I478" s="53" t="s">
        <v>87</v>
      </c>
      <c r="M478" t="s">
        <v>581</v>
      </c>
    </row>
    <row r="479" spans="1:13" x14ac:dyDescent="0.25">
      <c r="A479">
        <v>22635</v>
      </c>
      <c r="B479" s="33" t="s">
        <v>173</v>
      </c>
      <c r="C479" s="124" t="s">
        <v>134</v>
      </c>
      <c r="D479" s="144" t="s">
        <v>526</v>
      </c>
      <c r="E479" s="59" t="s">
        <v>527</v>
      </c>
      <c r="F479" s="54"/>
      <c r="G479" s="29"/>
      <c r="H479" s="53">
        <v>22635</v>
      </c>
      <c r="I479" s="53" t="s">
        <v>87</v>
      </c>
      <c r="M479" t="s">
        <v>581</v>
      </c>
    </row>
    <row r="480" spans="1:13" x14ac:dyDescent="0.25">
      <c r="A480">
        <v>67487</v>
      </c>
      <c r="B480" s="33" t="s">
        <v>173</v>
      </c>
      <c r="C480" s="124" t="s">
        <v>134</v>
      </c>
      <c r="D480" s="144" t="s">
        <v>538</v>
      </c>
      <c r="E480" s="59" t="s">
        <v>539</v>
      </c>
      <c r="F480" s="54"/>
      <c r="G480" s="29"/>
      <c r="H480" s="53">
        <v>67487</v>
      </c>
      <c r="I480" s="53" t="s">
        <v>87</v>
      </c>
      <c r="M480" t="s">
        <v>581</v>
      </c>
    </row>
    <row r="481" spans="1:13" x14ac:dyDescent="0.25">
      <c r="A481">
        <v>0</v>
      </c>
      <c r="B481" s="33" t="s">
        <v>176</v>
      </c>
      <c r="C481" s="124" t="s">
        <v>127</v>
      </c>
      <c r="D481" s="144" t="s">
        <v>420</v>
      </c>
      <c r="E481" s="59" t="s">
        <v>421</v>
      </c>
      <c r="F481" s="54"/>
      <c r="G481" s="29"/>
      <c r="H481" s="53">
        <v>0</v>
      </c>
      <c r="I481" s="53" t="s">
        <v>87</v>
      </c>
      <c r="M481" t="s">
        <v>581</v>
      </c>
    </row>
    <row r="482" spans="1:13" x14ac:dyDescent="0.25">
      <c r="A482">
        <v>0</v>
      </c>
      <c r="B482" s="33" t="s">
        <v>176</v>
      </c>
      <c r="C482" s="124" t="s">
        <v>127</v>
      </c>
      <c r="D482" s="144" t="s">
        <v>414</v>
      </c>
      <c r="E482" s="59" t="s">
        <v>415</v>
      </c>
      <c r="F482" s="54"/>
      <c r="G482" s="29"/>
      <c r="H482" s="53">
        <v>0</v>
      </c>
      <c r="I482" s="53" t="s">
        <v>87</v>
      </c>
      <c r="M482" t="s">
        <v>581</v>
      </c>
    </row>
    <row r="483" spans="1:13" x14ac:dyDescent="0.25">
      <c r="A483">
        <v>325</v>
      </c>
      <c r="B483" s="33" t="s">
        <v>176</v>
      </c>
      <c r="C483" s="124" t="s">
        <v>127</v>
      </c>
      <c r="D483" s="144" t="s">
        <v>402</v>
      </c>
      <c r="E483" s="59" t="s">
        <v>403</v>
      </c>
      <c r="F483" s="54"/>
      <c r="G483" s="29"/>
      <c r="H483" s="53">
        <v>325</v>
      </c>
      <c r="I483" s="53" t="s">
        <v>87</v>
      </c>
      <c r="M483" t="s">
        <v>581</v>
      </c>
    </row>
    <row r="484" spans="1:13" x14ac:dyDescent="0.25">
      <c r="A484">
        <v>0</v>
      </c>
      <c r="B484" s="33" t="s">
        <v>176</v>
      </c>
      <c r="C484" s="124" t="s">
        <v>127</v>
      </c>
      <c r="D484" s="144" t="s">
        <v>408</v>
      </c>
      <c r="E484" s="59" t="s">
        <v>409</v>
      </c>
      <c r="F484" s="54"/>
      <c r="G484" s="29"/>
      <c r="H484" s="53">
        <v>0</v>
      </c>
      <c r="I484" s="53" t="s">
        <v>87</v>
      </c>
      <c r="M484" t="s">
        <v>581</v>
      </c>
    </row>
    <row r="485" spans="1:13" x14ac:dyDescent="0.25">
      <c r="A485">
        <v>2075</v>
      </c>
      <c r="B485" s="33" t="s">
        <v>176</v>
      </c>
      <c r="C485" s="124" t="s">
        <v>127</v>
      </c>
      <c r="D485" s="144" t="s">
        <v>416</v>
      </c>
      <c r="E485" s="59" t="s">
        <v>417</v>
      </c>
      <c r="F485" s="54"/>
      <c r="G485" s="29"/>
      <c r="H485" s="53">
        <v>2075</v>
      </c>
      <c r="I485" s="53" t="s">
        <v>87</v>
      </c>
      <c r="M485" t="s">
        <v>581</v>
      </c>
    </row>
    <row r="486" spans="1:13" ht="28.5" x14ac:dyDescent="0.25">
      <c r="A486">
        <v>100</v>
      </c>
      <c r="B486" s="33" t="s">
        <v>176</v>
      </c>
      <c r="C486" s="124" t="s">
        <v>127</v>
      </c>
      <c r="D486" s="144" t="s">
        <v>410</v>
      </c>
      <c r="E486" s="59" t="s">
        <v>411</v>
      </c>
      <c r="F486" s="54"/>
      <c r="G486" s="29"/>
      <c r="H486" s="53">
        <v>100</v>
      </c>
      <c r="I486" s="53" t="s">
        <v>87</v>
      </c>
      <c r="M486" t="s">
        <v>581</v>
      </c>
    </row>
    <row r="487" spans="1:13" x14ac:dyDescent="0.25">
      <c r="A487">
        <v>135706</v>
      </c>
      <c r="B487" s="33" t="s">
        <v>176</v>
      </c>
      <c r="C487" s="124" t="s">
        <v>127</v>
      </c>
      <c r="D487" s="144" t="s">
        <v>404</v>
      </c>
      <c r="E487" s="59" t="s">
        <v>405</v>
      </c>
      <c r="F487" s="54"/>
      <c r="G487" s="29"/>
      <c r="H487" s="53">
        <v>135706</v>
      </c>
      <c r="I487" s="53" t="s">
        <v>87</v>
      </c>
      <c r="M487" t="s">
        <v>581</v>
      </c>
    </row>
    <row r="488" spans="1:13" x14ac:dyDescent="0.25">
      <c r="A488">
        <v>2795</v>
      </c>
      <c r="B488" s="33" t="s">
        <v>176</v>
      </c>
      <c r="C488" s="124" t="s">
        <v>127</v>
      </c>
      <c r="D488" s="144" t="s">
        <v>412</v>
      </c>
      <c r="E488" s="59" t="s">
        <v>413</v>
      </c>
      <c r="F488" s="54"/>
      <c r="G488" s="29"/>
      <c r="H488" s="53">
        <v>2795</v>
      </c>
      <c r="I488" s="53" t="s">
        <v>87</v>
      </c>
      <c r="M488" t="s">
        <v>581</v>
      </c>
    </row>
    <row r="489" spans="1:13" x14ac:dyDescent="0.25">
      <c r="A489">
        <v>2755</v>
      </c>
      <c r="B489" s="33" t="s">
        <v>176</v>
      </c>
      <c r="C489" s="124" t="s">
        <v>127</v>
      </c>
      <c r="D489" s="144" t="s">
        <v>418</v>
      </c>
      <c r="E489" s="59" t="s">
        <v>419</v>
      </c>
      <c r="F489" s="54"/>
      <c r="G489" s="29"/>
      <c r="H489" s="53">
        <v>2755</v>
      </c>
      <c r="I489" s="53" t="s">
        <v>87</v>
      </c>
      <c r="M489" t="s">
        <v>581</v>
      </c>
    </row>
    <row r="490" spans="1:13" x14ac:dyDescent="0.25">
      <c r="A490">
        <v>2382</v>
      </c>
      <c r="B490" s="33" t="s">
        <v>176</v>
      </c>
      <c r="C490" s="124" t="s">
        <v>127</v>
      </c>
      <c r="D490" s="144" t="s">
        <v>406</v>
      </c>
      <c r="E490" s="59" t="s">
        <v>407</v>
      </c>
      <c r="F490" s="54"/>
      <c r="G490" s="29"/>
      <c r="H490" s="53">
        <v>2382</v>
      </c>
      <c r="I490" s="53" t="s">
        <v>87</v>
      </c>
      <c r="M490" t="s">
        <v>581</v>
      </c>
    </row>
    <row r="491" spans="1:13" x14ac:dyDescent="0.25">
      <c r="A491">
        <v>28100</v>
      </c>
      <c r="B491" s="33" t="s">
        <v>179</v>
      </c>
      <c r="C491" s="124" t="s">
        <v>133</v>
      </c>
      <c r="D491" s="144" t="s">
        <v>512</v>
      </c>
      <c r="E491" s="59" t="s">
        <v>513</v>
      </c>
      <c r="F491" s="54"/>
      <c r="G491" s="29"/>
      <c r="H491" s="53">
        <v>28100</v>
      </c>
      <c r="I491" s="53" t="s">
        <v>87</v>
      </c>
      <c r="M491" t="s">
        <v>581</v>
      </c>
    </row>
    <row r="492" spans="1:13" x14ac:dyDescent="0.25">
      <c r="A492">
        <v>109903</v>
      </c>
      <c r="B492" s="33" t="s">
        <v>179</v>
      </c>
      <c r="C492" s="124" t="s">
        <v>133</v>
      </c>
      <c r="D492" s="144" t="s">
        <v>518</v>
      </c>
      <c r="E492" s="59" t="s">
        <v>519</v>
      </c>
      <c r="F492" s="54"/>
      <c r="G492" s="29"/>
      <c r="H492" s="53">
        <v>109903</v>
      </c>
      <c r="I492" s="53" t="s">
        <v>87</v>
      </c>
      <c r="M492" t="s">
        <v>581</v>
      </c>
    </row>
    <row r="493" spans="1:13" x14ac:dyDescent="0.25">
      <c r="A493">
        <v>31152</v>
      </c>
      <c r="B493" s="33" t="s">
        <v>179</v>
      </c>
      <c r="C493" s="124" t="s">
        <v>133</v>
      </c>
      <c r="D493" s="144" t="s">
        <v>524</v>
      </c>
      <c r="E493" s="59" t="s">
        <v>525</v>
      </c>
      <c r="F493" s="54"/>
      <c r="G493" s="29"/>
      <c r="H493" s="53">
        <v>31152</v>
      </c>
      <c r="I493" s="53" t="s">
        <v>87</v>
      </c>
      <c r="M493" t="s">
        <v>581</v>
      </c>
    </row>
    <row r="494" spans="1:13" x14ac:dyDescent="0.25">
      <c r="A494">
        <v>95866</v>
      </c>
      <c r="B494" s="33" t="s">
        <v>179</v>
      </c>
      <c r="C494" s="124" t="s">
        <v>133</v>
      </c>
      <c r="D494" s="144" t="s">
        <v>514</v>
      </c>
      <c r="E494" s="59" t="s">
        <v>515</v>
      </c>
      <c r="F494" s="54"/>
      <c r="G494" s="29"/>
      <c r="H494" s="53">
        <v>95866</v>
      </c>
      <c r="I494" s="53" t="s">
        <v>87</v>
      </c>
      <c r="M494" t="s">
        <v>581</v>
      </c>
    </row>
    <row r="495" spans="1:13" x14ac:dyDescent="0.25">
      <c r="A495">
        <v>103621</v>
      </c>
      <c r="B495" s="33" t="s">
        <v>179</v>
      </c>
      <c r="C495" s="124" t="s">
        <v>133</v>
      </c>
      <c r="D495" s="144" t="s">
        <v>520</v>
      </c>
      <c r="E495" s="59" t="s">
        <v>521</v>
      </c>
      <c r="F495" s="54"/>
      <c r="G495" s="29"/>
      <c r="H495" s="53">
        <v>103621</v>
      </c>
      <c r="I495" s="53" t="s">
        <v>87</v>
      </c>
      <c r="M495" t="s">
        <v>581</v>
      </c>
    </row>
    <row r="496" spans="1:13" x14ac:dyDescent="0.25">
      <c r="A496">
        <v>49736</v>
      </c>
      <c r="B496" s="33" t="s">
        <v>179</v>
      </c>
      <c r="C496" s="124" t="s">
        <v>133</v>
      </c>
      <c r="D496" s="144" t="s">
        <v>522</v>
      </c>
      <c r="E496" s="59" t="s">
        <v>523</v>
      </c>
      <c r="F496" s="54"/>
      <c r="G496" s="29"/>
      <c r="H496" s="53">
        <v>49736</v>
      </c>
      <c r="I496" s="53" t="s">
        <v>87</v>
      </c>
      <c r="M496" t="s">
        <v>581</v>
      </c>
    </row>
    <row r="497" spans="1:13" x14ac:dyDescent="0.25">
      <c r="A497">
        <v>101130</v>
      </c>
      <c r="B497" s="33" t="s">
        <v>179</v>
      </c>
      <c r="C497" s="124" t="s">
        <v>133</v>
      </c>
      <c r="D497" s="144" t="s">
        <v>516</v>
      </c>
      <c r="E497" s="59" t="s">
        <v>517</v>
      </c>
      <c r="F497" s="54"/>
      <c r="G497" s="29"/>
      <c r="H497" s="53">
        <v>101130</v>
      </c>
      <c r="I497" s="53" t="s">
        <v>87</v>
      </c>
      <c r="M497" t="s">
        <v>581</v>
      </c>
    </row>
    <row r="498" spans="1:13" x14ac:dyDescent="0.25">
      <c r="A498">
        <v>53196</v>
      </c>
      <c r="B498" s="33" t="s">
        <v>182</v>
      </c>
      <c r="C498" s="124" t="s">
        <v>131</v>
      </c>
      <c r="D498" s="144" t="s">
        <v>483</v>
      </c>
      <c r="E498" s="59" t="s">
        <v>484</v>
      </c>
      <c r="F498" s="54"/>
      <c r="G498" s="29"/>
      <c r="H498" s="53">
        <v>53196</v>
      </c>
      <c r="I498" s="53" t="s">
        <v>87</v>
      </c>
      <c r="M498" t="s">
        <v>581</v>
      </c>
    </row>
    <row r="499" spans="1:13" x14ac:dyDescent="0.25">
      <c r="A499">
        <v>35929</v>
      </c>
      <c r="B499" s="33" t="s">
        <v>182</v>
      </c>
      <c r="C499" s="124" t="s">
        <v>131</v>
      </c>
      <c r="D499" s="144" t="s">
        <v>486</v>
      </c>
      <c r="E499" s="59" t="s">
        <v>487</v>
      </c>
      <c r="F499" s="54"/>
      <c r="G499" s="29"/>
      <c r="H499" s="53">
        <v>35929</v>
      </c>
      <c r="I499" s="53" t="s">
        <v>87</v>
      </c>
      <c r="M499" t="s">
        <v>581</v>
      </c>
    </row>
    <row r="500" spans="1:13" x14ac:dyDescent="0.25">
      <c r="A500">
        <v>66773</v>
      </c>
      <c r="B500" s="33" t="s">
        <v>182</v>
      </c>
      <c r="C500" s="124" t="s">
        <v>131</v>
      </c>
      <c r="D500" s="144" t="s">
        <v>488</v>
      </c>
      <c r="E500" s="59" t="s">
        <v>489</v>
      </c>
      <c r="F500" s="54"/>
      <c r="G500" s="29"/>
      <c r="H500" s="53">
        <v>66773</v>
      </c>
      <c r="I500" s="53" t="s">
        <v>87</v>
      </c>
      <c r="M500" t="s">
        <v>581</v>
      </c>
    </row>
    <row r="501" spans="1:13" x14ac:dyDescent="0.25">
      <c r="A501">
        <v>62584</v>
      </c>
      <c r="B501" s="33" t="s">
        <v>182</v>
      </c>
      <c r="C501" s="124" t="s">
        <v>131</v>
      </c>
      <c r="D501" s="144" t="s">
        <v>490</v>
      </c>
      <c r="E501" s="59" t="s">
        <v>491</v>
      </c>
      <c r="F501" s="54"/>
      <c r="G501" s="29"/>
      <c r="H501" s="53">
        <v>62584</v>
      </c>
      <c r="I501" s="53" t="s">
        <v>87</v>
      </c>
      <c r="M501" t="s">
        <v>581</v>
      </c>
    </row>
    <row r="502" spans="1:13" x14ac:dyDescent="0.25">
      <c r="A502">
        <v>50802</v>
      </c>
      <c r="B502" s="33" t="s">
        <v>182</v>
      </c>
      <c r="C502" s="124" t="s">
        <v>131</v>
      </c>
      <c r="D502" s="144" t="s">
        <v>182</v>
      </c>
      <c r="E502" s="59" t="s">
        <v>485</v>
      </c>
      <c r="F502" s="54"/>
      <c r="G502" s="29"/>
      <c r="H502" s="53">
        <v>50802</v>
      </c>
      <c r="I502" s="53" t="s">
        <v>87</v>
      </c>
      <c r="M502" t="s">
        <v>581</v>
      </c>
    </row>
    <row r="503" spans="1:13" x14ac:dyDescent="0.25">
      <c r="A503">
        <v>37050</v>
      </c>
      <c r="B503" s="33" t="s">
        <v>182</v>
      </c>
      <c r="C503" s="124" t="s">
        <v>131</v>
      </c>
      <c r="D503" s="144" t="s">
        <v>492</v>
      </c>
      <c r="E503" s="59" t="s">
        <v>493</v>
      </c>
      <c r="F503" s="54"/>
      <c r="G503" s="29"/>
      <c r="H503" s="53">
        <v>37050</v>
      </c>
      <c r="I503" s="53" t="s">
        <v>87</v>
      </c>
      <c r="M503" t="s">
        <v>581</v>
      </c>
    </row>
    <row r="504" spans="1:13" x14ac:dyDescent="0.25">
      <c r="A504">
        <v>49892</v>
      </c>
      <c r="B504" s="33" t="s">
        <v>182</v>
      </c>
      <c r="C504" s="124" t="s">
        <v>131</v>
      </c>
      <c r="D504" s="144" t="s">
        <v>494</v>
      </c>
      <c r="E504" s="59" t="s">
        <v>495</v>
      </c>
      <c r="F504" s="54"/>
      <c r="G504" s="29"/>
      <c r="H504" s="53">
        <v>49892</v>
      </c>
      <c r="I504" s="53" t="s">
        <v>87</v>
      </c>
      <c r="M504" t="s">
        <v>581</v>
      </c>
    </row>
    <row r="505" spans="1:13" x14ac:dyDescent="0.25">
      <c r="A505">
        <v>51138</v>
      </c>
      <c r="B505" s="33" t="s">
        <v>185</v>
      </c>
      <c r="C505" s="124" t="s">
        <v>120</v>
      </c>
      <c r="D505" s="144" t="s">
        <v>233</v>
      </c>
      <c r="E505" s="59" t="s">
        <v>232</v>
      </c>
      <c r="F505" s="54"/>
      <c r="G505" s="29"/>
      <c r="H505" s="53">
        <v>51138</v>
      </c>
      <c r="I505" s="53" t="s">
        <v>87</v>
      </c>
      <c r="M505" t="s">
        <v>581</v>
      </c>
    </row>
    <row r="506" spans="1:13" x14ac:dyDescent="0.25">
      <c r="A506">
        <v>8405</v>
      </c>
      <c r="B506" s="33" t="s">
        <v>185</v>
      </c>
      <c r="C506" s="124" t="s">
        <v>120</v>
      </c>
      <c r="D506" s="144" t="s">
        <v>247</v>
      </c>
      <c r="E506" s="59" t="s">
        <v>246</v>
      </c>
      <c r="F506" s="54"/>
      <c r="G506" s="29"/>
      <c r="H506" s="53">
        <v>8405</v>
      </c>
      <c r="I506" s="53" t="s">
        <v>87</v>
      </c>
      <c r="M506" t="s">
        <v>581</v>
      </c>
    </row>
    <row r="507" spans="1:13" x14ac:dyDescent="0.25">
      <c r="A507">
        <v>12391</v>
      </c>
      <c r="B507" s="33" t="s">
        <v>185</v>
      </c>
      <c r="C507" s="124" t="s">
        <v>120</v>
      </c>
      <c r="D507" s="144" t="s">
        <v>269</v>
      </c>
      <c r="E507" s="59" t="s">
        <v>268</v>
      </c>
      <c r="F507" s="54"/>
      <c r="G507" s="29"/>
      <c r="H507" s="53">
        <v>12391</v>
      </c>
      <c r="I507" s="53" t="s">
        <v>87</v>
      </c>
      <c r="M507" t="s">
        <v>581</v>
      </c>
    </row>
    <row r="508" spans="1:13" x14ac:dyDescent="0.25">
      <c r="A508">
        <v>4950</v>
      </c>
      <c r="B508" s="33" t="s">
        <v>185</v>
      </c>
      <c r="C508" s="124" t="s">
        <v>120</v>
      </c>
      <c r="D508" s="144" t="s">
        <v>255</v>
      </c>
      <c r="E508" s="59" t="s">
        <v>254</v>
      </c>
      <c r="F508" s="54"/>
      <c r="G508" s="29"/>
      <c r="H508" s="53">
        <v>4950</v>
      </c>
      <c r="I508" s="53" t="s">
        <v>87</v>
      </c>
      <c r="M508" t="s">
        <v>581</v>
      </c>
    </row>
    <row r="509" spans="1:13" x14ac:dyDescent="0.25">
      <c r="A509">
        <v>17565.549999999988</v>
      </c>
      <c r="B509" s="33" t="s">
        <v>185</v>
      </c>
      <c r="C509" s="124" t="s">
        <v>120</v>
      </c>
      <c r="D509" s="144" t="s">
        <v>265</v>
      </c>
      <c r="E509" s="59" t="s">
        <v>264</v>
      </c>
      <c r="F509" s="54"/>
      <c r="G509" s="29"/>
      <c r="H509" s="53">
        <v>17566</v>
      </c>
      <c r="I509" s="53" t="s">
        <v>87</v>
      </c>
      <c r="M509" t="s">
        <v>581</v>
      </c>
    </row>
    <row r="510" spans="1:13" x14ac:dyDescent="0.25">
      <c r="A510">
        <v>43663</v>
      </c>
      <c r="B510" s="33" t="s">
        <v>185</v>
      </c>
      <c r="C510" s="124" t="s">
        <v>120</v>
      </c>
      <c r="D510" s="144" t="s">
        <v>263</v>
      </c>
      <c r="E510" s="59" t="s">
        <v>262</v>
      </c>
      <c r="F510" s="54"/>
      <c r="G510" s="29"/>
      <c r="H510" s="53">
        <v>43663</v>
      </c>
      <c r="I510" s="53" t="s">
        <v>87</v>
      </c>
      <c r="M510" t="s">
        <v>581</v>
      </c>
    </row>
    <row r="511" spans="1:13" x14ac:dyDescent="0.25">
      <c r="A511">
        <v>7233</v>
      </c>
      <c r="B511" s="33" t="s">
        <v>185</v>
      </c>
      <c r="C511" s="124" t="s">
        <v>120</v>
      </c>
      <c r="D511" s="144" t="s">
        <v>273</v>
      </c>
      <c r="E511" s="59" t="s">
        <v>272</v>
      </c>
      <c r="F511" s="54"/>
      <c r="G511" s="29"/>
      <c r="H511" s="53">
        <v>7233</v>
      </c>
      <c r="I511" s="53" t="s">
        <v>87</v>
      </c>
      <c r="M511" t="s">
        <v>581</v>
      </c>
    </row>
    <row r="512" spans="1:13" x14ac:dyDescent="0.25">
      <c r="A512">
        <v>3610</v>
      </c>
      <c r="B512" s="33" t="s">
        <v>185</v>
      </c>
      <c r="C512" s="124" t="s">
        <v>120</v>
      </c>
      <c r="D512" s="144" t="s">
        <v>235</v>
      </c>
      <c r="E512" s="59" t="s">
        <v>234</v>
      </c>
      <c r="F512" s="54"/>
      <c r="G512" s="29"/>
      <c r="H512" s="53">
        <v>3610</v>
      </c>
      <c r="I512" s="53" t="s">
        <v>87</v>
      </c>
      <c r="M512" t="s">
        <v>581</v>
      </c>
    </row>
    <row r="513" spans="1:13" x14ac:dyDescent="0.25">
      <c r="A513">
        <v>31651</v>
      </c>
      <c r="B513" s="33" t="s">
        <v>185</v>
      </c>
      <c r="C513" s="124" t="s">
        <v>120</v>
      </c>
      <c r="D513" s="144" t="s">
        <v>251</v>
      </c>
      <c r="E513" s="59" t="s">
        <v>250</v>
      </c>
      <c r="F513" s="54"/>
      <c r="G513" s="29"/>
      <c r="H513" s="53">
        <v>31651</v>
      </c>
      <c r="I513" s="53" t="s">
        <v>87</v>
      </c>
      <c r="M513" t="s">
        <v>581</v>
      </c>
    </row>
    <row r="514" spans="1:13" x14ac:dyDescent="0.25">
      <c r="A514">
        <v>124125</v>
      </c>
      <c r="B514" s="33" t="s">
        <v>185</v>
      </c>
      <c r="C514" s="124" t="s">
        <v>120</v>
      </c>
      <c r="D514" s="144" t="s">
        <v>237</v>
      </c>
      <c r="E514" s="59" t="s">
        <v>236</v>
      </c>
      <c r="F514" s="54"/>
      <c r="G514" s="29"/>
      <c r="H514" s="53">
        <v>124125</v>
      </c>
      <c r="I514" s="53" t="s">
        <v>87</v>
      </c>
      <c r="M514" t="s">
        <v>581</v>
      </c>
    </row>
    <row r="515" spans="1:13" x14ac:dyDescent="0.25">
      <c r="A515">
        <v>10917</v>
      </c>
      <c r="B515" s="33" t="s">
        <v>185</v>
      </c>
      <c r="C515" s="124" t="s">
        <v>120</v>
      </c>
      <c r="D515" s="144" t="s">
        <v>261</v>
      </c>
      <c r="E515" s="59" t="s">
        <v>260</v>
      </c>
      <c r="F515" s="54"/>
      <c r="G515" s="29"/>
      <c r="H515" s="53">
        <v>10917</v>
      </c>
      <c r="I515" s="53" t="s">
        <v>87</v>
      </c>
      <c r="M515" t="s">
        <v>581</v>
      </c>
    </row>
    <row r="516" spans="1:13" x14ac:dyDescent="0.25">
      <c r="A516">
        <v>3732</v>
      </c>
      <c r="B516" s="33" t="s">
        <v>185</v>
      </c>
      <c r="C516" s="124" t="s">
        <v>120</v>
      </c>
      <c r="D516" s="144" t="s">
        <v>257</v>
      </c>
      <c r="E516" s="59" t="s">
        <v>256</v>
      </c>
      <c r="F516" s="54"/>
      <c r="G516" s="29"/>
      <c r="H516" s="53">
        <v>3732</v>
      </c>
      <c r="I516" s="53" t="s">
        <v>87</v>
      </c>
      <c r="M516" t="s">
        <v>581</v>
      </c>
    </row>
    <row r="517" spans="1:13" x14ac:dyDescent="0.25">
      <c r="A517">
        <v>41178</v>
      </c>
      <c r="B517" s="33" t="s">
        <v>185</v>
      </c>
      <c r="C517" s="124" t="s">
        <v>120</v>
      </c>
      <c r="D517" s="144" t="s">
        <v>239</v>
      </c>
      <c r="E517" s="59" t="s">
        <v>238</v>
      </c>
      <c r="F517" s="54"/>
      <c r="G517" s="29"/>
      <c r="H517" s="53">
        <v>41178</v>
      </c>
      <c r="I517" s="53" t="s">
        <v>87</v>
      </c>
      <c r="M517" t="s">
        <v>581</v>
      </c>
    </row>
    <row r="518" spans="1:13" x14ac:dyDescent="0.25">
      <c r="A518">
        <v>22958.5</v>
      </c>
      <c r="B518" s="33" t="s">
        <v>185</v>
      </c>
      <c r="C518" s="124" t="s">
        <v>120</v>
      </c>
      <c r="D518" s="144" t="s">
        <v>249</v>
      </c>
      <c r="E518" s="59" t="s">
        <v>248</v>
      </c>
      <c r="F518" s="54"/>
      <c r="G518" s="29"/>
      <c r="H518" s="53">
        <v>22959</v>
      </c>
      <c r="I518" s="53" t="s">
        <v>87</v>
      </c>
      <c r="M518" t="s">
        <v>581</v>
      </c>
    </row>
    <row r="519" spans="1:13" x14ac:dyDescent="0.25">
      <c r="A519">
        <v>129389</v>
      </c>
      <c r="B519" s="33" t="s">
        <v>185</v>
      </c>
      <c r="C519" s="124" t="s">
        <v>120</v>
      </c>
      <c r="D519" s="144" t="s">
        <v>271</v>
      </c>
      <c r="E519" s="59" t="s">
        <v>270</v>
      </c>
      <c r="F519" s="54"/>
      <c r="G519" s="29"/>
      <c r="H519" s="53">
        <v>129389</v>
      </c>
      <c r="I519" s="53" t="s">
        <v>87</v>
      </c>
      <c r="M519" t="s">
        <v>581</v>
      </c>
    </row>
    <row r="520" spans="1:13" x14ac:dyDescent="0.25">
      <c r="A520">
        <v>302166</v>
      </c>
      <c r="B520" s="33" t="s">
        <v>185</v>
      </c>
      <c r="C520" s="124" t="s">
        <v>120</v>
      </c>
      <c r="D520" s="144" t="s">
        <v>267</v>
      </c>
      <c r="E520" s="59" t="s">
        <v>266</v>
      </c>
      <c r="F520" s="54"/>
      <c r="G520" s="29"/>
      <c r="H520" s="53">
        <v>302166</v>
      </c>
      <c r="I520" s="53" t="s">
        <v>87</v>
      </c>
      <c r="M520" t="s">
        <v>581</v>
      </c>
    </row>
    <row r="521" spans="1:13" x14ac:dyDescent="0.25">
      <c r="A521">
        <v>6950</v>
      </c>
      <c r="B521" s="33" t="s">
        <v>185</v>
      </c>
      <c r="C521" s="124" t="s">
        <v>120</v>
      </c>
      <c r="D521" s="144" t="s">
        <v>259</v>
      </c>
      <c r="E521" s="59" t="s">
        <v>258</v>
      </c>
      <c r="F521" s="54"/>
      <c r="G521" s="29"/>
      <c r="H521" s="53">
        <v>6950</v>
      </c>
      <c r="I521" s="53" t="s">
        <v>87</v>
      </c>
      <c r="M521" t="s">
        <v>581</v>
      </c>
    </row>
    <row r="522" spans="1:13" x14ac:dyDescent="0.25">
      <c r="A522">
        <v>3824</v>
      </c>
      <c r="B522" s="33" t="s">
        <v>185</v>
      </c>
      <c r="C522" s="124" t="s">
        <v>120</v>
      </c>
      <c r="D522" s="144" t="s">
        <v>243</v>
      </c>
      <c r="E522" s="59" t="s">
        <v>242</v>
      </c>
      <c r="F522" s="54"/>
      <c r="G522" s="29"/>
      <c r="H522" s="53">
        <v>3824</v>
      </c>
      <c r="I522" s="53" t="s">
        <v>87</v>
      </c>
      <c r="M522" t="s">
        <v>581</v>
      </c>
    </row>
    <row r="523" spans="1:13" x14ac:dyDescent="0.25">
      <c r="A523">
        <v>0</v>
      </c>
      <c r="B523" s="33" t="s">
        <v>185</v>
      </c>
      <c r="C523" s="124" t="s">
        <v>120</v>
      </c>
      <c r="D523" s="144" t="s">
        <v>253</v>
      </c>
      <c r="E523" s="59" t="s">
        <v>252</v>
      </c>
      <c r="F523" s="54"/>
      <c r="G523" s="29"/>
      <c r="H523" s="53">
        <v>0</v>
      </c>
      <c r="I523" s="53" t="s">
        <v>87</v>
      </c>
      <c r="M523" t="s">
        <v>581</v>
      </c>
    </row>
    <row r="524" spans="1:13" x14ac:dyDescent="0.25">
      <c r="A524">
        <v>3757</v>
      </c>
      <c r="B524" s="33" t="s">
        <v>185</v>
      </c>
      <c r="C524" s="124" t="s">
        <v>120</v>
      </c>
      <c r="D524" s="144" t="s">
        <v>245</v>
      </c>
      <c r="E524" s="59" t="s">
        <v>244</v>
      </c>
      <c r="F524" s="54"/>
      <c r="G524" s="29"/>
      <c r="H524" s="53">
        <v>3757</v>
      </c>
      <c r="I524" s="53" t="s">
        <v>87</v>
      </c>
      <c r="M524" t="s">
        <v>581</v>
      </c>
    </row>
    <row r="525" spans="1:13" x14ac:dyDescent="0.25">
      <c r="A525">
        <v>5017</v>
      </c>
      <c r="B525" s="33" t="s">
        <v>185</v>
      </c>
      <c r="C525" s="124" t="s">
        <v>120</v>
      </c>
      <c r="D525" s="144" t="s">
        <v>241</v>
      </c>
      <c r="E525" s="59" t="s">
        <v>240</v>
      </c>
      <c r="F525" s="54"/>
      <c r="G525" s="29"/>
      <c r="H525" s="53">
        <v>5017</v>
      </c>
      <c r="I525" s="53" t="s">
        <v>87</v>
      </c>
      <c r="M525" t="s">
        <v>581</v>
      </c>
    </row>
    <row r="526" spans="1:13" x14ac:dyDescent="0.25">
      <c r="A526">
        <v>33213</v>
      </c>
      <c r="B526" s="33" t="s">
        <v>188</v>
      </c>
      <c r="C526" s="124" t="s">
        <v>124</v>
      </c>
      <c r="D526" s="144" t="s">
        <v>340</v>
      </c>
      <c r="E526" s="59" t="s">
        <v>341</v>
      </c>
      <c r="F526" s="54"/>
      <c r="G526" s="29"/>
      <c r="H526" s="53">
        <v>33213</v>
      </c>
      <c r="I526" s="53" t="s">
        <v>87</v>
      </c>
      <c r="M526" t="s">
        <v>581</v>
      </c>
    </row>
    <row r="527" spans="1:13" x14ac:dyDescent="0.25">
      <c r="A527">
        <v>62544</v>
      </c>
      <c r="B527" s="33" t="s">
        <v>188</v>
      </c>
      <c r="C527" s="124" t="s">
        <v>124</v>
      </c>
      <c r="D527" s="144" t="s">
        <v>336</v>
      </c>
      <c r="E527" s="59" t="s">
        <v>337</v>
      </c>
      <c r="F527" s="54"/>
      <c r="G527" s="29"/>
      <c r="H527" s="53">
        <v>62544</v>
      </c>
      <c r="I527" s="53" t="s">
        <v>87</v>
      </c>
      <c r="M527" t="s">
        <v>581</v>
      </c>
    </row>
    <row r="528" spans="1:13" x14ac:dyDescent="0.25">
      <c r="A528">
        <v>21442</v>
      </c>
      <c r="B528" s="33" t="s">
        <v>188</v>
      </c>
      <c r="C528" s="124" t="s">
        <v>124</v>
      </c>
      <c r="D528" s="144" t="s">
        <v>360</v>
      </c>
      <c r="E528" s="59" t="s">
        <v>361</v>
      </c>
      <c r="F528" s="54"/>
      <c r="G528" s="29"/>
      <c r="H528" s="53">
        <v>21442</v>
      </c>
      <c r="I528" s="53" t="s">
        <v>87</v>
      </c>
      <c r="M528" t="s">
        <v>581</v>
      </c>
    </row>
    <row r="529" spans="1:13" x14ac:dyDescent="0.25">
      <c r="A529">
        <v>0</v>
      </c>
      <c r="B529" s="33" t="s">
        <v>188</v>
      </c>
      <c r="C529" s="124" t="s">
        <v>124</v>
      </c>
      <c r="D529" s="144" t="s">
        <v>356</v>
      </c>
      <c r="E529" s="59" t="s">
        <v>357</v>
      </c>
      <c r="F529" s="54"/>
      <c r="G529" s="29"/>
      <c r="H529" s="53">
        <v>0</v>
      </c>
      <c r="I529" s="53" t="s">
        <v>87</v>
      </c>
      <c r="M529" t="s">
        <v>581</v>
      </c>
    </row>
    <row r="530" spans="1:13" x14ac:dyDescent="0.25">
      <c r="A530">
        <v>7896</v>
      </c>
      <c r="B530" s="33" t="s">
        <v>188</v>
      </c>
      <c r="C530" s="124" t="s">
        <v>124</v>
      </c>
      <c r="D530" s="144" t="s">
        <v>362</v>
      </c>
      <c r="E530" s="59" t="s">
        <v>363</v>
      </c>
      <c r="F530" s="54"/>
      <c r="G530" s="29"/>
      <c r="H530" s="53">
        <v>7896</v>
      </c>
      <c r="I530" s="53" t="s">
        <v>87</v>
      </c>
      <c r="M530" t="s">
        <v>581</v>
      </c>
    </row>
    <row r="531" spans="1:13" x14ac:dyDescent="0.25">
      <c r="A531">
        <v>5464</v>
      </c>
      <c r="B531" s="33" t="s">
        <v>188</v>
      </c>
      <c r="C531" s="124" t="s">
        <v>124</v>
      </c>
      <c r="D531" s="144" t="s">
        <v>346</v>
      </c>
      <c r="E531" s="59" t="s">
        <v>347</v>
      </c>
      <c r="F531" s="54"/>
      <c r="G531" s="29"/>
      <c r="H531" s="53">
        <v>5464</v>
      </c>
      <c r="I531" s="53" t="s">
        <v>87</v>
      </c>
      <c r="M531" t="s">
        <v>581</v>
      </c>
    </row>
    <row r="532" spans="1:13" x14ac:dyDescent="0.25">
      <c r="A532">
        <v>20394</v>
      </c>
      <c r="B532" s="33" t="s">
        <v>188</v>
      </c>
      <c r="C532" s="124" t="s">
        <v>124</v>
      </c>
      <c r="D532" s="144" t="s">
        <v>344</v>
      </c>
      <c r="E532" s="59" t="s">
        <v>345</v>
      </c>
      <c r="F532" s="54"/>
      <c r="G532" s="29"/>
      <c r="H532" s="53">
        <v>20394</v>
      </c>
      <c r="I532" s="53" t="s">
        <v>87</v>
      </c>
      <c r="M532" t="s">
        <v>581</v>
      </c>
    </row>
    <row r="533" spans="1:13" ht="28.5" x14ac:dyDescent="0.25">
      <c r="A533">
        <v>21147</v>
      </c>
      <c r="B533" s="33" t="s">
        <v>188</v>
      </c>
      <c r="C533" s="124" t="s">
        <v>124</v>
      </c>
      <c r="D533" s="144" t="s">
        <v>352</v>
      </c>
      <c r="E533" s="59" t="s">
        <v>353</v>
      </c>
      <c r="F533" s="54"/>
      <c r="G533" s="29"/>
      <c r="H533" s="53">
        <v>21147</v>
      </c>
      <c r="I533" s="53" t="s">
        <v>87</v>
      </c>
      <c r="M533" t="s">
        <v>581</v>
      </c>
    </row>
    <row r="534" spans="1:13" x14ac:dyDescent="0.25">
      <c r="A534">
        <v>3023</v>
      </c>
      <c r="B534" s="33" t="s">
        <v>188</v>
      </c>
      <c r="C534" s="124" t="s">
        <v>124</v>
      </c>
      <c r="D534" s="144" t="s">
        <v>364</v>
      </c>
      <c r="E534" s="59" t="s">
        <v>365</v>
      </c>
      <c r="F534" s="54"/>
      <c r="G534" s="29"/>
      <c r="H534" s="53">
        <v>3023</v>
      </c>
      <c r="I534" s="53" t="s">
        <v>87</v>
      </c>
      <c r="M534" t="s">
        <v>581</v>
      </c>
    </row>
    <row r="535" spans="1:13" x14ac:dyDescent="0.25">
      <c r="A535">
        <v>4066</v>
      </c>
      <c r="B535" s="33" t="s">
        <v>188</v>
      </c>
      <c r="C535" s="124" t="s">
        <v>124</v>
      </c>
      <c r="D535" s="144" t="s">
        <v>366</v>
      </c>
      <c r="E535" s="59" t="s">
        <v>367</v>
      </c>
      <c r="F535" s="54"/>
      <c r="G535" s="29"/>
      <c r="H535" s="53">
        <v>4066</v>
      </c>
      <c r="I535" s="53" t="s">
        <v>87</v>
      </c>
      <c r="M535" t="s">
        <v>581</v>
      </c>
    </row>
    <row r="536" spans="1:13" x14ac:dyDescent="0.25">
      <c r="A536">
        <v>40898</v>
      </c>
      <c r="B536" s="33" t="s">
        <v>188</v>
      </c>
      <c r="C536" s="124" t="s">
        <v>124</v>
      </c>
      <c r="D536" s="144" t="s">
        <v>348</v>
      </c>
      <c r="E536" s="59" t="s">
        <v>349</v>
      </c>
      <c r="F536" s="54"/>
      <c r="G536" s="29"/>
      <c r="H536" s="53">
        <v>40898</v>
      </c>
      <c r="I536" s="53" t="s">
        <v>87</v>
      </c>
      <c r="M536" t="s">
        <v>581</v>
      </c>
    </row>
    <row r="537" spans="1:13" x14ac:dyDescent="0.25">
      <c r="A537">
        <v>29500</v>
      </c>
      <c r="B537" s="33" t="s">
        <v>188</v>
      </c>
      <c r="C537" s="124" t="s">
        <v>124</v>
      </c>
      <c r="D537" s="144" t="s">
        <v>368</v>
      </c>
      <c r="E537" s="59" t="s">
        <v>369</v>
      </c>
      <c r="F537" s="54"/>
      <c r="G537" s="29"/>
      <c r="H537" s="53">
        <v>29500</v>
      </c>
      <c r="I537" s="53" t="s">
        <v>87</v>
      </c>
      <c r="M537" t="s">
        <v>581</v>
      </c>
    </row>
    <row r="538" spans="1:13" x14ac:dyDescent="0.25">
      <c r="A538">
        <v>7526</v>
      </c>
      <c r="B538" s="33" t="s">
        <v>188</v>
      </c>
      <c r="C538" s="124" t="s">
        <v>124</v>
      </c>
      <c r="D538" s="144" t="s">
        <v>358</v>
      </c>
      <c r="E538" s="59" t="s">
        <v>359</v>
      </c>
      <c r="F538" s="54"/>
      <c r="G538" s="29"/>
      <c r="H538" s="53">
        <v>7526</v>
      </c>
      <c r="I538" s="53" t="s">
        <v>87</v>
      </c>
      <c r="M538" t="s">
        <v>581</v>
      </c>
    </row>
    <row r="539" spans="1:13" x14ac:dyDescent="0.25">
      <c r="A539">
        <v>0</v>
      </c>
      <c r="B539" s="33" t="s">
        <v>188</v>
      </c>
      <c r="C539" s="124" t="s">
        <v>124</v>
      </c>
      <c r="D539" s="144" t="s">
        <v>350</v>
      </c>
      <c r="E539" s="59" t="s">
        <v>351</v>
      </c>
      <c r="F539" s="54"/>
      <c r="G539" s="29"/>
      <c r="H539" s="53">
        <v>0</v>
      </c>
      <c r="I539" s="53" t="s">
        <v>87</v>
      </c>
      <c r="M539" t="s">
        <v>581</v>
      </c>
    </row>
    <row r="540" spans="1:13" x14ac:dyDescent="0.25">
      <c r="A540">
        <v>75037.600000000006</v>
      </c>
      <c r="B540" s="33" t="s">
        <v>188</v>
      </c>
      <c r="C540" s="124" t="s">
        <v>124</v>
      </c>
      <c r="D540" s="144" t="s">
        <v>354</v>
      </c>
      <c r="E540" s="59" t="s">
        <v>355</v>
      </c>
      <c r="F540" s="54"/>
      <c r="G540" s="29"/>
      <c r="H540" s="53">
        <v>75038</v>
      </c>
      <c r="I540" s="53" t="s">
        <v>87</v>
      </c>
      <c r="M540" t="s">
        <v>581</v>
      </c>
    </row>
    <row r="541" spans="1:13" x14ac:dyDescent="0.25">
      <c r="A541">
        <v>16353</v>
      </c>
      <c r="B541" s="33" t="s">
        <v>188</v>
      </c>
      <c r="C541" s="124" t="s">
        <v>124</v>
      </c>
      <c r="D541" s="144" t="s">
        <v>338</v>
      </c>
      <c r="E541" s="59" t="s">
        <v>339</v>
      </c>
      <c r="F541" s="54"/>
      <c r="G541" s="29"/>
      <c r="H541" s="53">
        <v>16353</v>
      </c>
      <c r="I541" s="53" t="s">
        <v>87</v>
      </c>
      <c r="M541" t="s">
        <v>581</v>
      </c>
    </row>
    <row r="542" spans="1:13" x14ac:dyDescent="0.25">
      <c r="A542">
        <v>0</v>
      </c>
      <c r="B542" s="33" t="s">
        <v>188</v>
      </c>
      <c r="C542" s="124" t="s">
        <v>124</v>
      </c>
      <c r="D542" s="144" t="s">
        <v>342</v>
      </c>
      <c r="E542" s="59" t="s">
        <v>343</v>
      </c>
      <c r="F542" s="54"/>
      <c r="G542" s="29"/>
      <c r="H542" s="53">
        <v>0</v>
      </c>
      <c r="I542" s="53" t="s">
        <v>87</v>
      </c>
      <c r="M542" t="s">
        <v>581</v>
      </c>
    </row>
    <row r="543" spans="1:13" x14ac:dyDescent="0.25">
      <c r="A543">
        <v>16462.790000000008</v>
      </c>
      <c r="B543" s="33" t="s">
        <v>191</v>
      </c>
      <c r="C543" s="124" t="s">
        <v>121</v>
      </c>
      <c r="D543" s="144" t="s">
        <v>277</v>
      </c>
      <c r="E543" s="59" t="s">
        <v>276</v>
      </c>
      <c r="F543" s="54"/>
      <c r="G543" s="29"/>
      <c r="H543" s="53">
        <v>16463</v>
      </c>
      <c r="I543" s="53" t="s">
        <v>87</v>
      </c>
      <c r="M543" t="s">
        <v>581</v>
      </c>
    </row>
    <row r="544" spans="1:13" x14ac:dyDescent="0.25">
      <c r="A544">
        <v>25648</v>
      </c>
      <c r="B544" s="33" t="s">
        <v>191</v>
      </c>
      <c r="C544" s="124" t="s">
        <v>121</v>
      </c>
      <c r="D544" s="144" t="s">
        <v>275</v>
      </c>
      <c r="E544" s="59" t="s">
        <v>274</v>
      </c>
      <c r="F544" s="54"/>
      <c r="G544" s="29"/>
      <c r="H544" s="53">
        <v>25648</v>
      </c>
      <c r="I544" s="53" t="s">
        <v>87</v>
      </c>
      <c r="M544" t="s">
        <v>581</v>
      </c>
    </row>
    <row r="545" spans="1:13" x14ac:dyDescent="0.25">
      <c r="A545">
        <v>7810</v>
      </c>
      <c r="B545" s="33" t="s">
        <v>191</v>
      </c>
      <c r="C545" s="124" t="s">
        <v>121</v>
      </c>
      <c r="D545" s="144" t="s">
        <v>279</v>
      </c>
      <c r="E545" s="59" t="s">
        <v>278</v>
      </c>
      <c r="F545" s="54"/>
      <c r="G545" s="29"/>
      <c r="H545" s="53">
        <v>7810</v>
      </c>
      <c r="I545" s="53" t="s">
        <v>87</v>
      </c>
      <c r="M545" t="s">
        <v>581</v>
      </c>
    </row>
    <row r="546" spans="1:13" x14ac:dyDescent="0.25">
      <c r="A546">
        <v>40622</v>
      </c>
      <c r="B546" s="33" t="s">
        <v>191</v>
      </c>
      <c r="C546" s="124" t="s">
        <v>121</v>
      </c>
      <c r="D546" s="144" t="s">
        <v>281</v>
      </c>
      <c r="E546" s="59" t="s">
        <v>280</v>
      </c>
      <c r="F546" s="54"/>
      <c r="G546" s="29"/>
      <c r="H546" s="53">
        <v>40622</v>
      </c>
      <c r="I546" s="53" t="s">
        <v>87</v>
      </c>
      <c r="M546" t="s">
        <v>581</v>
      </c>
    </row>
    <row r="547" spans="1:13" x14ac:dyDescent="0.25">
      <c r="A547">
        <v>10772</v>
      </c>
      <c r="B547" s="33" t="s">
        <v>191</v>
      </c>
      <c r="C547" s="124" t="s">
        <v>121</v>
      </c>
      <c r="D547" s="144" t="s">
        <v>283</v>
      </c>
      <c r="E547" s="59" t="s">
        <v>282</v>
      </c>
      <c r="F547" s="54"/>
      <c r="G547" s="29"/>
      <c r="H547" s="53">
        <v>10772</v>
      </c>
      <c r="I547" s="53" t="s">
        <v>87</v>
      </c>
      <c r="M547" t="s">
        <v>581</v>
      </c>
    </row>
    <row r="548" spans="1:13" x14ac:dyDescent="0.25">
      <c r="A548">
        <v>38403.5</v>
      </c>
      <c r="B548" s="33" t="s">
        <v>191</v>
      </c>
      <c r="C548" s="124" t="s">
        <v>121</v>
      </c>
      <c r="D548" s="144" t="s">
        <v>285</v>
      </c>
      <c r="E548" s="59" t="s">
        <v>284</v>
      </c>
      <c r="F548" s="54"/>
      <c r="G548" s="29"/>
      <c r="H548" s="53">
        <v>38404</v>
      </c>
      <c r="I548" s="53" t="s">
        <v>87</v>
      </c>
      <c r="M548" t="s">
        <v>581</v>
      </c>
    </row>
    <row r="549" spans="1:13" x14ac:dyDescent="0.25">
      <c r="A549">
        <v>17240.95</v>
      </c>
      <c r="B549" s="33" t="s">
        <v>191</v>
      </c>
      <c r="C549" s="124" t="s">
        <v>121</v>
      </c>
      <c r="D549" s="144" t="s">
        <v>287</v>
      </c>
      <c r="E549" s="59" t="s">
        <v>286</v>
      </c>
      <c r="F549" s="54"/>
      <c r="G549" s="29"/>
      <c r="H549" s="53">
        <v>17241</v>
      </c>
      <c r="I549" s="53" t="s">
        <v>87</v>
      </c>
      <c r="M549" t="s">
        <v>581</v>
      </c>
    </row>
    <row r="550" spans="1:13" x14ac:dyDescent="0.25">
      <c r="A550">
        <v>3564</v>
      </c>
      <c r="B550" s="33" t="s">
        <v>191</v>
      </c>
      <c r="C550" s="124" t="s">
        <v>121</v>
      </c>
      <c r="D550" s="144" t="s">
        <v>289</v>
      </c>
      <c r="E550" s="59" t="s">
        <v>288</v>
      </c>
      <c r="F550" s="54"/>
      <c r="G550" s="29"/>
      <c r="H550" s="53">
        <v>3564</v>
      </c>
      <c r="I550" s="53" t="s">
        <v>87</v>
      </c>
      <c r="M550" t="s">
        <v>581</v>
      </c>
    </row>
    <row r="551" spans="1:13" x14ac:dyDescent="0.25">
      <c r="A551">
        <v>10404</v>
      </c>
      <c r="B551" s="33" t="s">
        <v>194</v>
      </c>
      <c r="C551" s="124" t="s">
        <v>135</v>
      </c>
      <c r="D551" s="144" t="s">
        <v>544</v>
      </c>
      <c r="E551" s="59" t="s">
        <v>545</v>
      </c>
      <c r="F551" s="54"/>
      <c r="G551" s="29"/>
      <c r="H551" s="53">
        <v>10404</v>
      </c>
      <c r="I551" s="53" t="s">
        <v>87</v>
      </c>
      <c r="M551" t="s">
        <v>581</v>
      </c>
    </row>
    <row r="552" spans="1:13" x14ac:dyDescent="0.25">
      <c r="A552">
        <v>21945</v>
      </c>
      <c r="B552" s="33" t="s">
        <v>194</v>
      </c>
      <c r="C552" s="124" t="s">
        <v>135</v>
      </c>
      <c r="D552" s="144" t="s">
        <v>552</v>
      </c>
      <c r="E552" s="59" t="s">
        <v>553</v>
      </c>
      <c r="F552" s="54"/>
      <c r="G552" s="29"/>
      <c r="H552" s="53">
        <v>21945</v>
      </c>
      <c r="I552" s="53" t="s">
        <v>87</v>
      </c>
      <c r="M552" t="s">
        <v>581</v>
      </c>
    </row>
    <row r="553" spans="1:13" x14ac:dyDescent="0.25">
      <c r="A553">
        <v>8230</v>
      </c>
      <c r="B553" s="33" t="s">
        <v>194</v>
      </c>
      <c r="C553" s="124" t="s">
        <v>135</v>
      </c>
      <c r="D553" s="144" t="s">
        <v>560</v>
      </c>
      <c r="E553" s="59" t="s">
        <v>561</v>
      </c>
      <c r="F553" s="54"/>
      <c r="G553" s="29"/>
      <c r="H553" s="53">
        <v>8230</v>
      </c>
      <c r="I553" s="53" t="s">
        <v>87</v>
      </c>
      <c r="M553" t="s">
        <v>581</v>
      </c>
    </row>
    <row r="554" spans="1:13" x14ac:dyDescent="0.25">
      <c r="A554">
        <v>34635</v>
      </c>
      <c r="B554" s="33" t="s">
        <v>194</v>
      </c>
      <c r="C554" s="124" t="s">
        <v>135</v>
      </c>
      <c r="D554" s="144" t="s">
        <v>562</v>
      </c>
      <c r="E554" s="59" t="s">
        <v>563</v>
      </c>
      <c r="F554" s="54"/>
      <c r="G554" s="29"/>
      <c r="H554" s="53">
        <v>34635</v>
      </c>
      <c r="I554" s="53" t="s">
        <v>87</v>
      </c>
      <c r="M554" t="s">
        <v>581</v>
      </c>
    </row>
    <row r="555" spans="1:13" x14ac:dyDescent="0.25">
      <c r="A555">
        <v>4108</v>
      </c>
      <c r="B555" s="33" t="s">
        <v>194</v>
      </c>
      <c r="C555" s="124" t="s">
        <v>135</v>
      </c>
      <c r="D555" s="144" t="s">
        <v>564</v>
      </c>
      <c r="E555" s="59" t="s">
        <v>565</v>
      </c>
      <c r="F555" s="54"/>
      <c r="G555" s="29"/>
      <c r="H555" s="53">
        <v>4108</v>
      </c>
      <c r="I555" s="53" t="s">
        <v>87</v>
      </c>
      <c r="M555" t="s">
        <v>581</v>
      </c>
    </row>
    <row r="556" spans="1:13" x14ac:dyDescent="0.25">
      <c r="A556">
        <v>21878</v>
      </c>
      <c r="B556" s="33" t="s">
        <v>194</v>
      </c>
      <c r="C556" s="124" t="s">
        <v>135</v>
      </c>
      <c r="D556" s="144" t="s">
        <v>558</v>
      </c>
      <c r="E556" s="59" t="s">
        <v>559</v>
      </c>
      <c r="F556" s="54"/>
      <c r="G556" s="29"/>
      <c r="H556" s="53">
        <v>21878</v>
      </c>
      <c r="I556" s="53" t="s">
        <v>87</v>
      </c>
      <c r="M556" t="s">
        <v>581</v>
      </c>
    </row>
    <row r="557" spans="1:13" x14ac:dyDescent="0.25">
      <c r="A557">
        <v>16081</v>
      </c>
      <c r="B557" s="33" t="s">
        <v>194</v>
      </c>
      <c r="C557" s="124" t="s">
        <v>135</v>
      </c>
      <c r="D557" s="144" t="s">
        <v>566</v>
      </c>
      <c r="E557" s="59" t="s">
        <v>567</v>
      </c>
      <c r="F557" s="54"/>
      <c r="G557" s="29"/>
      <c r="H557" s="53">
        <v>16081</v>
      </c>
      <c r="I557" s="53" t="s">
        <v>87</v>
      </c>
      <c r="M557" t="s">
        <v>581</v>
      </c>
    </row>
    <row r="558" spans="1:13" x14ac:dyDescent="0.25">
      <c r="A558">
        <v>35968</v>
      </c>
      <c r="B558" s="33" t="s">
        <v>194</v>
      </c>
      <c r="C558" s="124" t="s">
        <v>135</v>
      </c>
      <c r="D558" s="144" t="s">
        <v>542</v>
      </c>
      <c r="E558" s="59" t="s">
        <v>543</v>
      </c>
      <c r="F558" s="54"/>
      <c r="G558" s="29"/>
      <c r="H558" s="53">
        <v>35968</v>
      </c>
      <c r="I558" s="53" t="s">
        <v>87</v>
      </c>
      <c r="M558" t="s">
        <v>581</v>
      </c>
    </row>
    <row r="559" spans="1:13" x14ac:dyDescent="0.25">
      <c r="A559">
        <v>20589</v>
      </c>
      <c r="B559" s="33" t="s">
        <v>194</v>
      </c>
      <c r="C559" s="124" t="s">
        <v>135</v>
      </c>
      <c r="D559" s="144" t="s">
        <v>550</v>
      </c>
      <c r="E559" s="59" t="s">
        <v>551</v>
      </c>
      <c r="F559" s="54"/>
      <c r="G559" s="29"/>
      <c r="H559" s="53">
        <v>20589</v>
      </c>
      <c r="I559" s="53" t="s">
        <v>87</v>
      </c>
      <c r="M559" t="s">
        <v>581</v>
      </c>
    </row>
    <row r="560" spans="1:13" x14ac:dyDescent="0.25">
      <c r="A560">
        <v>7189</v>
      </c>
      <c r="B560" s="33" t="s">
        <v>194</v>
      </c>
      <c r="C560" s="124" t="s">
        <v>135</v>
      </c>
      <c r="D560" s="144" t="s">
        <v>554</v>
      </c>
      <c r="E560" s="59" t="s">
        <v>555</v>
      </c>
      <c r="F560" s="54"/>
      <c r="G560" s="29"/>
      <c r="H560" s="53">
        <v>7189</v>
      </c>
      <c r="I560" s="53" t="s">
        <v>87</v>
      </c>
      <c r="M560" t="s">
        <v>581</v>
      </c>
    </row>
    <row r="561" spans="1:13" x14ac:dyDescent="0.25">
      <c r="A561">
        <v>20273</v>
      </c>
      <c r="B561" s="33" t="s">
        <v>194</v>
      </c>
      <c r="C561" s="124" t="s">
        <v>135</v>
      </c>
      <c r="D561" s="144" t="s">
        <v>556</v>
      </c>
      <c r="E561" s="59" t="s">
        <v>557</v>
      </c>
      <c r="F561" s="54"/>
      <c r="G561" s="29"/>
      <c r="H561" s="53">
        <v>20273</v>
      </c>
      <c r="I561" s="53" t="s">
        <v>87</v>
      </c>
      <c r="M561" t="s">
        <v>581</v>
      </c>
    </row>
    <row r="562" spans="1:13" x14ac:dyDescent="0.25">
      <c r="A562">
        <v>20041</v>
      </c>
      <c r="B562" s="33" t="s">
        <v>194</v>
      </c>
      <c r="C562" s="124" t="s">
        <v>135</v>
      </c>
      <c r="D562" s="144" t="s">
        <v>540</v>
      </c>
      <c r="E562" s="59" t="s">
        <v>541</v>
      </c>
      <c r="F562" s="54"/>
      <c r="G562" s="29"/>
      <c r="H562" s="53">
        <v>20041</v>
      </c>
      <c r="I562" s="53" t="s">
        <v>87</v>
      </c>
      <c r="M562" t="s">
        <v>581</v>
      </c>
    </row>
    <row r="563" spans="1:13" x14ac:dyDescent="0.25">
      <c r="A563">
        <v>20693</v>
      </c>
      <c r="B563" s="33" t="s">
        <v>194</v>
      </c>
      <c r="C563" s="124" t="s">
        <v>135</v>
      </c>
      <c r="D563" s="144" t="s">
        <v>548</v>
      </c>
      <c r="E563" s="59" t="s">
        <v>549</v>
      </c>
      <c r="F563" s="54"/>
      <c r="G563" s="29"/>
      <c r="H563" s="53">
        <v>20693</v>
      </c>
      <c r="I563" s="53" t="s">
        <v>87</v>
      </c>
      <c r="M563" t="s">
        <v>581</v>
      </c>
    </row>
    <row r="564" spans="1:13" x14ac:dyDescent="0.25">
      <c r="A564">
        <v>4607</v>
      </c>
      <c r="B564" s="33" t="s">
        <v>194</v>
      </c>
      <c r="C564" s="124" t="s">
        <v>135</v>
      </c>
      <c r="D564" s="144" t="s">
        <v>546</v>
      </c>
      <c r="E564" s="59" t="s">
        <v>547</v>
      </c>
      <c r="F564" s="54"/>
      <c r="G564" s="29"/>
      <c r="H564" s="53">
        <v>4607</v>
      </c>
      <c r="I564" s="53" t="s">
        <v>87</v>
      </c>
      <c r="M564" t="s">
        <v>581</v>
      </c>
    </row>
    <row r="565" spans="1:13" x14ac:dyDescent="0.25">
      <c r="A565">
        <v>70236</v>
      </c>
      <c r="B565" s="33" t="s">
        <v>197</v>
      </c>
      <c r="C565" s="124" t="s">
        <v>126</v>
      </c>
      <c r="D565" s="144" t="s">
        <v>384</v>
      </c>
      <c r="E565" s="59" t="s">
        <v>385</v>
      </c>
      <c r="F565" s="54"/>
      <c r="G565" s="29"/>
      <c r="H565" s="53">
        <v>70236</v>
      </c>
      <c r="I565" s="53" t="s">
        <v>87</v>
      </c>
      <c r="M565" t="s">
        <v>581</v>
      </c>
    </row>
    <row r="566" spans="1:13" x14ac:dyDescent="0.25">
      <c r="A566">
        <v>93002</v>
      </c>
      <c r="B566" s="33" t="s">
        <v>197</v>
      </c>
      <c r="C566" s="124" t="s">
        <v>126</v>
      </c>
      <c r="D566" s="144" t="s">
        <v>398</v>
      </c>
      <c r="E566" s="59" t="s">
        <v>399</v>
      </c>
      <c r="F566" s="54"/>
      <c r="G566" s="29"/>
      <c r="H566" s="53">
        <v>93002</v>
      </c>
      <c r="I566" s="53" t="s">
        <v>87</v>
      </c>
      <c r="M566" t="s">
        <v>581</v>
      </c>
    </row>
    <row r="567" spans="1:13" x14ac:dyDescent="0.25">
      <c r="A567">
        <v>168576</v>
      </c>
      <c r="B567" s="33" t="s">
        <v>197</v>
      </c>
      <c r="C567" s="124" t="s">
        <v>126</v>
      </c>
      <c r="D567" s="144" t="s">
        <v>396</v>
      </c>
      <c r="E567" s="59" t="s">
        <v>397</v>
      </c>
      <c r="F567" s="54"/>
      <c r="G567" s="29"/>
      <c r="H567" s="53">
        <v>168576</v>
      </c>
      <c r="I567" s="53" t="s">
        <v>87</v>
      </c>
      <c r="M567" t="s">
        <v>581</v>
      </c>
    </row>
    <row r="568" spans="1:13" ht="28.5" x14ac:dyDescent="0.25">
      <c r="A568">
        <v>50397</v>
      </c>
      <c r="B568" s="33" t="s">
        <v>197</v>
      </c>
      <c r="C568" s="124" t="s">
        <v>126</v>
      </c>
      <c r="D568" s="144" t="s">
        <v>394</v>
      </c>
      <c r="E568" s="59" t="s">
        <v>395</v>
      </c>
      <c r="F568" s="54"/>
      <c r="G568" s="29"/>
      <c r="H568" s="53">
        <v>50397</v>
      </c>
      <c r="I568" s="53" t="s">
        <v>87</v>
      </c>
      <c r="M568" t="s">
        <v>581</v>
      </c>
    </row>
    <row r="569" spans="1:13" x14ac:dyDescent="0.25">
      <c r="A569">
        <v>223917</v>
      </c>
      <c r="B569" s="33" t="s">
        <v>197</v>
      </c>
      <c r="C569" s="124" t="s">
        <v>126</v>
      </c>
      <c r="D569" s="144" t="s">
        <v>400</v>
      </c>
      <c r="E569" s="59" t="s">
        <v>401</v>
      </c>
      <c r="F569" s="54"/>
      <c r="G569" s="29"/>
      <c r="H569" s="53">
        <v>223917</v>
      </c>
      <c r="I569" s="53" t="s">
        <v>87</v>
      </c>
      <c r="M569" t="s">
        <v>581</v>
      </c>
    </row>
    <row r="570" spans="1:13" x14ac:dyDescent="0.25">
      <c r="A570">
        <v>21256</v>
      </c>
      <c r="B570" s="33" t="s">
        <v>197</v>
      </c>
      <c r="C570" s="124" t="s">
        <v>126</v>
      </c>
      <c r="D570" s="144" t="s">
        <v>390</v>
      </c>
      <c r="E570" s="59" t="s">
        <v>391</v>
      </c>
      <c r="F570" s="54"/>
      <c r="G570" s="29"/>
      <c r="H570" s="53">
        <v>21256</v>
      </c>
      <c r="I570" s="53" t="s">
        <v>87</v>
      </c>
      <c r="M570" t="s">
        <v>581</v>
      </c>
    </row>
    <row r="571" spans="1:13" x14ac:dyDescent="0.25">
      <c r="A571">
        <v>80080</v>
      </c>
      <c r="B571" s="33" t="s">
        <v>197</v>
      </c>
      <c r="C571" s="124" t="s">
        <v>126</v>
      </c>
      <c r="D571" s="144" t="s">
        <v>388</v>
      </c>
      <c r="E571" s="59" t="s">
        <v>389</v>
      </c>
      <c r="F571" s="54"/>
      <c r="G571" s="29"/>
      <c r="H571" s="53">
        <v>80080</v>
      </c>
      <c r="I571" s="53" t="s">
        <v>87</v>
      </c>
      <c r="M571" t="s">
        <v>581</v>
      </c>
    </row>
    <row r="572" spans="1:13" x14ac:dyDescent="0.25">
      <c r="A572">
        <v>19986</v>
      </c>
      <c r="B572" s="33" t="s">
        <v>197</v>
      </c>
      <c r="C572" s="124" t="s">
        <v>126</v>
      </c>
      <c r="D572" s="144" t="s">
        <v>392</v>
      </c>
      <c r="E572" s="59" t="s">
        <v>393</v>
      </c>
      <c r="F572" s="54"/>
      <c r="G572" s="29"/>
      <c r="H572" s="53">
        <v>19986</v>
      </c>
      <c r="I572" s="53" t="s">
        <v>87</v>
      </c>
      <c r="M572" t="s">
        <v>581</v>
      </c>
    </row>
    <row r="573" spans="1:13" x14ac:dyDescent="0.25">
      <c r="A573">
        <v>20067</v>
      </c>
      <c r="B573" s="33" t="s">
        <v>197</v>
      </c>
      <c r="C573" s="124" t="s">
        <v>126</v>
      </c>
      <c r="D573" s="144" t="s">
        <v>386</v>
      </c>
      <c r="E573" s="59" t="s">
        <v>387</v>
      </c>
      <c r="F573" s="54"/>
      <c r="G573" s="29"/>
      <c r="H573" s="53">
        <v>20067</v>
      </c>
      <c r="I573" s="53" t="s">
        <v>87</v>
      </c>
      <c r="M573" t="s">
        <v>581</v>
      </c>
    </row>
    <row r="574" spans="1:13" ht="25.5" x14ac:dyDescent="0.25">
      <c r="A574">
        <v>29245</v>
      </c>
      <c r="B574" s="33" t="s">
        <v>144</v>
      </c>
      <c r="C574" s="124" t="s">
        <v>136</v>
      </c>
      <c r="D574" s="144" t="s">
        <v>574</v>
      </c>
      <c r="E574" s="59" t="s">
        <v>573</v>
      </c>
      <c r="F574" s="54"/>
      <c r="G574" s="29"/>
      <c r="H574" s="53">
        <v>29245</v>
      </c>
      <c r="I574" s="53" t="s">
        <v>89</v>
      </c>
      <c r="M574" t="s">
        <v>581</v>
      </c>
    </row>
    <row r="575" spans="1:13" ht="25.5" x14ac:dyDescent="0.25">
      <c r="A575">
        <v>187257</v>
      </c>
      <c r="B575" s="33" t="s">
        <v>147</v>
      </c>
      <c r="C575" s="124" t="s">
        <v>132</v>
      </c>
      <c r="D575" s="144" t="s">
        <v>504</v>
      </c>
      <c r="E575" s="59" t="s">
        <v>505</v>
      </c>
      <c r="F575" s="54"/>
      <c r="G575" s="29"/>
      <c r="H575" s="53">
        <v>256235</v>
      </c>
      <c r="I575" s="53" t="s">
        <v>89</v>
      </c>
      <c r="M575" t="s">
        <v>581</v>
      </c>
    </row>
    <row r="576" spans="1:13" ht="25.5" x14ac:dyDescent="0.25">
      <c r="A576">
        <v>146738</v>
      </c>
      <c r="B576" s="33" t="s">
        <v>147</v>
      </c>
      <c r="C576" s="124" t="s">
        <v>132</v>
      </c>
      <c r="D576" s="144" t="s">
        <v>506</v>
      </c>
      <c r="E576" s="59" t="s">
        <v>507</v>
      </c>
      <c r="F576" s="54"/>
      <c r="G576" s="29"/>
      <c r="H576" s="53">
        <v>177456</v>
      </c>
      <c r="I576" s="53" t="s">
        <v>89</v>
      </c>
      <c r="M576" t="s">
        <v>581</v>
      </c>
    </row>
    <row r="577" spans="1:13" ht="25.5" x14ac:dyDescent="0.25">
      <c r="A577">
        <v>163346</v>
      </c>
      <c r="B577" s="33" t="s">
        <v>147</v>
      </c>
      <c r="C577" s="124" t="s">
        <v>132</v>
      </c>
      <c r="D577" s="144" t="s">
        <v>508</v>
      </c>
      <c r="E577" s="59" t="s">
        <v>509</v>
      </c>
      <c r="F577" s="54"/>
      <c r="G577" s="29"/>
      <c r="H577" s="53">
        <v>243909</v>
      </c>
      <c r="I577" s="53" t="s">
        <v>89</v>
      </c>
      <c r="M577" t="s">
        <v>581</v>
      </c>
    </row>
    <row r="578" spans="1:13" ht="25.5" x14ac:dyDescent="0.25">
      <c r="A578">
        <v>73912</v>
      </c>
      <c r="B578" s="33" t="s">
        <v>147</v>
      </c>
      <c r="C578" s="124" t="s">
        <v>132</v>
      </c>
      <c r="D578" s="144" t="s">
        <v>510</v>
      </c>
      <c r="E578" s="59" t="s">
        <v>511</v>
      </c>
      <c r="F578" s="54"/>
      <c r="G578" s="29"/>
      <c r="H578" s="53">
        <v>154176</v>
      </c>
      <c r="I578" s="53" t="s">
        <v>89</v>
      </c>
      <c r="M578" t="s">
        <v>581</v>
      </c>
    </row>
    <row r="579" spans="1:13" ht="25.5" x14ac:dyDescent="0.25">
      <c r="A579">
        <v>114595</v>
      </c>
      <c r="B579" s="33" t="s">
        <v>147</v>
      </c>
      <c r="C579" s="124" t="s">
        <v>132</v>
      </c>
      <c r="D579" s="144" t="s">
        <v>498</v>
      </c>
      <c r="E579" s="59" t="s">
        <v>499</v>
      </c>
      <c r="F579" s="54"/>
      <c r="G579" s="29"/>
      <c r="H579" s="53">
        <v>206181</v>
      </c>
      <c r="I579" s="53" t="s">
        <v>89</v>
      </c>
      <c r="M579" t="s">
        <v>581</v>
      </c>
    </row>
    <row r="580" spans="1:13" ht="25.5" x14ac:dyDescent="0.25">
      <c r="A580">
        <v>39378</v>
      </c>
      <c r="B580" s="33" t="s">
        <v>147</v>
      </c>
      <c r="C580" s="124" t="s">
        <v>132</v>
      </c>
      <c r="D580" s="144" t="s">
        <v>496</v>
      </c>
      <c r="E580" s="59" t="s">
        <v>497</v>
      </c>
      <c r="F580" s="54"/>
      <c r="G580" s="29"/>
      <c r="H580" s="53">
        <v>49297</v>
      </c>
      <c r="I580" s="53" t="s">
        <v>89</v>
      </c>
      <c r="M580" t="s">
        <v>581</v>
      </c>
    </row>
    <row r="581" spans="1:13" ht="25.5" x14ac:dyDescent="0.25">
      <c r="A581">
        <v>118211</v>
      </c>
      <c r="B581" s="33" t="s">
        <v>147</v>
      </c>
      <c r="C581" s="124" t="s">
        <v>132</v>
      </c>
      <c r="D581" s="144" t="s">
        <v>502</v>
      </c>
      <c r="E581" s="59" t="s">
        <v>503</v>
      </c>
      <c r="F581" s="54"/>
      <c r="G581" s="29"/>
      <c r="H581" s="53">
        <v>252048</v>
      </c>
      <c r="I581" s="53" t="s">
        <v>89</v>
      </c>
      <c r="M581" t="s">
        <v>581</v>
      </c>
    </row>
    <row r="582" spans="1:13" ht="25.5" x14ac:dyDescent="0.25">
      <c r="A582">
        <v>48763</v>
      </c>
      <c r="B582" s="33" t="s">
        <v>147</v>
      </c>
      <c r="C582" s="124" t="s">
        <v>132</v>
      </c>
      <c r="D582" s="144" t="s">
        <v>500</v>
      </c>
      <c r="E582" s="59" t="s">
        <v>501</v>
      </c>
      <c r="F582" s="54"/>
      <c r="G582" s="29"/>
      <c r="H582" s="53">
        <v>92918</v>
      </c>
      <c r="I582" s="53" t="s">
        <v>89</v>
      </c>
      <c r="M582" t="s">
        <v>581</v>
      </c>
    </row>
    <row r="583" spans="1:13" ht="25.5" x14ac:dyDescent="0.25">
      <c r="A583">
        <v>42112</v>
      </c>
      <c r="B583" s="33" t="s">
        <v>150</v>
      </c>
      <c r="C583" s="124" t="s">
        <v>125</v>
      </c>
      <c r="D583" s="144" t="s">
        <v>374</v>
      </c>
      <c r="E583" s="59" t="s">
        <v>375</v>
      </c>
      <c r="F583" s="54"/>
      <c r="G583" s="29"/>
      <c r="H583" s="53">
        <v>58956</v>
      </c>
      <c r="I583" s="53" t="s">
        <v>89</v>
      </c>
      <c r="M583" t="s">
        <v>581</v>
      </c>
    </row>
    <row r="584" spans="1:13" ht="25.5" x14ac:dyDescent="0.25">
      <c r="A584">
        <v>38165</v>
      </c>
      <c r="B584" s="33" t="s">
        <v>150</v>
      </c>
      <c r="C584" s="124" t="s">
        <v>125</v>
      </c>
      <c r="D584" s="144" t="s">
        <v>376</v>
      </c>
      <c r="E584" s="59" t="s">
        <v>377</v>
      </c>
      <c r="F584" s="54"/>
      <c r="G584" s="29"/>
      <c r="H584" s="53">
        <v>50874</v>
      </c>
      <c r="I584" s="53" t="s">
        <v>89</v>
      </c>
      <c r="M584" t="s">
        <v>581</v>
      </c>
    </row>
    <row r="585" spans="1:13" ht="25.5" x14ac:dyDescent="0.25">
      <c r="A585">
        <v>17486</v>
      </c>
      <c r="B585" s="33" t="s">
        <v>150</v>
      </c>
      <c r="C585" s="124" t="s">
        <v>125</v>
      </c>
      <c r="D585" s="144" t="s">
        <v>378</v>
      </c>
      <c r="E585" s="59" t="s">
        <v>379</v>
      </c>
      <c r="F585" s="54"/>
      <c r="G585" s="29"/>
      <c r="H585" s="53">
        <v>17486</v>
      </c>
      <c r="I585" s="53" t="s">
        <v>89</v>
      </c>
      <c r="M585" t="s">
        <v>581</v>
      </c>
    </row>
    <row r="586" spans="1:13" ht="25.5" x14ac:dyDescent="0.25">
      <c r="A586">
        <v>16940</v>
      </c>
      <c r="B586" s="33" t="s">
        <v>150</v>
      </c>
      <c r="C586" s="124" t="s">
        <v>125</v>
      </c>
      <c r="D586" s="144" t="s">
        <v>370</v>
      </c>
      <c r="E586" s="59" t="s">
        <v>371</v>
      </c>
      <c r="F586" s="54"/>
      <c r="G586" s="29"/>
      <c r="H586" s="53">
        <v>25152</v>
      </c>
      <c r="I586" s="53" t="s">
        <v>89</v>
      </c>
      <c r="M586" t="s">
        <v>581</v>
      </c>
    </row>
    <row r="587" spans="1:13" ht="25.5" x14ac:dyDescent="0.25">
      <c r="A587">
        <v>24257</v>
      </c>
      <c r="B587" s="33" t="s">
        <v>150</v>
      </c>
      <c r="C587" s="124" t="s">
        <v>125</v>
      </c>
      <c r="D587" s="144" t="s">
        <v>372</v>
      </c>
      <c r="E587" s="59" t="s">
        <v>373</v>
      </c>
      <c r="F587" s="54"/>
      <c r="G587" s="29"/>
      <c r="H587" s="53">
        <v>37914</v>
      </c>
      <c r="I587" s="53" t="s">
        <v>89</v>
      </c>
      <c r="M587" t="s">
        <v>581</v>
      </c>
    </row>
    <row r="588" spans="1:13" ht="25.5" x14ac:dyDescent="0.25">
      <c r="A588">
        <v>10901</v>
      </c>
      <c r="B588" s="33" t="s">
        <v>150</v>
      </c>
      <c r="C588" s="124" t="s">
        <v>125</v>
      </c>
      <c r="D588" s="144" t="s">
        <v>380</v>
      </c>
      <c r="E588" s="59" t="s">
        <v>381</v>
      </c>
      <c r="F588" s="54"/>
      <c r="G588" s="29"/>
      <c r="H588" s="53">
        <v>17065</v>
      </c>
      <c r="I588" s="53" t="s">
        <v>89</v>
      </c>
      <c r="M588" t="s">
        <v>581</v>
      </c>
    </row>
    <row r="589" spans="1:13" ht="25.5" x14ac:dyDescent="0.25">
      <c r="A589">
        <v>13044.6</v>
      </c>
      <c r="B589" s="33" t="s">
        <v>150</v>
      </c>
      <c r="C589" s="124" t="s">
        <v>125</v>
      </c>
      <c r="D589" s="144" t="s">
        <v>382</v>
      </c>
      <c r="E589" s="59" t="s">
        <v>383</v>
      </c>
      <c r="F589" s="54"/>
      <c r="G589" s="29"/>
      <c r="H589" s="53">
        <v>28988</v>
      </c>
      <c r="I589" s="53" t="s">
        <v>89</v>
      </c>
      <c r="M589" t="s">
        <v>581</v>
      </c>
    </row>
    <row r="590" spans="1:13" ht="25.5" x14ac:dyDescent="0.25">
      <c r="A590">
        <v>0</v>
      </c>
      <c r="B590" s="33" t="s">
        <v>141</v>
      </c>
      <c r="C590" s="124" t="s">
        <v>123</v>
      </c>
      <c r="D590" s="144" t="s">
        <v>143</v>
      </c>
      <c r="E590" s="59" t="s">
        <v>142</v>
      </c>
      <c r="F590" s="54"/>
      <c r="G590" s="29"/>
      <c r="H590" s="53">
        <v>0</v>
      </c>
      <c r="I590" s="53" t="s">
        <v>89</v>
      </c>
      <c r="M590" t="s">
        <v>581</v>
      </c>
    </row>
    <row r="591" spans="1:13" ht="25.5" x14ac:dyDescent="0.25">
      <c r="A591">
        <v>16119.5</v>
      </c>
      <c r="B591" s="33" t="s">
        <v>141</v>
      </c>
      <c r="C591" s="124" t="s">
        <v>123</v>
      </c>
      <c r="D591" s="144" t="s">
        <v>146</v>
      </c>
      <c r="E591" s="59" t="s">
        <v>145</v>
      </c>
      <c r="F591" s="54"/>
      <c r="G591" s="29"/>
      <c r="H591" s="53">
        <v>32239</v>
      </c>
      <c r="I591" s="53" t="s">
        <v>89</v>
      </c>
      <c r="M591" t="s">
        <v>581</v>
      </c>
    </row>
    <row r="592" spans="1:13" ht="28.5" x14ac:dyDescent="0.25">
      <c r="A592">
        <v>86654</v>
      </c>
      <c r="B592" s="33" t="s">
        <v>141</v>
      </c>
      <c r="C592" s="124" t="s">
        <v>123</v>
      </c>
      <c r="D592" s="144" t="s">
        <v>152</v>
      </c>
      <c r="E592" s="59" t="s">
        <v>151</v>
      </c>
      <c r="F592" s="54"/>
      <c r="G592" s="29"/>
      <c r="H592" s="53">
        <v>117768</v>
      </c>
      <c r="I592" s="53" t="s">
        <v>89</v>
      </c>
      <c r="M592" t="s">
        <v>581</v>
      </c>
    </row>
    <row r="593" spans="1:13" ht="25.5" x14ac:dyDescent="0.25">
      <c r="A593">
        <v>48372</v>
      </c>
      <c r="B593" s="33" t="s">
        <v>141</v>
      </c>
      <c r="C593" s="124" t="s">
        <v>123</v>
      </c>
      <c r="D593" s="144" t="s">
        <v>149</v>
      </c>
      <c r="E593" s="59" t="s">
        <v>148</v>
      </c>
      <c r="F593" s="54"/>
      <c r="G593" s="29"/>
      <c r="H593" s="53">
        <v>54375</v>
      </c>
      <c r="I593" s="53" t="s">
        <v>89</v>
      </c>
      <c r="M593" t="s">
        <v>581</v>
      </c>
    </row>
    <row r="594" spans="1:13" ht="28.5" x14ac:dyDescent="0.25">
      <c r="A594">
        <v>6307</v>
      </c>
      <c r="B594" s="33" t="s">
        <v>141</v>
      </c>
      <c r="C594" s="124" t="s">
        <v>123</v>
      </c>
      <c r="D594" s="144" t="s">
        <v>154</v>
      </c>
      <c r="E594" s="59" t="s">
        <v>153</v>
      </c>
      <c r="F594" s="54"/>
      <c r="G594" s="29"/>
      <c r="H594" s="53">
        <v>6368</v>
      </c>
      <c r="I594" s="53" t="s">
        <v>89</v>
      </c>
      <c r="M594" t="s">
        <v>581</v>
      </c>
    </row>
    <row r="595" spans="1:13" ht="25.5" x14ac:dyDescent="0.25">
      <c r="A595">
        <v>19640</v>
      </c>
      <c r="B595" s="33" t="s">
        <v>141</v>
      </c>
      <c r="C595" s="124" t="s">
        <v>123</v>
      </c>
      <c r="D595" s="144" t="s">
        <v>157</v>
      </c>
      <c r="E595" s="59" t="s">
        <v>156</v>
      </c>
      <c r="F595" s="54"/>
      <c r="G595" s="29"/>
      <c r="H595" s="53">
        <v>19675</v>
      </c>
      <c r="I595" s="53" t="s">
        <v>89</v>
      </c>
      <c r="M595" t="s">
        <v>581</v>
      </c>
    </row>
    <row r="596" spans="1:13" ht="25.5" x14ac:dyDescent="0.25">
      <c r="A596">
        <v>67176</v>
      </c>
      <c r="B596" s="33" t="s">
        <v>141</v>
      </c>
      <c r="C596" s="124" t="s">
        <v>123</v>
      </c>
      <c r="D596" s="144" t="s">
        <v>160</v>
      </c>
      <c r="E596" s="59" t="s">
        <v>159</v>
      </c>
      <c r="F596" s="54"/>
      <c r="G596" s="29"/>
      <c r="H596" s="53">
        <v>119424</v>
      </c>
      <c r="I596" s="53" t="s">
        <v>89</v>
      </c>
      <c r="M596" t="s">
        <v>581</v>
      </c>
    </row>
    <row r="597" spans="1:13" ht="28.5" x14ac:dyDescent="0.25">
      <c r="A597">
        <v>12189</v>
      </c>
      <c r="B597" s="33" t="s">
        <v>141</v>
      </c>
      <c r="C597" s="124" t="s">
        <v>123</v>
      </c>
      <c r="D597" s="144" t="s">
        <v>166</v>
      </c>
      <c r="E597" s="59" t="s">
        <v>165</v>
      </c>
      <c r="F597" s="54"/>
      <c r="G597" s="29"/>
      <c r="H597" s="53">
        <v>18104</v>
      </c>
      <c r="I597" s="53" t="s">
        <v>89</v>
      </c>
      <c r="M597" t="s">
        <v>581</v>
      </c>
    </row>
    <row r="598" spans="1:13" ht="25.5" x14ac:dyDescent="0.25">
      <c r="A598">
        <v>0</v>
      </c>
      <c r="B598" s="33" t="s">
        <v>141</v>
      </c>
      <c r="C598" s="124" t="s">
        <v>123</v>
      </c>
      <c r="D598" s="144" t="s">
        <v>163</v>
      </c>
      <c r="E598" s="59" t="s">
        <v>162</v>
      </c>
      <c r="F598" s="54"/>
      <c r="G598" s="29"/>
      <c r="H598" s="53">
        <v>0</v>
      </c>
      <c r="I598" s="53" t="s">
        <v>89</v>
      </c>
      <c r="M598" t="s">
        <v>581</v>
      </c>
    </row>
    <row r="599" spans="1:13" ht="25.5" x14ac:dyDescent="0.25">
      <c r="A599">
        <v>3364</v>
      </c>
      <c r="B599" s="33" t="s">
        <v>155</v>
      </c>
      <c r="C599" s="124" t="s">
        <v>122</v>
      </c>
      <c r="D599" s="144" t="s">
        <v>172</v>
      </c>
      <c r="E599" s="59" t="s">
        <v>171</v>
      </c>
      <c r="F599" s="54"/>
      <c r="G599" s="29"/>
      <c r="H599" s="53">
        <v>3407</v>
      </c>
      <c r="I599" s="53" t="s">
        <v>89</v>
      </c>
      <c r="M599" t="s">
        <v>581</v>
      </c>
    </row>
    <row r="600" spans="1:13" ht="25.5" x14ac:dyDescent="0.25">
      <c r="A600">
        <v>39972</v>
      </c>
      <c r="B600" s="33" t="s">
        <v>155</v>
      </c>
      <c r="C600" s="124" t="s">
        <v>122</v>
      </c>
      <c r="D600" s="144" t="s">
        <v>184</v>
      </c>
      <c r="E600" s="59" t="s">
        <v>183</v>
      </c>
      <c r="F600" s="54"/>
      <c r="G600" s="29"/>
      <c r="H600" s="53">
        <v>51451</v>
      </c>
      <c r="I600" s="53" t="s">
        <v>89</v>
      </c>
      <c r="M600" t="s">
        <v>581</v>
      </c>
    </row>
    <row r="601" spans="1:13" ht="25.5" x14ac:dyDescent="0.25">
      <c r="A601">
        <v>0</v>
      </c>
      <c r="B601" s="33" t="s">
        <v>155</v>
      </c>
      <c r="C601" s="124" t="s">
        <v>122</v>
      </c>
      <c r="D601" s="144" t="s">
        <v>175</v>
      </c>
      <c r="E601" s="59" t="s">
        <v>174</v>
      </c>
      <c r="F601" s="54"/>
      <c r="G601" s="29"/>
      <c r="H601" s="53">
        <v>0</v>
      </c>
      <c r="I601" s="53" t="s">
        <v>89</v>
      </c>
      <c r="M601" t="s">
        <v>581</v>
      </c>
    </row>
    <row r="602" spans="1:13" ht="25.5" x14ac:dyDescent="0.25">
      <c r="A602">
        <v>8596</v>
      </c>
      <c r="B602" s="33" t="s">
        <v>155</v>
      </c>
      <c r="C602" s="124" t="s">
        <v>122</v>
      </c>
      <c r="D602" s="144" t="s">
        <v>169</v>
      </c>
      <c r="E602" s="59" t="s">
        <v>168</v>
      </c>
      <c r="F602" s="54"/>
      <c r="G602" s="29"/>
      <c r="H602" s="53">
        <v>17192</v>
      </c>
      <c r="I602" s="53" t="s">
        <v>89</v>
      </c>
      <c r="M602" t="s">
        <v>581</v>
      </c>
    </row>
    <row r="603" spans="1:13" ht="25.5" x14ac:dyDescent="0.25">
      <c r="A603">
        <v>51220</v>
      </c>
      <c r="B603" s="33" t="s">
        <v>155</v>
      </c>
      <c r="C603" s="124" t="s">
        <v>122</v>
      </c>
      <c r="D603" s="144" t="s">
        <v>181</v>
      </c>
      <c r="E603" s="59" t="s">
        <v>180</v>
      </c>
      <c r="F603" s="54"/>
      <c r="G603" s="29"/>
      <c r="H603" s="53">
        <v>53221</v>
      </c>
      <c r="I603" s="53" t="s">
        <v>89</v>
      </c>
      <c r="M603" t="s">
        <v>581</v>
      </c>
    </row>
    <row r="604" spans="1:13" ht="25.5" x14ac:dyDescent="0.25">
      <c r="A604">
        <v>53250</v>
      </c>
      <c r="B604" s="33" t="s">
        <v>155</v>
      </c>
      <c r="C604" s="124" t="s">
        <v>122</v>
      </c>
      <c r="D604" s="144" t="s">
        <v>190</v>
      </c>
      <c r="E604" s="59" t="s">
        <v>189</v>
      </c>
      <c r="F604" s="54"/>
      <c r="G604" s="29"/>
      <c r="H604" s="53">
        <v>53523</v>
      </c>
      <c r="I604" s="53" t="s">
        <v>89</v>
      </c>
      <c r="M604" t="s">
        <v>581</v>
      </c>
    </row>
    <row r="605" spans="1:13" ht="25.5" x14ac:dyDescent="0.25">
      <c r="A605">
        <v>20438</v>
      </c>
      <c r="B605" s="33" t="s">
        <v>155</v>
      </c>
      <c r="C605" s="124" t="s">
        <v>122</v>
      </c>
      <c r="D605" s="144" t="s">
        <v>187</v>
      </c>
      <c r="E605" s="59" t="s">
        <v>186</v>
      </c>
      <c r="F605" s="54"/>
      <c r="G605" s="29"/>
      <c r="H605" s="53">
        <v>21894</v>
      </c>
      <c r="I605" s="53" t="s">
        <v>89</v>
      </c>
      <c r="M605" t="s">
        <v>581</v>
      </c>
    </row>
    <row r="606" spans="1:13" ht="25.5" x14ac:dyDescent="0.25">
      <c r="A606">
        <v>39911</v>
      </c>
      <c r="B606" s="33" t="s">
        <v>155</v>
      </c>
      <c r="C606" s="124" t="s">
        <v>122</v>
      </c>
      <c r="D606" s="144" t="s">
        <v>178</v>
      </c>
      <c r="E606" s="59" t="s">
        <v>177</v>
      </c>
      <c r="F606" s="54"/>
      <c r="G606" s="29"/>
      <c r="H606" s="53">
        <v>40634</v>
      </c>
      <c r="I606" s="53" t="s">
        <v>89</v>
      </c>
      <c r="M606" t="s">
        <v>581</v>
      </c>
    </row>
    <row r="607" spans="1:13" ht="25.5" x14ac:dyDescent="0.25">
      <c r="A607">
        <v>38072</v>
      </c>
      <c r="B607" s="33" t="s">
        <v>155</v>
      </c>
      <c r="C607" s="124" t="s">
        <v>122</v>
      </c>
      <c r="D607" s="144" t="s">
        <v>193</v>
      </c>
      <c r="E607" s="59" t="s">
        <v>192</v>
      </c>
      <c r="F607" s="54"/>
      <c r="G607" s="29"/>
      <c r="H607" s="53">
        <v>39832</v>
      </c>
      <c r="I607" s="53" t="s">
        <v>89</v>
      </c>
      <c r="M607" t="s">
        <v>581</v>
      </c>
    </row>
    <row r="608" spans="1:13" ht="25.5" x14ac:dyDescent="0.25">
      <c r="A608">
        <v>48143</v>
      </c>
      <c r="B608" s="33" t="s">
        <v>158</v>
      </c>
      <c r="C608" s="124" t="s">
        <v>129</v>
      </c>
      <c r="D608" s="144" t="s">
        <v>444</v>
      </c>
      <c r="E608" s="59" t="s">
        <v>445</v>
      </c>
      <c r="F608" s="54"/>
      <c r="G608" s="29"/>
      <c r="H608" s="53">
        <v>49070</v>
      </c>
      <c r="I608" s="53" t="s">
        <v>89</v>
      </c>
      <c r="M608" t="s">
        <v>581</v>
      </c>
    </row>
    <row r="609" spans="1:13" ht="25.5" x14ac:dyDescent="0.25">
      <c r="A609">
        <v>55340</v>
      </c>
      <c r="B609" s="33" t="s">
        <v>158</v>
      </c>
      <c r="C609" s="124" t="s">
        <v>129</v>
      </c>
      <c r="D609" s="144" t="s">
        <v>446</v>
      </c>
      <c r="E609" s="59" t="s">
        <v>447</v>
      </c>
      <c r="F609" s="54"/>
      <c r="G609" s="29"/>
      <c r="H609" s="53">
        <v>63051</v>
      </c>
      <c r="I609" s="53" t="s">
        <v>89</v>
      </c>
      <c r="M609" t="s">
        <v>581</v>
      </c>
    </row>
    <row r="610" spans="1:13" ht="25.5" x14ac:dyDescent="0.25">
      <c r="A610">
        <v>18199</v>
      </c>
      <c r="B610" s="33" t="s">
        <v>158</v>
      </c>
      <c r="C610" s="124" t="s">
        <v>129</v>
      </c>
      <c r="D610" s="144" t="s">
        <v>448</v>
      </c>
      <c r="E610" s="59" t="s">
        <v>449</v>
      </c>
      <c r="F610" s="54"/>
      <c r="G610" s="29"/>
      <c r="H610" s="53">
        <v>24788</v>
      </c>
      <c r="I610" s="53" t="s">
        <v>89</v>
      </c>
      <c r="M610" t="s">
        <v>581</v>
      </c>
    </row>
    <row r="611" spans="1:13" ht="42.75" x14ac:dyDescent="0.25">
      <c r="A611">
        <v>48762</v>
      </c>
      <c r="B611" s="33" t="s">
        <v>158</v>
      </c>
      <c r="C611" s="124" t="s">
        <v>129</v>
      </c>
      <c r="D611" s="144" t="s">
        <v>454</v>
      </c>
      <c r="E611" s="59" t="s">
        <v>455</v>
      </c>
      <c r="F611" s="54"/>
      <c r="G611" s="29"/>
      <c r="H611" s="53">
        <v>50699</v>
      </c>
      <c r="I611" s="53" t="s">
        <v>89</v>
      </c>
      <c r="M611" t="s">
        <v>581</v>
      </c>
    </row>
    <row r="612" spans="1:13" ht="25.5" x14ac:dyDescent="0.25">
      <c r="A612">
        <v>4046</v>
      </c>
      <c r="B612" s="33" t="s">
        <v>158</v>
      </c>
      <c r="C612" s="124" t="s">
        <v>129</v>
      </c>
      <c r="D612" s="144" t="s">
        <v>462</v>
      </c>
      <c r="E612" s="59" t="s">
        <v>463</v>
      </c>
      <c r="F612" s="54"/>
      <c r="G612" s="29"/>
      <c r="H612" s="53">
        <v>4586</v>
      </c>
      <c r="I612" s="53" t="s">
        <v>89</v>
      </c>
      <c r="M612" t="s">
        <v>581</v>
      </c>
    </row>
    <row r="613" spans="1:13" ht="25.5" x14ac:dyDescent="0.25">
      <c r="A613">
        <v>28017</v>
      </c>
      <c r="B613" s="33" t="s">
        <v>158</v>
      </c>
      <c r="C613" s="124" t="s">
        <v>129</v>
      </c>
      <c r="D613" s="144" t="s">
        <v>450</v>
      </c>
      <c r="E613" s="59" t="s">
        <v>451</v>
      </c>
      <c r="F613" s="54"/>
      <c r="G613" s="29"/>
      <c r="H613" s="53">
        <v>38875</v>
      </c>
      <c r="I613" s="53" t="s">
        <v>89</v>
      </c>
      <c r="M613" t="s">
        <v>581</v>
      </c>
    </row>
    <row r="614" spans="1:13" ht="25.5" x14ac:dyDescent="0.25">
      <c r="A614">
        <v>40985</v>
      </c>
      <c r="B614" s="33" t="s">
        <v>158</v>
      </c>
      <c r="C614" s="124" t="s">
        <v>129</v>
      </c>
      <c r="D614" s="144" t="s">
        <v>466</v>
      </c>
      <c r="E614" s="59" t="s">
        <v>467</v>
      </c>
      <c r="F614" s="54"/>
      <c r="G614" s="29"/>
      <c r="H614" s="53">
        <v>51463</v>
      </c>
      <c r="I614" s="53" t="s">
        <v>89</v>
      </c>
      <c r="M614" t="s">
        <v>581</v>
      </c>
    </row>
    <row r="615" spans="1:13" ht="25.5" x14ac:dyDescent="0.25">
      <c r="A615">
        <v>7217</v>
      </c>
      <c r="B615" s="33" t="s">
        <v>158</v>
      </c>
      <c r="C615" s="124" t="s">
        <v>129</v>
      </c>
      <c r="D615" s="144" t="s">
        <v>452</v>
      </c>
      <c r="E615" s="59" t="s">
        <v>453</v>
      </c>
      <c r="F615" s="54"/>
      <c r="G615" s="29"/>
      <c r="H615" s="53">
        <v>7677</v>
      </c>
      <c r="I615" s="53" t="s">
        <v>89</v>
      </c>
      <c r="M615" t="s">
        <v>581</v>
      </c>
    </row>
    <row r="616" spans="1:13" ht="25.5" x14ac:dyDescent="0.25">
      <c r="A616">
        <v>33942</v>
      </c>
      <c r="B616" s="33" t="s">
        <v>158</v>
      </c>
      <c r="C616" s="124" t="s">
        <v>129</v>
      </c>
      <c r="D616" s="144" t="s">
        <v>456</v>
      </c>
      <c r="E616" s="59" t="s">
        <v>457</v>
      </c>
      <c r="F616" s="54"/>
      <c r="G616" s="29"/>
      <c r="H616" s="53">
        <v>37941</v>
      </c>
      <c r="I616" s="53" t="s">
        <v>89</v>
      </c>
      <c r="M616" t="s">
        <v>581</v>
      </c>
    </row>
    <row r="617" spans="1:13" ht="28.5" x14ac:dyDescent="0.25">
      <c r="A617">
        <v>21610</v>
      </c>
      <c r="B617" s="33" t="s">
        <v>158</v>
      </c>
      <c r="C617" s="124" t="s">
        <v>129</v>
      </c>
      <c r="D617" s="144" t="s">
        <v>464</v>
      </c>
      <c r="E617" s="59" t="s">
        <v>465</v>
      </c>
      <c r="F617" s="54"/>
      <c r="G617" s="29"/>
      <c r="H617" s="53">
        <v>26976</v>
      </c>
      <c r="I617" s="53" t="s">
        <v>89</v>
      </c>
      <c r="M617" t="s">
        <v>581</v>
      </c>
    </row>
    <row r="618" spans="1:13" ht="28.5" x14ac:dyDescent="0.25">
      <c r="A618">
        <v>49588</v>
      </c>
      <c r="B618" s="33" t="s">
        <v>158</v>
      </c>
      <c r="C618" s="124" t="s">
        <v>129</v>
      </c>
      <c r="D618" s="144" t="s">
        <v>458</v>
      </c>
      <c r="E618" s="59" t="s">
        <v>459</v>
      </c>
      <c r="F618" s="54"/>
      <c r="G618" s="29"/>
      <c r="H618" s="53">
        <v>49588</v>
      </c>
      <c r="I618" s="53" t="s">
        <v>89</v>
      </c>
      <c r="M618" t="s">
        <v>581</v>
      </c>
    </row>
    <row r="619" spans="1:13" ht="28.5" x14ac:dyDescent="0.25">
      <c r="A619">
        <v>21724</v>
      </c>
      <c r="B619" s="33" t="s">
        <v>158</v>
      </c>
      <c r="C619" s="124" t="s">
        <v>129</v>
      </c>
      <c r="D619" s="144" t="s">
        <v>460</v>
      </c>
      <c r="E619" s="59" t="s">
        <v>461</v>
      </c>
      <c r="F619" s="54"/>
      <c r="G619" s="29"/>
      <c r="H619" s="53">
        <v>35318</v>
      </c>
      <c r="I619" s="53" t="s">
        <v>89</v>
      </c>
      <c r="M619" t="s">
        <v>581</v>
      </c>
    </row>
    <row r="620" spans="1:13" ht="28.5" x14ac:dyDescent="0.25">
      <c r="A620">
        <v>74538</v>
      </c>
      <c r="B620" s="33" t="s">
        <v>161</v>
      </c>
      <c r="C620" s="124" t="s">
        <v>128</v>
      </c>
      <c r="D620" s="144" t="s">
        <v>422</v>
      </c>
      <c r="E620" s="59" t="s">
        <v>423</v>
      </c>
      <c r="F620" s="54"/>
      <c r="G620" s="29"/>
      <c r="H620" s="53">
        <v>124438</v>
      </c>
      <c r="I620" s="53" t="s">
        <v>89</v>
      </c>
      <c r="M620" t="s">
        <v>581</v>
      </c>
    </row>
    <row r="621" spans="1:13" ht="28.5" x14ac:dyDescent="0.25">
      <c r="A621">
        <v>81218.25</v>
      </c>
      <c r="B621" s="33" t="s">
        <v>161</v>
      </c>
      <c r="C621" s="124" t="s">
        <v>128</v>
      </c>
      <c r="D621" s="144" t="s">
        <v>424</v>
      </c>
      <c r="E621" s="59" t="s">
        <v>425</v>
      </c>
      <c r="F621" s="54"/>
      <c r="G621" s="29"/>
      <c r="H621" s="53">
        <v>180485</v>
      </c>
      <c r="I621" s="53" t="s">
        <v>89</v>
      </c>
      <c r="M621" t="s">
        <v>581</v>
      </c>
    </row>
    <row r="622" spans="1:13" ht="25.5" x14ac:dyDescent="0.25">
      <c r="A622">
        <v>80526</v>
      </c>
      <c r="B622" s="33" t="s">
        <v>161</v>
      </c>
      <c r="C622" s="124" t="s">
        <v>128</v>
      </c>
      <c r="D622" s="144" t="s">
        <v>428</v>
      </c>
      <c r="E622" s="59" t="s">
        <v>429</v>
      </c>
      <c r="F622" s="54"/>
      <c r="G622" s="29"/>
      <c r="H622" s="53">
        <v>80526</v>
      </c>
      <c r="I622" s="53" t="s">
        <v>89</v>
      </c>
      <c r="M622" t="s">
        <v>581</v>
      </c>
    </row>
    <row r="623" spans="1:13" ht="28.5" x14ac:dyDescent="0.25">
      <c r="A623">
        <v>106798</v>
      </c>
      <c r="B623" s="33" t="s">
        <v>161</v>
      </c>
      <c r="C623" s="124" t="s">
        <v>128</v>
      </c>
      <c r="D623" s="144" t="s">
        <v>426</v>
      </c>
      <c r="E623" s="59" t="s">
        <v>427</v>
      </c>
      <c r="F623" s="54"/>
      <c r="G623" s="29"/>
      <c r="H623" s="53">
        <v>110994</v>
      </c>
      <c r="I623" s="53" t="s">
        <v>89</v>
      </c>
      <c r="M623" t="s">
        <v>581</v>
      </c>
    </row>
    <row r="624" spans="1:13" ht="28.5" x14ac:dyDescent="0.25">
      <c r="A624">
        <v>217712</v>
      </c>
      <c r="B624" s="33" t="s">
        <v>161</v>
      </c>
      <c r="C624" s="124" t="s">
        <v>128</v>
      </c>
      <c r="D624" s="144" t="s">
        <v>434</v>
      </c>
      <c r="E624" s="59" t="s">
        <v>435</v>
      </c>
      <c r="F624" s="54"/>
      <c r="G624" s="29"/>
      <c r="H624" s="53">
        <v>221658</v>
      </c>
      <c r="I624" s="53" t="s">
        <v>89</v>
      </c>
      <c r="M624" t="s">
        <v>581</v>
      </c>
    </row>
    <row r="625" spans="1:13" ht="25.5" x14ac:dyDescent="0.25">
      <c r="A625">
        <v>34721</v>
      </c>
      <c r="B625" s="33" t="s">
        <v>161</v>
      </c>
      <c r="C625" s="124" t="s">
        <v>128</v>
      </c>
      <c r="D625" s="144" t="s">
        <v>430</v>
      </c>
      <c r="E625" s="59" t="s">
        <v>431</v>
      </c>
      <c r="F625" s="54"/>
      <c r="G625" s="29"/>
      <c r="H625" s="53">
        <v>40303</v>
      </c>
      <c r="I625" s="53" t="s">
        <v>89</v>
      </c>
      <c r="M625" t="s">
        <v>581</v>
      </c>
    </row>
    <row r="626" spans="1:13" ht="28.5" x14ac:dyDescent="0.25">
      <c r="A626">
        <v>42462</v>
      </c>
      <c r="B626" s="33" t="s">
        <v>161</v>
      </c>
      <c r="C626" s="124" t="s">
        <v>128</v>
      </c>
      <c r="D626" s="144" t="s">
        <v>438</v>
      </c>
      <c r="E626" s="59" t="s">
        <v>439</v>
      </c>
      <c r="F626" s="54"/>
      <c r="G626" s="29"/>
      <c r="H626" s="53">
        <v>55146</v>
      </c>
      <c r="I626" s="53" t="s">
        <v>89</v>
      </c>
      <c r="M626" t="s">
        <v>581</v>
      </c>
    </row>
    <row r="627" spans="1:13" ht="25.5" x14ac:dyDescent="0.25">
      <c r="A627">
        <v>116041</v>
      </c>
      <c r="B627" s="33" t="s">
        <v>161</v>
      </c>
      <c r="C627" s="124" t="s">
        <v>128</v>
      </c>
      <c r="D627" s="144" t="s">
        <v>442</v>
      </c>
      <c r="E627" s="59" t="s">
        <v>443</v>
      </c>
      <c r="F627" s="54"/>
      <c r="G627" s="29"/>
      <c r="H627" s="53">
        <v>117024</v>
      </c>
      <c r="I627" s="53" t="s">
        <v>89</v>
      </c>
      <c r="M627" t="s">
        <v>581</v>
      </c>
    </row>
    <row r="628" spans="1:13" ht="28.5" x14ac:dyDescent="0.25">
      <c r="A628">
        <v>73313</v>
      </c>
      <c r="B628" s="33" t="s">
        <v>161</v>
      </c>
      <c r="C628" s="124" t="s">
        <v>128</v>
      </c>
      <c r="D628" s="144" t="s">
        <v>432</v>
      </c>
      <c r="E628" s="59" t="s">
        <v>433</v>
      </c>
      <c r="F628" s="54"/>
      <c r="G628" s="29"/>
      <c r="H628" s="53">
        <v>77375</v>
      </c>
      <c r="I628" s="53" t="s">
        <v>89</v>
      </c>
      <c r="M628" t="s">
        <v>581</v>
      </c>
    </row>
    <row r="629" spans="1:13" ht="25.5" x14ac:dyDescent="0.25">
      <c r="A629">
        <v>181667</v>
      </c>
      <c r="B629" s="33" t="s">
        <v>161</v>
      </c>
      <c r="C629" s="124" t="s">
        <v>128</v>
      </c>
      <c r="D629" s="144" t="s">
        <v>436</v>
      </c>
      <c r="E629" s="59" t="s">
        <v>437</v>
      </c>
      <c r="F629" s="54"/>
      <c r="G629" s="29"/>
      <c r="H629" s="53">
        <v>215194</v>
      </c>
      <c r="I629" s="53" t="s">
        <v>89</v>
      </c>
      <c r="M629" t="s">
        <v>581</v>
      </c>
    </row>
    <row r="630" spans="1:13" ht="28.5" x14ac:dyDescent="0.25">
      <c r="A630">
        <v>0</v>
      </c>
      <c r="B630" s="33" t="s">
        <v>161</v>
      </c>
      <c r="C630" s="124" t="s">
        <v>128</v>
      </c>
      <c r="D630" s="144" t="s">
        <v>440</v>
      </c>
      <c r="E630" s="59" t="s">
        <v>441</v>
      </c>
      <c r="F630" s="54"/>
      <c r="G630" s="29"/>
      <c r="H630" s="53">
        <v>0</v>
      </c>
      <c r="I630" s="53" t="s">
        <v>89</v>
      </c>
      <c r="M630" t="s">
        <v>581</v>
      </c>
    </row>
    <row r="631" spans="1:13" ht="25.5" x14ac:dyDescent="0.25">
      <c r="A631">
        <v>226823</v>
      </c>
      <c r="B631" s="33" t="s">
        <v>164</v>
      </c>
      <c r="C631" s="124" t="s">
        <v>118</v>
      </c>
      <c r="D631" s="144" t="s">
        <v>327</v>
      </c>
      <c r="E631" s="59" t="s">
        <v>328</v>
      </c>
      <c r="F631" s="54"/>
      <c r="G631" s="29"/>
      <c r="H631" s="53">
        <v>355633</v>
      </c>
      <c r="I631" s="53" t="s">
        <v>89</v>
      </c>
      <c r="M631" t="s">
        <v>581</v>
      </c>
    </row>
    <row r="632" spans="1:13" ht="25.5" x14ac:dyDescent="0.25">
      <c r="A632">
        <v>577654</v>
      </c>
      <c r="B632" s="33" t="s">
        <v>164</v>
      </c>
      <c r="C632" s="124" t="s">
        <v>118</v>
      </c>
      <c r="D632" s="144" t="s">
        <v>323</v>
      </c>
      <c r="E632" s="59" t="s">
        <v>324</v>
      </c>
      <c r="F632" s="54"/>
      <c r="G632" s="29"/>
      <c r="H632" s="53">
        <v>850366</v>
      </c>
      <c r="I632" s="53" t="s">
        <v>89</v>
      </c>
      <c r="M632" t="s">
        <v>581</v>
      </c>
    </row>
    <row r="633" spans="1:13" ht="25.5" x14ac:dyDescent="0.25">
      <c r="A633">
        <v>388533.75</v>
      </c>
      <c r="B633" s="33" t="s">
        <v>164</v>
      </c>
      <c r="C633" s="124" t="s">
        <v>118</v>
      </c>
      <c r="D633" s="144" t="s">
        <v>331</v>
      </c>
      <c r="E633" s="59" t="s">
        <v>332</v>
      </c>
      <c r="F633" s="54"/>
      <c r="G633" s="29"/>
      <c r="H633" s="53">
        <v>706425</v>
      </c>
      <c r="I633" s="53" t="s">
        <v>89</v>
      </c>
      <c r="M633" t="s">
        <v>581</v>
      </c>
    </row>
    <row r="634" spans="1:13" ht="25.5" x14ac:dyDescent="0.25">
      <c r="A634">
        <v>246472.2</v>
      </c>
      <c r="B634" s="33" t="s">
        <v>164</v>
      </c>
      <c r="C634" s="124" t="s">
        <v>118</v>
      </c>
      <c r="D634" s="144" t="s">
        <v>164</v>
      </c>
      <c r="E634" s="59" t="s">
        <v>335</v>
      </c>
      <c r="F634" s="54"/>
      <c r="G634" s="29"/>
      <c r="H634" s="53">
        <v>379188</v>
      </c>
      <c r="I634" s="53" t="s">
        <v>89</v>
      </c>
      <c r="M634" t="s">
        <v>581</v>
      </c>
    </row>
    <row r="635" spans="1:13" ht="25.5" x14ac:dyDescent="0.25">
      <c r="A635">
        <v>267432.5</v>
      </c>
      <c r="B635" s="33" t="s">
        <v>164</v>
      </c>
      <c r="C635" s="124" t="s">
        <v>118</v>
      </c>
      <c r="D635" s="144" t="s">
        <v>329</v>
      </c>
      <c r="E635" s="59" t="s">
        <v>330</v>
      </c>
      <c r="F635" s="54"/>
      <c r="G635" s="29"/>
      <c r="H635" s="53">
        <v>534865</v>
      </c>
      <c r="I635" s="53" t="s">
        <v>89</v>
      </c>
      <c r="M635" t="s">
        <v>581</v>
      </c>
    </row>
    <row r="636" spans="1:13" ht="25.5" x14ac:dyDescent="0.25">
      <c r="A636">
        <v>590141.4</v>
      </c>
      <c r="B636" s="33" t="s">
        <v>164</v>
      </c>
      <c r="C636" s="124" t="s">
        <v>118</v>
      </c>
      <c r="D636" s="144" t="s">
        <v>325</v>
      </c>
      <c r="E636" s="59" t="s">
        <v>326</v>
      </c>
      <c r="F636" s="54"/>
      <c r="G636" s="29"/>
      <c r="H636" s="53">
        <v>983569</v>
      </c>
      <c r="I636" s="53" t="s">
        <v>89</v>
      </c>
      <c r="M636" t="s">
        <v>581</v>
      </c>
    </row>
    <row r="637" spans="1:13" ht="25.5" x14ac:dyDescent="0.25">
      <c r="A637">
        <v>152134.95000000001</v>
      </c>
      <c r="B637" s="33" t="s">
        <v>164</v>
      </c>
      <c r="C637" s="124" t="s">
        <v>118</v>
      </c>
      <c r="D637" s="144" t="s">
        <v>333</v>
      </c>
      <c r="E637" s="59" t="s">
        <v>334</v>
      </c>
      <c r="F637" s="54"/>
      <c r="G637" s="29"/>
      <c r="H637" s="53">
        <v>276609</v>
      </c>
      <c r="I637" s="53" t="s">
        <v>89</v>
      </c>
      <c r="M637" t="s">
        <v>581</v>
      </c>
    </row>
    <row r="638" spans="1:13" ht="25.5" x14ac:dyDescent="0.25">
      <c r="A638">
        <v>0</v>
      </c>
      <c r="B638" s="33" t="s">
        <v>167</v>
      </c>
      <c r="C638" s="124" t="s">
        <v>119</v>
      </c>
      <c r="D638" s="144" t="s">
        <v>199</v>
      </c>
      <c r="E638" s="59" t="s">
        <v>198</v>
      </c>
      <c r="F638" s="54"/>
      <c r="G638" s="29"/>
      <c r="H638" s="53">
        <v>0</v>
      </c>
      <c r="I638" s="53" t="s">
        <v>89</v>
      </c>
      <c r="M638" t="s">
        <v>581</v>
      </c>
    </row>
    <row r="639" spans="1:13" ht="25.5" x14ac:dyDescent="0.25">
      <c r="A639">
        <v>9000</v>
      </c>
      <c r="B639" s="33" t="s">
        <v>167</v>
      </c>
      <c r="C639" s="124" t="s">
        <v>119</v>
      </c>
      <c r="D639" s="144" t="s">
        <v>201</v>
      </c>
      <c r="E639" s="59" t="s">
        <v>200</v>
      </c>
      <c r="F639" s="54"/>
      <c r="G639" s="29"/>
      <c r="H639" s="53">
        <v>10871</v>
      </c>
      <c r="I639" s="53" t="s">
        <v>89</v>
      </c>
      <c r="M639" t="s">
        <v>581</v>
      </c>
    </row>
    <row r="640" spans="1:13" ht="25.5" x14ac:dyDescent="0.25">
      <c r="A640">
        <v>11205</v>
      </c>
      <c r="B640" s="33" t="s">
        <v>167</v>
      </c>
      <c r="C640" s="124" t="s">
        <v>119</v>
      </c>
      <c r="D640" s="144" t="s">
        <v>225</v>
      </c>
      <c r="E640" s="59" t="s">
        <v>224</v>
      </c>
      <c r="F640" s="54"/>
      <c r="G640" s="29"/>
      <c r="H640" s="53">
        <v>21018</v>
      </c>
      <c r="I640" s="53" t="s">
        <v>89</v>
      </c>
      <c r="M640" t="s">
        <v>581</v>
      </c>
    </row>
    <row r="641" spans="1:13" ht="25.5" x14ac:dyDescent="0.25">
      <c r="A641">
        <v>14082</v>
      </c>
      <c r="B641" s="33" t="s">
        <v>167</v>
      </c>
      <c r="C641" s="124" t="s">
        <v>119</v>
      </c>
      <c r="D641" s="144" t="s">
        <v>203</v>
      </c>
      <c r="E641" s="59" t="s">
        <v>202</v>
      </c>
      <c r="F641" s="54"/>
      <c r="G641" s="29"/>
      <c r="H641" s="53">
        <v>35205</v>
      </c>
      <c r="I641" s="53" t="s">
        <v>89</v>
      </c>
      <c r="M641" t="s">
        <v>581</v>
      </c>
    </row>
    <row r="642" spans="1:13" ht="25.5" x14ac:dyDescent="0.25">
      <c r="A642">
        <v>10726</v>
      </c>
      <c r="B642" s="33" t="s">
        <v>167</v>
      </c>
      <c r="C642" s="124" t="s">
        <v>119</v>
      </c>
      <c r="D642" s="144" t="s">
        <v>205</v>
      </c>
      <c r="E642" s="59" t="s">
        <v>204</v>
      </c>
      <c r="F642" s="54"/>
      <c r="G642" s="29"/>
      <c r="H642" s="53">
        <v>11788</v>
      </c>
      <c r="I642" s="53" t="s">
        <v>89</v>
      </c>
      <c r="M642" t="s">
        <v>581</v>
      </c>
    </row>
    <row r="643" spans="1:13" ht="25.5" x14ac:dyDescent="0.25">
      <c r="A643">
        <v>15157</v>
      </c>
      <c r="B643" s="33" t="s">
        <v>167</v>
      </c>
      <c r="C643" s="124" t="s">
        <v>119</v>
      </c>
      <c r="D643" s="144" t="s">
        <v>207</v>
      </c>
      <c r="E643" s="59" t="s">
        <v>206</v>
      </c>
      <c r="F643" s="54"/>
      <c r="G643" s="29"/>
      <c r="H643" s="53">
        <v>37433</v>
      </c>
      <c r="I643" s="53" t="s">
        <v>89</v>
      </c>
      <c r="M643" t="s">
        <v>581</v>
      </c>
    </row>
    <row r="644" spans="1:13" ht="25.5" x14ac:dyDescent="0.25">
      <c r="A644">
        <v>10004</v>
      </c>
      <c r="B644" s="33" t="s">
        <v>167</v>
      </c>
      <c r="C644" s="124" t="s">
        <v>119</v>
      </c>
      <c r="D644" s="144" t="s">
        <v>229</v>
      </c>
      <c r="E644" s="59" t="s">
        <v>228</v>
      </c>
      <c r="F644" s="54"/>
      <c r="G644" s="29"/>
      <c r="H644" s="53">
        <v>10004</v>
      </c>
      <c r="I644" s="53" t="s">
        <v>89</v>
      </c>
      <c r="M644" t="s">
        <v>581</v>
      </c>
    </row>
    <row r="645" spans="1:13" ht="25.5" x14ac:dyDescent="0.25">
      <c r="A645">
        <v>0</v>
      </c>
      <c r="B645" s="33" t="s">
        <v>167</v>
      </c>
      <c r="C645" s="124" t="s">
        <v>119</v>
      </c>
      <c r="D645" s="144" t="s">
        <v>196</v>
      </c>
      <c r="E645" s="59" t="s">
        <v>195</v>
      </c>
      <c r="F645" s="54"/>
      <c r="G645" s="29"/>
      <c r="H645" s="53">
        <v>0</v>
      </c>
      <c r="I645" s="53" t="s">
        <v>89</v>
      </c>
      <c r="M645" t="s">
        <v>581</v>
      </c>
    </row>
    <row r="646" spans="1:13" ht="25.5" x14ac:dyDescent="0.25">
      <c r="A646">
        <v>62599</v>
      </c>
      <c r="B646" s="33" t="s">
        <v>167</v>
      </c>
      <c r="C646" s="124" t="s">
        <v>119</v>
      </c>
      <c r="D646" s="144" t="s">
        <v>211</v>
      </c>
      <c r="E646" s="59" t="s">
        <v>210</v>
      </c>
      <c r="F646" s="54"/>
      <c r="G646" s="29"/>
      <c r="H646" s="53">
        <v>62599</v>
      </c>
      <c r="I646" s="53" t="s">
        <v>89</v>
      </c>
      <c r="M646" t="s">
        <v>581</v>
      </c>
    </row>
    <row r="647" spans="1:13" ht="25.5" x14ac:dyDescent="0.25">
      <c r="A647">
        <v>12607</v>
      </c>
      <c r="B647" s="33" t="s">
        <v>167</v>
      </c>
      <c r="C647" s="124" t="s">
        <v>119</v>
      </c>
      <c r="D647" s="144" t="s">
        <v>213</v>
      </c>
      <c r="E647" s="59" t="s">
        <v>212</v>
      </c>
      <c r="F647" s="54"/>
      <c r="G647" s="29"/>
      <c r="H647" s="53">
        <v>19437</v>
      </c>
      <c r="I647" s="53" t="s">
        <v>89</v>
      </c>
      <c r="M647" t="s">
        <v>581</v>
      </c>
    </row>
    <row r="648" spans="1:13" ht="25.5" x14ac:dyDescent="0.25">
      <c r="A648">
        <v>43272</v>
      </c>
      <c r="B648" s="33" t="s">
        <v>167</v>
      </c>
      <c r="C648" s="124" t="s">
        <v>119</v>
      </c>
      <c r="D648" s="144" t="s">
        <v>223</v>
      </c>
      <c r="E648" s="59" t="s">
        <v>222</v>
      </c>
      <c r="F648" s="54"/>
      <c r="G648" s="29"/>
      <c r="H648" s="53">
        <v>47147</v>
      </c>
      <c r="I648" s="53" t="s">
        <v>89</v>
      </c>
      <c r="M648" t="s">
        <v>581</v>
      </c>
    </row>
    <row r="649" spans="1:13" ht="25.5" x14ac:dyDescent="0.25">
      <c r="A649">
        <v>56166</v>
      </c>
      <c r="B649" s="33" t="s">
        <v>167</v>
      </c>
      <c r="C649" s="124" t="s">
        <v>119</v>
      </c>
      <c r="D649" s="144" t="s">
        <v>215</v>
      </c>
      <c r="E649" s="59" t="s">
        <v>214</v>
      </c>
      <c r="F649" s="54"/>
      <c r="G649" s="29"/>
      <c r="H649" s="53">
        <v>92303</v>
      </c>
      <c r="I649" s="53" t="s">
        <v>89</v>
      </c>
      <c r="M649" t="s">
        <v>581</v>
      </c>
    </row>
    <row r="650" spans="1:13" ht="25.5" x14ac:dyDescent="0.25">
      <c r="A650">
        <v>36131</v>
      </c>
      <c r="B650" s="33" t="s">
        <v>167</v>
      </c>
      <c r="C650" s="124" t="s">
        <v>119</v>
      </c>
      <c r="D650" s="144" t="s">
        <v>217</v>
      </c>
      <c r="E650" s="59" t="s">
        <v>216</v>
      </c>
      <c r="F650" s="54"/>
      <c r="G650" s="29"/>
      <c r="H650" s="53">
        <v>48721</v>
      </c>
      <c r="I650" s="53" t="s">
        <v>89</v>
      </c>
      <c r="M650" t="s">
        <v>581</v>
      </c>
    </row>
    <row r="651" spans="1:13" ht="25.5" x14ac:dyDescent="0.25">
      <c r="A651">
        <v>0</v>
      </c>
      <c r="B651" s="33" t="s">
        <v>167</v>
      </c>
      <c r="C651" s="124" t="s">
        <v>119</v>
      </c>
      <c r="D651" s="144" t="s">
        <v>219</v>
      </c>
      <c r="E651" s="59" t="s">
        <v>218</v>
      </c>
      <c r="F651" s="54"/>
      <c r="G651" s="29"/>
      <c r="H651" s="53">
        <v>0</v>
      </c>
      <c r="I651" s="53" t="s">
        <v>89</v>
      </c>
      <c r="M651" t="s">
        <v>581</v>
      </c>
    </row>
    <row r="652" spans="1:13" ht="25.5" x14ac:dyDescent="0.25">
      <c r="A652">
        <v>29526</v>
      </c>
      <c r="B652" s="33" t="s">
        <v>167</v>
      </c>
      <c r="C652" s="124" t="s">
        <v>119</v>
      </c>
      <c r="D652" s="144" t="s">
        <v>227</v>
      </c>
      <c r="E652" s="59" t="s">
        <v>226</v>
      </c>
      <c r="F652" s="54"/>
      <c r="G652" s="29"/>
      <c r="H652" s="53">
        <v>35188</v>
      </c>
      <c r="I652" s="53" t="s">
        <v>89</v>
      </c>
      <c r="M652" t="s">
        <v>581</v>
      </c>
    </row>
    <row r="653" spans="1:13" ht="25.5" x14ac:dyDescent="0.25">
      <c r="A653">
        <v>40283</v>
      </c>
      <c r="B653" s="33" t="s">
        <v>167</v>
      </c>
      <c r="C653" s="124" t="s">
        <v>119</v>
      </c>
      <c r="D653" s="144" t="s">
        <v>209</v>
      </c>
      <c r="E653" s="59" t="s">
        <v>208</v>
      </c>
      <c r="F653" s="54"/>
      <c r="G653" s="29"/>
      <c r="H653" s="53">
        <v>41009</v>
      </c>
      <c r="I653" s="53" t="s">
        <v>89</v>
      </c>
      <c r="M653" t="s">
        <v>581</v>
      </c>
    </row>
    <row r="654" spans="1:13" ht="25.5" x14ac:dyDescent="0.25">
      <c r="A654">
        <v>43165</v>
      </c>
      <c r="B654" s="33" t="s">
        <v>167</v>
      </c>
      <c r="C654" s="124" t="s">
        <v>119</v>
      </c>
      <c r="D654" s="144" t="s">
        <v>221</v>
      </c>
      <c r="E654" s="59" t="s">
        <v>220</v>
      </c>
      <c r="F654" s="54"/>
      <c r="G654" s="29"/>
      <c r="H654" s="53">
        <v>54343</v>
      </c>
      <c r="I654" s="53" t="s">
        <v>89</v>
      </c>
      <c r="M654" t="s">
        <v>581</v>
      </c>
    </row>
    <row r="655" spans="1:13" ht="25.5" x14ac:dyDescent="0.25">
      <c r="A655">
        <v>0</v>
      </c>
      <c r="B655" s="33" t="s">
        <v>167</v>
      </c>
      <c r="C655" s="124" t="s">
        <v>119</v>
      </c>
      <c r="D655" s="144" t="s">
        <v>231</v>
      </c>
      <c r="E655" s="59" t="s">
        <v>230</v>
      </c>
      <c r="F655" s="54"/>
      <c r="G655" s="29"/>
      <c r="H655" s="53">
        <v>0</v>
      </c>
      <c r="I655" s="53" t="s">
        <v>89</v>
      </c>
      <c r="M655" t="s">
        <v>581</v>
      </c>
    </row>
    <row r="656" spans="1:13" ht="25.5" x14ac:dyDescent="0.25">
      <c r="A656">
        <v>16861</v>
      </c>
      <c r="B656" s="33" t="s">
        <v>170</v>
      </c>
      <c r="C656" s="124" t="s">
        <v>130</v>
      </c>
      <c r="D656" s="144" t="s">
        <v>466</v>
      </c>
      <c r="E656" s="59" t="s">
        <v>482</v>
      </c>
      <c r="F656" s="54"/>
      <c r="G656" s="29"/>
      <c r="H656" s="53">
        <v>20665</v>
      </c>
      <c r="I656" s="53" t="s">
        <v>89</v>
      </c>
      <c r="M656" t="s">
        <v>581</v>
      </c>
    </row>
    <row r="657" spans="1:13" ht="25.5" x14ac:dyDescent="0.25">
      <c r="A657">
        <v>71949</v>
      </c>
      <c r="B657" s="33" t="s">
        <v>170</v>
      </c>
      <c r="C657" s="124" t="s">
        <v>130</v>
      </c>
      <c r="D657" s="144" t="s">
        <v>474</v>
      </c>
      <c r="E657" s="59" t="s">
        <v>475</v>
      </c>
      <c r="F657" s="54"/>
      <c r="G657" s="29"/>
      <c r="H657" s="53">
        <v>82312</v>
      </c>
      <c r="I657" s="53" t="s">
        <v>89</v>
      </c>
      <c r="M657" t="s">
        <v>581</v>
      </c>
    </row>
    <row r="658" spans="1:13" ht="25.5" x14ac:dyDescent="0.25">
      <c r="A658">
        <v>94776</v>
      </c>
      <c r="B658" s="33" t="s">
        <v>170</v>
      </c>
      <c r="C658" s="124" t="s">
        <v>130</v>
      </c>
      <c r="D658" s="144" t="s">
        <v>476</v>
      </c>
      <c r="E658" s="59" t="s">
        <v>477</v>
      </c>
      <c r="F658" s="54"/>
      <c r="G658" s="29"/>
      <c r="H658" s="53">
        <v>108875</v>
      </c>
      <c r="I658" s="53" t="s">
        <v>89</v>
      </c>
      <c r="M658" t="s">
        <v>581</v>
      </c>
    </row>
    <row r="659" spans="1:13" ht="25.5" x14ac:dyDescent="0.25">
      <c r="A659">
        <v>56581</v>
      </c>
      <c r="B659" s="33" t="s">
        <v>170</v>
      </c>
      <c r="C659" s="124" t="s">
        <v>130</v>
      </c>
      <c r="D659" s="144" t="s">
        <v>480</v>
      </c>
      <c r="E659" s="59" t="s">
        <v>481</v>
      </c>
      <c r="F659" s="54"/>
      <c r="G659" s="29"/>
      <c r="H659" s="53">
        <v>82264</v>
      </c>
      <c r="I659" s="53" t="s">
        <v>89</v>
      </c>
      <c r="M659" t="s">
        <v>581</v>
      </c>
    </row>
    <row r="660" spans="1:13" ht="25.5" x14ac:dyDescent="0.25">
      <c r="A660">
        <v>190219.68</v>
      </c>
      <c r="B660" s="33" t="s">
        <v>170</v>
      </c>
      <c r="C660" s="124" t="s">
        <v>130</v>
      </c>
      <c r="D660" s="144" t="s">
        <v>470</v>
      </c>
      <c r="E660" s="59" t="s">
        <v>471</v>
      </c>
      <c r="F660" s="54"/>
      <c r="G660" s="29"/>
      <c r="H660" s="53">
        <v>317033</v>
      </c>
      <c r="I660" s="53" t="s">
        <v>89</v>
      </c>
      <c r="M660" t="s">
        <v>581</v>
      </c>
    </row>
    <row r="661" spans="1:13" ht="25.5" x14ac:dyDescent="0.25">
      <c r="A661">
        <v>135625</v>
      </c>
      <c r="B661" s="33" t="s">
        <v>170</v>
      </c>
      <c r="C661" s="124" t="s">
        <v>130</v>
      </c>
      <c r="D661" s="144" t="s">
        <v>472</v>
      </c>
      <c r="E661" s="59" t="s">
        <v>473</v>
      </c>
      <c r="F661" s="54"/>
      <c r="G661" s="29"/>
      <c r="H661" s="53">
        <v>142583</v>
      </c>
      <c r="I661" s="53" t="s">
        <v>89</v>
      </c>
      <c r="M661" t="s">
        <v>581</v>
      </c>
    </row>
    <row r="662" spans="1:13" ht="28.5" x14ac:dyDescent="0.25">
      <c r="A662">
        <v>39227</v>
      </c>
      <c r="B662" s="33" t="s">
        <v>170</v>
      </c>
      <c r="C662" s="124" t="s">
        <v>130</v>
      </c>
      <c r="D662" s="144" t="s">
        <v>478</v>
      </c>
      <c r="E662" s="59" t="s">
        <v>479</v>
      </c>
      <c r="F662" s="54"/>
      <c r="G662" s="29"/>
      <c r="H662" s="53">
        <v>42675</v>
      </c>
      <c r="I662" s="53" t="s">
        <v>89</v>
      </c>
      <c r="M662" t="s">
        <v>581</v>
      </c>
    </row>
    <row r="663" spans="1:13" ht="25.5" x14ac:dyDescent="0.25">
      <c r="A663">
        <v>70902</v>
      </c>
      <c r="B663" s="33" t="s">
        <v>170</v>
      </c>
      <c r="C663" s="124" t="s">
        <v>130</v>
      </c>
      <c r="D663" s="144" t="s">
        <v>468</v>
      </c>
      <c r="E663" s="59" t="s">
        <v>469</v>
      </c>
      <c r="F663" s="54"/>
      <c r="G663" s="29"/>
      <c r="H663" s="53">
        <v>83502</v>
      </c>
      <c r="I663" s="53" t="s">
        <v>89</v>
      </c>
      <c r="M663" t="s">
        <v>581</v>
      </c>
    </row>
    <row r="664" spans="1:13" ht="25.5" x14ac:dyDescent="0.25">
      <c r="A664">
        <v>17844.8</v>
      </c>
      <c r="B664" s="33" t="s">
        <v>173</v>
      </c>
      <c r="C664" s="124" t="s">
        <v>134</v>
      </c>
      <c r="D664" s="144" t="s">
        <v>536</v>
      </c>
      <c r="E664" s="59" t="s">
        <v>537</v>
      </c>
      <c r="F664" s="54"/>
      <c r="G664" s="29"/>
      <c r="H664" s="53">
        <v>44612</v>
      </c>
      <c r="I664" s="53" t="s">
        <v>89</v>
      </c>
      <c r="M664" t="s">
        <v>581</v>
      </c>
    </row>
    <row r="665" spans="1:13" ht="25.5" x14ac:dyDescent="0.25">
      <c r="A665">
        <v>0</v>
      </c>
      <c r="B665" s="33" t="s">
        <v>173</v>
      </c>
      <c r="C665" s="124" t="s">
        <v>134</v>
      </c>
      <c r="D665" s="144" t="s">
        <v>530</v>
      </c>
      <c r="E665" s="59" t="s">
        <v>531</v>
      </c>
      <c r="F665" s="54"/>
      <c r="G665" s="29"/>
      <c r="H665" s="53">
        <v>0</v>
      </c>
      <c r="I665" s="53" t="s">
        <v>89</v>
      </c>
      <c r="M665" t="s">
        <v>581</v>
      </c>
    </row>
    <row r="666" spans="1:13" ht="25.5" x14ac:dyDescent="0.25">
      <c r="A666">
        <v>0</v>
      </c>
      <c r="B666" s="33" t="s">
        <v>173</v>
      </c>
      <c r="C666" s="124" t="s">
        <v>134</v>
      </c>
      <c r="D666" s="144" t="s">
        <v>534</v>
      </c>
      <c r="E666" s="59" t="s">
        <v>535</v>
      </c>
      <c r="F666" s="54"/>
      <c r="G666" s="29"/>
      <c r="H666" s="53">
        <v>0</v>
      </c>
      <c r="I666" s="53" t="s">
        <v>89</v>
      </c>
      <c r="M666" t="s">
        <v>581</v>
      </c>
    </row>
    <row r="667" spans="1:13" ht="25.5" x14ac:dyDescent="0.25">
      <c r="A667">
        <v>0</v>
      </c>
      <c r="B667" s="33" t="s">
        <v>173</v>
      </c>
      <c r="C667" s="124" t="s">
        <v>134</v>
      </c>
      <c r="D667" s="144" t="s">
        <v>528</v>
      </c>
      <c r="E667" s="59" t="s">
        <v>529</v>
      </c>
      <c r="F667" s="54"/>
      <c r="G667" s="29"/>
      <c r="H667" s="53">
        <v>0</v>
      </c>
      <c r="I667" s="53" t="s">
        <v>89</v>
      </c>
      <c r="M667" t="s">
        <v>581</v>
      </c>
    </row>
    <row r="668" spans="1:13" ht="25.5" x14ac:dyDescent="0.25">
      <c r="A668">
        <v>3740</v>
      </c>
      <c r="B668" s="33" t="s">
        <v>173</v>
      </c>
      <c r="C668" s="124" t="s">
        <v>134</v>
      </c>
      <c r="D668" s="144" t="s">
        <v>532</v>
      </c>
      <c r="E668" s="59" t="s">
        <v>533</v>
      </c>
      <c r="F668" s="54"/>
      <c r="G668" s="29"/>
      <c r="H668" s="53">
        <v>3740</v>
      </c>
      <c r="I668" s="53" t="s">
        <v>89</v>
      </c>
      <c r="M668" t="s">
        <v>581</v>
      </c>
    </row>
    <row r="669" spans="1:13" ht="25.5" x14ac:dyDescent="0.25">
      <c r="A669">
        <v>2312</v>
      </c>
      <c r="B669" s="33" t="s">
        <v>173</v>
      </c>
      <c r="C669" s="124" t="s">
        <v>134</v>
      </c>
      <c r="D669" s="144" t="s">
        <v>526</v>
      </c>
      <c r="E669" s="59" t="s">
        <v>527</v>
      </c>
      <c r="F669" s="54"/>
      <c r="G669" s="29"/>
      <c r="H669" s="53">
        <v>2312</v>
      </c>
      <c r="I669" s="53" t="s">
        <v>89</v>
      </c>
      <c r="M669" t="s">
        <v>581</v>
      </c>
    </row>
    <row r="670" spans="1:13" ht="25.5" x14ac:dyDescent="0.25">
      <c r="A670">
        <v>12578</v>
      </c>
      <c r="B670" s="33" t="s">
        <v>173</v>
      </c>
      <c r="C670" s="124" t="s">
        <v>134</v>
      </c>
      <c r="D670" s="144" t="s">
        <v>538</v>
      </c>
      <c r="E670" s="59" t="s">
        <v>539</v>
      </c>
      <c r="F670" s="54"/>
      <c r="G670" s="29"/>
      <c r="H670" s="53">
        <v>20070</v>
      </c>
      <c r="I670" s="53" t="s">
        <v>89</v>
      </c>
      <c r="M670" t="s">
        <v>581</v>
      </c>
    </row>
    <row r="671" spans="1:13" ht="25.5" x14ac:dyDescent="0.25">
      <c r="A671">
        <v>39523</v>
      </c>
      <c r="B671" s="33" t="s">
        <v>176</v>
      </c>
      <c r="C671" s="124" t="s">
        <v>127</v>
      </c>
      <c r="D671" s="144" t="s">
        <v>420</v>
      </c>
      <c r="E671" s="59" t="s">
        <v>421</v>
      </c>
      <c r="F671" s="54"/>
      <c r="G671" s="29"/>
      <c r="H671" s="53">
        <v>39698</v>
      </c>
      <c r="I671" s="53" t="s">
        <v>89</v>
      </c>
      <c r="M671" t="s">
        <v>581</v>
      </c>
    </row>
    <row r="672" spans="1:13" ht="25.5" x14ac:dyDescent="0.25">
      <c r="A672">
        <v>48202</v>
      </c>
      <c r="B672" s="33" t="s">
        <v>176</v>
      </c>
      <c r="C672" s="124" t="s">
        <v>127</v>
      </c>
      <c r="D672" s="144" t="s">
        <v>414</v>
      </c>
      <c r="E672" s="59" t="s">
        <v>415</v>
      </c>
      <c r="F672" s="54"/>
      <c r="G672" s="29"/>
      <c r="H672" s="53">
        <v>52737</v>
      </c>
      <c r="I672" s="53" t="s">
        <v>89</v>
      </c>
      <c r="M672" t="s">
        <v>581</v>
      </c>
    </row>
    <row r="673" spans="1:13" ht="25.5" x14ac:dyDescent="0.25">
      <c r="A673">
        <v>22567</v>
      </c>
      <c r="B673" s="33" t="s">
        <v>176</v>
      </c>
      <c r="C673" s="124" t="s">
        <v>127</v>
      </c>
      <c r="D673" s="144" t="s">
        <v>402</v>
      </c>
      <c r="E673" s="59" t="s">
        <v>403</v>
      </c>
      <c r="F673" s="54"/>
      <c r="G673" s="29"/>
      <c r="H673" s="53">
        <v>23108</v>
      </c>
      <c r="I673" s="53" t="s">
        <v>89</v>
      </c>
      <c r="M673" t="s">
        <v>581</v>
      </c>
    </row>
    <row r="674" spans="1:13" ht="25.5" x14ac:dyDescent="0.25">
      <c r="A674">
        <v>16046</v>
      </c>
      <c r="B674" s="33" t="s">
        <v>176</v>
      </c>
      <c r="C674" s="124" t="s">
        <v>127</v>
      </c>
      <c r="D674" s="144" t="s">
        <v>408</v>
      </c>
      <c r="E674" s="59" t="s">
        <v>409</v>
      </c>
      <c r="F674" s="54"/>
      <c r="G674" s="29"/>
      <c r="H674" s="53">
        <v>16046</v>
      </c>
      <c r="I674" s="53" t="s">
        <v>89</v>
      </c>
      <c r="M674" t="s">
        <v>581</v>
      </c>
    </row>
    <row r="675" spans="1:13" ht="25.5" x14ac:dyDescent="0.25">
      <c r="A675">
        <v>143305</v>
      </c>
      <c r="B675" s="33" t="s">
        <v>176</v>
      </c>
      <c r="C675" s="124" t="s">
        <v>127</v>
      </c>
      <c r="D675" s="144" t="s">
        <v>416</v>
      </c>
      <c r="E675" s="59" t="s">
        <v>417</v>
      </c>
      <c r="F675" s="54"/>
      <c r="G675" s="29"/>
      <c r="H675" s="53">
        <v>145606</v>
      </c>
      <c r="I675" s="53" t="s">
        <v>89</v>
      </c>
      <c r="M675" t="s">
        <v>581</v>
      </c>
    </row>
    <row r="676" spans="1:13" ht="28.5" x14ac:dyDescent="0.25">
      <c r="A676">
        <v>33092</v>
      </c>
      <c r="B676" s="33" t="s">
        <v>176</v>
      </c>
      <c r="C676" s="124" t="s">
        <v>127</v>
      </c>
      <c r="D676" s="144" t="s">
        <v>410</v>
      </c>
      <c r="E676" s="59" t="s">
        <v>411</v>
      </c>
      <c r="F676" s="54"/>
      <c r="G676" s="29"/>
      <c r="H676" s="53">
        <v>39494</v>
      </c>
      <c r="I676" s="53" t="s">
        <v>89</v>
      </c>
      <c r="M676" t="s">
        <v>581</v>
      </c>
    </row>
    <row r="677" spans="1:13" ht="25.5" x14ac:dyDescent="0.25">
      <c r="A677">
        <v>0</v>
      </c>
      <c r="B677" s="33" t="s">
        <v>176</v>
      </c>
      <c r="C677" s="124" t="s">
        <v>127</v>
      </c>
      <c r="D677" s="144" t="s">
        <v>404</v>
      </c>
      <c r="E677" s="59" t="s">
        <v>405</v>
      </c>
      <c r="F677" s="54"/>
      <c r="G677" s="29"/>
      <c r="H677" s="53">
        <v>0</v>
      </c>
      <c r="I677" s="53" t="s">
        <v>89</v>
      </c>
      <c r="M677" t="s">
        <v>581</v>
      </c>
    </row>
    <row r="678" spans="1:13" ht="25.5" x14ac:dyDescent="0.25">
      <c r="A678">
        <v>11368</v>
      </c>
      <c r="B678" s="33" t="s">
        <v>176</v>
      </c>
      <c r="C678" s="124" t="s">
        <v>127</v>
      </c>
      <c r="D678" s="144" t="s">
        <v>412</v>
      </c>
      <c r="E678" s="59" t="s">
        <v>413</v>
      </c>
      <c r="F678" s="54"/>
      <c r="G678" s="29"/>
      <c r="H678" s="53">
        <v>11368</v>
      </c>
      <c r="I678" s="53" t="s">
        <v>89</v>
      </c>
      <c r="M678" t="s">
        <v>581</v>
      </c>
    </row>
    <row r="679" spans="1:13" ht="25.5" x14ac:dyDescent="0.25">
      <c r="A679">
        <v>43833</v>
      </c>
      <c r="B679" s="33" t="s">
        <v>176</v>
      </c>
      <c r="C679" s="124" t="s">
        <v>127</v>
      </c>
      <c r="D679" s="144" t="s">
        <v>418</v>
      </c>
      <c r="E679" s="59" t="s">
        <v>419</v>
      </c>
      <c r="F679" s="54"/>
      <c r="G679" s="29"/>
      <c r="H679" s="53">
        <v>46880</v>
      </c>
      <c r="I679" s="53" t="s">
        <v>89</v>
      </c>
      <c r="M679" t="s">
        <v>581</v>
      </c>
    </row>
    <row r="680" spans="1:13" ht="25.5" x14ac:dyDescent="0.25">
      <c r="A680">
        <v>60004</v>
      </c>
      <c r="B680" s="33" t="s">
        <v>176</v>
      </c>
      <c r="C680" s="124" t="s">
        <v>127</v>
      </c>
      <c r="D680" s="144" t="s">
        <v>406</v>
      </c>
      <c r="E680" s="59" t="s">
        <v>407</v>
      </c>
      <c r="F680" s="54"/>
      <c r="G680" s="29"/>
      <c r="H680" s="53">
        <v>63262</v>
      </c>
      <c r="I680" s="53" t="s">
        <v>89</v>
      </c>
      <c r="M680" t="s">
        <v>581</v>
      </c>
    </row>
    <row r="681" spans="1:13" ht="25.5" x14ac:dyDescent="0.25">
      <c r="A681">
        <v>0</v>
      </c>
      <c r="B681" s="33" t="s">
        <v>179</v>
      </c>
      <c r="C681" s="124" t="s">
        <v>133</v>
      </c>
      <c r="D681" s="144" t="s">
        <v>512</v>
      </c>
      <c r="E681" s="59" t="s">
        <v>513</v>
      </c>
      <c r="F681" s="54"/>
      <c r="G681" s="29"/>
      <c r="H681" s="53">
        <v>0</v>
      </c>
      <c r="I681" s="53" t="s">
        <v>89</v>
      </c>
      <c r="M681" t="s">
        <v>581</v>
      </c>
    </row>
    <row r="682" spans="1:13" ht="25.5" x14ac:dyDescent="0.25">
      <c r="A682">
        <v>0</v>
      </c>
      <c r="B682" s="33" t="s">
        <v>179</v>
      </c>
      <c r="C682" s="124" t="s">
        <v>133</v>
      </c>
      <c r="D682" s="144" t="s">
        <v>518</v>
      </c>
      <c r="E682" s="59" t="s">
        <v>519</v>
      </c>
      <c r="F682" s="54"/>
      <c r="G682" s="29"/>
      <c r="H682" s="53">
        <v>0</v>
      </c>
      <c r="I682" s="53" t="s">
        <v>89</v>
      </c>
      <c r="M682" t="s">
        <v>581</v>
      </c>
    </row>
    <row r="683" spans="1:13" ht="25.5" x14ac:dyDescent="0.25">
      <c r="A683">
        <v>0</v>
      </c>
      <c r="B683" s="33" t="s">
        <v>179</v>
      </c>
      <c r="C683" s="124" t="s">
        <v>133</v>
      </c>
      <c r="D683" s="144" t="s">
        <v>524</v>
      </c>
      <c r="E683" s="59" t="s">
        <v>525</v>
      </c>
      <c r="F683" s="54"/>
      <c r="G683" s="29"/>
      <c r="H683" s="53">
        <v>0</v>
      </c>
      <c r="I683" s="53" t="s">
        <v>89</v>
      </c>
      <c r="M683" t="s">
        <v>581</v>
      </c>
    </row>
    <row r="684" spans="1:13" ht="25.5" x14ac:dyDescent="0.25">
      <c r="A684">
        <v>0</v>
      </c>
      <c r="B684" s="33" t="s">
        <v>179</v>
      </c>
      <c r="C684" s="124" t="s">
        <v>133</v>
      </c>
      <c r="D684" s="144" t="s">
        <v>514</v>
      </c>
      <c r="E684" s="59" t="s">
        <v>515</v>
      </c>
      <c r="F684" s="54"/>
      <c r="G684" s="29"/>
      <c r="H684" s="53">
        <v>0</v>
      </c>
      <c r="I684" s="53" t="s">
        <v>89</v>
      </c>
      <c r="M684" t="s">
        <v>581</v>
      </c>
    </row>
    <row r="685" spans="1:13" ht="25.5" x14ac:dyDescent="0.25">
      <c r="A685">
        <v>0</v>
      </c>
      <c r="B685" s="33" t="s">
        <v>179</v>
      </c>
      <c r="C685" s="124" t="s">
        <v>133</v>
      </c>
      <c r="D685" s="144" t="s">
        <v>520</v>
      </c>
      <c r="E685" s="59" t="s">
        <v>521</v>
      </c>
      <c r="F685" s="54"/>
      <c r="G685" s="29"/>
      <c r="H685" s="53">
        <v>0</v>
      </c>
      <c r="I685" s="53" t="s">
        <v>89</v>
      </c>
      <c r="M685" t="s">
        <v>581</v>
      </c>
    </row>
    <row r="686" spans="1:13" ht="25.5" x14ac:dyDescent="0.25">
      <c r="A686">
        <v>0</v>
      </c>
      <c r="B686" s="33" t="s">
        <v>179</v>
      </c>
      <c r="C686" s="124" t="s">
        <v>133</v>
      </c>
      <c r="D686" s="144" t="s">
        <v>522</v>
      </c>
      <c r="E686" s="59" t="s">
        <v>523</v>
      </c>
      <c r="F686" s="54"/>
      <c r="G686" s="29"/>
      <c r="H686" s="53">
        <v>0</v>
      </c>
      <c r="I686" s="53" t="s">
        <v>89</v>
      </c>
      <c r="M686" t="s">
        <v>581</v>
      </c>
    </row>
    <row r="687" spans="1:13" ht="25.5" x14ac:dyDescent="0.25">
      <c r="A687">
        <v>0</v>
      </c>
      <c r="B687" s="33" t="s">
        <v>179</v>
      </c>
      <c r="C687" s="124" t="s">
        <v>133</v>
      </c>
      <c r="D687" s="144" t="s">
        <v>516</v>
      </c>
      <c r="E687" s="59" t="s">
        <v>517</v>
      </c>
      <c r="F687" s="54"/>
      <c r="G687" s="29"/>
      <c r="H687" s="53">
        <v>0</v>
      </c>
      <c r="I687" s="53" t="s">
        <v>89</v>
      </c>
      <c r="M687" t="s">
        <v>581</v>
      </c>
    </row>
    <row r="688" spans="1:13" ht="25.5" x14ac:dyDescent="0.25">
      <c r="A688">
        <v>27536</v>
      </c>
      <c r="B688" s="33" t="s">
        <v>182</v>
      </c>
      <c r="C688" s="124" t="s">
        <v>131</v>
      </c>
      <c r="D688" s="144" t="s">
        <v>483</v>
      </c>
      <c r="E688" s="59" t="s">
        <v>484</v>
      </c>
      <c r="F688" s="54"/>
      <c r="G688" s="29"/>
      <c r="H688" s="53">
        <v>32274</v>
      </c>
      <c r="I688" s="53" t="s">
        <v>89</v>
      </c>
      <c r="M688" t="s">
        <v>581</v>
      </c>
    </row>
    <row r="689" spans="1:13" ht="25.5" x14ac:dyDescent="0.25">
      <c r="A689">
        <v>20394</v>
      </c>
      <c r="B689" s="33" t="s">
        <v>182</v>
      </c>
      <c r="C689" s="124" t="s">
        <v>131</v>
      </c>
      <c r="D689" s="144" t="s">
        <v>486</v>
      </c>
      <c r="E689" s="59" t="s">
        <v>487</v>
      </c>
      <c r="F689" s="54"/>
      <c r="G689" s="29"/>
      <c r="H689" s="53">
        <v>21798</v>
      </c>
      <c r="I689" s="53" t="s">
        <v>89</v>
      </c>
      <c r="M689" t="s">
        <v>581</v>
      </c>
    </row>
    <row r="690" spans="1:13" ht="25.5" x14ac:dyDescent="0.25">
      <c r="A690">
        <v>32656</v>
      </c>
      <c r="B690" s="33" t="s">
        <v>182</v>
      </c>
      <c r="C690" s="124" t="s">
        <v>131</v>
      </c>
      <c r="D690" s="144" t="s">
        <v>488</v>
      </c>
      <c r="E690" s="59" t="s">
        <v>489</v>
      </c>
      <c r="F690" s="54"/>
      <c r="G690" s="29"/>
      <c r="H690" s="53">
        <v>37744</v>
      </c>
      <c r="I690" s="53" t="s">
        <v>89</v>
      </c>
      <c r="M690" t="s">
        <v>581</v>
      </c>
    </row>
    <row r="691" spans="1:13" ht="25.5" x14ac:dyDescent="0.25">
      <c r="A691">
        <v>17266</v>
      </c>
      <c r="B691" s="33" t="s">
        <v>182</v>
      </c>
      <c r="C691" s="124" t="s">
        <v>131</v>
      </c>
      <c r="D691" s="144" t="s">
        <v>490</v>
      </c>
      <c r="E691" s="59" t="s">
        <v>491</v>
      </c>
      <c r="F691" s="54"/>
      <c r="G691" s="29"/>
      <c r="H691" s="53">
        <v>17266</v>
      </c>
      <c r="I691" s="53" t="s">
        <v>89</v>
      </c>
      <c r="M691" t="s">
        <v>581</v>
      </c>
    </row>
    <row r="692" spans="1:13" ht="25.5" x14ac:dyDescent="0.25">
      <c r="A692">
        <v>44344.738299999997</v>
      </c>
      <c r="B692" s="33" t="s">
        <v>182</v>
      </c>
      <c r="C692" s="124" t="s">
        <v>131</v>
      </c>
      <c r="D692" s="144" t="s">
        <v>182</v>
      </c>
      <c r="E692" s="59" t="s">
        <v>485</v>
      </c>
      <c r="F692" s="54"/>
      <c r="G692" s="29"/>
      <c r="H692" s="53">
        <v>114379</v>
      </c>
      <c r="I692" s="53" t="s">
        <v>89</v>
      </c>
      <c r="M692" t="s">
        <v>581</v>
      </c>
    </row>
    <row r="693" spans="1:13" ht="25.5" x14ac:dyDescent="0.25">
      <c r="A693">
        <v>98593</v>
      </c>
      <c r="B693" s="33" t="s">
        <v>182</v>
      </c>
      <c r="C693" s="124" t="s">
        <v>131</v>
      </c>
      <c r="D693" s="144" t="s">
        <v>492</v>
      </c>
      <c r="E693" s="59" t="s">
        <v>493</v>
      </c>
      <c r="F693" s="54"/>
      <c r="G693" s="29"/>
      <c r="H693" s="53">
        <v>129710</v>
      </c>
      <c r="I693" s="53" t="s">
        <v>89</v>
      </c>
      <c r="M693" t="s">
        <v>581</v>
      </c>
    </row>
    <row r="694" spans="1:13" ht="25.5" x14ac:dyDescent="0.25">
      <c r="A694">
        <v>24425</v>
      </c>
      <c r="B694" s="33" t="s">
        <v>182</v>
      </c>
      <c r="C694" s="124" t="s">
        <v>131</v>
      </c>
      <c r="D694" s="144" t="s">
        <v>494</v>
      </c>
      <c r="E694" s="59" t="s">
        <v>495</v>
      </c>
      <c r="F694" s="54"/>
      <c r="G694" s="29"/>
      <c r="H694" s="53">
        <v>40085</v>
      </c>
      <c r="I694" s="53" t="s">
        <v>89</v>
      </c>
      <c r="M694" t="s">
        <v>581</v>
      </c>
    </row>
    <row r="695" spans="1:13" ht="25.5" x14ac:dyDescent="0.25">
      <c r="A695">
        <v>13029</v>
      </c>
      <c r="B695" s="33" t="s">
        <v>185</v>
      </c>
      <c r="C695" s="124" t="s">
        <v>120</v>
      </c>
      <c r="D695" s="144" t="s">
        <v>233</v>
      </c>
      <c r="E695" s="59" t="s">
        <v>232</v>
      </c>
      <c r="F695" s="54"/>
      <c r="G695" s="29"/>
      <c r="H695" s="53">
        <v>14993</v>
      </c>
      <c r="I695" s="53" t="s">
        <v>89</v>
      </c>
      <c r="M695" t="s">
        <v>581</v>
      </c>
    </row>
    <row r="696" spans="1:13" ht="25.5" x14ac:dyDescent="0.25">
      <c r="A696">
        <v>20180</v>
      </c>
      <c r="B696" s="33" t="s">
        <v>185</v>
      </c>
      <c r="C696" s="124" t="s">
        <v>120</v>
      </c>
      <c r="D696" s="144" t="s">
        <v>247</v>
      </c>
      <c r="E696" s="59" t="s">
        <v>246</v>
      </c>
      <c r="F696" s="54"/>
      <c r="G696" s="29"/>
      <c r="H696" s="53">
        <v>33153</v>
      </c>
      <c r="I696" s="53" t="s">
        <v>89</v>
      </c>
      <c r="M696" t="s">
        <v>581</v>
      </c>
    </row>
    <row r="697" spans="1:13" ht="25.5" x14ac:dyDescent="0.25">
      <c r="A697">
        <v>40226</v>
      </c>
      <c r="B697" s="33" t="s">
        <v>185</v>
      </c>
      <c r="C697" s="124" t="s">
        <v>120</v>
      </c>
      <c r="D697" s="144" t="s">
        <v>269</v>
      </c>
      <c r="E697" s="59" t="s">
        <v>268</v>
      </c>
      <c r="F697" s="54"/>
      <c r="G697" s="29"/>
      <c r="H697" s="53">
        <v>53663</v>
      </c>
      <c r="I697" s="53" t="s">
        <v>89</v>
      </c>
      <c r="M697" t="s">
        <v>581</v>
      </c>
    </row>
    <row r="698" spans="1:13" ht="25.5" x14ac:dyDescent="0.25">
      <c r="A698">
        <v>71694</v>
      </c>
      <c r="B698" s="33" t="s">
        <v>185</v>
      </c>
      <c r="C698" s="124" t="s">
        <v>120</v>
      </c>
      <c r="D698" s="144" t="s">
        <v>255</v>
      </c>
      <c r="E698" s="59" t="s">
        <v>254</v>
      </c>
      <c r="F698" s="54"/>
      <c r="G698" s="29"/>
      <c r="H698" s="53">
        <v>75770</v>
      </c>
      <c r="I698" s="53" t="s">
        <v>89</v>
      </c>
      <c r="M698" t="s">
        <v>581</v>
      </c>
    </row>
    <row r="699" spans="1:13" ht="25.5" x14ac:dyDescent="0.25">
      <c r="A699">
        <v>118869.27</v>
      </c>
      <c r="B699" s="33" t="s">
        <v>185</v>
      </c>
      <c r="C699" s="124" t="s">
        <v>120</v>
      </c>
      <c r="D699" s="144" t="s">
        <v>265</v>
      </c>
      <c r="E699" s="59" t="s">
        <v>264</v>
      </c>
      <c r="F699" s="54"/>
      <c r="G699" s="29"/>
      <c r="H699" s="53">
        <v>198115</v>
      </c>
      <c r="I699" s="53" t="s">
        <v>89</v>
      </c>
      <c r="M699" t="s">
        <v>581</v>
      </c>
    </row>
    <row r="700" spans="1:13" ht="25.5" x14ac:dyDescent="0.25">
      <c r="A700">
        <v>45151</v>
      </c>
      <c r="B700" s="33" t="s">
        <v>185</v>
      </c>
      <c r="C700" s="124" t="s">
        <v>120</v>
      </c>
      <c r="D700" s="144" t="s">
        <v>263</v>
      </c>
      <c r="E700" s="59" t="s">
        <v>262</v>
      </c>
      <c r="F700" s="54"/>
      <c r="G700" s="29"/>
      <c r="H700" s="53">
        <v>56744</v>
      </c>
      <c r="I700" s="53" t="s">
        <v>89</v>
      </c>
      <c r="M700" t="s">
        <v>581</v>
      </c>
    </row>
    <row r="701" spans="1:13" ht="25.5" x14ac:dyDescent="0.25">
      <c r="A701">
        <v>53655</v>
      </c>
      <c r="B701" s="33" t="s">
        <v>185</v>
      </c>
      <c r="C701" s="124" t="s">
        <v>120</v>
      </c>
      <c r="D701" s="144" t="s">
        <v>273</v>
      </c>
      <c r="E701" s="59" t="s">
        <v>272</v>
      </c>
      <c r="F701" s="54"/>
      <c r="G701" s="29"/>
      <c r="H701" s="53">
        <v>73119</v>
      </c>
      <c r="I701" s="53" t="s">
        <v>89</v>
      </c>
      <c r="M701" t="s">
        <v>581</v>
      </c>
    </row>
    <row r="702" spans="1:13" ht="25.5" x14ac:dyDescent="0.25">
      <c r="A702">
        <v>86235</v>
      </c>
      <c r="B702" s="33" t="s">
        <v>185</v>
      </c>
      <c r="C702" s="124" t="s">
        <v>120</v>
      </c>
      <c r="D702" s="144" t="s">
        <v>235</v>
      </c>
      <c r="E702" s="59" t="s">
        <v>234</v>
      </c>
      <c r="F702" s="54"/>
      <c r="G702" s="29"/>
      <c r="H702" s="53">
        <v>88274</v>
      </c>
      <c r="I702" s="53" t="s">
        <v>89</v>
      </c>
      <c r="M702" t="s">
        <v>581</v>
      </c>
    </row>
    <row r="703" spans="1:13" ht="25.5" x14ac:dyDescent="0.25">
      <c r="A703">
        <v>48701</v>
      </c>
      <c r="B703" s="33" t="s">
        <v>185</v>
      </c>
      <c r="C703" s="124" t="s">
        <v>120</v>
      </c>
      <c r="D703" s="144" t="s">
        <v>251</v>
      </c>
      <c r="E703" s="59" t="s">
        <v>250</v>
      </c>
      <c r="F703" s="54"/>
      <c r="G703" s="29"/>
      <c r="H703" s="53">
        <v>67801</v>
      </c>
      <c r="I703" s="53" t="s">
        <v>89</v>
      </c>
      <c r="M703" t="s">
        <v>581</v>
      </c>
    </row>
    <row r="704" spans="1:13" ht="25.5" x14ac:dyDescent="0.25">
      <c r="A704">
        <v>0</v>
      </c>
      <c r="B704" s="33" t="s">
        <v>185</v>
      </c>
      <c r="C704" s="124" t="s">
        <v>120</v>
      </c>
      <c r="D704" s="144" t="s">
        <v>237</v>
      </c>
      <c r="E704" s="59" t="s">
        <v>236</v>
      </c>
      <c r="F704" s="54"/>
      <c r="G704" s="29"/>
      <c r="H704" s="53">
        <v>0</v>
      </c>
      <c r="I704" s="53" t="s">
        <v>89</v>
      </c>
      <c r="M704" t="s">
        <v>581</v>
      </c>
    </row>
    <row r="705" spans="1:13" ht="25.5" x14ac:dyDescent="0.25">
      <c r="A705">
        <v>44721</v>
      </c>
      <c r="B705" s="33" t="s">
        <v>185</v>
      </c>
      <c r="C705" s="124" t="s">
        <v>120</v>
      </c>
      <c r="D705" s="144" t="s">
        <v>261</v>
      </c>
      <c r="E705" s="59" t="s">
        <v>260</v>
      </c>
      <c r="F705" s="54"/>
      <c r="G705" s="29"/>
      <c r="H705" s="53">
        <v>45671</v>
      </c>
      <c r="I705" s="53" t="s">
        <v>89</v>
      </c>
      <c r="M705" t="s">
        <v>581</v>
      </c>
    </row>
    <row r="706" spans="1:13" ht="25.5" x14ac:dyDescent="0.25">
      <c r="A706">
        <v>65456</v>
      </c>
      <c r="B706" s="33" t="s">
        <v>185</v>
      </c>
      <c r="C706" s="124" t="s">
        <v>120</v>
      </c>
      <c r="D706" s="144" t="s">
        <v>257</v>
      </c>
      <c r="E706" s="59" t="s">
        <v>256</v>
      </c>
      <c r="F706" s="54"/>
      <c r="G706" s="29"/>
      <c r="H706" s="53">
        <v>87310</v>
      </c>
      <c r="I706" s="53" t="s">
        <v>89</v>
      </c>
      <c r="M706" t="s">
        <v>581</v>
      </c>
    </row>
    <row r="707" spans="1:13" ht="25.5" x14ac:dyDescent="0.25">
      <c r="A707">
        <v>8767</v>
      </c>
      <c r="B707" s="33" t="s">
        <v>185</v>
      </c>
      <c r="C707" s="124" t="s">
        <v>120</v>
      </c>
      <c r="D707" s="144" t="s">
        <v>239</v>
      </c>
      <c r="E707" s="59" t="s">
        <v>238</v>
      </c>
      <c r="F707" s="54"/>
      <c r="G707" s="29"/>
      <c r="H707" s="53">
        <v>14522</v>
      </c>
      <c r="I707" s="53" t="s">
        <v>89</v>
      </c>
      <c r="M707" t="s">
        <v>581</v>
      </c>
    </row>
    <row r="708" spans="1:13" ht="25.5" x14ac:dyDescent="0.25">
      <c r="A708">
        <v>35345</v>
      </c>
      <c r="B708" s="33" t="s">
        <v>185</v>
      </c>
      <c r="C708" s="124" t="s">
        <v>120</v>
      </c>
      <c r="D708" s="144" t="s">
        <v>249</v>
      </c>
      <c r="E708" s="59" t="s">
        <v>248</v>
      </c>
      <c r="F708" s="54"/>
      <c r="G708" s="29"/>
      <c r="H708" s="53">
        <v>46964</v>
      </c>
      <c r="I708" s="53" t="s">
        <v>89</v>
      </c>
      <c r="M708" t="s">
        <v>581</v>
      </c>
    </row>
    <row r="709" spans="1:13" ht="25.5" x14ac:dyDescent="0.25">
      <c r="A709">
        <v>50811.53</v>
      </c>
      <c r="B709" s="33" t="s">
        <v>185</v>
      </c>
      <c r="C709" s="124" t="s">
        <v>120</v>
      </c>
      <c r="D709" s="144" t="s">
        <v>271</v>
      </c>
      <c r="E709" s="59" t="s">
        <v>270</v>
      </c>
      <c r="F709" s="54"/>
      <c r="G709" s="29"/>
      <c r="H709" s="53">
        <v>72588</v>
      </c>
      <c r="I709" s="53" t="s">
        <v>89</v>
      </c>
      <c r="M709" t="s">
        <v>581</v>
      </c>
    </row>
    <row r="710" spans="1:13" ht="25.5" x14ac:dyDescent="0.25">
      <c r="A710">
        <v>0</v>
      </c>
      <c r="B710" s="33" t="s">
        <v>185</v>
      </c>
      <c r="C710" s="124" t="s">
        <v>120</v>
      </c>
      <c r="D710" s="144" t="s">
        <v>267</v>
      </c>
      <c r="E710" s="59" t="s">
        <v>266</v>
      </c>
      <c r="F710" s="54"/>
      <c r="G710" s="29"/>
      <c r="H710" s="53">
        <v>0</v>
      </c>
      <c r="I710" s="53" t="s">
        <v>89</v>
      </c>
      <c r="M710" t="s">
        <v>581</v>
      </c>
    </row>
    <row r="711" spans="1:13" ht="25.5" x14ac:dyDescent="0.25">
      <c r="A711">
        <v>95110</v>
      </c>
      <c r="B711" s="33" t="s">
        <v>185</v>
      </c>
      <c r="C711" s="124" t="s">
        <v>120</v>
      </c>
      <c r="D711" s="144" t="s">
        <v>259</v>
      </c>
      <c r="E711" s="59" t="s">
        <v>258</v>
      </c>
      <c r="F711" s="54"/>
      <c r="G711" s="29"/>
      <c r="H711" s="53">
        <v>115790</v>
      </c>
      <c r="I711" s="53" t="s">
        <v>89</v>
      </c>
      <c r="M711" t="s">
        <v>581</v>
      </c>
    </row>
    <row r="712" spans="1:13" ht="25.5" x14ac:dyDescent="0.25">
      <c r="A712">
        <v>4587.8</v>
      </c>
      <c r="B712" s="33" t="s">
        <v>185</v>
      </c>
      <c r="C712" s="124" t="s">
        <v>120</v>
      </c>
      <c r="D712" s="144" t="s">
        <v>243</v>
      </c>
      <c r="E712" s="59" t="s">
        <v>242</v>
      </c>
      <c r="F712" s="54"/>
      <c r="G712" s="29"/>
      <c r="H712" s="53">
        <v>6554</v>
      </c>
      <c r="I712" s="53" t="s">
        <v>89</v>
      </c>
      <c r="M712" t="s">
        <v>581</v>
      </c>
    </row>
    <row r="713" spans="1:13" ht="25.5" x14ac:dyDescent="0.25">
      <c r="A713">
        <v>26785</v>
      </c>
      <c r="B713" s="33" t="s">
        <v>185</v>
      </c>
      <c r="C713" s="124" t="s">
        <v>120</v>
      </c>
      <c r="D713" s="144" t="s">
        <v>253</v>
      </c>
      <c r="E713" s="59" t="s">
        <v>252</v>
      </c>
      <c r="F713" s="54"/>
      <c r="G713" s="29"/>
      <c r="H713" s="53">
        <v>28522</v>
      </c>
      <c r="I713" s="53" t="s">
        <v>89</v>
      </c>
      <c r="M713" t="s">
        <v>581</v>
      </c>
    </row>
    <row r="714" spans="1:13" ht="25.5" x14ac:dyDescent="0.25">
      <c r="A714">
        <v>76432</v>
      </c>
      <c r="B714" s="33" t="s">
        <v>185</v>
      </c>
      <c r="C714" s="124" t="s">
        <v>120</v>
      </c>
      <c r="D714" s="144" t="s">
        <v>245</v>
      </c>
      <c r="E714" s="59" t="s">
        <v>244</v>
      </c>
      <c r="F714" s="54"/>
      <c r="G714" s="29"/>
      <c r="H714" s="53">
        <v>142571</v>
      </c>
      <c r="I714" s="53" t="s">
        <v>89</v>
      </c>
      <c r="M714" t="s">
        <v>581</v>
      </c>
    </row>
    <row r="715" spans="1:13" ht="25.5" x14ac:dyDescent="0.25">
      <c r="A715">
        <v>29772</v>
      </c>
      <c r="B715" s="33" t="s">
        <v>185</v>
      </c>
      <c r="C715" s="124" t="s">
        <v>120</v>
      </c>
      <c r="D715" s="144" t="s">
        <v>241</v>
      </c>
      <c r="E715" s="59" t="s">
        <v>240</v>
      </c>
      <c r="F715" s="54"/>
      <c r="G715" s="29"/>
      <c r="H715" s="53">
        <v>29991</v>
      </c>
      <c r="I715" s="53" t="s">
        <v>89</v>
      </c>
      <c r="M715" t="s">
        <v>581</v>
      </c>
    </row>
    <row r="716" spans="1:13" ht="25.5" x14ac:dyDescent="0.25">
      <c r="A716">
        <v>54023</v>
      </c>
      <c r="B716" s="33" t="s">
        <v>188</v>
      </c>
      <c r="C716" s="124" t="s">
        <v>124</v>
      </c>
      <c r="D716" s="144" t="s">
        <v>340</v>
      </c>
      <c r="E716" s="59" t="s">
        <v>341</v>
      </c>
      <c r="F716" s="54"/>
      <c r="G716" s="29"/>
      <c r="H716" s="53">
        <v>61790</v>
      </c>
      <c r="I716" s="53" t="s">
        <v>89</v>
      </c>
      <c r="M716" t="s">
        <v>581</v>
      </c>
    </row>
    <row r="717" spans="1:13" ht="25.5" x14ac:dyDescent="0.25">
      <c r="A717">
        <v>38319</v>
      </c>
      <c r="B717" s="33" t="s">
        <v>188</v>
      </c>
      <c r="C717" s="124" t="s">
        <v>124</v>
      </c>
      <c r="D717" s="144" t="s">
        <v>336</v>
      </c>
      <c r="E717" s="59" t="s">
        <v>337</v>
      </c>
      <c r="F717" s="54"/>
      <c r="G717" s="29"/>
      <c r="H717" s="53">
        <v>40979</v>
      </c>
      <c r="I717" s="53" t="s">
        <v>89</v>
      </c>
      <c r="M717" t="s">
        <v>581</v>
      </c>
    </row>
    <row r="718" spans="1:13" ht="25.5" x14ac:dyDescent="0.25">
      <c r="A718">
        <v>30504</v>
      </c>
      <c r="B718" s="33" t="s">
        <v>188</v>
      </c>
      <c r="C718" s="124" t="s">
        <v>124</v>
      </c>
      <c r="D718" s="144" t="s">
        <v>360</v>
      </c>
      <c r="E718" s="59" t="s">
        <v>361</v>
      </c>
      <c r="F718" s="54"/>
      <c r="G718" s="29"/>
      <c r="H718" s="53">
        <v>35416</v>
      </c>
      <c r="I718" s="53" t="s">
        <v>89</v>
      </c>
      <c r="M718" t="s">
        <v>581</v>
      </c>
    </row>
    <row r="719" spans="1:13" ht="25.5" x14ac:dyDescent="0.25">
      <c r="A719">
        <v>95861</v>
      </c>
      <c r="B719" s="33" t="s">
        <v>188</v>
      </c>
      <c r="C719" s="124" t="s">
        <v>124</v>
      </c>
      <c r="D719" s="144" t="s">
        <v>356</v>
      </c>
      <c r="E719" s="59" t="s">
        <v>357</v>
      </c>
      <c r="F719" s="54"/>
      <c r="G719" s="29"/>
      <c r="H719" s="53">
        <v>114776</v>
      </c>
      <c r="I719" s="53" t="s">
        <v>89</v>
      </c>
      <c r="M719" t="s">
        <v>581</v>
      </c>
    </row>
    <row r="720" spans="1:13" ht="25.5" x14ac:dyDescent="0.25">
      <c r="A720">
        <v>16154</v>
      </c>
      <c r="B720" s="33" t="s">
        <v>188</v>
      </c>
      <c r="C720" s="124" t="s">
        <v>124</v>
      </c>
      <c r="D720" s="144" t="s">
        <v>362</v>
      </c>
      <c r="E720" s="59" t="s">
        <v>363</v>
      </c>
      <c r="F720" s="54"/>
      <c r="G720" s="29"/>
      <c r="H720" s="53">
        <v>16647</v>
      </c>
      <c r="I720" s="53" t="s">
        <v>89</v>
      </c>
      <c r="M720" t="s">
        <v>581</v>
      </c>
    </row>
    <row r="721" spans="1:13" ht="25.5" x14ac:dyDescent="0.25">
      <c r="A721">
        <v>49448</v>
      </c>
      <c r="B721" s="33" t="s">
        <v>188</v>
      </c>
      <c r="C721" s="124" t="s">
        <v>124</v>
      </c>
      <c r="D721" s="144" t="s">
        <v>346</v>
      </c>
      <c r="E721" s="59" t="s">
        <v>347</v>
      </c>
      <c r="F721" s="54"/>
      <c r="G721" s="29"/>
      <c r="H721" s="53">
        <v>60502</v>
      </c>
      <c r="I721" s="53" t="s">
        <v>89</v>
      </c>
      <c r="M721" t="s">
        <v>581</v>
      </c>
    </row>
    <row r="722" spans="1:13" ht="25.5" x14ac:dyDescent="0.25">
      <c r="A722">
        <v>14608</v>
      </c>
      <c r="B722" s="33" t="s">
        <v>188</v>
      </c>
      <c r="C722" s="124" t="s">
        <v>124</v>
      </c>
      <c r="D722" s="144" t="s">
        <v>344</v>
      </c>
      <c r="E722" s="59" t="s">
        <v>345</v>
      </c>
      <c r="F722" s="54"/>
      <c r="G722" s="29"/>
      <c r="H722" s="53">
        <v>16645</v>
      </c>
      <c r="I722" s="53" t="s">
        <v>89</v>
      </c>
      <c r="M722" t="s">
        <v>581</v>
      </c>
    </row>
    <row r="723" spans="1:13" ht="28.5" x14ac:dyDescent="0.25">
      <c r="A723">
        <v>9860</v>
      </c>
      <c r="B723" s="33" t="s">
        <v>188</v>
      </c>
      <c r="C723" s="124" t="s">
        <v>124</v>
      </c>
      <c r="D723" s="144" t="s">
        <v>352</v>
      </c>
      <c r="E723" s="59" t="s">
        <v>353</v>
      </c>
      <c r="F723" s="54"/>
      <c r="G723" s="29"/>
      <c r="H723" s="53">
        <v>12928</v>
      </c>
      <c r="I723" s="53" t="s">
        <v>89</v>
      </c>
      <c r="M723" t="s">
        <v>581</v>
      </c>
    </row>
    <row r="724" spans="1:13" ht="25.5" x14ac:dyDescent="0.25">
      <c r="A724">
        <v>39786</v>
      </c>
      <c r="B724" s="33" t="s">
        <v>188</v>
      </c>
      <c r="C724" s="124" t="s">
        <v>124</v>
      </c>
      <c r="D724" s="144" t="s">
        <v>364</v>
      </c>
      <c r="E724" s="59" t="s">
        <v>365</v>
      </c>
      <c r="F724" s="54"/>
      <c r="G724" s="29"/>
      <c r="H724" s="53">
        <v>41478</v>
      </c>
      <c r="I724" s="53" t="s">
        <v>89</v>
      </c>
      <c r="M724" t="s">
        <v>581</v>
      </c>
    </row>
    <row r="725" spans="1:13" ht="25.5" x14ac:dyDescent="0.25">
      <c r="A725">
        <v>17283</v>
      </c>
      <c r="B725" s="33" t="s">
        <v>188</v>
      </c>
      <c r="C725" s="124" t="s">
        <v>124</v>
      </c>
      <c r="D725" s="144" t="s">
        <v>366</v>
      </c>
      <c r="E725" s="59" t="s">
        <v>367</v>
      </c>
      <c r="F725" s="54"/>
      <c r="G725" s="29"/>
      <c r="H725" s="53">
        <v>23809</v>
      </c>
      <c r="I725" s="53" t="s">
        <v>89</v>
      </c>
      <c r="M725" t="s">
        <v>581</v>
      </c>
    </row>
    <row r="726" spans="1:13" ht="25.5" x14ac:dyDescent="0.25">
      <c r="A726">
        <v>75783.5</v>
      </c>
      <c r="B726" s="33" t="s">
        <v>188</v>
      </c>
      <c r="C726" s="124" t="s">
        <v>124</v>
      </c>
      <c r="D726" s="144" t="s">
        <v>348</v>
      </c>
      <c r="E726" s="59" t="s">
        <v>349</v>
      </c>
      <c r="F726" s="54"/>
      <c r="G726" s="29"/>
      <c r="H726" s="53">
        <v>116590</v>
      </c>
      <c r="I726" s="53" t="s">
        <v>89</v>
      </c>
      <c r="M726" t="s">
        <v>581</v>
      </c>
    </row>
    <row r="727" spans="1:13" ht="25.5" x14ac:dyDescent="0.25">
      <c r="A727">
        <v>0</v>
      </c>
      <c r="B727" s="33" t="s">
        <v>188</v>
      </c>
      <c r="C727" s="124" t="s">
        <v>124</v>
      </c>
      <c r="D727" s="144" t="s">
        <v>368</v>
      </c>
      <c r="E727" s="59" t="s">
        <v>369</v>
      </c>
      <c r="F727" s="54"/>
      <c r="G727" s="29"/>
      <c r="H727" s="53">
        <v>0</v>
      </c>
      <c r="I727" s="53" t="s">
        <v>89</v>
      </c>
      <c r="M727" t="s">
        <v>581</v>
      </c>
    </row>
    <row r="728" spans="1:13" ht="25.5" x14ac:dyDescent="0.25">
      <c r="A728">
        <v>27613</v>
      </c>
      <c r="B728" s="33" t="s">
        <v>188</v>
      </c>
      <c r="C728" s="124" t="s">
        <v>124</v>
      </c>
      <c r="D728" s="144" t="s">
        <v>358</v>
      </c>
      <c r="E728" s="59" t="s">
        <v>359</v>
      </c>
      <c r="F728" s="54"/>
      <c r="G728" s="29"/>
      <c r="H728" s="53">
        <v>31493</v>
      </c>
      <c r="I728" s="53" t="s">
        <v>89</v>
      </c>
      <c r="M728" t="s">
        <v>581</v>
      </c>
    </row>
    <row r="729" spans="1:13" ht="25.5" x14ac:dyDescent="0.25">
      <c r="A729">
        <v>104512</v>
      </c>
      <c r="B729" s="33" t="s">
        <v>188</v>
      </c>
      <c r="C729" s="124" t="s">
        <v>124</v>
      </c>
      <c r="D729" s="144" t="s">
        <v>350</v>
      </c>
      <c r="E729" s="59" t="s">
        <v>351</v>
      </c>
      <c r="F729" s="54"/>
      <c r="G729" s="29"/>
      <c r="H729" s="53">
        <v>125134</v>
      </c>
      <c r="I729" s="53" t="s">
        <v>89</v>
      </c>
      <c r="M729" t="s">
        <v>581</v>
      </c>
    </row>
    <row r="730" spans="1:13" ht="25.5" x14ac:dyDescent="0.25">
      <c r="A730">
        <v>23298</v>
      </c>
      <c r="B730" s="33" t="s">
        <v>188</v>
      </c>
      <c r="C730" s="124" t="s">
        <v>124</v>
      </c>
      <c r="D730" s="144" t="s">
        <v>354</v>
      </c>
      <c r="E730" s="59" t="s">
        <v>355</v>
      </c>
      <c r="F730" s="54"/>
      <c r="G730" s="29"/>
      <c r="H730" s="53">
        <v>33259</v>
      </c>
      <c r="I730" s="53" t="s">
        <v>89</v>
      </c>
      <c r="M730" t="s">
        <v>581</v>
      </c>
    </row>
    <row r="731" spans="1:13" ht="25.5" x14ac:dyDescent="0.25">
      <c r="A731">
        <v>8191</v>
      </c>
      <c r="B731" s="33" t="s">
        <v>188</v>
      </c>
      <c r="C731" s="124" t="s">
        <v>124</v>
      </c>
      <c r="D731" s="144" t="s">
        <v>338</v>
      </c>
      <c r="E731" s="59" t="s">
        <v>339</v>
      </c>
      <c r="F731" s="54"/>
      <c r="G731" s="29"/>
      <c r="H731" s="53">
        <v>8616</v>
      </c>
      <c r="I731" s="53" t="s">
        <v>89</v>
      </c>
      <c r="M731" t="s">
        <v>581</v>
      </c>
    </row>
    <row r="732" spans="1:13" ht="25.5" x14ac:dyDescent="0.25">
      <c r="A732">
        <v>70546</v>
      </c>
      <c r="B732" s="33" t="s">
        <v>188</v>
      </c>
      <c r="C732" s="124" t="s">
        <v>124</v>
      </c>
      <c r="D732" s="144" t="s">
        <v>342</v>
      </c>
      <c r="E732" s="59" t="s">
        <v>343</v>
      </c>
      <c r="F732" s="54"/>
      <c r="G732" s="29"/>
      <c r="H732" s="53">
        <v>84466</v>
      </c>
      <c r="I732" s="53" t="s">
        <v>89</v>
      </c>
      <c r="M732" t="s">
        <v>581</v>
      </c>
    </row>
    <row r="733" spans="1:13" ht="25.5" x14ac:dyDescent="0.25">
      <c r="A733">
        <v>321307.84699999995</v>
      </c>
      <c r="B733" s="33" t="s">
        <v>191</v>
      </c>
      <c r="C733" s="124" t="s">
        <v>121</v>
      </c>
      <c r="D733" s="144" t="s">
        <v>277</v>
      </c>
      <c r="E733" s="59" t="s">
        <v>276</v>
      </c>
      <c r="F733" s="54"/>
      <c r="G733" s="29"/>
      <c r="H733" s="53">
        <v>459011</v>
      </c>
      <c r="I733" s="53" t="s">
        <v>89</v>
      </c>
      <c r="M733" t="s">
        <v>581</v>
      </c>
    </row>
    <row r="734" spans="1:13" ht="25.5" x14ac:dyDescent="0.25">
      <c r="A734">
        <v>74759</v>
      </c>
      <c r="B734" s="33" t="s">
        <v>191</v>
      </c>
      <c r="C734" s="124" t="s">
        <v>121</v>
      </c>
      <c r="D734" s="144" t="s">
        <v>275</v>
      </c>
      <c r="E734" s="59" t="s">
        <v>274</v>
      </c>
      <c r="F734" s="54"/>
      <c r="G734" s="29"/>
      <c r="H734" s="53">
        <v>116049</v>
      </c>
      <c r="I734" s="53" t="s">
        <v>89</v>
      </c>
      <c r="M734" t="s">
        <v>581</v>
      </c>
    </row>
    <row r="735" spans="1:13" ht="25.5" x14ac:dyDescent="0.25">
      <c r="A735">
        <v>49479</v>
      </c>
      <c r="B735" s="33" t="s">
        <v>191</v>
      </c>
      <c r="C735" s="124" t="s">
        <v>121</v>
      </c>
      <c r="D735" s="144" t="s">
        <v>279</v>
      </c>
      <c r="E735" s="59" t="s">
        <v>278</v>
      </c>
      <c r="F735" s="54"/>
      <c r="G735" s="29"/>
      <c r="H735" s="53">
        <v>51088</v>
      </c>
      <c r="I735" s="53" t="s">
        <v>89</v>
      </c>
      <c r="M735" t="s">
        <v>581</v>
      </c>
    </row>
    <row r="736" spans="1:13" ht="25.5" x14ac:dyDescent="0.25">
      <c r="A736">
        <v>33195</v>
      </c>
      <c r="B736" s="33" t="s">
        <v>191</v>
      </c>
      <c r="C736" s="124" t="s">
        <v>121</v>
      </c>
      <c r="D736" s="144" t="s">
        <v>281</v>
      </c>
      <c r="E736" s="59" t="s">
        <v>280</v>
      </c>
      <c r="F736" s="54"/>
      <c r="G736" s="29"/>
      <c r="H736" s="53">
        <v>34141</v>
      </c>
      <c r="I736" s="53" t="s">
        <v>89</v>
      </c>
      <c r="M736" t="s">
        <v>581</v>
      </c>
    </row>
    <row r="737" spans="1:13" ht="25.5" x14ac:dyDescent="0.25">
      <c r="A737">
        <v>30866</v>
      </c>
      <c r="B737" s="33" t="s">
        <v>191</v>
      </c>
      <c r="C737" s="124" t="s">
        <v>121</v>
      </c>
      <c r="D737" s="144" t="s">
        <v>283</v>
      </c>
      <c r="E737" s="59" t="s">
        <v>282</v>
      </c>
      <c r="F737" s="54"/>
      <c r="G737" s="29"/>
      <c r="H737" s="53">
        <v>31574</v>
      </c>
      <c r="I737" s="53" t="s">
        <v>89</v>
      </c>
      <c r="M737" t="s">
        <v>581</v>
      </c>
    </row>
    <row r="738" spans="1:13" ht="25.5" x14ac:dyDescent="0.25">
      <c r="A738">
        <v>125976.3</v>
      </c>
      <c r="B738" s="33" t="s">
        <v>191</v>
      </c>
      <c r="C738" s="124" t="s">
        <v>121</v>
      </c>
      <c r="D738" s="144" t="s">
        <v>285</v>
      </c>
      <c r="E738" s="59" t="s">
        <v>284</v>
      </c>
      <c r="F738" s="54"/>
      <c r="G738" s="29"/>
      <c r="H738" s="53">
        <v>209961</v>
      </c>
      <c r="I738" s="53" t="s">
        <v>89</v>
      </c>
      <c r="M738" t="s">
        <v>581</v>
      </c>
    </row>
    <row r="739" spans="1:13" ht="25.5" x14ac:dyDescent="0.25">
      <c r="A739">
        <v>11801</v>
      </c>
      <c r="B739" s="33" t="s">
        <v>191</v>
      </c>
      <c r="C739" s="124" t="s">
        <v>121</v>
      </c>
      <c r="D739" s="144" t="s">
        <v>287</v>
      </c>
      <c r="E739" s="59" t="s">
        <v>286</v>
      </c>
      <c r="F739" s="54"/>
      <c r="G739" s="29"/>
      <c r="H739" s="53">
        <v>14379</v>
      </c>
      <c r="I739" s="53" t="s">
        <v>89</v>
      </c>
      <c r="M739" t="s">
        <v>581</v>
      </c>
    </row>
    <row r="740" spans="1:13" ht="25.5" x14ac:dyDescent="0.25">
      <c r="A740">
        <v>69932</v>
      </c>
      <c r="B740" s="33" t="s">
        <v>191</v>
      </c>
      <c r="C740" s="124" t="s">
        <v>121</v>
      </c>
      <c r="D740" s="144" t="s">
        <v>289</v>
      </c>
      <c r="E740" s="59" t="s">
        <v>288</v>
      </c>
      <c r="F740" s="54"/>
      <c r="G740" s="29"/>
      <c r="H740" s="53">
        <v>107455</v>
      </c>
      <c r="I740" s="53" t="s">
        <v>89</v>
      </c>
      <c r="M740" t="s">
        <v>581</v>
      </c>
    </row>
    <row r="741" spans="1:13" ht="25.5" x14ac:dyDescent="0.25">
      <c r="A741">
        <v>23343</v>
      </c>
      <c r="B741" s="33" t="s">
        <v>194</v>
      </c>
      <c r="C741" s="124" t="s">
        <v>135</v>
      </c>
      <c r="D741" s="144" t="s">
        <v>544</v>
      </c>
      <c r="E741" s="59" t="s">
        <v>545</v>
      </c>
      <c r="F741" s="54"/>
      <c r="G741" s="29"/>
      <c r="H741" s="53">
        <v>42380</v>
      </c>
      <c r="I741" s="53" t="s">
        <v>89</v>
      </c>
      <c r="M741" t="s">
        <v>581</v>
      </c>
    </row>
    <row r="742" spans="1:13" ht="25.5" x14ac:dyDescent="0.25">
      <c r="A742">
        <v>30423</v>
      </c>
      <c r="B742" s="33" t="s">
        <v>194</v>
      </c>
      <c r="C742" s="124" t="s">
        <v>135</v>
      </c>
      <c r="D742" s="144" t="s">
        <v>552</v>
      </c>
      <c r="E742" s="59" t="s">
        <v>553</v>
      </c>
      <c r="F742" s="54"/>
      <c r="G742" s="29"/>
      <c r="H742" s="53">
        <v>35666</v>
      </c>
      <c r="I742" s="53" t="s">
        <v>89</v>
      </c>
      <c r="M742" t="s">
        <v>581</v>
      </c>
    </row>
    <row r="743" spans="1:13" ht="25.5" x14ac:dyDescent="0.25">
      <c r="A743">
        <v>25186</v>
      </c>
      <c r="B743" s="33" t="s">
        <v>194</v>
      </c>
      <c r="C743" s="124" t="s">
        <v>135</v>
      </c>
      <c r="D743" s="144" t="s">
        <v>560</v>
      </c>
      <c r="E743" s="59" t="s">
        <v>561</v>
      </c>
      <c r="F743" s="54"/>
      <c r="G743" s="29"/>
      <c r="H743" s="53">
        <v>29130</v>
      </c>
      <c r="I743" s="53" t="s">
        <v>89</v>
      </c>
      <c r="M743" t="s">
        <v>581</v>
      </c>
    </row>
    <row r="744" spans="1:13" ht="25.5" x14ac:dyDescent="0.25">
      <c r="A744">
        <v>23157</v>
      </c>
      <c r="B744" s="33" t="s">
        <v>194</v>
      </c>
      <c r="C744" s="124" t="s">
        <v>135</v>
      </c>
      <c r="D744" s="144" t="s">
        <v>562</v>
      </c>
      <c r="E744" s="59" t="s">
        <v>563</v>
      </c>
      <c r="F744" s="54"/>
      <c r="G744" s="29"/>
      <c r="H744" s="53">
        <v>24836</v>
      </c>
      <c r="I744" s="53" t="s">
        <v>89</v>
      </c>
      <c r="M744" t="s">
        <v>581</v>
      </c>
    </row>
    <row r="745" spans="1:13" ht="25.5" x14ac:dyDescent="0.25">
      <c r="A745">
        <v>20999</v>
      </c>
      <c r="B745" s="33" t="s">
        <v>194</v>
      </c>
      <c r="C745" s="124" t="s">
        <v>135</v>
      </c>
      <c r="D745" s="144" t="s">
        <v>564</v>
      </c>
      <c r="E745" s="59" t="s">
        <v>565</v>
      </c>
      <c r="F745" s="54"/>
      <c r="G745" s="29"/>
      <c r="H745" s="53">
        <v>38552</v>
      </c>
      <c r="I745" s="53" t="s">
        <v>89</v>
      </c>
      <c r="M745" t="s">
        <v>581</v>
      </c>
    </row>
    <row r="746" spans="1:13" ht="25.5" x14ac:dyDescent="0.25">
      <c r="A746">
        <v>18996</v>
      </c>
      <c r="B746" s="33" t="s">
        <v>194</v>
      </c>
      <c r="C746" s="124" t="s">
        <v>135</v>
      </c>
      <c r="D746" s="144" t="s">
        <v>558</v>
      </c>
      <c r="E746" s="59" t="s">
        <v>559</v>
      </c>
      <c r="F746" s="54"/>
      <c r="G746" s="29"/>
      <c r="H746" s="53">
        <v>19386</v>
      </c>
      <c r="I746" s="53" t="s">
        <v>89</v>
      </c>
      <c r="M746" t="s">
        <v>581</v>
      </c>
    </row>
    <row r="747" spans="1:13" ht="25.5" x14ac:dyDescent="0.25">
      <c r="A747">
        <v>9114</v>
      </c>
      <c r="B747" s="33" t="s">
        <v>194</v>
      </c>
      <c r="C747" s="124" t="s">
        <v>135</v>
      </c>
      <c r="D747" s="144" t="s">
        <v>566</v>
      </c>
      <c r="E747" s="59" t="s">
        <v>567</v>
      </c>
      <c r="F747" s="54"/>
      <c r="G747" s="29"/>
      <c r="H747" s="53">
        <v>9114</v>
      </c>
      <c r="I747" s="53" t="s">
        <v>89</v>
      </c>
      <c r="M747" t="s">
        <v>581</v>
      </c>
    </row>
    <row r="748" spans="1:13" ht="25.5" x14ac:dyDescent="0.25">
      <c r="A748">
        <v>84760</v>
      </c>
      <c r="B748" s="33" t="s">
        <v>194</v>
      </c>
      <c r="C748" s="124" t="s">
        <v>135</v>
      </c>
      <c r="D748" s="144" t="s">
        <v>542</v>
      </c>
      <c r="E748" s="59" t="s">
        <v>543</v>
      </c>
      <c r="F748" s="54"/>
      <c r="G748" s="29"/>
      <c r="H748" s="53">
        <v>89438</v>
      </c>
      <c r="I748" s="53" t="s">
        <v>89</v>
      </c>
      <c r="M748" t="s">
        <v>581</v>
      </c>
    </row>
    <row r="749" spans="1:13" ht="25.5" x14ac:dyDescent="0.25">
      <c r="A749">
        <v>11306</v>
      </c>
      <c r="B749" s="33" t="s">
        <v>194</v>
      </c>
      <c r="C749" s="124" t="s">
        <v>135</v>
      </c>
      <c r="D749" s="144" t="s">
        <v>550</v>
      </c>
      <c r="E749" s="59" t="s">
        <v>551</v>
      </c>
      <c r="F749" s="54"/>
      <c r="G749" s="29"/>
      <c r="H749" s="53">
        <v>21082</v>
      </c>
      <c r="I749" s="53" t="s">
        <v>89</v>
      </c>
      <c r="M749" t="s">
        <v>581</v>
      </c>
    </row>
    <row r="750" spans="1:13" ht="25.5" x14ac:dyDescent="0.25">
      <c r="A750">
        <v>43349</v>
      </c>
      <c r="B750" s="33" t="s">
        <v>194</v>
      </c>
      <c r="C750" s="124" t="s">
        <v>135</v>
      </c>
      <c r="D750" s="144" t="s">
        <v>554</v>
      </c>
      <c r="E750" s="59" t="s">
        <v>555</v>
      </c>
      <c r="F750" s="54"/>
      <c r="G750" s="29"/>
      <c r="H750" s="53">
        <v>51822</v>
      </c>
      <c r="I750" s="53" t="s">
        <v>89</v>
      </c>
      <c r="M750" t="s">
        <v>581</v>
      </c>
    </row>
    <row r="751" spans="1:13" ht="25.5" x14ac:dyDescent="0.25">
      <c r="A751">
        <v>9245</v>
      </c>
      <c r="B751" s="33" t="s">
        <v>194</v>
      </c>
      <c r="C751" s="124" t="s">
        <v>135</v>
      </c>
      <c r="D751" s="144" t="s">
        <v>556</v>
      </c>
      <c r="E751" s="59" t="s">
        <v>557</v>
      </c>
      <c r="F751" s="54"/>
      <c r="G751" s="29"/>
      <c r="H751" s="53">
        <v>10226</v>
      </c>
      <c r="I751" s="53" t="s">
        <v>89</v>
      </c>
      <c r="M751" t="s">
        <v>581</v>
      </c>
    </row>
    <row r="752" spans="1:13" ht="25.5" x14ac:dyDescent="0.25">
      <c r="A752">
        <v>42140</v>
      </c>
      <c r="B752" s="33" t="s">
        <v>194</v>
      </c>
      <c r="C752" s="124" t="s">
        <v>135</v>
      </c>
      <c r="D752" s="144" t="s">
        <v>540</v>
      </c>
      <c r="E752" s="59" t="s">
        <v>541</v>
      </c>
      <c r="F752" s="54"/>
      <c r="G752" s="29"/>
      <c r="H752" s="53">
        <v>43745</v>
      </c>
      <c r="I752" s="53" t="s">
        <v>89</v>
      </c>
      <c r="M752" t="s">
        <v>581</v>
      </c>
    </row>
    <row r="753" spans="1:13" ht="25.5" x14ac:dyDescent="0.25">
      <c r="A753">
        <v>9371.5</v>
      </c>
      <c r="B753" s="33" t="s">
        <v>194</v>
      </c>
      <c r="C753" s="124" t="s">
        <v>135</v>
      </c>
      <c r="D753" s="144" t="s">
        <v>548</v>
      </c>
      <c r="E753" s="59" t="s">
        <v>549</v>
      </c>
      <c r="F753" s="54"/>
      <c r="G753" s="29"/>
      <c r="H753" s="53">
        <v>18743</v>
      </c>
      <c r="I753" s="53" t="s">
        <v>89</v>
      </c>
      <c r="M753" t="s">
        <v>581</v>
      </c>
    </row>
    <row r="754" spans="1:13" ht="25.5" x14ac:dyDescent="0.25">
      <c r="A754">
        <v>43487</v>
      </c>
      <c r="B754" s="33" t="s">
        <v>194</v>
      </c>
      <c r="C754" s="124" t="s">
        <v>135</v>
      </c>
      <c r="D754" s="144" t="s">
        <v>546</v>
      </c>
      <c r="E754" s="59" t="s">
        <v>547</v>
      </c>
      <c r="F754" s="54"/>
      <c r="G754" s="29"/>
      <c r="H754" s="53">
        <v>59433</v>
      </c>
      <c r="I754" s="53" t="s">
        <v>89</v>
      </c>
      <c r="M754" t="s">
        <v>581</v>
      </c>
    </row>
    <row r="755" spans="1:13" ht="25.5" x14ac:dyDescent="0.25">
      <c r="A755">
        <v>41286</v>
      </c>
      <c r="B755" s="33" t="s">
        <v>197</v>
      </c>
      <c r="C755" s="124" t="s">
        <v>126</v>
      </c>
      <c r="D755" s="144" t="s">
        <v>384</v>
      </c>
      <c r="E755" s="59" t="s">
        <v>385</v>
      </c>
      <c r="F755" s="54"/>
      <c r="G755" s="29"/>
      <c r="H755" s="53">
        <v>65492</v>
      </c>
      <c r="I755" s="53" t="s">
        <v>89</v>
      </c>
      <c r="M755" t="s">
        <v>581</v>
      </c>
    </row>
    <row r="756" spans="1:13" ht="25.5" x14ac:dyDescent="0.25">
      <c r="A756">
        <v>17922</v>
      </c>
      <c r="B756" s="33" t="s">
        <v>197</v>
      </c>
      <c r="C756" s="124" t="s">
        <v>126</v>
      </c>
      <c r="D756" s="144" t="s">
        <v>398</v>
      </c>
      <c r="E756" s="59" t="s">
        <v>399</v>
      </c>
      <c r="F756" s="54"/>
      <c r="G756" s="29"/>
      <c r="H756" s="53">
        <v>17922</v>
      </c>
      <c r="I756" s="53" t="s">
        <v>89</v>
      </c>
      <c r="M756" t="s">
        <v>581</v>
      </c>
    </row>
    <row r="757" spans="1:13" ht="25.5" x14ac:dyDescent="0.25">
      <c r="A757">
        <v>0</v>
      </c>
      <c r="B757" s="33" t="s">
        <v>197</v>
      </c>
      <c r="C757" s="124" t="s">
        <v>126</v>
      </c>
      <c r="D757" s="144" t="s">
        <v>396</v>
      </c>
      <c r="E757" s="59" t="s">
        <v>397</v>
      </c>
      <c r="F757" s="54"/>
      <c r="G757" s="29"/>
      <c r="H757" s="53">
        <v>0</v>
      </c>
      <c r="I757" s="53" t="s">
        <v>89</v>
      </c>
      <c r="M757" t="s">
        <v>581</v>
      </c>
    </row>
    <row r="758" spans="1:13" ht="28.5" x14ac:dyDescent="0.25">
      <c r="A758">
        <v>66149</v>
      </c>
      <c r="B758" s="33" t="s">
        <v>197</v>
      </c>
      <c r="C758" s="124" t="s">
        <v>126</v>
      </c>
      <c r="D758" s="144" t="s">
        <v>394</v>
      </c>
      <c r="E758" s="59" t="s">
        <v>395</v>
      </c>
      <c r="F758" s="54"/>
      <c r="G758" s="29"/>
      <c r="H758" s="53">
        <v>71831</v>
      </c>
      <c r="I758" s="53" t="s">
        <v>89</v>
      </c>
      <c r="M758" t="s">
        <v>581</v>
      </c>
    </row>
    <row r="759" spans="1:13" ht="25.5" x14ac:dyDescent="0.25">
      <c r="A759">
        <v>0</v>
      </c>
      <c r="B759" s="33" t="s">
        <v>197</v>
      </c>
      <c r="C759" s="124" t="s">
        <v>126</v>
      </c>
      <c r="D759" s="144" t="s">
        <v>400</v>
      </c>
      <c r="E759" s="59" t="s">
        <v>401</v>
      </c>
      <c r="F759" s="54"/>
      <c r="G759" s="29"/>
      <c r="H759" s="53">
        <v>0</v>
      </c>
      <c r="I759" s="53" t="s">
        <v>89</v>
      </c>
      <c r="M759" t="s">
        <v>581</v>
      </c>
    </row>
    <row r="760" spans="1:13" ht="25.5" x14ac:dyDescent="0.25">
      <c r="A760">
        <v>45735</v>
      </c>
      <c r="B760" s="33" t="s">
        <v>197</v>
      </c>
      <c r="C760" s="124" t="s">
        <v>126</v>
      </c>
      <c r="D760" s="144" t="s">
        <v>390</v>
      </c>
      <c r="E760" s="59" t="s">
        <v>391</v>
      </c>
      <c r="F760" s="54"/>
      <c r="G760" s="29"/>
      <c r="H760" s="53">
        <v>87631</v>
      </c>
      <c r="I760" s="53" t="s">
        <v>89</v>
      </c>
      <c r="M760" t="s">
        <v>581</v>
      </c>
    </row>
    <row r="761" spans="1:13" ht="25.5" x14ac:dyDescent="0.25">
      <c r="A761">
        <v>19923</v>
      </c>
      <c r="B761" s="33" t="s">
        <v>197</v>
      </c>
      <c r="C761" s="124" t="s">
        <v>126</v>
      </c>
      <c r="D761" s="144" t="s">
        <v>388</v>
      </c>
      <c r="E761" s="59" t="s">
        <v>389</v>
      </c>
      <c r="F761" s="54"/>
      <c r="G761" s="29"/>
      <c r="H761" s="53">
        <v>19923</v>
      </c>
      <c r="I761" s="53" t="s">
        <v>89</v>
      </c>
      <c r="M761" t="s">
        <v>581</v>
      </c>
    </row>
    <row r="762" spans="1:13" ht="25.5" x14ac:dyDescent="0.25">
      <c r="A762">
        <v>47350</v>
      </c>
      <c r="B762" s="33" t="s">
        <v>197</v>
      </c>
      <c r="C762" s="124" t="s">
        <v>126</v>
      </c>
      <c r="D762" s="144" t="s">
        <v>392</v>
      </c>
      <c r="E762" s="59" t="s">
        <v>393</v>
      </c>
      <c r="F762" s="54"/>
      <c r="G762" s="29"/>
      <c r="H762" s="53">
        <v>54513</v>
      </c>
      <c r="I762" s="53" t="s">
        <v>89</v>
      </c>
      <c r="M762" t="s">
        <v>581</v>
      </c>
    </row>
    <row r="763" spans="1:13" ht="25.5" x14ac:dyDescent="0.25">
      <c r="A763">
        <v>26805</v>
      </c>
      <c r="B763" s="33" t="s">
        <v>197</v>
      </c>
      <c r="C763" s="124" t="s">
        <v>126</v>
      </c>
      <c r="D763" s="144" t="s">
        <v>386</v>
      </c>
      <c r="E763" s="59" t="s">
        <v>387</v>
      </c>
      <c r="F763" s="54"/>
      <c r="G763" s="29"/>
      <c r="H763" s="53">
        <v>42159</v>
      </c>
      <c r="I763" s="53" t="s">
        <v>89</v>
      </c>
      <c r="M763" t="s">
        <v>581</v>
      </c>
    </row>
  </sheetData>
  <mergeCells count="1">
    <mergeCell ref="B2:G2"/>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B91F04-CBCB-4CF2-8CF0-D90DFAB41238}">
  <dimension ref="A3:L22"/>
  <sheetViews>
    <sheetView workbookViewId="0">
      <selection activeCell="A4" sqref="A4"/>
    </sheetView>
  </sheetViews>
  <sheetFormatPr defaultRowHeight="15" x14ac:dyDescent="0.25"/>
  <cols>
    <col min="1" max="1" width="14.85546875" bestFit="1" customWidth="1"/>
    <col min="2" max="2" width="15.28515625" bestFit="1" customWidth="1"/>
    <col min="3" max="3" width="10.7109375" bestFit="1" customWidth="1"/>
  </cols>
  <sheetData>
    <row r="3" spans="1:12" x14ac:dyDescent="0.25">
      <c r="A3" s="147" t="s">
        <v>117</v>
      </c>
    </row>
    <row r="4" spans="1:12" x14ac:dyDescent="0.25">
      <c r="A4" s="77" t="s">
        <v>147</v>
      </c>
    </row>
    <row r="5" spans="1:12" x14ac:dyDescent="0.25">
      <c r="A5" s="77" t="s">
        <v>150</v>
      </c>
    </row>
    <row r="6" spans="1:12" x14ac:dyDescent="0.25">
      <c r="A6" s="77" t="s">
        <v>141</v>
      </c>
    </row>
    <row r="7" spans="1:12" x14ac:dyDescent="0.25">
      <c r="A7" s="77" t="s">
        <v>155</v>
      </c>
    </row>
    <row r="8" spans="1:12" x14ac:dyDescent="0.25">
      <c r="A8" s="77" t="s">
        <v>158</v>
      </c>
    </row>
    <row r="9" spans="1:12" x14ac:dyDescent="0.25">
      <c r="A9" s="77" t="s">
        <v>161</v>
      </c>
    </row>
    <row r="10" spans="1:12" x14ac:dyDescent="0.25">
      <c r="A10" s="77" t="s">
        <v>164</v>
      </c>
    </row>
    <row r="11" spans="1:12" ht="18.75" x14ac:dyDescent="0.3">
      <c r="A11" s="77" t="s">
        <v>167</v>
      </c>
      <c r="L11" s="159"/>
    </row>
    <row r="12" spans="1:12" x14ac:dyDescent="0.25">
      <c r="A12" s="77" t="s">
        <v>170</v>
      </c>
    </row>
    <row r="13" spans="1:12" x14ac:dyDescent="0.25">
      <c r="A13" s="77" t="s">
        <v>173</v>
      </c>
    </row>
    <row r="14" spans="1:12" x14ac:dyDescent="0.25">
      <c r="A14" s="77" t="s">
        <v>176</v>
      </c>
    </row>
    <row r="15" spans="1:12" x14ac:dyDescent="0.25">
      <c r="A15" s="77" t="s">
        <v>179</v>
      </c>
    </row>
    <row r="16" spans="1:12" x14ac:dyDescent="0.25">
      <c r="A16" s="77" t="s">
        <v>182</v>
      </c>
    </row>
    <row r="17" spans="1:1" x14ac:dyDescent="0.25">
      <c r="A17" s="77" t="s">
        <v>185</v>
      </c>
    </row>
    <row r="18" spans="1:1" x14ac:dyDescent="0.25">
      <c r="A18" s="77" t="s">
        <v>188</v>
      </c>
    </row>
    <row r="19" spans="1:1" x14ac:dyDescent="0.25">
      <c r="A19" s="77" t="s">
        <v>191</v>
      </c>
    </row>
    <row r="20" spans="1:1" x14ac:dyDescent="0.25">
      <c r="A20" s="77" t="s">
        <v>194</v>
      </c>
    </row>
    <row r="21" spans="1:1" x14ac:dyDescent="0.25">
      <c r="A21" s="77" t="s">
        <v>197</v>
      </c>
    </row>
    <row r="22" spans="1:1" x14ac:dyDescent="0.25">
      <c r="A22" s="77" t="s">
        <v>91</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EA6D01-A846-4DDD-B773-2CDC7CE532E7}">
  <dimension ref="A1:H567"/>
  <sheetViews>
    <sheetView workbookViewId="0">
      <selection activeCell="G4" sqref="G4"/>
    </sheetView>
  </sheetViews>
  <sheetFormatPr defaultColWidth="8.7109375" defaultRowHeight="16.5" x14ac:dyDescent="0.3"/>
  <cols>
    <col min="1" max="1" width="29.28515625" style="251" customWidth="1"/>
    <col min="2" max="4" width="29.28515625" style="252" customWidth="1"/>
    <col min="5" max="7" width="29.28515625" style="253" customWidth="1"/>
    <col min="8" max="8" width="29.28515625" style="273" customWidth="1"/>
    <col min="9" max="16384" width="8.7109375" style="339"/>
  </cols>
  <sheetData>
    <row r="1" spans="1:8" ht="17.25" thickBot="1" x14ac:dyDescent="0.35">
      <c r="E1" s="253">
        <f>SUM(tblPiNAnalysis[Total Population])</f>
        <v>46756386</v>
      </c>
      <c r="F1" s="253">
        <f>SUM(tblPiNAnalysis[Population Group])</f>
        <v>0</v>
      </c>
      <c r="G1" s="266">
        <f>SUBTOTAL(9,G4:G567)</f>
        <v>11614764</v>
      </c>
      <c r="H1" s="270"/>
    </row>
    <row r="2" spans="1:8" ht="18" thickTop="1" thickBot="1" x14ac:dyDescent="0.35">
      <c r="A2" s="416" t="s">
        <v>55</v>
      </c>
      <c r="B2" s="416"/>
      <c r="C2" s="416"/>
      <c r="D2" s="416"/>
      <c r="E2" s="254" t="s">
        <v>290</v>
      </c>
      <c r="F2" s="255"/>
      <c r="G2" s="255"/>
      <c r="H2" s="271"/>
    </row>
    <row r="3" spans="1:8" ht="18" thickTop="1" thickBot="1" x14ac:dyDescent="0.35">
      <c r="A3" s="256" t="s">
        <v>69</v>
      </c>
      <c r="B3" s="257" t="s">
        <v>295</v>
      </c>
      <c r="C3" s="257" t="s">
        <v>70</v>
      </c>
      <c r="D3" s="257" t="s">
        <v>139</v>
      </c>
      <c r="E3" s="258" t="s">
        <v>297</v>
      </c>
      <c r="F3" s="259" t="s">
        <v>137</v>
      </c>
      <c r="G3" s="259" t="s">
        <v>302</v>
      </c>
      <c r="H3" s="272" t="s">
        <v>748</v>
      </c>
    </row>
    <row r="4" spans="1:8" ht="17.25" thickTop="1" x14ac:dyDescent="0.3">
      <c r="A4" s="260" t="s">
        <v>167</v>
      </c>
      <c r="B4" s="261" t="s">
        <v>119</v>
      </c>
      <c r="C4" s="262" t="s">
        <v>201</v>
      </c>
      <c r="D4" s="261" t="s">
        <v>200</v>
      </c>
      <c r="E4" s="263">
        <v>10045</v>
      </c>
      <c r="F4" s="263" t="s">
        <v>87</v>
      </c>
      <c r="G4" s="263">
        <v>9077</v>
      </c>
      <c r="H4" s="267">
        <f t="shared" ref="H4:H67" si="0">IF(E4&lt;&gt;0,G4/E4,0)</f>
        <v>0.90363364858138373</v>
      </c>
    </row>
    <row r="5" spans="1:8" x14ac:dyDescent="0.3">
      <c r="A5" s="260" t="s">
        <v>167</v>
      </c>
      <c r="B5" s="261" t="s">
        <v>119</v>
      </c>
      <c r="C5" s="262" t="s">
        <v>201</v>
      </c>
      <c r="D5" s="261" t="s">
        <v>200</v>
      </c>
      <c r="E5" s="263">
        <v>10045</v>
      </c>
      <c r="F5" s="263" t="s">
        <v>88</v>
      </c>
      <c r="G5" s="263">
        <v>9077</v>
      </c>
      <c r="H5" s="267">
        <f t="shared" si="0"/>
        <v>0.90363364858138373</v>
      </c>
    </row>
    <row r="6" spans="1:8" x14ac:dyDescent="0.3">
      <c r="A6" s="260" t="s">
        <v>185</v>
      </c>
      <c r="B6" s="261" t="s">
        <v>120</v>
      </c>
      <c r="C6" s="262" t="s">
        <v>251</v>
      </c>
      <c r="D6" s="261" t="s">
        <v>250</v>
      </c>
      <c r="E6" s="263">
        <v>139642</v>
      </c>
      <c r="F6" s="263" t="s">
        <v>88</v>
      </c>
      <c r="G6" s="263">
        <v>126105</v>
      </c>
      <c r="H6" s="267">
        <f t="shared" si="0"/>
        <v>0.90305925151458732</v>
      </c>
    </row>
    <row r="7" spans="1:8" x14ac:dyDescent="0.3">
      <c r="A7" s="260" t="s">
        <v>185</v>
      </c>
      <c r="B7" s="261" t="s">
        <v>120</v>
      </c>
      <c r="C7" s="262" t="s">
        <v>251</v>
      </c>
      <c r="D7" s="261" t="s">
        <v>250</v>
      </c>
      <c r="E7" s="263">
        <v>916</v>
      </c>
      <c r="F7" s="263" t="s">
        <v>87</v>
      </c>
      <c r="G7" s="263">
        <v>827</v>
      </c>
      <c r="H7" s="267">
        <f t="shared" si="0"/>
        <v>0.90283842794759828</v>
      </c>
    </row>
    <row r="8" spans="1:8" x14ac:dyDescent="0.3">
      <c r="A8" s="260" t="s">
        <v>161</v>
      </c>
      <c r="B8" s="261" t="s">
        <v>128</v>
      </c>
      <c r="C8" s="262" t="s">
        <v>426</v>
      </c>
      <c r="D8" s="261" t="s">
        <v>427</v>
      </c>
      <c r="E8" s="263">
        <v>20</v>
      </c>
      <c r="F8" s="263" t="s">
        <v>87</v>
      </c>
      <c r="G8" s="263">
        <v>18</v>
      </c>
      <c r="H8" s="267">
        <f t="shared" si="0"/>
        <v>0.9</v>
      </c>
    </row>
    <row r="9" spans="1:8" x14ac:dyDescent="0.3">
      <c r="A9" s="260" t="s">
        <v>161</v>
      </c>
      <c r="B9" s="261" t="s">
        <v>128</v>
      </c>
      <c r="C9" s="262" t="s">
        <v>426</v>
      </c>
      <c r="D9" s="261" t="s">
        <v>427</v>
      </c>
      <c r="E9" s="263">
        <v>20</v>
      </c>
      <c r="F9" s="263" t="s">
        <v>88</v>
      </c>
      <c r="G9" s="263">
        <v>18</v>
      </c>
      <c r="H9" s="267">
        <f t="shared" si="0"/>
        <v>0.9</v>
      </c>
    </row>
    <row r="10" spans="1:8" x14ac:dyDescent="0.3">
      <c r="A10" s="260" t="s">
        <v>155</v>
      </c>
      <c r="B10" s="261" t="s">
        <v>122</v>
      </c>
      <c r="C10" s="262" t="s">
        <v>172</v>
      </c>
      <c r="D10" s="261" t="s">
        <v>171</v>
      </c>
      <c r="E10" s="263">
        <v>48571</v>
      </c>
      <c r="F10" s="263" t="s">
        <v>87</v>
      </c>
      <c r="G10" s="263">
        <v>43540</v>
      </c>
      <c r="H10" s="267">
        <f t="shared" si="0"/>
        <v>0.8964196742912437</v>
      </c>
    </row>
    <row r="11" spans="1:8" x14ac:dyDescent="0.3">
      <c r="A11" s="260" t="s">
        <v>155</v>
      </c>
      <c r="B11" s="261" t="s">
        <v>122</v>
      </c>
      <c r="C11" s="262" t="s">
        <v>172</v>
      </c>
      <c r="D11" s="261" t="s">
        <v>171</v>
      </c>
      <c r="E11" s="263">
        <v>43875</v>
      </c>
      <c r="F11" s="263" t="s">
        <v>88</v>
      </c>
      <c r="G11" s="263">
        <v>39330</v>
      </c>
      <c r="H11" s="267">
        <f t="shared" si="0"/>
        <v>0.8964102564102564</v>
      </c>
    </row>
    <row r="12" spans="1:8" x14ac:dyDescent="0.3">
      <c r="A12" s="260" t="s">
        <v>167</v>
      </c>
      <c r="B12" s="261" t="s">
        <v>119</v>
      </c>
      <c r="C12" s="262" t="s">
        <v>215</v>
      </c>
      <c r="D12" s="261" t="s">
        <v>214</v>
      </c>
      <c r="E12" s="263">
        <v>122856</v>
      </c>
      <c r="F12" s="263" t="s">
        <v>87</v>
      </c>
      <c r="G12" s="263">
        <v>109172</v>
      </c>
      <c r="H12" s="267">
        <f t="shared" si="0"/>
        <v>0.88861756853552121</v>
      </c>
    </row>
    <row r="13" spans="1:8" x14ac:dyDescent="0.3">
      <c r="A13" s="260" t="s">
        <v>167</v>
      </c>
      <c r="B13" s="261" t="s">
        <v>119</v>
      </c>
      <c r="C13" s="262" t="s">
        <v>215</v>
      </c>
      <c r="D13" s="261" t="s">
        <v>214</v>
      </c>
      <c r="E13" s="263">
        <v>155003</v>
      </c>
      <c r="F13" s="263" t="s">
        <v>88</v>
      </c>
      <c r="G13" s="263">
        <v>137738</v>
      </c>
      <c r="H13" s="267">
        <f t="shared" si="0"/>
        <v>0.88861505906337301</v>
      </c>
    </row>
    <row r="14" spans="1:8" x14ac:dyDescent="0.3">
      <c r="A14" s="260" t="s">
        <v>150</v>
      </c>
      <c r="B14" s="261" t="s">
        <v>125</v>
      </c>
      <c r="C14" s="262" t="s">
        <v>370</v>
      </c>
      <c r="D14" s="261" t="s">
        <v>371</v>
      </c>
      <c r="E14" s="263">
        <v>50471</v>
      </c>
      <c r="F14" s="263" t="s">
        <v>87</v>
      </c>
      <c r="G14" s="263">
        <v>44046</v>
      </c>
      <c r="H14" s="267">
        <f t="shared" si="0"/>
        <v>0.87269917378296447</v>
      </c>
    </row>
    <row r="15" spans="1:8" x14ac:dyDescent="0.3">
      <c r="A15" s="260" t="s">
        <v>150</v>
      </c>
      <c r="B15" s="261" t="s">
        <v>125</v>
      </c>
      <c r="C15" s="262" t="s">
        <v>370</v>
      </c>
      <c r="D15" s="261" t="s">
        <v>371</v>
      </c>
      <c r="E15" s="263">
        <v>50471</v>
      </c>
      <c r="F15" s="263" t="s">
        <v>88</v>
      </c>
      <c r="G15" s="263">
        <v>44046</v>
      </c>
      <c r="H15" s="267">
        <f t="shared" si="0"/>
        <v>0.87269917378296447</v>
      </c>
    </row>
    <row r="16" spans="1:8" x14ac:dyDescent="0.3">
      <c r="A16" s="260" t="s">
        <v>188</v>
      </c>
      <c r="B16" s="261" t="s">
        <v>124</v>
      </c>
      <c r="C16" s="262" t="s">
        <v>340</v>
      </c>
      <c r="D16" s="261" t="s">
        <v>341</v>
      </c>
      <c r="E16" s="263">
        <v>62991</v>
      </c>
      <c r="F16" s="263" t="s">
        <v>88</v>
      </c>
      <c r="G16" s="263">
        <v>54535</v>
      </c>
      <c r="H16" s="267">
        <f t="shared" si="0"/>
        <v>0.86575860043498276</v>
      </c>
    </row>
    <row r="17" spans="1:8" x14ac:dyDescent="0.3">
      <c r="A17" s="260" t="s">
        <v>188</v>
      </c>
      <c r="B17" s="261" t="s">
        <v>124</v>
      </c>
      <c r="C17" s="262" t="s">
        <v>340</v>
      </c>
      <c r="D17" s="261" t="s">
        <v>341</v>
      </c>
      <c r="E17" s="263">
        <v>26911</v>
      </c>
      <c r="F17" s="263" t="s">
        <v>87</v>
      </c>
      <c r="G17" s="263">
        <v>23298</v>
      </c>
      <c r="H17" s="267">
        <f t="shared" si="0"/>
        <v>0.86574263312400135</v>
      </c>
    </row>
    <row r="18" spans="1:8" x14ac:dyDescent="0.3">
      <c r="A18" s="260" t="s">
        <v>161</v>
      </c>
      <c r="B18" s="261" t="s">
        <v>128</v>
      </c>
      <c r="C18" s="262" t="s">
        <v>442</v>
      </c>
      <c r="D18" s="261" t="s">
        <v>443</v>
      </c>
      <c r="E18" s="263">
        <v>4067</v>
      </c>
      <c r="F18" s="263" t="s">
        <v>87</v>
      </c>
      <c r="G18" s="263">
        <v>3506</v>
      </c>
      <c r="H18" s="267">
        <f t="shared" si="0"/>
        <v>0.86206048684534053</v>
      </c>
    </row>
    <row r="19" spans="1:8" x14ac:dyDescent="0.3">
      <c r="A19" s="260" t="s">
        <v>161</v>
      </c>
      <c r="B19" s="261" t="s">
        <v>128</v>
      </c>
      <c r="C19" s="262" t="s">
        <v>442</v>
      </c>
      <c r="D19" s="261" t="s">
        <v>443</v>
      </c>
      <c r="E19" s="263">
        <v>4067</v>
      </c>
      <c r="F19" s="263" t="s">
        <v>88</v>
      </c>
      <c r="G19" s="263">
        <v>3506</v>
      </c>
      <c r="H19" s="267">
        <f t="shared" si="0"/>
        <v>0.86206048684534053</v>
      </c>
    </row>
    <row r="20" spans="1:8" x14ac:dyDescent="0.3">
      <c r="A20" s="260" t="s">
        <v>188</v>
      </c>
      <c r="B20" s="261" t="s">
        <v>124</v>
      </c>
      <c r="C20" s="262" t="s">
        <v>362</v>
      </c>
      <c r="D20" s="261" t="s">
        <v>363</v>
      </c>
      <c r="E20" s="263">
        <v>6641</v>
      </c>
      <c r="F20" s="263" t="s">
        <v>88</v>
      </c>
      <c r="G20" s="263">
        <v>5672</v>
      </c>
      <c r="H20" s="267">
        <f t="shared" si="0"/>
        <v>0.85408823972293324</v>
      </c>
    </row>
    <row r="21" spans="1:8" x14ac:dyDescent="0.3">
      <c r="A21" s="260" t="s">
        <v>188</v>
      </c>
      <c r="B21" s="261" t="s">
        <v>124</v>
      </c>
      <c r="C21" s="262" t="s">
        <v>362</v>
      </c>
      <c r="D21" s="261" t="s">
        <v>363</v>
      </c>
      <c r="E21" s="263">
        <v>8373</v>
      </c>
      <c r="F21" s="263" t="s">
        <v>87</v>
      </c>
      <c r="G21" s="263">
        <v>7151</v>
      </c>
      <c r="H21" s="267">
        <f t="shared" si="0"/>
        <v>0.85405469962976233</v>
      </c>
    </row>
    <row r="22" spans="1:8" x14ac:dyDescent="0.3">
      <c r="A22" s="260" t="s">
        <v>188</v>
      </c>
      <c r="B22" s="261" t="s">
        <v>124</v>
      </c>
      <c r="C22" s="262" t="s">
        <v>358</v>
      </c>
      <c r="D22" s="261" t="s">
        <v>359</v>
      </c>
      <c r="E22" s="263">
        <v>483</v>
      </c>
      <c r="F22" s="263" t="s">
        <v>87</v>
      </c>
      <c r="G22" s="263">
        <v>411</v>
      </c>
      <c r="H22" s="267">
        <f t="shared" si="0"/>
        <v>0.85093167701863359</v>
      </c>
    </row>
    <row r="23" spans="1:8" x14ac:dyDescent="0.3">
      <c r="A23" s="260" t="s">
        <v>188</v>
      </c>
      <c r="B23" s="261" t="s">
        <v>124</v>
      </c>
      <c r="C23" s="262" t="s">
        <v>358</v>
      </c>
      <c r="D23" s="261" t="s">
        <v>359</v>
      </c>
      <c r="E23" s="263">
        <v>59211</v>
      </c>
      <c r="F23" s="263" t="s">
        <v>88</v>
      </c>
      <c r="G23" s="263">
        <v>50326</v>
      </c>
      <c r="H23" s="267">
        <f t="shared" si="0"/>
        <v>0.8499434226748408</v>
      </c>
    </row>
    <row r="24" spans="1:8" x14ac:dyDescent="0.3">
      <c r="A24" s="260" t="s">
        <v>141</v>
      </c>
      <c r="B24" s="261" t="s">
        <v>123</v>
      </c>
      <c r="C24" s="262" t="s">
        <v>143</v>
      </c>
      <c r="D24" s="261" t="s">
        <v>142</v>
      </c>
      <c r="E24" s="263">
        <v>67400</v>
      </c>
      <c r="F24" s="263" t="s">
        <v>88</v>
      </c>
      <c r="G24" s="263">
        <v>57065</v>
      </c>
      <c r="H24" s="267">
        <f t="shared" si="0"/>
        <v>0.84666172106824922</v>
      </c>
    </row>
    <row r="25" spans="1:8" x14ac:dyDescent="0.3">
      <c r="A25" s="260" t="s">
        <v>167</v>
      </c>
      <c r="B25" s="261" t="s">
        <v>119</v>
      </c>
      <c r="C25" s="262" t="s">
        <v>229</v>
      </c>
      <c r="D25" s="261" t="s">
        <v>228</v>
      </c>
      <c r="E25" s="263">
        <v>5385</v>
      </c>
      <c r="F25" s="263" t="s">
        <v>87</v>
      </c>
      <c r="G25" s="263">
        <v>4559</v>
      </c>
      <c r="H25" s="267">
        <f t="shared" si="0"/>
        <v>0.84661095636025996</v>
      </c>
    </row>
    <row r="26" spans="1:8" x14ac:dyDescent="0.3">
      <c r="A26" s="260" t="s">
        <v>167</v>
      </c>
      <c r="B26" s="261" t="s">
        <v>119</v>
      </c>
      <c r="C26" s="262" t="s">
        <v>229</v>
      </c>
      <c r="D26" s="261" t="s">
        <v>228</v>
      </c>
      <c r="E26" s="263">
        <v>5385</v>
      </c>
      <c r="F26" s="263" t="s">
        <v>88</v>
      </c>
      <c r="G26" s="263">
        <v>4559</v>
      </c>
      <c r="H26" s="267">
        <f t="shared" si="0"/>
        <v>0.84661095636025996</v>
      </c>
    </row>
    <row r="27" spans="1:8" x14ac:dyDescent="0.3">
      <c r="A27" s="260" t="s">
        <v>150</v>
      </c>
      <c r="B27" s="261" t="s">
        <v>125</v>
      </c>
      <c r="C27" s="262" t="s">
        <v>374</v>
      </c>
      <c r="D27" s="261" t="s">
        <v>375</v>
      </c>
      <c r="E27" s="263">
        <v>18121</v>
      </c>
      <c r="F27" s="263" t="s">
        <v>88</v>
      </c>
      <c r="G27" s="263">
        <v>15323</v>
      </c>
      <c r="H27" s="267">
        <f t="shared" si="0"/>
        <v>0.84559351029192653</v>
      </c>
    </row>
    <row r="28" spans="1:8" x14ac:dyDescent="0.3">
      <c r="A28" s="260" t="s">
        <v>150</v>
      </c>
      <c r="B28" s="261" t="s">
        <v>125</v>
      </c>
      <c r="C28" s="262" t="s">
        <v>374</v>
      </c>
      <c r="D28" s="261" t="s">
        <v>375</v>
      </c>
      <c r="E28" s="263">
        <v>17761</v>
      </c>
      <c r="F28" s="263" t="s">
        <v>87</v>
      </c>
      <c r="G28" s="263">
        <v>15018</v>
      </c>
      <c r="H28" s="267">
        <f t="shared" si="0"/>
        <v>0.84556049771972297</v>
      </c>
    </row>
    <row r="29" spans="1:8" x14ac:dyDescent="0.3">
      <c r="A29" s="260" t="s">
        <v>176</v>
      </c>
      <c r="B29" s="261" t="s">
        <v>127</v>
      </c>
      <c r="C29" s="262" t="s">
        <v>420</v>
      </c>
      <c r="D29" s="261" t="s">
        <v>421</v>
      </c>
      <c r="E29" s="263">
        <v>275</v>
      </c>
      <c r="F29" s="263" t="s">
        <v>88</v>
      </c>
      <c r="G29" s="263">
        <v>229</v>
      </c>
      <c r="H29" s="267">
        <f t="shared" si="0"/>
        <v>0.83272727272727276</v>
      </c>
    </row>
    <row r="30" spans="1:8" x14ac:dyDescent="0.3">
      <c r="A30" s="260" t="s">
        <v>176</v>
      </c>
      <c r="B30" s="261" t="s">
        <v>127</v>
      </c>
      <c r="C30" s="262" t="s">
        <v>420</v>
      </c>
      <c r="D30" s="261" t="s">
        <v>421</v>
      </c>
      <c r="E30" s="263">
        <v>250</v>
      </c>
      <c r="F30" s="263" t="s">
        <v>87</v>
      </c>
      <c r="G30" s="263">
        <v>208</v>
      </c>
      <c r="H30" s="267">
        <f t="shared" si="0"/>
        <v>0.83199999999999996</v>
      </c>
    </row>
    <row r="31" spans="1:8" x14ac:dyDescent="0.3">
      <c r="A31" s="260" t="s">
        <v>141</v>
      </c>
      <c r="B31" s="261" t="s">
        <v>123</v>
      </c>
      <c r="C31" s="262" t="s">
        <v>166</v>
      </c>
      <c r="D31" s="261" t="s">
        <v>165</v>
      </c>
      <c r="E31" s="263">
        <v>169210</v>
      </c>
      <c r="F31" s="263" t="s">
        <v>88</v>
      </c>
      <c r="G31" s="263">
        <v>139538</v>
      </c>
      <c r="H31" s="267">
        <f t="shared" si="0"/>
        <v>0.82464393357366583</v>
      </c>
    </row>
    <row r="32" spans="1:8" x14ac:dyDescent="0.3">
      <c r="A32" s="260" t="s">
        <v>161</v>
      </c>
      <c r="B32" s="261" t="s">
        <v>128</v>
      </c>
      <c r="C32" s="262" t="s">
        <v>430</v>
      </c>
      <c r="D32" s="261" t="s">
        <v>431</v>
      </c>
      <c r="E32" s="263">
        <v>7610</v>
      </c>
      <c r="F32" s="263" t="s">
        <v>87</v>
      </c>
      <c r="G32" s="263">
        <v>6248</v>
      </c>
      <c r="H32" s="267">
        <f t="shared" si="0"/>
        <v>0.82102496714848883</v>
      </c>
    </row>
    <row r="33" spans="1:8" x14ac:dyDescent="0.3">
      <c r="A33" s="260" t="s">
        <v>161</v>
      </c>
      <c r="B33" s="261" t="s">
        <v>128</v>
      </c>
      <c r="C33" s="262" t="s">
        <v>430</v>
      </c>
      <c r="D33" s="261" t="s">
        <v>431</v>
      </c>
      <c r="E33" s="263">
        <v>4155</v>
      </c>
      <c r="F33" s="263" t="s">
        <v>88</v>
      </c>
      <c r="G33" s="263">
        <v>3411</v>
      </c>
      <c r="H33" s="267">
        <f t="shared" si="0"/>
        <v>0.82093862815884477</v>
      </c>
    </row>
    <row r="34" spans="1:8" x14ac:dyDescent="0.3">
      <c r="A34" s="260" t="s">
        <v>185</v>
      </c>
      <c r="B34" s="261" t="s">
        <v>120</v>
      </c>
      <c r="C34" s="262" t="s">
        <v>249</v>
      </c>
      <c r="D34" s="261" t="s">
        <v>248</v>
      </c>
      <c r="E34" s="263">
        <v>189</v>
      </c>
      <c r="F34" s="263" t="s">
        <v>87</v>
      </c>
      <c r="G34" s="263">
        <v>155</v>
      </c>
      <c r="H34" s="267">
        <f t="shared" si="0"/>
        <v>0.82010582010582012</v>
      </c>
    </row>
    <row r="35" spans="1:8" x14ac:dyDescent="0.3">
      <c r="A35" s="260" t="s">
        <v>185</v>
      </c>
      <c r="B35" s="261" t="s">
        <v>120</v>
      </c>
      <c r="C35" s="262" t="s">
        <v>249</v>
      </c>
      <c r="D35" s="261" t="s">
        <v>248</v>
      </c>
      <c r="E35" s="263">
        <v>28505</v>
      </c>
      <c r="F35" s="263" t="s">
        <v>88</v>
      </c>
      <c r="G35" s="263">
        <v>23295</v>
      </c>
      <c r="H35" s="267">
        <f t="shared" si="0"/>
        <v>0.81722504823715136</v>
      </c>
    </row>
    <row r="36" spans="1:8" x14ac:dyDescent="0.3">
      <c r="A36" s="260" t="s">
        <v>176</v>
      </c>
      <c r="B36" s="261" t="s">
        <v>127</v>
      </c>
      <c r="C36" s="262" t="s">
        <v>414</v>
      </c>
      <c r="D36" s="261" t="s">
        <v>415</v>
      </c>
      <c r="E36" s="263">
        <v>240</v>
      </c>
      <c r="F36" s="263" t="s">
        <v>87</v>
      </c>
      <c r="G36" s="263">
        <v>196</v>
      </c>
      <c r="H36" s="267">
        <f t="shared" si="0"/>
        <v>0.81666666666666665</v>
      </c>
    </row>
    <row r="37" spans="1:8" x14ac:dyDescent="0.3">
      <c r="A37" s="260" t="s">
        <v>197</v>
      </c>
      <c r="B37" s="261" t="s">
        <v>126</v>
      </c>
      <c r="C37" s="262" t="s">
        <v>398</v>
      </c>
      <c r="D37" s="261" t="s">
        <v>399</v>
      </c>
      <c r="E37" s="263">
        <v>225999</v>
      </c>
      <c r="F37" s="263" t="s">
        <v>87</v>
      </c>
      <c r="G37" s="263">
        <v>184424</v>
      </c>
      <c r="H37" s="267">
        <f t="shared" si="0"/>
        <v>0.81603900902216386</v>
      </c>
    </row>
    <row r="38" spans="1:8" x14ac:dyDescent="0.3">
      <c r="A38" s="260" t="s">
        <v>197</v>
      </c>
      <c r="B38" s="261" t="s">
        <v>126</v>
      </c>
      <c r="C38" s="262" t="s">
        <v>398</v>
      </c>
      <c r="D38" s="261" t="s">
        <v>399</v>
      </c>
      <c r="E38" s="263">
        <v>133362</v>
      </c>
      <c r="F38" s="263" t="s">
        <v>88</v>
      </c>
      <c r="G38" s="263">
        <v>108828</v>
      </c>
      <c r="H38" s="267">
        <f t="shared" si="0"/>
        <v>0.81603455257119717</v>
      </c>
    </row>
    <row r="39" spans="1:8" x14ac:dyDescent="0.3">
      <c r="A39" s="260" t="s">
        <v>176</v>
      </c>
      <c r="B39" s="261" t="s">
        <v>127</v>
      </c>
      <c r="C39" s="262" t="s">
        <v>414</v>
      </c>
      <c r="D39" s="261" t="s">
        <v>415</v>
      </c>
      <c r="E39" s="263">
        <v>260</v>
      </c>
      <c r="F39" s="263" t="s">
        <v>88</v>
      </c>
      <c r="G39" s="263">
        <v>212</v>
      </c>
      <c r="H39" s="267">
        <f t="shared" si="0"/>
        <v>0.81538461538461537</v>
      </c>
    </row>
    <row r="40" spans="1:8" x14ac:dyDescent="0.3">
      <c r="A40" s="260" t="s">
        <v>167</v>
      </c>
      <c r="B40" s="261" t="s">
        <v>119</v>
      </c>
      <c r="C40" s="262" t="s">
        <v>219</v>
      </c>
      <c r="D40" s="261" t="s">
        <v>218</v>
      </c>
      <c r="E40" s="263">
        <v>65012</v>
      </c>
      <c r="F40" s="263" t="s">
        <v>87</v>
      </c>
      <c r="G40" s="263">
        <v>52519</v>
      </c>
      <c r="H40" s="267">
        <f t="shared" si="0"/>
        <v>0.80783547652741028</v>
      </c>
    </row>
    <row r="41" spans="1:8" x14ac:dyDescent="0.3">
      <c r="A41" s="260" t="s">
        <v>167</v>
      </c>
      <c r="B41" s="261" t="s">
        <v>119</v>
      </c>
      <c r="C41" s="262" t="s">
        <v>219</v>
      </c>
      <c r="D41" s="261" t="s">
        <v>218</v>
      </c>
      <c r="E41" s="263">
        <v>65012</v>
      </c>
      <c r="F41" s="263" t="s">
        <v>88</v>
      </c>
      <c r="G41" s="263">
        <v>52519</v>
      </c>
      <c r="H41" s="267">
        <f t="shared" si="0"/>
        <v>0.80783547652741028</v>
      </c>
    </row>
    <row r="42" spans="1:8" x14ac:dyDescent="0.3">
      <c r="A42" s="260" t="s">
        <v>194</v>
      </c>
      <c r="B42" s="261" t="s">
        <v>135</v>
      </c>
      <c r="C42" s="262" t="s">
        <v>556</v>
      </c>
      <c r="D42" s="261" t="s">
        <v>557</v>
      </c>
      <c r="E42" s="263">
        <v>34417</v>
      </c>
      <c r="F42" s="263" t="s">
        <v>88</v>
      </c>
      <c r="G42" s="263">
        <v>27581</v>
      </c>
      <c r="H42" s="267">
        <f t="shared" si="0"/>
        <v>0.80137722637068887</v>
      </c>
    </row>
    <row r="43" spans="1:8" x14ac:dyDescent="0.3">
      <c r="A43" s="260" t="s">
        <v>194</v>
      </c>
      <c r="B43" s="261" t="s">
        <v>135</v>
      </c>
      <c r="C43" s="262" t="s">
        <v>556</v>
      </c>
      <c r="D43" s="261" t="s">
        <v>557</v>
      </c>
      <c r="E43" s="263">
        <v>38841</v>
      </c>
      <c r="F43" s="263" t="s">
        <v>87</v>
      </c>
      <c r="G43" s="263">
        <v>31126</v>
      </c>
      <c r="H43" s="267">
        <f t="shared" si="0"/>
        <v>0.80136968667130093</v>
      </c>
    </row>
    <row r="44" spans="1:8" x14ac:dyDescent="0.3">
      <c r="A44" s="260" t="s">
        <v>194</v>
      </c>
      <c r="B44" s="261" t="s">
        <v>135</v>
      </c>
      <c r="C44" s="262" t="s">
        <v>548</v>
      </c>
      <c r="D44" s="261" t="s">
        <v>549</v>
      </c>
      <c r="E44" s="263">
        <v>20112</v>
      </c>
      <c r="F44" s="263" t="s">
        <v>87</v>
      </c>
      <c r="G44" s="263">
        <v>16026</v>
      </c>
      <c r="H44" s="267">
        <f t="shared" si="0"/>
        <v>0.79683770883054894</v>
      </c>
    </row>
    <row r="45" spans="1:8" x14ac:dyDescent="0.3">
      <c r="A45" s="260" t="s">
        <v>194</v>
      </c>
      <c r="B45" s="261" t="s">
        <v>135</v>
      </c>
      <c r="C45" s="262" t="s">
        <v>548</v>
      </c>
      <c r="D45" s="261" t="s">
        <v>549</v>
      </c>
      <c r="E45" s="263">
        <v>13758</v>
      </c>
      <c r="F45" s="263" t="s">
        <v>88</v>
      </c>
      <c r="G45" s="263">
        <v>10962</v>
      </c>
      <c r="H45" s="267">
        <f t="shared" si="0"/>
        <v>0.79677278674225904</v>
      </c>
    </row>
    <row r="46" spans="1:8" x14ac:dyDescent="0.3">
      <c r="A46" s="260" t="s">
        <v>194</v>
      </c>
      <c r="B46" s="261" t="s">
        <v>135</v>
      </c>
      <c r="C46" s="262" t="s">
        <v>558</v>
      </c>
      <c r="D46" s="261" t="s">
        <v>559</v>
      </c>
      <c r="E46" s="263">
        <v>19972</v>
      </c>
      <c r="F46" s="263" t="s">
        <v>88</v>
      </c>
      <c r="G46" s="263">
        <v>15894</v>
      </c>
      <c r="H46" s="267">
        <f t="shared" si="0"/>
        <v>0.79581413979571403</v>
      </c>
    </row>
    <row r="47" spans="1:8" x14ac:dyDescent="0.3">
      <c r="A47" s="260" t="s">
        <v>194</v>
      </c>
      <c r="B47" s="261" t="s">
        <v>135</v>
      </c>
      <c r="C47" s="262" t="s">
        <v>558</v>
      </c>
      <c r="D47" s="261" t="s">
        <v>559</v>
      </c>
      <c r="E47" s="263">
        <v>19274</v>
      </c>
      <c r="F47" s="263" t="s">
        <v>87</v>
      </c>
      <c r="G47" s="263">
        <v>15338</v>
      </c>
      <c r="H47" s="267">
        <f t="shared" si="0"/>
        <v>0.79578707066514476</v>
      </c>
    </row>
    <row r="48" spans="1:8" x14ac:dyDescent="0.3">
      <c r="A48" s="260" t="s">
        <v>155</v>
      </c>
      <c r="B48" s="261" t="s">
        <v>122</v>
      </c>
      <c r="C48" s="262" t="s">
        <v>190</v>
      </c>
      <c r="D48" s="261" t="s">
        <v>189</v>
      </c>
      <c r="E48" s="263">
        <v>25240</v>
      </c>
      <c r="F48" s="263" t="s">
        <v>88</v>
      </c>
      <c r="G48" s="263">
        <v>19833</v>
      </c>
      <c r="H48" s="267">
        <f t="shared" si="0"/>
        <v>0.7857765451664025</v>
      </c>
    </row>
    <row r="49" spans="1:8" x14ac:dyDescent="0.3">
      <c r="A49" s="260" t="s">
        <v>155</v>
      </c>
      <c r="B49" s="261" t="s">
        <v>122</v>
      </c>
      <c r="C49" s="262" t="s">
        <v>190</v>
      </c>
      <c r="D49" s="261" t="s">
        <v>189</v>
      </c>
      <c r="E49" s="263">
        <v>30544</v>
      </c>
      <c r="F49" s="263" t="s">
        <v>87</v>
      </c>
      <c r="G49" s="263">
        <v>24000</v>
      </c>
      <c r="H49" s="267">
        <f t="shared" si="0"/>
        <v>0.78575170246202197</v>
      </c>
    </row>
    <row r="50" spans="1:8" x14ac:dyDescent="0.3">
      <c r="A50" s="260" t="s">
        <v>197</v>
      </c>
      <c r="B50" s="261" t="s">
        <v>126</v>
      </c>
      <c r="C50" s="262" t="s">
        <v>394</v>
      </c>
      <c r="D50" s="261" t="s">
        <v>395</v>
      </c>
      <c r="E50" s="263">
        <v>54837</v>
      </c>
      <c r="F50" s="263" t="s">
        <v>88</v>
      </c>
      <c r="G50" s="263">
        <v>43010</v>
      </c>
      <c r="H50" s="267">
        <f t="shared" si="0"/>
        <v>0.78432445246822402</v>
      </c>
    </row>
    <row r="51" spans="1:8" x14ac:dyDescent="0.3">
      <c r="A51" s="260" t="s">
        <v>191</v>
      </c>
      <c r="B51" s="261" t="s">
        <v>121</v>
      </c>
      <c r="C51" s="262" t="s">
        <v>275</v>
      </c>
      <c r="D51" s="261" t="s">
        <v>274</v>
      </c>
      <c r="E51" s="263">
        <v>3105</v>
      </c>
      <c r="F51" s="263" t="s">
        <v>87</v>
      </c>
      <c r="G51" s="263">
        <v>2423</v>
      </c>
      <c r="H51" s="267">
        <f t="shared" si="0"/>
        <v>0.78035426731078905</v>
      </c>
    </row>
    <row r="52" spans="1:8" x14ac:dyDescent="0.3">
      <c r="A52" s="260" t="s">
        <v>191</v>
      </c>
      <c r="B52" s="261" t="s">
        <v>121</v>
      </c>
      <c r="C52" s="262" t="s">
        <v>275</v>
      </c>
      <c r="D52" s="261" t="s">
        <v>274</v>
      </c>
      <c r="E52" s="263">
        <v>3105</v>
      </c>
      <c r="F52" s="263" t="s">
        <v>88</v>
      </c>
      <c r="G52" s="263">
        <v>2423</v>
      </c>
      <c r="H52" s="267">
        <f t="shared" si="0"/>
        <v>0.78035426731078905</v>
      </c>
    </row>
    <row r="53" spans="1:8" x14ac:dyDescent="0.3">
      <c r="A53" s="260" t="s">
        <v>188</v>
      </c>
      <c r="B53" s="261" t="s">
        <v>124</v>
      </c>
      <c r="C53" s="262" t="s">
        <v>352</v>
      </c>
      <c r="D53" s="261" t="s">
        <v>353</v>
      </c>
      <c r="E53" s="263">
        <v>39030</v>
      </c>
      <c r="F53" s="263" t="s">
        <v>88</v>
      </c>
      <c r="G53" s="263">
        <v>30198</v>
      </c>
      <c r="H53" s="267">
        <f t="shared" si="0"/>
        <v>0.77371252882398156</v>
      </c>
    </row>
    <row r="54" spans="1:8" x14ac:dyDescent="0.3">
      <c r="A54" s="260" t="s">
        <v>188</v>
      </c>
      <c r="B54" s="261" t="s">
        <v>124</v>
      </c>
      <c r="C54" s="262" t="s">
        <v>352</v>
      </c>
      <c r="D54" s="261" t="s">
        <v>353</v>
      </c>
      <c r="E54" s="263">
        <v>477</v>
      </c>
      <c r="F54" s="263" t="s">
        <v>87</v>
      </c>
      <c r="G54" s="263">
        <v>369</v>
      </c>
      <c r="H54" s="267">
        <f t="shared" si="0"/>
        <v>0.77358490566037741</v>
      </c>
    </row>
    <row r="55" spans="1:8" x14ac:dyDescent="0.3">
      <c r="A55" s="260" t="s">
        <v>150</v>
      </c>
      <c r="B55" s="261" t="s">
        <v>125</v>
      </c>
      <c r="C55" s="262" t="s">
        <v>378</v>
      </c>
      <c r="D55" s="261" t="s">
        <v>379</v>
      </c>
      <c r="E55" s="263">
        <v>21640</v>
      </c>
      <c r="F55" s="263" t="s">
        <v>87</v>
      </c>
      <c r="G55" s="263">
        <v>16422</v>
      </c>
      <c r="H55" s="267">
        <f t="shared" si="0"/>
        <v>0.75887245841035122</v>
      </c>
    </row>
    <row r="56" spans="1:8" x14ac:dyDescent="0.3">
      <c r="A56" s="260" t="s">
        <v>150</v>
      </c>
      <c r="B56" s="261" t="s">
        <v>125</v>
      </c>
      <c r="C56" s="262" t="s">
        <v>378</v>
      </c>
      <c r="D56" s="261" t="s">
        <v>379</v>
      </c>
      <c r="E56" s="263">
        <v>21640</v>
      </c>
      <c r="F56" s="263" t="s">
        <v>88</v>
      </c>
      <c r="G56" s="263">
        <v>16422</v>
      </c>
      <c r="H56" s="267">
        <f t="shared" si="0"/>
        <v>0.75887245841035122</v>
      </c>
    </row>
    <row r="57" spans="1:8" x14ac:dyDescent="0.3">
      <c r="A57" s="260" t="s">
        <v>191</v>
      </c>
      <c r="B57" s="261" t="s">
        <v>121</v>
      </c>
      <c r="C57" s="262" t="s">
        <v>283</v>
      </c>
      <c r="D57" s="261" t="s">
        <v>282</v>
      </c>
      <c r="E57" s="263">
        <v>70720</v>
      </c>
      <c r="F57" s="263" t="s">
        <v>88</v>
      </c>
      <c r="G57" s="263">
        <v>53316</v>
      </c>
      <c r="H57" s="267">
        <f t="shared" si="0"/>
        <v>0.75390271493212668</v>
      </c>
    </row>
    <row r="58" spans="1:8" x14ac:dyDescent="0.3">
      <c r="A58" s="260" t="s">
        <v>155</v>
      </c>
      <c r="B58" s="261" t="s">
        <v>122</v>
      </c>
      <c r="C58" s="262" t="s">
        <v>187</v>
      </c>
      <c r="D58" s="261" t="s">
        <v>186</v>
      </c>
      <c r="E58" s="263">
        <v>67220</v>
      </c>
      <c r="F58" s="263" t="s">
        <v>88</v>
      </c>
      <c r="G58" s="263">
        <v>50323</v>
      </c>
      <c r="H58" s="267">
        <f t="shared" si="0"/>
        <v>0.74863135971437067</v>
      </c>
    </row>
    <row r="59" spans="1:8" x14ac:dyDescent="0.3">
      <c r="A59" s="260" t="s">
        <v>155</v>
      </c>
      <c r="B59" s="261" t="s">
        <v>122</v>
      </c>
      <c r="C59" s="262" t="s">
        <v>187</v>
      </c>
      <c r="D59" s="261" t="s">
        <v>186</v>
      </c>
      <c r="E59" s="263">
        <v>85220</v>
      </c>
      <c r="F59" s="263" t="s">
        <v>87</v>
      </c>
      <c r="G59" s="263">
        <v>63798</v>
      </c>
      <c r="H59" s="267">
        <f t="shared" si="0"/>
        <v>0.74862708284440271</v>
      </c>
    </row>
    <row r="60" spans="1:8" x14ac:dyDescent="0.3">
      <c r="A60" s="260" t="s">
        <v>185</v>
      </c>
      <c r="B60" s="261" t="s">
        <v>120</v>
      </c>
      <c r="C60" s="262" t="s">
        <v>241</v>
      </c>
      <c r="D60" s="261" t="s">
        <v>240</v>
      </c>
      <c r="E60" s="263">
        <v>3835</v>
      </c>
      <c r="F60" s="263" t="s">
        <v>88</v>
      </c>
      <c r="G60" s="263">
        <v>2866</v>
      </c>
      <c r="H60" s="267">
        <f t="shared" si="0"/>
        <v>0.7473272490221643</v>
      </c>
    </row>
    <row r="61" spans="1:8" x14ac:dyDescent="0.3">
      <c r="A61" s="260" t="s">
        <v>185</v>
      </c>
      <c r="B61" s="261" t="s">
        <v>120</v>
      </c>
      <c r="C61" s="262" t="s">
        <v>241</v>
      </c>
      <c r="D61" s="261" t="s">
        <v>240</v>
      </c>
      <c r="E61" s="263">
        <v>7079</v>
      </c>
      <c r="F61" s="263" t="s">
        <v>87</v>
      </c>
      <c r="G61" s="263">
        <v>5289</v>
      </c>
      <c r="H61" s="267">
        <f t="shared" si="0"/>
        <v>0.74713942647266562</v>
      </c>
    </row>
    <row r="62" spans="1:8" x14ac:dyDescent="0.3">
      <c r="A62" s="260" t="s">
        <v>167</v>
      </c>
      <c r="B62" s="261" t="s">
        <v>119</v>
      </c>
      <c r="C62" s="262" t="s">
        <v>227</v>
      </c>
      <c r="D62" s="261" t="s">
        <v>226</v>
      </c>
      <c r="E62" s="263">
        <v>215994</v>
      </c>
      <c r="F62" s="263" t="s">
        <v>88</v>
      </c>
      <c r="G62" s="263">
        <v>160932</v>
      </c>
      <c r="H62" s="267">
        <f t="shared" si="0"/>
        <v>0.74507625211811435</v>
      </c>
    </row>
    <row r="63" spans="1:8" x14ac:dyDescent="0.3">
      <c r="A63" s="260" t="s">
        <v>167</v>
      </c>
      <c r="B63" s="261" t="s">
        <v>119</v>
      </c>
      <c r="C63" s="262" t="s">
        <v>211</v>
      </c>
      <c r="D63" s="261" t="s">
        <v>210</v>
      </c>
      <c r="E63" s="263">
        <v>82555</v>
      </c>
      <c r="F63" s="263" t="s">
        <v>87</v>
      </c>
      <c r="G63" s="263">
        <v>61047</v>
      </c>
      <c r="H63" s="267">
        <f t="shared" si="0"/>
        <v>0.73947065592635208</v>
      </c>
    </row>
    <row r="64" spans="1:8" x14ac:dyDescent="0.3">
      <c r="A64" s="260" t="s">
        <v>167</v>
      </c>
      <c r="B64" s="261" t="s">
        <v>119</v>
      </c>
      <c r="C64" s="262" t="s">
        <v>211</v>
      </c>
      <c r="D64" s="261" t="s">
        <v>210</v>
      </c>
      <c r="E64" s="263">
        <v>82555</v>
      </c>
      <c r="F64" s="263" t="s">
        <v>88</v>
      </c>
      <c r="G64" s="263">
        <v>61047</v>
      </c>
      <c r="H64" s="267">
        <f t="shared" si="0"/>
        <v>0.73947065592635208</v>
      </c>
    </row>
    <row r="65" spans="1:8" x14ac:dyDescent="0.3">
      <c r="A65" s="260" t="s">
        <v>194</v>
      </c>
      <c r="B65" s="261" t="s">
        <v>135</v>
      </c>
      <c r="C65" s="262" t="s">
        <v>560</v>
      </c>
      <c r="D65" s="261" t="s">
        <v>561</v>
      </c>
      <c r="E65" s="263">
        <v>21146</v>
      </c>
      <c r="F65" s="263" t="s">
        <v>87</v>
      </c>
      <c r="G65" s="263">
        <v>15597</v>
      </c>
      <c r="H65" s="267">
        <f t="shared" si="0"/>
        <v>0.73758630473848485</v>
      </c>
    </row>
    <row r="66" spans="1:8" x14ac:dyDescent="0.3">
      <c r="A66" s="260" t="s">
        <v>194</v>
      </c>
      <c r="B66" s="261" t="s">
        <v>135</v>
      </c>
      <c r="C66" s="262" t="s">
        <v>560</v>
      </c>
      <c r="D66" s="261" t="s">
        <v>561</v>
      </c>
      <c r="E66" s="263">
        <v>21146</v>
      </c>
      <c r="F66" s="263" t="s">
        <v>88</v>
      </c>
      <c r="G66" s="263">
        <v>15597</v>
      </c>
      <c r="H66" s="267">
        <f t="shared" si="0"/>
        <v>0.73758630473848485</v>
      </c>
    </row>
    <row r="67" spans="1:8" x14ac:dyDescent="0.3">
      <c r="A67" s="260" t="s">
        <v>194</v>
      </c>
      <c r="B67" s="261" t="s">
        <v>135</v>
      </c>
      <c r="C67" s="262" t="s">
        <v>566</v>
      </c>
      <c r="D67" s="261" t="s">
        <v>567</v>
      </c>
      <c r="E67" s="263">
        <v>16580</v>
      </c>
      <c r="F67" s="263" t="s">
        <v>87</v>
      </c>
      <c r="G67" s="263">
        <v>12228</v>
      </c>
      <c r="H67" s="267">
        <f t="shared" si="0"/>
        <v>0.73751507840772013</v>
      </c>
    </row>
    <row r="68" spans="1:8" x14ac:dyDescent="0.3">
      <c r="A68" s="260" t="s">
        <v>194</v>
      </c>
      <c r="B68" s="261" t="s">
        <v>135</v>
      </c>
      <c r="C68" s="262" t="s">
        <v>566</v>
      </c>
      <c r="D68" s="261" t="s">
        <v>567</v>
      </c>
      <c r="E68" s="263">
        <v>8023</v>
      </c>
      <c r="F68" s="263" t="s">
        <v>88</v>
      </c>
      <c r="G68" s="263">
        <v>5917</v>
      </c>
      <c r="H68" s="267">
        <f t="shared" ref="H68:H131" si="1">IF(E68&lt;&gt;0,G68/E68,0)</f>
        <v>0.73750467406207154</v>
      </c>
    </row>
    <row r="69" spans="1:8" x14ac:dyDescent="0.3">
      <c r="A69" s="260" t="s">
        <v>185</v>
      </c>
      <c r="B69" s="261" t="s">
        <v>120</v>
      </c>
      <c r="C69" s="262" t="s">
        <v>267</v>
      </c>
      <c r="D69" s="261" t="s">
        <v>266</v>
      </c>
      <c r="E69" s="263">
        <v>167630</v>
      </c>
      <c r="F69" s="263" t="s">
        <v>87</v>
      </c>
      <c r="G69" s="263">
        <v>121625</v>
      </c>
      <c r="H69" s="267">
        <f t="shared" si="1"/>
        <v>0.72555628467458089</v>
      </c>
    </row>
    <row r="70" spans="1:8" x14ac:dyDescent="0.3">
      <c r="A70" s="260" t="s">
        <v>185</v>
      </c>
      <c r="B70" s="261" t="s">
        <v>120</v>
      </c>
      <c r="C70" s="262" t="s">
        <v>267</v>
      </c>
      <c r="D70" s="261" t="s">
        <v>266</v>
      </c>
      <c r="E70" s="263">
        <v>327705</v>
      </c>
      <c r="F70" s="263" t="s">
        <v>88</v>
      </c>
      <c r="G70" s="263">
        <v>237768</v>
      </c>
      <c r="H70" s="267">
        <f t="shared" si="1"/>
        <v>0.72555499610930563</v>
      </c>
    </row>
    <row r="71" spans="1:8" x14ac:dyDescent="0.3">
      <c r="A71" s="260" t="s">
        <v>155</v>
      </c>
      <c r="B71" s="261" t="s">
        <v>122</v>
      </c>
      <c r="C71" s="262" t="s">
        <v>184</v>
      </c>
      <c r="D71" s="261" t="s">
        <v>183</v>
      </c>
      <c r="E71" s="263">
        <v>46868</v>
      </c>
      <c r="F71" s="263" t="s">
        <v>87</v>
      </c>
      <c r="G71" s="263">
        <v>33943</v>
      </c>
      <c r="H71" s="267">
        <f t="shared" si="1"/>
        <v>0.72422548433899459</v>
      </c>
    </row>
    <row r="72" spans="1:8" x14ac:dyDescent="0.3">
      <c r="A72" s="260" t="s">
        <v>155</v>
      </c>
      <c r="B72" s="261" t="s">
        <v>122</v>
      </c>
      <c r="C72" s="262" t="s">
        <v>184</v>
      </c>
      <c r="D72" s="261" t="s">
        <v>183</v>
      </c>
      <c r="E72" s="263">
        <v>45046</v>
      </c>
      <c r="F72" s="263" t="s">
        <v>88</v>
      </c>
      <c r="G72" s="263">
        <v>32623</v>
      </c>
      <c r="H72" s="267">
        <f t="shared" si="1"/>
        <v>0.72421524663677128</v>
      </c>
    </row>
    <row r="73" spans="1:8" x14ac:dyDescent="0.3">
      <c r="A73" s="260" t="s">
        <v>155</v>
      </c>
      <c r="B73" s="261" t="s">
        <v>122</v>
      </c>
      <c r="C73" s="262" t="s">
        <v>178</v>
      </c>
      <c r="D73" s="261" t="s">
        <v>177</v>
      </c>
      <c r="E73" s="263">
        <v>120603</v>
      </c>
      <c r="F73" s="263" t="s">
        <v>87</v>
      </c>
      <c r="G73" s="263">
        <v>86508</v>
      </c>
      <c r="H73" s="267">
        <f t="shared" si="1"/>
        <v>0.71729558966194873</v>
      </c>
    </row>
    <row r="74" spans="1:8" x14ac:dyDescent="0.3">
      <c r="A74" s="260" t="s">
        <v>155</v>
      </c>
      <c r="B74" s="261" t="s">
        <v>122</v>
      </c>
      <c r="C74" s="262" t="s">
        <v>178</v>
      </c>
      <c r="D74" s="261" t="s">
        <v>177</v>
      </c>
      <c r="E74" s="263">
        <v>192090</v>
      </c>
      <c r="F74" s="263" t="s">
        <v>88</v>
      </c>
      <c r="G74" s="263">
        <v>137785</v>
      </c>
      <c r="H74" s="267">
        <f t="shared" si="1"/>
        <v>0.71729397678171691</v>
      </c>
    </row>
    <row r="75" spans="1:8" x14ac:dyDescent="0.3">
      <c r="A75" s="260" t="s">
        <v>176</v>
      </c>
      <c r="B75" s="261" t="s">
        <v>127</v>
      </c>
      <c r="C75" s="262" t="s">
        <v>416</v>
      </c>
      <c r="D75" s="261" t="s">
        <v>417</v>
      </c>
      <c r="E75" s="263">
        <v>2130</v>
      </c>
      <c r="F75" s="263" t="s">
        <v>87</v>
      </c>
      <c r="G75" s="263">
        <v>1487</v>
      </c>
      <c r="H75" s="267">
        <f t="shared" si="1"/>
        <v>0.69812206572769953</v>
      </c>
    </row>
    <row r="76" spans="1:8" x14ac:dyDescent="0.3">
      <c r="A76" s="260" t="s">
        <v>176</v>
      </c>
      <c r="B76" s="261" t="s">
        <v>127</v>
      </c>
      <c r="C76" s="262" t="s">
        <v>416</v>
      </c>
      <c r="D76" s="261" t="s">
        <v>417</v>
      </c>
      <c r="E76" s="263">
        <v>2335</v>
      </c>
      <c r="F76" s="263" t="s">
        <v>88</v>
      </c>
      <c r="G76" s="263">
        <v>1630</v>
      </c>
      <c r="H76" s="267">
        <f t="shared" si="1"/>
        <v>0.69807280513918635</v>
      </c>
    </row>
    <row r="77" spans="1:8" x14ac:dyDescent="0.3">
      <c r="A77" s="260" t="s">
        <v>158</v>
      </c>
      <c r="B77" s="261" t="s">
        <v>129</v>
      </c>
      <c r="C77" s="262" t="s">
        <v>452</v>
      </c>
      <c r="D77" s="261" t="s">
        <v>453</v>
      </c>
      <c r="E77" s="263">
        <v>51406</v>
      </c>
      <c r="F77" s="263" t="s">
        <v>88</v>
      </c>
      <c r="G77" s="263">
        <v>35836</v>
      </c>
      <c r="H77" s="267">
        <f t="shared" si="1"/>
        <v>0.69711706804653151</v>
      </c>
    </row>
    <row r="78" spans="1:8" x14ac:dyDescent="0.3">
      <c r="A78" s="260" t="s">
        <v>158</v>
      </c>
      <c r="B78" s="261" t="s">
        <v>129</v>
      </c>
      <c r="C78" s="262" t="s">
        <v>452</v>
      </c>
      <c r="D78" s="261" t="s">
        <v>453</v>
      </c>
      <c r="E78" s="263">
        <v>50846</v>
      </c>
      <c r="F78" s="263" t="s">
        <v>87</v>
      </c>
      <c r="G78" s="263">
        <v>35445</v>
      </c>
      <c r="H78" s="267">
        <f t="shared" si="1"/>
        <v>0.69710498367619866</v>
      </c>
    </row>
    <row r="79" spans="1:8" x14ac:dyDescent="0.3">
      <c r="A79" s="260" t="s">
        <v>167</v>
      </c>
      <c r="B79" s="261" t="s">
        <v>119</v>
      </c>
      <c r="C79" s="262" t="s">
        <v>205</v>
      </c>
      <c r="D79" s="261" t="s">
        <v>204</v>
      </c>
      <c r="E79" s="263">
        <v>13075</v>
      </c>
      <c r="F79" s="263" t="s">
        <v>87</v>
      </c>
      <c r="G79" s="263">
        <v>9042</v>
      </c>
      <c r="H79" s="267">
        <f t="shared" si="1"/>
        <v>0.69154875717017206</v>
      </c>
    </row>
    <row r="80" spans="1:8" x14ac:dyDescent="0.3">
      <c r="A80" s="260" t="s">
        <v>167</v>
      </c>
      <c r="B80" s="261" t="s">
        <v>119</v>
      </c>
      <c r="C80" s="262" t="s">
        <v>205</v>
      </c>
      <c r="D80" s="261" t="s">
        <v>204</v>
      </c>
      <c r="E80" s="263">
        <v>13075</v>
      </c>
      <c r="F80" s="263" t="s">
        <v>88</v>
      </c>
      <c r="G80" s="263">
        <v>9042</v>
      </c>
      <c r="H80" s="267">
        <f t="shared" si="1"/>
        <v>0.69154875717017206</v>
      </c>
    </row>
    <row r="81" spans="1:8" x14ac:dyDescent="0.3">
      <c r="A81" s="260" t="s">
        <v>155</v>
      </c>
      <c r="B81" s="261" t="s">
        <v>122</v>
      </c>
      <c r="C81" s="262" t="s">
        <v>175</v>
      </c>
      <c r="D81" s="261" t="s">
        <v>174</v>
      </c>
      <c r="E81" s="263">
        <v>200270</v>
      </c>
      <c r="F81" s="263" t="s">
        <v>88</v>
      </c>
      <c r="G81" s="263">
        <v>136782</v>
      </c>
      <c r="H81" s="267">
        <f t="shared" si="1"/>
        <v>0.68298796624556846</v>
      </c>
    </row>
    <row r="82" spans="1:8" x14ac:dyDescent="0.3">
      <c r="A82" s="260" t="s">
        <v>155</v>
      </c>
      <c r="B82" s="261" t="s">
        <v>122</v>
      </c>
      <c r="C82" s="262" t="s">
        <v>175</v>
      </c>
      <c r="D82" s="261" t="s">
        <v>174</v>
      </c>
      <c r="E82" s="263">
        <v>62149</v>
      </c>
      <c r="F82" s="263" t="s">
        <v>87</v>
      </c>
      <c r="G82" s="263">
        <v>42447</v>
      </c>
      <c r="H82" s="267">
        <f t="shared" si="1"/>
        <v>0.68298765869120981</v>
      </c>
    </row>
    <row r="83" spans="1:8" x14ac:dyDescent="0.3">
      <c r="A83" s="260" t="s">
        <v>185</v>
      </c>
      <c r="B83" s="261" t="s">
        <v>120</v>
      </c>
      <c r="C83" s="262" t="s">
        <v>265</v>
      </c>
      <c r="D83" s="261" t="s">
        <v>264</v>
      </c>
      <c r="E83" s="263">
        <v>473048</v>
      </c>
      <c r="F83" s="263" t="s">
        <v>88</v>
      </c>
      <c r="G83" s="263">
        <v>319611</v>
      </c>
      <c r="H83" s="267">
        <f t="shared" si="1"/>
        <v>0.67564179533577984</v>
      </c>
    </row>
    <row r="84" spans="1:8" x14ac:dyDescent="0.3">
      <c r="A84" s="260" t="s">
        <v>176</v>
      </c>
      <c r="B84" s="261" t="s">
        <v>127</v>
      </c>
      <c r="C84" s="262" t="s">
        <v>402</v>
      </c>
      <c r="D84" s="261" t="s">
        <v>403</v>
      </c>
      <c r="E84" s="263">
        <v>1160</v>
      </c>
      <c r="F84" s="263" t="s">
        <v>87</v>
      </c>
      <c r="G84" s="263">
        <v>777</v>
      </c>
      <c r="H84" s="267">
        <f t="shared" si="1"/>
        <v>0.66982758620689653</v>
      </c>
    </row>
    <row r="85" spans="1:8" x14ac:dyDescent="0.3">
      <c r="A85" s="260" t="s">
        <v>176</v>
      </c>
      <c r="B85" s="261" t="s">
        <v>127</v>
      </c>
      <c r="C85" s="262" t="s">
        <v>402</v>
      </c>
      <c r="D85" s="261" t="s">
        <v>403</v>
      </c>
      <c r="E85" s="263">
        <v>1595</v>
      </c>
      <c r="F85" s="263" t="s">
        <v>88</v>
      </c>
      <c r="G85" s="263">
        <v>1068</v>
      </c>
      <c r="H85" s="267">
        <f t="shared" si="1"/>
        <v>0.6695924764890282</v>
      </c>
    </row>
    <row r="86" spans="1:8" x14ac:dyDescent="0.3">
      <c r="A86" s="260" t="s">
        <v>185</v>
      </c>
      <c r="B86" s="261" t="s">
        <v>120</v>
      </c>
      <c r="C86" s="262" t="s">
        <v>237</v>
      </c>
      <c r="D86" s="261" t="s">
        <v>236</v>
      </c>
      <c r="E86" s="263">
        <v>153958</v>
      </c>
      <c r="F86" s="263" t="s">
        <v>87</v>
      </c>
      <c r="G86" s="263">
        <v>102181</v>
      </c>
      <c r="H86" s="267">
        <f t="shared" si="1"/>
        <v>0.66369399446602317</v>
      </c>
    </row>
    <row r="87" spans="1:8" x14ac:dyDescent="0.3">
      <c r="A87" s="260" t="s">
        <v>185</v>
      </c>
      <c r="B87" s="261" t="s">
        <v>120</v>
      </c>
      <c r="C87" s="262" t="s">
        <v>237</v>
      </c>
      <c r="D87" s="261" t="s">
        <v>236</v>
      </c>
      <c r="E87" s="263">
        <v>153958</v>
      </c>
      <c r="F87" s="263" t="s">
        <v>88</v>
      </c>
      <c r="G87" s="263">
        <v>102181</v>
      </c>
      <c r="H87" s="267">
        <f t="shared" si="1"/>
        <v>0.66369399446602317</v>
      </c>
    </row>
    <row r="88" spans="1:8" x14ac:dyDescent="0.3">
      <c r="A88" s="260" t="s">
        <v>167</v>
      </c>
      <c r="B88" s="261" t="s">
        <v>119</v>
      </c>
      <c r="C88" s="262" t="s">
        <v>196</v>
      </c>
      <c r="D88" s="261" t="s">
        <v>195</v>
      </c>
      <c r="E88" s="263">
        <v>30263</v>
      </c>
      <c r="F88" s="263" t="s">
        <v>87</v>
      </c>
      <c r="G88" s="263">
        <v>19904</v>
      </c>
      <c r="H88" s="267">
        <f t="shared" si="1"/>
        <v>0.65770082278690145</v>
      </c>
    </row>
    <row r="89" spans="1:8" x14ac:dyDescent="0.3">
      <c r="A89" s="260" t="s">
        <v>167</v>
      </c>
      <c r="B89" s="261" t="s">
        <v>119</v>
      </c>
      <c r="C89" s="262" t="s">
        <v>196</v>
      </c>
      <c r="D89" s="261" t="s">
        <v>195</v>
      </c>
      <c r="E89" s="263">
        <v>124035</v>
      </c>
      <c r="F89" s="263" t="s">
        <v>88</v>
      </c>
      <c r="G89" s="263">
        <v>81577</v>
      </c>
      <c r="H89" s="267">
        <f t="shared" si="1"/>
        <v>0.65769339299391305</v>
      </c>
    </row>
    <row r="90" spans="1:8" x14ac:dyDescent="0.3">
      <c r="A90" s="260" t="s">
        <v>150</v>
      </c>
      <c r="B90" s="261" t="s">
        <v>125</v>
      </c>
      <c r="C90" s="262" t="s">
        <v>380</v>
      </c>
      <c r="D90" s="261" t="s">
        <v>381</v>
      </c>
      <c r="E90" s="263">
        <v>33794</v>
      </c>
      <c r="F90" s="263" t="s">
        <v>87</v>
      </c>
      <c r="G90" s="263">
        <v>22198</v>
      </c>
      <c r="H90" s="267">
        <f t="shared" si="1"/>
        <v>0.65686216488133986</v>
      </c>
    </row>
    <row r="91" spans="1:8" x14ac:dyDescent="0.3">
      <c r="A91" s="260" t="s">
        <v>150</v>
      </c>
      <c r="B91" s="261" t="s">
        <v>125</v>
      </c>
      <c r="C91" s="262" t="s">
        <v>380</v>
      </c>
      <c r="D91" s="261" t="s">
        <v>381</v>
      </c>
      <c r="E91" s="263">
        <v>34059</v>
      </c>
      <c r="F91" s="263" t="s">
        <v>88</v>
      </c>
      <c r="G91" s="263">
        <v>22372</v>
      </c>
      <c r="H91" s="267">
        <f t="shared" si="1"/>
        <v>0.65686015443788714</v>
      </c>
    </row>
    <row r="92" spans="1:8" x14ac:dyDescent="0.3">
      <c r="A92" s="260" t="s">
        <v>194</v>
      </c>
      <c r="B92" s="261" t="s">
        <v>135</v>
      </c>
      <c r="C92" s="262" t="s">
        <v>550</v>
      </c>
      <c r="D92" s="261" t="s">
        <v>551</v>
      </c>
      <c r="E92" s="263">
        <v>31416</v>
      </c>
      <c r="F92" s="263" t="s">
        <v>88</v>
      </c>
      <c r="G92" s="263">
        <v>20590</v>
      </c>
      <c r="H92" s="267">
        <f t="shared" si="1"/>
        <v>0.65539852304558188</v>
      </c>
    </row>
    <row r="93" spans="1:8" x14ac:dyDescent="0.3">
      <c r="A93" s="260" t="s">
        <v>194</v>
      </c>
      <c r="B93" s="261" t="s">
        <v>135</v>
      </c>
      <c r="C93" s="262" t="s">
        <v>550</v>
      </c>
      <c r="D93" s="261" t="s">
        <v>551</v>
      </c>
      <c r="E93" s="263">
        <v>29010</v>
      </c>
      <c r="F93" s="263" t="s">
        <v>87</v>
      </c>
      <c r="G93" s="263">
        <v>19013</v>
      </c>
      <c r="H93" s="267">
        <f t="shared" si="1"/>
        <v>0.65539469148569462</v>
      </c>
    </row>
    <row r="94" spans="1:8" x14ac:dyDescent="0.3">
      <c r="A94" s="260" t="s">
        <v>188</v>
      </c>
      <c r="B94" s="261" t="s">
        <v>124</v>
      </c>
      <c r="C94" s="262" t="s">
        <v>366</v>
      </c>
      <c r="D94" s="261" t="s">
        <v>367</v>
      </c>
      <c r="E94" s="263">
        <v>4781</v>
      </c>
      <c r="F94" s="263" t="s">
        <v>87</v>
      </c>
      <c r="G94" s="263">
        <v>3117</v>
      </c>
      <c r="H94" s="267">
        <f t="shared" si="1"/>
        <v>0.65195565781217324</v>
      </c>
    </row>
    <row r="95" spans="1:8" x14ac:dyDescent="0.3">
      <c r="A95" s="260" t="s">
        <v>188</v>
      </c>
      <c r="B95" s="261" t="s">
        <v>124</v>
      </c>
      <c r="C95" s="262" t="s">
        <v>366</v>
      </c>
      <c r="D95" s="261" t="s">
        <v>367</v>
      </c>
      <c r="E95" s="263">
        <v>4781</v>
      </c>
      <c r="F95" s="263" t="s">
        <v>88</v>
      </c>
      <c r="G95" s="263">
        <v>3117</v>
      </c>
      <c r="H95" s="267">
        <f t="shared" si="1"/>
        <v>0.65195565781217324</v>
      </c>
    </row>
    <row r="96" spans="1:8" x14ac:dyDescent="0.3">
      <c r="A96" s="260" t="s">
        <v>176</v>
      </c>
      <c r="B96" s="261" t="s">
        <v>127</v>
      </c>
      <c r="C96" s="262" t="s">
        <v>410</v>
      </c>
      <c r="D96" s="261" t="s">
        <v>411</v>
      </c>
      <c r="E96" s="263">
        <v>345</v>
      </c>
      <c r="F96" s="263" t="s">
        <v>87</v>
      </c>
      <c r="G96" s="263">
        <v>222</v>
      </c>
      <c r="H96" s="267">
        <f t="shared" si="1"/>
        <v>0.64347826086956517</v>
      </c>
    </row>
    <row r="97" spans="1:8" x14ac:dyDescent="0.3">
      <c r="A97" s="260" t="s">
        <v>176</v>
      </c>
      <c r="B97" s="261" t="s">
        <v>127</v>
      </c>
      <c r="C97" s="262" t="s">
        <v>410</v>
      </c>
      <c r="D97" s="261" t="s">
        <v>411</v>
      </c>
      <c r="E97" s="263">
        <v>280</v>
      </c>
      <c r="F97" s="263" t="s">
        <v>88</v>
      </c>
      <c r="G97" s="263">
        <v>180</v>
      </c>
      <c r="H97" s="267">
        <f t="shared" si="1"/>
        <v>0.6428571428571429</v>
      </c>
    </row>
    <row r="98" spans="1:8" x14ac:dyDescent="0.3">
      <c r="A98" s="260" t="s">
        <v>176</v>
      </c>
      <c r="B98" s="261" t="s">
        <v>127</v>
      </c>
      <c r="C98" s="262" t="s">
        <v>404</v>
      </c>
      <c r="D98" s="261" t="s">
        <v>405</v>
      </c>
      <c r="E98" s="263">
        <v>239573</v>
      </c>
      <c r="F98" s="263" t="s">
        <v>88</v>
      </c>
      <c r="G98" s="263">
        <v>153124</v>
      </c>
      <c r="H98" s="267">
        <f t="shared" si="1"/>
        <v>0.63915382785205344</v>
      </c>
    </row>
    <row r="99" spans="1:8" x14ac:dyDescent="0.3">
      <c r="A99" s="260" t="s">
        <v>176</v>
      </c>
      <c r="B99" s="261" t="s">
        <v>127</v>
      </c>
      <c r="C99" s="262" t="s">
        <v>404</v>
      </c>
      <c r="D99" s="261" t="s">
        <v>405</v>
      </c>
      <c r="E99" s="263">
        <v>257748</v>
      </c>
      <c r="F99" s="263" t="s">
        <v>87</v>
      </c>
      <c r="G99" s="263">
        <v>164740</v>
      </c>
      <c r="H99" s="267">
        <f t="shared" si="1"/>
        <v>0.63915141921566798</v>
      </c>
    </row>
    <row r="100" spans="1:8" x14ac:dyDescent="0.3">
      <c r="A100" s="260" t="s">
        <v>141</v>
      </c>
      <c r="B100" s="261" t="s">
        <v>123</v>
      </c>
      <c r="C100" s="262" t="s">
        <v>163</v>
      </c>
      <c r="D100" s="261" t="s">
        <v>162</v>
      </c>
      <c r="E100" s="263">
        <v>216688</v>
      </c>
      <c r="F100" s="263" t="s">
        <v>88</v>
      </c>
      <c r="G100" s="263">
        <v>138246</v>
      </c>
      <c r="H100" s="267">
        <f t="shared" si="1"/>
        <v>0.63799564350587024</v>
      </c>
    </row>
    <row r="101" spans="1:8" x14ac:dyDescent="0.3">
      <c r="A101" s="260" t="s">
        <v>191</v>
      </c>
      <c r="B101" s="261" t="s">
        <v>121</v>
      </c>
      <c r="C101" s="262" t="s">
        <v>281</v>
      </c>
      <c r="D101" s="261" t="s">
        <v>280</v>
      </c>
      <c r="E101" s="263">
        <v>17721</v>
      </c>
      <c r="F101" s="263" t="s">
        <v>87</v>
      </c>
      <c r="G101" s="263">
        <v>11297</v>
      </c>
      <c r="H101" s="267">
        <f t="shared" si="1"/>
        <v>0.6374922408441962</v>
      </c>
    </row>
    <row r="102" spans="1:8" x14ac:dyDescent="0.3">
      <c r="A102" s="260" t="s">
        <v>191</v>
      </c>
      <c r="B102" s="261" t="s">
        <v>121</v>
      </c>
      <c r="C102" s="262" t="s">
        <v>281</v>
      </c>
      <c r="D102" s="261" t="s">
        <v>280</v>
      </c>
      <c r="E102" s="263">
        <v>28260</v>
      </c>
      <c r="F102" s="263" t="s">
        <v>88</v>
      </c>
      <c r="G102" s="263">
        <v>18014</v>
      </c>
      <c r="H102" s="267">
        <f t="shared" si="1"/>
        <v>0.6374380750176929</v>
      </c>
    </row>
    <row r="103" spans="1:8" x14ac:dyDescent="0.3">
      <c r="A103" s="260" t="s">
        <v>197</v>
      </c>
      <c r="B103" s="261" t="s">
        <v>126</v>
      </c>
      <c r="C103" s="262" t="s">
        <v>400</v>
      </c>
      <c r="D103" s="261" t="s">
        <v>401</v>
      </c>
      <c r="E103" s="263">
        <v>26540</v>
      </c>
      <c r="F103" s="263" t="s">
        <v>87</v>
      </c>
      <c r="G103" s="263">
        <v>16883</v>
      </c>
      <c r="H103" s="267">
        <f t="shared" si="1"/>
        <v>0.63613413715146949</v>
      </c>
    </row>
    <row r="104" spans="1:8" x14ac:dyDescent="0.3">
      <c r="A104" s="260" t="s">
        <v>197</v>
      </c>
      <c r="B104" s="261" t="s">
        <v>126</v>
      </c>
      <c r="C104" s="262" t="s">
        <v>400</v>
      </c>
      <c r="D104" s="261" t="s">
        <v>401</v>
      </c>
      <c r="E104" s="263">
        <v>26377</v>
      </c>
      <c r="F104" s="263" t="s">
        <v>88</v>
      </c>
      <c r="G104" s="263">
        <v>16779</v>
      </c>
      <c r="H104" s="267">
        <f t="shared" si="1"/>
        <v>0.63612237934564209</v>
      </c>
    </row>
    <row r="105" spans="1:8" x14ac:dyDescent="0.3">
      <c r="A105" s="260" t="s">
        <v>167</v>
      </c>
      <c r="B105" s="261" t="s">
        <v>119</v>
      </c>
      <c r="C105" s="262" t="s">
        <v>225</v>
      </c>
      <c r="D105" s="261" t="s">
        <v>224</v>
      </c>
      <c r="E105" s="263">
        <v>13663</v>
      </c>
      <c r="F105" s="263" t="s">
        <v>88</v>
      </c>
      <c r="G105" s="263">
        <v>8544</v>
      </c>
      <c r="H105" s="267">
        <f t="shared" si="1"/>
        <v>0.62533850545268244</v>
      </c>
    </row>
    <row r="106" spans="1:8" x14ac:dyDescent="0.3">
      <c r="A106" s="260" t="s">
        <v>167</v>
      </c>
      <c r="B106" s="261" t="s">
        <v>119</v>
      </c>
      <c r="C106" s="262" t="s">
        <v>225</v>
      </c>
      <c r="D106" s="261" t="s">
        <v>224</v>
      </c>
      <c r="E106" s="263">
        <v>32363</v>
      </c>
      <c r="F106" s="263" t="s">
        <v>87</v>
      </c>
      <c r="G106" s="263">
        <v>20237</v>
      </c>
      <c r="H106" s="267">
        <f t="shared" si="1"/>
        <v>0.62531285727528352</v>
      </c>
    </row>
    <row r="107" spans="1:8" x14ac:dyDescent="0.3">
      <c r="A107" s="260" t="s">
        <v>191</v>
      </c>
      <c r="B107" s="261" t="s">
        <v>121</v>
      </c>
      <c r="C107" s="262" t="s">
        <v>285</v>
      </c>
      <c r="D107" s="261" t="s">
        <v>284</v>
      </c>
      <c r="E107" s="263">
        <v>41790</v>
      </c>
      <c r="F107" s="263" t="s">
        <v>87</v>
      </c>
      <c r="G107" s="263">
        <v>25790</v>
      </c>
      <c r="H107" s="267">
        <f t="shared" si="1"/>
        <v>0.61713328547499402</v>
      </c>
    </row>
    <row r="108" spans="1:8" x14ac:dyDescent="0.3">
      <c r="A108" s="260" t="s">
        <v>191</v>
      </c>
      <c r="B108" s="261" t="s">
        <v>121</v>
      </c>
      <c r="C108" s="262" t="s">
        <v>285</v>
      </c>
      <c r="D108" s="261" t="s">
        <v>284</v>
      </c>
      <c r="E108" s="263">
        <v>41790</v>
      </c>
      <c r="F108" s="263" t="s">
        <v>88</v>
      </c>
      <c r="G108" s="263">
        <v>25790</v>
      </c>
      <c r="H108" s="267">
        <f t="shared" si="1"/>
        <v>0.61713328547499402</v>
      </c>
    </row>
    <row r="109" spans="1:8" x14ac:dyDescent="0.3">
      <c r="A109" s="260" t="s">
        <v>170</v>
      </c>
      <c r="B109" s="261" t="s">
        <v>130</v>
      </c>
      <c r="C109" s="262" t="s">
        <v>476</v>
      </c>
      <c r="D109" s="261" t="s">
        <v>477</v>
      </c>
      <c r="E109" s="263">
        <v>7373</v>
      </c>
      <c r="F109" s="263" t="s">
        <v>87</v>
      </c>
      <c r="G109" s="263">
        <v>4540</v>
      </c>
      <c r="H109" s="267">
        <f t="shared" si="1"/>
        <v>0.61576020615760207</v>
      </c>
    </row>
    <row r="110" spans="1:8" x14ac:dyDescent="0.3">
      <c r="A110" s="260" t="s">
        <v>170</v>
      </c>
      <c r="B110" s="261" t="s">
        <v>130</v>
      </c>
      <c r="C110" s="262" t="s">
        <v>476</v>
      </c>
      <c r="D110" s="261" t="s">
        <v>477</v>
      </c>
      <c r="E110" s="263">
        <v>7418</v>
      </c>
      <c r="F110" s="263" t="s">
        <v>88</v>
      </c>
      <c r="G110" s="263">
        <v>4567</v>
      </c>
      <c r="H110" s="267">
        <f t="shared" si="1"/>
        <v>0.61566459962253972</v>
      </c>
    </row>
    <row r="111" spans="1:8" x14ac:dyDescent="0.3">
      <c r="A111" s="260" t="s">
        <v>197</v>
      </c>
      <c r="B111" s="261" t="s">
        <v>126</v>
      </c>
      <c r="C111" s="262" t="s">
        <v>384</v>
      </c>
      <c r="D111" s="261" t="s">
        <v>385</v>
      </c>
      <c r="E111" s="263">
        <v>85388</v>
      </c>
      <c r="F111" s="263" t="s">
        <v>87</v>
      </c>
      <c r="G111" s="263">
        <v>52030</v>
      </c>
      <c r="H111" s="267">
        <f t="shared" si="1"/>
        <v>0.60933620649271558</v>
      </c>
    </row>
    <row r="112" spans="1:8" x14ac:dyDescent="0.3">
      <c r="A112" s="260" t="s">
        <v>197</v>
      </c>
      <c r="B112" s="261" t="s">
        <v>126</v>
      </c>
      <c r="C112" s="262" t="s">
        <v>384</v>
      </c>
      <c r="D112" s="261" t="s">
        <v>385</v>
      </c>
      <c r="E112" s="263">
        <v>85184</v>
      </c>
      <c r="F112" s="263" t="s">
        <v>88</v>
      </c>
      <c r="G112" s="263">
        <v>51905</v>
      </c>
      <c r="H112" s="267">
        <f t="shared" si="1"/>
        <v>0.60932804282494368</v>
      </c>
    </row>
    <row r="113" spans="1:8" x14ac:dyDescent="0.3">
      <c r="A113" s="260" t="s">
        <v>188</v>
      </c>
      <c r="B113" s="261" t="s">
        <v>124</v>
      </c>
      <c r="C113" s="262" t="s">
        <v>360</v>
      </c>
      <c r="D113" s="261" t="s">
        <v>361</v>
      </c>
      <c r="E113" s="263">
        <v>26703</v>
      </c>
      <c r="F113" s="263" t="s">
        <v>88</v>
      </c>
      <c r="G113" s="263">
        <v>16265</v>
      </c>
      <c r="H113" s="267">
        <f t="shared" si="1"/>
        <v>0.60910759090738864</v>
      </c>
    </row>
    <row r="114" spans="1:8" x14ac:dyDescent="0.3">
      <c r="A114" s="260" t="s">
        <v>188</v>
      </c>
      <c r="B114" s="261" t="s">
        <v>124</v>
      </c>
      <c r="C114" s="262" t="s">
        <v>360</v>
      </c>
      <c r="D114" s="261" t="s">
        <v>361</v>
      </c>
      <c r="E114" s="263">
        <v>22620</v>
      </c>
      <c r="F114" s="263" t="s">
        <v>87</v>
      </c>
      <c r="G114" s="263">
        <v>13778</v>
      </c>
      <c r="H114" s="267">
        <f t="shared" si="1"/>
        <v>0.60910698496905391</v>
      </c>
    </row>
    <row r="115" spans="1:8" x14ac:dyDescent="0.3">
      <c r="A115" s="260" t="s">
        <v>185</v>
      </c>
      <c r="B115" s="261" t="s">
        <v>120</v>
      </c>
      <c r="C115" s="262" t="s">
        <v>269</v>
      </c>
      <c r="D115" s="261" t="s">
        <v>268</v>
      </c>
      <c r="E115" s="263">
        <v>16250</v>
      </c>
      <c r="F115" s="263" t="s">
        <v>87</v>
      </c>
      <c r="G115" s="263">
        <v>9865</v>
      </c>
      <c r="H115" s="267">
        <f t="shared" si="1"/>
        <v>0.60707692307692307</v>
      </c>
    </row>
    <row r="116" spans="1:8" x14ac:dyDescent="0.3">
      <c r="A116" s="260" t="s">
        <v>185</v>
      </c>
      <c r="B116" s="261" t="s">
        <v>120</v>
      </c>
      <c r="C116" s="262" t="s">
        <v>269</v>
      </c>
      <c r="D116" s="261" t="s">
        <v>268</v>
      </c>
      <c r="E116" s="263">
        <v>16250</v>
      </c>
      <c r="F116" s="263" t="s">
        <v>88</v>
      </c>
      <c r="G116" s="263">
        <v>9865</v>
      </c>
      <c r="H116" s="267">
        <f t="shared" si="1"/>
        <v>0.60707692307692307</v>
      </c>
    </row>
    <row r="117" spans="1:8" x14ac:dyDescent="0.3">
      <c r="A117" s="260" t="s">
        <v>185</v>
      </c>
      <c r="B117" s="261" t="s">
        <v>120</v>
      </c>
      <c r="C117" s="262" t="s">
        <v>259</v>
      </c>
      <c r="D117" s="261" t="s">
        <v>258</v>
      </c>
      <c r="E117" s="263">
        <v>30621</v>
      </c>
      <c r="F117" s="263" t="s">
        <v>87</v>
      </c>
      <c r="G117" s="263">
        <v>18534</v>
      </c>
      <c r="H117" s="267">
        <f t="shared" si="1"/>
        <v>0.60527089252473798</v>
      </c>
    </row>
    <row r="118" spans="1:8" x14ac:dyDescent="0.3">
      <c r="A118" s="260" t="s">
        <v>185</v>
      </c>
      <c r="B118" s="261" t="s">
        <v>120</v>
      </c>
      <c r="C118" s="262" t="s">
        <v>259</v>
      </c>
      <c r="D118" s="261" t="s">
        <v>258</v>
      </c>
      <c r="E118" s="263">
        <v>30621</v>
      </c>
      <c r="F118" s="263" t="s">
        <v>88</v>
      </c>
      <c r="G118" s="263">
        <v>18534</v>
      </c>
      <c r="H118" s="267">
        <f t="shared" si="1"/>
        <v>0.60527089252473798</v>
      </c>
    </row>
    <row r="119" spans="1:8" x14ac:dyDescent="0.3">
      <c r="A119" s="260" t="s">
        <v>185</v>
      </c>
      <c r="B119" s="261" t="s">
        <v>120</v>
      </c>
      <c r="C119" s="262" t="s">
        <v>263</v>
      </c>
      <c r="D119" s="261" t="s">
        <v>262</v>
      </c>
      <c r="E119" s="263">
        <v>194660</v>
      </c>
      <c r="F119" s="263" t="s">
        <v>88</v>
      </c>
      <c r="G119" s="263">
        <v>117705</v>
      </c>
      <c r="H119" s="267">
        <f t="shared" si="1"/>
        <v>0.60466968046850922</v>
      </c>
    </row>
    <row r="120" spans="1:8" x14ac:dyDescent="0.3">
      <c r="A120" s="260" t="s">
        <v>185</v>
      </c>
      <c r="B120" s="261" t="s">
        <v>120</v>
      </c>
      <c r="C120" s="262" t="s">
        <v>263</v>
      </c>
      <c r="D120" s="261" t="s">
        <v>262</v>
      </c>
      <c r="E120" s="263">
        <v>55740</v>
      </c>
      <c r="F120" s="263" t="s">
        <v>87</v>
      </c>
      <c r="G120" s="263">
        <v>33704</v>
      </c>
      <c r="H120" s="267">
        <f t="shared" si="1"/>
        <v>0.60466451381413711</v>
      </c>
    </row>
    <row r="121" spans="1:8" x14ac:dyDescent="0.3">
      <c r="A121" s="260" t="s">
        <v>161</v>
      </c>
      <c r="B121" s="261" t="s">
        <v>128</v>
      </c>
      <c r="C121" s="262" t="s">
        <v>436</v>
      </c>
      <c r="D121" s="261" t="s">
        <v>437</v>
      </c>
      <c r="E121" s="263">
        <v>3585</v>
      </c>
      <c r="F121" s="263" t="s">
        <v>87</v>
      </c>
      <c r="G121" s="263">
        <v>2167</v>
      </c>
      <c r="H121" s="267">
        <f t="shared" si="1"/>
        <v>0.60446304044630406</v>
      </c>
    </row>
    <row r="122" spans="1:8" x14ac:dyDescent="0.3">
      <c r="A122" s="260" t="s">
        <v>161</v>
      </c>
      <c r="B122" s="261" t="s">
        <v>128</v>
      </c>
      <c r="C122" s="262" t="s">
        <v>436</v>
      </c>
      <c r="D122" s="261" t="s">
        <v>437</v>
      </c>
      <c r="E122" s="263">
        <v>3585</v>
      </c>
      <c r="F122" s="263" t="s">
        <v>88</v>
      </c>
      <c r="G122" s="263">
        <v>2167</v>
      </c>
      <c r="H122" s="267">
        <f t="shared" si="1"/>
        <v>0.60446304044630406</v>
      </c>
    </row>
    <row r="123" spans="1:8" x14ac:dyDescent="0.3">
      <c r="A123" s="260" t="s">
        <v>150</v>
      </c>
      <c r="B123" s="261" t="s">
        <v>125</v>
      </c>
      <c r="C123" s="262" t="s">
        <v>372</v>
      </c>
      <c r="D123" s="261" t="s">
        <v>373</v>
      </c>
      <c r="E123" s="263">
        <v>129751</v>
      </c>
      <c r="F123" s="263" t="s">
        <v>87</v>
      </c>
      <c r="G123" s="263">
        <v>77968</v>
      </c>
      <c r="H123" s="267">
        <f t="shared" si="1"/>
        <v>0.60090480998219664</v>
      </c>
    </row>
    <row r="124" spans="1:8" x14ac:dyDescent="0.3">
      <c r="A124" s="260" t="s">
        <v>150</v>
      </c>
      <c r="B124" s="261" t="s">
        <v>125</v>
      </c>
      <c r="C124" s="262" t="s">
        <v>372</v>
      </c>
      <c r="D124" s="261" t="s">
        <v>373</v>
      </c>
      <c r="E124" s="263">
        <v>126167</v>
      </c>
      <c r="F124" s="263" t="s">
        <v>88</v>
      </c>
      <c r="G124" s="263">
        <v>75814</v>
      </c>
      <c r="H124" s="267">
        <f t="shared" si="1"/>
        <v>0.60090197912290855</v>
      </c>
    </row>
    <row r="125" spans="1:8" x14ac:dyDescent="0.3">
      <c r="A125" s="260" t="s">
        <v>188</v>
      </c>
      <c r="B125" s="261" t="s">
        <v>124</v>
      </c>
      <c r="C125" s="262" t="s">
        <v>368</v>
      </c>
      <c r="D125" s="261" t="s">
        <v>369</v>
      </c>
      <c r="E125" s="263">
        <v>13458</v>
      </c>
      <c r="F125" s="263" t="s">
        <v>88</v>
      </c>
      <c r="G125" s="263">
        <v>8084</v>
      </c>
      <c r="H125" s="267">
        <f t="shared" si="1"/>
        <v>0.60068360826274336</v>
      </c>
    </row>
    <row r="126" spans="1:8" x14ac:dyDescent="0.3">
      <c r="A126" s="260" t="s">
        <v>141</v>
      </c>
      <c r="B126" s="261" t="s">
        <v>123</v>
      </c>
      <c r="C126" s="262" t="s">
        <v>146</v>
      </c>
      <c r="D126" s="261" t="s">
        <v>145</v>
      </c>
      <c r="E126" s="263">
        <v>28525</v>
      </c>
      <c r="F126" s="263" t="s">
        <v>87</v>
      </c>
      <c r="G126" s="263">
        <v>17107</v>
      </c>
      <c r="H126" s="267">
        <f t="shared" si="1"/>
        <v>0.59971954425942153</v>
      </c>
    </row>
    <row r="127" spans="1:8" x14ac:dyDescent="0.3">
      <c r="A127" s="260" t="s">
        <v>141</v>
      </c>
      <c r="B127" s="261" t="s">
        <v>123</v>
      </c>
      <c r="C127" s="262" t="s">
        <v>146</v>
      </c>
      <c r="D127" s="261" t="s">
        <v>145</v>
      </c>
      <c r="E127" s="263">
        <v>28525</v>
      </c>
      <c r="F127" s="263" t="s">
        <v>88</v>
      </c>
      <c r="G127" s="263">
        <v>17107</v>
      </c>
      <c r="H127" s="267">
        <f t="shared" si="1"/>
        <v>0.59971954425942153</v>
      </c>
    </row>
    <row r="128" spans="1:8" x14ac:dyDescent="0.3">
      <c r="A128" s="260" t="s">
        <v>197</v>
      </c>
      <c r="B128" s="261" t="s">
        <v>126</v>
      </c>
      <c r="C128" s="262" t="s">
        <v>388</v>
      </c>
      <c r="D128" s="261" t="s">
        <v>389</v>
      </c>
      <c r="E128" s="263">
        <v>143722</v>
      </c>
      <c r="F128" s="263" t="s">
        <v>88</v>
      </c>
      <c r="G128" s="263">
        <v>85971</v>
      </c>
      <c r="H128" s="267">
        <f t="shared" si="1"/>
        <v>0.59817564464730522</v>
      </c>
    </row>
    <row r="129" spans="1:8" x14ac:dyDescent="0.3">
      <c r="A129" s="260" t="s">
        <v>197</v>
      </c>
      <c r="B129" s="261" t="s">
        <v>126</v>
      </c>
      <c r="C129" s="262" t="s">
        <v>388</v>
      </c>
      <c r="D129" s="261" t="s">
        <v>389</v>
      </c>
      <c r="E129" s="263">
        <v>143680</v>
      </c>
      <c r="F129" s="263" t="s">
        <v>87</v>
      </c>
      <c r="G129" s="263">
        <v>85945</v>
      </c>
      <c r="H129" s="267">
        <f t="shared" si="1"/>
        <v>0.59816954342984407</v>
      </c>
    </row>
    <row r="130" spans="1:8" x14ac:dyDescent="0.3">
      <c r="A130" s="260" t="s">
        <v>158</v>
      </c>
      <c r="B130" s="261" t="s">
        <v>129</v>
      </c>
      <c r="C130" s="262" t="s">
        <v>466</v>
      </c>
      <c r="D130" s="261" t="s">
        <v>467</v>
      </c>
      <c r="E130" s="263">
        <v>64220</v>
      </c>
      <c r="F130" s="263" t="s">
        <v>87</v>
      </c>
      <c r="G130" s="263">
        <v>37841</v>
      </c>
      <c r="H130" s="267">
        <f t="shared" si="1"/>
        <v>0.58924011211460603</v>
      </c>
    </row>
    <row r="131" spans="1:8" x14ac:dyDescent="0.3">
      <c r="A131" s="260" t="s">
        <v>158</v>
      </c>
      <c r="B131" s="261" t="s">
        <v>129</v>
      </c>
      <c r="C131" s="262" t="s">
        <v>466</v>
      </c>
      <c r="D131" s="261" t="s">
        <v>467</v>
      </c>
      <c r="E131" s="263">
        <v>64220</v>
      </c>
      <c r="F131" s="263" t="s">
        <v>88</v>
      </c>
      <c r="G131" s="263">
        <v>37841</v>
      </c>
      <c r="H131" s="267">
        <f t="shared" si="1"/>
        <v>0.58924011211460603</v>
      </c>
    </row>
    <row r="132" spans="1:8" x14ac:dyDescent="0.3">
      <c r="A132" s="260" t="s">
        <v>197</v>
      </c>
      <c r="B132" s="261" t="s">
        <v>126</v>
      </c>
      <c r="C132" s="262" t="s">
        <v>396</v>
      </c>
      <c r="D132" s="261" t="s">
        <v>397</v>
      </c>
      <c r="E132" s="263">
        <v>16970</v>
      </c>
      <c r="F132" s="263" t="s">
        <v>88</v>
      </c>
      <c r="G132" s="263">
        <v>9920</v>
      </c>
      <c r="H132" s="267">
        <f t="shared" ref="H132:H195" si="2">IF(E132&lt;&gt;0,G132/E132,0)</f>
        <v>0.58456098998232175</v>
      </c>
    </row>
    <row r="133" spans="1:8" x14ac:dyDescent="0.3">
      <c r="A133" s="260" t="s">
        <v>197</v>
      </c>
      <c r="B133" s="261" t="s">
        <v>126</v>
      </c>
      <c r="C133" s="262" t="s">
        <v>396</v>
      </c>
      <c r="D133" s="261" t="s">
        <v>397</v>
      </c>
      <c r="E133" s="263">
        <v>16497</v>
      </c>
      <c r="F133" s="263" t="s">
        <v>87</v>
      </c>
      <c r="G133" s="263">
        <v>9643</v>
      </c>
      <c r="H133" s="267">
        <f t="shared" si="2"/>
        <v>0.58453052070073341</v>
      </c>
    </row>
    <row r="134" spans="1:8" x14ac:dyDescent="0.3">
      <c r="A134" s="260" t="s">
        <v>194</v>
      </c>
      <c r="B134" s="261" t="s">
        <v>135</v>
      </c>
      <c r="C134" s="262" t="s">
        <v>546</v>
      </c>
      <c r="D134" s="261" t="s">
        <v>547</v>
      </c>
      <c r="E134" s="263">
        <v>6303</v>
      </c>
      <c r="F134" s="263" t="s">
        <v>87</v>
      </c>
      <c r="G134" s="263">
        <v>3670</v>
      </c>
      <c r="H134" s="267">
        <f t="shared" si="2"/>
        <v>0.58226241472314766</v>
      </c>
    </row>
    <row r="135" spans="1:8" x14ac:dyDescent="0.3">
      <c r="A135" s="260" t="s">
        <v>194</v>
      </c>
      <c r="B135" s="261" t="s">
        <v>135</v>
      </c>
      <c r="C135" s="262" t="s">
        <v>546</v>
      </c>
      <c r="D135" s="261" t="s">
        <v>547</v>
      </c>
      <c r="E135" s="263">
        <v>6300</v>
      </c>
      <c r="F135" s="263" t="s">
        <v>88</v>
      </c>
      <c r="G135" s="263">
        <v>3668</v>
      </c>
      <c r="H135" s="267">
        <f t="shared" si="2"/>
        <v>0.5822222222222222</v>
      </c>
    </row>
    <row r="136" spans="1:8" x14ac:dyDescent="0.3">
      <c r="A136" s="260" t="s">
        <v>194</v>
      </c>
      <c r="B136" s="261" t="s">
        <v>135</v>
      </c>
      <c r="C136" s="262" t="s">
        <v>540</v>
      </c>
      <c r="D136" s="261" t="s">
        <v>541</v>
      </c>
      <c r="E136" s="263">
        <v>13823</v>
      </c>
      <c r="F136" s="263" t="s">
        <v>88</v>
      </c>
      <c r="G136" s="263">
        <v>7573</v>
      </c>
      <c r="H136" s="267">
        <f t="shared" si="2"/>
        <v>0.54785502423497068</v>
      </c>
    </row>
    <row r="137" spans="1:8" x14ac:dyDescent="0.3">
      <c r="A137" s="260" t="s">
        <v>194</v>
      </c>
      <c r="B137" s="261" t="s">
        <v>135</v>
      </c>
      <c r="C137" s="262" t="s">
        <v>540</v>
      </c>
      <c r="D137" s="261" t="s">
        <v>541</v>
      </c>
      <c r="E137" s="263">
        <v>19604</v>
      </c>
      <c r="F137" s="263" t="s">
        <v>87</v>
      </c>
      <c r="G137" s="263">
        <v>10740</v>
      </c>
      <c r="H137" s="267">
        <f t="shared" si="2"/>
        <v>0.54784737808610484</v>
      </c>
    </row>
    <row r="138" spans="1:8" x14ac:dyDescent="0.3">
      <c r="A138" s="260" t="s">
        <v>141</v>
      </c>
      <c r="B138" s="261" t="s">
        <v>123</v>
      </c>
      <c r="C138" s="262" t="s">
        <v>154</v>
      </c>
      <c r="D138" s="261" t="s">
        <v>153</v>
      </c>
      <c r="E138" s="263">
        <v>131357</v>
      </c>
      <c r="F138" s="263" t="s">
        <v>88</v>
      </c>
      <c r="G138" s="263">
        <v>70815</v>
      </c>
      <c r="H138" s="267">
        <f t="shared" si="2"/>
        <v>0.53910335954688371</v>
      </c>
    </row>
    <row r="139" spans="1:8" x14ac:dyDescent="0.3">
      <c r="A139" s="260" t="s">
        <v>185</v>
      </c>
      <c r="B139" s="261" t="s">
        <v>120</v>
      </c>
      <c r="C139" s="262" t="s">
        <v>235</v>
      </c>
      <c r="D139" s="261" t="s">
        <v>234</v>
      </c>
      <c r="E139" s="263">
        <v>33541</v>
      </c>
      <c r="F139" s="263" t="s">
        <v>87</v>
      </c>
      <c r="G139" s="263">
        <v>18038</v>
      </c>
      <c r="H139" s="267">
        <f t="shared" si="2"/>
        <v>0.53778957097283919</v>
      </c>
    </row>
    <row r="140" spans="1:8" x14ac:dyDescent="0.3">
      <c r="A140" s="260" t="s">
        <v>185</v>
      </c>
      <c r="B140" s="261" t="s">
        <v>120</v>
      </c>
      <c r="C140" s="262" t="s">
        <v>235</v>
      </c>
      <c r="D140" s="261" t="s">
        <v>234</v>
      </c>
      <c r="E140" s="263">
        <v>33541</v>
      </c>
      <c r="F140" s="263" t="s">
        <v>88</v>
      </c>
      <c r="G140" s="263">
        <v>18038</v>
      </c>
      <c r="H140" s="267">
        <f t="shared" si="2"/>
        <v>0.53778957097283919</v>
      </c>
    </row>
    <row r="141" spans="1:8" x14ac:dyDescent="0.3">
      <c r="A141" s="260" t="s">
        <v>185</v>
      </c>
      <c r="B141" s="261" t="s">
        <v>120</v>
      </c>
      <c r="C141" s="262" t="s">
        <v>247</v>
      </c>
      <c r="D141" s="261" t="s">
        <v>246</v>
      </c>
      <c r="E141" s="263">
        <v>3945</v>
      </c>
      <c r="F141" s="263" t="s">
        <v>87</v>
      </c>
      <c r="G141" s="263">
        <v>2119</v>
      </c>
      <c r="H141" s="267">
        <f t="shared" si="2"/>
        <v>0.53713561470215465</v>
      </c>
    </row>
    <row r="142" spans="1:8" x14ac:dyDescent="0.3">
      <c r="A142" s="260" t="s">
        <v>185</v>
      </c>
      <c r="B142" s="261" t="s">
        <v>120</v>
      </c>
      <c r="C142" s="262" t="s">
        <v>247</v>
      </c>
      <c r="D142" s="261" t="s">
        <v>246</v>
      </c>
      <c r="E142" s="263">
        <v>3945</v>
      </c>
      <c r="F142" s="263" t="s">
        <v>88</v>
      </c>
      <c r="G142" s="263">
        <v>2119</v>
      </c>
      <c r="H142" s="267">
        <f t="shared" si="2"/>
        <v>0.53713561470215465</v>
      </c>
    </row>
    <row r="143" spans="1:8" x14ac:dyDescent="0.3">
      <c r="A143" s="260" t="s">
        <v>188</v>
      </c>
      <c r="B143" s="261" t="s">
        <v>124</v>
      </c>
      <c r="C143" s="262" t="s">
        <v>354</v>
      </c>
      <c r="D143" s="261" t="s">
        <v>355</v>
      </c>
      <c r="E143" s="263">
        <v>84600</v>
      </c>
      <c r="F143" s="263" t="s">
        <v>88</v>
      </c>
      <c r="G143" s="263">
        <v>45083</v>
      </c>
      <c r="H143" s="267">
        <f t="shared" si="2"/>
        <v>0.53289598108747049</v>
      </c>
    </row>
    <row r="144" spans="1:8" x14ac:dyDescent="0.3">
      <c r="A144" s="260" t="s">
        <v>185</v>
      </c>
      <c r="B144" s="261" t="s">
        <v>120</v>
      </c>
      <c r="C144" s="262" t="s">
        <v>239</v>
      </c>
      <c r="D144" s="261" t="s">
        <v>238</v>
      </c>
      <c r="E144" s="263">
        <v>525</v>
      </c>
      <c r="F144" s="263" t="s">
        <v>87</v>
      </c>
      <c r="G144" s="263">
        <v>279</v>
      </c>
      <c r="H144" s="267">
        <f t="shared" si="2"/>
        <v>0.53142857142857147</v>
      </c>
    </row>
    <row r="145" spans="1:8" x14ac:dyDescent="0.3">
      <c r="A145" s="260" t="s">
        <v>170</v>
      </c>
      <c r="B145" s="261" t="s">
        <v>130</v>
      </c>
      <c r="C145" s="262" t="s">
        <v>468</v>
      </c>
      <c r="D145" s="261" t="s">
        <v>469</v>
      </c>
      <c r="E145" s="263">
        <v>42517</v>
      </c>
      <c r="F145" s="263" t="s">
        <v>87</v>
      </c>
      <c r="G145" s="263">
        <v>22586</v>
      </c>
      <c r="H145" s="267">
        <f t="shared" si="2"/>
        <v>0.53122280499564878</v>
      </c>
    </row>
    <row r="146" spans="1:8" x14ac:dyDescent="0.3">
      <c r="A146" s="260" t="s">
        <v>170</v>
      </c>
      <c r="B146" s="261" t="s">
        <v>130</v>
      </c>
      <c r="C146" s="262" t="s">
        <v>468</v>
      </c>
      <c r="D146" s="261" t="s">
        <v>469</v>
      </c>
      <c r="E146" s="263">
        <v>41575</v>
      </c>
      <c r="F146" s="263" t="s">
        <v>88</v>
      </c>
      <c r="G146" s="263">
        <v>22085</v>
      </c>
      <c r="H146" s="267">
        <f t="shared" si="2"/>
        <v>0.53120865904990977</v>
      </c>
    </row>
    <row r="147" spans="1:8" x14ac:dyDescent="0.3">
      <c r="A147" s="260" t="s">
        <v>185</v>
      </c>
      <c r="B147" s="261" t="s">
        <v>120</v>
      </c>
      <c r="C147" s="262" t="s">
        <v>239</v>
      </c>
      <c r="D147" s="261" t="s">
        <v>238</v>
      </c>
      <c r="E147" s="263">
        <v>80145</v>
      </c>
      <c r="F147" s="263" t="s">
        <v>88</v>
      </c>
      <c r="G147" s="263">
        <v>42474</v>
      </c>
      <c r="H147" s="267">
        <f t="shared" si="2"/>
        <v>0.52996443945349059</v>
      </c>
    </row>
    <row r="148" spans="1:8" x14ac:dyDescent="0.3">
      <c r="A148" s="260" t="s">
        <v>155</v>
      </c>
      <c r="B148" s="261" t="s">
        <v>122</v>
      </c>
      <c r="C148" s="262" t="s">
        <v>193</v>
      </c>
      <c r="D148" s="261" t="s">
        <v>192</v>
      </c>
      <c r="E148" s="263">
        <v>71747</v>
      </c>
      <c r="F148" s="263" t="s">
        <v>87</v>
      </c>
      <c r="G148" s="263">
        <v>37850</v>
      </c>
      <c r="H148" s="267">
        <f t="shared" si="2"/>
        <v>0.52754819016823007</v>
      </c>
    </row>
    <row r="149" spans="1:8" x14ac:dyDescent="0.3">
      <c r="A149" s="260" t="s">
        <v>155</v>
      </c>
      <c r="B149" s="261" t="s">
        <v>122</v>
      </c>
      <c r="C149" s="262" t="s">
        <v>193</v>
      </c>
      <c r="D149" s="261" t="s">
        <v>192</v>
      </c>
      <c r="E149" s="263">
        <v>79110</v>
      </c>
      <c r="F149" s="263" t="s">
        <v>88</v>
      </c>
      <c r="G149" s="263">
        <v>41734</v>
      </c>
      <c r="H149" s="267">
        <f t="shared" si="2"/>
        <v>0.52754392617873846</v>
      </c>
    </row>
    <row r="150" spans="1:8" x14ac:dyDescent="0.3">
      <c r="A150" s="260" t="s">
        <v>194</v>
      </c>
      <c r="B150" s="261" t="s">
        <v>135</v>
      </c>
      <c r="C150" s="262" t="s">
        <v>554</v>
      </c>
      <c r="D150" s="261" t="s">
        <v>555</v>
      </c>
      <c r="E150" s="263">
        <v>8359</v>
      </c>
      <c r="F150" s="263" t="s">
        <v>87</v>
      </c>
      <c r="G150" s="263">
        <v>4314</v>
      </c>
      <c r="H150" s="267">
        <f t="shared" si="2"/>
        <v>0.51609044144036365</v>
      </c>
    </row>
    <row r="151" spans="1:8" x14ac:dyDescent="0.3">
      <c r="A151" s="260" t="s">
        <v>194</v>
      </c>
      <c r="B151" s="261" t="s">
        <v>135</v>
      </c>
      <c r="C151" s="262" t="s">
        <v>554</v>
      </c>
      <c r="D151" s="261" t="s">
        <v>555</v>
      </c>
      <c r="E151" s="263">
        <v>8359</v>
      </c>
      <c r="F151" s="263" t="s">
        <v>88</v>
      </c>
      <c r="G151" s="263">
        <v>4314</v>
      </c>
      <c r="H151" s="267">
        <f t="shared" si="2"/>
        <v>0.51609044144036365</v>
      </c>
    </row>
    <row r="152" spans="1:8" x14ac:dyDescent="0.3">
      <c r="A152" s="260" t="s">
        <v>191</v>
      </c>
      <c r="B152" s="261" t="s">
        <v>121</v>
      </c>
      <c r="C152" s="262" t="s">
        <v>279</v>
      </c>
      <c r="D152" s="261" t="s">
        <v>278</v>
      </c>
      <c r="E152" s="263">
        <v>9710</v>
      </c>
      <c r="F152" s="263" t="s">
        <v>87</v>
      </c>
      <c r="G152" s="263">
        <v>4996</v>
      </c>
      <c r="H152" s="267">
        <f t="shared" si="2"/>
        <v>0.51452111225540675</v>
      </c>
    </row>
    <row r="153" spans="1:8" x14ac:dyDescent="0.3">
      <c r="A153" s="260" t="s">
        <v>191</v>
      </c>
      <c r="B153" s="261" t="s">
        <v>121</v>
      </c>
      <c r="C153" s="262" t="s">
        <v>279</v>
      </c>
      <c r="D153" s="261" t="s">
        <v>278</v>
      </c>
      <c r="E153" s="263">
        <v>9710</v>
      </c>
      <c r="F153" s="263" t="s">
        <v>88</v>
      </c>
      <c r="G153" s="263">
        <v>4996</v>
      </c>
      <c r="H153" s="267">
        <f t="shared" si="2"/>
        <v>0.51452111225540675</v>
      </c>
    </row>
    <row r="154" spans="1:8" x14ac:dyDescent="0.3">
      <c r="A154" s="260" t="s">
        <v>188</v>
      </c>
      <c r="B154" s="261" t="s">
        <v>124</v>
      </c>
      <c r="C154" s="262" t="s">
        <v>346</v>
      </c>
      <c r="D154" s="261" t="s">
        <v>347</v>
      </c>
      <c r="E154" s="263">
        <v>8677</v>
      </c>
      <c r="F154" s="263" t="s">
        <v>88</v>
      </c>
      <c r="G154" s="263">
        <v>4428</v>
      </c>
      <c r="H154" s="267">
        <f t="shared" si="2"/>
        <v>0.51031462487034684</v>
      </c>
    </row>
    <row r="155" spans="1:8" x14ac:dyDescent="0.3">
      <c r="A155" s="260" t="s">
        <v>188</v>
      </c>
      <c r="B155" s="261" t="s">
        <v>124</v>
      </c>
      <c r="C155" s="262" t="s">
        <v>346</v>
      </c>
      <c r="D155" s="261" t="s">
        <v>347</v>
      </c>
      <c r="E155" s="263">
        <v>8964</v>
      </c>
      <c r="F155" s="263" t="s">
        <v>87</v>
      </c>
      <c r="G155" s="263">
        <v>4574</v>
      </c>
      <c r="H155" s="267">
        <f t="shared" si="2"/>
        <v>0.51026327532351634</v>
      </c>
    </row>
    <row r="156" spans="1:8" x14ac:dyDescent="0.3">
      <c r="A156" s="260" t="s">
        <v>161</v>
      </c>
      <c r="B156" s="261" t="s">
        <v>128</v>
      </c>
      <c r="C156" s="262" t="s">
        <v>434</v>
      </c>
      <c r="D156" s="261" t="s">
        <v>435</v>
      </c>
      <c r="E156" s="263">
        <v>745</v>
      </c>
      <c r="F156" s="263" t="s">
        <v>88</v>
      </c>
      <c r="G156" s="263">
        <v>380</v>
      </c>
      <c r="H156" s="267">
        <f t="shared" si="2"/>
        <v>0.51006711409395977</v>
      </c>
    </row>
    <row r="157" spans="1:8" x14ac:dyDescent="0.3">
      <c r="A157" s="260" t="s">
        <v>167</v>
      </c>
      <c r="B157" s="261" t="s">
        <v>119</v>
      </c>
      <c r="C157" s="262" t="s">
        <v>217</v>
      </c>
      <c r="D157" s="261" t="s">
        <v>216</v>
      </c>
      <c r="E157" s="263">
        <v>46779</v>
      </c>
      <c r="F157" s="263" t="s">
        <v>87</v>
      </c>
      <c r="G157" s="263">
        <v>23827</v>
      </c>
      <c r="H157" s="267">
        <f t="shared" si="2"/>
        <v>0.50935248722717463</v>
      </c>
    </row>
    <row r="158" spans="1:8" x14ac:dyDescent="0.3">
      <c r="A158" s="260" t="s">
        <v>167</v>
      </c>
      <c r="B158" s="261" t="s">
        <v>119</v>
      </c>
      <c r="C158" s="262" t="s">
        <v>217</v>
      </c>
      <c r="D158" s="261" t="s">
        <v>216</v>
      </c>
      <c r="E158" s="263">
        <v>46779</v>
      </c>
      <c r="F158" s="263" t="s">
        <v>88</v>
      </c>
      <c r="G158" s="263">
        <v>23827</v>
      </c>
      <c r="H158" s="267">
        <f t="shared" si="2"/>
        <v>0.50935248722717463</v>
      </c>
    </row>
    <row r="159" spans="1:8" x14ac:dyDescent="0.3">
      <c r="A159" s="260" t="s">
        <v>161</v>
      </c>
      <c r="B159" s="261" t="s">
        <v>128</v>
      </c>
      <c r="C159" s="262" t="s">
        <v>434</v>
      </c>
      <c r="D159" s="261" t="s">
        <v>435</v>
      </c>
      <c r="E159" s="263">
        <v>735</v>
      </c>
      <c r="F159" s="263" t="s">
        <v>87</v>
      </c>
      <c r="G159" s="263">
        <v>374</v>
      </c>
      <c r="H159" s="267">
        <f t="shared" si="2"/>
        <v>0.50884353741496602</v>
      </c>
    </row>
    <row r="160" spans="1:8" x14ac:dyDescent="0.3">
      <c r="A160" s="260" t="s">
        <v>185</v>
      </c>
      <c r="B160" s="261" t="s">
        <v>120</v>
      </c>
      <c r="C160" s="262" t="s">
        <v>271</v>
      </c>
      <c r="D160" s="261" t="s">
        <v>270</v>
      </c>
      <c r="E160" s="263">
        <v>78632</v>
      </c>
      <c r="F160" s="263" t="s">
        <v>88</v>
      </c>
      <c r="G160" s="263">
        <v>39954</v>
      </c>
      <c r="H160" s="267">
        <f t="shared" si="2"/>
        <v>0.50811374504018725</v>
      </c>
    </row>
    <row r="161" spans="1:8" x14ac:dyDescent="0.3">
      <c r="A161" s="260" t="s">
        <v>155</v>
      </c>
      <c r="B161" s="261" t="s">
        <v>122</v>
      </c>
      <c r="C161" s="262" t="s">
        <v>181</v>
      </c>
      <c r="D161" s="261" t="s">
        <v>180</v>
      </c>
      <c r="E161" s="263">
        <v>64116</v>
      </c>
      <c r="F161" s="263" t="s">
        <v>87</v>
      </c>
      <c r="G161" s="263">
        <v>32544</v>
      </c>
      <c r="H161" s="267">
        <f t="shared" si="2"/>
        <v>0.50758001122964624</v>
      </c>
    </row>
    <row r="162" spans="1:8" x14ac:dyDescent="0.3">
      <c r="A162" s="260" t="s">
        <v>155</v>
      </c>
      <c r="B162" s="261" t="s">
        <v>122</v>
      </c>
      <c r="C162" s="262" t="s">
        <v>181</v>
      </c>
      <c r="D162" s="261" t="s">
        <v>180</v>
      </c>
      <c r="E162" s="263">
        <v>59700</v>
      </c>
      <c r="F162" s="263" t="s">
        <v>88</v>
      </c>
      <c r="G162" s="263">
        <v>30302</v>
      </c>
      <c r="H162" s="267">
        <f t="shared" si="2"/>
        <v>0.50757118927973199</v>
      </c>
    </row>
    <row r="163" spans="1:8" x14ac:dyDescent="0.3">
      <c r="A163" s="260" t="s">
        <v>188</v>
      </c>
      <c r="B163" s="261" t="s">
        <v>124</v>
      </c>
      <c r="C163" s="262" t="s">
        <v>344</v>
      </c>
      <c r="D163" s="261" t="s">
        <v>345</v>
      </c>
      <c r="E163" s="263">
        <v>22213</v>
      </c>
      <c r="F163" s="263" t="s">
        <v>87</v>
      </c>
      <c r="G163" s="263">
        <v>11206</v>
      </c>
      <c r="H163" s="267">
        <f t="shared" si="2"/>
        <v>0.50447935893395757</v>
      </c>
    </row>
    <row r="164" spans="1:8" x14ac:dyDescent="0.3">
      <c r="A164" s="260" t="s">
        <v>188</v>
      </c>
      <c r="B164" s="261" t="s">
        <v>124</v>
      </c>
      <c r="C164" s="262" t="s">
        <v>344</v>
      </c>
      <c r="D164" s="261" t="s">
        <v>345</v>
      </c>
      <c r="E164" s="263">
        <v>22054</v>
      </c>
      <c r="F164" s="263" t="s">
        <v>88</v>
      </c>
      <c r="G164" s="263">
        <v>11125</v>
      </c>
      <c r="H164" s="267">
        <f t="shared" si="2"/>
        <v>0.50444363834225081</v>
      </c>
    </row>
    <row r="165" spans="1:8" x14ac:dyDescent="0.3">
      <c r="A165" s="260" t="s">
        <v>185</v>
      </c>
      <c r="B165" s="261" t="s">
        <v>120</v>
      </c>
      <c r="C165" s="262" t="s">
        <v>257</v>
      </c>
      <c r="D165" s="261" t="s">
        <v>256</v>
      </c>
      <c r="E165" s="263">
        <v>9090</v>
      </c>
      <c r="F165" s="263" t="s">
        <v>87</v>
      </c>
      <c r="G165" s="263">
        <v>4553</v>
      </c>
      <c r="H165" s="267">
        <f t="shared" si="2"/>
        <v>0.50088008800880091</v>
      </c>
    </row>
    <row r="166" spans="1:8" x14ac:dyDescent="0.3">
      <c r="A166" s="260" t="s">
        <v>185</v>
      </c>
      <c r="B166" s="261" t="s">
        <v>120</v>
      </c>
      <c r="C166" s="262" t="s">
        <v>257</v>
      </c>
      <c r="D166" s="261" t="s">
        <v>256</v>
      </c>
      <c r="E166" s="263">
        <v>9090</v>
      </c>
      <c r="F166" s="263" t="s">
        <v>88</v>
      </c>
      <c r="G166" s="263">
        <v>4553</v>
      </c>
      <c r="H166" s="267">
        <f t="shared" si="2"/>
        <v>0.50088008800880091</v>
      </c>
    </row>
    <row r="167" spans="1:8" x14ac:dyDescent="0.3">
      <c r="A167" s="260" t="s">
        <v>167</v>
      </c>
      <c r="B167" s="261" t="s">
        <v>119</v>
      </c>
      <c r="C167" s="262" t="s">
        <v>221</v>
      </c>
      <c r="D167" s="261" t="s">
        <v>220</v>
      </c>
      <c r="E167" s="263">
        <v>38640</v>
      </c>
      <c r="F167" s="263" t="s">
        <v>87</v>
      </c>
      <c r="G167" s="263">
        <v>19288</v>
      </c>
      <c r="H167" s="267">
        <f t="shared" si="2"/>
        <v>0.4991718426501035</v>
      </c>
    </row>
    <row r="168" spans="1:8" x14ac:dyDescent="0.3">
      <c r="A168" s="260" t="s">
        <v>167</v>
      </c>
      <c r="B168" s="261" t="s">
        <v>119</v>
      </c>
      <c r="C168" s="262" t="s">
        <v>221</v>
      </c>
      <c r="D168" s="261" t="s">
        <v>220</v>
      </c>
      <c r="E168" s="263">
        <v>38640</v>
      </c>
      <c r="F168" s="263" t="s">
        <v>88</v>
      </c>
      <c r="G168" s="263">
        <v>19288</v>
      </c>
      <c r="H168" s="267">
        <f t="shared" si="2"/>
        <v>0.4991718426501035</v>
      </c>
    </row>
    <row r="169" spans="1:8" x14ac:dyDescent="0.3">
      <c r="A169" s="260" t="s">
        <v>179</v>
      </c>
      <c r="B169" s="261" t="s">
        <v>133</v>
      </c>
      <c r="C169" s="262" t="s">
        <v>524</v>
      </c>
      <c r="D169" s="261" t="s">
        <v>525</v>
      </c>
      <c r="E169" s="263">
        <v>19265</v>
      </c>
      <c r="F169" s="263" t="s">
        <v>87</v>
      </c>
      <c r="G169" s="263">
        <v>9616</v>
      </c>
      <c r="H169" s="267">
        <f t="shared" si="2"/>
        <v>0.49914352452634309</v>
      </c>
    </row>
    <row r="170" spans="1:8" x14ac:dyDescent="0.3">
      <c r="A170" s="260" t="s">
        <v>179</v>
      </c>
      <c r="B170" s="261" t="s">
        <v>133</v>
      </c>
      <c r="C170" s="262" t="s">
        <v>524</v>
      </c>
      <c r="D170" s="261" t="s">
        <v>525</v>
      </c>
      <c r="E170" s="263">
        <v>17265</v>
      </c>
      <c r="F170" s="263" t="s">
        <v>88</v>
      </c>
      <c r="G170" s="263">
        <v>8617</v>
      </c>
      <c r="H170" s="267">
        <f t="shared" si="2"/>
        <v>0.49910222994497538</v>
      </c>
    </row>
    <row r="171" spans="1:8" x14ac:dyDescent="0.3">
      <c r="A171" s="260" t="s">
        <v>176</v>
      </c>
      <c r="B171" s="261" t="s">
        <v>127</v>
      </c>
      <c r="C171" s="262" t="s">
        <v>406</v>
      </c>
      <c r="D171" s="261" t="s">
        <v>407</v>
      </c>
      <c r="E171" s="263">
        <v>2434</v>
      </c>
      <c r="F171" s="263" t="s">
        <v>87</v>
      </c>
      <c r="G171" s="263">
        <v>1199</v>
      </c>
      <c r="H171" s="267">
        <f t="shared" si="2"/>
        <v>0.49260476581758422</v>
      </c>
    </row>
    <row r="172" spans="1:8" x14ac:dyDescent="0.3">
      <c r="A172" s="260" t="s">
        <v>176</v>
      </c>
      <c r="B172" s="261" t="s">
        <v>127</v>
      </c>
      <c r="C172" s="262" t="s">
        <v>406</v>
      </c>
      <c r="D172" s="261" t="s">
        <v>407</v>
      </c>
      <c r="E172" s="263">
        <v>2415</v>
      </c>
      <c r="F172" s="263" t="s">
        <v>88</v>
      </c>
      <c r="G172" s="263">
        <v>1189</v>
      </c>
      <c r="H172" s="267">
        <f t="shared" si="2"/>
        <v>0.49233954451345757</v>
      </c>
    </row>
    <row r="173" spans="1:8" x14ac:dyDescent="0.3">
      <c r="A173" s="260" t="s">
        <v>173</v>
      </c>
      <c r="B173" s="261" t="s">
        <v>134</v>
      </c>
      <c r="C173" s="262" t="s">
        <v>532</v>
      </c>
      <c r="D173" s="261" t="s">
        <v>533</v>
      </c>
      <c r="E173" s="263">
        <v>63604</v>
      </c>
      <c r="F173" s="263" t="s">
        <v>87</v>
      </c>
      <c r="G173" s="263">
        <v>31128</v>
      </c>
      <c r="H173" s="267">
        <f t="shared" si="2"/>
        <v>0.48940318218979939</v>
      </c>
    </row>
    <row r="174" spans="1:8" x14ac:dyDescent="0.3">
      <c r="A174" s="260" t="s">
        <v>173</v>
      </c>
      <c r="B174" s="261" t="s">
        <v>134</v>
      </c>
      <c r="C174" s="262" t="s">
        <v>532</v>
      </c>
      <c r="D174" s="261" t="s">
        <v>533</v>
      </c>
      <c r="E174" s="263">
        <v>56350</v>
      </c>
      <c r="F174" s="263" t="s">
        <v>88</v>
      </c>
      <c r="G174" s="263">
        <v>27577</v>
      </c>
      <c r="H174" s="267">
        <f t="shared" si="2"/>
        <v>0.4893877551020408</v>
      </c>
    </row>
    <row r="175" spans="1:8" x14ac:dyDescent="0.3">
      <c r="A175" s="260" t="s">
        <v>141</v>
      </c>
      <c r="B175" s="261" t="s">
        <v>123</v>
      </c>
      <c r="C175" s="262" t="s">
        <v>157</v>
      </c>
      <c r="D175" s="261" t="s">
        <v>156</v>
      </c>
      <c r="E175" s="263">
        <v>62030</v>
      </c>
      <c r="F175" s="263" t="s">
        <v>88</v>
      </c>
      <c r="G175" s="263">
        <v>30304</v>
      </c>
      <c r="H175" s="267">
        <f t="shared" si="2"/>
        <v>0.48853780428824761</v>
      </c>
    </row>
    <row r="176" spans="1:8" x14ac:dyDescent="0.3">
      <c r="A176" s="260" t="s">
        <v>141</v>
      </c>
      <c r="B176" s="261" t="s">
        <v>123</v>
      </c>
      <c r="C176" s="262" t="s">
        <v>157</v>
      </c>
      <c r="D176" s="261" t="s">
        <v>156</v>
      </c>
      <c r="E176" s="263">
        <v>37755</v>
      </c>
      <c r="F176" s="263" t="s">
        <v>87</v>
      </c>
      <c r="G176" s="263">
        <v>18444</v>
      </c>
      <c r="H176" s="267">
        <f t="shared" si="2"/>
        <v>0.48851807707588402</v>
      </c>
    </row>
    <row r="177" spans="1:8" x14ac:dyDescent="0.3">
      <c r="A177" s="260" t="s">
        <v>188</v>
      </c>
      <c r="B177" s="261" t="s">
        <v>124</v>
      </c>
      <c r="C177" s="262" t="s">
        <v>336</v>
      </c>
      <c r="D177" s="261" t="s">
        <v>337</v>
      </c>
      <c r="E177" s="263">
        <v>58100</v>
      </c>
      <c r="F177" s="263" t="s">
        <v>88</v>
      </c>
      <c r="G177" s="263">
        <v>27924</v>
      </c>
      <c r="H177" s="267">
        <f t="shared" si="2"/>
        <v>0.4806196213425129</v>
      </c>
    </row>
    <row r="178" spans="1:8" x14ac:dyDescent="0.3">
      <c r="A178" s="260" t="s">
        <v>188</v>
      </c>
      <c r="B178" s="261" t="s">
        <v>124</v>
      </c>
      <c r="C178" s="262" t="s">
        <v>336</v>
      </c>
      <c r="D178" s="261" t="s">
        <v>337</v>
      </c>
      <c r="E178" s="263">
        <v>67940</v>
      </c>
      <c r="F178" s="263" t="s">
        <v>87</v>
      </c>
      <c r="G178" s="263">
        <v>32653</v>
      </c>
      <c r="H178" s="267">
        <f t="shared" si="2"/>
        <v>0.48061524874889611</v>
      </c>
    </row>
    <row r="179" spans="1:8" x14ac:dyDescent="0.3">
      <c r="A179" s="260" t="s">
        <v>185</v>
      </c>
      <c r="B179" s="261" t="s">
        <v>120</v>
      </c>
      <c r="C179" s="262" t="s">
        <v>243</v>
      </c>
      <c r="D179" s="261" t="s">
        <v>242</v>
      </c>
      <c r="E179" s="263">
        <v>42045</v>
      </c>
      <c r="F179" s="263" t="s">
        <v>88</v>
      </c>
      <c r="G179" s="263">
        <v>19635</v>
      </c>
      <c r="H179" s="267">
        <f t="shared" si="2"/>
        <v>0.46699964323938636</v>
      </c>
    </row>
    <row r="180" spans="1:8" x14ac:dyDescent="0.3">
      <c r="A180" s="260" t="s">
        <v>167</v>
      </c>
      <c r="B180" s="261" t="s">
        <v>119</v>
      </c>
      <c r="C180" s="262" t="s">
        <v>199</v>
      </c>
      <c r="D180" s="261" t="s">
        <v>198</v>
      </c>
      <c r="E180" s="263">
        <v>702481</v>
      </c>
      <c r="F180" s="263" t="s">
        <v>88</v>
      </c>
      <c r="G180" s="263">
        <v>324560</v>
      </c>
      <c r="H180" s="267">
        <f t="shared" si="2"/>
        <v>0.46201961334185548</v>
      </c>
    </row>
    <row r="181" spans="1:8" x14ac:dyDescent="0.3">
      <c r="A181" s="260" t="s">
        <v>167</v>
      </c>
      <c r="B181" s="261" t="s">
        <v>119</v>
      </c>
      <c r="C181" s="262" t="s">
        <v>199</v>
      </c>
      <c r="D181" s="261" t="s">
        <v>198</v>
      </c>
      <c r="E181" s="263">
        <v>171329</v>
      </c>
      <c r="F181" s="263" t="s">
        <v>87</v>
      </c>
      <c r="G181" s="263">
        <v>79157</v>
      </c>
      <c r="H181" s="267">
        <f t="shared" si="2"/>
        <v>0.46201752184393768</v>
      </c>
    </row>
    <row r="182" spans="1:8" x14ac:dyDescent="0.3">
      <c r="A182" s="260" t="s">
        <v>194</v>
      </c>
      <c r="B182" s="261" t="s">
        <v>135</v>
      </c>
      <c r="C182" s="262" t="s">
        <v>552</v>
      </c>
      <c r="D182" s="261" t="s">
        <v>553</v>
      </c>
      <c r="E182" s="263">
        <v>19629</v>
      </c>
      <c r="F182" s="263" t="s">
        <v>88</v>
      </c>
      <c r="G182" s="263">
        <v>9066</v>
      </c>
      <c r="H182" s="267">
        <f t="shared" si="2"/>
        <v>0.46186764481124865</v>
      </c>
    </row>
    <row r="183" spans="1:8" x14ac:dyDescent="0.3">
      <c r="A183" s="260" t="s">
        <v>170</v>
      </c>
      <c r="B183" s="261" t="s">
        <v>130</v>
      </c>
      <c r="C183" s="262" t="s">
        <v>474</v>
      </c>
      <c r="D183" s="261" t="s">
        <v>475</v>
      </c>
      <c r="E183" s="263">
        <v>32914</v>
      </c>
      <c r="F183" s="263" t="s">
        <v>88</v>
      </c>
      <c r="G183" s="263">
        <v>15093</v>
      </c>
      <c r="H183" s="267">
        <f t="shared" si="2"/>
        <v>0.45855866804399342</v>
      </c>
    </row>
    <row r="184" spans="1:8" x14ac:dyDescent="0.3">
      <c r="A184" s="260" t="s">
        <v>170</v>
      </c>
      <c r="B184" s="261" t="s">
        <v>130</v>
      </c>
      <c r="C184" s="262" t="s">
        <v>474</v>
      </c>
      <c r="D184" s="261" t="s">
        <v>475</v>
      </c>
      <c r="E184" s="263">
        <v>33815</v>
      </c>
      <c r="F184" s="263" t="s">
        <v>87</v>
      </c>
      <c r="G184" s="263">
        <v>15506</v>
      </c>
      <c r="H184" s="267">
        <f t="shared" si="2"/>
        <v>0.45855389619991127</v>
      </c>
    </row>
    <row r="185" spans="1:8" x14ac:dyDescent="0.3">
      <c r="A185" s="260" t="s">
        <v>170</v>
      </c>
      <c r="B185" s="261" t="s">
        <v>130</v>
      </c>
      <c r="C185" s="262" t="s">
        <v>470</v>
      </c>
      <c r="D185" s="261" t="s">
        <v>471</v>
      </c>
      <c r="E185" s="263">
        <v>56621</v>
      </c>
      <c r="F185" s="263" t="s">
        <v>87</v>
      </c>
      <c r="G185" s="263">
        <v>25947</v>
      </c>
      <c r="H185" s="267">
        <f t="shared" si="2"/>
        <v>0.45825753695625299</v>
      </c>
    </row>
    <row r="186" spans="1:8" x14ac:dyDescent="0.3">
      <c r="A186" s="260" t="s">
        <v>170</v>
      </c>
      <c r="B186" s="261" t="s">
        <v>130</v>
      </c>
      <c r="C186" s="262" t="s">
        <v>470</v>
      </c>
      <c r="D186" s="261" t="s">
        <v>471</v>
      </c>
      <c r="E186" s="263">
        <v>45562</v>
      </c>
      <c r="F186" s="263" t="s">
        <v>88</v>
      </c>
      <c r="G186" s="263">
        <v>20879</v>
      </c>
      <c r="H186" s="267">
        <f t="shared" si="2"/>
        <v>0.45825468592247925</v>
      </c>
    </row>
    <row r="187" spans="1:8" x14ac:dyDescent="0.3">
      <c r="A187" s="260" t="s">
        <v>179</v>
      </c>
      <c r="B187" s="261" t="s">
        <v>133</v>
      </c>
      <c r="C187" s="262" t="s">
        <v>516</v>
      </c>
      <c r="D187" s="261" t="s">
        <v>517</v>
      </c>
      <c r="E187" s="263">
        <v>266545</v>
      </c>
      <c r="F187" s="263" t="s">
        <v>88</v>
      </c>
      <c r="G187" s="263">
        <v>120679</v>
      </c>
      <c r="H187" s="267">
        <f t="shared" si="2"/>
        <v>0.45275281847342852</v>
      </c>
    </row>
    <row r="188" spans="1:8" x14ac:dyDescent="0.3">
      <c r="A188" s="260" t="s">
        <v>179</v>
      </c>
      <c r="B188" s="261" t="s">
        <v>133</v>
      </c>
      <c r="C188" s="262" t="s">
        <v>516</v>
      </c>
      <c r="D188" s="261" t="s">
        <v>517</v>
      </c>
      <c r="E188" s="263">
        <v>223515</v>
      </c>
      <c r="F188" s="263" t="s">
        <v>87</v>
      </c>
      <c r="G188" s="263">
        <v>101197</v>
      </c>
      <c r="H188" s="267">
        <f t="shared" si="2"/>
        <v>0.45275261168154263</v>
      </c>
    </row>
    <row r="189" spans="1:8" x14ac:dyDescent="0.3">
      <c r="A189" s="260" t="s">
        <v>179</v>
      </c>
      <c r="B189" s="261" t="s">
        <v>133</v>
      </c>
      <c r="C189" s="262" t="s">
        <v>518</v>
      </c>
      <c r="D189" s="261" t="s">
        <v>519</v>
      </c>
      <c r="E189" s="263">
        <v>145177</v>
      </c>
      <c r="F189" s="263" t="s">
        <v>87</v>
      </c>
      <c r="G189" s="263">
        <v>65598</v>
      </c>
      <c r="H189" s="267">
        <f t="shared" si="2"/>
        <v>0.45184843329177488</v>
      </c>
    </row>
    <row r="190" spans="1:8" x14ac:dyDescent="0.3">
      <c r="A190" s="260" t="s">
        <v>179</v>
      </c>
      <c r="B190" s="261" t="s">
        <v>133</v>
      </c>
      <c r="C190" s="262" t="s">
        <v>518</v>
      </c>
      <c r="D190" s="261" t="s">
        <v>519</v>
      </c>
      <c r="E190" s="263">
        <v>143830</v>
      </c>
      <c r="F190" s="263" t="s">
        <v>88</v>
      </c>
      <c r="G190" s="263">
        <v>64989</v>
      </c>
      <c r="H190" s="267">
        <f t="shared" si="2"/>
        <v>0.45184592922199818</v>
      </c>
    </row>
    <row r="191" spans="1:8" x14ac:dyDescent="0.3">
      <c r="A191" s="260" t="s">
        <v>194</v>
      </c>
      <c r="B191" s="261" t="s">
        <v>135</v>
      </c>
      <c r="C191" s="262" t="s">
        <v>544</v>
      </c>
      <c r="D191" s="261" t="s">
        <v>545</v>
      </c>
      <c r="E191" s="263">
        <v>26261</v>
      </c>
      <c r="F191" s="263" t="s">
        <v>88</v>
      </c>
      <c r="G191" s="263">
        <v>11860</v>
      </c>
      <c r="H191" s="267">
        <f t="shared" si="2"/>
        <v>0.45162027340923805</v>
      </c>
    </row>
    <row r="192" spans="1:8" x14ac:dyDescent="0.3">
      <c r="A192" s="260" t="s">
        <v>194</v>
      </c>
      <c r="B192" s="261" t="s">
        <v>135</v>
      </c>
      <c r="C192" s="262" t="s">
        <v>544</v>
      </c>
      <c r="D192" s="261" t="s">
        <v>545</v>
      </c>
      <c r="E192" s="263">
        <v>26620</v>
      </c>
      <c r="F192" s="263" t="s">
        <v>87</v>
      </c>
      <c r="G192" s="263">
        <v>12022</v>
      </c>
      <c r="H192" s="267">
        <f t="shared" si="2"/>
        <v>0.45161532682193839</v>
      </c>
    </row>
    <row r="193" spans="1:8" x14ac:dyDescent="0.3">
      <c r="A193" s="260" t="s">
        <v>147</v>
      </c>
      <c r="B193" s="261" t="s">
        <v>132</v>
      </c>
      <c r="C193" s="262" t="s">
        <v>508</v>
      </c>
      <c r="D193" s="261" t="s">
        <v>509</v>
      </c>
      <c r="E193" s="263">
        <v>81831</v>
      </c>
      <c r="F193" s="263" t="s">
        <v>87</v>
      </c>
      <c r="G193" s="263">
        <v>36662</v>
      </c>
      <c r="H193" s="267">
        <f t="shared" si="2"/>
        <v>0.44802092116679498</v>
      </c>
    </row>
    <row r="194" spans="1:8" x14ac:dyDescent="0.3">
      <c r="A194" s="260" t="s">
        <v>147</v>
      </c>
      <c r="B194" s="261" t="s">
        <v>132</v>
      </c>
      <c r="C194" s="262" t="s">
        <v>508</v>
      </c>
      <c r="D194" s="261" t="s">
        <v>509</v>
      </c>
      <c r="E194" s="263">
        <v>78131</v>
      </c>
      <c r="F194" s="263" t="s">
        <v>88</v>
      </c>
      <c r="G194" s="263">
        <v>35004</v>
      </c>
      <c r="H194" s="267">
        <f t="shared" si="2"/>
        <v>0.44801679231035058</v>
      </c>
    </row>
    <row r="195" spans="1:8" x14ac:dyDescent="0.3">
      <c r="A195" s="260" t="s">
        <v>188</v>
      </c>
      <c r="B195" s="261" t="s">
        <v>124</v>
      </c>
      <c r="C195" s="262" t="s">
        <v>364</v>
      </c>
      <c r="D195" s="261" t="s">
        <v>365</v>
      </c>
      <c r="E195" s="263">
        <v>2093</v>
      </c>
      <c r="F195" s="263" t="s">
        <v>88</v>
      </c>
      <c r="G195" s="263">
        <v>933</v>
      </c>
      <c r="H195" s="267">
        <f t="shared" si="2"/>
        <v>0.44577161968466317</v>
      </c>
    </row>
    <row r="196" spans="1:8" x14ac:dyDescent="0.3">
      <c r="A196" s="260" t="s">
        <v>188</v>
      </c>
      <c r="B196" s="261" t="s">
        <v>124</v>
      </c>
      <c r="C196" s="262" t="s">
        <v>364</v>
      </c>
      <c r="D196" s="261" t="s">
        <v>365</v>
      </c>
      <c r="E196" s="263">
        <v>2887</v>
      </c>
      <c r="F196" s="263" t="s">
        <v>87</v>
      </c>
      <c r="G196" s="263">
        <v>1286</v>
      </c>
      <c r="H196" s="267">
        <f t="shared" ref="H196:H259" si="3">IF(E196&lt;&gt;0,G196/E196,0)</f>
        <v>0.44544509871839277</v>
      </c>
    </row>
    <row r="197" spans="1:8" x14ac:dyDescent="0.3">
      <c r="A197" s="260" t="s">
        <v>161</v>
      </c>
      <c r="B197" s="261" t="s">
        <v>128</v>
      </c>
      <c r="C197" s="262" t="s">
        <v>428</v>
      </c>
      <c r="D197" s="261" t="s">
        <v>429</v>
      </c>
      <c r="E197" s="263">
        <v>1645</v>
      </c>
      <c r="F197" s="263" t="s">
        <v>88</v>
      </c>
      <c r="G197" s="263">
        <v>723</v>
      </c>
      <c r="H197" s="267">
        <f t="shared" si="3"/>
        <v>0.43951367781155015</v>
      </c>
    </row>
    <row r="198" spans="1:8" x14ac:dyDescent="0.3">
      <c r="A198" s="260" t="s">
        <v>161</v>
      </c>
      <c r="B198" s="261" t="s">
        <v>128</v>
      </c>
      <c r="C198" s="262" t="s">
        <v>428</v>
      </c>
      <c r="D198" s="261" t="s">
        <v>429</v>
      </c>
      <c r="E198" s="263">
        <v>1655</v>
      </c>
      <c r="F198" s="263" t="s">
        <v>87</v>
      </c>
      <c r="G198" s="263">
        <v>727</v>
      </c>
      <c r="H198" s="267">
        <f t="shared" si="3"/>
        <v>0.43927492447129907</v>
      </c>
    </row>
    <row r="199" spans="1:8" x14ac:dyDescent="0.3">
      <c r="A199" s="260" t="s">
        <v>188</v>
      </c>
      <c r="B199" s="261" t="s">
        <v>124</v>
      </c>
      <c r="C199" s="262" t="s">
        <v>338</v>
      </c>
      <c r="D199" s="261" t="s">
        <v>339</v>
      </c>
      <c r="E199" s="263">
        <v>10407</v>
      </c>
      <c r="F199" s="263" t="s">
        <v>88</v>
      </c>
      <c r="G199" s="263">
        <v>4535</v>
      </c>
      <c r="H199" s="267">
        <f t="shared" si="3"/>
        <v>0.4357643893533199</v>
      </c>
    </row>
    <row r="200" spans="1:8" x14ac:dyDescent="0.3">
      <c r="A200" s="260" t="s">
        <v>173</v>
      </c>
      <c r="B200" s="261" t="s">
        <v>134</v>
      </c>
      <c r="C200" s="262" t="s">
        <v>528</v>
      </c>
      <c r="D200" s="261" t="s">
        <v>529</v>
      </c>
      <c r="E200" s="263">
        <v>40452</v>
      </c>
      <c r="F200" s="263" t="s">
        <v>87</v>
      </c>
      <c r="G200" s="263">
        <v>17498</v>
      </c>
      <c r="H200" s="267">
        <f t="shared" si="3"/>
        <v>0.43256204884801741</v>
      </c>
    </row>
    <row r="201" spans="1:8" x14ac:dyDescent="0.3">
      <c r="A201" s="260" t="s">
        <v>173</v>
      </c>
      <c r="B201" s="261" t="s">
        <v>134</v>
      </c>
      <c r="C201" s="262" t="s">
        <v>528</v>
      </c>
      <c r="D201" s="261" t="s">
        <v>529</v>
      </c>
      <c r="E201" s="263">
        <v>40375</v>
      </c>
      <c r="F201" s="263" t="s">
        <v>88</v>
      </c>
      <c r="G201" s="263">
        <v>17464</v>
      </c>
      <c r="H201" s="267">
        <f t="shared" si="3"/>
        <v>0.43254489164086685</v>
      </c>
    </row>
    <row r="202" spans="1:8" x14ac:dyDescent="0.3">
      <c r="A202" s="260" t="s">
        <v>155</v>
      </c>
      <c r="B202" s="261" t="s">
        <v>122</v>
      </c>
      <c r="C202" s="262" t="s">
        <v>169</v>
      </c>
      <c r="D202" s="261" t="s">
        <v>168</v>
      </c>
      <c r="E202" s="263">
        <v>53737</v>
      </c>
      <c r="F202" s="263" t="s">
        <v>88</v>
      </c>
      <c r="G202" s="263">
        <v>22938</v>
      </c>
      <c r="H202" s="267">
        <f t="shared" si="3"/>
        <v>0.42685672813889869</v>
      </c>
    </row>
    <row r="203" spans="1:8" x14ac:dyDescent="0.3">
      <c r="A203" s="260" t="s">
        <v>155</v>
      </c>
      <c r="B203" s="261" t="s">
        <v>122</v>
      </c>
      <c r="C203" s="262" t="s">
        <v>169</v>
      </c>
      <c r="D203" s="261" t="s">
        <v>168</v>
      </c>
      <c r="E203" s="263">
        <v>56553</v>
      </c>
      <c r="F203" s="263" t="s">
        <v>87</v>
      </c>
      <c r="G203" s="263">
        <v>24140</v>
      </c>
      <c r="H203" s="267">
        <f t="shared" si="3"/>
        <v>0.42685622336569234</v>
      </c>
    </row>
    <row r="204" spans="1:8" x14ac:dyDescent="0.3">
      <c r="A204" s="260" t="s">
        <v>197</v>
      </c>
      <c r="B204" s="261" t="s">
        <v>126</v>
      </c>
      <c r="C204" s="262" t="s">
        <v>386</v>
      </c>
      <c r="D204" s="261" t="s">
        <v>387</v>
      </c>
      <c r="E204" s="263">
        <v>12850</v>
      </c>
      <c r="F204" s="263" t="s">
        <v>87</v>
      </c>
      <c r="G204" s="263">
        <v>5478</v>
      </c>
      <c r="H204" s="267">
        <f t="shared" si="3"/>
        <v>0.4263035019455253</v>
      </c>
    </row>
    <row r="205" spans="1:8" x14ac:dyDescent="0.3">
      <c r="A205" s="260" t="s">
        <v>197</v>
      </c>
      <c r="B205" s="261" t="s">
        <v>126</v>
      </c>
      <c r="C205" s="262" t="s">
        <v>386</v>
      </c>
      <c r="D205" s="261" t="s">
        <v>387</v>
      </c>
      <c r="E205" s="263">
        <v>12315</v>
      </c>
      <c r="F205" s="263" t="s">
        <v>88</v>
      </c>
      <c r="G205" s="263">
        <v>5249</v>
      </c>
      <c r="H205" s="267">
        <f t="shared" si="3"/>
        <v>0.42622817701989446</v>
      </c>
    </row>
    <row r="206" spans="1:8" x14ac:dyDescent="0.3">
      <c r="A206" s="260" t="s">
        <v>197</v>
      </c>
      <c r="B206" s="261" t="s">
        <v>126</v>
      </c>
      <c r="C206" s="262" t="s">
        <v>390</v>
      </c>
      <c r="D206" s="261" t="s">
        <v>391</v>
      </c>
      <c r="E206" s="263">
        <v>212484</v>
      </c>
      <c r="F206" s="263" t="s">
        <v>87</v>
      </c>
      <c r="G206" s="263">
        <v>89755</v>
      </c>
      <c r="H206" s="267">
        <f t="shared" si="3"/>
        <v>0.42240827544662185</v>
      </c>
    </row>
    <row r="207" spans="1:8" x14ac:dyDescent="0.3">
      <c r="A207" s="260" t="s">
        <v>197</v>
      </c>
      <c r="B207" s="261" t="s">
        <v>126</v>
      </c>
      <c r="C207" s="262" t="s">
        <v>390</v>
      </c>
      <c r="D207" s="261" t="s">
        <v>391</v>
      </c>
      <c r="E207" s="263">
        <v>159983</v>
      </c>
      <c r="F207" s="263" t="s">
        <v>88</v>
      </c>
      <c r="G207" s="263">
        <v>67578</v>
      </c>
      <c r="H207" s="267">
        <f t="shared" si="3"/>
        <v>0.42240738078420831</v>
      </c>
    </row>
    <row r="208" spans="1:8" x14ac:dyDescent="0.3">
      <c r="A208" s="260" t="s">
        <v>150</v>
      </c>
      <c r="B208" s="261" t="s">
        <v>125</v>
      </c>
      <c r="C208" s="262" t="s">
        <v>382</v>
      </c>
      <c r="D208" s="261" t="s">
        <v>383</v>
      </c>
      <c r="E208" s="263">
        <v>9671</v>
      </c>
      <c r="F208" s="263" t="s">
        <v>88</v>
      </c>
      <c r="G208" s="263">
        <v>4076</v>
      </c>
      <c r="H208" s="267">
        <f t="shared" si="3"/>
        <v>0.42146623927205046</v>
      </c>
    </row>
    <row r="209" spans="1:8" x14ac:dyDescent="0.3">
      <c r="A209" s="260" t="s">
        <v>158</v>
      </c>
      <c r="B209" s="261" t="s">
        <v>129</v>
      </c>
      <c r="C209" s="262" t="s">
        <v>462</v>
      </c>
      <c r="D209" s="261" t="s">
        <v>463</v>
      </c>
      <c r="E209" s="263">
        <v>92865</v>
      </c>
      <c r="F209" s="263" t="s">
        <v>87</v>
      </c>
      <c r="G209" s="263">
        <v>39139</v>
      </c>
      <c r="H209" s="267">
        <f t="shared" si="3"/>
        <v>0.42146126097022557</v>
      </c>
    </row>
    <row r="210" spans="1:8" x14ac:dyDescent="0.3">
      <c r="A210" s="260" t="s">
        <v>158</v>
      </c>
      <c r="B210" s="261" t="s">
        <v>129</v>
      </c>
      <c r="C210" s="262" t="s">
        <v>462</v>
      </c>
      <c r="D210" s="261" t="s">
        <v>463</v>
      </c>
      <c r="E210" s="263">
        <v>97820</v>
      </c>
      <c r="F210" s="263" t="s">
        <v>88</v>
      </c>
      <c r="G210" s="263">
        <v>41227</v>
      </c>
      <c r="H210" s="267">
        <f t="shared" si="3"/>
        <v>0.42145777959517483</v>
      </c>
    </row>
    <row r="211" spans="1:8" x14ac:dyDescent="0.3">
      <c r="A211" s="260" t="s">
        <v>150</v>
      </c>
      <c r="B211" s="261" t="s">
        <v>125</v>
      </c>
      <c r="C211" s="262" t="s">
        <v>382</v>
      </c>
      <c r="D211" s="261" t="s">
        <v>383</v>
      </c>
      <c r="E211" s="263">
        <v>21683</v>
      </c>
      <c r="F211" s="263" t="s">
        <v>87</v>
      </c>
      <c r="G211" s="263">
        <v>9138</v>
      </c>
      <c r="H211" s="267">
        <f t="shared" si="3"/>
        <v>0.42143614813448321</v>
      </c>
    </row>
    <row r="212" spans="1:8" x14ac:dyDescent="0.3">
      <c r="A212" s="260" t="s">
        <v>170</v>
      </c>
      <c r="B212" s="261" t="s">
        <v>130</v>
      </c>
      <c r="C212" s="262" t="s">
        <v>466</v>
      </c>
      <c r="D212" s="261" t="s">
        <v>482</v>
      </c>
      <c r="E212" s="263">
        <v>43198</v>
      </c>
      <c r="F212" s="263" t="s">
        <v>87</v>
      </c>
      <c r="G212" s="263">
        <v>18156</v>
      </c>
      <c r="H212" s="267">
        <f t="shared" si="3"/>
        <v>0.42029723598314739</v>
      </c>
    </row>
    <row r="213" spans="1:8" x14ac:dyDescent="0.3">
      <c r="A213" s="260" t="s">
        <v>170</v>
      </c>
      <c r="B213" s="261" t="s">
        <v>130</v>
      </c>
      <c r="C213" s="262" t="s">
        <v>466</v>
      </c>
      <c r="D213" s="261" t="s">
        <v>482</v>
      </c>
      <c r="E213" s="263">
        <v>42037</v>
      </c>
      <c r="F213" s="263" t="s">
        <v>88</v>
      </c>
      <c r="G213" s="263">
        <v>17668</v>
      </c>
      <c r="H213" s="267">
        <f t="shared" si="3"/>
        <v>0.42029640554749387</v>
      </c>
    </row>
    <row r="214" spans="1:8" x14ac:dyDescent="0.3">
      <c r="A214" s="260" t="s">
        <v>191</v>
      </c>
      <c r="B214" s="261" t="s">
        <v>121</v>
      </c>
      <c r="C214" s="262" t="s">
        <v>289</v>
      </c>
      <c r="D214" s="261" t="s">
        <v>288</v>
      </c>
      <c r="E214" s="263">
        <v>26225</v>
      </c>
      <c r="F214" s="263" t="s">
        <v>87</v>
      </c>
      <c r="G214" s="263">
        <v>11006</v>
      </c>
      <c r="H214" s="267">
        <f t="shared" si="3"/>
        <v>0.41967588179218301</v>
      </c>
    </row>
    <row r="215" spans="1:8" x14ac:dyDescent="0.3">
      <c r="A215" s="260" t="s">
        <v>191</v>
      </c>
      <c r="B215" s="261" t="s">
        <v>121</v>
      </c>
      <c r="C215" s="262" t="s">
        <v>289</v>
      </c>
      <c r="D215" s="261" t="s">
        <v>288</v>
      </c>
      <c r="E215" s="263">
        <v>26225</v>
      </c>
      <c r="F215" s="263" t="s">
        <v>88</v>
      </c>
      <c r="G215" s="263">
        <v>11006</v>
      </c>
      <c r="H215" s="267">
        <f t="shared" si="3"/>
        <v>0.41967588179218301</v>
      </c>
    </row>
    <row r="216" spans="1:8" x14ac:dyDescent="0.3">
      <c r="A216" s="260" t="s">
        <v>194</v>
      </c>
      <c r="B216" s="261" t="s">
        <v>135</v>
      </c>
      <c r="C216" s="262" t="s">
        <v>542</v>
      </c>
      <c r="D216" s="261" t="s">
        <v>543</v>
      </c>
      <c r="E216" s="263">
        <v>45809</v>
      </c>
      <c r="F216" s="263" t="s">
        <v>87</v>
      </c>
      <c r="G216" s="263">
        <v>18807</v>
      </c>
      <c r="H216" s="267">
        <f t="shared" si="3"/>
        <v>0.41055251151520444</v>
      </c>
    </row>
    <row r="217" spans="1:8" x14ac:dyDescent="0.3">
      <c r="A217" s="260" t="s">
        <v>194</v>
      </c>
      <c r="B217" s="261" t="s">
        <v>135</v>
      </c>
      <c r="C217" s="262" t="s">
        <v>542</v>
      </c>
      <c r="D217" s="261" t="s">
        <v>543</v>
      </c>
      <c r="E217" s="263">
        <v>46202</v>
      </c>
      <c r="F217" s="263" t="s">
        <v>88</v>
      </c>
      <c r="G217" s="263">
        <v>18968</v>
      </c>
      <c r="H217" s="267">
        <f t="shared" si="3"/>
        <v>0.41054499805203237</v>
      </c>
    </row>
    <row r="218" spans="1:8" x14ac:dyDescent="0.3">
      <c r="A218" s="260" t="s">
        <v>147</v>
      </c>
      <c r="B218" s="261" t="s">
        <v>132</v>
      </c>
      <c r="C218" s="262" t="s">
        <v>510</v>
      </c>
      <c r="D218" s="261" t="s">
        <v>511</v>
      </c>
      <c r="E218" s="263">
        <v>84123</v>
      </c>
      <c r="F218" s="263" t="s">
        <v>88</v>
      </c>
      <c r="G218" s="263">
        <v>34533</v>
      </c>
      <c r="H218" s="267">
        <f t="shared" si="3"/>
        <v>0.41050604472023111</v>
      </c>
    </row>
    <row r="219" spans="1:8" x14ac:dyDescent="0.3">
      <c r="A219" s="260" t="s">
        <v>147</v>
      </c>
      <c r="B219" s="261" t="s">
        <v>132</v>
      </c>
      <c r="C219" s="262" t="s">
        <v>510</v>
      </c>
      <c r="D219" s="261" t="s">
        <v>511</v>
      </c>
      <c r="E219" s="263">
        <v>84484</v>
      </c>
      <c r="F219" s="263" t="s">
        <v>87</v>
      </c>
      <c r="G219" s="263">
        <v>34680</v>
      </c>
      <c r="H219" s="267">
        <f t="shared" si="3"/>
        <v>0.41049192746555563</v>
      </c>
    </row>
    <row r="220" spans="1:8" x14ac:dyDescent="0.3">
      <c r="A220" s="260" t="s">
        <v>194</v>
      </c>
      <c r="B220" s="261" t="s">
        <v>135</v>
      </c>
      <c r="C220" s="262" t="s">
        <v>562</v>
      </c>
      <c r="D220" s="261" t="s">
        <v>563</v>
      </c>
      <c r="E220" s="263">
        <v>59785</v>
      </c>
      <c r="F220" s="263" t="s">
        <v>87</v>
      </c>
      <c r="G220" s="263">
        <v>24533</v>
      </c>
      <c r="H220" s="267">
        <f t="shared" si="3"/>
        <v>0.41035376766747511</v>
      </c>
    </row>
    <row r="221" spans="1:8" x14ac:dyDescent="0.3">
      <c r="A221" s="260" t="s">
        <v>194</v>
      </c>
      <c r="B221" s="261" t="s">
        <v>135</v>
      </c>
      <c r="C221" s="262" t="s">
        <v>562</v>
      </c>
      <c r="D221" s="261" t="s">
        <v>563</v>
      </c>
      <c r="E221" s="263">
        <v>96705</v>
      </c>
      <c r="F221" s="263" t="s">
        <v>88</v>
      </c>
      <c r="G221" s="263">
        <v>39683</v>
      </c>
      <c r="H221" s="267">
        <f t="shared" si="3"/>
        <v>0.41035106768005791</v>
      </c>
    </row>
    <row r="222" spans="1:8" x14ac:dyDescent="0.3">
      <c r="A222" s="260" t="s">
        <v>170</v>
      </c>
      <c r="B222" s="261" t="s">
        <v>130</v>
      </c>
      <c r="C222" s="262" t="s">
        <v>472</v>
      </c>
      <c r="D222" s="261" t="s">
        <v>473</v>
      </c>
      <c r="E222" s="263">
        <v>3968</v>
      </c>
      <c r="F222" s="263" t="s">
        <v>87</v>
      </c>
      <c r="G222" s="263">
        <v>1615</v>
      </c>
      <c r="H222" s="267">
        <f t="shared" si="3"/>
        <v>0.40700604838709675</v>
      </c>
    </row>
    <row r="223" spans="1:8" x14ac:dyDescent="0.3">
      <c r="A223" s="260" t="s">
        <v>170</v>
      </c>
      <c r="B223" s="261" t="s">
        <v>130</v>
      </c>
      <c r="C223" s="262" t="s">
        <v>472</v>
      </c>
      <c r="D223" s="261" t="s">
        <v>473</v>
      </c>
      <c r="E223" s="263">
        <v>3968</v>
      </c>
      <c r="F223" s="263" t="s">
        <v>88</v>
      </c>
      <c r="G223" s="263">
        <v>1615</v>
      </c>
      <c r="H223" s="267">
        <f t="shared" si="3"/>
        <v>0.40700604838709675</v>
      </c>
    </row>
    <row r="224" spans="1:8" x14ac:dyDescent="0.3">
      <c r="A224" s="260" t="s">
        <v>158</v>
      </c>
      <c r="B224" s="261" t="s">
        <v>129</v>
      </c>
      <c r="C224" s="262" t="s">
        <v>448</v>
      </c>
      <c r="D224" s="261" t="s">
        <v>449</v>
      </c>
      <c r="E224" s="263">
        <v>10923</v>
      </c>
      <c r="F224" s="263" t="s">
        <v>87</v>
      </c>
      <c r="G224" s="263">
        <v>4397</v>
      </c>
      <c r="H224" s="267">
        <f t="shared" si="3"/>
        <v>0.40254508834569258</v>
      </c>
    </row>
    <row r="225" spans="1:8" x14ac:dyDescent="0.3">
      <c r="A225" s="260" t="s">
        <v>158</v>
      </c>
      <c r="B225" s="261" t="s">
        <v>129</v>
      </c>
      <c r="C225" s="262" t="s">
        <v>448</v>
      </c>
      <c r="D225" s="261" t="s">
        <v>449</v>
      </c>
      <c r="E225" s="263">
        <v>53678</v>
      </c>
      <c r="F225" s="263" t="s">
        <v>88</v>
      </c>
      <c r="G225" s="263">
        <v>21607</v>
      </c>
      <c r="H225" s="267">
        <f t="shared" si="3"/>
        <v>0.40252990051790305</v>
      </c>
    </row>
    <row r="226" spans="1:8" x14ac:dyDescent="0.3">
      <c r="A226" s="260" t="s">
        <v>179</v>
      </c>
      <c r="B226" s="261" t="s">
        <v>133</v>
      </c>
      <c r="C226" s="262" t="s">
        <v>522</v>
      </c>
      <c r="D226" s="261" t="s">
        <v>523</v>
      </c>
      <c r="E226" s="263">
        <v>26356</v>
      </c>
      <c r="F226" s="263" t="s">
        <v>87</v>
      </c>
      <c r="G226" s="263">
        <v>10584</v>
      </c>
      <c r="H226" s="267">
        <f t="shared" si="3"/>
        <v>0.40157838822279557</v>
      </c>
    </row>
    <row r="227" spans="1:8" x14ac:dyDescent="0.3">
      <c r="A227" s="260" t="s">
        <v>179</v>
      </c>
      <c r="B227" s="261" t="s">
        <v>133</v>
      </c>
      <c r="C227" s="262" t="s">
        <v>522</v>
      </c>
      <c r="D227" s="261" t="s">
        <v>523</v>
      </c>
      <c r="E227" s="263">
        <v>31649</v>
      </c>
      <c r="F227" s="263" t="s">
        <v>88</v>
      </c>
      <c r="G227" s="263">
        <v>12708</v>
      </c>
      <c r="H227" s="267">
        <f t="shared" si="3"/>
        <v>0.40152927422667384</v>
      </c>
    </row>
    <row r="228" spans="1:8" x14ac:dyDescent="0.3">
      <c r="A228" s="260" t="s">
        <v>141</v>
      </c>
      <c r="B228" s="261" t="s">
        <v>123</v>
      </c>
      <c r="C228" s="262" t="s">
        <v>160</v>
      </c>
      <c r="D228" s="261" t="s">
        <v>159</v>
      </c>
      <c r="E228" s="263">
        <v>85993</v>
      </c>
      <c r="F228" s="263" t="s">
        <v>88</v>
      </c>
      <c r="G228" s="263">
        <v>34456</v>
      </c>
      <c r="H228" s="267">
        <f t="shared" si="3"/>
        <v>0.40068377658646637</v>
      </c>
    </row>
    <row r="229" spans="1:8" x14ac:dyDescent="0.3">
      <c r="A229" s="260" t="s">
        <v>141</v>
      </c>
      <c r="B229" s="261" t="s">
        <v>123</v>
      </c>
      <c r="C229" s="262" t="s">
        <v>152</v>
      </c>
      <c r="D229" s="261" t="s">
        <v>151</v>
      </c>
      <c r="E229" s="263">
        <v>82610</v>
      </c>
      <c r="F229" s="263" t="s">
        <v>88</v>
      </c>
      <c r="G229" s="263">
        <v>32889</v>
      </c>
      <c r="H229" s="267">
        <f t="shared" si="3"/>
        <v>0.39812371383609735</v>
      </c>
    </row>
    <row r="230" spans="1:8" x14ac:dyDescent="0.3">
      <c r="A230" s="260" t="s">
        <v>141</v>
      </c>
      <c r="B230" s="261" t="s">
        <v>123</v>
      </c>
      <c r="C230" s="262" t="s">
        <v>152</v>
      </c>
      <c r="D230" s="261" t="s">
        <v>151</v>
      </c>
      <c r="E230" s="263">
        <v>32249</v>
      </c>
      <c r="F230" s="263" t="s">
        <v>87</v>
      </c>
      <c r="G230" s="263">
        <v>12839</v>
      </c>
      <c r="H230" s="267">
        <f t="shared" si="3"/>
        <v>0.39812087196502216</v>
      </c>
    </row>
    <row r="231" spans="1:8" x14ac:dyDescent="0.3">
      <c r="A231" s="260" t="s">
        <v>185</v>
      </c>
      <c r="B231" s="261" t="s">
        <v>120</v>
      </c>
      <c r="C231" s="262" t="s">
        <v>261</v>
      </c>
      <c r="D231" s="261" t="s">
        <v>260</v>
      </c>
      <c r="E231" s="263">
        <v>43133</v>
      </c>
      <c r="F231" s="263" t="s">
        <v>87</v>
      </c>
      <c r="G231" s="263">
        <v>16791</v>
      </c>
      <c r="H231" s="267">
        <f t="shared" si="3"/>
        <v>0.38928430667934066</v>
      </c>
    </row>
    <row r="232" spans="1:8" x14ac:dyDescent="0.3">
      <c r="A232" s="264" t="s">
        <v>185</v>
      </c>
      <c r="B232" s="261" t="s">
        <v>120</v>
      </c>
      <c r="C232" s="262" t="s">
        <v>261</v>
      </c>
      <c r="D232" s="261" t="s">
        <v>260</v>
      </c>
      <c r="E232" s="263">
        <v>43133</v>
      </c>
      <c r="F232" s="263" t="s">
        <v>88</v>
      </c>
      <c r="G232" s="263">
        <v>16791</v>
      </c>
      <c r="H232" s="267">
        <f t="shared" si="3"/>
        <v>0.38928430667934066</v>
      </c>
    </row>
    <row r="233" spans="1:8" x14ac:dyDescent="0.3">
      <c r="A233" s="260" t="s">
        <v>185</v>
      </c>
      <c r="B233" s="261" t="s">
        <v>120</v>
      </c>
      <c r="C233" s="262" t="s">
        <v>273</v>
      </c>
      <c r="D233" s="261" t="s">
        <v>272</v>
      </c>
      <c r="E233" s="263">
        <v>7370</v>
      </c>
      <c r="F233" s="263" t="s">
        <v>88</v>
      </c>
      <c r="G233" s="263">
        <v>2806</v>
      </c>
      <c r="H233" s="267">
        <f t="shared" si="3"/>
        <v>0.38073270013568522</v>
      </c>
    </row>
    <row r="234" spans="1:8" x14ac:dyDescent="0.3">
      <c r="A234" s="260" t="s">
        <v>185</v>
      </c>
      <c r="B234" s="261" t="s">
        <v>120</v>
      </c>
      <c r="C234" s="262" t="s">
        <v>273</v>
      </c>
      <c r="D234" s="261" t="s">
        <v>272</v>
      </c>
      <c r="E234" s="263">
        <v>8997</v>
      </c>
      <c r="F234" s="263" t="s">
        <v>87</v>
      </c>
      <c r="G234" s="263">
        <v>3425</v>
      </c>
      <c r="H234" s="267">
        <f t="shared" si="3"/>
        <v>0.38068244970545739</v>
      </c>
    </row>
    <row r="235" spans="1:8" x14ac:dyDescent="0.3">
      <c r="A235" s="260" t="s">
        <v>176</v>
      </c>
      <c r="B235" s="261" t="s">
        <v>127</v>
      </c>
      <c r="C235" s="262" t="s">
        <v>418</v>
      </c>
      <c r="D235" s="261" t="s">
        <v>419</v>
      </c>
      <c r="E235" s="263">
        <v>7264</v>
      </c>
      <c r="F235" s="263" t="s">
        <v>88</v>
      </c>
      <c r="G235" s="263">
        <v>2646</v>
      </c>
      <c r="H235" s="267">
        <f t="shared" si="3"/>
        <v>0.36426211453744495</v>
      </c>
    </row>
    <row r="236" spans="1:8" x14ac:dyDescent="0.3">
      <c r="A236" s="260" t="s">
        <v>176</v>
      </c>
      <c r="B236" s="261" t="s">
        <v>127</v>
      </c>
      <c r="C236" s="262" t="s">
        <v>418</v>
      </c>
      <c r="D236" s="261" t="s">
        <v>419</v>
      </c>
      <c r="E236" s="263">
        <v>7993</v>
      </c>
      <c r="F236" s="263" t="s">
        <v>87</v>
      </c>
      <c r="G236" s="263">
        <v>2911</v>
      </c>
      <c r="H236" s="267">
        <f t="shared" si="3"/>
        <v>0.36419366946077819</v>
      </c>
    </row>
    <row r="237" spans="1:8" x14ac:dyDescent="0.3">
      <c r="A237" s="260" t="s">
        <v>185</v>
      </c>
      <c r="B237" s="261" t="s">
        <v>120</v>
      </c>
      <c r="C237" s="262" t="s">
        <v>237</v>
      </c>
      <c r="D237" s="261" t="s">
        <v>236</v>
      </c>
      <c r="E237" s="263">
        <v>17373</v>
      </c>
      <c r="F237" s="263" t="s">
        <v>568</v>
      </c>
      <c r="G237" s="263">
        <v>6302</v>
      </c>
      <c r="H237" s="267">
        <f t="shared" si="3"/>
        <v>0.36274679099752488</v>
      </c>
    </row>
    <row r="238" spans="1:8" x14ac:dyDescent="0.3">
      <c r="A238" s="260" t="s">
        <v>167</v>
      </c>
      <c r="B238" s="261" t="s">
        <v>119</v>
      </c>
      <c r="C238" s="262" t="s">
        <v>207</v>
      </c>
      <c r="D238" s="261" t="s">
        <v>206</v>
      </c>
      <c r="E238" s="263">
        <v>1945</v>
      </c>
      <c r="F238" s="263" t="s">
        <v>88</v>
      </c>
      <c r="G238" s="263">
        <v>700</v>
      </c>
      <c r="H238" s="267">
        <f t="shared" si="3"/>
        <v>0.35989717223650386</v>
      </c>
    </row>
    <row r="239" spans="1:8" x14ac:dyDescent="0.3">
      <c r="A239" s="260" t="s">
        <v>167</v>
      </c>
      <c r="B239" s="261" t="s">
        <v>119</v>
      </c>
      <c r="C239" s="262" t="s">
        <v>207</v>
      </c>
      <c r="D239" s="261" t="s">
        <v>206</v>
      </c>
      <c r="E239" s="263">
        <v>1946</v>
      </c>
      <c r="F239" s="263" t="s">
        <v>87</v>
      </c>
      <c r="G239" s="263">
        <v>700</v>
      </c>
      <c r="H239" s="267">
        <f t="shared" si="3"/>
        <v>0.35971223021582732</v>
      </c>
    </row>
    <row r="240" spans="1:8" x14ac:dyDescent="0.3">
      <c r="A240" s="260" t="s">
        <v>179</v>
      </c>
      <c r="B240" s="261" t="s">
        <v>133</v>
      </c>
      <c r="C240" s="262" t="s">
        <v>520</v>
      </c>
      <c r="D240" s="261" t="s">
        <v>521</v>
      </c>
      <c r="E240" s="263">
        <v>99538</v>
      </c>
      <c r="F240" s="263" t="s">
        <v>87</v>
      </c>
      <c r="G240" s="263">
        <v>35796</v>
      </c>
      <c r="H240" s="267">
        <f t="shared" si="3"/>
        <v>0.35962145110410093</v>
      </c>
    </row>
    <row r="241" spans="1:8" x14ac:dyDescent="0.3">
      <c r="A241" s="260" t="s">
        <v>179</v>
      </c>
      <c r="B241" s="261" t="s">
        <v>133</v>
      </c>
      <c r="C241" s="262" t="s">
        <v>520</v>
      </c>
      <c r="D241" s="261" t="s">
        <v>521</v>
      </c>
      <c r="E241" s="263">
        <v>156069</v>
      </c>
      <c r="F241" s="263" t="s">
        <v>88</v>
      </c>
      <c r="G241" s="263">
        <v>56125</v>
      </c>
      <c r="H241" s="267">
        <f t="shared" si="3"/>
        <v>0.35961657984609374</v>
      </c>
    </row>
    <row r="242" spans="1:8" x14ac:dyDescent="0.3">
      <c r="A242" s="260" t="s">
        <v>188</v>
      </c>
      <c r="B242" s="261" t="s">
        <v>124</v>
      </c>
      <c r="C242" s="262" t="s">
        <v>348</v>
      </c>
      <c r="D242" s="261" t="s">
        <v>349</v>
      </c>
      <c r="E242" s="263">
        <v>44909</v>
      </c>
      <c r="F242" s="263" t="s">
        <v>87</v>
      </c>
      <c r="G242" s="263">
        <v>16056</v>
      </c>
      <c r="H242" s="267">
        <f t="shared" si="3"/>
        <v>0.35752299093722861</v>
      </c>
    </row>
    <row r="243" spans="1:8" x14ac:dyDescent="0.3">
      <c r="A243" s="260" t="s">
        <v>188</v>
      </c>
      <c r="B243" s="261" t="s">
        <v>124</v>
      </c>
      <c r="C243" s="262" t="s">
        <v>348</v>
      </c>
      <c r="D243" s="261" t="s">
        <v>349</v>
      </c>
      <c r="E243" s="263">
        <v>44297</v>
      </c>
      <c r="F243" s="263" t="s">
        <v>88</v>
      </c>
      <c r="G243" s="263">
        <v>15837</v>
      </c>
      <c r="H243" s="267">
        <f t="shared" si="3"/>
        <v>0.35751856784883851</v>
      </c>
    </row>
    <row r="244" spans="1:8" x14ac:dyDescent="0.3">
      <c r="A244" s="260" t="s">
        <v>185</v>
      </c>
      <c r="B244" s="261" t="s">
        <v>120</v>
      </c>
      <c r="C244" s="262" t="s">
        <v>255</v>
      </c>
      <c r="D244" s="261" t="s">
        <v>254</v>
      </c>
      <c r="E244" s="263">
        <v>87312</v>
      </c>
      <c r="F244" s="263" t="s">
        <v>87</v>
      </c>
      <c r="G244" s="263">
        <v>30137</v>
      </c>
      <c r="H244" s="267">
        <f t="shared" si="3"/>
        <v>0.34516446765622139</v>
      </c>
    </row>
    <row r="245" spans="1:8" x14ac:dyDescent="0.3">
      <c r="A245" s="260" t="s">
        <v>185</v>
      </c>
      <c r="B245" s="261" t="s">
        <v>120</v>
      </c>
      <c r="C245" s="262" t="s">
        <v>255</v>
      </c>
      <c r="D245" s="261" t="s">
        <v>254</v>
      </c>
      <c r="E245" s="263">
        <v>100380</v>
      </c>
      <c r="F245" s="263" t="s">
        <v>88</v>
      </c>
      <c r="G245" s="263">
        <v>34647</v>
      </c>
      <c r="H245" s="267">
        <f t="shared" si="3"/>
        <v>0.34515839808726839</v>
      </c>
    </row>
    <row r="246" spans="1:8" x14ac:dyDescent="0.3">
      <c r="A246" s="260" t="s">
        <v>150</v>
      </c>
      <c r="B246" s="261" t="s">
        <v>125</v>
      </c>
      <c r="C246" s="262" t="s">
        <v>370</v>
      </c>
      <c r="D246" s="261" t="s">
        <v>371</v>
      </c>
      <c r="E246" s="263">
        <v>5384</v>
      </c>
      <c r="F246" s="263" t="s">
        <v>568</v>
      </c>
      <c r="G246" s="263">
        <v>1839</v>
      </c>
      <c r="H246" s="267">
        <f t="shared" si="3"/>
        <v>0.34156760772659733</v>
      </c>
    </row>
    <row r="247" spans="1:8" x14ac:dyDescent="0.3">
      <c r="A247" s="260" t="s">
        <v>191</v>
      </c>
      <c r="B247" s="261" t="s">
        <v>121</v>
      </c>
      <c r="C247" s="262" t="s">
        <v>277</v>
      </c>
      <c r="D247" s="261" t="s">
        <v>276</v>
      </c>
      <c r="E247" s="263">
        <v>69941</v>
      </c>
      <c r="F247" s="263" t="s">
        <v>87</v>
      </c>
      <c r="G247" s="263">
        <v>23740</v>
      </c>
      <c r="H247" s="267">
        <f t="shared" si="3"/>
        <v>0.33942894725554396</v>
      </c>
    </row>
    <row r="248" spans="1:8" x14ac:dyDescent="0.3">
      <c r="A248" s="260" t="s">
        <v>191</v>
      </c>
      <c r="B248" s="261" t="s">
        <v>121</v>
      </c>
      <c r="C248" s="262" t="s">
        <v>277</v>
      </c>
      <c r="D248" s="261" t="s">
        <v>276</v>
      </c>
      <c r="E248" s="263">
        <v>70495</v>
      </c>
      <c r="F248" s="263" t="s">
        <v>88</v>
      </c>
      <c r="G248" s="263">
        <v>23927</v>
      </c>
      <c r="H248" s="267">
        <f t="shared" si="3"/>
        <v>0.33941414284701044</v>
      </c>
    </row>
    <row r="249" spans="1:8" x14ac:dyDescent="0.3">
      <c r="A249" s="260" t="s">
        <v>173</v>
      </c>
      <c r="B249" s="261" t="s">
        <v>134</v>
      </c>
      <c r="C249" s="262" t="s">
        <v>526</v>
      </c>
      <c r="D249" s="261" t="s">
        <v>527</v>
      </c>
      <c r="E249" s="263">
        <v>36214</v>
      </c>
      <c r="F249" s="263" t="s">
        <v>88</v>
      </c>
      <c r="G249" s="263">
        <v>11917</v>
      </c>
      <c r="H249" s="267">
        <f t="shared" si="3"/>
        <v>0.32907162975644777</v>
      </c>
    </row>
    <row r="250" spans="1:8" x14ac:dyDescent="0.3">
      <c r="A250" s="260" t="s">
        <v>173</v>
      </c>
      <c r="B250" s="261" t="s">
        <v>134</v>
      </c>
      <c r="C250" s="262" t="s">
        <v>526</v>
      </c>
      <c r="D250" s="261" t="s">
        <v>527</v>
      </c>
      <c r="E250" s="263">
        <v>36548</v>
      </c>
      <c r="F250" s="263" t="s">
        <v>87</v>
      </c>
      <c r="G250" s="263">
        <v>12026</v>
      </c>
      <c r="H250" s="267">
        <f t="shared" si="3"/>
        <v>0.32904673306336873</v>
      </c>
    </row>
    <row r="251" spans="1:8" x14ac:dyDescent="0.3">
      <c r="A251" s="260" t="s">
        <v>161</v>
      </c>
      <c r="B251" s="261" t="s">
        <v>128</v>
      </c>
      <c r="C251" s="262" t="s">
        <v>424</v>
      </c>
      <c r="D251" s="261" t="s">
        <v>425</v>
      </c>
      <c r="E251" s="263">
        <v>154013</v>
      </c>
      <c r="F251" s="263" t="s">
        <v>88</v>
      </c>
      <c r="G251" s="263">
        <v>50308</v>
      </c>
      <c r="H251" s="267">
        <f t="shared" si="3"/>
        <v>0.32664775051456696</v>
      </c>
    </row>
    <row r="252" spans="1:8" x14ac:dyDescent="0.3">
      <c r="A252" s="260" t="s">
        <v>161</v>
      </c>
      <c r="B252" s="261" t="s">
        <v>128</v>
      </c>
      <c r="C252" s="262" t="s">
        <v>424</v>
      </c>
      <c r="D252" s="261" t="s">
        <v>425</v>
      </c>
      <c r="E252" s="263">
        <v>170470</v>
      </c>
      <c r="F252" s="263" t="s">
        <v>87</v>
      </c>
      <c r="G252" s="263">
        <v>55683</v>
      </c>
      <c r="H252" s="267">
        <f t="shared" si="3"/>
        <v>0.32664398427875874</v>
      </c>
    </row>
    <row r="253" spans="1:8" x14ac:dyDescent="0.3">
      <c r="A253" s="260" t="s">
        <v>191</v>
      </c>
      <c r="B253" s="261" t="s">
        <v>121</v>
      </c>
      <c r="C253" s="262" t="s">
        <v>287</v>
      </c>
      <c r="D253" s="261" t="s">
        <v>286</v>
      </c>
      <c r="E253" s="263">
        <v>44562</v>
      </c>
      <c r="F253" s="263" t="s">
        <v>88</v>
      </c>
      <c r="G253" s="263">
        <v>14122</v>
      </c>
      <c r="H253" s="267">
        <f t="shared" si="3"/>
        <v>0.31690678156276647</v>
      </c>
    </row>
    <row r="254" spans="1:8" x14ac:dyDescent="0.3">
      <c r="A254" s="260" t="s">
        <v>158</v>
      </c>
      <c r="B254" s="261" t="s">
        <v>129</v>
      </c>
      <c r="C254" s="262" t="s">
        <v>456</v>
      </c>
      <c r="D254" s="261" t="s">
        <v>457</v>
      </c>
      <c r="E254" s="263">
        <v>12202</v>
      </c>
      <c r="F254" s="263" t="s">
        <v>87</v>
      </c>
      <c r="G254" s="263">
        <v>3815</v>
      </c>
      <c r="H254" s="267">
        <f t="shared" si="3"/>
        <v>0.31265366333387967</v>
      </c>
    </row>
    <row r="255" spans="1:8" x14ac:dyDescent="0.3">
      <c r="A255" s="260" t="s">
        <v>158</v>
      </c>
      <c r="B255" s="261" t="s">
        <v>129</v>
      </c>
      <c r="C255" s="262" t="s">
        <v>456</v>
      </c>
      <c r="D255" s="261" t="s">
        <v>457</v>
      </c>
      <c r="E255" s="263">
        <v>12202</v>
      </c>
      <c r="F255" s="263" t="s">
        <v>88</v>
      </c>
      <c r="G255" s="263">
        <v>3815</v>
      </c>
      <c r="H255" s="267">
        <f t="shared" si="3"/>
        <v>0.31265366333387967</v>
      </c>
    </row>
    <row r="256" spans="1:8" x14ac:dyDescent="0.3">
      <c r="A256" s="260" t="s">
        <v>170</v>
      </c>
      <c r="B256" s="261" t="s">
        <v>130</v>
      </c>
      <c r="C256" s="262" t="s">
        <v>480</v>
      </c>
      <c r="D256" s="261" t="s">
        <v>481</v>
      </c>
      <c r="E256" s="263">
        <v>8097</v>
      </c>
      <c r="F256" s="263" t="s">
        <v>88</v>
      </c>
      <c r="G256" s="263">
        <v>2508</v>
      </c>
      <c r="H256" s="267">
        <f t="shared" si="3"/>
        <v>0.30974434975917009</v>
      </c>
    </row>
    <row r="257" spans="1:8" x14ac:dyDescent="0.3">
      <c r="A257" s="260" t="s">
        <v>170</v>
      </c>
      <c r="B257" s="261" t="s">
        <v>130</v>
      </c>
      <c r="C257" s="262" t="s">
        <v>480</v>
      </c>
      <c r="D257" s="261" t="s">
        <v>481</v>
      </c>
      <c r="E257" s="263">
        <v>8036</v>
      </c>
      <c r="F257" s="263" t="s">
        <v>87</v>
      </c>
      <c r="G257" s="263">
        <v>2489</v>
      </c>
      <c r="H257" s="267">
        <f t="shared" si="3"/>
        <v>0.30973120955699351</v>
      </c>
    </row>
    <row r="258" spans="1:8" x14ac:dyDescent="0.3">
      <c r="A258" s="260" t="s">
        <v>197</v>
      </c>
      <c r="B258" s="261" t="s">
        <v>126</v>
      </c>
      <c r="C258" s="262" t="s">
        <v>392</v>
      </c>
      <c r="D258" s="261" t="s">
        <v>393</v>
      </c>
      <c r="E258" s="263">
        <v>19378</v>
      </c>
      <c r="F258" s="263" t="s">
        <v>88</v>
      </c>
      <c r="G258" s="263">
        <v>5926</v>
      </c>
      <c r="H258" s="267">
        <f t="shared" si="3"/>
        <v>0.30581071317989472</v>
      </c>
    </row>
    <row r="259" spans="1:8" x14ac:dyDescent="0.3">
      <c r="A259" s="260" t="s">
        <v>197</v>
      </c>
      <c r="B259" s="261" t="s">
        <v>126</v>
      </c>
      <c r="C259" s="262" t="s">
        <v>392</v>
      </c>
      <c r="D259" s="261" t="s">
        <v>393</v>
      </c>
      <c r="E259" s="263">
        <v>19380</v>
      </c>
      <c r="F259" s="263" t="s">
        <v>87</v>
      </c>
      <c r="G259" s="263">
        <v>5926</v>
      </c>
      <c r="H259" s="267">
        <f t="shared" si="3"/>
        <v>0.30577915376676984</v>
      </c>
    </row>
    <row r="260" spans="1:8" x14ac:dyDescent="0.3">
      <c r="A260" s="260" t="s">
        <v>179</v>
      </c>
      <c r="B260" s="261" t="s">
        <v>133</v>
      </c>
      <c r="C260" s="262" t="s">
        <v>514</v>
      </c>
      <c r="D260" s="261" t="s">
        <v>515</v>
      </c>
      <c r="E260" s="263">
        <v>107773</v>
      </c>
      <c r="F260" s="263" t="s">
        <v>88</v>
      </c>
      <c r="G260" s="263">
        <v>32494</v>
      </c>
      <c r="H260" s="267">
        <f t="shared" ref="H260:H323" si="4">IF(E260&lt;&gt;0,G260/E260,0)</f>
        <v>0.30150408729459138</v>
      </c>
    </row>
    <row r="261" spans="1:8" x14ac:dyDescent="0.3">
      <c r="A261" s="260" t="s">
        <v>179</v>
      </c>
      <c r="B261" s="261" t="s">
        <v>133</v>
      </c>
      <c r="C261" s="262" t="s">
        <v>514</v>
      </c>
      <c r="D261" s="261" t="s">
        <v>515</v>
      </c>
      <c r="E261" s="263">
        <v>107824</v>
      </c>
      <c r="F261" s="263" t="s">
        <v>87</v>
      </c>
      <c r="G261" s="263">
        <v>32508</v>
      </c>
      <c r="H261" s="267">
        <f t="shared" si="4"/>
        <v>0.30149131918682298</v>
      </c>
    </row>
    <row r="262" spans="1:8" x14ac:dyDescent="0.3">
      <c r="A262" s="260" t="s">
        <v>170</v>
      </c>
      <c r="B262" s="261" t="s">
        <v>130</v>
      </c>
      <c r="C262" s="262" t="s">
        <v>478</v>
      </c>
      <c r="D262" s="261" t="s">
        <v>479</v>
      </c>
      <c r="E262" s="263">
        <v>15156</v>
      </c>
      <c r="F262" s="263" t="s">
        <v>87</v>
      </c>
      <c r="G262" s="263">
        <v>4374</v>
      </c>
      <c r="H262" s="267">
        <f t="shared" si="4"/>
        <v>0.28859857482185275</v>
      </c>
    </row>
    <row r="263" spans="1:8" x14ac:dyDescent="0.3">
      <c r="A263" s="260" t="s">
        <v>170</v>
      </c>
      <c r="B263" s="261" t="s">
        <v>130</v>
      </c>
      <c r="C263" s="262" t="s">
        <v>478</v>
      </c>
      <c r="D263" s="261" t="s">
        <v>479</v>
      </c>
      <c r="E263" s="263">
        <v>15156</v>
      </c>
      <c r="F263" s="263" t="s">
        <v>88</v>
      </c>
      <c r="G263" s="263">
        <v>4374</v>
      </c>
      <c r="H263" s="267">
        <f t="shared" si="4"/>
        <v>0.28859857482185275</v>
      </c>
    </row>
    <row r="264" spans="1:8" x14ac:dyDescent="0.3">
      <c r="A264" s="260" t="s">
        <v>167</v>
      </c>
      <c r="B264" s="261" t="s">
        <v>119</v>
      </c>
      <c r="C264" s="262" t="s">
        <v>213</v>
      </c>
      <c r="D264" s="261" t="s">
        <v>212</v>
      </c>
      <c r="E264" s="263">
        <v>13232</v>
      </c>
      <c r="F264" s="263" t="s">
        <v>87</v>
      </c>
      <c r="G264" s="263">
        <v>3734</v>
      </c>
      <c r="H264" s="267">
        <f t="shared" si="4"/>
        <v>0.28219467956469163</v>
      </c>
    </row>
    <row r="265" spans="1:8" x14ac:dyDescent="0.3">
      <c r="A265" s="260" t="s">
        <v>167</v>
      </c>
      <c r="B265" s="261" t="s">
        <v>119</v>
      </c>
      <c r="C265" s="262" t="s">
        <v>213</v>
      </c>
      <c r="D265" s="261" t="s">
        <v>212</v>
      </c>
      <c r="E265" s="263">
        <v>13232</v>
      </c>
      <c r="F265" s="263" t="s">
        <v>88</v>
      </c>
      <c r="G265" s="263">
        <v>3734</v>
      </c>
      <c r="H265" s="267">
        <f t="shared" si="4"/>
        <v>0.28219467956469163</v>
      </c>
    </row>
    <row r="266" spans="1:8" x14ac:dyDescent="0.3">
      <c r="A266" s="260" t="s">
        <v>197</v>
      </c>
      <c r="B266" s="261" t="s">
        <v>126</v>
      </c>
      <c r="C266" s="262" t="s">
        <v>388</v>
      </c>
      <c r="D266" s="261" t="s">
        <v>389</v>
      </c>
      <c r="E266" s="263">
        <v>230501</v>
      </c>
      <c r="F266" s="263" t="s">
        <v>568</v>
      </c>
      <c r="G266" s="263">
        <v>64824</v>
      </c>
      <c r="H266" s="267">
        <f t="shared" si="4"/>
        <v>0.28123088403087187</v>
      </c>
    </row>
    <row r="267" spans="1:8" x14ac:dyDescent="0.3">
      <c r="A267" s="260" t="s">
        <v>158</v>
      </c>
      <c r="B267" s="261" t="s">
        <v>129</v>
      </c>
      <c r="C267" s="262" t="s">
        <v>444</v>
      </c>
      <c r="D267" s="261" t="s">
        <v>445</v>
      </c>
      <c r="E267" s="263">
        <v>20155</v>
      </c>
      <c r="F267" s="263" t="s">
        <v>88</v>
      </c>
      <c r="G267" s="263">
        <v>5507</v>
      </c>
      <c r="H267" s="267">
        <f t="shared" si="4"/>
        <v>0.27323244852393946</v>
      </c>
    </row>
    <row r="268" spans="1:8" x14ac:dyDescent="0.3">
      <c r="A268" s="260" t="s">
        <v>147</v>
      </c>
      <c r="B268" s="261" t="s">
        <v>132</v>
      </c>
      <c r="C268" s="262" t="s">
        <v>496</v>
      </c>
      <c r="D268" s="261" t="s">
        <v>497</v>
      </c>
      <c r="E268" s="263">
        <v>20005</v>
      </c>
      <c r="F268" s="263" t="s">
        <v>88</v>
      </c>
      <c r="G268" s="263">
        <v>5466</v>
      </c>
      <c r="H268" s="267">
        <f t="shared" si="4"/>
        <v>0.27323169207698078</v>
      </c>
    </row>
    <row r="269" spans="1:8" x14ac:dyDescent="0.3">
      <c r="A269" s="260" t="s">
        <v>158</v>
      </c>
      <c r="B269" s="261" t="s">
        <v>129</v>
      </c>
      <c r="C269" s="262" t="s">
        <v>444</v>
      </c>
      <c r="D269" s="261" t="s">
        <v>445</v>
      </c>
      <c r="E269" s="263">
        <v>18466</v>
      </c>
      <c r="F269" s="263" t="s">
        <v>87</v>
      </c>
      <c r="G269" s="263">
        <v>5045</v>
      </c>
      <c r="H269" s="267">
        <f t="shared" si="4"/>
        <v>0.27320480883786419</v>
      </c>
    </row>
    <row r="270" spans="1:8" x14ac:dyDescent="0.3">
      <c r="A270" s="260" t="s">
        <v>147</v>
      </c>
      <c r="B270" s="261" t="s">
        <v>132</v>
      </c>
      <c r="C270" s="262" t="s">
        <v>496</v>
      </c>
      <c r="D270" s="261" t="s">
        <v>497</v>
      </c>
      <c r="E270" s="263">
        <v>214843</v>
      </c>
      <c r="F270" s="263" t="s">
        <v>568</v>
      </c>
      <c r="G270" s="263">
        <v>58694</v>
      </c>
      <c r="H270" s="267">
        <f t="shared" si="4"/>
        <v>0.27319484460745752</v>
      </c>
    </row>
    <row r="271" spans="1:8" x14ac:dyDescent="0.3">
      <c r="A271" s="260" t="s">
        <v>147</v>
      </c>
      <c r="B271" s="261" t="s">
        <v>132</v>
      </c>
      <c r="C271" s="262" t="s">
        <v>496</v>
      </c>
      <c r="D271" s="261" t="s">
        <v>497</v>
      </c>
      <c r="E271" s="263">
        <v>22270</v>
      </c>
      <c r="F271" s="263" t="s">
        <v>87</v>
      </c>
      <c r="G271" s="263">
        <v>6084</v>
      </c>
      <c r="H271" s="267">
        <f t="shared" si="4"/>
        <v>0.27319263583295916</v>
      </c>
    </row>
    <row r="272" spans="1:8" x14ac:dyDescent="0.3">
      <c r="A272" s="260" t="s">
        <v>167</v>
      </c>
      <c r="B272" s="261" t="s">
        <v>119</v>
      </c>
      <c r="C272" s="262" t="s">
        <v>223</v>
      </c>
      <c r="D272" s="261" t="s">
        <v>222</v>
      </c>
      <c r="E272" s="263">
        <v>1605</v>
      </c>
      <c r="F272" s="263" t="s">
        <v>87</v>
      </c>
      <c r="G272" s="263">
        <v>436</v>
      </c>
      <c r="H272" s="267">
        <f t="shared" si="4"/>
        <v>0.27165109034267915</v>
      </c>
    </row>
    <row r="273" spans="1:8" x14ac:dyDescent="0.3">
      <c r="A273" s="260" t="s">
        <v>167</v>
      </c>
      <c r="B273" s="261" t="s">
        <v>119</v>
      </c>
      <c r="C273" s="262" t="s">
        <v>223</v>
      </c>
      <c r="D273" s="261" t="s">
        <v>222</v>
      </c>
      <c r="E273" s="263">
        <v>1605</v>
      </c>
      <c r="F273" s="263" t="s">
        <v>88</v>
      </c>
      <c r="G273" s="263">
        <v>436</v>
      </c>
      <c r="H273" s="267">
        <f t="shared" si="4"/>
        <v>0.27165109034267915</v>
      </c>
    </row>
    <row r="274" spans="1:8" x14ac:dyDescent="0.3">
      <c r="A274" s="260" t="s">
        <v>173</v>
      </c>
      <c r="B274" s="261" t="s">
        <v>134</v>
      </c>
      <c r="C274" s="262" t="s">
        <v>536</v>
      </c>
      <c r="D274" s="261" t="s">
        <v>537</v>
      </c>
      <c r="E274" s="263">
        <v>66310</v>
      </c>
      <c r="F274" s="263" t="s">
        <v>88</v>
      </c>
      <c r="G274" s="263">
        <v>17728</v>
      </c>
      <c r="H274" s="267">
        <f t="shared" si="4"/>
        <v>0.26735032423465538</v>
      </c>
    </row>
    <row r="275" spans="1:8" x14ac:dyDescent="0.3">
      <c r="A275" s="260" t="s">
        <v>173</v>
      </c>
      <c r="B275" s="261" t="s">
        <v>134</v>
      </c>
      <c r="C275" s="262" t="s">
        <v>536</v>
      </c>
      <c r="D275" s="261" t="s">
        <v>537</v>
      </c>
      <c r="E275" s="263">
        <v>67094</v>
      </c>
      <c r="F275" s="263" t="s">
        <v>87</v>
      </c>
      <c r="G275" s="263">
        <v>17937</v>
      </c>
      <c r="H275" s="267">
        <f t="shared" si="4"/>
        <v>0.26734134199779414</v>
      </c>
    </row>
    <row r="276" spans="1:8" x14ac:dyDescent="0.3">
      <c r="A276" s="260" t="s">
        <v>173</v>
      </c>
      <c r="B276" s="261" t="s">
        <v>134</v>
      </c>
      <c r="C276" s="262" t="s">
        <v>538</v>
      </c>
      <c r="D276" s="261" t="s">
        <v>539</v>
      </c>
      <c r="E276" s="263">
        <v>79388</v>
      </c>
      <c r="F276" s="263" t="s">
        <v>88</v>
      </c>
      <c r="G276" s="263">
        <v>21108</v>
      </c>
      <c r="H276" s="267">
        <f t="shared" si="4"/>
        <v>0.26588401269713308</v>
      </c>
    </row>
    <row r="277" spans="1:8" x14ac:dyDescent="0.3">
      <c r="A277" s="260" t="s">
        <v>173</v>
      </c>
      <c r="B277" s="261" t="s">
        <v>134</v>
      </c>
      <c r="C277" s="262" t="s">
        <v>538</v>
      </c>
      <c r="D277" s="261" t="s">
        <v>539</v>
      </c>
      <c r="E277" s="263">
        <v>79787</v>
      </c>
      <c r="F277" s="263" t="s">
        <v>87</v>
      </c>
      <c r="G277" s="263">
        <v>21214</v>
      </c>
      <c r="H277" s="267">
        <f t="shared" si="4"/>
        <v>0.26588291325654556</v>
      </c>
    </row>
    <row r="278" spans="1:8" x14ac:dyDescent="0.3">
      <c r="A278" s="260" t="s">
        <v>185</v>
      </c>
      <c r="B278" s="261" t="s">
        <v>120</v>
      </c>
      <c r="C278" s="262" t="s">
        <v>233</v>
      </c>
      <c r="D278" s="261" t="s">
        <v>232</v>
      </c>
      <c r="E278" s="263">
        <v>37790</v>
      </c>
      <c r="F278" s="263" t="s">
        <v>88</v>
      </c>
      <c r="G278" s="263">
        <v>9559</v>
      </c>
      <c r="H278" s="267">
        <f t="shared" si="4"/>
        <v>0.25295051600952634</v>
      </c>
    </row>
    <row r="279" spans="1:8" x14ac:dyDescent="0.3">
      <c r="A279" s="260" t="s">
        <v>185</v>
      </c>
      <c r="B279" s="261" t="s">
        <v>120</v>
      </c>
      <c r="C279" s="262" t="s">
        <v>233</v>
      </c>
      <c r="D279" s="261" t="s">
        <v>232</v>
      </c>
      <c r="E279" s="263">
        <v>46725</v>
      </c>
      <c r="F279" s="263" t="s">
        <v>87</v>
      </c>
      <c r="G279" s="263">
        <v>11819</v>
      </c>
      <c r="H279" s="267">
        <f t="shared" si="4"/>
        <v>0.25294810058855005</v>
      </c>
    </row>
    <row r="280" spans="1:8" x14ac:dyDescent="0.3">
      <c r="A280" s="260" t="s">
        <v>176</v>
      </c>
      <c r="B280" s="261" t="s">
        <v>127</v>
      </c>
      <c r="C280" s="262" t="s">
        <v>410</v>
      </c>
      <c r="D280" s="261" t="s">
        <v>411</v>
      </c>
      <c r="E280" s="263">
        <v>128554</v>
      </c>
      <c r="F280" s="263" t="s">
        <v>568</v>
      </c>
      <c r="G280" s="263">
        <v>31882</v>
      </c>
      <c r="H280" s="267">
        <f t="shared" si="4"/>
        <v>0.24800472953000297</v>
      </c>
    </row>
    <row r="281" spans="1:8" x14ac:dyDescent="0.3">
      <c r="A281" s="260" t="s">
        <v>173</v>
      </c>
      <c r="B281" s="261" t="s">
        <v>134</v>
      </c>
      <c r="C281" s="262" t="s">
        <v>530</v>
      </c>
      <c r="D281" s="261" t="s">
        <v>531</v>
      </c>
      <c r="E281" s="263">
        <v>59772</v>
      </c>
      <c r="F281" s="263" t="s">
        <v>88</v>
      </c>
      <c r="G281" s="263">
        <v>14547</v>
      </c>
      <c r="H281" s="267">
        <f t="shared" si="4"/>
        <v>0.24337482433246335</v>
      </c>
    </row>
    <row r="282" spans="1:8" x14ac:dyDescent="0.3">
      <c r="A282" s="260" t="s">
        <v>173</v>
      </c>
      <c r="B282" s="261" t="s">
        <v>134</v>
      </c>
      <c r="C282" s="262" t="s">
        <v>530</v>
      </c>
      <c r="D282" s="261" t="s">
        <v>531</v>
      </c>
      <c r="E282" s="263">
        <v>60564</v>
      </c>
      <c r="F282" s="263" t="s">
        <v>87</v>
      </c>
      <c r="G282" s="263">
        <v>14739</v>
      </c>
      <c r="H282" s="267">
        <f t="shared" si="4"/>
        <v>0.24336239350108976</v>
      </c>
    </row>
    <row r="283" spans="1:8" x14ac:dyDescent="0.3">
      <c r="A283" s="260" t="s">
        <v>173</v>
      </c>
      <c r="B283" s="261" t="s">
        <v>134</v>
      </c>
      <c r="C283" s="262" t="s">
        <v>534</v>
      </c>
      <c r="D283" s="261" t="s">
        <v>535</v>
      </c>
      <c r="E283" s="263">
        <v>60442</v>
      </c>
      <c r="F283" s="263" t="s">
        <v>88</v>
      </c>
      <c r="G283" s="263">
        <v>14597</v>
      </c>
      <c r="H283" s="267">
        <f t="shared" si="4"/>
        <v>0.2415042520101916</v>
      </c>
    </row>
    <row r="284" spans="1:8" x14ac:dyDescent="0.3">
      <c r="A284" s="260" t="s">
        <v>173</v>
      </c>
      <c r="B284" s="261" t="s">
        <v>134</v>
      </c>
      <c r="C284" s="262" t="s">
        <v>534</v>
      </c>
      <c r="D284" s="261" t="s">
        <v>535</v>
      </c>
      <c r="E284" s="263">
        <v>61040</v>
      </c>
      <c r="F284" s="263" t="s">
        <v>87</v>
      </c>
      <c r="G284" s="263">
        <v>14741</v>
      </c>
      <c r="H284" s="267">
        <f t="shared" si="4"/>
        <v>0.24149737876802096</v>
      </c>
    </row>
    <row r="285" spans="1:8" x14ac:dyDescent="0.3">
      <c r="A285" s="260" t="s">
        <v>161</v>
      </c>
      <c r="B285" s="261" t="s">
        <v>128</v>
      </c>
      <c r="C285" s="262" t="s">
        <v>440</v>
      </c>
      <c r="D285" s="261" t="s">
        <v>441</v>
      </c>
      <c r="E285" s="263">
        <v>35641</v>
      </c>
      <c r="F285" s="263" t="s">
        <v>87</v>
      </c>
      <c r="G285" s="263">
        <v>8555</v>
      </c>
      <c r="H285" s="267">
        <f t="shared" si="4"/>
        <v>0.24003254678600489</v>
      </c>
    </row>
    <row r="286" spans="1:8" x14ac:dyDescent="0.3">
      <c r="A286" s="260" t="s">
        <v>185</v>
      </c>
      <c r="B286" s="261" t="s">
        <v>120</v>
      </c>
      <c r="C286" s="262" t="s">
        <v>259</v>
      </c>
      <c r="D286" s="261" t="s">
        <v>258</v>
      </c>
      <c r="E286" s="263">
        <v>195095</v>
      </c>
      <c r="F286" s="263" t="s">
        <v>568</v>
      </c>
      <c r="G286" s="263">
        <v>46809</v>
      </c>
      <c r="H286" s="267">
        <f t="shared" si="4"/>
        <v>0.23992926522975985</v>
      </c>
    </row>
    <row r="287" spans="1:8" x14ac:dyDescent="0.3">
      <c r="A287" s="260" t="s">
        <v>191</v>
      </c>
      <c r="B287" s="261" t="s">
        <v>121</v>
      </c>
      <c r="C287" s="262" t="s">
        <v>279</v>
      </c>
      <c r="D287" s="261" t="s">
        <v>278</v>
      </c>
      <c r="E287" s="263">
        <v>13732</v>
      </c>
      <c r="F287" s="263" t="s">
        <v>568</v>
      </c>
      <c r="G287" s="263">
        <v>3240</v>
      </c>
      <c r="H287" s="267">
        <f t="shared" si="4"/>
        <v>0.23594523740168949</v>
      </c>
    </row>
    <row r="288" spans="1:8" x14ac:dyDescent="0.3">
      <c r="A288" s="260" t="s">
        <v>158</v>
      </c>
      <c r="B288" s="261" t="s">
        <v>129</v>
      </c>
      <c r="C288" s="262" t="s">
        <v>458</v>
      </c>
      <c r="D288" s="261" t="s">
        <v>459</v>
      </c>
      <c r="E288" s="263">
        <v>133966</v>
      </c>
      <c r="F288" s="263" t="s">
        <v>87</v>
      </c>
      <c r="G288" s="263">
        <v>31255</v>
      </c>
      <c r="H288" s="267">
        <f t="shared" si="4"/>
        <v>0.23330546556588985</v>
      </c>
    </row>
    <row r="289" spans="1:8" x14ac:dyDescent="0.3">
      <c r="A289" s="260" t="s">
        <v>158</v>
      </c>
      <c r="B289" s="261" t="s">
        <v>129</v>
      </c>
      <c r="C289" s="262" t="s">
        <v>458</v>
      </c>
      <c r="D289" s="261" t="s">
        <v>459</v>
      </c>
      <c r="E289" s="263">
        <v>133964</v>
      </c>
      <c r="F289" s="263" t="s">
        <v>88</v>
      </c>
      <c r="G289" s="263">
        <v>31254</v>
      </c>
      <c r="H289" s="267">
        <f t="shared" si="4"/>
        <v>0.23330148398077094</v>
      </c>
    </row>
    <row r="290" spans="1:8" x14ac:dyDescent="0.3">
      <c r="A290" s="260" t="s">
        <v>161</v>
      </c>
      <c r="B290" s="261" t="s">
        <v>128</v>
      </c>
      <c r="C290" s="262" t="s">
        <v>422</v>
      </c>
      <c r="D290" s="261" t="s">
        <v>423</v>
      </c>
      <c r="E290" s="263">
        <v>60325</v>
      </c>
      <c r="F290" s="263" t="s">
        <v>88</v>
      </c>
      <c r="G290" s="263">
        <v>14066</v>
      </c>
      <c r="H290" s="267">
        <f t="shared" si="4"/>
        <v>0.23317032739328636</v>
      </c>
    </row>
    <row r="291" spans="1:8" x14ac:dyDescent="0.3">
      <c r="A291" s="260" t="s">
        <v>161</v>
      </c>
      <c r="B291" s="261" t="s">
        <v>128</v>
      </c>
      <c r="C291" s="262" t="s">
        <v>422</v>
      </c>
      <c r="D291" s="261" t="s">
        <v>423</v>
      </c>
      <c r="E291" s="263">
        <v>61559</v>
      </c>
      <c r="F291" s="263" t="s">
        <v>87</v>
      </c>
      <c r="G291" s="263">
        <v>14353</v>
      </c>
      <c r="H291" s="267">
        <f t="shared" si="4"/>
        <v>0.2331584333728618</v>
      </c>
    </row>
    <row r="292" spans="1:8" x14ac:dyDescent="0.3">
      <c r="A292" s="260" t="s">
        <v>164</v>
      </c>
      <c r="B292" s="261" t="s">
        <v>118</v>
      </c>
      <c r="C292" s="262" t="s">
        <v>325</v>
      </c>
      <c r="D292" s="261" t="s">
        <v>326</v>
      </c>
      <c r="E292" s="263">
        <v>10043</v>
      </c>
      <c r="F292" s="263" t="s">
        <v>88</v>
      </c>
      <c r="G292" s="263">
        <v>2287</v>
      </c>
      <c r="H292" s="267">
        <f t="shared" si="4"/>
        <v>0.2277208005576023</v>
      </c>
    </row>
    <row r="293" spans="1:8" x14ac:dyDescent="0.3">
      <c r="A293" s="260" t="s">
        <v>176</v>
      </c>
      <c r="B293" s="261" t="s">
        <v>127</v>
      </c>
      <c r="C293" s="262" t="s">
        <v>412</v>
      </c>
      <c r="D293" s="261" t="s">
        <v>413</v>
      </c>
      <c r="E293" s="263">
        <v>6987</v>
      </c>
      <c r="F293" s="263" t="s">
        <v>88</v>
      </c>
      <c r="G293" s="263">
        <v>1591</v>
      </c>
      <c r="H293" s="267">
        <f t="shared" si="4"/>
        <v>0.22770860168885071</v>
      </c>
    </row>
    <row r="294" spans="1:8" x14ac:dyDescent="0.3">
      <c r="A294" s="260" t="s">
        <v>147</v>
      </c>
      <c r="B294" s="261" t="s">
        <v>132</v>
      </c>
      <c r="C294" s="262" t="s">
        <v>498</v>
      </c>
      <c r="D294" s="261" t="s">
        <v>499</v>
      </c>
      <c r="E294" s="263">
        <v>23698</v>
      </c>
      <c r="F294" s="263" t="s">
        <v>87</v>
      </c>
      <c r="G294" s="263">
        <v>5396</v>
      </c>
      <c r="H294" s="267">
        <f t="shared" si="4"/>
        <v>0.22769853996117817</v>
      </c>
    </row>
    <row r="295" spans="1:8" x14ac:dyDescent="0.3">
      <c r="A295" s="260" t="s">
        <v>176</v>
      </c>
      <c r="B295" s="261" t="s">
        <v>127</v>
      </c>
      <c r="C295" s="262" t="s">
        <v>412</v>
      </c>
      <c r="D295" s="261" t="s">
        <v>413</v>
      </c>
      <c r="E295" s="263">
        <v>7897</v>
      </c>
      <c r="F295" s="265" t="s">
        <v>87</v>
      </c>
      <c r="G295" s="265">
        <v>1798</v>
      </c>
      <c r="H295" s="267">
        <f t="shared" si="4"/>
        <v>0.22768139799924023</v>
      </c>
    </row>
    <row r="296" spans="1:8" x14ac:dyDescent="0.3">
      <c r="A296" s="260" t="s">
        <v>158</v>
      </c>
      <c r="B296" s="261" t="s">
        <v>129</v>
      </c>
      <c r="C296" s="262" t="s">
        <v>446</v>
      </c>
      <c r="D296" s="261" t="s">
        <v>447</v>
      </c>
      <c r="E296" s="263">
        <v>79702</v>
      </c>
      <c r="F296" s="263" t="s">
        <v>88</v>
      </c>
      <c r="G296" s="263">
        <v>18146</v>
      </c>
      <c r="H296" s="267">
        <f t="shared" si="4"/>
        <v>0.22767308223131164</v>
      </c>
    </row>
    <row r="297" spans="1:8" x14ac:dyDescent="0.3">
      <c r="A297" s="260" t="s">
        <v>147</v>
      </c>
      <c r="B297" s="261" t="s">
        <v>132</v>
      </c>
      <c r="C297" s="262" t="s">
        <v>504</v>
      </c>
      <c r="D297" s="261" t="s">
        <v>505</v>
      </c>
      <c r="E297" s="263">
        <v>62155</v>
      </c>
      <c r="F297" s="263" t="s">
        <v>87</v>
      </c>
      <c r="G297" s="263">
        <v>14151</v>
      </c>
      <c r="H297" s="267">
        <f t="shared" si="4"/>
        <v>0.2276727535998713</v>
      </c>
    </row>
    <row r="298" spans="1:8" x14ac:dyDescent="0.3">
      <c r="A298" s="260" t="s">
        <v>147</v>
      </c>
      <c r="B298" s="261" t="s">
        <v>132</v>
      </c>
      <c r="C298" s="262" t="s">
        <v>500</v>
      </c>
      <c r="D298" s="261" t="s">
        <v>501</v>
      </c>
      <c r="E298" s="263">
        <v>35143</v>
      </c>
      <c r="F298" s="263" t="s">
        <v>87</v>
      </c>
      <c r="G298" s="263">
        <v>8001</v>
      </c>
      <c r="H298" s="267">
        <f t="shared" si="4"/>
        <v>0.22766980622029992</v>
      </c>
    </row>
    <row r="299" spans="1:8" x14ac:dyDescent="0.3">
      <c r="A299" s="260" t="s">
        <v>164</v>
      </c>
      <c r="B299" s="261" t="s">
        <v>118</v>
      </c>
      <c r="C299" s="262" t="s">
        <v>164</v>
      </c>
      <c r="D299" s="261" t="s">
        <v>335</v>
      </c>
      <c r="E299" s="263">
        <v>79748</v>
      </c>
      <c r="F299" s="263" t="s">
        <v>568</v>
      </c>
      <c r="G299" s="263">
        <v>18156</v>
      </c>
      <c r="H299" s="267">
        <f t="shared" si="4"/>
        <v>0.22766715152731104</v>
      </c>
    </row>
    <row r="300" spans="1:8" x14ac:dyDescent="0.3">
      <c r="A300" s="260" t="s">
        <v>164</v>
      </c>
      <c r="B300" s="261" t="s">
        <v>118</v>
      </c>
      <c r="C300" s="262" t="s">
        <v>164</v>
      </c>
      <c r="D300" s="261" t="s">
        <v>335</v>
      </c>
      <c r="E300" s="263">
        <v>13880</v>
      </c>
      <c r="F300" s="263" t="s">
        <v>87</v>
      </c>
      <c r="G300" s="263">
        <v>3160</v>
      </c>
      <c r="H300" s="267">
        <f t="shared" si="4"/>
        <v>0.2276657060518732</v>
      </c>
    </row>
    <row r="301" spans="1:8" x14ac:dyDescent="0.3">
      <c r="A301" s="260" t="s">
        <v>147</v>
      </c>
      <c r="B301" s="261" t="s">
        <v>132</v>
      </c>
      <c r="C301" s="262" t="s">
        <v>502</v>
      </c>
      <c r="D301" s="261" t="s">
        <v>503</v>
      </c>
      <c r="E301" s="263">
        <v>32763</v>
      </c>
      <c r="F301" s="263" t="s">
        <v>88</v>
      </c>
      <c r="G301" s="263">
        <v>7459</v>
      </c>
      <c r="H301" s="267">
        <f t="shared" si="4"/>
        <v>0.22766535421054238</v>
      </c>
    </row>
    <row r="302" spans="1:8" x14ac:dyDescent="0.3">
      <c r="A302" s="260" t="s">
        <v>147</v>
      </c>
      <c r="B302" s="261" t="s">
        <v>132</v>
      </c>
      <c r="C302" s="262" t="s">
        <v>506</v>
      </c>
      <c r="D302" s="261" t="s">
        <v>507</v>
      </c>
      <c r="E302" s="263">
        <v>67437</v>
      </c>
      <c r="F302" s="263" t="s">
        <v>87</v>
      </c>
      <c r="G302" s="263">
        <v>15353</v>
      </c>
      <c r="H302" s="267">
        <f t="shared" si="4"/>
        <v>0.22766433856784851</v>
      </c>
    </row>
    <row r="303" spans="1:8" x14ac:dyDescent="0.3">
      <c r="A303" s="260" t="s">
        <v>147</v>
      </c>
      <c r="B303" s="261" t="s">
        <v>132</v>
      </c>
      <c r="C303" s="262" t="s">
        <v>506</v>
      </c>
      <c r="D303" s="261" t="s">
        <v>507</v>
      </c>
      <c r="E303" s="263">
        <v>67437</v>
      </c>
      <c r="F303" s="263" t="s">
        <v>88</v>
      </c>
      <c r="G303" s="263">
        <v>15353</v>
      </c>
      <c r="H303" s="267">
        <f t="shared" si="4"/>
        <v>0.22766433856784851</v>
      </c>
    </row>
    <row r="304" spans="1:8" x14ac:dyDescent="0.3">
      <c r="A304" s="260" t="s">
        <v>147</v>
      </c>
      <c r="B304" s="261" t="s">
        <v>132</v>
      </c>
      <c r="C304" s="262" t="s">
        <v>504</v>
      </c>
      <c r="D304" s="261" t="s">
        <v>505</v>
      </c>
      <c r="E304" s="263">
        <v>39576</v>
      </c>
      <c r="F304" s="263" t="s">
        <v>88</v>
      </c>
      <c r="G304" s="263">
        <v>9010</v>
      </c>
      <c r="H304" s="267">
        <f t="shared" si="4"/>
        <v>0.22766323024054982</v>
      </c>
    </row>
    <row r="305" spans="1:8" x14ac:dyDescent="0.3">
      <c r="A305" s="260" t="s">
        <v>147</v>
      </c>
      <c r="B305" s="261" t="s">
        <v>132</v>
      </c>
      <c r="C305" s="262" t="s">
        <v>500</v>
      </c>
      <c r="D305" s="261" t="s">
        <v>501</v>
      </c>
      <c r="E305" s="263">
        <v>295661</v>
      </c>
      <c r="F305" s="263" t="s">
        <v>568</v>
      </c>
      <c r="G305" s="263">
        <v>67311</v>
      </c>
      <c r="H305" s="267">
        <f t="shared" si="4"/>
        <v>0.22766276242047481</v>
      </c>
    </row>
    <row r="306" spans="1:8" x14ac:dyDescent="0.3">
      <c r="A306" s="260" t="s">
        <v>147</v>
      </c>
      <c r="B306" s="261" t="s">
        <v>132</v>
      </c>
      <c r="C306" s="262" t="s">
        <v>502</v>
      </c>
      <c r="D306" s="261" t="s">
        <v>503</v>
      </c>
      <c r="E306" s="263">
        <v>599444</v>
      </c>
      <c r="F306" s="263" t="s">
        <v>568</v>
      </c>
      <c r="G306" s="263">
        <v>136471</v>
      </c>
      <c r="H306" s="267">
        <f t="shared" si="4"/>
        <v>0.22766263404087789</v>
      </c>
    </row>
    <row r="307" spans="1:8" x14ac:dyDescent="0.3">
      <c r="A307" s="260" t="s">
        <v>147</v>
      </c>
      <c r="B307" s="261" t="s">
        <v>132</v>
      </c>
      <c r="C307" s="262" t="s">
        <v>504</v>
      </c>
      <c r="D307" s="261" t="s">
        <v>505</v>
      </c>
      <c r="E307" s="263">
        <v>790733</v>
      </c>
      <c r="F307" s="263" t="s">
        <v>568</v>
      </c>
      <c r="G307" s="263">
        <v>180020</v>
      </c>
      <c r="H307" s="267">
        <f t="shared" si="4"/>
        <v>0.2276621817984073</v>
      </c>
    </row>
    <row r="308" spans="1:8" x14ac:dyDescent="0.3">
      <c r="A308" s="260" t="s">
        <v>164</v>
      </c>
      <c r="B308" s="261" t="s">
        <v>118</v>
      </c>
      <c r="C308" s="262" t="s">
        <v>333</v>
      </c>
      <c r="D308" s="261" t="s">
        <v>334</v>
      </c>
      <c r="E308" s="263">
        <v>326576</v>
      </c>
      <c r="F308" s="263" t="s">
        <v>568</v>
      </c>
      <c r="G308" s="263">
        <v>74349</v>
      </c>
      <c r="H308" s="267">
        <f t="shared" si="4"/>
        <v>0.22766216745872322</v>
      </c>
    </row>
    <row r="309" spans="1:8" x14ac:dyDescent="0.3">
      <c r="A309" s="260" t="s">
        <v>147</v>
      </c>
      <c r="B309" s="261" t="s">
        <v>132</v>
      </c>
      <c r="C309" s="262" t="s">
        <v>498</v>
      </c>
      <c r="D309" s="261" t="s">
        <v>499</v>
      </c>
      <c r="E309" s="263">
        <v>754177</v>
      </c>
      <c r="F309" s="263" t="s">
        <v>568</v>
      </c>
      <c r="G309" s="263">
        <v>171697</v>
      </c>
      <c r="H309" s="267">
        <f t="shared" si="4"/>
        <v>0.22766141104806961</v>
      </c>
    </row>
    <row r="310" spans="1:8" x14ac:dyDescent="0.3">
      <c r="A310" s="260" t="s">
        <v>147</v>
      </c>
      <c r="B310" s="261" t="s">
        <v>132</v>
      </c>
      <c r="C310" s="262" t="s">
        <v>506</v>
      </c>
      <c r="D310" s="261" t="s">
        <v>507</v>
      </c>
      <c r="E310" s="263">
        <v>524833</v>
      </c>
      <c r="F310" s="263" t="s">
        <v>568</v>
      </c>
      <c r="G310" s="263">
        <v>119484</v>
      </c>
      <c r="H310" s="267">
        <f t="shared" si="4"/>
        <v>0.22766098930516945</v>
      </c>
    </row>
    <row r="311" spans="1:8" x14ac:dyDescent="0.3">
      <c r="A311" s="260" t="s">
        <v>147</v>
      </c>
      <c r="B311" s="261" t="s">
        <v>132</v>
      </c>
      <c r="C311" s="262" t="s">
        <v>500</v>
      </c>
      <c r="D311" s="261" t="s">
        <v>501</v>
      </c>
      <c r="E311" s="263">
        <v>33941</v>
      </c>
      <c r="F311" s="263" t="s">
        <v>88</v>
      </c>
      <c r="G311" s="263">
        <v>7727</v>
      </c>
      <c r="H311" s="267">
        <f t="shared" si="4"/>
        <v>0.22765976252909462</v>
      </c>
    </row>
    <row r="312" spans="1:8" x14ac:dyDescent="0.3">
      <c r="A312" s="260" t="s">
        <v>164</v>
      </c>
      <c r="B312" s="261" t="s">
        <v>118</v>
      </c>
      <c r="C312" s="262" t="s">
        <v>325</v>
      </c>
      <c r="D312" s="261" t="s">
        <v>326</v>
      </c>
      <c r="E312" s="263">
        <v>13283</v>
      </c>
      <c r="F312" s="263" t="s">
        <v>87</v>
      </c>
      <c r="G312" s="263">
        <v>3024</v>
      </c>
      <c r="H312" s="267">
        <f t="shared" si="4"/>
        <v>0.22765941428894076</v>
      </c>
    </row>
    <row r="313" spans="1:8" x14ac:dyDescent="0.3">
      <c r="A313" s="260" t="s">
        <v>158</v>
      </c>
      <c r="B313" s="261" t="s">
        <v>129</v>
      </c>
      <c r="C313" s="262" t="s">
        <v>446</v>
      </c>
      <c r="D313" s="261" t="s">
        <v>447</v>
      </c>
      <c r="E313" s="263">
        <v>79708</v>
      </c>
      <c r="F313" s="263" t="s">
        <v>87</v>
      </c>
      <c r="G313" s="263">
        <v>18146</v>
      </c>
      <c r="H313" s="267">
        <f t="shared" si="4"/>
        <v>0.22765594419631655</v>
      </c>
    </row>
    <row r="314" spans="1:8" x14ac:dyDescent="0.3">
      <c r="A314" s="260" t="s">
        <v>147</v>
      </c>
      <c r="B314" s="261" t="s">
        <v>132</v>
      </c>
      <c r="C314" s="262" t="s">
        <v>498</v>
      </c>
      <c r="D314" s="261" t="s">
        <v>499</v>
      </c>
      <c r="E314" s="263">
        <v>25521</v>
      </c>
      <c r="F314" s="263" t="s">
        <v>88</v>
      </c>
      <c r="G314" s="263">
        <v>5810</v>
      </c>
      <c r="H314" s="267">
        <f t="shared" si="4"/>
        <v>0.22765565612632735</v>
      </c>
    </row>
    <row r="315" spans="1:8" x14ac:dyDescent="0.3">
      <c r="A315" s="260" t="s">
        <v>164</v>
      </c>
      <c r="B315" s="261" t="s">
        <v>118</v>
      </c>
      <c r="C315" s="262" t="s">
        <v>333</v>
      </c>
      <c r="D315" s="261" t="s">
        <v>334</v>
      </c>
      <c r="E315" s="263">
        <v>14263</v>
      </c>
      <c r="F315" s="263" t="s">
        <v>87</v>
      </c>
      <c r="G315" s="263">
        <v>3247</v>
      </c>
      <c r="H315" s="267">
        <f t="shared" si="4"/>
        <v>0.22765196662693682</v>
      </c>
    </row>
    <row r="316" spans="1:8" x14ac:dyDescent="0.3">
      <c r="A316" s="260" t="s">
        <v>164</v>
      </c>
      <c r="B316" s="261" t="s">
        <v>118</v>
      </c>
      <c r="C316" s="262" t="s">
        <v>333</v>
      </c>
      <c r="D316" s="261" t="s">
        <v>334</v>
      </c>
      <c r="E316" s="263">
        <v>12871</v>
      </c>
      <c r="F316" s="263" t="s">
        <v>88</v>
      </c>
      <c r="G316" s="263">
        <v>2930</v>
      </c>
      <c r="H316" s="267">
        <f t="shared" si="4"/>
        <v>0.22764353974050192</v>
      </c>
    </row>
    <row r="317" spans="1:8" x14ac:dyDescent="0.3">
      <c r="A317" s="260" t="s">
        <v>147</v>
      </c>
      <c r="B317" s="261" t="s">
        <v>132</v>
      </c>
      <c r="C317" s="262" t="s">
        <v>502</v>
      </c>
      <c r="D317" s="261" t="s">
        <v>503</v>
      </c>
      <c r="E317" s="263">
        <v>31901</v>
      </c>
      <c r="F317" s="263" t="s">
        <v>87</v>
      </c>
      <c r="G317" s="263">
        <v>7262</v>
      </c>
      <c r="H317" s="267">
        <f t="shared" si="4"/>
        <v>0.22764176671577693</v>
      </c>
    </row>
    <row r="318" spans="1:8" x14ac:dyDescent="0.3">
      <c r="A318" s="260" t="s">
        <v>164</v>
      </c>
      <c r="B318" s="261" t="s">
        <v>118</v>
      </c>
      <c r="C318" s="262" t="s">
        <v>164</v>
      </c>
      <c r="D318" s="261" t="s">
        <v>335</v>
      </c>
      <c r="E318" s="263">
        <v>6805</v>
      </c>
      <c r="F318" s="263" t="s">
        <v>88</v>
      </c>
      <c r="G318" s="263">
        <v>1549</v>
      </c>
      <c r="H318" s="267">
        <f t="shared" si="4"/>
        <v>0.22762674504041147</v>
      </c>
    </row>
    <row r="319" spans="1:8" x14ac:dyDescent="0.3">
      <c r="A319" s="260" t="s">
        <v>158</v>
      </c>
      <c r="B319" s="261" t="s">
        <v>129</v>
      </c>
      <c r="C319" s="262" t="s">
        <v>454</v>
      </c>
      <c r="D319" s="261" t="s">
        <v>455</v>
      </c>
      <c r="E319" s="263">
        <v>18585</v>
      </c>
      <c r="F319" s="263" t="s">
        <v>88</v>
      </c>
      <c r="G319" s="263">
        <v>4160</v>
      </c>
      <c r="H319" s="267">
        <f t="shared" si="4"/>
        <v>0.22383642722625774</v>
      </c>
    </row>
    <row r="320" spans="1:8" x14ac:dyDescent="0.3">
      <c r="A320" s="260" t="s">
        <v>158</v>
      </c>
      <c r="B320" s="261" t="s">
        <v>129</v>
      </c>
      <c r="C320" s="262" t="s">
        <v>454</v>
      </c>
      <c r="D320" s="261" t="s">
        <v>455</v>
      </c>
      <c r="E320" s="263">
        <v>18265</v>
      </c>
      <c r="F320" s="263" t="s">
        <v>87</v>
      </c>
      <c r="G320" s="263">
        <v>4088</v>
      </c>
      <c r="H320" s="267">
        <f t="shared" si="4"/>
        <v>0.22381604160963592</v>
      </c>
    </row>
    <row r="321" spans="1:8" x14ac:dyDescent="0.3">
      <c r="A321" s="260" t="s">
        <v>164</v>
      </c>
      <c r="B321" s="261" t="s">
        <v>118</v>
      </c>
      <c r="C321" s="262" t="s">
        <v>325</v>
      </c>
      <c r="D321" s="261" t="s">
        <v>326</v>
      </c>
      <c r="E321" s="263">
        <v>1539537</v>
      </c>
      <c r="F321" s="263" t="s">
        <v>568</v>
      </c>
      <c r="G321" s="263">
        <v>344494</v>
      </c>
      <c r="H321" s="267">
        <f t="shared" si="4"/>
        <v>0.22376467730233179</v>
      </c>
    </row>
    <row r="322" spans="1:8" x14ac:dyDescent="0.3">
      <c r="A322" s="260" t="s">
        <v>167</v>
      </c>
      <c r="B322" s="261" t="s">
        <v>119</v>
      </c>
      <c r="C322" s="262" t="s">
        <v>211</v>
      </c>
      <c r="D322" s="261" t="s">
        <v>210</v>
      </c>
      <c r="E322" s="263">
        <v>80175</v>
      </c>
      <c r="F322" s="263" t="s">
        <v>568</v>
      </c>
      <c r="G322" s="263">
        <v>17566</v>
      </c>
      <c r="H322" s="267">
        <f t="shared" si="4"/>
        <v>0.21909572809479264</v>
      </c>
    </row>
    <row r="323" spans="1:8" x14ac:dyDescent="0.3">
      <c r="A323" s="260" t="s">
        <v>176</v>
      </c>
      <c r="B323" s="261" t="s">
        <v>127</v>
      </c>
      <c r="C323" s="262" t="s">
        <v>408</v>
      </c>
      <c r="D323" s="261" t="s">
        <v>409</v>
      </c>
      <c r="E323" s="263">
        <v>490</v>
      </c>
      <c r="F323" s="263" t="s">
        <v>88</v>
      </c>
      <c r="G323" s="263">
        <v>107</v>
      </c>
      <c r="H323" s="267">
        <f t="shared" si="4"/>
        <v>0.21836734693877552</v>
      </c>
    </row>
    <row r="324" spans="1:8" x14ac:dyDescent="0.3">
      <c r="A324" s="260" t="s">
        <v>176</v>
      </c>
      <c r="B324" s="261" t="s">
        <v>127</v>
      </c>
      <c r="C324" s="262" t="s">
        <v>408</v>
      </c>
      <c r="D324" s="261" t="s">
        <v>409</v>
      </c>
      <c r="E324" s="263">
        <v>600</v>
      </c>
      <c r="F324" s="263" t="s">
        <v>87</v>
      </c>
      <c r="G324" s="263">
        <v>131</v>
      </c>
      <c r="H324" s="267">
        <f t="shared" ref="H324:H387" si="5">IF(E324&lt;&gt;0,G324/E324,0)</f>
        <v>0.21833333333333332</v>
      </c>
    </row>
    <row r="325" spans="1:8" x14ac:dyDescent="0.3">
      <c r="A325" s="260" t="s">
        <v>185</v>
      </c>
      <c r="B325" s="261" t="s">
        <v>120</v>
      </c>
      <c r="C325" s="262" t="s">
        <v>245</v>
      </c>
      <c r="D325" s="261" t="s">
        <v>244</v>
      </c>
      <c r="E325" s="263">
        <v>20775</v>
      </c>
      <c r="F325" s="263" t="s">
        <v>87</v>
      </c>
      <c r="G325" s="263">
        <v>4415</v>
      </c>
      <c r="H325" s="267">
        <f t="shared" si="5"/>
        <v>0.21251504211793021</v>
      </c>
    </row>
    <row r="326" spans="1:8" x14ac:dyDescent="0.3">
      <c r="A326" s="260" t="s">
        <v>185</v>
      </c>
      <c r="B326" s="261" t="s">
        <v>120</v>
      </c>
      <c r="C326" s="262" t="s">
        <v>245</v>
      </c>
      <c r="D326" s="261" t="s">
        <v>244</v>
      </c>
      <c r="E326" s="263">
        <v>20775</v>
      </c>
      <c r="F326" s="263" t="s">
        <v>88</v>
      </c>
      <c r="G326" s="263">
        <v>4415</v>
      </c>
      <c r="H326" s="267">
        <f t="shared" si="5"/>
        <v>0.21251504211793021</v>
      </c>
    </row>
    <row r="327" spans="1:8" x14ac:dyDescent="0.3">
      <c r="A327" s="260" t="s">
        <v>176</v>
      </c>
      <c r="B327" s="261" t="s">
        <v>127</v>
      </c>
      <c r="C327" s="262" t="s">
        <v>420</v>
      </c>
      <c r="D327" s="261" t="s">
        <v>421</v>
      </c>
      <c r="E327" s="263">
        <v>102649</v>
      </c>
      <c r="F327" s="263" t="s">
        <v>568</v>
      </c>
      <c r="G327" s="263">
        <v>21757</v>
      </c>
      <c r="H327" s="267">
        <f t="shared" si="5"/>
        <v>0.21195530399711637</v>
      </c>
    </row>
    <row r="328" spans="1:8" x14ac:dyDescent="0.3">
      <c r="A328" s="260" t="s">
        <v>141</v>
      </c>
      <c r="B328" s="261" t="s">
        <v>123</v>
      </c>
      <c r="C328" s="262" t="s">
        <v>149</v>
      </c>
      <c r="D328" s="261" t="s">
        <v>148</v>
      </c>
      <c r="E328" s="263">
        <v>28750</v>
      </c>
      <c r="F328" s="263" t="s">
        <v>88</v>
      </c>
      <c r="G328" s="263">
        <v>6028</v>
      </c>
      <c r="H328" s="267">
        <f t="shared" si="5"/>
        <v>0.2096695652173913</v>
      </c>
    </row>
    <row r="329" spans="1:8" x14ac:dyDescent="0.3">
      <c r="A329" s="260" t="s">
        <v>141</v>
      </c>
      <c r="B329" s="261" t="s">
        <v>123</v>
      </c>
      <c r="C329" s="262" t="s">
        <v>149</v>
      </c>
      <c r="D329" s="261" t="s">
        <v>148</v>
      </c>
      <c r="E329" s="263">
        <v>15932</v>
      </c>
      <c r="F329" s="263" t="s">
        <v>87</v>
      </c>
      <c r="G329" s="263">
        <v>3340</v>
      </c>
      <c r="H329" s="267">
        <f t="shared" si="5"/>
        <v>0.20964097414009542</v>
      </c>
    </row>
    <row r="330" spans="1:8" x14ac:dyDescent="0.3">
      <c r="A330" s="260" t="s">
        <v>167</v>
      </c>
      <c r="B330" s="261" t="s">
        <v>119</v>
      </c>
      <c r="C330" s="262" t="s">
        <v>203</v>
      </c>
      <c r="D330" s="261" t="s">
        <v>202</v>
      </c>
      <c r="E330" s="263">
        <v>6255</v>
      </c>
      <c r="F330" s="263" t="s">
        <v>87</v>
      </c>
      <c r="G330" s="263">
        <v>1246</v>
      </c>
      <c r="H330" s="267">
        <f t="shared" si="5"/>
        <v>0.19920063948840927</v>
      </c>
    </row>
    <row r="331" spans="1:8" x14ac:dyDescent="0.3">
      <c r="A331" s="260" t="s">
        <v>167</v>
      </c>
      <c r="B331" s="261" t="s">
        <v>119</v>
      </c>
      <c r="C331" s="262" t="s">
        <v>203</v>
      </c>
      <c r="D331" s="261" t="s">
        <v>202</v>
      </c>
      <c r="E331" s="263">
        <v>6255</v>
      </c>
      <c r="F331" s="263" t="s">
        <v>88</v>
      </c>
      <c r="G331" s="263">
        <v>1246</v>
      </c>
      <c r="H331" s="267">
        <f t="shared" si="5"/>
        <v>0.19920063948840927</v>
      </c>
    </row>
    <row r="332" spans="1:8" x14ac:dyDescent="0.3">
      <c r="A332" s="260" t="s">
        <v>194</v>
      </c>
      <c r="B332" s="261" t="s">
        <v>135</v>
      </c>
      <c r="C332" s="262" t="s">
        <v>564</v>
      </c>
      <c r="D332" s="261" t="s">
        <v>565</v>
      </c>
      <c r="E332" s="263">
        <v>9038</v>
      </c>
      <c r="F332" s="263" t="s">
        <v>87</v>
      </c>
      <c r="G332" s="263">
        <v>1754</v>
      </c>
      <c r="H332" s="267">
        <f t="shared" si="5"/>
        <v>0.19406948439920335</v>
      </c>
    </row>
    <row r="333" spans="1:8" x14ac:dyDescent="0.3">
      <c r="A333" s="260" t="s">
        <v>194</v>
      </c>
      <c r="B333" s="261" t="s">
        <v>135</v>
      </c>
      <c r="C333" s="262" t="s">
        <v>564</v>
      </c>
      <c r="D333" s="261" t="s">
        <v>565</v>
      </c>
      <c r="E333" s="263">
        <v>9038</v>
      </c>
      <c r="F333" s="263" t="s">
        <v>88</v>
      </c>
      <c r="G333" s="263">
        <v>1754</v>
      </c>
      <c r="H333" s="267">
        <f t="shared" si="5"/>
        <v>0.19406948439920335</v>
      </c>
    </row>
    <row r="334" spans="1:8" x14ac:dyDescent="0.3">
      <c r="A334" s="260" t="s">
        <v>158</v>
      </c>
      <c r="B334" s="261" t="s">
        <v>129</v>
      </c>
      <c r="C334" s="262" t="s">
        <v>460</v>
      </c>
      <c r="D334" s="261" t="s">
        <v>461</v>
      </c>
      <c r="E334" s="263">
        <v>32365</v>
      </c>
      <c r="F334" s="263" t="s">
        <v>87</v>
      </c>
      <c r="G334" s="263">
        <v>6169</v>
      </c>
      <c r="H334" s="267">
        <f t="shared" si="5"/>
        <v>0.19060713733971882</v>
      </c>
    </row>
    <row r="335" spans="1:8" x14ac:dyDescent="0.3">
      <c r="A335" s="260" t="s">
        <v>158</v>
      </c>
      <c r="B335" s="261" t="s">
        <v>129</v>
      </c>
      <c r="C335" s="262" t="s">
        <v>460</v>
      </c>
      <c r="D335" s="261" t="s">
        <v>461</v>
      </c>
      <c r="E335" s="263">
        <v>25648</v>
      </c>
      <c r="F335" s="263" t="s">
        <v>88</v>
      </c>
      <c r="G335" s="263">
        <v>4888</v>
      </c>
      <c r="H335" s="267">
        <f t="shared" si="5"/>
        <v>0.19058016219588272</v>
      </c>
    </row>
    <row r="336" spans="1:8" x14ac:dyDescent="0.3">
      <c r="A336" s="260" t="s">
        <v>161</v>
      </c>
      <c r="B336" s="261" t="s">
        <v>128</v>
      </c>
      <c r="C336" s="262" t="s">
        <v>442</v>
      </c>
      <c r="D336" s="261" t="s">
        <v>443</v>
      </c>
      <c r="E336" s="263">
        <v>199129</v>
      </c>
      <c r="F336" s="263" t="s">
        <v>568</v>
      </c>
      <c r="G336" s="263">
        <v>37375</v>
      </c>
      <c r="H336" s="267">
        <f t="shared" si="5"/>
        <v>0.18769240040375837</v>
      </c>
    </row>
    <row r="337" spans="1:8" x14ac:dyDescent="0.3">
      <c r="A337" s="260" t="s">
        <v>164</v>
      </c>
      <c r="B337" s="261" t="s">
        <v>118</v>
      </c>
      <c r="C337" s="262" t="s">
        <v>329</v>
      </c>
      <c r="D337" s="261" t="s">
        <v>330</v>
      </c>
      <c r="E337" s="263">
        <v>29719</v>
      </c>
      <c r="F337" s="263" t="s">
        <v>87</v>
      </c>
      <c r="G337" s="263">
        <v>5413</v>
      </c>
      <c r="H337" s="267">
        <f t="shared" si="5"/>
        <v>0.18213937211884654</v>
      </c>
    </row>
    <row r="338" spans="1:8" x14ac:dyDescent="0.3">
      <c r="A338" s="260" t="s">
        <v>164</v>
      </c>
      <c r="B338" s="261" t="s">
        <v>118</v>
      </c>
      <c r="C338" s="262" t="s">
        <v>327</v>
      </c>
      <c r="D338" s="261" t="s">
        <v>328</v>
      </c>
      <c r="E338" s="263">
        <v>30236</v>
      </c>
      <c r="F338" s="263" t="s">
        <v>87</v>
      </c>
      <c r="G338" s="263">
        <v>5507</v>
      </c>
      <c r="H338" s="267">
        <f t="shared" si="5"/>
        <v>0.18213388014287604</v>
      </c>
    </row>
    <row r="339" spans="1:8" x14ac:dyDescent="0.3">
      <c r="A339" s="260" t="s">
        <v>164</v>
      </c>
      <c r="B339" s="261" t="s">
        <v>118</v>
      </c>
      <c r="C339" s="262" t="s">
        <v>329</v>
      </c>
      <c r="D339" s="261" t="s">
        <v>330</v>
      </c>
      <c r="E339" s="263">
        <v>936418</v>
      </c>
      <c r="F339" s="263" t="s">
        <v>568</v>
      </c>
      <c r="G339" s="263">
        <v>170550</v>
      </c>
      <c r="H339" s="267">
        <f t="shared" si="5"/>
        <v>0.18213020253775558</v>
      </c>
    </row>
    <row r="340" spans="1:8" x14ac:dyDescent="0.3">
      <c r="A340" s="260" t="s">
        <v>182</v>
      </c>
      <c r="B340" s="261" t="s">
        <v>131</v>
      </c>
      <c r="C340" s="262" t="s">
        <v>182</v>
      </c>
      <c r="D340" s="261" t="s">
        <v>485</v>
      </c>
      <c r="E340" s="263">
        <v>144677</v>
      </c>
      <c r="F340" s="263" t="s">
        <v>87</v>
      </c>
      <c r="G340" s="263">
        <v>26350</v>
      </c>
      <c r="H340" s="267">
        <f t="shared" si="5"/>
        <v>0.18212984786800943</v>
      </c>
    </row>
    <row r="341" spans="1:8" x14ac:dyDescent="0.3">
      <c r="A341" s="260" t="s">
        <v>182</v>
      </c>
      <c r="B341" s="261" t="s">
        <v>131</v>
      </c>
      <c r="C341" s="262" t="s">
        <v>182</v>
      </c>
      <c r="D341" s="261" t="s">
        <v>485</v>
      </c>
      <c r="E341" s="263">
        <v>273531</v>
      </c>
      <c r="F341" s="263" t="s">
        <v>568</v>
      </c>
      <c r="G341" s="263">
        <v>49818</v>
      </c>
      <c r="H341" s="267">
        <f t="shared" si="5"/>
        <v>0.18212926505588031</v>
      </c>
    </row>
    <row r="342" spans="1:8" x14ac:dyDescent="0.3">
      <c r="A342" s="260" t="s">
        <v>164</v>
      </c>
      <c r="B342" s="261" t="s">
        <v>118</v>
      </c>
      <c r="C342" s="262" t="s">
        <v>327</v>
      </c>
      <c r="D342" s="261" t="s">
        <v>328</v>
      </c>
      <c r="E342" s="263">
        <v>397537</v>
      </c>
      <c r="F342" s="263" t="s">
        <v>568</v>
      </c>
      <c r="G342" s="263">
        <v>72403</v>
      </c>
      <c r="H342" s="267">
        <f t="shared" si="5"/>
        <v>0.18212895906544549</v>
      </c>
    </row>
    <row r="343" spans="1:8" x14ac:dyDescent="0.3">
      <c r="A343" s="260" t="s">
        <v>188</v>
      </c>
      <c r="B343" s="261" t="s">
        <v>124</v>
      </c>
      <c r="C343" s="262" t="s">
        <v>356</v>
      </c>
      <c r="D343" s="261" t="s">
        <v>357</v>
      </c>
      <c r="E343" s="263">
        <v>97552</v>
      </c>
      <c r="F343" s="263" t="s">
        <v>568</v>
      </c>
      <c r="G343" s="263">
        <v>17767</v>
      </c>
      <c r="H343" s="267">
        <f t="shared" si="5"/>
        <v>0.18212850582253567</v>
      </c>
    </row>
    <row r="344" spans="1:8" x14ac:dyDescent="0.3">
      <c r="A344" s="260" t="s">
        <v>182</v>
      </c>
      <c r="B344" s="261" t="s">
        <v>131</v>
      </c>
      <c r="C344" s="262" t="s">
        <v>182</v>
      </c>
      <c r="D344" s="261" t="s">
        <v>485</v>
      </c>
      <c r="E344" s="263">
        <v>146662</v>
      </c>
      <c r="F344" s="263" t="s">
        <v>88</v>
      </c>
      <c r="G344" s="263">
        <v>26711</v>
      </c>
      <c r="H344" s="267">
        <f t="shared" si="5"/>
        <v>0.1821262494715741</v>
      </c>
    </row>
    <row r="345" spans="1:8" x14ac:dyDescent="0.3">
      <c r="A345" s="260" t="s">
        <v>164</v>
      </c>
      <c r="B345" s="261" t="s">
        <v>118</v>
      </c>
      <c r="C345" s="262" t="s">
        <v>327</v>
      </c>
      <c r="D345" s="261" t="s">
        <v>328</v>
      </c>
      <c r="E345" s="263">
        <v>33400</v>
      </c>
      <c r="F345" s="263" t="s">
        <v>88</v>
      </c>
      <c r="G345" s="263">
        <v>6083</v>
      </c>
      <c r="H345" s="267">
        <f t="shared" si="5"/>
        <v>0.18212574850299401</v>
      </c>
    </row>
    <row r="346" spans="1:8" x14ac:dyDescent="0.3">
      <c r="A346" s="260" t="s">
        <v>164</v>
      </c>
      <c r="B346" s="261" t="s">
        <v>118</v>
      </c>
      <c r="C346" s="262" t="s">
        <v>329</v>
      </c>
      <c r="D346" s="261" t="s">
        <v>330</v>
      </c>
      <c r="E346" s="263">
        <v>25215</v>
      </c>
      <c r="F346" s="263" t="s">
        <v>88</v>
      </c>
      <c r="G346" s="263">
        <v>4592</v>
      </c>
      <c r="H346" s="267">
        <f t="shared" si="5"/>
        <v>0.1821138211382114</v>
      </c>
    </row>
    <row r="347" spans="1:8" x14ac:dyDescent="0.3">
      <c r="A347" s="260" t="s">
        <v>150</v>
      </c>
      <c r="B347" s="261" t="s">
        <v>125</v>
      </c>
      <c r="C347" s="262" t="s">
        <v>376</v>
      </c>
      <c r="D347" s="261" t="s">
        <v>377</v>
      </c>
      <c r="E347" s="263">
        <v>50975</v>
      </c>
      <c r="F347" s="263" t="s">
        <v>87</v>
      </c>
      <c r="G347" s="263">
        <v>8913</v>
      </c>
      <c r="H347" s="267">
        <f t="shared" si="5"/>
        <v>0.17485041687101521</v>
      </c>
    </row>
    <row r="348" spans="1:8" x14ac:dyDescent="0.3">
      <c r="A348" s="260" t="s">
        <v>150</v>
      </c>
      <c r="B348" s="261" t="s">
        <v>125</v>
      </c>
      <c r="C348" s="262" t="s">
        <v>376</v>
      </c>
      <c r="D348" s="261" t="s">
        <v>377</v>
      </c>
      <c r="E348" s="263">
        <v>55712</v>
      </c>
      <c r="F348" s="263" t="s">
        <v>88</v>
      </c>
      <c r="G348" s="263">
        <v>9741</v>
      </c>
      <c r="H348" s="267">
        <f t="shared" si="5"/>
        <v>0.17484563469270534</v>
      </c>
    </row>
    <row r="349" spans="1:8" x14ac:dyDescent="0.3">
      <c r="A349" s="260" t="s">
        <v>167</v>
      </c>
      <c r="B349" s="261" t="s">
        <v>119</v>
      </c>
      <c r="C349" s="262" t="s">
        <v>209</v>
      </c>
      <c r="D349" s="261" t="s">
        <v>208</v>
      </c>
      <c r="E349" s="263">
        <v>1360</v>
      </c>
      <c r="F349" s="263" t="s">
        <v>87</v>
      </c>
      <c r="G349" s="263">
        <v>231</v>
      </c>
      <c r="H349" s="267">
        <f t="shared" si="5"/>
        <v>0.1698529411764706</v>
      </c>
    </row>
    <row r="350" spans="1:8" x14ac:dyDescent="0.3">
      <c r="A350" s="260" t="s">
        <v>167</v>
      </c>
      <c r="B350" s="261" t="s">
        <v>119</v>
      </c>
      <c r="C350" s="262" t="s">
        <v>209</v>
      </c>
      <c r="D350" s="261" t="s">
        <v>208</v>
      </c>
      <c r="E350" s="263">
        <v>1360</v>
      </c>
      <c r="F350" s="263" t="s">
        <v>88</v>
      </c>
      <c r="G350" s="263">
        <v>231</v>
      </c>
      <c r="H350" s="267">
        <f t="shared" si="5"/>
        <v>0.1698529411764706</v>
      </c>
    </row>
    <row r="351" spans="1:8" x14ac:dyDescent="0.3">
      <c r="A351" s="260" t="s">
        <v>167</v>
      </c>
      <c r="B351" s="261" t="s">
        <v>119</v>
      </c>
      <c r="C351" s="262" t="s">
        <v>219</v>
      </c>
      <c r="D351" s="261" t="s">
        <v>218</v>
      </c>
      <c r="E351" s="263">
        <v>107058</v>
      </c>
      <c r="F351" s="263" t="s">
        <v>568</v>
      </c>
      <c r="G351" s="263">
        <v>18084</v>
      </c>
      <c r="H351" s="267">
        <f t="shared" si="5"/>
        <v>0.16891778288404416</v>
      </c>
    </row>
    <row r="352" spans="1:8" x14ac:dyDescent="0.3">
      <c r="A352" s="260" t="s">
        <v>158</v>
      </c>
      <c r="B352" s="261" t="s">
        <v>129</v>
      </c>
      <c r="C352" s="262" t="s">
        <v>452</v>
      </c>
      <c r="D352" s="261" t="s">
        <v>453</v>
      </c>
      <c r="E352" s="263">
        <v>32481</v>
      </c>
      <c r="F352" s="263" t="s">
        <v>568</v>
      </c>
      <c r="G352" s="263">
        <v>5100</v>
      </c>
      <c r="H352" s="267">
        <f t="shared" si="5"/>
        <v>0.15701487023182784</v>
      </c>
    </row>
    <row r="353" spans="1:8" x14ac:dyDescent="0.3">
      <c r="A353" s="260" t="s">
        <v>173</v>
      </c>
      <c r="B353" s="261" t="s">
        <v>134</v>
      </c>
      <c r="C353" s="262" t="s">
        <v>526</v>
      </c>
      <c r="D353" s="261" t="s">
        <v>527</v>
      </c>
      <c r="E353" s="263">
        <v>11681</v>
      </c>
      <c r="F353" s="263" t="s">
        <v>568</v>
      </c>
      <c r="G353" s="263">
        <v>1788</v>
      </c>
      <c r="H353" s="267">
        <f t="shared" si="5"/>
        <v>0.153069086550809</v>
      </c>
    </row>
    <row r="354" spans="1:8" x14ac:dyDescent="0.3">
      <c r="A354" s="260" t="s">
        <v>161</v>
      </c>
      <c r="B354" s="261" t="s">
        <v>128</v>
      </c>
      <c r="C354" s="262" t="s">
        <v>432</v>
      </c>
      <c r="D354" s="261" t="s">
        <v>433</v>
      </c>
      <c r="E354" s="263">
        <v>5790</v>
      </c>
      <c r="F354" s="263" t="s">
        <v>87</v>
      </c>
      <c r="G354" s="263">
        <v>871</v>
      </c>
      <c r="H354" s="267">
        <f t="shared" si="5"/>
        <v>0.15043177892918824</v>
      </c>
    </row>
    <row r="355" spans="1:8" x14ac:dyDescent="0.3">
      <c r="A355" s="260" t="s">
        <v>161</v>
      </c>
      <c r="B355" s="261" t="s">
        <v>128</v>
      </c>
      <c r="C355" s="262" t="s">
        <v>432</v>
      </c>
      <c r="D355" s="261" t="s">
        <v>433</v>
      </c>
      <c r="E355" s="263">
        <v>5790</v>
      </c>
      <c r="F355" s="263" t="s">
        <v>88</v>
      </c>
      <c r="G355" s="263">
        <v>871</v>
      </c>
      <c r="H355" s="267">
        <f t="shared" si="5"/>
        <v>0.15043177892918824</v>
      </c>
    </row>
    <row r="356" spans="1:8" x14ac:dyDescent="0.3">
      <c r="A356" s="260" t="s">
        <v>194</v>
      </c>
      <c r="B356" s="261" t="s">
        <v>135</v>
      </c>
      <c r="C356" s="262" t="s">
        <v>558</v>
      </c>
      <c r="D356" s="261" t="s">
        <v>559</v>
      </c>
      <c r="E356" s="263">
        <v>107600</v>
      </c>
      <c r="F356" s="263" t="s">
        <v>568</v>
      </c>
      <c r="G356" s="263">
        <v>15890</v>
      </c>
      <c r="H356" s="267">
        <f t="shared" si="5"/>
        <v>0.14767657992565056</v>
      </c>
    </row>
    <row r="357" spans="1:8" x14ac:dyDescent="0.3">
      <c r="A357" s="260" t="s">
        <v>167</v>
      </c>
      <c r="B357" s="261" t="s">
        <v>119</v>
      </c>
      <c r="C357" s="262" t="s">
        <v>199</v>
      </c>
      <c r="D357" s="261" t="s">
        <v>198</v>
      </c>
      <c r="E357" s="263">
        <v>35415</v>
      </c>
      <c r="F357" s="263" t="s">
        <v>568</v>
      </c>
      <c r="G357" s="263">
        <v>4979</v>
      </c>
      <c r="H357" s="267">
        <f t="shared" si="5"/>
        <v>0.14059014541860793</v>
      </c>
    </row>
    <row r="358" spans="1:8" x14ac:dyDescent="0.3">
      <c r="A358" s="260" t="s">
        <v>161</v>
      </c>
      <c r="B358" s="261" t="s">
        <v>128</v>
      </c>
      <c r="C358" s="262" t="s">
        <v>438</v>
      </c>
      <c r="D358" s="261" t="s">
        <v>439</v>
      </c>
      <c r="E358" s="263">
        <v>8209</v>
      </c>
      <c r="F358" s="263" t="s">
        <v>88</v>
      </c>
      <c r="G358" s="263">
        <v>1146</v>
      </c>
      <c r="H358" s="267">
        <f t="shared" si="5"/>
        <v>0.13960287489340967</v>
      </c>
    </row>
    <row r="359" spans="1:8" x14ac:dyDescent="0.3">
      <c r="A359" s="260" t="s">
        <v>161</v>
      </c>
      <c r="B359" s="261" t="s">
        <v>128</v>
      </c>
      <c r="C359" s="262" t="s">
        <v>438</v>
      </c>
      <c r="D359" s="261" t="s">
        <v>439</v>
      </c>
      <c r="E359" s="263">
        <v>27095</v>
      </c>
      <c r="F359" s="263" t="s">
        <v>87</v>
      </c>
      <c r="G359" s="263">
        <v>3781</v>
      </c>
      <c r="H359" s="267">
        <f t="shared" si="5"/>
        <v>0.13954604170511165</v>
      </c>
    </row>
    <row r="360" spans="1:8" x14ac:dyDescent="0.3">
      <c r="A360" s="260" t="s">
        <v>188</v>
      </c>
      <c r="B360" s="261" t="s">
        <v>124</v>
      </c>
      <c r="C360" s="262" t="s">
        <v>342</v>
      </c>
      <c r="D360" s="261" t="s">
        <v>343</v>
      </c>
      <c r="E360" s="263">
        <v>71757</v>
      </c>
      <c r="F360" s="263" t="s">
        <v>568</v>
      </c>
      <c r="G360" s="263">
        <v>9802</v>
      </c>
      <c r="H360" s="267">
        <f t="shared" si="5"/>
        <v>0.13659991359727972</v>
      </c>
    </row>
    <row r="361" spans="1:8" x14ac:dyDescent="0.3">
      <c r="A361" s="260" t="s">
        <v>188</v>
      </c>
      <c r="B361" s="261" t="s">
        <v>124</v>
      </c>
      <c r="C361" s="262" t="s">
        <v>350</v>
      </c>
      <c r="D361" s="261" t="s">
        <v>351</v>
      </c>
      <c r="E361" s="263">
        <v>138054</v>
      </c>
      <c r="F361" s="263" t="s">
        <v>568</v>
      </c>
      <c r="G361" s="263">
        <v>18858</v>
      </c>
      <c r="H361" s="267">
        <f t="shared" si="5"/>
        <v>0.13659872223912381</v>
      </c>
    </row>
    <row r="362" spans="1:8" x14ac:dyDescent="0.3">
      <c r="A362" s="260" t="s">
        <v>176</v>
      </c>
      <c r="B362" s="261" t="s">
        <v>127</v>
      </c>
      <c r="C362" s="262" t="s">
        <v>404</v>
      </c>
      <c r="D362" s="261" t="s">
        <v>405</v>
      </c>
      <c r="E362" s="263">
        <v>95444</v>
      </c>
      <c r="F362" s="263" t="s">
        <v>568</v>
      </c>
      <c r="G362" s="263">
        <v>12957</v>
      </c>
      <c r="H362" s="267">
        <f t="shared" si="5"/>
        <v>0.13575499769498345</v>
      </c>
    </row>
    <row r="363" spans="1:8" x14ac:dyDescent="0.3">
      <c r="A363" s="260" t="s">
        <v>161</v>
      </c>
      <c r="B363" s="261" t="s">
        <v>128</v>
      </c>
      <c r="C363" s="262" t="s">
        <v>430</v>
      </c>
      <c r="D363" s="261" t="s">
        <v>431</v>
      </c>
      <c r="E363" s="263">
        <v>204328</v>
      </c>
      <c r="F363" s="263" t="s">
        <v>568</v>
      </c>
      <c r="G363" s="263">
        <v>26783</v>
      </c>
      <c r="H363" s="267">
        <f t="shared" si="5"/>
        <v>0.13107846208057633</v>
      </c>
    </row>
    <row r="364" spans="1:8" x14ac:dyDescent="0.3">
      <c r="A364" s="260" t="s">
        <v>167</v>
      </c>
      <c r="B364" s="261" t="s">
        <v>119</v>
      </c>
      <c r="C364" s="262" t="s">
        <v>221</v>
      </c>
      <c r="D364" s="261" t="s">
        <v>220</v>
      </c>
      <c r="E364" s="263">
        <v>111176</v>
      </c>
      <c r="F364" s="263" t="s">
        <v>568</v>
      </c>
      <c r="G364" s="263">
        <v>14249</v>
      </c>
      <c r="H364" s="267">
        <f t="shared" si="5"/>
        <v>0.12816615096783479</v>
      </c>
    </row>
    <row r="365" spans="1:8" x14ac:dyDescent="0.3">
      <c r="A365" s="260" t="s">
        <v>179</v>
      </c>
      <c r="B365" s="261" t="s">
        <v>133</v>
      </c>
      <c r="C365" s="262" t="s">
        <v>512</v>
      </c>
      <c r="D365" s="261" t="s">
        <v>513</v>
      </c>
      <c r="E365" s="263">
        <v>47265</v>
      </c>
      <c r="F365" s="263" t="s">
        <v>88</v>
      </c>
      <c r="G365" s="263">
        <v>5629</v>
      </c>
      <c r="H365" s="267">
        <f t="shared" si="5"/>
        <v>0.11909446736485772</v>
      </c>
    </row>
    <row r="366" spans="1:8" x14ac:dyDescent="0.3">
      <c r="A366" s="260" t="s">
        <v>179</v>
      </c>
      <c r="B366" s="261" t="s">
        <v>133</v>
      </c>
      <c r="C366" s="262" t="s">
        <v>512</v>
      </c>
      <c r="D366" s="261" t="s">
        <v>513</v>
      </c>
      <c r="E366" s="263">
        <v>48025</v>
      </c>
      <c r="F366" s="263" t="s">
        <v>87</v>
      </c>
      <c r="G366" s="263">
        <v>5719</v>
      </c>
      <c r="H366" s="267">
        <f t="shared" si="5"/>
        <v>0.11908381051535659</v>
      </c>
    </row>
    <row r="367" spans="1:8" x14ac:dyDescent="0.3">
      <c r="A367" s="260" t="s">
        <v>185</v>
      </c>
      <c r="B367" s="261" t="s">
        <v>120</v>
      </c>
      <c r="C367" s="262" t="s">
        <v>261</v>
      </c>
      <c r="D367" s="261" t="s">
        <v>260</v>
      </c>
      <c r="E367" s="263">
        <v>85750</v>
      </c>
      <c r="F367" s="263" t="s">
        <v>568</v>
      </c>
      <c r="G367" s="263">
        <v>10134</v>
      </c>
      <c r="H367" s="267">
        <f t="shared" si="5"/>
        <v>0.11818075801749271</v>
      </c>
    </row>
    <row r="368" spans="1:8" x14ac:dyDescent="0.3">
      <c r="A368" s="260" t="s">
        <v>158</v>
      </c>
      <c r="B368" s="261" t="s">
        <v>129</v>
      </c>
      <c r="C368" s="262" t="s">
        <v>456</v>
      </c>
      <c r="D368" s="261" t="s">
        <v>457</v>
      </c>
      <c r="E368" s="263">
        <v>116487</v>
      </c>
      <c r="F368" s="263" t="s">
        <v>568</v>
      </c>
      <c r="G368" s="263">
        <v>13458</v>
      </c>
      <c r="H368" s="267">
        <f t="shared" si="5"/>
        <v>0.11553220531046383</v>
      </c>
    </row>
    <row r="369" spans="1:8" x14ac:dyDescent="0.3">
      <c r="A369" s="260" t="s">
        <v>150</v>
      </c>
      <c r="B369" s="261" t="s">
        <v>125</v>
      </c>
      <c r="C369" s="262" t="s">
        <v>380</v>
      </c>
      <c r="D369" s="261" t="s">
        <v>381</v>
      </c>
      <c r="E369" s="263">
        <v>9554</v>
      </c>
      <c r="F369" s="263" t="s">
        <v>568</v>
      </c>
      <c r="G369" s="263">
        <v>1070</v>
      </c>
      <c r="H369" s="267">
        <f t="shared" si="5"/>
        <v>0.11199497592631359</v>
      </c>
    </row>
    <row r="370" spans="1:8" x14ac:dyDescent="0.3">
      <c r="A370" s="260" t="s">
        <v>179</v>
      </c>
      <c r="B370" s="261" t="s">
        <v>133</v>
      </c>
      <c r="C370" s="262" t="s">
        <v>518</v>
      </c>
      <c r="D370" s="261" t="s">
        <v>519</v>
      </c>
      <c r="E370" s="263">
        <v>132100</v>
      </c>
      <c r="F370" s="263" t="s">
        <v>568</v>
      </c>
      <c r="G370" s="263">
        <v>14692</v>
      </c>
      <c r="H370" s="267">
        <f t="shared" si="5"/>
        <v>0.11121877365632096</v>
      </c>
    </row>
    <row r="371" spans="1:8" x14ac:dyDescent="0.3">
      <c r="A371" s="260" t="s">
        <v>170</v>
      </c>
      <c r="B371" s="261" t="s">
        <v>130</v>
      </c>
      <c r="C371" s="262" t="s">
        <v>470</v>
      </c>
      <c r="D371" s="261" t="s">
        <v>471</v>
      </c>
      <c r="E371" s="263">
        <v>782222</v>
      </c>
      <c r="F371" s="263" t="s">
        <v>568</v>
      </c>
      <c r="G371" s="263">
        <v>78126</v>
      </c>
      <c r="H371" s="267">
        <f t="shared" si="5"/>
        <v>9.9877017010516198E-2</v>
      </c>
    </row>
    <row r="372" spans="1:8" x14ac:dyDescent="0.3">
      <c r="A372" s="260" t="s">
        <v>176</v>
      </c>
      <c r="B372" s="261" t="s">
        <v>127</v>
      </c>
      <c r="C372" s="262" t="s">
        <v>402</v>
      </c>
      <c r="D372" s="261" t="s">
        <v>403</v>
      </c>
      <c r="E372" s="263">
        <v>74775</v>
      </c>
      <c r="F372" s="263" t="s">
        <v>568</v>
      </c>
      <c r="G372" s="263">
        <v>7316</v>
      </c>
      <c r="H372" s="267">
        <f t="shared" si="5"/>
        <v>9.7840187228351722E-2</v>
      </c>
    </row>
    <row r="373" spans="1:8" x14ac:dyDescent="0.3">
      <c r="A373" s="260" t="s">
        <v>191</v>
      </c>
      <c r="B373" s="261" t="s">
        <v>121</v>
      </c>
      <c r="C373" s="262" t="s">
        <v>285</v>
      </c>
      <c r="D373" s="261" t="s">
        <v>284</v>
      </c>
      <c r="E373" s="263">
        <v>45483</v>
      </c>
      <c r="F373" s="263" t="s">
        <v>568</v>
      </c>
      <c r="G373" s="263">
        <v>4450</v>
      </c>
      <c r="H373" s="267">
        <f t="shared" si="5"/>
        <v>9.7838752940659149E-2</v>
      </c>
    </row>
    <row r="374" spans="1:8" x14ac:dyDescent="0.3">
      <c r="A374" s="260" t="s">
        <v>161</v>
      </c>
      <c r="B374" s="261" t="s">
        <v>128</v>
      </c>
      <c r="C374" s="262" t="s">
        <v>424</v>
      </c>
      <c r="D374" s="261" t="s">
        <v>425</v>
      </c>
      <c r="E374" s="263">
        <v>242374</v>
      </c>
      <c r="F374" s="263" t="s">
        <v>568</v>
      </c>
      <c r="G374" s="263">
        <v>22792</v>
      </c>
      <c r="H374" s="267">
        <f t="shared" si="5"/>
        <v>9.4036489062358175E-2</v>
      </c>
    </row>
    <row r="375" spans="1:8" x14ac:dyDescent="0.3">
      <c r="A375" s="260" t="s">
        <v>185</v>
      </c>
      <c r="B375" s="261" t="s">
        <v>120</v>
      </c>
      <c r="C375" s="262" t="s">
        <v>247</v>
      </c>
      <c r="D375" s="261" t="s">
        <v>246</v>
      </c>
      <c r="E375" s="263">
        <v>40368</v>
      </c>
      <c r="F375" s="263" t="s">
        <v>568</v>
      </c>
      <c r="G375" s="263">
        <v>3770</v>
      </c>
      <c r="H375" s="267">
        <f t="shared" si="5"/>
        <v>9.3390804597701146E-2</v>
      </c>
    </row>
    <row r="376" spans="1:8" x14ac:dyDescent="0.3">
      <c r="A376" s="260" t="s">
        <v>182</v>
      </c>
      <c r="B376" s="261" t="s">
        <v>131</v>
      </c>
      <c r="C376" s="262" t="s">
        <v>486</v>
      </c>
      <c r="D376" s="261" t="s">
        <v>487</v>
      </c>
      <c r="E376" s="263">
        <v>47908</v>
      </c>
      <c r="F376" s="263" t="s">
        <v>568</v>
      </c>
      <c r="G376" s="263">
        <v>4363</v>
      </c>
      <c r="H376" s="267">
        <f t="shared" si="5"/>
        <v>9.1070384904400101E-2</v>
      </c>
    </row>
    <row r="377" spans="1:8" x14ac:dyDescent="0.3">
      <c r="A377" s="260" t="s">
        <v>182</v>
      </c>
      <c r="B377" s="261" t="s">
        <v>131</v>
      </c>
      <c r="C377" s="262" t="s">
        <v>494</v>
      </c>
      <c r="D377" s="261" t="s">
        <v>495</v>
      </c>
      <c r="E377" s="263">
        <v>76117</v>
      </c>
      <c r="F377" s="263" t="s">
        <v>87</v>
      </c>
      <c r="G377" s="263">
        <v>6932</v>
      </c>
      <c r="H377" s="267">
        <f t="shared" si="5"/>
        <v>9.1070325945583772E-2</v>
      </c>
    </row>
    <row r="378" spans="1:8" x14ac:dyDescent="0.3">
      <c r="A378" s="260" t="s">
        <v>182</v>
      </c>
      <c r="B378" s="261" t="s">
        <v>131</v>
      </c>
      <c r="C378" s="262" t="s">
        <v>494</v>
      </c>
      <c r="D378" s="261" t="s">
        <v>495</v>
      </c>
      <c r="E378" s="263">
        <v>76117</v>
      </c>
      <c r="F378" s="263" t="s">
        <v>88</v>
      </c>
      <c r="G378" s="263">
        <v>6932</v>
      </c>
      <c r="H378" s="267">
        <f t="shared" si="5"/>
        <v>9.1070325945583772E-2</v>
      </c>
    </row>
    <row r="379" spans="1:8" x14ac:dyDescent="0.3">
      <c r="A379" s="260" t="s">
        <v>182</v>
      </c>
      <c r="B379" s="261" t="s">
        <v>131</v>
      </c>
      <c r="C379" s="262" t="s">
        <v>488</v>
      </c>
      <c r="D379" s="261" t="s">
        <v>489</v>
      </c>
      <c r="E379" s="263">
        <v>65160</v>
      </c>
      <c r="F379" s="263" t="s">
        <v>88</v>
      </c>
      <c r="G379" s="263">
        <v>5934</v>
      </c>
      <c r="H379" s="267">
        <f t="shared" si="5"/>
        <v>9.1068139963167594E-2</v>
      </c>
    </row>
    <row r="380" spans="1:8" x14ac:dyDescent="0.3">
      <c r="A380" s="260" t="s">
        <v>182</v>
      </c>
      <c r="B380" s="261" t="s">
        <v>131</v>
      </c>
      <c r="C380" s="262" t="s">
        <v>486</v>
      </c>
      <c r="D380" s="261" t="s">
        <v>487</v>
      </c>
      <c r="E380" s="263">
        <v>64062</v>
      </c>
      <c r="F380" s="263" t="s">
        <v>87</v>
      </c>
      <c r="G380" s="263">
        <v>5834</v>
      </c>
      <c r="H380" s="267">
        <f t="shared" si="5"/>
        <v>9.1068027848022232E-2</v>
      </c>
    </row>
    <row r="381" spans="1:8" x14ac:dyDescent="0.3">
      <c r="A381" s="260" t="s">
        <v>182</v>
      </c>
      <c r="B381" s="261" t="s">
        <v>131</v>
      </c>
      <c r="C381" s="262" t="s">
        <v>486</v>
      </c>
      <c r="D381" s="261" t="s">
        <v>487</v>
      </c>
      <c r="E381" s="263">
        <v>64062</v>
      </c>
      <c r="F381" s="263" t="s">
        <v>88</v>
      </c>
      <c r="G381" s="263">
        <v>5834</v>
      </c>
      <c r="H381" s="267">
        <f t="shared" si="5"/>
        <v>9.1068027848022232E-2</v>
      </c>
    </row>
    <row r="382" spans="1:8" x14ac:dyDescent="0.3">
      <c r="A382" s="260" t="s">
        <v>182</v>
      </c>
      <c r="B382" s="261" t="s">
        <v>131</v>
      </c>
      <c r="C382" s="262" t="s">
        <v>490</v>
      </c>
      <c r="D382" s="261" t="s">
        <v>491</v>
      </c>
      <c r="E382" s="263">
        <v>255865</v>
      </c>
      <c r="F382" s="263" t="s">
        <v>568</v>
      </c>
      <c r="G382" s="263">
        <v>23301</v>
      </c>
      <c r="H382" s="267">
        <f t="shared" si="5"/>
        <v>9.1067555156039315E-2</v>
      </c>
    </row>
    <row r="383" spans="1:8" x14ac:dyDescent="0.3">
      <c r="A383" s="260" t="s">
        <v>182</v>
      </c>
      <c r="B383" s="261" t="s">
        <v>131</v>
      </c>
      <c r="C383" s="262" t="s">
        <v>488</v>
      </c>
      <c r="D383" s="261" t="s">
        <v>489</v>
      </c>
      <c r="E383" s="263">
        <v>228846</v>
      </c>
      <c r="F383" s="263" t="s">
        <v>568</v>
      </c>
      <c r="G383" s="263">
        <v>20840</v>
      </c>
      <c r="H383" s="267">
        <f t="shared" si="5"/>
        <v>9.106560743906382E-2</v>
      </c>
    </row>
    <row r="384" spans="1:8" x14ac:dyDescent="0.3">
      <c r="A384" s="260" t="s">
        <v>182</v>
      </c>
      <c r="B384" s="261" t="s">
        <v>131</v>
      </c>
      <c r="C384" s="262" t="s">
        <v>490</v>
      </c>
      <c r="D384" s="261" t="s">
        <v>491</v>
      </c>
      <c r="E384" s="263">
        <v>102333</v>
      </c>
      <c r="F384" s="263" t="s">
        <v>87</v>
      </c>
      <c r="G384" s="263">
        <v>9319</v>
      </c>
      <c r="H384" s="267">
        <f t="shared" si="5"/>
        <v>9.1065443209912736E-2</v>
      </c>
    </row>
    <row r="385" spans="1:8" x14ac:dyDescent="0.3">
      <c r="A385" s="260" t="s">
        <v>182</v>
      </c>
      <c r="B385" s="261" t="s">
        <v>131</v>
      </c>
      <c r="C385" s="262" t="s">
        <v>490</v>
      </c>
      <c r="D385" s="261" t="s">
        <v>491</v>
      </c>
      <c r="E385" s="263">
        <v>76275</v>
      </c>
      <c r="F385" s="263" t="s">
        <v>88</v>
      </c>
      <c r="G385" s="263">
        <v>6946</v>
      </c>
      <c r="H385" s="267">
        <f t="shared" si="5"/>
        <v>9.1065224516551954E-2</v>
      </c>
    </row>
    <row r="386" spans="1:8" x14ac:dyDescent="0.3">
      <c r="A386" s="260" t="s">
        <v>164</v>
      </c>
      <c r="B386" s="261" t="s">
        <v>118</v>
      </c>
      <c r="C386" s="262" t="s">
        <v>323</v>
      </c>
      <c r="D386" s="261" t="s">
        <v>324</v>
      </c>
      <c r="E386" s="263">
        <v>1228200</v>
      </c>
      <c r="F386" s="263" t="s">
        <v>568</v>
      </c>
      <c r="G386" s="263">
        <v>111846</v>
      </c>
      <c r="H386" s="267">
        <f t="shared" si="5"/>
        <v>9.1064973131411819E-2</v>
      </c>
    </row>
    <row r="387" spans="1:8" x14ac:dyDescent="0.3">
      <c r="A387" s="260" t="s">
        <v>182</v>
      </c>
      <c r="B387" s="261" t="s">
        <v>131</v>
      </c>
      <c r="C387" s="262" t="s">
        <v>492</v>
      </c>
      <c r="D387" s="261" t="s">
        <v>493</v>
      </c>
      <c r="E387" s="263">
        <v>302576</v>
      </c>
      <c r="F387" s="263" t="s">
        <v>568</v>
      </c>
      <c r="G387" s="263">
        <v>27554</v>
      </c>
      <c r="H387" s="267">
        <f t="shared" si="5"/>
        <v>9.1064724234572472E-2</v>
      </c>
    </row>
    <row r="388" spans="1:8" x14ac:dyDescent="0.3">
      <c r="A388" s="260" t="s">
        <v>164</v>
      </c>
      <c r="B388" s="261" t="s">
        <v>118</v>
      </c>
      <c r="C388" s="262" t="s">
        <v>331</v>
      </c>
      <c r="D388" s="261" t="s">
        <v>332</v>
      </c>
      <c r="E388" s="263">
        <v>1123499</v>
      </c>
      <c r="F388" s="263" t="s">
        <v>568</v>
      </c>
      <c r="G388" s="263">
        <v>102311</v>
      </c>
      <c r="H388" s="267">
        <f t="shared" ref="H388:H451" si="6">IF(E388&lt;&gt;0,G388/E388,0)</f>
        <v>9.1064611539485127E-2</v>
      </c>
    </row>
    <row r="389" spans="1:8" x14ac:dyDescent="0.3">
      <c r="A389" s="264" t="s">
        <v>164</v>
      </c>
      <c r="B389" s="261" t="s">
        <v>118</v>
      </c>
      <c r="C389" s="262" t="s">
        <v>323</v>
      </c>
      <c r="D389" s="261" t="s">
        <v>324</v>
      </c>
      <c r="E389" s="263">
        <v>10542</v>
      </c>
      <c r="F389" s="263" t="s">
        <v>88</v>
      </c>
      <c r="G389" s="263">
        <v>960</v>
      </c>
      <c r="H389" s="267">
        <f t="shared" si="6"/>
        <v>9.1064314171883889E-2</v>
      </c>
    </row>
    <row r="390" spans="1:8" x14ac:dyDescent="0.3">
      <c r="A390" s="260" t="s">
        <v>182</v>
      </c>
      <c r="B390" s="261" t="s">
        <v>131</v>
      </c>
      <c r="C390" s="262" t="s">
        <v>494</v>
      </c>
      <c r="D390" s="261" t="s">
        <v>495</v>
      </c>
      <c r="E390" s="263">
        <v>166149</v>
      </c>
      <c r="F390" s="263" t="s">
        <v>568</v>
      </c>
      <c r="G390" s="263">
        <v>15130</v>
      </c>
      <c r="H390" s="267">
        <f t="shared" si="6"/>
        <v>9.1062841184719745E-2</v>
      </c>
    </row>
    <row r="391" spans="1:8" x14ac:dyDescent="0.3">
      <c r="A391" s="264" t="s">
        <v>164</v>
      </c>
      <c r="B391" s="261" t="s">
        <v>118</v>
      </c>
      <c r="C391" s="262" t="s">
        <v>331</v>
      </c>
      <c r="D391" s="261" t="s">
        <v>332</v>
      </c>
      <c r="E391" s="263">
        <v>18823</v>
      </c>
      <c r="F391" s="263" t="s">
        <v>88</v>
      </c>
      <c r="G391" s="263">
        <v>1714</v>
      </c>
      <c r="H391" s="267">
        <f t="shared" si="6"/>
        <v>9.1058811029060188E-2</v>
      </c>
    </row>
    <row r="392" spans="1:8" x14ac:dyDescent="0.3">
      <c r="A392" s="260" t="s">
        <v>182</v>
      </c>
      <c r="B392" s="261" t="s">
        <v>131</v>
      </c>
      <c r="C392" s="262" t="s">
        <v>488</v>
      </c>
      <c r="D392" s="261" t="s">
        <v>489</v>
      </c>
      <c r="E392" s="263">
        <v>68132</v>
      </c>
      <c r="F392" s="263" t="s">
        <v>87</v>
      </c>
      <c r="G392" s="263">
        <v>6204</v>
      </c>
      <c r="H392" s="267">
        <f t="shared" si="6"/>
        <v>9.1058533435096581E-2</v>
      </c>
    </row>
    <row r="393" spans="1:8" x14ac:dyDescent="0.3">
      <c r="A393" s="260" t="s">
        <v>164</v>
      </c>
      <c r="B393" s="261" t="s">
        <v>118</v>
      </c>
      <c r="C393" s="262" t="s">
        <v>331</v>
      </c>
      <c r="D393" s="261" t="s">
        <v>332</v>
      </c>
      <c r="E393" s="263">
        <v>32287</v>
      </c>
      <c r="F393" s="263" t="s">
        <v>87</v>
      </c>
      <c r="G393" s="263">
        <v>2940</v>
      </c>
      <c r="H393" s="267">
        <f t="shared" si="6"/>
        <v>9.1058320686344354E-2</v>
      </c>
    </row>
    <row r="394" spans="1:8" x14ac:dyDescent="0.3">
      <c r="A394" s="260" t="s">
        <v>182</v>
      </c>
      <c r="B394" s="261" t="s">
        <v>131</v>
      </c>
      <c r="C394" s="262" t="s">
        <v>492</v>
      </c>
      <c r="D394" s="261" t="s">
        <v>493</v>
      </c>
      <c r="E394" s="263">
        <v>56261</v>
      </c>
      <c r="F394" s="263" t="s">
        <v>87</v>
      </c>
      <c r="G394" s="263">
        <v>5123</v>
      </c>
      <c r="H394" s="267">
        <f t="shared" si="6"/>
        <v>9.1057748706919531E-2</v>
      </c>
    </row>
    <row r="395" spans="1:8" x14ac:dyDescent="0.3">
      <c r="A395" s="260" t="s">
        <v>182</v>
      </c>
      <c r="B395" s="261" t="s">
        <v>131</v>
      </c>
      <c r="C395" s="262" t="s">
        <v>492</v>
      </c>
      <c r="D395" s="261" t="s">
        <v>493</v>
      </c>
      <c r="E395" s="263">
        <v>56261</v>
      </c>
      <c r="F395" s="263" t="s">
        <v>88</v>
      </c>
      <c r="G395" s="263">
        <v>5123</v>
      </c>
      <c r="H395" s="267">
        <f t="shared" si="6"/>
        <v>9.1057748706919531E-2</v>
      </c>
    </row>
    <row r="396" spans="1:8" x14ac:dyDescent="0.3">
      <c r="A396" s="260" t="s">
        <v>164</v>
      </c>
      <c r="B396" s="261" t="s">
        <v>118</v>
      </c>
      <c r="C396" s="262" t="s">
        <v>323</v>
      </c>
      <c r="D396" s="261" t="s">
        <v>324</v>
      </c>
      <c r="E396" s="263">
        <v>15904</v>
      </c>
      <c r="F396" s="263" t="s">
        <v>87</v>
      </c>
      <c r="G396" s="263">
        <v>1448</v>
      </c>
      <c r="H396" s="267">
        <f t="shared" si="6"/>
        <v>9.1046277665995975E-2</v>
      </c>
    </row>
    <row r="397" spans="1:8" x14ac:dyDescent="0.3">
      <c r="A397" s="260" t="s">
        <v>150</v>
      </c>
      <c r="B397" s="261" t="s">
        <v>125</v>
      </c>
      <c r="C397" s="262" t="s">
        <v>374</v>
      </c>
      <c r="D397" s="261" t="s">
        <v>375</v>
      </c>
      <c r="E397" s="263">
        <v>45211</v>
      </c>
      <c r="F397" s="263" t="s">
        <v>568</v>
      </c>
      <c r="G397" s="263">
        <v>3921</v>
      </c>
      <c r="H397" s="267">
        <f t="shared" si="6"/>
        <v>8.6726681559797389E-2</v>
      </c>
    </row>
    <row r="398" spans="1:8" x14ac:dyDescent="0.3">
      <c r="A398" s="260" t="s">
        <v>173</v>
      </c>
      <c r="B398" s="261" t="s">
        <v>134</v>
      </c>
      <c r="C398" s="262" t="s">
        <v>536</v>
      </c>
      <c r="D398" s="261" t="s">
        <v>537</v>
      </c>
      <c r="E398" s="263">
        <v>152565</v>
      </c>
      <c r="F398" s="263" t="s">
        <v>568</v>
      </c>
      <c r="G398" s="263">
        <v>12746</v>
      </c>
      <c r="H398" s="267">
        <f t="shared" si="6"/>
        <v>8.354471864451217E-2</v>
      </c>
    </row>
    <row r="399" spans="1:8" x14ac:dyDescent="0.3">
      <c r="A399" s="260" t="s">
        <v>194</v>
      </c>
      <c r="B399" s="261" t="s">
        <v>135</v>
      </c>
      <c r="C399" s="262" t="s">
        <v>548</v>
      </c>
      <c r="D399" s="261" t="s">
        <v>549</v>
      </c>
      <c r="E399" s="263">
        <v>79436</v>
      </c>
      <c r="F399" s="263" t="s">
        <v>568</v>
      </c>
      <c r="G399" s="263">
        <v>6631</v>
      </c>
      <c r="H399" s="267">
        <f t="shared" si="6"/>
        <v>8.3476005841180326E-2</v>
      </c>
    </row>
    <row r="400" spans="1:8" x14ac:dyDescent="0.3">
      <c r="A400" s="260" t="s">
        <v>194</v>
      </c>
      <c r="B400" s="261" t="s">
        <v>135</v>
      </c>
      <c r="C400" s="262" t="s">
        <v>544</v>
      </c>
      <c r="D400" s="261" t="s">
        <v>545</v>
      </c>
      <c r="E400" s="263">
        <v>123632</v>
      </c>
      <c r="F400" s="263" t="s">
        <v>568</v>
      </c>
      <c r="G400" s="263">
        <v>10069</v>
      </c>
      <c r="H400" s="267">
        <f t="shared" si="6"/>
        <v>8.1443315646434575E-2</v>
      </c>
    </row>
    <row r="401" spans="1:8" x14ac:dyDescent="0.3">
      <c r="A401" s="260" t="s">
        <v>158</v>
      </c>
      <c r="B401" s="261" t="s">
        <v>129</v>
      </c>
      <c r="C401" s="262" t="s">
        <v>460</v>
      </c>
      <c r="D401" s="261" t="s">
        <v>461</v>
      </c>
      <c r="E401" s="263">
        <v>177476</v>
      </c>
      <c r="F401" s="263" t="s">
        <v>568</v>
      </c>
      <c r="G401" s="263">
        <v>13782</v>
      </c>
      <c r="H401" s="267">
        <f t="shared" si="6"/>
        <v>7.7655570330636262E-2</v>
      </c>
    </row>
    <row r="402" spans="1:8" x14ac:dyDescent="0.3">
      <c r="A402" s="260" t="s">
        <v>176</v>
      </c>
      <c r="B402" s="261" t="s">
        <v>127</v>
      </c>
      <c r="C402" s="262" t="s">
        <v>416</v>
      </c>
      <c r="D402" s="261" t="s">
        <v>417</v>
      </c>
      <c r="E402" s="263">
        <v>351047</v>
      </c>
      <c r="F402" s="263" t="s">
        <v>568</v>
      </c>
      <c r="G402" s="263">
        <v>26640</v>
      </c>
      <c r="H402" s="267">
        <f t="shared" si="6"/>
        <v>7.5887274353576589E-2</v>
      </c>
    </row>
    <row r="403" spans="1:8" x14ac:dyDescent="0.3">
      <c r="A403" s="260" t="s">
        <v>173</v>
      </c>
      <c r="B403" s="261" t="s">
        <v>134</v>
      </c>
      <c r="C403" s="262" t="s">
        <v>530</v>
      </c>
      <c r="D403" s="261" t="s">
        <v>531</v>
      </c>
      <c r="E403" s="263">
        <v>70910</v>
      </c>
      <c r="F403" s="263" t="s">
        <v>568</v>
      </c>
      <c r="G403" s="263">
        <v>5010</v>
      </c>
      <c r="H403" s="267">
        <f t="shared" si="6"/>
        <v>7.065294034691863E-2</v>
      </c>
    </row>
    <row r="404" spans="1:8" x14ac:dyDescent="0.3">
      <c r="A404" s="260" t="s">
        <v>167</v>
      </c>
      <c r="B404" s="261" t="s">
        <v>119</v>
      </c>
      <c r="C404" s="262" t="s">
        <v>217</v>
      </c>
      <c r="D404" s="261" t="s">
        <v>216</v>
      </c>
      <c r="E404" s="263">
        <v>145076</v>
      </c>
      <c r="F404" s="263" t="s">
        <v>568</v>
      </c>
      <c r="G404" s="263">
        <v>10076</v>
      </c>
      <c r="H404" s="267">
        <f t="shared" si="6"/>
        <v>6.9453252088560485E-2</v>
      </c>
    </row>
    <row r="405" spans="1:8" x14ac:dyDescent="0.3">
      <c r="A405" s="260" t="s">
        <v>191</v>
      </c>
      <c r="B405" s="261" t="s">
        <v>121</v>
      </c>
      <c r="C405" s="262" t="s">
        <v>275</v>
      </c>
      <c r="D405" s="261" t="s">
        <v>274</v>
      </c>
      <c r="E405" s="263">
        <v>58928</v>
      </c>
      <c r="F405" s="263" t="s">
        <v>568</v>
      </c>
      <c r="G405" s="263">
        <v>4059</v>
      </c>
      <c r="H405" s="267">
        <f t="shared" si="6"/>
        <v>6.8880667933749667E-2</v>
      </c>
    </row>
    <row r="406" spans="1:8" x14ac:dyDescent="0.3">
      <c r="A406" s="260" t="s">
        <v>147</v>
      </c>
      <c r="B406" s="261" t="s">
        <v>132</v>
      </c>
      <c r="C406" s="262" t="s">
        <v>508</v>
      </c>
      <c r="D406" s="261" t="s">
        <v>509</v>
      </c>
      <c r="E406" s="263">
        <v>725439</v>
      </c>
      <c r="F406" s="263" t="s">
        <v>568</v>
      </c>
      <c r="G406" s="263">
        <v>49458</v>
      </c>
      <c r="H406" s="267">
        <f t="shared" si="6"/>
        <v>6.8176648898115491E-2</v>
      </c>
    </row>
    <row r="407" spans="1:8" x14ac:dyDescent="0.3">
      <c r="A407" s="260" t="s">
        <v>194</v>
      </c>
      <c r="B407" s="261" t="s">
        <v>135</v>
      </c>
      <c r="C407" s="262" t="s">
        <v>566</v>
      </c>
      <c r="D407" s="261" t="s">
        <v>567</v>
      </c>
      <c r="E407" s="263">
        <v>46255</v>
      </c>
      <c r="F407" s="263" t="s">
        <v>568</v>
      </c>
      <c r="G407" s="263">
        <v>3133</v>
      </c>
      <c r="H407" s="267">
        <f t="shared" si="6"/>
        <v>6.7733218030483197E-2</v>
      </c>
    </row>
    <row r="408" spans="1:8" x14ac:dyDescent="0.3">
      <c r="A408" s="260" t="s">
        <v>161</v>
      </c>
      <c r="B408" s="261" t="s">
        <v>128</v>
      </c>
      <c r="C408" s="262" t="s">
        <v>422</v>
      </c>
      <c r="D408" s="261" t="s">
        <v>423</v>
      </c>
      <c r="E408" s="263">
        <v>247045</v>
      </c>
      <c r="F408" s="263" t="s">
        <v>568</v>
      </c>
      <c r="G408" s="263">
        <v>16302</v>
      </c>
      <c r="H408" s="267">
        <f t="shared" si="6"/>
        <v>6.5987977898763386E-2</v>
      </c>
    </row>
    <row r="409" spans="1:8" x14ac:dyDescent="0.3">
      <c r="A409" s="260" t="s">
        <v>188</v>
      </c>
      <c r="B409" s="261" t="s">
        <v>124</v>
      </c>
      <c r="C409" s="262" t="s">
        <v>364</v>
      </c>
      <c r="D409" s="261" t="s">
        <v>365</v>
      </c>
      <c r="E409" s="263">
        <v>44539</v>
      </c>
      <c r="F409" s="263" t="s">
        <v>568</v>
      </c>
      <c r="G409" s="263">
        <v>2918</v>
      </c>
      <c r="H409" s="267">
        <f t="shared" si="6"/>
        <v>6.5515615527964255E-2</v>
      </c>
    </row>
    <row r="410" spans="1:8" x14ac:dyDescent="0.3">
      <c r="A410" s="260" t="s">
        <v>167</v>
      </c>
      <c r="B410" s="261" t="s">
        <v>119</v>
      </c>
      <c r="C410" s="262" t="s">
        <v>229</v>
      </c>
      <c r="D410" s="261" t="s">
        <v>228</v>
      </c>
      <c r="E410" s="263">
        <v>41449</v>
      </c>
      <c r="F410" s="263" t="s">
        <v>568</v>
      </c>
      <c r="G410" s="263">
        <v>2658</v>
      </c>
      <c r="H410" s="267">
        <f t="shared" si="6"/>
        <v>6.412699944510121E-2</v>
      </c>
    </row>
    <row r="411" spans="1:8" x14ac:dyDescent="0.3">
      <c r="A411" s="260" t="s">
        <v>155</v>
      </c>
      <c r="B411" s="261" t="s">
        <v>122</v>
      </c>
      <c r="C411" s="262" t="s">
        <v>169</v>
      </c>
      <c r="D411" s="261" t="s">
        <v>168</v>
      </c>
      <c r="E411" s="263">
        <v>152418</v>
      </c>
      <c r="F411" s="263" t="s">
        <v>568</v>
      </c>
      <c r="G411" s="263">
        <v>9759</v>
      </c>
      <c r="H411" s="267">
        <f t="shared" si="6"/>
        <v>6.402787072393025E-2</v>
      </c>
    </row>
    <row r="412" spans="1:8" x14ac:dyDescent="0.3">
      <c r="A412" s="260" t="s">
        <v>179</v>
      </c>
      <c r="B412" s="261" t="s">
        <v>133</v>
      </c>
      <c r="C412" s="262" t="s">
        <v>520</v>
      </c>
      <c r="D412" s="261" t="s">
        <v>521</v>
      </c>
      <c r="E412" s="263">
        <v>7134</v>
      </c>
      <c r="F412" s="263" t="s">
        <v>568</v>
      </c>
      <c r="G412" s="263">
        <v>455</v>
      </c>
      <c r="H412" s="267">
        <f t="shared" si="6"/>
        <v>6.3779086066722737E-2</v>
      </c>
    </row>
    <row r="413" spans="1:8" x14ac:dyDescent="0.3">
      <c r="A413" s="260" t="s">
        <v>170</v>
      </c>
      <c r="B413" s="261" t="s">
        <v>130</v>
      </c>
      <c r="C413" s="262" t="s">
        <v>466</v>
      </c>
      <c r="D413" s="261" t="s">
        <v>482</v>
      </c>
      <c r="E413" s="263">
        <v>197595</v>
      </c>
      <c r="F413" s="263" t="s">
        <v>568</v>
      </c>
      <c r="G413" s="263">
        <v>12583</v>
      </c>
      <c r="H413" s="267">
        <f t="shared" si="6"/>
        <v>6.3680761152863183E-2</v>
      </c>
    </row>
    <row r="414" spans="1:8" x14ac:dyDescent="0.3">
      <c r="A414" s="260" t="s">
        <v>185</v>
      </c>
      <c r="B414" s="261" t="s">
        <v>120</v>
      </c>
      <c r="C414" s="262" t="s">
        <v>253</v>
      </c>
      <c r="D414" s="261" t="s">
        <v>252</v>
      </c>
      <c r="E414" s="263">
        <v>6230</v>
      </c>
      <c r="F414" s="263" t="s">
        <v>568</v>
      </c>
      <c r="G414" s="263">
        <v>396</v>
      </c>
      <c r="H414" s="267">
        <f t="shared" si="6"/>
        <v>6.3563402889245585E-2</v>
      </c>
    </row>
    <row r="415" spans="1:8" x14ac:dyDescent="0.3">
      <c r="A415" s="260" t="s">
        <v>150</v>
      </c>
      <c r="B415" s="261" t="s">
        <v>125</v>
      </c>
      <c r="C415" s="262" t="s">
        <v>378</v>
      </c>
      <c r="D415" s="261" t="s">
        <v>379</v>
      </c>
      <c r="E415" s="263">
        <v>41064</v>
      </c>
      <c r="F415" s="263" t="s">
        <v>568</v>
      </c>
      <c r="G415" s="263">
        <v>2597</v>
      </c>
      <c r="H415" s="267">
        <f t="shared" si="6"/>
        <v>6.3242743035262033E-2</v>
      </c>
    </row>
    <row r="416" spans="1:8" x14ac:dyDescent="0.3">
      <c r="A416" s="260" t="s">
        <v>197</v>
      </c>
      <c r="B416" s="261" t="s">
        <v>126</v>
      </c>
      <c r="C416" s="262" t="s">
        <v>400</v>
      </c>
      <c r="D416" s="261" t="s">
        <v>401</v>
      </c>
      <c r="E416" s="263">
        <v>196991</v>
      </c>
      <c r="F416" s="263" t="s">
        <v>568</v>
      </c>
      <c r="G416" s="263">
        <v>11871</v>
      </c>
      <c r="H416" s="267">
        <f t="shared" si="6"/>
        <v>6.0261636318410486E-2</v>
      </c>
    </row>
    <row r="417" spans="1:8" x14ac:dyDescent="0.3">
      <c r="A417" s="260" t="s">
        <v>194</v>
      </c>
      <c r="B417" s="261" t="s">
        <v>135</v>
      </c>
      <c r="C417" s="262" t="s">
        <v>540</v>
      </c>
      <c r="D417" s="261" t="s">
        <v>541</v>
      </c>
      <c r="E417" s="263">
        <v>188919</v>
      </c>
      <c r="F417" s="263" t="s">
        <v>568</v>
      </c>
      <c r="G417" s="263">
        <v>11189</v>
      </c>
      <c r="H417" s="267">
        <f t="shared" si="6"/>
        <v>5.9226440961470263E-2</v>
      </c>
    </row>
    <row r="418" spans="1:8" x14ac:dyDescent="0.3">
      <c r="A418" s="260" t="s">
        <v>173</v>
      </c>
      <c r="B418" s="261" t="s">
        <v>134</v>
      </c>
      <c r="C418" s="262" t="s">
        <v>534</v>
      </c>
      <c r="D418" s="261" t="s">
        <v>535</v>
      </c>
      <c r="E418" s="263">
        <v>60478</v>
      </c>
      <c r="F418" s="263" t="s">
        <v>568</v>
      </c>
      <c r="G418" s="263">
        <v>3347</v>
      </c>
      <c r="H418" s="267">
        <f t="shared" si="6"/>
        <v>5.5342438572704121E-2</v>
      </c>
    </row>
    <row r="419" spans="1:8" x14ac:dyDescent="0.3">
      <c r="A419" s="260" t="s">
        <v>197</v>
      </c>
      <c r="B419" s="261" t="s">
        <v>126</v>
      </c>
      <c r="C419" s="262" t="s">
        <v>390</v>
      </c>
      <c r="D419" s="261" t="s">
        <v>391</v>
      </c>
      <c r="E419" s="263">
        <v>132550</v>
      </c>
      <c r="F419" s="263" t="s">
        <v>568</v>
      </c>
      <c r="G419" s="263">
        <v>7272</v>
      </c>
      <c r="H419" s="267">
        <f t="shared" si="6"/>
        <v>5.4862316107129383E-2</v>
      </c>
    </row>
    <row r="420" spans="1:8" x14ac:dyDescent="0.3">
      <c r="A420" s="260" t="s">
        <v>185</v>
      </c>
      <c r="B420" s="261" t="s">
        <v>120</v>
      </c>
      <c r="C420" s="262" t="s">
        <v>269</v>
      </c>
      <c r="D420" s="261" t="s">
        <v>268</v>
      </c>
      <c r="E420" s="263">
        <v>74097</v>
      </c>
      <c r="F420" s="263" t="s">
        <v>568</v>
      </c>
      <c r="G420" s="263">
        <v>4037</v>
      </c>
      <c r="H420" s="267">
        <f t="shared" si="6"/>
        <v>5.4482637623655482E-2</v>
      </c>
    </row>
    <row r="421" spans="1:8" x14ac:dyDescent="0.3">
      <c r="A421" s="260" t="s">
        <v>194</v>
      </c>
      <c r="B421" s="261" t="s">
        <v>135</v>
      </c>
      <c r="C421" s="262" t="s">
        <v>554</v>
      </c>
      <c r="D421" s="261" t="s">
        <v>555</v>
      </c>
      <c r="E421" s="263">
        <v>235599</v>
      </c>
      <c r="F421" s="263" t="s">
        <v>568</v>
      </c>
      <c r="G421" s="263">
        <v>12515</v>
      </c>
      <c r="H421" s="267">
        <f t="shared" si="6"/>
        <v>5.3119919863836434E-2</v>
      </c>
    </row>
    <row r="422" spans="1:8" x14ac:dyDescent="0.3">
      <c r="A422" s="260" t="s">
        <v>188</v>
      </c>
      <c r="B422" s="261" t="s">
        <v>124</v>
      </c>
      <c r="C422" s="262" t="s">
        <v>336</v>
      </c>
      <c r="D422" s="261" t="s">
        <v>337</v>
      </c>
      <c r="E422" s="263">
        <v>17941</v>
      </c>
      <c r="F422" s="263" t="s">
        <v>568</v>
      </c>
      <c r="G422" s="263">
        <v>908</v>
      </c>
      <c r="H422" s="267">
        <f t="shared" si="6"/>
        <v>5.0610333872136447E-2</v>
      </c>
    </row>
    <row r="423" spans="1:8" x14ac:dyDescent="0.3">
      <c r="A423" s="260" t="s">
        <v>185</v>
      </c>
      <c r="B423" s="261" t="s">
        <v>120</v>
      </c>
      <c r="C423" s="262" t="s">
        <v>233</v>
      </c>
      <c r="D423" s="261" t="s">
        <v>232</v>
      </c>
      <c r="E423" s="263">
        <v>35088</v>
      </c>
      <c r="F423" s="263" t="s">
        <v>568</v>
      </c>
      <c r="G423" s="263">
        <v>1775</v>
      </c>
      <c r="H423" s="267">
        <f t="shared" si="6"/>
        <v>5.0587095303237573E-2</v>
      </c>
    </row>
    <row r="424" spans="1:8" x14ac:dyDescent="0.3">
      <c r="A424" s="260" t="s">
        <v>191</v>
      </c>
      <c r="B424" s="261" t="s">
        <v>121</v>
      </c>
      <c r="C424" s="262" t="s">
        <v>277</v>
      </c>
      <c r="D424" s="261" t="s">
        <v>276</v>
      </c>
      <c r="E424" s="263">
        <v>54780</v>
      </c>
      <c r="F424" s="263" t="s">
        <v>568</v>
      </c>
      <c r="G424" s="263">
        <v>2721</v>
      </c>
      <c r="H424" s="267">
        <f t="shared" si="6"/>
        <v>4.9671412924424972E-2</v>
      </c>
    </row>
    <row r="425" spans="1:8" x14ac:dyDescent="0.3">
      <c r="A425" s="260" t="s">
        <v>173</v>
      </c>
      <c r="B425" s="261" t="s">
        <v>134</v>
      </c>
      <c r="C425" s="262" t="s">
        <v>532</v>
      </c>
      <c r="D425" s="261" t="s">
        <v>533</v>
      </c>
      <c r="E425" s="263">
        <v>156870</v>
      </c>
      <c r="F425" s="263" t="s">
        <v>568</v>
      </c>
      <c r="G425" s="263">
        <v>7774</v>
      </c>
      <c r="H425" s="267">
        <f t="shared" si="6"/>
        <v>4.9556957990692929E-2</v>
      </c>
    </row>
    <row r="426" spans="1:8" x14ac:dyDescent="0.3">
      <c r="A426" s="260" t="s">
        <v>147</v>
      </c>
      <c r="B426" s="261" t="s">
        <v>132</v>
      </c>
      <c r="C426" s="262" t="s">
        <v>510</v>
      </c>
      <c r="D426" s="261" t="s">
        <v>511</v>
      </c>
      <c r="E426" s="263">
        <v>419203</v>
      </c>
      <c r="F426" s="263" t="s">
        <v>568</v>
      </c>
      <c r="G426" s="263">
        <v>19779</v>
      </c>
      <c r="H426" s="267">
        <f t="shared" si="6"/>
        <v>4.7182391347390169E-2</v>
      </c>
    </row>
    <row r="427" spans="1:8" x14ac:dyDescent="0.3">
      <c r="A427" s="260" t="s">
        <v>158</v>
      </c>
      <c r="B427" s="261" t="s">
        <v>129</v>
      </c>
      <c r="C427" s="262" t="s">
        <v>464</v>
      </c>
      <c r="D427" s="261" t="s">
        <v>465</v>
      </c>
      <c r="E427" s="263">
        <v>53565</v>
      </c>
      <c r="F427" s="263" t="s">
        <v>88</v>
      </c>
      <c r="G427" s="263">
        <v>2523</v>
      </c>
      <c r="H427" s="267">
        <f t="shared" si="6"/>
        <v>4.7101652198263795E-2</v>
      </c>
    </row>
    <row r="428" spans="1:8" x14ac:dyDescent="0.3">
      <c r="A428" s="260" t="s">
        <v>158</v>
      </c>
      <c r="B428" s="261" t="s">
        <v>129</v>
      </c>
      <c r="C428" s="262" t="s">
        <v>464</v>
      </c>
      <c r="D428" s="261" t="s">
        <v>465</v>
      </c>
      <c r="E428" s="263">
        <v>70923</v>
      </c>
      <c r="F428" s="263" t="s">
        <v>87</v>
      </c>
      <c r="G428" s="263">
        <v>3340</v>
      </c>
      <c r="H428" s="267">
        <f t="shared" si="6"/>
        <v>4.7093326565430117E-2</v>
      </c>
    </row>
    <row r="429" spans="1:8" x14ac:dyDescent="0.3">
      <c r="A429" s="260" t="s">
        <v>197</v>
      </c>
      <c r="B429" s="261" t="s">
        <v>126</v>
      </c>
      <c r="C429" s="262" t="s">
        <v>384</v>
      </c>
      <c r="D429" s="261" t="s">
        <v>385</v>
      </c>
      <c r="E429" s="263">
        <v>375452</v>
      </c>
      <c r="F429" s="263" t="s">
        <v>568</v>
      </c>
      <c r="G429" s="263">
        <v>17598</v>
      </c>
      <c r="H429" s="267">
        <f t="shared" si="6"/>
        <v>4.6871504213587892E-2</v>
      </c>
    </row>
    <row r="430" spans="1:8" x14ac:dyDescent="0.3">
      <c r="A430" s="260" t="s">
        <v>173</v>
      </c>
      <c r="B430" s="261" t="s">
        <v>134</v>
      </c>
      <c r="C430" s="262" t="s">
        <v>528</v>
      </c>
      <c r="D430" s="261" t="s">
        <v>529</v>
      </c>
      <c r="E430" s="263">
        <v>23591</v>
      </c>
      <c r="F430" s="263" t="s">
        <v>568</v>
      </c>
      <c r="G430" s="263">
        <v>1075</v>
      </c>
      <c r="H430" s="267">
        <f t="shared" si="6"/>
        <v>4.5568225170615914E-2</v>
      </c>
    </row>
    <row r="431" spans="1:8" x14ac:dyDescent="0.3">
      <c r="A431" s="260" t="s">
        <v>182</v>
      </c>
      <c r="B431" s="261" t="s">
        <v>131</v>
      </c>
      <c r="C431" s="262" t="s">
        <v>483</v>
      </c>
      <c r="D431" s="261" t="s">
        <v>484</v>
      </c>
      <c r="E431" s="263">
        <v>152131</v>
      </c>
      <c r="F431" s="263" t="s">
        <v>568</v>
      </c>
      <c r="G431" s="263">
        <v>6927</v>
      </c>
      <c r="H431" s="267">
        <f t="shared" si="6"/>
        <v>4.5533126055833456E-2</v>
      </c>
    </row>
    <row r="432" spans="1:8" x14ac:dyDescent="0.3">
      <c r="A432" s="260" t="s">
        <v>182</v>
      </c>
      <c r="B432" s="261" t="s">
        <v>131</v>
      </c>
      <c r="C432" s="262" t="s">
        <v>483</v>
      </c>
      <c r="D432" s="261" t="s">
        <v>484</v>
      </c>
      <c r="E432" s="263">
        <v>50273</v>
      </c>
      <c r="F432" s="263" t="s">
        <v>88</v>
      </c>
      <c r="G432" s="263">
        <v>2289</v>
      </c>
      <c r="H432" s="267">
        <f t="shared" si="6"/>
        <v>4.5531398563841426E-2</v>
      </c>
    </row>
    <row r="433" spans="1:8" x14ac:dyDescent="0.3">
      <c r="A433" s="260" t="s">
        <v>182</v>
      </c>
      <c r="B433" s="261" t="s">
        <v>131</v>
      </c>
      <c r="C433" s="262" t="s">
        <v>483</v>
      </c>
      <c r="D433" s="261" t="s">
        <v>484</v>
      </c>
      <c r="E433" s="263">
        <v>55928</v>
      </c>
      <c r="F433" s="263" t="s">
        <v>87</v>
      </c>
      <c r="G433" s="263">
        <v>2546</v>
      </c>
      <c r="H433" s="267">
        <f t="shared" si="6"/>
        <v>4.5522815047918753E-2</v>
      </c>
    </row>
    <row r="434" spans="1:8" x14ac:dyDescent="0.3">
      <c r="A434" s="260" t="s">
        <v>161</v>
      </c>
      <c r="B434" s="261" t="s">
        <v>128</v>
      </c>
      <c r="C434" s="262" t="s">
        <v>426</v>
      </c>
      <c r="D434" s="261" t="s">
        <v>427</v>
      </c>
      <c r="E434" s="263">
        <v>117423</v>
      </c>
      <c r="F434" s="263" t="s">
        <v>568</v>
      </c>
      <c r="G434" s="263">
        <v>5259</v>
      </c>
      <c r="H434" s="267">
        <f t="shared" si="6"/>
        <v>4.4786796453846353E-2</v>
      </c>
    </row>
    <row r="435" spans="1:8" x14ac:dyDescent="0.3">
      <c r="A435" s="260" t="s">
        <v>197</v>
      </c>
      <c r="B435" s="261" t="s">
        <v>126</v>
      </c>
      <c r="C435" s="262" t="s">
        <v>392</v>
      </c>
      <c r="D435" s="261" t="s">
        <v>393</v>
      </c>
      <c r="E435" s="263">
        <v>196952</v>
      </c>
      <c r="F435" s="263" t="s">
        <v>568</v>
      </c>
      <c r="G435" s="263">
        <v>8031</v>
      </c>
      <c r="H435" s="267">
        <f t="shared" si="6"/>
        <v>4.0776432836427151E-2</v>
      </c>
    </row>
    <row r="436" spans="1:8" x14ac:dyDescent="0.3">
      <c r="A436" s="260" t="s">
        <v>194</v>
      </c>
      <c r="B436" s="261" t="s">
        <v>135</v>
      </c>
      <c r="C436" s="262" t="s">
        <v>562</v>
      </c>
      <c r="D436" s="261" t="s">
        <v>563</v>
      </c>
      <c r="E436" s="263">
        <v>225816</v>
      </c>
      <c r="F436" s="263" t="s">
        <v>568</v>
      </c>
      <c r="G436" s="263">
        <v>8885</v>
      </c>
      <c r="H436" s="267">
        <f t="shared" si="6"/>
        <v>3.9346193360966453E-2</v>
      </c>
    </row>
    <row r="437" spans="1:8" x14ac:dyDescent="0.3">
      <c r="A437" s="260" t="s">
        <v>150</v>
      </c>
      <c r="B437" s="261" t="s">
        <v>125</v>
      </c>
      <c r="C437" s="262" t="s">
        <v>382</v>
      </c>
      <c r="D437" s="261" t="s">
        <v>383</v>
      </c>
      <c r="E437" s="263">
        <v>11722</v>
      </c>
      <c r="F437" s="263" t="s">
        <v>568</v>
      </c>
      <c r="G437" s="263">
        <v>441</v>
      </c>
      <c r="H437" s="267">
        <f t="shared" si="6"/>
        <v>3.7621566285616789E-2</v>
      </c>
    </row>
    <row r="438" spans="1:8" x14ac:dyDescent="0.3">
      <c r="A438" s="260" t="s">
        <v>179</v>
      </c>
      <c r="B438" s="261" t="s">
        <v>133</v>
      </c>
      <c r="C438" s="262" t="s">
        <v>514</v>
      </c>
      <c r="D438" s="261" t="s">
        <v>515</v>
      </c>
      <c r="E438" s="263">
        <v>30038</v>
      </c>
      <c r="F438" s="263" t="s">
        <v>568</v>
      </c>
      <c r="G438" s="263">
        <v>1109</v>
      </c>
      <c r="H438" s="267">
        <f t="shared" si="6"/>
        <v>3.6919901458153007E-2</v>
      </c>
    </row>
    <row r="439" spans="1:8" x14ac:dyDescent="0.3">
      <c r="A439" s="260" t="s">
        <v>158</v>
      </c>
      <c r="B439" s="261" t="s">
        <v>129</v>
      </c>
      <c r="C439" s="262" t="s">
        <v>450</v>
      </c>
      <c r="D439" s="261" t="s">
        <v>451</v>
      </c>
      <c r="E439" s="263">
        <v>57710</v>
      </c>
      <c r="F439" s="263" t="s">
        <v>87</v>
      </c>
      <c r="G439" s="263">
        <v>2069</v>
      </c>
      <c r="H439" s="267">
        <f t="shared" si="6"/>
        <v>3.5851672153872811E-2</v>
      </c>
    </row>
    <row r="440" spans="1:8" x14ac:dyDescent="0.3">
      <c r="A440" s="260" t="s">
        <v>158</v>
      </c>
      <c r="B440" s="261" t="s">
        <v>129</v>
      </c>
      <c r="C440" s="262" t="s">
        <v>450</v>
      </c>
      <c r="D440" s="261" t="s">
        <v>451</v>
      </c>
      <c r="E440" s="263">
        <v>57710</v>
      </c>
      <c r="F440" s="263" t="s">
        <v>88</v>
      </c>
      <c r="G440" s="263">
        <v>2069</v>
      </c>
      <c r="H440" s="267">
        <f t="shared" si="6"/>
        <v>3.5851672153872811E-2</v>
      </c>
    </row>
    <row r="441" spans="1:8" x14ac:dyDescent="0.3">
      <c r="A441" s="260" t="s">
        <v>176</v>
      </c>
      <c r="B441" s="261" t="s">
        <v>127</v>
      </c>
      <c r="C441" s="262" t="s">
        <v>414</v>
      </c>
      <c r="D441" s="261" t="s">
        <v>415</v>
      </c>
      <c r="E441" s="263">
        <v>152066</v>
      </c>
      <c r="F441" s="263" t="s">
        <v>568</v>
      </c>
      <c r="G441" s="263">
        <v>5167</v>
      </c>
      <c r="H441" s="267">
        <f t="shared" si="6"/>
        <v>3.3978667157681532E-2</v>
      </c>
    </row>
    <row r="442" spans="1:8" x14ac:dyDescent="0.3">
      <c r="A442" s="260" t="s">
        <v>188</v>
      </c>
      <c r="B442" s="261" t="s">
        <v>124</v>
      </c>
      <c r="C442" s="262" t="s">
        <v>354</v>
      </c>
      <c r="D442" s="261" t="s">
        <v>355</v>
      </c>
      <c r="E442" s="263">
        <v>240</v>
      </c>
      <c r="F442" s="263" t="s">
        <v>568</v>
      </c>
      <c r="G442" s="263">
        <v>8</v>
      </c>
      <c r="H442" s="267">
        <f t="shared" si="6"/>
        <v>3.3333333333333333E-2</v>
      </c>
    </row>
    <row r="443" spans="1:8" x14ac:dyDescent="0.3">
      <c r="A443" s="260" t="s">
        <v>185</v>
      </c>
      <c r="B443" s="261" t="s">
        <v>120</v>
      </c>
      <c r="C443" s="262" t="s">
        <v>273</v>
      </c>
      <c r="D443" s="261" t="s">
        <v>272</v>
      </c>
      <c r="E443" s="263">
        <v>162828</v>
      </c>
      <c r="F443" s="263" t="s">
        <v>568</v>
      </c>
      <c r="G443" s="263">
        <v>4862</v>
      </c>
      <c r="H443" s="267">
        <f t="shared" si="6"/>
        <v>2.9859729284889575E-2</v>
      </c>
    </row>
    <row r="444" spans="1:8" x14ac:dyDescent="0.3">
      <c r="A444" s="260" t="s">
        <v>194</v>
      </c>
      <c r="B444" s="261" t="s">
        <v>135</v>
      </c>
      <c r="C444" s="262" t="s">
        <v>546</v>
      </c>
      <c r="D444" s="261" t="s">
        <v>547</v>
      </c>
      <c r="E444" s="263">
        <v>213955</v>
      </c>
      <c r="F444" s="263" t="s">
        <v>568</v>
      </c>
      <c r="G444" s="263">
        <v>6388</v>
      </c>
      <c r="H444" s="267">
        <f t="shared" si="6"/>
        <v>2.985674557734103E-2</v>
      </c>
    </row>
    <row r="445" spans="1:8" x14ac:dyDescent="0.3">
      <c r="A445" s="260" t="s">
        <v>194</v>
      </c>
      <c r="B445" s="261" t="s">
        <v>135</v>
      </c>
      <c r="C445" s="262" t="s">
        <v>550</v>
      </c>
      <c r="D445" s="261" t="s">
        <v>551</v>
      </c>
      <c r="E445" s="263">
        <v>156205</v>
      </c>
      <c r="F445" s="263" t="s">
        <v>568</v>
      </c>
      <c r="G445" s="263">
        <v>4310</v>
      </c>
      <c r="H445" s="267">
        <f t="shared" si="6"/>
        <v>2.759194648058641E-2</v>
      </c>
    </row>
    <row r="446" spans="1:8" x14ac:dyDescent="0.3">
      <c r="A446" s="260" t="s">
        <v>150</v>
      </c>
      <c r="B446" s="261" t="s">
        <v>125</v>
      </c>
      <c r="C446" s="262" t="s">
        <v>372</v>
      </c>
      <c r="D446" s="261" t="s">
        <v>373</v>
      </c>
      <c r="E446" s="263">
        <v>21850</v>
      </c>
      <c r="F446" s="263" t="s">
        <v>568</v>
      </c>
      <c r="G446" s="263">
        <v>542</v>
      </c>
      <c r="H446" s="267">
        <f t="shared" si="6"/>
        <v>2.4805491990846681E-2</v>
      </c>
    </row>
    <row r="447" spans="1:8" x14ac:dyDescent="0.3">
      <c r="A447" s="260" t="s">
        <v>170</v>
      </c>
      <c r="B447" s="261" t="s">
        <v>130</v>
      </c>
      <c r="C447" s="262" t="s">
        <v>480</v>
      </c>
      <c r="D447" s="261" t="s">
        <v>481</v>
      </c>
      <c r="E447" s="263">
        <v>280767</v>
      </c>
      <c r="F447" s="263" t="s">
        <v>568</v>
      </c>
      <c r="G447" s="263">
        <v>6957</v>
      </c>
      <c r="H447" s="267">
        <f t="shared" si="6"/>
        <v>2.477855303507891E-2</v>
      </c>
    </row>
    <row r="448" spans="1:8" x14ac:dyDescent="0.3">
      <c r="A448" s="260" t="s">
        <v>197</v>
      </c>
      <c r="B448" s="261" t="s">
        <v>126</v>
      </c>
      <c r="C448" s="262" t="s">
        <v>396</v>
      </c>
      <c r="D448" s="261" t="s">
        <v>397</v>
      </c>
      <c r="E448" s="263">
        <v>340156</v>
      </c>
      <c r="F448" s="263" t="s">
        <v>568</v>
      </c>
      <c r="G448" s="263">
        <v>8372</v>
      </c>
      <c r="H448" s="267">
        <f t="shared" si="6"/>
        <v>2.4612236738437657E-2</v>
      </c>
    </row>
    <row r="449" spans="1:8" x14ac:dyDescent="0.3">
      <c r="A449" s="260" t="s">
        <v>158</v>
      </c>
      <c r="B449" s="261" t="s">
        <v>129</v>
      </c>
      <c r="C449" s="262" t="s">
        <v>466</v>
      </c>
      <c r="D449" s="261" t="s">
        <v>467</v>
      </c>
      <c r="E449" s="263">
        <v>203193</v>
      </c>
      <c r="F449" s="263" t="s">
        <v>568</v>
      </c>
      <c r="G449" s="263">
        <v>4948</v>
      </c>
      <c r="H449" s="267">
        <f t="shared" si="6"/>
        <v>2.4351232571988207E-2</v>
      </c>
    </row>
    <row r="450" spans="1:8" x14ac:dyDescent="0.3">
      <c r="A450" s="260" t="s">
        <v>161</v>
      </c>
      <c r="B450" s="261" t="s">
        <v>128</v>
      </c>
      <c r="C450" s="262" t="s">
        <v>434</v>
      </c>
      <c r="D450" s="261" t="s">
        <v>435</v>
      </c>
      <c r="E450" s="263">
        <v>311316</v>
      </c>
      <c r="F450" s="263" t="s">
        <v>568</v>
      </c>
      <c r="G450" s="263">
        <v>7208</v>
      </c>
      <c r="H450" s="267">
        <f t="shared" si="6"/>
        <v>2.3153323311362089E-2</v>
      </c>
    </row>
    <row r="451" spans="1:8" x14ac:dyDescent="0.3">
      <c r="A451" s="260" t="s">
        <v>158</v>
      </c>
      <c r="B451" s="261" t="s">
        <v>129</v>
      </c>
      <c r="C451" s="262" t="s">
        <v>458</v>
      </c>
      <c r="D451" s="261" t="s">
        <v>459</v>
      </c>
      <c r="E451" s="263">
        <v>396010</v>
      </c>
      <c r="F451" s="263" t="s">
        <v>568</v>
      </c>
      <c r="G451" s="263">
        <v>8941</v>
      </c>
      <c r="H451" s="267">
        <f t="shared" si="6"/>
        <v>2.257771268402313E-2</v>
      </c>
    </row>
    <row r="452" spans="1:8" x14ac:dyDescent="0.3">
      <c r="A452" s="260" t="s">
        <v>155</v>
      </c>
      <c r="B452" s="261" t="s">
        <v>122</v>
      </c>
      <c r="C452" s="262" t="s">
        <v>181</v>
      </c>
      <c r="D452" s="261" t="s">
        <v>180</v>
      </c>
      <c r="E452" s="263">
        <v>105960</v>
      </c>
      <c r="F452" s="263" t="s">
        <v>568</v>
      </c>
      <c r="G452" s="263">
        <v>2373</v>
      </c>
      <c r="H452" s="267">
        <f t="shared" ref="H452:H515" si="7">IF(E452&lt;&gt;0,G452/E452,0)</f>
        <v>2.2395243488108719E-2</v>
      </c>
    </row>
    <row r="453" spans="1:8" x14ac:dyDescent="0.3">
      <c r="A453" s="260" t="s">
        <v>179</v>
      </c>
      <c r="B453" s="261" t="s">
        <v>133</v>
      </c>
      <c r="C453" s="262" t="s">
        <v>522</v>
      </c>
      <c r="D453" s="261" t="s">
        <v>523</v>
      </c>
      <c r="E453" s="263">
        <v>123573</v>
      </c>
      <c r="F453" s="263" t="s">
        <v>568</v>
      </c>
      <c r="G453" s="263">
        <v>2658</v>
      </c>
      <c r="H453" s="267">
        <f t="shared" si="7"/>
        <v>2.1509553057706781E-2</v>
      </c>
    </row>
    <row r="454" spans="1:8" x14ac:dyDescent="0.3">
      <c r="A454" s="260" t="s">
        <v>158</v>
      </c>
      <c r="B454" s="261" t="s">
        <v>129</v>
      </c>
      <c r="C454" s="262" t="s">
        <v>450</v>
      </c>
      <c r="D454" s="261" t="s">
        <v>451</v>
      </c>
      <c r="E454" s="263">
        <v>107308</v>
      </c>
      <c r="F454" s="263" t="s">
        <v>568</v>
      </c>
      <c r="G454" s="263">
        <v>2308</v>
      </c>
      <c r="H454" s="267">
        <f t="shared" si="7"/>
        <v>2.1508182055391956E-2</v>
      </c>
    </row>
    <row r="455" spans="1:8" x14ac:dyDescent="0.3">
      <c r="A455" s="260" t="s">
        <v>179</v>
      </c>
      <c r="B455" s="261" t="s">
        <v>133</v>
      </c>
      <c r="C455" s="262" t="s">
        <v>512</v>
      </c>
      <c r="D455" s="261" t="s">
        <v>513</v>
      </c>
      <c r="E455" s="263">
        <v>88417</v>
      </c>
      <c r="F455" s="263" t="s">
        <v>568</v>
      </c>
      <c r="G455" s="263">
        <v>1858</v>
      </c>
      <c r="H455" s="267">
        <f t="shared" si="7"/>
        <v>2.1014058382437768E-2</v>
      </c>
    </row>
    <row r="456" spans="1:8" x14ac:dyDescent="0.3">
      <c r="A456" s="260" t="s">
        <v>188</v>
      </c>
      <c r="B456" s="261" t="s">
        <v>124</v>
      </c>
      <c r="C456" s="262" t="s">
        <v>348</v>
      </c>
      <c r="D456" s="261" t="s">
        <v>349</v>
      </c>
      <c r="E456" s="263">
        <v>27905</v>
      </c>
      <c r="F456" s="263" t="s">
        <v>568</v>
      </c>
      <c r="G456" s="263">
        <v>565</v>
      </c>
      <c r="H456" s="267">
        <f t="shared" si="7"/>
        <v>2.0247267514782296E-2</v>
      </c>
    </row>
    <row r="457" spans="1:8" x14ac:dyDescent="0.3">
      <c r="A457" s="260" t="s">
        <v>173</v>
      </c>
      <c r="B457" s="261" t="s">
        <v>134</v>
      </c>
      <c r="C457" s="262" t="s">
        <v>538</v>
      </c>
      <c r="D457" s="261" t="s">
        <v>539</v>
      </c>
      <c r="E457" s="263">
        <v>151326</v>
      </c>
      <c r="F457" s="263" t="s">
        <v>568</v>
      </c>
      <c r="G457" s="263">
        <v>3018</v>
      </c>
      <c r="H457" s="267">
        <f t="shared" si="7"/>
        <v>1.9943697712223939E-2</v>
      </c>
    </row>
    <row r="458" spans="1:8" x14ac:dyDescent="0.3">
      <c r="A458" s="260" t="s">
        <v>179</v>
      </c>
      <c r="B458" s="261" t="s">
        <v>133</v>
      </c>
      <c r="C458" s="262" t="s">
        <v>524</v>
      </c>
      <c r="D458" s="261" t="s">
        <v>525</v>
      </c>
      <c r="E458" s="263">
        <v>29945</v>
      </c>
      <c r="F458" s="263" t="s">
        <v>568</v>
      </c>
      <c r="G458" s="263">
        <v>525</v>
      </c>
      <c r="H458" s="267">
        <f t="shared" si="7"/>
        <v>1.7532142260811488E-2</v>
      </c>
    </row>
    <row r="459" spans="1:8" x14ac:dyDescent="0.3">
      <c r="A459" s="260" t="s">
        <v>188</v>
      </c>
      <c r="B459" s="261" t="s">
        <v>124</v>
      </c>
      <c r="C459" s="262" t="s">
        <v>366</v>
      </c>
      <c r="D459" s="261" t="s">
        <v>367</v>
      </c>
      <c r="E459" s="263">
        <v>5586</v>
      </c>
      <c r="F459" s="263" t="s">
        <v>568</v>
      </c>
      <c r="G459" s="263">
        <v>94</v>
      </c>
      <c r="H459" s="267">
        <f t="shared" si="7"/>
        <v>1.6827783745076978E-2</v>
      </c>
    </row>
    <row r="460" spans="1:8" x14ac:dyDescent="0.3">
      <c r="A460" s="260" t="s">
        <v>161</v>
      </c>
      <c r="B460" s="261" t="s">
        <v>128</v>
      </c>
      <c r="C460" s="262" t="s">
        <v>428</v>
      </c>
      <c r="D460" s="261" t="s">
        <v>429</v>
      </c>
      <c r="E460" s="263">
        <v>139771</v>
      </c>
      <c r="F460" s="263" t="s">
        <v>568</v>
      </c>
      <c r="G460" s="263">
        <v>2233</v>
      </c>
      <c r="H460" s="267">
        <f t="shared" si="7"/>
        <v>1.5976132387977477E-2</v>
      </c>
    </row>
    <row r="461" spans="1:8" x14ac:dyDescent="0.3">
      <c r="A461" s="260" t="s">
        <v>155</v>
      </c>
      <c r="B461" s="261" t="s">
        <v>122</v>
      </c>
      <c r="C461" s="262" t="s">
        <v>190</v>
      </c>
      <c r="D461" s="261" t="s">
        <v>189</v>
      </c>
      <c r="E461" s="263">
        <v>206551</v>
      </c>
      <c r="F461" s="263" t="s">
        <v>568</v>
      </c>
      <c r="G461" s="263">
        <v>3225</v>
      </c>
      <c r="H461" s="267">
        <f t="shared" si="7"/>
        <v>1.5613577276314324E-2</v>
      </c>
    </row>
    <row r="462" spans="1:8" x14ac:dyDescent="0.3">
      <c r="A462" s="260" t="s">
        <v>176</v>
      </c>
      <c r="B462" s="261" t="s">
        <v>127</v>
      </c>
      <c r="C462" s="262" t="s">
        <v>412</v>
      </c>
      <c r="D462" s="261" t="s">
        <v>413</v>
      </c>
      <c r="E462" s="263">
        <v>99558</v>
      </c>
      <c r="F462" s="263" t="s">
        <v>568</v>
      </c>
      <c r="G462" s="263">
        <v>1511</v>
      </c>
      <c r="H462" s="267">
        <f t="shared" si="7"/>
        <v>1.517708270555857E-2</v>
      </c>
    </row>
    <row r="463" spans="1:8" x14ac:dyDescent="0.3">
      <c r="A463" s="260" t="s">
        <v>150</v>
      </c>
      <c r="B463" s="261" t="s">
        <v>125</v>
      </c>
      <c r="C463" s="262" t="s">
        <v>376</v>
      </c>
      <c r="D463" s="261" t="s">
        <v>377</v>
      </c>
      <c r="E463" s="263">
        <v>21633</v>
      </c>
      <c r="F463" s="263" t="s">
        <v>568</v>
      </c>
      <c r="G463" s="263">
        <v>315</v>
      </c>
      <c r="H463" s="267">
        <f t="shared" si="7"/>
        <v>1.4561087227846346E-2</v>
      </c>
    </row>
    <row r="464" spans="1:8" x14ac:dyDescent="0.3">
      <c r="A464" s="260" t="s">
        <v>185</v>
      </c>
      <c r="B464" s="261" t="s">
        <v>120</v>
      </c>
      <c r="C464" s="262" t="s">
        <v>235</v>
      </c>
      <c r="D464" s="261" t="s">
        <v>234</v>
      </c>
      <c r="E464" s="263">
        <v>145454</v>
      </c>
      <c r="F464" s="263" t="s">
        <v>568</v>
      </c>
      <c r="G464" s="263">
        <v>2086</v>
      </c>
      <c r="H464" s="267">
        <f t="shared" si="7"/>
        <v>1.4341303779889174E-2</v>
      </c>
    </row>
    <row r="465" spans="1:8" x14ac:dyDescent="0.3">
      <c r="A465" s="260" t="s">
        <v>197</v>
      </c>
      <c r="B465" s="261" t="s">
        <v>126</v>
      </c>
      <c r="C465" s="262" t="s">
        <v>386</v>
      </c>
      <c r="D465" s="261" t="s">
        <v>387</v>
      </c>
      <c r="E465" s="263">
        <v>169137</v>
      </c>
      <c r="F465" s="263" t="s">
        <v>568</v>
      </c>
      <c r="G465" s="263">
        <v>2185</v>
      </c>
      <c r="H465" s="267">
        <f t="shared" si="7"/>
        <v>1.2918521671780864E-2</v>
      </c>
    </row>
    <row r="466" spans="1:8" x14ac:dyDescent="0.3">
      <c r="A466" s="260" t="s">
        <v>170</v>
      </c>
      <c r="B466" s="261" t="s">
        <v>130</v>
      </c>
      <c r="C466" s="262" t="s">
        <v>474</v>
      </c>
      <c r="D466" s="261" t="s">
        <v>475</v>
      </c>
      <c r="E466" s="263">
        <v>270876</v>
      </c>
      <c r="F466" s="263" t="s">
        <v>568</v>
      </c>
      <c r="G466" s="263">
        <v>3499</v>
      </c>
      <c r="H466" s="267">
        <f t="shared" si="7"/>
        <v>1.2917349635995806E-2</v>
      </c>
    </row>
    <row r="467" spans="1:8" x14ac:dyDescent="0.3">
      <c r="A467" s="260" t="s">
        <v>170</v>
      </c>
      <c r="B467" s="261" t="s">
        <v>130</v>
      </c>
      <c r="C467" s="262" t="s">
        <v>478</v>
      </c>
      <c r="D467" s="261" t="s">
        <v>479</v>
      </c>
      <c r="E467" s="263">
        <v>209716</v>
      </c>
      <c r="F467" s="263" t="s">
        <v>568</v>
      </c>
      <c r="G467" s="263">
        <v>2690</v>
      </c>
      <c r="H467" s="267">
        <f t="shared" si="7"/>
        <v>1.2826870625035763E-2</v>
      </c>
    </row>
    <row r="468" spans="1:8" x14ac:dyDescent="0.3">
      <c r="A468" s="260" t="s">
        <v>155</v>
      </c>
      <c r="B468" s="261" t="s">
        <v>122</v>
      </c>
      <c r="C468" s="262" t="s">
        <v>187</v>
      </c>
      <c r="D468" s="261" t="s">
        <v>186</v>
      </c>
      <c r="E468" s="263">
        <v>217630</v>
      </c>
      <c r="F468" s="263" t="s">
        <v>568</v>
      </c>
      <c r="G468" s="263">
        <v>2431</v>
      </c>
      <c r="H468" s="267">
        <f t="shared" si="7"/>
        <v>1.1170334972200524E-2</v>
      </c>
    </row>
    <row r="469" spans="1:8" x14ac:dyDescent="0.3">
      <c r="A469" s="260" t="s">
        <v>141</v>
      </c>
      <c r="B469" s="261" t="s">
        <v>123</v>
      </c>
      <c r="C469" s="262" t="s">
        <v>146</v>
      </c>
      <c r="D469" s="261" t="s">
        <v>145</v>
      </c>
      <c r="E469" s="263">
        <v>13133</v>
      </c>
      <c r="F469" s="263" t="s">
        <v>568</v>
      </c>
      <c r="G469" s="263">
        <v>117</v>
      </c>
      <c r="H469" s="267">
        <f t="shared" si="7"/>
        <v>8.9088555547095112E-3</v>
      </c>
    </row>
    <row r="470" spans="1:8" x14ac:dyDescent="0.3">
      <c r="A470" s="260" t="s">
        <v>188</v>
      </c>
      <c r="B470" s="261" t="s">
        <v>124</v>
      </c>
      <c r="C470" s="262" t="s">
        <v>346</v>
      </c>
      <c r="D470" s="261" t="s">
        <v>347</v>
      </c>
      <c r="E470" s="263">
        <v>59917</v>
      </c>
      <c r="F470" s="263" t="s">
        <v>568</v>
      </c>
      <c r="G470" s="263">
        <v>471</v>
      </c>
      <c r="H470" s="267">
        <f t="shared" si="7"/>
        <v>7.8608742093228962E-3</v>
      </c>
    </row>
    <row r="471" spans="1:8" x14ac:dyDescent="0.3">
      <c r="A471" s="260" t="s">
        <v>185</v>
      </c>
      <c r="B471" s="261" t="s">
        <v>120</v>
      </c>
      <c r="C471" s="262" t="s">
        <v>241</v>
      </c>
      <c r="D471" s="261" t="s">
        <v>240</v>
      </c>
      <c r="E471" s="263">
        <v>57590</v>
      </c>
      <c r="F471" s="263" t="s">
        <v>568</v>
      </c>
      <c r="G471" s="263">
        <v>448</v>
      </c>
      <c r="H471" s="267">
        <f t="shared" si="7"/>
        <v>7.7791283208890434E-3</v>
      </c>
    </row>
    <row r="472" spans="1:8" x14ac:dyDescent="0.3">
      <c r="A472" s="260" t="s">
        <v>158</v>
      </c>
      <c r="B472" s="261" t="s">
        <v>129</v>
      </c>
      <c r="C472" s="262" t="s">
        <v>454</v>
      </c>
      <c r="D472" s="261" t="s">
        <v>455</v>
      </c>
      <c r="E472" s="263">
        <v>158588</v>
      </c>
      <c r="F472" s="263" t="s">
        <v>568</v>
      </c>
      <c r="G472" s="263">
        <v>1224</v>
      </c>
      <c r="H472" s="267">
        <f t="shared" si="7"/>
        <v>7.7181123414129691E-3</v>
      </c>
    </row>
    <row r="473" spans="1:8" x14ac:dyDescent="0.3">
      <c r="A473" s="260" t="s">
        <v>185</v>
      </c>
      <c r="B473" s="261" t="s">
        <v>120</v>
      </c>
      <c r="C473" s="262" t="s">
        <v>257</v>
      </c>
      <c r="D473" s="261" t="s">
        <v>256</v>
      </c>
      <c r="E473" s="263">
        <v>214438</v>
      </c>
      <c r="F473" s="263" t="s">
        <v>568</v>
      </c>
      <c r="G473" s="263">
        <v>1627</v>
      </c>
      <c r="H473" s="267">
        <f t="shared" si="7"/>
        <v>7.5872746434866951E-3</v>
      </c>
    </row>
    <row r="474" spans="1:8" x14ac:dyDescent="0.3">
      <c r="A474" s="260" t="s">
        <v>194</v>
      </c>
      <c r="B474" s="261" t="s">
        <v>135</v>
      </c>
      <c r="C474" s="262" t="s">
        <v>560</v>
      </c>
      <c r="D474" s="261" t="s">
        <v>561</v>
      </c>
      <c r="E474" s="263">
        <v>72277</v>
      </c>
      <c r="F474" s="263" t="s">
        <v>568</v>
      </c>
      <c r="G474" s="263">
        <v>544</v>
      </c>
      <c r="H474" s="267">
        <f t="shared" si="7"/>
        <v>7.5265990564079861E-3</v>
      </c>
    </row>
    <row r="475" spans="1:8" x14ac:dyDescent="0.3">
      <c r="A475" s="260" t="s">
        <v>167</v>
      </c>
      <c r="B475" s="261" t="s">
        <v>119</v>
      </c>
      <c r="C475" s="262" t="s">
        <v>223</v>
      </c>
      <c r="D475" s="261" t="s">
        <v>222</v>
      </c>
      <c r="E475" s="263">
        <v>141930</v>
      </c>
      <c r="F475" s="263" t="s">
        <v>568</v>
      </c>
      <c r="G475" s="263">
        <v>1043</v>
      </c>
      <c r="H475" s="267">
        <f t="shared" si="7"/>
        <v>7.3486930176847745E-3</v>
      </c>
    </row>
    <row r="476" spans="1:8" x14ac:dyDescent="0.3">
      <c r="A476" s="260" t="s">
        <v>161</v>
      </c>
      <c r="B476" s="261" t="s">
        <v>128</v>
      </c>
      <c r="C476" s="262" t="s">
        <v>438</v>
      </c>
      <c r="D476" s="261" t="s">
        <v>439</v>
      </c>
      <c r="E476" s="263">
        <v>99211</v>
      </c>
      <c r="F476" s="263" t="s">
        <v>568</v>
      </c>
      <c r="G476" s="263">
        <v>729</v>
      </c>
      <c r="H476" s="267">
        <f t="shared" si="7"/>
        <v>7.3479755269072987E-3</v>
      </c>
    </row>
    <row r="477" spans="1:8" x14ac:dyDescent="0.3">
      <c r="A477" s="260" t="s">
        <v>194</v>
      </c>
      <c r="B477" s="261" t="s">
        <v>135</v>
      </c>
      <c r="C477" s="262" t="s">
        <v>556</v>
      </c>
      <c r="D477" s="261" t="s">
        <v>557</v>
      </c>
      <c r="E477" s="263">
        <v>1383</v>
      </c>
      <c r="F477" s="263" t="s">
        <v>568</v>
      </c>
      <c r="G477" s="263">
        <v>10</v>
      </c>
      <c r="H477" s="267">
        <f t="shared" si="7"/>
        <v>7.2306579898770785E-3</v>
      </c>
    </row>
    <row r="478" spans="1:8" x14ac:dyDescent="0.3">
      <c r="A478" s="260" t="s">
        <v>155</v>
      </c>
      <c r="B478" s="261" t="s">
        <v>122</v>
      </c>
      <c r="C478" s="262" t="s">
        <v>184</v>
      </c>
      <c r="D478" s="261" t="s">
        <v>183</v>
      </c>
      <c r="E478" s="263">
        <v>225032</v>
      </c>
      <c r="F478" s="263" t="s">
        <v>568</v>
      </c>
      <c r="G478" s="263">
        <v>1614</v>
      </c>
      <c r="H478" s="267">
        <f t="shared" si="7"/>
        <v>7.1723132710014579E-3</v>
      </c>
    </row>
    <row r="479" spans="1:8" x14ac:dyDescent="0.3">
      <c r="A479" s="260" t="s">
        <v>167</v>
      </c>
      <c r="B479" s="261" t="s">
        <v>119</v>
      </c>
      <c r="C479" s="262" t="s">
        <v>207</v>
      </c>
      <c r="D479" s="261" t="s">
        <v>206</v>
      </c>
      <c r="E479" s="263">
        <v>145284</v>
      </c>
      <c r="F479" s="263" t="s">
        <v>568</v>
      </c>
      <c r="G479" s="263">
        <v>1025</v>
      </c>
      <c r="H479" s="267">
        <f t="shared" si="7"/>
        <v>7.0551471600451528E-3</v>
      </c>
    </row>
    <row r="480" spans="1:8" x14ac:dyDescent="0.3">
      <c r="A480" s="260" t="s">
        <v>176</v>
      </c>
      <c r="B480" s="261" t="s">
        <v>127</v>
      </c>
      <c r="C480" s="262" t="s">
        <v>408</v>
      </c>
      <c r="D480" s="261" t="s">
        <v>409</v>
      </c>
      <c r="E480" s="263">
        <v>32794</v>
      </c>
      <c r="F480" s="263" t="s">
        <v>568</v>
      </c>
      <c r="G480" s="263">
        <v>231</v>
      </c>
      <c r="H480" s="267">
        <f t="shared" si="7"/>
        <v>7.0439714581935721E-3</v>
      </c>
    </row>
    <row r="481" spans="1:8" x14ac:dyDescent="0.3">
      <c r="A481" s="264" t="s">
        <v>167</v>
      </c>
      <c r="B481" s="261" t="s">
        <v>119</v>
      </c>
      <c r="C481" s="262" t="s">
        <v>201</v>
      </c>
      <c r="D481" s="261" t="s">
        <v>200</v>
      </c>
      <c r="E481" s="263">
        <v>23429</v>
      </c>
      <c r="F481" s="263" t="s">
        <v>568</v>
      </c>
      <c r="G481" s="263">
        <v>164</v>
      </c>
      <c r="H481" s="267">
        <f t="shared" si="7"/>
        <v>6.9998719535618254E-3</v>
      </c>
    </row>
    <row r="482" spans="1:8" x14ac:dyDescent="0.3">
      <c r="A482" s="260" t="s">
        <v>167</v>
      </c>
      <c r="B482" s="261" t="s">
        <v>119</v>
      </c>
      <c r="C482" s="262" t="s">
        <v>213</v>
      </c>
      <c r="D482" s="261" t="s">
        <v>212</v>
      </c>
      <c r="E482" s="263">
        <v>9014</v>
      </c>
      <c r="F482" s="263" t="s">
        <v>568</v>
      </c>
      <c r="G482" s="263">
        <v>57</v>
      </c>
      <c r="H482" s="267">
        <f t="shared" si="7"/>
        <v>6.3234967827823386E-3</v>
      </c>
    </row>
    <row r="483" spans="1:8" x14ac:dyDescent="0.3">
      <c r="A483" s="260" t="s">
        <v>167</v>
      </c>
      <c r="B483" s="261" t="s">
        <v>119</v>
      </c>
      <c r="C483" s="262" t="s">
        <v>225</v>
      </c>
      <c r="D483" s="261" t="s">
        <v>224</v>
      </c>
      <c r="E483" s="263">
        <v>123533</v>
      </c>
      <c r="F483" s="263" t="s">
        <v>568</v>
      </c>
      <c r="G483" s="263">
        <v>750</v>
      </c>
      <c r="H483" s="267">
        <f t="shared" si="7"/>
        <v>6.0712522160070587E-3</v>
      </c>
    </row>
    <row r="484" spans="1:8" x14ac:dyDescent="0.3">
      <c r="A484" s="260" t="s">
        <v>170</v>
      </c>
      <c r="B484" s="261" t="s">
        <v>130</v>
      </c>
      <c r="C484" s="262" t="s">
        <v>468</v>
      </c>
      <c r="D484" s="261" t="s">
        <v>469</v>
      </c>
      <c r="E484" s="263">
        <v>521374</v>
      </c>
      <c r="F484" s="263" t="s">
        <v>568</v>
      </c>
      <c r="G484" s="263">
        <v>3043</v>
      </c>
      <c r="H484" s="267">
        <f t="shared" si="7"/>
        <v>5.8365012447878107E-3</v>
      </c>
    </row>
    <row r="485" spans="1:8" x14ac:dyDescent="0.3">
      <c r="A485" s="260" t="s">
        <v>188</v>
      </c>
      <c r="B485" s="261" t="s">
        <v>124</v>
      </c>
      <c r="C485" s="262" t="s">
        <v>362</v>
      </c>
      <c r="D485" s="261" t="s">
        <v>363</v>
      </c>
      <c r="E485" s="263">
        <v>11654</v>
      </c>
      <c r="F485" s="263" t="s">
        <v>568</v>
      </c>
      <c r="G485" s="263">
        <v>66</v>
      </c>
      <c r="H485" s="267">
        <f t="shared" si="7"/>
        <v>5.663291573708598E-3</v>
      </c>
    </row>
    <row r="486" spans="1:8" x14ac:dyDescent="0.3">
      <c r="A486" s="260" t="s">
        <v>167</v>
      </c>
      <c r="B486" s="261" t="s">
        <v>119</v>
      </c>
      <c r="C486" s="262" t="s">
        <v>196</v>
      </c>
      <c r="D486" s="261" t="s">
        <v>195</v>
      </c>
      <c r="E486" s="263">
        <v>0</v>
      </c>
      <c r="F486" s="263" t="s">
        <v>568</v>
      </c>
      <c r="G486" s="263">
        <v>0</v>
      </c>
      <c r="H486" s="267">
        <f t="shared" si="7"/>
        <v>0</v>
      </c>
    </row>
    <row r="487" spans="1:8" x14ac:dyDescent="0.3">
      <c r="A487" s="260" t="s">
        <v>167</v>
      </c>
      <c r="B487" s="261" t="s">
        <v>119</v>
      </c>
      <c r="C487" s="262" t="s">
        <v>203</v>
      </c>
      <c r="D487" s="261" t="s">
        <v>202</v>
      </c>
      <c r="E487" s="263">
        <v>121250</v>
      </c>
      <c r="F487" s="263" t="s">
        <v>568</v>
      </c>
      <c r="G487" s="263">
        <v>0</v>
      </c>
      <c r="H487" s="267">
        <f t="shared" si="7"/>
        <v>0</v>
      </c>
    </row>
    <row r="488" spans="1:8" x14ac:dyDescent="0.3">
      <c r="A488" s="260" t="s">
        <v>167</v>
      </c>
      <c r="B488" s="261" t="s">
        <v>119</v>
      </c>
      <c r="C488" s="262" t="s">
        <v>205</v>
      </c>
      <c r="D488" s="261" t="s">
        <v>204</v>
      </c>
      <c r="E488" s="263">
        <v>67234</v>
      </c>
      <c r="F488" s="263" t="s">
        <v>568</v>
      </c>
      <c r="G488" s="263">
        <v>0</v>
      </c>
      <c r="H488" s="267">
        <f t="shared" si="7"/>
        <v>0</v>
      </c>
    </row>
    <row r="489" spans="1:8" x14ac:dyDescent="0.3">
      <c r="A489" s="260" t="s">
        <v>167</v>
      </c>
      <c r="B489" s="261" t="s">
        <v>119</v>
      </c>
      <c r="C489" s="262" t="s">
        <v>209</v>
      </c>
      <c r="D489" s="261" t="s">
        <v>208</v>
      </c>
      <c r="E489" s="263">
        <v>161349</v>
      </c>
      <c r="F489" s="263" t="s">
        <v>568</v>
      </c>
      <c r="G489" s="263">
        <v>0</v>
      </c>
      <c r="H489" s="267">
        <f t="shared" si="7"/>
        <v>0</v>
      </c>
    </row>
    <row r="490" spans="1:8" x14ac:dyDescent="0.3">
      <c r="A490" s="260" t="s">
        <v>167</v>
      </c>
      <c r="B490" s="261" t="s">
        <v>119</v>
      </c>
      <c r="C490" s="262" t="s">
        <v>215</v>
      </c>
      <c r="D490" s="261" t="s">
        <v>214</v>
      </c>
      <c r="E490" s="263">
        <v>0</v>
      </c>
      <c r="F490" s="263" t="s">
        <v>568</v>
      </c>
      <c r="G490" s="263">
        <v>0</v>
      </c>
      <c r="H490" s="267">
        <f t="shared" si="7"/>
        <v>0</v>
      </c>
    </row>
    <row r="491" spans="1:8" x14ac:dyDescent="0.3">
      <c r="A491" s="260" t="s">
        <v>167</v>
      </c>
      <c r="B491" s="261" t="s">
        <v>119</v>
      </c>
      <c r="C491" s="262" t="s">
        <v>227</v>
      </c>
      <c r="D491" s="261" t="s">
        <v>226</v>
      </c>
      <c r="E491" s="263">
        <v>0</v>
      </c>
      <c r="F491" s="263" t="s">
        <v>87</v>
      </c>
      <c r="G491" s="263">
        <v>0</v>
      </c>
      <c r="H491" s="267">
        <f t="shared" si="7"/>
        <v>0</v>
      </c>
    </row>
    <row r="492" spans="1:8" x14ac:dyDescent="0.3">
      <c r="A492" s="260" t="s">
        <v>167</v>
      </c>
      <c r="B492" s="261" t="s">
        <v>119</v>
      </c>
      <c r="C492" s="262" t="s">
        <v>227</v>
      </c>
      <c r="D492" s="261" t="s">
        <v>226</v>
      </c>
      <c r="E492" s="263">
        <v>0</v>
      </c>
      <c r="F492" s="263" t="s">
        <v>568</v>
      </c>
      <c r="G492" s="263">
        <v>0</v>
      </c>
      <c r="H492" s="267">
        <f t="shared" si="7"/>
        <v>0</v>
      </c>
    </row>
    <row r="493" spans="1:8" x14ac:dyDescent="0.3">
      <c r="A493" s="260" t="s">
        <v>185</v>
      </c>
      <c r="B493" s="261" t="s">
        <v>120</v>
      </c>
      <c r="C493" s="262" t="s">
        <v>239</v>
      </c>
      <c r="D493" s="261" t="s">
        <v>238</v>
      </c>
      <c r="E493" s="263">
        <v>0</v>
      </c>
      <c r="F493" s="263" t="s">
        <v>568</v>
      </c>
      <c r="G493" s="263">
        <v>0</v>
      </c>
      <c r="H493" s="267">
        <f t="shared" si="7"/>
        <v>0</v>
      </c>
    </row>
    <row r="494" spans="1:8" x14ac:dyDescent="0.3">
      <c r="A494" s="260" t="s">
        <v>185</v>
      </c>
      <c r="B494" s="261" t="s">
        <v>120</v>
      </c>
      <c r="C494" s="262" t="s">
        <v>243</v>
      </c>
      <c r="D494" s="261" t="s">
        <v>242</v>
      </c>
      <c r="E494" s="263">
        <v>0</v>
      </c>
      <c r="F494" s="263" t="s">
        <v>87</v>
      </c>
      <c r="G494" s="263">
        <v>0</v>
      </c>
      <c r="H494" s="267">
        <f t="shared" si="7"/>
        <v>0</v>
      </c>
    </row>
    <row r="495" spans="1:8" x14ac:dyDescent="0.3">
      <c r="A495" s="260" t="s">
        <v>185</v>
      </c>
      <c r="B495" s="261" t="s">
        <v>120</v>
      </c>
      <c r="C495" s="262" t="s">
        <v>243</v>
      </c>
      <c r="D495" s="261" t="s">
        <v>242</v>
      </c>
      <c r="E495" s="263">
        <v>0</v>
      </c>
      <c r="F495" s="263" t="s">
        <v>568</v>
      </c>
      <c r="G495" s="263">
        <v>0</v>
      </c>
      <c r="H495" s="267">
        <f t="shared" si="7"/>
        <v>0</v>
      </c>
    </row>
    <row r="496" spans="1:8" x14ac:dyDescent="0.3">
      <c r="A496" s="260" t="s">
        <v>185</v>
      </c>
      <c r="B496" s="261" t="s">
        <v>120</v>
      </c>
      <c r="C496" s="262" t="s">
        <v>245</v>
      </c>
      <c r="D496" s="261" t="s">
        <v>244</v>
      </c>
      <c r="E496" s="263">
        <v>330303</v>
      </c>
      <c r="F496" s="263" t="s">
        <v>568</v>
      </c>
      <c r="G496" s="263">
        <v>0</v>
      </c>
      <c r="H496" s="267">
        <f t="shared" si="7"/>
        <v>0</v>
      </c>
    </row>
    <row r="497" spans="1:8" x14ac:dyDescent="0.3">
      <c r="A497" s="260" t="s">
        <v>185</v>
      </c>
      <c r="B497" s="261" t="s">
        <v>120</v>
      </c>
      <c r="C497" s="262" t="s">
        <v>249</v>
      </c>
      <c r="D497" s="261" t="s">
        <v>248</v>
      </c>
      <c r="E497" s="263">
        <v>0</v>
      </c>
      <c r="F497" s="263" t="s">
        <v>568</v>
      </c>
      <c r="G497" s="263">
        <v>0</v>
      </c>
      <c r="H497" s="267">
        <f t="shared" si="7"/>
        <v>0</v>
      </c>
    </row>
    <row r="498" spans="1:8" x14ac:dyDescent="0.3">
      <c r="A498" s="260" t="s">
        <v>185</v>
      </c>
      <c r="B498" s="261" t="s">
        <v>120</v>
      </c>
      <c r="C498" s="262" t="s">
        <v>251</v>
      </c>
      <c r="D498" s="261" t="s">
        <v>250</v>
      </c>
      <c r="E498" s="263">
        <v>0</v>
      </c>
      <c r="F498" s="263" t="s">
        <v>568</v>
      </c>
      <c r="G498" s="263">
        <v>0</v>
      </c>
      <c r="H498" s="267">
        <f t="shared" si="7"/>
        <v>0</v>
      </c>
    </row>
    <row r="499" spans="1:8" x14ac:dyDescent="0.3">
      <c r="A499" s="260" t="s">
        <v>185</v>
      </c>
      <c r="B499" s="261" t="s">
        <v>120</v>
      </c>
      <c r="C499" s="262" t="s">
        <v>253</v>
      </c>
      <c r="D499" s="261" t="s">
        <v>252</v>
      </c>
      <c r="E499" s="263">
        <v>0</v>
      </c>
      <c r="F499" s="263" t="s">
        <v>87</v>
      </c>
      <c r="G499" s="263">
        <v>0</v>
      </c>
      <c r="H499" s="267">
        <f t="shared" si="7"/>
        <v>0</v>
      </c>
    </row>
    <row r="500" spans="1:8" x14ac:dyDescent="0.3">
      <c r="A500" s="260" t="s">
        <v>185</v>
      </c>
      <c r="B500" s="261" t="s">
        <v>120</v>
      </c>
      <c r="C500" s="262" t="s">
        <v>253</v>
      </c>
      <c r="D500" s="261" t="s">
        <v>252</v>
      </c>
      <c r="E500" s="263">
        <v>0</v>
      </c>
      <c r="F500" s="263" t="s">
        <v>88</v>
      </c>
      <c r="G500" s="263">
        <v>0</v>
      </c>
      <c r="H500" s="267">
        <f t="shared" si="7"/>
        <v>0</v>
      </c>
    </row>
    <row r="501" spans="1:8" x14ac:dyDescent="0.3">
      <c r="A501" s="260" t="s">
        <v>185</v>
      </c>
      <c r="B501" s="261" t="s">
        <v>120</v>
      </c>
      <c r="C501" s="262" t="s">
        <v>255</v>
      </c>
      <c r="D501" s="261" t="s">
        <v>254</v>
      </c>
      <c r="E501" s="263">
        <v>0</v>
      </c>
      <c r="F501" s="263" t="s">
        <v>568</v>
      </c>
      <c r="G501" s="263">
        <v>0</v>
      </c>
      <c r="H501" s="267">
        <f t="shared" si="7"/>
        <v>0</v>
      </c>
    </row>
    <row r="502" spans="1:8" x14ac:dyDescent="0.3">
      <c r="A502" s="260" t="s">
        <v>185</v>
      </c>
      <c r="B502" s="261" t="s">
        <v>120</v>
      </c>
      <c r="C502" s="262" t="s">
        <v>263</v>
      </c>
      <c r="D502" s="261" t="s">
        <v>262</v>
      </c>
      <c r="E502" s="263">
        <v>0</v>
      </c>
      <c r="F502" s="263" t="s">
        <v>568</v>
      </c>
      <c r="G502" s="263">
        <v>0</v>
      </c>
      <c r="H502" s="267">
        <f t="shared" si="7"/>
        <v>0</v>
      </c>
    </row>
    <row r="503" spans="1:8" x14ac:dyDescent="0.3">
      <c r="A503" s="260" t="s">
        <v>185</v>
      </c>
      <c r="B503" s="261" t="s">
        <v>120</v>
      </c>
      <c r="C503" s="262" t="s">
        <v>265</v>
      </c>
      <c r="D503" s="261" t="s">
        <v>264</v>
      </c>
      <c r="E503" s="263">
        <v>0</v>
      </c>
      <c r="F503" s="263" t="s">
        <v>87</v>
      </c>
      <c r="G503" s="263">
        <v>0</v>
      </c>
      <c r="H503" s="267">
        <f t="shared" si="7"/>
        <v>0</v>
      </c>
    </row>
    <row r="504" spans="1:8" x14ac:dyDescent="0.3">
      <c r="A504" s="260" t="s">
        <v>185</v>
      </c>
      <c r="B504" s="261" t="s">
        <v>120</v>
      </c>
      <c r="C504" s="262" t="s">
        <v>265</v>
      </c>
      <c r="D504" s="261" t="s">
        <v>264</v>
      </c>
      <c r="E504" s="263">
        <v>0</v>
      </c>
      <c r="F504" s="263" t="s">
        <v>568</v>
      </c>
      <c r="G504" s="263">
        <v>0</v>
      </c>
      <c r="H504" s="267">
        <f t="shared" si="7"/>
        <v>0</v>
      </c>
    </row>
    <row r="505" spans="1:8" x14ac:dyDescent="0.3">
      <c r="A505" s="260" t="s">
        <v>185</v>
      </c>
      <c r="B505" s="261" t="s">
        <v>120</v>
      </c>
      <c r="C505" s="262" t="s">
        <v>267</v>
      </c>
      <c r="D505" s="261" t="s">
        <v>266</v>
      </c>
      <c r="E505" s="263">
        <v>0</v>
      </c>
      <c r="F505" s="263" t="s">
        <v>568</v>
      </c>
      <c r="G505" s="263">
        <v>0</v>
      </c>
      <c r="H505" s="267">
        <f t="shared" si="7"/>
        <v>0</v>
      </c>
    </row>
    <row r="506" spans="1:8" x14ac:dyDescent="0.3">
      <c r="A506" s="260" t="s">
        <v>185</v>
      </c>
      <c r="B506" s="261" t="s">
        <v>120</v>
      </c>
      <c r="C506" s="262" t="s">
        <v>271</v>
      </c>
      <c r="D506" s="261" t="s">
        <v>270</v>
      </c>
      <c r="E506" s="263">
        <v>0</v>
      </c>
      <c r="F506" s="263" t="s">
        <v>87</v>
      </c>
      <c r="G506" s="263">
        <v>0</v>
      </c>
      <c r="H506" s="267">
        <f t="shared" si="7"/>
        <v>0</v>
      </c>
    </row>
    <row r="507" spans="1:8" x14ac:dyDescent="0.3">
      <c r="A507" s="260" t="s">
        <v>185</v>
      </c>
      <c r="B507" s="261" t="s">
        <v>120</v>
      </c>
      <c r="C507" s="262" t="s">
        <v>271</v>
      </c>
      <c r="D507" s="261" t="s">
        <v>270</v>
      </c>
      <c r="E507" s="263">
        <v>0</v>
      </c>
      <c r="F507" s="263" t="s">
        <v>568</v>
      </c>
      <c r="G507" s="263">
        <v>0</v>
      </c>
      <c r="H507" s="267">
        <f t="shared" si="7"/>
        <v>0</v>
      </c>
    </row>
    <row r="508" spans="1:8" x14ac:dyDescent="0.3">
      <c r="A508" s="260" t="s">
        <v>191</v>
      </c>
      <c r="B508" s="261" t="s">
        <v>121</v>
      </c>
      <c r="C508" s="262" t="s">
        <v>281</v>
      </c>
      <c r="D508" s="261" t="s">
        <v>280</v>
      </c>
      <c r="E508" s="263">
        <v>0</v>
      </c>
      <c r="F508" s="263" t="s">
        <v>568</v>
      </c>
      <c r="G508" s="263">
        <v>0</v>
      </c>
      <c r="H508" s="267">
        <f t="shared" si="7"/>
        <v>0</v>
      </c>
    </row>
    <row r="509" spans="1:8" x14ac:dyDescent="0.3">
      <c r="A509" s="260" t="s">
        <v>191</v>
      </c>
      <c r="B509" s="261" t="s">
        <v>121</v>
      </c>
      <c r="C509" s="262" t="s">
        <v>283</v>
      </c>
      <c r="D509" s="261" t="s">
        <v>282</v>
      </c>
      <c r="E509" s="263">
        <v>0</v>
      </c>
      <c r="F509" s="263" t="s">
        <v>87</v>
      </c>
      <c r="G509" s="263">
        <v>0</v>
      </c>
      <c r="H509" s="267">
        <f t="shared" si="7"/>
        <v>0</v>
      </c>
    </row>
    <row r="510" spans="1:8" x14ac:dyDescent="0.3">
      <c r="A510" s="260" t="s">
        <v>191</v>
      </c>
      <c r="B510" s="261" t="s">
        <v>121</v>
      </c>
      <c r="C510" s="262" t="s">
        <v>283</v>
      </c>
      <c r="D510" s="261" t="s">
        <v>282</v>
      </c>
      <c r="E510" s="263">
        <v>0</v>
      </c>
      <c r="F510" s="263" t="s">
        <v>568</v>
      </c>
      <c r="G510" s="263">
        <v>0</v>
      </c>
      <c r="H510" s="267">
        <f t="shared" si="7"/>
        <v>0</v>
      </c>
    </row>
    <row r="511" spans="1:8" x14ac:dyDescent="0.3">
      <c r="A511" s="260" t="s">
        <v>191</v>
      </c>
      <c r="B511" s="261" t="s">
        <v>121</v>
      </c>
      <c r="C511" s="262" t="s">
        <v>287</v>
      </c>
      <c r="D511" s="261" t="s">
        <v>286</v>
      </c>
      <c r="E511" s="263">
        <v>0</v>
      </c>
      <c r="F511" s="263" t="s">
        <v>87</v>
      </c>
      <c r="G511" s="263">
        <v>0</v>
      </c>
      <c r="H511" s="267">
        <f t="shared" si="7"/>
        <v>0</v>
      </c>
    </row>
    <row r="512" spans="1:8" x14ac:dyDescent="0.3">
      <c r="A512" s="260" t="s">
        <v>191</v>
      </c>
      <c r="B512" s="261" t="s">
        <v>121</v>
      </c>
      <c r="C512" s="262" t="s">
        <v>287</v>
      </c>
      <c r="D512" s="261" t="s">
        <v>286</v>
      </c>
      <c r="E512" s="263">
        <v>0</v>
      </c>
      <c r="F512" s="263" t="s">
        <v>568</v>
      </c>
      <c r="G512" s="263">
        <v>0</v>
      </c>
      <c r="H512" s="267">
        <f t="shared" si="7"/>
        <v>0</v>
      </c>
    </row>
    <row r="513" spans="1:8" x14ac:dyDescent="0.3">
      <c r="A513" s="260" t="s">
        <v>191</v>
      </c>
      <c r="B513" s="261" t="s">
        <v>121</v>
      </c>
      <c r="C513" s="262" t="s">
        <v>289</v>
      </c>
      <c r="D513" s="261" t="s">
        <v>288</v>
      </c>
      <c r="E513" s="263">
        <v>1123</v>
      </c>
      <c r="F513" s="263" t="s">
        <v>568</v>
      </c>
      <c r="G513" s="263">
        <v>0</v>
      </c>
      <c r="H513" s="267">
        <f t="shared" si="7"/>
        <v>0</v>
      </c>
    </row>
    <row r="514" spans="1:8" x14ac:dyDescent="0.3">
      <c r="A514" s="260" t="s">
        <v>155</v>
      </c>
      <c r="B514" s="261" t="s">
        <v>122</v>
      </c>
      <c r="C514" s="262" t="s">
        <v>172</v>
      </c>
      <c r="D514" s="261" t="s">
        <v>171</v>
      </c>
      <c r="E514" s="263">
        <v>91830</v>
      </c>
      <c r="F514" s="263" t="s">
        <v>568</v>
      </c>
      <c r="G514" s="263">
        <v>0</v>
      </c>
      <c r="H514" s="267">
        <f t="shared" si="7"/>
        <v>0</v>
      </c>
    </row>
    <row r="515" spans="1:8" x14ac:dyDescent="0.3">
      <c r="A515" s="260" t="s">
        <v>155</v>
      </c>
      <c r="B515" s="261" t="s">
        <v>122</v>
      </c>
      <c r="C515" s="262" t="s">
        <v>175</v>
      </c>
      <c r="D515" s="261" t="s">
        <v>174</v>
      </c>
      <c r="E515" s="263">
        <v>0</v>
      </c>
      <c r="F515" s="263" t="s">
        <v>568</v>
      </c>
      <c r="G515" s="263">
        <v>0</v>
      </c>
      <c r="H515" s="267">
        <f t="shared" si="7"/>
        <v>0</v>
      </c>
    </row>
    <row r="516" spans="1:8" x14ac:dyDescent="0.3">
      <c r="A516" s="260" t="s">
        <v>155</v>
      </c>
      <c r="B516" s="261" t="s">
        <v>122</v>
      </c>
      <c r="C516" s="262" t="s">
        <v>178</v>
      </c>
      <c r="D516" s="261" t="s">
        <v>177</v>
      </c>
      <c r="E516" s="263">
        <v>0</v>
      </c>
      <c r="F516" s="263" t="s">
        <v>568</v>
      </c>
      <c r="G516" s="263">
        <v>0</v>
      </c>
      <c r="H516" s="267">
        <f t="shared" ref="H516:H567" si="8">IF(E516&lt;&gt;0,G516/E516,0)</f>
        <v>0</v>
      </c>
    </row>
    <row r="517" spans="1:8" x14ac:dyDescent="0.3">
      <c r="A517" s="260" t="s">
        <v>155</v>
      </c>
      <c r="B517" s="261" t="s">
        <v>122</v>
      </c>
      <c r="C517" s="262" t="s">
        <v>193</v>
      </c>
      <c r="D517" s="261" t="s">
        <v>192</v>
      </c>
      <c r="E517" s="263">
        <v>0</v>
      </c>
      <c r="F517" s="263" t="s">
        <v>568</v>
      </c>
      <c r="G517" s="263">
        <v>0</v>
      </c>
      <c r="H517" s="267">
        <f t="shared" si="8"/>
        <v>0</v>
      </c>
    </row>
    <row r="518" spans="1:8" x14ac:dyDescent="0.3">
      <c r="A518" s="260" t="s">
        <v>141</v>
      </c>
      <c r="B518" s="261" t="s">
        <v>123</v>
      </c>
      <c r="C518" s="262" t="s">
        <v>143</v>
      </c>
      <c r="D518" s="261" t="s">
        <v>142</v>
      </c>
      <c r="E518" s="263">
        <v>0</v>
      </c>
      <c r="F518" s="263" t="s">
        <v>87</v>
      </c>
      <c r="G518" s="263">
        <v>0</v>
      </c>
      <c r="H518" s="267">
        <f t="shared" si="8"/>
        <v>0</v>
      </c>
    </row>
    <row r="519" spans="1:8" x14ac:dyDescent="0.3">
      <c r="A519" s="260" t="s">
        <v>141</v>
      </c>
      <c r="B519" s="261" t="s">
        <v>123</v>
      </c>
      <c r="C519" s="262" t="s">
        <v>143</v>
      </c>
      <c r="D519" s="261" t="s">
        <v>142</v>
      </c>
      <c r="E519" s="263">
        <v>0</v>
      </c>
      <c r="F519" s="263" t="s">
        <v>568</v>
      </c>
      <c r="G519" s="263">
        <v>0</v>
      </c>
      <c r="H519" s="267">
        <f t="shared" si="8"/>
        <v>0</v>
      </c>
    </row>
    <row r="520" spans="1:8" x14ac:dyDescent="0.3">
      <c r="A520" s="260" t="s">
        <v>141</v>
      </c>
      <c r="B520" s="261" t="s">
        <v>123</v>
      </c>
      <c r="C520" s="262" t="s">
        <v>149</v>
      </c>
      <c r="D520" s="261" t="s">
        <v>148</v>
      </c>
      <c r="E520" s="263">
        <v>0</v>
      </c>
      <c r="F520" s="263" t="s">
        <v>568</v>
      </c>
      <c r="G520" s="263">
        <v>0</v>
      </c>
      <c r="H520" s="267">
        <f t="shared" si="8"/>
        <v>0</v>
      </c>
    </row>
    <row r="521" spans="1:8" x14ac:dyDescent="0.3">
      <c r="A521" s="260" t="s">
        <v>141</v>
      </c>
      <c r="B521" s="261" t="s">
        <v>123</v>
      </c>
      <c r="C521" s="262" t="s">
        <v>152</v>
      </c>
      <c r="D521" s="261" t="s">
        <v>151</v>
      </c>
      <c r="E521" s="263">
        <v>0</v>
      </c>
      <c r="F521" s="263" t="s">
        <v>568</v>
      </c>
      <c r="G521" s="263">
        <v>0</v>
      </c>
      <c r="H521" s="267">
        <f t="shared" si="8"/>
        <v>0</v>
      </c>
    </row>
    <row r="522" spans="1:8" x14ac:dyDescent="0.3">
      <c r="A522" s="260" t="s">
        <v>141</v>
      </c>
      <c r="B522" s="261" t="s">
        <v>123</v>
      </c>
      <c r="C522" s="262" t="s">
        <v>154</v>
      </c>
      <c r="D522" s="261" t="s">
        <v>153</v>
      </c>
      <c r="E522" s="263">
        <v>0</v>
      </c>
      <c r="F522" s="263" t="s">
        <v>87</v>
      </c>
      <c r="G522" s="263">
        <v>0</v>
      </c>
      <c r="H522" s="267">
        <f t="shared" si="8"/>
        <v>0</v>
      </c>
    </row>
    <row r="523" spans="1:8" x14ac:dyDescent="0.3">
      <c r="A523" s="260" t="s">
        <v>141</v>
      </c>
      <c r="B523" s="261" t="s">
        <v>123</v>
      </c>
      <c r="C523" s="262" t="s">
        <v>154</v>
      </c>
      <c r="D523" s="261" t="s">
        <v>153</v>
      </c>
      <c r="E523" s="263">
        <v>0</v>
      </c>
      <c r="F523" s="263" t="s">
        <v>568</v>
      </c>
      <c r="G523" s="263">
        <v>0</v>
      </c>
      <c r="H523" s="267">
        <f t="shared" si="8"/>
        <v>0</v>
      </c>
    </row>
    <row r="524" spans="1:8" x14ac:dyDescent="0.3">
      <c r="A524" s="260" t="s">
        <v>141</v>
      </c>
      <c r="B524" s="261" t="s">
        <v>123</v>
      </c>
      <c r="C524" s="262" t="s">
        <v>157</v>
      </c>
      <c r="D524" s="261" t="s">
        <v>156</v>
      </c>
      <c r="E524" s="263">
        <v>0</v>
      </c>
      <c r="F524" s="263" t="s">
        <v>568</v>
      </c>
      <c r="G524" s="263">
        <v>0</v>
      </c>
      <c r="H524" s="267">
        <f t="shared" si="8"/>
        <v>0</v>
      </c>
    </row>
    <row r="525" spans="1:8" x14ac:dyDescent="0.3">
      <c r="A525" s="260" t="s">
        <v>141</v>
      </c>
      <c r="B525" s="261" t="s">
        <v>123</v>
      </c>
      <c r="C525" s="262" t="s">
        <v>160</v>
      </c>
      <c r="D525" s="261" t="s">
        <v>159</v>
      </c>
      <c r="E525" s="263">
        <v>0</v>
      </c>
      <c r="F525" s="263" t="s">
        <v>87</v>
      </c>
      <c r="G525" s="263">
        <v>0</v>
      </c>
      <c r="H525" s="267">
        <f t="shared" si="8"/>
        <v>0</v>
      </c>
    </row>
    <row r="526" spans="1:8" x14ac:dyDescent="0.3">
      <c r="A526" s="260" t="s">
        <v>141</v>
      </c>
      <c r="B526" s="261" t="s">
        <v>123</v>
      </c>
      <c r="C526" s="262" t="s">
        <v>160</v>
      </c>
      <c r="D526" s="261" t="s">
        <v>159</v>
      </c>
      <c r="E526" s="263">
        <v>0</v>
      </c>
      <c r="F526" s="263" t="s">
        <v>568</v>
      </c>
      <c r="G526" s="263">
        <v>0</v>
      </c>
      <c r="H526" s="267">
        <f t="shared" si="8"/>
        <v>0</v>
      </c>
    </row>
    <row r="527" spans="1:8" x14ac:dyDescent="0.3">
      <c r="A527" s="260" t="s">
        <v>141</v>
      </c>
      <c r="B527" s="261" t="s">
        <v>123</v>
      </c>
      <c r="C527" s="262" t="s">
        <v>163</v>
      </c>
      <c r="D527" s="261" t="s">
        <v>162</v>
      </c>
      <c r="E527" s="263">
        <v>0</v>
      </c>
      <c r="F527" s="263" t="s">
        <v>87</v>
      </c>
      <c r="G527" s="263">
        <v>0</v>
      </c>
      <c r="H527" s="267">
        <f t="shared" si="8"/>
        <v>0</v>
      </c>
    </row>
    <row r="528" spans="1:8" x14ac:dyDescent="0.3">
      <c r="A528" s="260" t="s">
        <v>141</v>
      </c>
      <c r="B528" s="261" t="s">
        <v>123</v>
      </c>
      <c r="C528" s="262" t="s">
        <v>163</v>
      </c>
      <c r="D528" s="261" t="s">
        <v>162</v>
      </c>
      <c r="E528" s="263">
        <v>0</v>
      </c>
      <c r="F528" s="263" t="s">
        <v>568</v>
      </c>
      <c r="G528" s="263">
        <v>0</v>
      </c>
      <c r="H528" s="267">
        <f t="shared" si="8"/>
        <v>0</v>
      </c>
    </row>
    <row r="529" spans="1:8" x14ac:dyDescent="0.3">
      <c r="A529" s="260" t="s">
        <v>141</v>
      </c>
      <c r="B529" s="261" t="s">
        <v>123</v>
      </c>
      <c r="C529" s="262" t="s">
        <v>166</v>
      </c>
      <c r="D529" s="261" t="s">
        <v>165</v>
      </c>
      <c r="E529" s="263">
        <v>0</v>
      </c>
      <c r="F529" s="263" t="s">
        <v>87</v>
      </c>
      <c r="G529" s="263">
        <v>0</v>
      </c>
      <c r="H529" s="267">
        <f t="shared" si="8"/>
        <v>0</v>
      </c>
    </row>
    <row r="530" spans="1:8" x14ac:dyDescent="0.3">
      <c r="A530" s="260" t="s">
        <v>141</v>
      </c>
      <c r="B530" s="261" t="s">
        <v>123</v>
      </c>
      <c r="C530" s="262" t="s">
        <v>166</v>
      </c>
      <c r="D530" s="261" t="s">
        <v>165</v>
      </c>
      <c r="E530" s="263">
        <v>0</v>
      </c>
      <c r="F530" s="263" t="s">
        <v>568</v>
      </c>
      <c r="G530" s="263">
        <v>0</v>
      </c>
      <c r="H530" s="267">
        <f t="shared" si="8"/>
        <v>0</v>
      </c>
    </row>
    <row r="531" spans="1:8" x14ac:dyDescent="0.3">
      <c r="A531" s="260" t="s">
        <v>188</v>
      </c>
      <c r="B531" s="261" t="s">
        <v>124</v>
      </c>
      <c r="C531" s="262" t="s">
        <v>338</v>
      </c>
      <c r="D531" s="261" t="s">
        <v>339</v>
      </c>
      <c r="E531" s="263">
        <v>0</v>
      </c>
      <c r="F531" s="263" t="s">
        <v>87</v>
      </c>
      <c r="G531" s="263">
        <v>0</v>
      </c>
      <c r="H531" s="267">
        <f t="shared" si="8"/>
        <v>0</v>
      </c>
    </row>
    <row r="532" spans="1:8" x14ac:dyDescent="0.3">
      <c r="A532" s="260" t="s">
        <v>188</v>
      </c>
      <c r="B532" s="261" t="s">
        <v>124</v>
      </c>
      <c r="C532" s="262" t="s">
        <v>338</v>
      </c>
      <c r="D532" s="261" t="s">
        <v>339</v>
      </c>
      <c r="E532" s="263">
        <v>0</v>
      </c>
      <c r="F532" s="263" t="s">
        <v>568</v>
      </c>
      <c r="G532" s="263">
        <v>0</v>
      </c>
      <c r="H532" s="267">
        <f t="shared" si="8"/>
        <v>0</v>
      </c>
    </row>
    <row r="533" spans="1:8" x14ac:dyDescent="0.3">
      <c r="A533" s="260" t="s">
        <v>188</v>
      </c>
      <c r="B533" s="261" t="s">
        <v>124</v>
      </c>
      <c r="C533" s="262" t="s">
        <v>340</v>
      </c>
      <c r="D533" s="261" t="s">
        <v>341</v>
      </c>
      <c r="E533" s="263">
        <v>0</v>
      </c>
      <c r="F533" s="263" t="s">
        <v>568</v>
      </c>
      <c r="G533" s="263">
        <v>0</v>
      </c>
      <c r="H533" s="267">
        <f t="shared" si="8"/>
        <v>0</v>
      </c>
    </row>
    <row r="534" spans="1:8" x14ac:dyDescent="0.3">
      <c r="A534" s="260" t="s">
        <v>188</v>
      </c>
      <c r="B534" s="261" t="s">
        <v>124</v>
      </c>
      <c r="C534" s="262" t="s">
        <v>342</v>
      </c>
      <c r="D534" s="261" t="s">
        <v>343</v>
      </c>
      <c r="E534" s="263">
        <v>0</v>
      </c>
      <c r="F534" s="263" t="s">
        <v>87</v>
      </c>
      <c r="G534" s="263">
        <v>0</v>
      </c>
      <c r="H534" s="267">
        <f t="shared" si="8"/>
        <v>0</v>
      </c>
    </row>
    <row r="535" spans="1:8" x14ac:dyDescent="0.3">
      <c r="A535" s="260" t="s">
        <v>188</v>
      </c>
      <c r="B535" s="261" t="s">
        <v>124</v>
      </c>
      <c r="C535" s="262" t="s">
        <v>342</v>
      </c>
      <c r="D535" s="261" t="s">
        <v>343</v>
      </c>
      <c r="E535" s="263">
        <v>0</v>
      </c>
      <c r="F535" s="263" t="s">
        <v>88</v>
      </c>
      <c r="G535" s="263">
        <v>0</v>
      </c>
      <c r="H535" s="267">
        <f t="shared" si="8"/>
        <v>0</v>
      </c>
    </row>
    <row r="536" spans="1:8" x14ac:dyDescent="0.3">
      <c r="A536" s="260" t="s">
        <v>188</v>
      </c>
      <c r="B536" s="261" t="s">
        <v>124</v>
      </c>
      <c r="C536" s="262" t="s">
        <v>344</v>
      </c>
      <c r="D536" s="261" t="s">
        <v>345</v>
      </c>
      <c r="E536" s="263">
        <v>2418</v>
      </c>
      <c r="F536" s="263" t="s">
        <v>568</v>
      </c>
      <c r="G536" s="263">
        <v>0</v>
      </c>
      <c r="H536" s="267">
        <f t="shared" si="8"/>
        <v>0</v>
      </c>
    </row>
    <row r="537" spans="1:8" x14ac:dyDescent="0.3">
      <c r="A537" s="260" t="s">
        <v>188</v>
      </c>
      <c r="B537" s="261" t="s">
        <v>124</v>
      </c>
      <c r="C537" s="262" t="s">
        <v>350</v>
      </c>
      <c r="D537" s="261" t="s">
        <v>351</v>
      </c>
      <c r="E537" s="263">
        <v>0</v>
      </c>
      <c r="F537" s="263" t="s">
        <v>87</v>
      </c>
      <c r="G537" s="263">
        <v>0</v>
      </c>
      <c r="H537" s="267">
        <f t="shared" si="8"/>
        <v>0</v>
      </c>
    </row>
    <row r="538" spans="1:8" x14ac:dyDescent="0.3">
      <c r="A538" s="260" t="s">
        <v>188</v>
      </c>
      <c r="B538" s="261" t="s">
        <v>124</v>
      </c>
      <c r="C538" s="262" t="s">
        <v>350</v>
      </c>
      <c r="D538" s="261" t="s">
        <v>351</v>
      </c>
      <c r="E538" s="263">
        <v>0</v>
      </c>
      <c r="F538" s="263" t="s">
        <v>88</v>
      </c>
      <c r="G538" s="263">
        <v>0</v>
      </c>
      <c r="H538" s="267">
        <f t="shared" si="8"/>
        <v>0</v>
      </c>
    </row>
    <row r="539" spans="1:8" x14ac:dyDescent="0.3">
      <c r="A539" s="260" t="s">
        <v>188</v>
      </c>
      <c r="B539" s="261" t="s">
        <v>124</v>
      </c>
      <c r="C539" s="262" t="s">
        <v>352</v>
      </c>
      <c r="D539" s="261" t="s">
        <v>353</v>
      </c>
      <c r="E539" s="263">
        <v>0</v>
      </c>
      <c r="F539" s="263" t="s">
        <v>568</v>
      </c>
      <c r="G539" s="263">
        <v>0</v>
      </c>
      <c r="H539" s="267">
        <f t="shared" si="8"/>
        <v>0</v>
      </c>
    </row>
    <row r="540" spans="1:8" x14ac:dyDescent="0.3">
      <c r="A540" s="260" t="s">
        <v>188</v>
      </c>
      <c r="B540" s="261" t="s">
        <v>124</v>
      </c>
      <c r="C540" s="262" t="s">
        <v>354</v>
      </c>
      <c r="D540" s="261" t="s">
        <v>355</v>
      </c>
      <c r="E540" s="263">
        <v>0</v>
      </c>
      <c r="F540" s="263" t="s">
        <v>87</v>
      </c>
      <c r="G540" s="263">
        <v>0</v>
      </c>
      <c r="H540" s="267">
        <f t="shared" si="8"/>
        <v>0</v>
      </c>
    </row>
    <row r="541" spans="1:8" x14ac:dyDescent="0.3">
      <c r="A541" s="260" t="s">
        <v>188</v>
      </c>
      <c r="B541" s="261" t="s">
        <v>124</v>
      </c>
      <c r="C541" s="262" t="s">
        <v>356</v>
      </c>
      <c r="D541" s="261" t="s">
        <v>357</v>
      </c>
      <c r="E541" s="263">
        <v>0</v>
      </c>
      <c r="F541" s="263" t="s">
        <v>87</v>
      </c>
      <c r="G541" s="263">
        <v>0</v>
      </c>
      <c r="H541" s="267">
        <f t="shared" si="8"/>
        <v>0</v>
      </c>
    </row>
    <row r="542" spans="1:8" x14ac:dyDescent="0.3">
      <c r="A542" s="260" t="s">
        <v>188</v>
      </c>
      <c r="B542" s="261" t="s">
        <v>124</v>
      </c>
      <c r="C542" s="262" t="s">
        <v>356</v>
      </c>
      <c r="D542" s="261" t="s">
        <v>357</v>
      </c>
      <c r="E542" s="263">
        <v>0</v>
      </c>
      <c r="F542" s="263" t="s">
        <v>88</v>
      </c>
      <c r="G542" s="263">
        <v>0</v>
      </c>
      <c r="H542" s="267">
        <f t="shared" si="8"/>
        <v>0</v>
      </c>
    </row>
    <row r="543" spans="1:8" x14ac:dyDescent="0.3">
      <c r="A543" s="260" t="s">
        <v>188</v>
      </c>
      <c r="B543" s="261" t="s">
        <v>124</v>
      </c>
      <c r="C543" s="262" t="s">
        <v>358</v>
      </c>
      <c r="D543" s="261" t="s">
        <v>359</v>
      </c>
      <c r="E543" s="263">
        <v>0</v>
      </c>
      <c r="F543" s="263" t="s">
        <v>568</v>
      </c>
      <c r="G543" s="263">
        <v>0</v>
      </c>
      <c r="H543" s="267">
        <f t="shared" si="8"/>
        <v>0</v>
      </c>
    </row>
    <row r="544" spans="1:8" x14ac:dyDescent="0.3">
      <c r="A544" s="260" t="s">
        <v>188</v>
      </c>
      <c r="B544" s="261" t="s">
        <v>124</v>
      </c>
      <c r="C544" s="262" t="s">
        <v>360</v>
      </c>
      <c r="D544" s="261" t="s">
        <v>361</v>
      </c>
      <c r="E544" s="263">
        <v>0</v>
      </c>
      <c r="F544" s="263" t="s">
        <v>568</v>
      </c>
      <c r="G544" s="263">
        <v>0</v>
      </c>
      <c r="H544" s="267">
        <f t="shared" si="8"/>
        <v>0</v>
      </c>
    </row>
    <row r="545" spans="1:8" x14ac:dyDescent="0.3">
      <c r="A545" s="260" t="s">
        <v>188</v>
      </c>
      <c r="B545" s="261" t="s">
        <v>124</v>
      </c>
      <c r="C545" s="262" t="s">
        <v>368</v>
      </c>
      <c r="D545" s="261" t="s">
        <v>369</v>
      </c>
      <c r="E545" s="263">
        <v>0</v>
      </c>
      <c r="F545" s="263" t="s">
        <v>87</v>
      </c>
      <c r="G545" s="263">
        <v>0</v>
      </c>
      <c r="H545" s="267">
        <f t="shared" si="8"/>
        <v>0</v>
      </c>
    </row>
    <row r="546" spans="1:8" x14ac:dyDescent="0.3">
      <c r="A546" s="260" t="s">
        <v>188</v>
      </c>
      <c r="B546" s="261" t="s">
        <v>124</v>
      </c>
      <c r="C546" s="262" t="s">
        <v>368</v>
      </c>
      <c r="D546" s="261" t="s">
        <v>369</v>
      </c>
      <c r="E546" s="263">
        <v>0</v>
      </c>
      <c r="F546" s="263" t="s">
        <v>568</v>
      </c>
      <c r="G546" s="263">
        <v>0</v>
      </c>
      <c r="H546" s="267">
        <f t="shared" si="8"/>
        <v>0</v>
      </c>
    </row>
    <row r="547" spans="1:8" x14ac:dyDescent="0.3">
      <c r="A547" s="260" t="s">
        <v>197</v>
      </c>
      <c r="B547" s="261" t="s">
        <v>126</v>
      </c>
      <c r="C547" s="262" t="s">
        <v>394</v>
      </c>
      <c r="D547" s="261" t="s">
        <v>395</v>
      </c>
      <c r="E547" s="263">
        <v>0</v>
      </c>
      <c r="F547" s="263" t="s">
        <v>87</v>
      </c>
      <c r="G547" s="263">
        <v>0</v>
      </c>
      <c r="H547" s="267">
        <f t="shared" si="8"/>
        <v>0</v>
      </c>
    </row>
    <row r="548" spans="1:8" x14ac:dyDescent="0.3">
      <c r="A548" s="260" t="s">
        <v>197</v>
      </c>
      <c r="B548" s="261" t="s">
        <v>126</v>
      </c>
      <c r="C548" s="262" t="s">
        <v>394</v>
      </c>
      <c r="D548" s="261" t="s">
        <v>395</v>
      </c>
      <c r="E548" s="263">
        <v>0</v>
      </c>
      <c r="F548" s="263" t="s">
        <v>568</v>
      </c>
      <c r="G548" s="263">
        <v>0</v>
      </c>
      <c r="H548" s="267">
        <f t="shared" si="8"/>
        <v>0</v>
      </c>
    </row>
    <row r="549" spans="1:8" x14ac:dyDescent="0.3">
      <c r="A549" s="260" t="s">
        <v>197</v>
      </c>
      <c r="B549" s="261" t="s">
        <v>126</v>
      </c>
      <c r="C549" s="262" t="s">
        <v>398</v>
      </c>
      <c r="D549" s="261" t="s">
        <v>399</v>
      </c>
      <c r="E549" s="263">
        <v>0</v>
      </c>
      <c r="F549" s="263" t="s">
        <v>568</v>
      </c>
      <c r="G549" s="263">
        <v>0</v>
      </c>
      <c r="H549" s="267">
        <f t="shared" si="8"/>
        <v>0</v>
      </c>
    </row>
    <row r="550" spans="1:8" x14ac:dyDescent="0.3">
      <c r="A550" s="260" t="s">
        <v>176</v>
      </c>
      <c r="B550" s="261" t="s">
        <v>127</v>
      </c>
      <c r="C550" s="262" t="s">
        <v>406</v>
      </c>
      <c r="D550" s="261" t="s">
        <v>407</v>
      </c>
      <c r="E550" s="263">
        <v>215869</v>
      </c>
      <c r="F550" s="263" t="s">
        <v>568</v>
      </c>
      <c r="G550" s="263">
        <v>0</v>
      </c>
      <c r="H550" s="267">
        <f t="shared" si="8"/>
        <v>0</v>
      </c>
    </row>
    <row r="551" spans="1:8" x14ac:dyDescent="0.3">
      <c r="A551" s="260" t="s">
        <v>176</v>
      </c>
      <c r="B551" s="261" t="s">
        <v>127</v>
      </c>
      <c r="C551" s="262" t="s">
        <v>418</v>
      </c>
      <c r="D551" s="261" t="s">
        <v>419</v>
      </c>
      <c r="E551" s="263">
        <v>221441</v>
      </c>
      <c r="F551" s="263" t="s">
        <v>568</v>
      </c>
      <c r="G551" s="263">
        <v>0</v>
      </c>
      <c r="H551" s="267">
        <f t="shared" si="8"/>
        <v>0</v>
      </c>
    </row>
    <row r="552" spans="1:8" x14ac:dyDescent="0.3">
      <c r="A552" s="260" t="s">
        <v>161</v>
      </c>
      <c r="B552" s="261" t="s">
        <v>128</v>
      </c>
      <c r="C552" s="262" t="s">
        <v>432</v>
      </c>
      <c r="D552" s="261" t="s">
        <v>433</v>
      </c>
      <c r="E552" s="263">
        <v>119528</v>
      </c>
      <c r="F552" s="263" t="s">
        <v>568</v>
      </c>
      <c r="G552" s="263">
        <v>0</v>
      </c>
      <c r="H552" s="267">
        <f t="shared" si="8"/>
        <v>0</v>
      </c>
    </row>
    <row r="553" spans="1:8" x14ac:dyDescent="0.3">
      <c r="A553" s="260" t="s">
        <v>161</v>
      </c>
      <c r="B553" s="261" t="s">
        <v>128</v>
      </c>
      <c r="C553" s="262" t="s">
        <v>436</v>
      </c>
      <c r="D553" s="261" t="s">
        <v>437</v>
      </c>
      <c r="E553" s="263">
        <v>345502</v>
      </c>
      <c r="F553" s="263" t="s">
        <v>568</v>
      </c>
      <c r="G553" s="263">
        <v>0</v>
      </c>
      <c r="H553" s="267">
        <f t="shared" si="8"/>
        <v>0</v>
      </c>
    </row>
    <row r="554" spans="1:8" x14ac:dyDescent="0.3">
      <c r="A554" s="260" t="s">
        <v>161</v>
      </c>
      <c r="B554" s="261" t="s">
        <v>128</v>
      </c>
      <c r="C554" s="262" t="s">
        <v>440</v>
      </c>
      <c r="D554" s="261" t="s">
        <v>441</v>
      </c>
      <c r="E554" s="263">
        <v>0</v>
      </c>
      <c r="F554" s="263" t="s">
        <v>88</v>
      </c>
      <c r="G554" s="263">
        <v>0</v>
      </c>
      <c r="H554" s="267">
        <f t="shared" si="8"/>
        <v>0</v>
      </c>
    </row>
    <row r="555" spans="1:8" x14ac:dyDescent="0.3">
      <c r="A555" s="260" t="s">
        <v>161</v>
      </c>
      <c r="B555" s="261" t="s">
        <v>128</v>
      </c>
      <c r="C555" s="262" t="s">
        <v>440</v>
      </c>
      <c r="D555" s="261" t="s">
        <v>441</v>
      </c>
      <c r="E555" s="263">
        <v>0</v>
      </c>
      <c r="F555" s="263" t="s">
        <v>568</v>
      </c>
      <c r="G555" s="263">
        <v>0</v>
      </c>
      <c r="H555" s="267">
        <f t="shared" si="8"/>
        <v>0</v>
      </c>
    </row>
    <row r="556" spans="1:8" x14ac:dyDescent="0.3">
      <c r="A556" s="260" t="s">
        <v>158</v>
      </c>
      <c r="B556" s="261" t="s">
        <v>129</v>
      </c>
      <c r="C556" s="262" t="s">
        <v>444</v>
      </c>
      <c r="D556" s="261" t="s">
        <v>445</v>
      </c>
      <c r="E556" s="263">
        <v>116926</v>
      </c>
      <c r="F556" s="263" t="s">
        <v>568</v>
      </c>
      <c r="G556" s="263">
        <v>0</v>
      </c>
      <c r="H556" s="267">
        <f t="shared" si="8"/>
        <v>0</v>
      </c>
    </row>
    <row r="557" spans="1:8" x14ac:dyDescent="0.3">
      <c r="A557" s="260" t="s">
        <v>158</v>
      </c>
      <c r="B557" s="261" t="s">
        <v>129</v>
      </c>
      <c r="C557" s="262" t="s">
        <v>446</v>
      </c>
      <c r="D557" s="261" t="s">
        <v>447</v>
      </c>
      <c r="E557" s="263">
        <v>270964</v>
      </c>
      <c r="F557" s="263" t="s">
        <v>568</v>
      </c>
      <c r="G557" s="263">
        <v>0</v>
      </c>
      <c r="H557" s="267">
        <f t="shared" si="8"/>
        <v>0</v>
      </c>
    </row>
    <row r="558" spans="1:8" x14ac:dyDescent="0.3">
      <c r="A558" s="260" t="s">
        <v>158</v>
      </c>
      <c r="B558" s="261" t="s">
        <v>129</v>
      </c>
      <c r="C558" s="262" t="s">
        <v>448</v>
      </c>
      <c r="D558" s="261" t="s">
        <v>449</v>
      </c>
      <c r="E558" s="263">
        <v>0</v>
      </c>
      <c r="F558" s="263" t="s">
        <v>568</v>
      </c>
      <c r="G558" s="263">
        <v>0</v>
      </c>
      <c r="H558" s="267">
        <f t="shared" si="8"/>
        <v>0</v>
      </c>
    </row>
    <row r="559" spans="1:8" x14ac:dyDescent="0.3">
      <c r="A559" s="260" t="s">
        <v>158</v>
      </c>
      <c r="B559" s="261" t="s">
        <v>129</v>
      </c>
      <c r="C559" s="262" t="s">
        <v>462</v>
      </c>
      <c r="D559" s="261" t="s">
        <v>463</v>
      </c>
      <c r="E559" s="263">
        <v>0</v>
      </c>
      <c r="F559" s="263" t="s">
        <v>568</v>
      </c>
      <c r="G559" s="263">
        <v>0</v>
      </c>
      <c r="H559" s="267">
        <f t="shared" si="8"/>
        <v>0</v>
      </c>
    </row>
    <row r="560" spans="1:8" x14ac:dyDescent="0.3">
      <c r="A560" s="260" t="s">
        <v>158</v>
      </c>
      <c r="B560" s="261" t="s">
        <v>129</v>
      </c>
      <c r="C560" s="262" t="s">
        <v>464</v>
      </c>
      <c r="D560" s="261" t="s">
        <v>465</v>
      </c>
      <c r="E560" s="263">
        <v>135437</v>
      </c>
      <c r="F560" s="263" t="s">
        <v>568</v>
      </c>
      <c r="G560" s="263">
        <v>0</v>
      </c>
      <c r="H560" s="267">
        <f t="shared" si="8"/>
        <v>0</v>
      </c>
    </row>
    <row r="561" spans="1:8" x14ac:dyDescent="0.3">
      <c r="A561" s="260" t="s">
        <v>170</v>
      </c>
      <c r="B561" s="261" t="s">
        <v>130</v>
      </c>
      <c r="C561" s="262" t="s">
        <v>472</v>
      </c>
      <c r="D561" s="261" t="s">
        <v>473</v>
      </c>
      <c r="E561" s="263">
        <v>418610</v>
      </c>
      <c r="F561" s="263" t="s">
        <v>568</v>
      </c>
      <c r="G561" s="263">
        <v>0</v>
      </c>
      <c r="H561" s="267">
        <f t="shared" si="8"/>
        <v>0</v>
      </c>
    </row>
    <row r="562" spans="1:8" x14ac:dyDescent="0.3">
      <c r="A562" s="260" t="s">
        <v>170</v>
      </c>
      <c r="B562" s="261" t="s">
        <v>130</v>
      </c>
      <c r="C562" s="262" t="s">
        <v>476</v>
      </c>
      <c r="D562" s="261" t="s">
        <v>477</v>
      </c>
      <c r="E562" s="263">
        <v>342808</v>
      </c>
      <c r="F562" s="263" t="s">
        <v>568</v>
      </c>
      <c r="G562" s="263">
        <v>0</v>
      </c>
      <c r="H562" s="267">
        <f t="shared" si="8"/>
        <v>0</v>
      </c>
    </row>
    <row r="563" spans="1:8" x14ac:dyDescent="0.3">
      <c r="A563" s="260" t="s">
        <v>179</v>
      </c>
      <c r="B563" s="261" t="s">
        <v>133</v>
      </c>
      <c r="C563" s="262" t="s">
        <v>516</v>
      </c>
      <c r="D563" s="261" t="s">
        <v>517</v>
      </c>
      <c r="E563" s="263">
        <v>0</v>
      </c>
      <c r="F563" s="263" t="s">
        <v>568</v>
      </c>
      <c r="G563" s="263">
        <v>0</v>
      </c>
      <c r="H563" s="267">
        <f t="shared" si="8"/>
        <v>0</v>
      </c>
    </row>
    <row r="564" spans="1:8" x14ac:dyDescent="0.3">
      <c r="A564" s="260" t="s">
        <v>194</v>
      </c>
      <c r="B564" s="261" t="s">
        <v>135</v>
      </c>
      <c r="C564" s="262" t="s">
        <v>542</v>
      </c>
      <c r="D564" s="261" t="s">
        <v>543</v>
      </c>
      <c r="E564" s="263">
        <v>312259</v>
      </c>
      <c r="F564" s="263" t="s">
        <v>568</v>
      </c>
      <c r="G564" s="263">
        <v>0</v>
      </c>
      <c r="H564" s="267">
        <f t="shared" si="8"/>
        <v>0</v>
      </c>
    </row>
    <row r="565" spans="1:8" x14ac:dyDescent="0.3">
      <c r="A565" s="260" t="s">
        <v>194</v>
      </c>
      <c r="B565" s="261" t="s">
        <v>135</v>
      </c>
      <c r="C565" s="262" t="s">
        <v>552</v>
      </c>
      <c r="D565" s="261" t="s">
        <v>553</v>
      </c>
      <c r="E565" s="263">
        <v>0</v>
      </c>
      <c r="F565" s="263" t="s">
        <v>87</v>
      </c>
      <c r="G565" s="263">
        <v>0</v>
      </c>
      <c r="H565" s="267">
        <f t="shared" si="8"/>
        <v>0</v>
      </c>
    </row>
    <row r="566" spans="1:8" x14ac:dyDescent="0.3">
      <c r="A566" s="260" t="s">
        <v>194</v>
      </c>
      <c r="B566" s="261" t="s">
        <v>135</v>
      </c>
      <c r="C566" s="262" t="s">
        <v>552</v>
      </c>
      <c r="D566" s="261" t="s">
        <v>553</v>
      </c>
      <c r="E566" s="263">
        <v>0</v>
      </c>
      <c r="F566" s="263" t="s">
        <v>568</v>
      </c>
      <c r="G566" s="263">
        <v>0</v>
      </c>
      <c r="H566" s="267">
        <f t="shared" si="8"/>
        <v>0</v>
      </c>
    </row>
    <row r="567" spans="1:8" x14ac:dyDescent="0.3">
      <c r="A567" s="260" t="s">
        <v>194</v>
      </c>
      <c r="B567" s="261" t="s">
        <v>135</v>
      </c>
      <c r="C567" s="262" t="s">
        <v>564</v>
      </c>
      <c r="D567" s="261" t="s">
        <v>565</v>
      </c>
      <c r="E567" s="263">
        <v>142685</v>
      </c>
      <c r="F567" s="263" t="s">
        <v>568</v>
      </c>
      <c r="G567" s="263">
        <v>0</v>
      </c>
      <c r="H567" s="267">
        <f t="shared" si="8"/>
        <v>0</v>
      </c>
    </row>
  </sheetData>
  <autoFilter ref="A3:H567" xr:uid="{E0EA6D01-A846-4DDD-B773-2CDC7CE532E7}">
    <sortState xmlns:xlrd2="http://schemas.microsoft.com/office/spreadsheetml/2017/richdata2" ref="A4:H567">
      <sortCondition descending="1" ref="H3:H567"/>
    </sortState>
  </autoFilter>
  <mergeCells count="1">
    <mergeCell ref="A2:D2"/>
  </mergeCells>
  <conditionalFormatting sqref="H1:H1048576">
    <cfRule type="cellIs" dxfId="137" priority="1" operator="greaterThan">
      <formula>0.89</formula>
    </cfRule>
  </conditionalFormatting>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167B2C-6BC1-4F53-9408-BE77C30362D0}">
  <dimension ref="A1:G8"/>
  <sheetViews>
    <sheetView workbookViewId="0">
      <selection activeCell="B5" sqref="B5"/>
    </sheetView>
  </sheetViews>
  <sheetFormatPr defaultRowHeight="15" x14ac:dyDescent="0.25"/>
  <cols>
    <col min="1" max="1" width="16.42578125" bestFit="1" customWidth="1"/>
    <col min="2" max="2" width="13.5703125" customWidth="1"/>
    <col min="6" max="6" width="13.42578125" bestFit="1" customWidth="1"/>
    <col min="7" max="7" width="15.42578125" customWidth="1"/>
  </cols>
  <sheetData>
    <row r="1" spans="1:7" x14ac:dyDescent="0.25">
      <c r="A1" s="417" t="s">
        <v>744</v>
      </c>
      <c r="B1" s="417"/>
      <c r="F1" s="417" t="s">
        <v>745</v>
      </c>
      <c r="G1" s="417"/>
    </row>
    <row r="2" spans="1:7" x14ac:dyDescent="0.25">
      <c r="A2" s="417"/>
      <c r="B2" s="417"/>
      <c r="F2" s="417"/>
      <c r="G2" s="417"/>
    </row>
    <row r="3" spans="1:7" x14ac:dyDescent="0.25">
      <c r="A3" s="147" t="s">
        <v>744</v>
      </c>
      <c r="B3" t="s">
        <v>746</v>
      </c>
      <c r="F3" s="235" t="s">
        <v>745</v>
      </c>
      <c r="G3" s="235" t="s">
        <v>746</v>
      </c>
    </row>
    <row r="4" spans="1:7" x14ac:dyDescent="0.25">
      <c r="A4" s="77">
        <v>2</v>
      </c>
      <c r="B4" s="201">
        <v>7</v>
      </c>
      <c r="F4">
        <v>2</v>
      </c>
      <c r="G4">
        <v>26</v>
      </c>
    </row>
    <row r="5" spans="1:7" x14ac:dyDescent="0.25">
      <c r="A5" s="77">
        <v>3</v>
      </c>
      <c r="B5" s="201">
        <v>154</v>
      </c>
      <c r="F5">
        <v>3</v>
      </c>
      <c r="G5">
        <v>83</v>
      </c>
    </row>
    <row r="6" spans="1:7" x14ac:dyDescent="0.25">
      <c r="A6" s="77">
        <v>4</v>
      </c>
      <c r="B6" s="201">
        <v>21</v>
      </c>
      <c r="F6">
        <v>4</v>
      </c>
      <c r="G6">
        <v>62</v>
      </c>
    </row>
    <row r="7" spans="1:7" x14ac:dyDescent="0.25">
      <c r="A7" s="77">
        <v>5</v>
      </c>
      <c r="B7" s="201">
        <v>6</v>
      </c>
      <c r="F7">
        <v>5</v>
      </c>
      <c r="G7">
        <v>17</v>
      </c>
    </row>
    <row r="8" spans="1:7" x14ac:dyDescent="0.25">
      <c r="A8" s="77" t="s">
        <v>91</v>
      </c>
      <c r="B8" s="201">
        <v>188</v>
      </c>
      <c r="G8">
        <f>SUM(G4:G7)</f>
        <v>188</v>
      </c>
    </row>
  </sheetData>
  <mergeCells count="2">
    <mergeCell ref="A1:B2"/>
    <mergeCell ref="F1:G2"/>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6D7B2C-4AE9-4139-A691-4C3AA31A2B28}">
  <dimension ref="A1:H189"/>
  <sheetViews>
    <sheetView workbookViewId="0">
      <selection activeCell="H26" sqref="H26"/>
    </sheetView>
  </sheetViews>
  <sheetFormatPr defaultColWidth="8.7109375" defaultRowHeight="13.5" x14ac:dyDescent="0.25"/>
  <cols>
    <col min="1" max="1" width="14.140625" style="379" bestFit="1" customWidth="1"/>
    <col min="2" max="2" width="17.5703125" style="379" customWidth="1"/>
    <col min="3" max="3" width="14.140625" style="379" customWidth="1"/>
    <col min="4" max="4" width="13.85546875" style="381" customWidth="1"/>
    <col min="5" max="5" width="15.42578125" style="381" customWidth="1"/>
    <col min="6" max="6" width="13.28515625" style="381" customWidth="1"/>
    <col min="7" max="7" width="15.5703125" style="381" customWidth="1"/>
    <col min="8" max="8" width="14.5703125" style="379" customWidth="1"/>
    <col min="9" max="16384" width="8.7109375" style="379"/>
  </cols>
  <sheetData>
    <row r="1" spans="1:8" x14ac:dyDescent="0.25">
      <c r="A1" s="379" t="s">
        <v>737</v>
      </c>
      <c r="B1" s="379" t="s">
        <v>743</v>
      </c>
      <c r="C1" s="379" t="s">
        <v>738</v>
      </c>
      <c r="D1" s="381" t="s">
        <v>739</v>
      </c>
      <c r="E1" s="380" t="s">
        <v>747</v>
      </c>
      <c r="F1" s="381" t="s">
        <v>740</v>
      </c>
      <c r="G1" s="381" t="s">
        <v>741</v>
      </c>
      <c r="H1" s="379" t="s">
        <v>742</v>
      </c>
    </row>
    <row r="2" spans="1:8" x14ac:dyDescent="0.25">
      <c r="A2" s="379" t="s">
        <v>147</v>
      </c>
      <c r="B2" s="379" t="s">
        <v>505</v>
      </c>
      <c r="C2" s="379" t="s">
        <v>504</v>
      </c>
      <c r="D2" s="381">
        <v>892464</v>
      </c>
      <c r="E2" s="381">
        <v>203181</v>
      </c>
      <c r="F2" s="381">
        <v>93910</v>
      </c>
      <c r="G2" s="381">
        <v>129206</v>
      </c>
      <c r="H2" s="379">
        <v>4</v>
      </c>
    </row>
    <row r="3" spans="1:8" x14ac:dyDescent="0.25">
      <c r="A3" s="379" t="s">
        <v>147</v>
      </c>
      <c r="B3" s="379" t="s">
        <v>507</v>
      </c>
      <c r="C3" s="379" t="s">
        <v>506</v>
      </c>
      <c r="D3" s="381">
        <v>659707</v>
      </c>
      <c r="E3" s="381">
        <v>150190</v>
      </c>
      <c r="F3" s="381">
        <v>100544</v>
      </c>
      <c r="G3" s="381">
        <v>64382</v>
      </c>
      <c r="H3" s="379">
        <v>4</v>
      </c>
    </row>
    <row r="4" spans="1:8" x14ac:dyDescent="0.25">
      <c r="A4" s="379" t="s">
        <v>147</v>
      </c>
      <c r="B4" s="379" t="s">
        <v>509</v>
      </c>
      <c r="C4" s="379" t="s">
        <v>508</v>
      </c>
      <c r="D4" s="381">
        <v>885401</v>
      </c>
      <c r="E4" s="381">
        <v>121124</v>
      </c>
      <c r="F4" s="381">
        <v>66596</v>
      </c>
      <c r="G4" s="381">
        <v>66413</v>
      </c>
      <c r="H4" s="379">
        <v>3</v>
      </c>
    </row>
    <row r="5" spans="1:8" x14ac:dyDescent="0.25">
      <c r="A5" s="379" t="s">
        <v>147</v>
      </c>
      <c r="B5" s="379" t="s">
        <v>511</v>
      </c>
      <c r="C5" s="379" t="s">
        <v>510</v>
      </c>
      <c r="D5" s="381">
        <v>587810</v>
      </c>
      <c r="E5" s="381">
        <v>88992</v>
      </c>
      <c r="F5" s="381">
        <v>30835</v>
      </c>
      <c r="G5" s="381">
        <v>66889</v>
      </c>
      <c r="H5" s="379">
        <v>3</v>
      </c>
    </row>
    <row r="6" spans="1:8" x14ac:dyDescent="0.25">
      <c r="A6" s="379" t="s">
        <v>147</v>
      </c>
      <c r="B6" s="379" t="s">
        <v>499</v>
      </c>
      <c r="C6" s="379" t="s">
        <v>498</v>
      </c>
      <c r="D6" s="381">
        <v>803396</v>
      </c>
      <c r="E6" s="381">
        <v>182903</v>
      </c>
      <c r="F6" s="381">
        <v>54443</v>
      </c>
      <c r="G6" s="381">
        <v>146406</v>
      </c>
      <c r="H6" s="379">
        <v>4</v>
      </c>
    </row>
    <row r="7" spans="1:8" x14ac:dyDescent="0.25">
      <c r="A7" s="379" t="s">
        <v>147</v>
      </c>
      <c r="B7" s="379" t="s">
        <v>497</v>
      </c>
      <c r="C7" s="379" t="s">
        <v>496</v>
      </c>
      <c r="D7" s="381">
        <v>257118</v>
      </c>
      <c r="E7" s="381">
        <v>70244</v>
      </c>
      <c r="F7" s="381">
        <v>46182</v>
      </c>
      <c r="G7" s="381">
        <v>30954</v>
      </c>
      <c r="H7" s="379">
        <v>4</v>
      </c>
    </row>
    <row r="8" spans="1:8" x14ac:dyDescent="0.25">
      <c r="A8" s="379" t="s">
        <v>147</v>
      </c>
      <c r="B8" s="379" t="s">
        <v>503</v>
      </c>
      <c r="C8" s="379" t="s">
        <v>502</v>
      </c>
      <c r="D8" s="381">
        <v>664108</v>
      </c>
      <c r="E8" s="381">
        <v>151192</v>
      </c>
      <c r="F8" s="381">
        <v>50410</v>
      </c>
      <c r="G8" s="381">
        <v>115617</v>
      </c>
      <c r="H8" s="379">
        <v>4</v>
      </c>
    </row>
    <row r="9" spans="1:8" x14ac:dyDescent="0.25">
      <c r="A9" s="379" t="s">
        <v>147</v>
      </c>
      <c r="B9" s="379" t="s">
        <v>501</v>
      </c>
      <c r="C9" s="379" t="s">
        <v>500</v>
      </c>
      <c r="D9" s="381">
        <v>364745</v>
      </c>
      <c r="E9" s="381">
        <v>83039</v>
      </c>
      <c r="F9" s="381">
        <v>25821</v>
      </c>
      <c r="G9" s="381">
        <v>65365</v>
      </c>
      <c r="H9" s="379">
        <v>4</v>
      </c>
    </row>
    <row r="10" spans="1:8" x14ac:dyDescent="0.25">
      <c r="A10" s="379" t="s">
        <v>150</v>
      </c>
      <c r="B10" s="379" t="s">
        <v>375</v>
      </c>
      <c r="C10" s="379" t="s">
        <v>374</v>
      </c>
      <c r="D10" s="381">
        <v>81093</v>
      </c>
      <c r="E10" s="381">
        <v>34262</v>
      </c>
      <c r="F10" s="381">
        <v>23260</v>
      </c>
      <c r="G10" s="381">
        <v>14365</v>
      </c>
      <c r="H10" s="379">
        <v>3</v>
      </c>
    </row>
    <row r="11" spans="1:8" x14ac:dyDescent="0.25">
      <c r="A11" s="379" t="s">
        <v>150</v>
      </c>
      <c r="B11" s="379" t="s">
        <v>377</v>
      </c>
      <c r="C11" s="379" t="s">
        <v>376</v>
      </c>
      <c r="D11" s="381">
        <v>128320</v>
      </c>
      <c r="E11" s="381">
        <v>18969</v>
      </c>
      <c r="F11" s="381">
        <v>36379</v>
      </c>
      <c r="G11" s="381">
        <v>-15549</v>
      </c>
      <c r="H11" s="379">
        <v>2</v>
      </c>
    </row>
    <row r="12" spans="1:8" x14ac:dyDescent="0.25">
      <c r="A12" s="379" t="s">
        <v>150</v>
      </c>
      <c r="B12" s="379" t="s">
        <v>379</v>
      </c>
      <c r="C12" s="379" t="s">
        <v>378</v>
      </c>
      <c r="D12" s="381">
        <v>84344</v>
      </c>
      <c r="E12" s="381">
        <v>35441</v>
      </c>
      <c r="F12" s="381">
        <v>13548</v>
      </c>
      <c r="G12" s="381">
        <v>25370</v>
      </c>
      <c r="H12" s="379">
        <v>3</v>
      </c>
    </row>
    <row r="13" spans="1:8" x14ac:dyDescent="0.25">
      <c r="A13" s="379" t="s">
        <v>150</v>
      </c>
      <c r="B13" s="379" t="s">
        <v>371</v>
      </c>
      <c r="C13" s="379" t="s">
        <v>370</v>
      </c>
      <c r="D13" s="381">
        <v>106326</v>
      </c>
      <c r="E13" s="381">
        <v>89931</v>
      </c>
      <c r="F13" s="381">
        <v>29783</v>
      </c>
      <c r="G13" s="381">
        <v>68972</v>
      </c>
      <c r="H13" s="379">
        <v>4</v>
      </c>
    </row>
    <row r="14" spans="1:8" x14ac:dyDescent="0.25">
      <c r="A14" s="379" t="s">
        <v>150</v>
      </c>
      <c r="B14" s="379" t="s">
        <v>373</v>
      </c>
      <c r="C14" s="379" t="s">
        <v>372</v>
      </c>
      <c r="D14" s="381">
        <v>277768</v>
      </c>
      <c r="E14" s="381">
        <v>154324</v>
      </c>
      <c r="F14" s="381">
        <v>37266</v>
      </c>
      <c r="G14" s="381">
        <v>132200</v>
      </c>
      <c r="H14" s="379">
        <v>3</v>
      </c>
    </row>
    <row r="15" spans="1:8" x14ac:dyDescent="0.25">
      <c r="A15" s="379" t="s">
        <v>150</v>
      </c>
      <c r="B15" s="379" t="s">
        <v>381</v>
      </c>
      <c r="C15" s="379" t="s">
        <v>380</v>
      </c>
      <c r="D15" s="381">
        <v>77407</v>
      </c>
      <c r="E15" s="381">
        <v>45640</v>
      </c>
      <c r="F15" s="381">
        <v>21065</v>
      </c>
      <c r="G15" s="381">
        <v>29053</v>
      </c>
      <c r="H15" s="379">
        <v>3</v>
      </c>
    </row>
    <row r="16" spans="1:8" x14ac:dyDescent="0.25">
      <c r="A16" s="379" t="s">
        <v>150</v>
      </c>
      <c r="B16" s="379" t="s">
        <v>383</v>
      </c>
      <c r="C16" s="379" t="s">
        <v>382</v>
      </c>
      <c r="D16" s="381">
        <v>43076</v>
      </c>
      <c r="E16" s="381">
        <v>13655</v>
      </c>
      <c r="F16" s="381">
        <v>12986</v>
      </c>
      <c r="G16" s="381">
        <v>2009</v>
      </c>
      <c r="H16" s="379">
        <v>3</v>
      </c>
    </row>
    <row r="17" spans="1:8" x14ac:dyDescent="0.25">
      <c r="A17" s="379" t="s">
        <v>141</v>
      </c>
      <c r="B17" s="379" t="s">
        <v>142</v>
      </c>
      <c r="C17" s="379" t="s">
        <v>143</v>
      </c>
      <c r="D17" s="381">
        <v>67400</v>
      </c>
      <c r="E17" s="381">
        <v>57065</v>
      </c>
      <c r="F17" s="381">
        <v>59492</v>
      </c>
      <c r="G17" s="381">
        <v>3172</v>
      </c>
      <c r="H17" s="379">
        <v>3</v>
      </c>
    </row>
    <row r="18" spans="1:8" x14ac:dyDescent="0.25">
      <c r="A18" s="379" t="s">
        <v>141</v>
      </c>
      <c r="B18" s="379" t="s">
        <v>145</v>
      </c>
      <c r="C18" s="379" t="s">
        <v>146</v>
      </c>
      <c r="D18" s="381">
        <v>70183</v>
      </c>
      <c r="E18" s="381">
        <v>34331</v>
      </c>
      <c r="F18" s="381">
        <v>24109</v>
      </c>
      <c r="G18" s="381">
        <v>13589</v>
      </c>
      <c r="H18" s="379">
        <v>3</v>
      </c>
    </row>
    <row r="19" spans="1:8" x14ac:dyDescent="0.25">
      <c r="A19" s="379" t="s">
        <v>141</v>
      </c>
      <c r="B19" s="379" t="s">
        <v>151</v>
      </c>
      <c r="C19" s="379" t="s">
        <v>152</v>
      </c>
      <c r="D19" s="381">
        <v>114859</v>
      </c>
      <c r="E19" s="381">
        <v>45728</v>
      </c>
      <c r="F19" s="381">
        <v>40634</v>
      </c>
      <c r="G19" s="381">
        <v>9581</v>
      </c>
      <c r="H19" s="379">
        <v>3</v>
      </c>
    </row>
    <row r="20" spans="1:8" x14ac:dyDescent="0.25">
      <c r="A20" s="379" t="s">
        <v>141</v>
      </c>
      <c r="B20" s="379" t="s">
        <v>148</v>
      </c>
      <c r="C20" s="379" t="s">
        <v>149</v>
      </c>
      <c r="D20" s="381">
        <v>44682</v>
      </c>
      <c r="E20" s="381">
        <v>9368</v>
      </c>
      <c r="F20" s="381">
        <v>26314</v>
      </c>
      <c r="G20" s="381">
        <v>-16027</v>
      </c>
      <c r="H20" s="379">
        <v>3</v>
      </c>
    </row>
    <row r="21" spans="1:8" x14ac:dyDescent="0.25">
      <c r="A21" s="379" t="s">
        <v>141</v>
      </c>
      <c r="B21" s="379" t="s">
        <v>153</v>
      </c>
      <c r="C21" s="379" t="s">
        <v>154</v>
      </c>
      <c r="D21" s="381">
        <v>131357</v>
      </c>
      <c r="E21" s="381">
        <v>70815</v>
      </c>
      <c r="F21" s="381">
        <v>90729</v>
      </c>
      <c r="G21" s="381">
        <v>-12966</v>
      </c>
      <c r="H21" s="379">
        <v>3</v>
      </c>
    </row>
    <row r="22" spans="1:8" x14ac:dyDescent="0.25">
      <c r="A22" s="379" t="s">
        <v>141</v>
      </c>
      <c r="B22" s="379" t="s">
        <v>156</v>
      </c>
      <c r="C22" s="379" t="s">
        <v>157</v>
      </c>
      <c r="D22" s="381">
        <v>99785</v>
      </c>
      <c r="E22" s="381">
        <v>48748</v>
      </c>
      <c r="F22" s="381">
        <v>49230</v>
      </c>
      <c r="G22" s="381">
        <v>4301</v>
      </c>
      <c r="H22" s="379">
        <v>3</v>
      </c>
    </row>
    <row r="23" spans="1:8" x14ac:dyDescent="0.25">
      <c r="A23" s="379" t="s">
        <v>141</v>
      </c>
      <c r="B23" s="379" t="s">
        <v>159</v>
      </c>
      <c r="C23" s="379" t="s">
        <v>160</v>
      </c>
      <c r="D23" s="381">
        <v>85993</v>
      </c>
      <c r="E23" s="381">
        <v>34456</v>
      </c>
      <c r="F23" s="381">
        <v>56468</v>
      </c>
      <c r="G23" s="381">
        <v>-18631</v>
      </c>
      <c r="H23" s="379">
        <v>3</v>
      </c>
    </row>
    <row r="24" spans="1:8" x14ac:dyDescent="0.25">
      <c r="A24" s="379" t="s">
        <v>141</v>
      </c>
      <c r="B24" s="379" t="s">
        <v>165</v>
      </c>
      <c r="C24" s="379" t="s">
        <v>166</v>
      </c>
      <c r="D24" s="381">
        <v>169210</v>
      </c>
      <c r="E24" s="381">
        <v>139538</v>
      </c>
      <c r="F24" s="381">
        <v>76772</v>
      </c>
      <c r="G24" s="381">
        <v>76457</v>
      </c>
      <c r="H24" s="379">
        <v>3</v>
      </c>
    </row>
    <row r="25" spans="1:8" x14ac:dyDescent="0.25">
      <c r="A25" s="379" t="s">
        <v>141</v>
      </c>
      <c r="B25" s="379" t="s">
        <v>162</v>
      </c>
      <c r="C25" s="379" t="s">
        <v>163</v>
      </c>
      <c r="D25" s="381">
        <v>216688</v>
      </c>
      <c r="E25" s="381">
        <v>138246</v>
      </c>
      <c r="F25" s="381">
        <v>270117</v>
      </c>
      <c r="G25" s="381">
        <v>-118306</v>
      </c>
      <c r="H25" s="379">
        <v>5</v>
      </c>
    </row>
    <row r="26" spans="1:8" x14ac:dyDescent="0.25">
      <c r="A26" s="379" t="s">
        <v>155</v>
      </c>
      <c r="B26" s="379" t="s">
        <v>171</v>
      </c>
      <c r="C26" s="379" t="s">
        <v>172</v>
      </c>
      <c r="D26" s="381">
        <v>184276</v>
      </c>
      <c r="E26" s="381">
        <v>82870</v>
      </c>
      <c r="F26" s="381">
        <v>26933</v>
      </c>
      <c r="G26" s="381">
        <v>64068</v>
      </c>
      <c r="H26" s="379">
        <v>3</v>
      </c>
    </row>
    <row r="27" spans="1:8" x14ac:dyDescent="0.25">
      <c r="A27" s="379" t="s">
        <v>155</v>
      </c>
      <c r="B27" s="379" t="s">
        <v>183</v>
      </c>
      <c r="C27" s="379" t="s">
        <v>184</v>
      </c>
      <c r="D27" s="381">
        <v>316946</v>
      </c>
      <c r="E27" s="381">
        <v>68180</v>
      </c>
      <c r="F27" s="381">
        <v>31242</v>
      </c>
      <c r="G27" s="381">
        <v>43627</v>
      </c>
      <c r="H27" s="379">
        <v>3</v>
      </c>
    </row>
    <row r="28" spans="1:8" x14ac:dyDescent="0.25">
      <c r="A28" s="379" t="s">
        <v>155</v>
      </c>
      <c r="B28" s="379" t="s">
        <v>174</v>
      </c>
      <c r="C28" s="379" t="s">
        <v>175</v>
      </c>
      <c r="D28" s="381">
        <v>262419</v>
      </c>
      <c r="E28" s="381">
        <v>179229</v>
      </c>
      <c r="F28" s="381">
        <v>150441</v>
      </c>
      <c r="G28" s="381">
        <v>46374</v>
      </c>
      <c r="H28" s="379">
        <v>3</v>
      </c>
    </row>
    <row r="29" spans="1:8" x14ac:dyDescent="0.25">
      <c r="A29" s="379" t="s">
        <v>155</v>
      </c>
      <c r="B29" s="379" t="s">
        <v>168</v>
      </c>
      <c r="C29" s="379" t="s">
        <v>169</v>
      </c>
      <c r="D29" s="381">
        <v>262708</v>
      </c>
      <c r="E29" s="381">
        <v>56837</v>
      </c>
      <c r="F29" s="381">
        <v>39538</v>
      </c>
      <c r="G29" s="381">
        <v>22877</v>
      </c>
      <c r="H29" s="379">
        <v>3</v>
      </c>
    </row>
    <row r="30" spans="1:8" x14ac:dyDescent="0.25">
      <c r="A30" s="379" t="s">
        <v>155</v>
      </c>
      <c r="B30" s="379" t="s">
        <v>180</v>
      </c>
      <c r="C30" s="379" t="s">
        <v>181</v>
      </c>
      <c r="D30" s="381">
        <v>229776</v>
      </c>
      <c r="E30" s="381">
        <v>65219</v>
      </c>
      <c r="F30" s="381">
        <v>37817</v>
      </c>
      <c r="G30" s="381">
        <v>33801</v>
      </c>
      <c r="H30" s="379">
        <v>3</v>
      </c>
    </row>
    <row r="31" spans="1:8" x14ac:dyDescent="0.25">
      <c r="A31" s="379" t="s">
        <v>155</v>
      </c>
      <c r="B31" s="379" t="s">
        <v>189</v>
      </c>
      <c r="C31" s="379" t="s">
        <v>190</v>
      </c>
      <c r="D31" s="381">
        <v>262335</v>
      </c>
      <c r="E31" s="381">
        <v>47058</v>
      </c>
      <c r="F31" s="381">
        <v>16224</v>
      </c>
      <c r="G31" s="381">
        <v>35451</v>
      </c>
      <c r="H31" s="379">
        <v>3</v>
      </c>
    </row>
    <row r="32" spans="1:8" x14ac:dyDescent="0.25">
      <c r="A32" s="379" t="s">
        <v>155</v>
      </c>
      <c r="B32" s="379" t="s">
        <v>186</v>
      </c>
      <c r="C32" s="379" t="s">
        <v>187</v>
      </c>
      <c r="D32" s="381">
        <v>370070</v>
      </c>
      <c r="E32" s="381">
        <v>116552</v>
      </c>
      <c r="F32" s="381">
        <v>59763</v>
      </c>
      <c r="G32" s="381">
        <v>68226</v>
      </c>
      <c r="H32" s="379">
        <v>3</v>
      </c>
    </row>
    <row r="33" spans="1:8" x14ac:dyDescent="0.25">
      <c r="A33" s="379" t="s">
        <v>155</v>
      </c>
      <c r="B33" s="379" t="s">
        <v>177</v>
      </c>
      <c r="C33" s="379" t="s">
        <v>178</v>
      </c>
      <c r="D33" s="381">
        <v>312693</v>
      </c>
      <c r="E33" s="381">
        <v>224293</v>
      </c>
      <c r="F33" s="381">
        <v>55328</v>
      </c>
      <c r="G33" s="381">
        <v>190972</v>
      </c>
      <c r="H33" s="379">
        <v>3</v>
      </c>
    </row>
    <row r="34" spans="1:8" x14ac:dyDescent="0.25">
      <c r="A34" s="379" t="s">
        <v>155</v>
      </c>
      <c r="B34" s="379" t="s">
        <v>192</v>
      </c>
      <c r="C34" s="379" t="s">
        <v>193</v>
      </c>
      <c r="D34" s="381">
        <v>150857</v>
      </c>
      <c r="E34" s="381">
        <v>79584</v>
      </c>
      <c r="F34" s="381">
        <v>39946</v>
      </c>
      <c r="G34" s="381">
        <v>47447</v>
      </c>
      <c r="H34" s="379">
        <v>3</v>
      </c>
    </row>
    <row r="35" spans="1:8" x14ac:dyDescent="0.25">
      <c r="A35" s="379" t="s">
        <v>158</v>
      </c>
      <c r="B35" s="379" t="s">
        <v>445</v>
      </c>
      <c r="C35" s="379" t="s">
        <v>444</v>
      </c>
      <c r="D35" s="381">
        <v>155547</v>
      </c>
      <c r="E35" s="381">
        <v>10552</v>
      </c>
      <c r="F35" s="381">
        <v>0</v>
      </c>
      <c r="G35" s="381">
        <v>11587</v>
      </c>
      <c r="H35" s="379">
        <v>3</v>
      </c>
    </row>
    <row r="36" spans="1:8" x14ac:dyDescent="0.25">
      <c r="A36" s="379" t="s">
        <v>158</v>
      </c>
      <c r="B36" s="379" t="s">
        <v>447</v>
      </c>
      <c r="C36" s="379" t="s">
        <v>446</v>
      </c>
      <c r="D36" s="381">
        <v>430374</v>
      </c>
      <c r="E36" s="381">
        <v>36292</v>
      </c>
      <c r="F36" s="381">
        <v>0</v>
      </c>
      <c r="G36" s="381">
        <v>39853</v>
      </c>
      <c r="H36" s="379">
        <v>3</v>
      </c>
    </row>
    <row r="37" spans="1:8" x14ac:dyDescent="0.25">
      <c r="A37" s="379" t="s">
        <v>158</v>
      </c>
      <c r="B37" s="379" t="s">
        <v>449</v>
      </c>
      <c r="C37" s="379" t="s">
        <v>448</v>
      </c>
      <c r="D37" s="381">
        <v>64601</v>
      </c>
      <c r="E37" s="381">
        <v>26004</v>
      </c>
      <c r="F37" s="381">
        <v>0</v>
      </c>
      <c r="G37" s="381">
        <v>28555</v>
      </c>
      <c r="H37" s="379">
        <v>3</v>
      </c>
    </row>
    <row r="38" spans="1:8" x14ac:dyDescent="0.25">
      <c r="A38" s="379" t="s">
        <v>158</v>
      </c>
      <c r="B38" s="379" t="s">
        <v>455</v>
      </c>
      <c r="C38" s="379" t="s">
        <v>454</v>
      </c>
      <c r="D38" s="381">
        <v>195438</v>
      </c>
      <c r="E38" s="381">
        <v>9472</v>
      </c>
      <c r="F38" s="381">
        <v>0</v>
      </c>
      <c r="G38" s="381">
        <v>10401</v>
      </c>
      <c r="H38" s="379">
        <v>3</v>
      </c>
    </row>
    <row r="39" spans="1:8" x14ac:dyDescent="0.25">
      <c r="A39" s="379" t="s">
        <v>158</v>
      </c>
      <c r="B39" s="379" t="s">
        <v>463</v>
      </c>
      <c r="C39" s="379" t="s">
        <v>462</v>
      </c>
      <c r="D39" s="381">
        <v>190685</v>
      </c>
      <c r="E39" s="381">
        <v>80366</v>
      </c>
      <c r="F39" s="381">
        <v>8321</v>
      </c>
      <c r="G39" s="381">
        <v>79930</v>
      </c>
      <c r="H39" s="379">
        <v>3</v>
      </c>
    </row>
    <row r="40" spans="1:8" x14ac:dyDescent="0.25">
      <c r="A40" s="379" t="s">
        <v>158</v>
      </c>
      <c r="B40" s="379" t="s">
        <v>451</v>
      </c>
      <c r="C40" s="379" t="s">
        <v>450</v>
      </c>
      <c r="D40" s="381">
        <v>222728</v>
      </c>
      <c r="E40" s="381">
        <v>6446</v>
      </c>
      <c r="F40" s="381">
        <v>3749</v>
      </c>
      <c r="G40" s="381">
        <v>3330</v>
      </c>
      <c r="H40" s="379">
        <v>2</v>
      </c>
    </row>
    <row r="41" spans="1:8" x14ac:dyDescent="0.25">
      <c r="A41" s="379" t="s">
        <v>158</v>
      </c>
      <c r="B41" s="379" t="s">
        <v>467</v>
      </c>
      <c r="C41" s="379" t="s">
        <v>466</v>
      </c>
      <c r="D41" s="381">
        <v>331633</v>
      </c>
      <c r="E41" s="381">
        <v>80630</v>
      </c>
      <c r="F41" s="381">
        <v>32232</v>
      </c>
      <c r="G41" s="381">
        <v>56309</v>
      </c>
      <c r="H41" s="379">
        <v>3</v>
      </c>
    </row>
    <row r="42" spans="1:8" x14ac:dyDescent="0.25">
      <c r="A42" s="379" t="s">
        <v>158</v>
      </c>
      <c r="B42" s="379" t="s">
        <v>453</v>
      </c>
      <c r="C42" s="379" t="s">
        <v>452</v>
      </c>
      <c r="D42" s="381">
        <v>134733</v>
      </c>
      <c r="E42" s="381">
        <v>76381</v>
      </c>
      <c r="F42" s="381">
        <v>18682</v>
      </c>
      <c r="G42" s="381">
        <v>65193</v>
      </c>
      <c r="H42" s="379">
        <v>3</v>
      </c>
    </row>
    <row r="43" spans="1:8" x14ac:dyDescent="0.25">
      <c r="A43" s="379" t="s">
        <v>158</v>
      </c>
      <c r="B43" s="379" t="s">
        <v>457</v>
      </c>
      <c r="C43" s="379" t="s">
        <v>456</v>
      </c>
      <c r="D43" s="381">
        <v>140891</v>
      </c>
      <c r="E43" s="381">
        <v>21088</v>
      </c>
      <c r="F43" s="381">
        <v>2440</v>
      </c>
      <c r="G43" s="381">
        <v>20716</v>
      </c>
      <c r="H43" s="379">
        <v>3</v>
      </c>
    </row>
    <row r="44" spans="1:8" x14ac:dyDescent="0.25">
      <c r="A44" s="379" t="s">
        <v>158</v>
      </c>
      <c r="B44" s="379" t="s">
        <v>465</v>
      </c>
      <c r="C44" s="379" t="s">
        <v>464</v>
      </c>
      <c r="D44" s="381">
        <v>259925</v>
      </c>
      <c r="E44" s="381">
        <v>5863</v>
      </c>
      <c r="F44" s="381">
        <v>25700</v>
      </c>
      <c r="G44" s="381">
        <v>-19261</v>
      </c>
      <c r="H44" s="379">
        <v>2</v>
      </c>
    </row>
    <row r="45" spans="1:8" x14ac:dyDescent="0.25">
      <c r="A45" s="379" t="s">
        <v>158</v>
      </c>
      <c r="B45" s="379" t="s">
        <v>459</v>
      </c>
      <c r="C45" s="379" t="s">
        <v>458</v>
      </c>
      <c r="D45" s="381">
        <v>663940</v>
      </c>
      <c r="E45" s="381">
        <v>71450</v>
      </c>
      <c r="F45" s="381">
        <v>75038</v>
      </c>
      <c r="G45" s="381">
        <v>3423</v>
      </c>
      <c r="H45" s="379">
        <v>3</v>
      </c>
    </row>
    <row r="46" spans="1:8" x14ac:dyDescent="0.25">
      <c r="A46" s="379" t="s">
        <v>158</v>
      </c>
      <c r="B46" s="379" t="s">
        <v>461</v>
      </c>
      <c r="C46" s="379" t="s">
        <v>460</v>
      </c>
      <c r="D46" s="381">
        <v>235489</v>
      </c>
      <c r="E46" s="381">
        <v>24839</v>
      </c>
      <c r="F46" s="381">
        <v>0</v>
      </c>
      <c r="G46" s="381">
        <v>27276</v>
      </c>
      <c r="H46" s="379">
        <v>3</v>
      </c>
    </row>
    <row r="47" spans="1:8" x14ac:dyDescent="0.25">
      <c r="A47" s="379" t="s">
        <v>161</v>
      </c>
      <c r="B47" s="379" t="s">
        <v>423</v>
      </c>
      <c r="C47" s="379" t="s">
        <v>422</v>
      </c>
      <c r="D47" s="381">
        <v>368929</v>
      </c>
      <c r="E47" s="381">
        <v>44721</v>
      </c>
      <c r="F47" s="381">
        <v>44526</v>
      </c>
      <c r="G47" s="381">
        <v>4583</v>
      </c>
      <c r="H47" s="379">
        <v>3</v>
      </c>
    </row>
    <row r="48" spans="1:8" x14ac:dyDescent="0.25">
      <c r="A48" s="379" t="s">
        <v>161</v>
      </c>
      <c r="B48" s="379" t="s">
        <v>425</v>
      </c>
      <c r="C48" s="379" t="s">
        <v>424</v>
      </c>
      <c r="D48" s="381">
        <v>566857</v>
      </c>
      <c r="E48" s="381">
        <v>128783</v>
      </c>
      <c r="F48" s="381">
        <v>60958</v>
      </c>
      <c r="G48" s="381">
        <v>80461</v>
      </c>
      <c r="H48" s="379">
        <v>3</v>
      </c>
    </row>
    <row r="49" spans="1:8" x14ac:dyDescent="0.25">
      <c r="A49" s="379" t="s">
        <v>161</v>
      </c>
      <c r="B49" s="379" t="s">
        <v>429</v>
      </c>
      <c r="C49" s="379" t="s">
        <v>428</v>
      </c>
      <c r="D49" s="381">
        <v>143071</v>
      </c>
      <c r="E49" s="381">
        <v>3683</v>
      </c>
      <c r="F49" s="381">
        <v>0</v>
      </c>
      <c r="G49" s="381">
        <v>4044</v>
      </c>
      <c r="H49" s="379">
        <v>3</v>
      </c>
    </row>
    <row r="50" spans="1:8" x14ac:dyDescent="0.25">
      <c r="A50" s="379" t="s">
        <v>161</v>
      </c>
      <c r="B50" s="379" t="s">
        <v>427</v>
      </c>
      <c r="C50" s="379" t="s">
        <v>426</v>
      </c>
      <c r="D50" s="381">
        <v>117463</v>
      </c>
      <c r="E50" s="381">
        <v>5295</v>
      </c>
      <c r="F50" s="381">
        <v>22199</v>
      </c>
      <c r="G50" s="381">
        <v>-16384</v>
      </c>
      <c r="H50" s="379">
        <v>3</v>
      </c>
    </row>
    <row r="51" spans="1:8" x14ac:dyDescent="0.25">
      <c r="A51" s="379" t="s">
        <v>161</v>
      </c>
      <c r="B51" s="379" t="s">
        <v>435</v>
      </c>
      <c r="C51" s="379" t="s">
        <v>434</v>
      </c>
      <c r="D51" s="381">
        <v>312796</v>
      </c>
      <c r="E51" s="381">
        <v>7962</v>
      </c>
      <c r="F51" s="381">
        <v>66497</v>
      </c>
      <c r="G51" s="381">
        <v>-57754</v>
      </c>
      <c r="H51" s="379">
        <v>3</v>
      </c>
    </row>
    <row r="52" spans="1:8" x14ac:dyDescent="0.25">
      <c r="A52" s="379" t="s">
        <v>161</v>
      </c>
      <c r="B52" s="379" t="s">
        <v>431</v>
      </c>
      <c r="C52" s="379" t="s">
        <v>430</v>
      </c>
      <c r="D52" s="381">
        <v>216093</v>
      </c>
      <c r="E52" s="381">
        <v>36442</v>
      </c>
      <c r="F52" s="381">
        <v>0</v>
      </c>
      <c r="G52" s="381">
        <v>40018</v>
      </c>
      <c r="H52" s="379">
        <v>3</v>
      </c>
    </row>
    <row r="53" spans="1:8" x14ac:dyDescent="0.25">
      <c r="A53" s="379" t="s">
        <v>161</v>
      </c>
      <c r="B53" s="379" t="s">
        <v>439</v>
      </c>
      <c r="C53" s="379" t="s">
        <v>438</v>
      </c>
      <c r="D53" s="381">
        <v>134515</v>
      </c>
      <c r="E53" s="381">
        <v>5656</v>
      </c>
      <c r="F53" s="381">
        <v>0</v>
      </c>
      <c r="G53" s="381">
        <v>6210</v>
      </c>
      <c r="H53" s="379">
        <v>2</v>
      </c>
    </row>
    <row r="54" spans="1:8" x14ac:dyDescent="0.25">
      <c r="A54" s="379" t="s">
        <v>161</v>
      </c>
      <c r="B54" s="379" t="s">
        <v>443</v>
      </c>
      <c r="C54" s="379" t="s">
        <v>442</v>
      </c>
      <c r="D54" s="381">
        <v>207263</v>
      </c>
      <c r="E54" s="381">
        <v>44387</v>
      </c>
      <c r="F54" s="381">
        <v>23405</v>
      </c>
      <c r="G54" s="381">
        <v>25337</v>
      </c>
      <c r="H54" s="379">
        <v>4</v>
      </c>
    </row>
    <row r="55" spans="1:8" x14ac:dyDescent="0.25">
      <c r="A55" s="379" t="s">
        <v>161</v>
      </c>
      <c r="B55" s="379" t="s">
        <v>433</v>
      </c>
      <c r="C55" s="379" t="s">
        <v>432</v>
      </c>
      <c r="D55" s="381">
        <v>131108</v>
      </c>
      <c r="E55" s="381">
        <v>1742</v>
      </c>
      <c r="F55" s="381">
        <v>17524</v>
      </c>
      <c r="G55" s="381">
        <v>-15610</v>
      </c>
      <c r="H55" s="379">
        <v>2</v>
      </c>
    </row>
    <row r="56" spans="1:8" x14ac:dyDescent="0.25">
      <c r="A56" s="379" t="s">
        <v>161</v>
      </c>
      <c r="B56" s="379" t="s">
        <v>437</v>
      </c>
      <c r="C56" s="379" t="s">
        <v>436</v>
      </c>
      <c r="D56" s="381">
        <v>352672</v>
      </c>
      <c r="E56" s="381">
        <v>4334</v>
      </c>
      <c r="F56" s="381">
        <v>44152</v>
      </c>
      <c r="G56" s="381">
        <v>-39392</v>
      </c>
      <c r="H56" s="379">
        <v>3</v>
      </c>
    </row>
    <row r="57" spans="1:8" x14ac:dyDescent="0.25">
      <c r="A57" s="379" t="s">
        <v>161</v>
      </c>
      <c r="B57" s="379" t="s">
        <v>441</v>
      </c>
      <c r="C57" s="379" t="s">
        <v>440</v>
      </c>
      <c r="D57" s="381">
        <v>35641</v>
      </c>
      <c r="E57" s="381">
        <v>8555</v>
      </c>
      <c r="F57" s="381">
        <v>0</v>
      </c>
      <c r="G57" s="381">
        <v>9394</v>
      </c>
      <c r="H57" s="379">
        <v>3</v>
      </c>
    </row>
    <row r="58" spans="1:8" x14ac:dyDescent="0.25">
      <c r="A58" s="379" t="s">
        <v>164</v>
      </c>
      <c r="B58" s="379" t="s">
        <v>328</v>
      </c>
      <c r="C58" s="379" t="s">
        <v>327</v>
      </c>
      <c r="D58" s="381">
        <v>461173</v>
      </c>
      <c r="E58" s="381">
        <v>83993</v>
      </c>
      <c r="F58" s="381">
        <v>112243</v>
      </c>
      <c r="G58" s="381">
        <v>-20009</v>
      </c>
      <c r="H58" s="379">
        <v>4</v>
      </c>
    </row>
    <row r="59" spans="1:8" x14ac:dyDescent="0.25">
      <c r="A59" s="379" t="s">
        <v>164</v>
      </c>
      <c r="B59" s="379" t="s">
        <v>324</v>
      </c>
      <c r="C59" s="379" t="s">
        <v>323</v>
      </c>
      <c r="D59" s="381">
        <v>1254646</v>
      </c>
      <c r="E59" s="381">
        <v>114254</v>
      </c>
      <c r="F59" s="381">
        <v>265427</v>
      </c>
      <c r="G59" s="381">
        <v>-139963</v>
      </c>
      <c r="H59" s="379">
        <v>3</v>
      </c>
    </row>
    <row r="60" spans="1:8" x14ac:dyDescent="0.25">
      <c r="A60" s="379" t="s">
        <v>164</v>
      </c>
      <c r="B60" s="379" t="s">
        <v>332</v>
      </c>
      <c r="C60" s="379" t="s">
        <v>331</v>
      </c>
      <c r="D60" s="381">
        <v>1174609</v>
      </c>
      <c r="E60" s="381">
        <v>106965</v>
      </c>
      <c r="F60" s="381">
        <v>221515</v>
      </c>
      <c r="G60" s="381">
        <v>-104054</v>
      </c>
      <c r="H60" s="379">
        <v>3</v>
      </c>
    </row>
    <row r="61" spans="1:8" x14ac:dyDescent="0.25">
      <c r="A61" s="379" t="s">
        <v>164</v>
      </c>
      <c r="B61" s="379" t="s">
        <v>335</v>
      </c>
      <c r="C61" s="379" t="s">
        <v>164</v>
      </c>
      <c r="D61" s="381">
        <v>100433</v>
      </c>
      <c r="E61" s="381">
        <v>22865</v>
      </c>
      <c r="F61" s="381">
        <v>120472</v>
      </c>
      <c r="G61" s="381">
        <v>-95364</v>
      </c>
      <c r="H61" s="379">
        <v>4</v>
      </c>
    </row>
    <row r="62" spans="1:8" x14ac:dyDescent="0.25">
      <c r="A62" s="379" t="s">
        <v>164</v>
      </c>
      <c r="B62" s="379" t="s">
        <v>330</v>
      </c>
      <c r="C62" s="379" t="s">
        <v>329</v>
      </c>
      <c r="D62" s="381">
        <v>991352</v>
      </c>
      <c r="E62" s="381">
        <v>180555</v>
      </c>
      <c r="F62" s="381">
        <v>172416</v>
      </c>
      <c r="G62" s="381">
        <v>25855</v>
      </c>
      <c r="H62" s="379">
        <v>4</v>
      </c>
    </row>
    <row r="63" spans="1:8" x14ac:dyDescent="0.25">
      <c r="A63" s="379" t="s">
        <v>164</v>
      </c>
      <c r="B63" s="379" t="s">
        <v>326</v>
      </c>
      <c r="C63" s="379" t="s">
        <v>325</v>
      </c>
      <c r="D63" s="381">
        <v>1562863</v>
      </c>
      <c r="E63" s="381">
        <v>349805</v>
      </c>
      <c r="F63" s="381">
        <v>299844</v>
      </c>
      <c r="G63" s="381">
        <v>90872</v>
      </c>
      <c r="H63" s="379">
        <v>4</v>
      </c>
    </row>
    <row r="64" spans="1:8" x14ac:dyDescent="0.25">
      <c r="A64" s="379" t="s">
        <v>164</v>
      </c>
      <c r="B64" s="379" t="s">
        <v>334</v>
      </c>
      <c r="C64" s="379" t="s">
        <v>333</v>
      </c>
      <c r="D64" s="381">
        <v>353710</v>
      </c>
      <c r="E64" s="381">
        <v>80526</v>
      </c>
      <c r="F64" s="381">
        <v>88154</v>
      </c>
      <c r="G64" s="381">
        <v>274</v>
      </c>
      <c r="H64" s="379">
        <v>4</v>
      </c>
    </row>
    <row r="65" spans="1:8" x14ac:dyDescent="0.25">
      <c r="A65" s="379" t="s">
        <v>167</v>
      </c>
      <c r="B65" s="379" t="s">
        <v>198</v>
      </c>
      <c r="C65" s="379" t="s">
        <v>199</v>
      </c>
      <c r="D65" s="381">
        <v>909225</v>
      </c>
      <c r="E65" s="381">
        <v>408696</v>
      </c>
      <c r="F65" s="381">
        <v>535990</v>
      </c>
      <c r="G65" s="381">
        <v>-87192</v>
      </c>
      <c r="H65" s="379">
        <v>3</v>
      </c>
    </row>
    <row r="66" spans="1:8" x14ac:dyDescent="0.25">
      <c r="A66" s="379" t="s">
        <v>167</v>
      </c>
      <c r="B66" s="379" t="s">
        <v>200</v>
      </c>
      <c r="C66" s="379" t="s">
        <v>201</v>
      </c>
      <c r="D66" s="381">
        <v>43519</v>
      </c>
      <c r="E66" s="381">
        <v>18318</v>
      </c>
      <c r="F66" s="381">
        <v>0</v>
      </c>
      <c r="G66" s="381">
        <v>20116</v>
      </c>
      <c r="H66" s="379">
        <v>3</v>
      </c>
    </row>
    <row r="67" spans="1:8" x14ac:dyDescent="0.25">
      <c r="A67" s="379" t="s">
        <v>167</v>
      </c>
      <c r="B67" s="379" t="s">
        <v>224</v>
      </c>
      <c r="C67" s="379" t="s">
        <v>225</v>
      </c>
      <c r="D67" s="381">
        <v>169559</v>
      </c>
      <c r="E67" s="381">
        <v>29531</v>
      </c>
      <c r="F67" s="381">
        <v>0</v>
      </c>
      <c r="G67" s="381">
        <v>32429</v>
      </c>
      <c r="H67" s="379">
        <v>3</v>
      </c>
    </row>
    <row r="68" spans="1:8" x14ac:dyDescent="0.25">
      <c r="A68" s="379" t="s">
        <v>167</v>
      </c>
      <c r="B68" s="379" t="s">
        <v>202</v>
      </c>
      <c r="C68" s="379" t="s">
        <v>203</v>
      </c>
      <c r="D68" s="381">
        <v>133760</v>
      </c>
      <c r="E68" s="381">
        <v>2492</v>
      </c>
      <c r="F68" s="381">
        <v>9435</v>
      </c>
      <c r="G68" s="381">
        <v>-6699</v>
      </c>
      <c r="H68" s="379">
        <v>3</v>
      </c>
    </row>
    <row r="69" spans="1:8" x14ac:dyDescent="0.25">
      <c r="A69" s="379" t="s">
        <v>167</v>
      </c>
      <c r="B69" s="379" t="s">
        <v>204</v>
      </c>
      <c r="C69" s="379" t="s">
        <v>205</v>
      </c>
      <c r="D69" s="381">
        <v>93384</v>
      </c>
      <c r="E69" s="381">
        <v>18084</v>
      </c>
      <c r="F69" s="381">
        <v>9285</v>
      </c>
      <c r="G69" s="381">
        <v>10573</v>
      </c>
      <c r="H69" s="379">
        <v>3</v>
      </c>
    </row>
    <row r="70" spans="1:8" x14ac:dyDescent="0.25">
      <c r="A70" s="379" t="s">
        <v>167</v>
      </c>
      <c r="B70" s="379" t="s">
        <v>206</v>
      </c>
      <c r="C70" s="379" t="s">
        <v>207</v>
      </c>
      <c r="D70" s="381">
        <v>149175</v>
      </c>
      <c r="E70" s="381">
        <v>2425</v>
      </c>
      <c r="F70" s="381">
        <v>7697</v>
      </c>
      <c r="G70" s="381">
        <v>-5033</v>
      </c>
      <c r="H70" s="379">
        <v>3</v>
      </c>
    </row>
    <row r="71" spans="1:8" x14ac:dyDescent="0.25">
      <c r="A71" s="379" t="s">
        <v>167</v>
      </c>
      <c r="B71" s="379" t="s">
        <v>228</v>
      </c>
      <c r="C71" s="379" t="s">
        <v>229</v>
      </c>
      <c r="D71" s="381">
        <v>52219</v>
      </c>
      <c r="E71" s="381">
        <v>11776</v>
      </c>
      <c r="F71" s="381">
        <v>0</v>
      </c>
      <c r="G71" s="381">
        <v>12931</v>
      </c>
      <c r="H71" s="379">
        <v>3</v>
      </c>
    </row>
    <row r="72" spans="1:8" x14ac:dyDescent="0.25">
      <c r="A72" s="379" t="s">
        <v>167</v>
      </c>
      <c r="B72" s="379" t="s">
        <v>195</v>
      </c>
      <c r="C72" s="379" t="s">
        <v>196</v>
      </c>
      <c r="D72" s="381">
        <v>154298</v>
      </c>
      <c r="E72" s="381">
        <v>101481</v>
      </c>
      <c r="F72" s="381">
        <v>44133</v>
      </c>
      <c r="G72" s="381">
        <v>67305</v>
      </c>
      <c r="H72" s="379">
        <v>3</v>
      </c>
    </row>
    <row r="73" spans="1:8" x14ac:dyDescent="0.25">
      <c r="A73" s="379" t="s">
        <v>167</v>
      </c>
      <c r="B73" s="379" t="s">
        <v>210</v>
      </c>
      <c r="C73" s="379" t="s">
        <v>211</v>
      </c>
      <c r="D73" s="381">
        <v>245285</v>
      </c>
      <c r="E73" s="381">
        <v>139660</v>
      </c>
      <c r="F73" s="381">
        <v>68396</v>
      </c>
      <c r="G73" s="381">
        <v>84968</v>
      </c>
      <c r="H73" s="379">
        <v>4</v>
      </c>
    </row>
    <row r="74" spans="1:8" x14ac:dyDescent="0.25">
      <c r="A74" s="379" t="s">
        <v>167</v>
      </c>
      <c r="B74" s="379" t="s">
        <v>212</v>
      </c>
      <c r="C74" s="379" t="s">
        <v>213</v>
      </c>
      <c r="D74" s="381">
        <v>35478</v>
      </c>
      <c r="E74" s="381">
        <v>7525</v>
      </c>
      <c r="F74" s="381">
        <v>8578</v>
      </c>
      <c r="G74" s="381">
        <v>-315</v>
      </c>
      <c r="H74" s="379">
        <v>3</v>
      </c>
    </row>
    <row r="75" spans="1:8" x14ac:dyDescent="0.25">
      <c r="A75" s="379" t="s">
        <v>167</v>
      </c>
      <c r="B75" s="379" t="s">
        <v>222</v>
      </c>
      <c r="C75" s="379" t="s">
        <v>223</v>
      </c>
      <c r="D75" s="381">
        <v>145140</v>
      </c>
      <c r="E75" s="381">
        <v>1915</v>
      </c>
      <c r="F75" s="381">
        <v>0</v>
      </c>
      <c r="G75" s="381">
        <v>2103</v>
      </c>
      <c r="H75" s="379">
        <v>3</v>
      </c>
    </row>
    <row r="76" spans="1:8" x14ac:dyDescent="0.25">
      <c r="A76" s="379" t="s">
        <v>167</v>
      </c>
      <c r="B76" s="379" t="s">
        <v>214</v>
      </c>
      <c r="C76" s="379" t="s">
        <v>215</v>
      </c>
      <c r="D76" s="381">
        <v>277859</v>
      </c>
      <c r="E76" s="381">
        <v>246910</v>
      </c>
      <c r="F76" s="381">
        <v>89999</v>
      </c>
      <c r="G76" s="381">
        <v>181138</v>
      </c>
      <c r="H76" s="379">
        <v>3</v>
      </c>
    </row>
    <row r="77" spans="1:8" x14ac:dyDescent="0.25">
      <c r="A77" s="379" t="s">
        <v>167</v>
      </c>
      <c r="B77" s="379" t="s">
        <v>216</v>
      </c>
      <c r="C77" s="379" t="s">
        <v>217</v>
      </c>
      <c r="D77" s="381">
        <v>238634</v>
      </c>
      <c r="E77" s="381">
        <v>57730</v>
      </c>
      <c r="F77" s="381">
        <v>22677</v>
      </c>
      <c r="G77" s="381">
        <v>40718</v>
      </c>
      <c r="H77" s="379">
        <v>3</v>
      </c>
    </row>
    <row r="78" spans="1:8" x14ac:dyDescent="0.25">
      <c r="A78" s="379" t="s">
        <v>167</v>
      </c>
      <c r="B78" s="379" t="s">
        <v>218</v>
      </c>
      <c r="C78" s="379" t="s">
        <v>219</v>
      </c>
      <c r="D78" s="381">
        <v>237082</v>
      </c>
      <c r="E78" s="381">
        <v>123122</v>
      </c>
      <c r="F78" s="381">
        <v>62915</v>
      </c>
      <c r="G78" s="381">
        <v>72287</v>
      </c>
      <c r="H78" s="379">
        <v>3</v>
      </c>
    </row>
    <row r="79" spans="1:8" x14ac:dyDescent="0.25">
      <c r="A79" s="379" t="s">
        <v>167</v>
      </c>
      <c r="B79" s="379" t="s">
        <v>226</v>
      </c>
      <c r="C79" s="379" t="s">
        <v>227</v>
      </c>
      <c r="D79" s="381">
        <v>215994</v>
      </c>
      <c r="E79" s="381">
        <v>160932</v>
      </c>
      <c r="F79" s="381">
        <v>72649</v>
      </c>
      <c r="G79" s="381">
        <v>104073</v>
      </c>
      <c r="H79" s="379">
        <v>5</v>
      </c>
    </row>
    <row r="80" spans="1:8" x14ac:dyDescent="0.25">
      <c r="A80" s="379" t="s">
        <v>167</v>
      </c>
      <c r="B80" s="379" t="s">
        <v>208</v>
      </c>
      <c r="C80" s="379" t="s">
        <v>209</v>
      </c>
      <c r="D80" s="381">
        <v>164069</v>
      </c>
      <c r="E80" s="381">
        <v>462</v>
      </c>
      <c r="F80" s="381">
        <v>0</v>
      </c>
      <c r="G80" s="381">
        <v>508</v>
      </c>
      <c r="H80" s="379">
        <v>2</v>
      </c>
    </row>
    <row r="81" spans="1:8" x14ac:dyDescent="0.25">
      <c r="A81" s="379" t="s">
        <v>167</v>
      </c>
      <c r="B81" s="379" t="s">
        <v>220</v>
      </c>
      <c r="C81" s="379" t="s">
        <v>221</v>
      </c>
      <c r="D81" s="381">
        <v>188456</v>
      </c>
      <c r="E81" s="381">
        <v>52825</v>
      </c>
      <c r="F81" s="381">
        <v>0</v>
      </c>
      <c r="G81" s="381">
        <v>58007</v>
      </c>
      <c r="H81" s="379">
        <v>3</v>
      </c>
    </row>
    <row r="82" spans="1:8" x14ac:dyDescent="0.25">
      <c r="A82" s="379" t="s">
        <v>170</v>
      </c>
      <c r="B82" s="379" t="s">
        <v>482</v>
      </c>
      <c r="C82" s="379" t="s">
        <v>466</v>
      </c>
      <c r="D82" s="381">
        <v>282830</v>
      </c>
      <c r="E82" s="381">
        <v>48407</v>
      </c>
      <c r="F82" s="381">
        <v>22727</v>
      </c>
      <c r="G82" s="381">
        <v>30431</v>
      </c>
      <c r="H82" s="379">
        <v>3</v>
      </c>
    </row>
    <row r="83" spans="1:8" x14ac:dyDescent="0.25">
      <c r="A83" s="379" t="s">
        <v>170</v>
      </c>
      <c r="B83" s="379" t="s">
        <v>475</v>
      </c>
      <c r="C83" s="379" t="s">
        <v>474</v>
      </c>
      <c r="D83" s="381">
        <v>337605</v>
      </c>
      <c r="E83" s="381">
        <v>34098</v>
      </c>
      <c r="F83" s="381">
        <v>0</v>
      </c>
      <c r="G83" s="381">
        <v>37443</v>
      </c>
      <c r="H83" s="379">
        <v>3</v>
      </c>
    </row>
    <row r="84" spans="1:8" x14ac:dyDescent="0.25">
      <c r="A84" s="379" t="s">
        <v>170</v>
      </c>
      <c r="B84" s="379" t="s">
        <v>477</v>
      </c>
      <c r="C84" s="379" t="s">
        <v>476</v>
      </c>
      <c r="D84" s="381">
        <v>357599</v>
      </c>
      <c r="E84" s="381">
        <v>9107</v>
      </c>
      <c r="F84" s="381">
        <v>22479</v>
      </c>
      <c r="G84" s="381">
        <v>-12479</v>
      </c>
      <c r="H84" s="379">
        <v>3</v>
      </c>
    </row>
    <row r="85" spans="1:8" x14ac:dyDescent="0.25">
      <c r="A85" s="379" t="s">
        <v>170</v>
      </c>
      <c r="B85" s="379" t="s">
        <v>481</v>
      </c>
      <c r="C85" s="379" t="s">
        <v>480</v>
      </c>
      <c r="D85" s="381">
        <v>296900</v>
      </c>
      <c r="E85" s="381">
        <v>11954</v>
      </c>
      <c r="F85" s="381">
        <v>19821</v>
      </c>
      <c r="G85" s="381">
        <v>-6694</v>
      </c>
      <c r="H85" s="379">
        <v>3</v>
      </c>
    </row>
    <row r="86" spans="1:8" x14ac:dyDescent="0.25">
      <c r="A86" s="379" t="s">
        <v>170</v>
      </c>
      <c r="B86" s="379" t="s">
        <v>471</v>
      </c>
      <c r="C86" s="379" t="s">
        <v>470</v>
      </c>
      <c r="D86" s="381">
        <v>884405</v>
      </c>
      <c r="E86" s="381">
        <v>124952</v>
      </c>
      <c r="F86" s="381">
        <v>118295</v>
      </c>
      <c r="G86" s="381">
        <v>18918</v>
      </c>
      <c r="H86" s="379">
        <v>3</v>
      </c>
    </row>
    <row r="87" spans="1:8" x14ac:dyDescent="0.25">
      <c r="A87" s="379" t="s">
        <v>170</v>
      </c>
      <c r="B87" s="379" t="s">
        <v>473</v>
      </c>
      <c r="C87" s="379" t="s">
        <v>472</v>
      </c>
      <c r="D87" s="381">
        <v>426546</v>
      </c>
      <c r="E87" s="381">
        <v>3230</v>
      </c>
      <c r="F87" s="381">
        <v>30695</v>
      </c>
      <c r="G87" s="381">
        <v>-27149</v>
      </c>
      <c r="H87" s="379">
        <v>3</v>
      </c>
    </row>
    <row r="88" spans="1:8" x14ac:dyDescent="0.25">
      <c r="A88" s="379" t="s">
        <v>170</v>
      </c>
      <c r="B88" s="379" t="s">
        <v>479</v>
      </c>
      <c r="C88" s="379" t="s">
        <v>478</v>
      </c>
      <c r="D88" s="381">
        <v>240028</v>
      </c>
      <c r="E88" s="381">
        <v>11438</v>
      </c>
      <c r="F88" s="381">
        <v>0</v>
      </c>
      <c r="G88" s="381">
        <v>12560</v>
      </c>
      <c r="H88" s="379">
        <v>3</v>
      </c>
    </row>
    <row r="89" spans="1:8" x14ac:dyDescent="0.25">
      <c r="A89" s="379" t="s">
        <v>170</v>
      </c>
      <c r="B89" s="379" t="s">
        <v>469</v>
      </c>
      <c r="C89" s="379" t="s">
        <v>468</v>
      </c>
      <c r="D89" s="381">
        <v>605466</v>
      </c>
      <c r="E89" s="381">
        <v>47714</v>
      </c>
      <c r="F89" s="381">
        <v>35872</v>
      </c>
      <c r="G89" s="381">
        <v>16524</v>
      </c>
      <c r="H89" s="379">
        <v>3</v>
      </c>
    </row>
    <row r="90" spans="1:8" x14ac:dyDescent="0.25">
      <c r="A90" s="379" t="s">
        <v>173</v>
      </c>
      <c r="B90" s="379" t="s">
        <v>537</v>
      </c>
      <c r="C90" s="379" t="s">
        <v>536</v>
      </c>
      <c r="D90" s="381">
        <v>285969</v>
      </c>
      <c r="E90" s="381">
        <v>48411</v>
      </c>
      <c r="F90" s="381">
        <v>71628</v>
      </c>
      <c r="G90" s="381">
        <v>-18467</v>
      </c>
      <c r="H90" s="379">
        <v>3</v>
      </c>
    </row>
    <row r="91" spans="1:8" x14ac:dyDescent="0.25">
      <c r="A91" s="379" t="s">
        <v>173</v>
      </c>
      <c r="B91" s="379" t="s">
        <v>531</v>
      </c>
      <c r="C91" s="379" t="s">
        <v>530</v>
      </c>
      <c r="D91" s="381">
        <v>191246</v>
      </c>
      <c r="E91" s="381">
        <v>34296</v>
      </c>
      <c r="F91" s="381">
        <v>26581</v>
      </c>
      <c r="G91" s="381">
        <v>11080</v>
      </c>
      <c r="H91" s="379">
        <v>3</v>
      </c>
    </row>
    <row r="92" spans="1:8" x14ac:dyDescent="0.25">
      <c r="A92" s="379" t="s">
        <v>173</v>
      </c>
      <c r="B92" s="379" t="s">
        <v>535</v>
      </c>
      <c r="C92" s="379" t="s">
        <v>534</v>
      </c>
      <c r="D92" s="381">
        <v>181960</v>
      </c>
      <c r="E92" s="381">
        <v>32685</v>
      </c>
      <c r="F92" s="381">
        <v>24186</v>
      </c>
      <c r="G92" s="381">
        <v>11705</v>
      </c>
      <c r="H92" s="379">
        <v>3</v>
      </c>
    </row>
    <row r="93" spans="1:8" x14ac:dyDescent="0.25">
      <c r="A93" s="379" t="s">
        <v>173</v>
      </c>
      <c r="B93" s="379" t="s">
        <v>529</v>
      </c>
      <c r="C93" s="379" t="s">
        <v>528</v>
      </c>
      <c r="D93" s="381">
        <v>104418</v>
      </c>
      <c r="E93" s="381">
        <v>36037</v>
      </c>
      <c r="F93" s="381">
        <v>26856</v>
      </c>
      <c r="G93" s="381">
        <v>12717</v>
      </c>
      <c r="H93" s="379">
        <v>3</v>
      </c>
    </row>
    <row r="94" spans="1:8" x14ac:dyDescent="0.25">
      <c r="A94" s="379" t="s">
        <v>173</v>
      </c>
      <c r="B94" s="379" t="s">
        <v>533</v>
      </c>
      <c r="C94" s="379" t="s">
        <v>532</v>
      </c>
      <c r="D94" s="381">
        <v>276824</v>
      </c>
      <c r="E94" s="381">
        <v>66479</v>
      </c>
      <c r="F94" s="381">
        <v>46059</v>
      </c>
      <c r="G94" s="381">
        <v>26943</v>
      </c>
      <c r="H94" s="379">
        <v>3</v>
      </c>
    </row>
    <row r="95" spans="1:8" x14ac:dyDescent="0.25">
      <c r="A95" s="379" t="s">
        <v>173</v>
      </c>
      <c r="B95" s="379" t="s">
        <v>527</v>
      </c>
      <c r="C95" s="379" t="s">
        <v>526</v>
      </c>
      <c r="D95" s="381">
        <v>84443</v>
      </c>
      <c r="E95" s="381">
        <v>25731</v>
      </c>
      <c r="F95" s="381">
        <v>36312</v>
      </c>
      <c r="G95" s="381">
        <v>-8057</v>
      </c>
      <c r="H95" s="379">
        <v>3</v>
      </c>
    </row>
    <row r="96" spans="1:8" x14ac:dyDescent="0.25">
      <c r="A96" s="379" t="s">
        <v>173</v>
      </c>
      <c r="B96" s="379" t="s">
        <v>539</v>
      </c>
      <c r="C96" s="379" t="s">
        <v>538</v>
      </c>
      <c r="D96" s="381">
        <v>310501</v>
      </c>
      <c r="E96" s="381">
        <v>45340</v>
      </c>
      <c r="F96" s="381">
        <v>64726</v>
      </c>
      <c r="G96" s="381">
        <v>-14938</v>
      </c>
      <c r="H96" s="379">
        <v>3</v>
      </c>
    </row>
    <row r="97" spans="1:8" x14ac:dyDescent="0.25">
      <c r="A97" s="379" t="s">
        <v>176</v>
      </c>
      <c r="B97" s="379" t="s">
        <v>421</v>
      </c>
      <c r="C97" s="379" t="s">
        <v>420</v>
      </c>
      <c r="D97" s="381">
        <v>103174</v>
      </c>
      <c r="E97" s="381">
        <v>22194</v>
      </c>
      <c r="F97" s="381">
        <v>7940</v>
      </c>
      <c r="G97" s="381">
        <v>16431</v>
      </c>
      <c r="H97" s="379">
        <v>4</v>
      </c>
    </row>
    <row r="98" spans="1:8" x14ac:dyDescent="0.25">
      <c r="A98" s="379" t="s">
        <v>176</v>
      </c>
      <c r="B98" s="379" t="s">
        <v>415</v>
      </c>
      <c r="C98" s="379" t="s">
        <v>414</v>
      </c>
      <c r="D98" s="381">
        <v>152566</v>
      </c>
      <c r="E98" s="381">
        <v>5575</v>
      </c>
      <c r="F98" s="381">
        <v>10547</v>
      </c>
      <c r="G98" s="381">
        <v>-4425</v>
      </c>
      <c r="H98" s="379">
        <v>3</v>
      </c>
    </row>
    <row r="99" spans="1:8" x14ac:dyDescent="0.25">
      <c r="A99" s="379" t="s">
        <v>176</v>
      </c>
      <c r="B99" s="379" t="s">
        <v>403</v>
      </c>
      <c r="C99" s="379" t="s">
        <v>402</v>
      </c>
      <c r="D99" s="381">
        <v>77530</v>
      </c>
      <c r="E99" s="381">
        <v>9161</v>
      </c>
      <c r="F99" s="381">
        <v>0</v>
      </c>
      <c r="G99" s="381">
        <v>10060</v>
      </c>
      <c r="H99" s="379">
        <v>3</v>
      </c>
    </row>
    <row r="100" spans="1:8" x14ac:dyDescent="0.25">
      <c r="A100" s="379" t="s">
        <v>176</v>
      </c>
      <c r="B100" s="379" t="s">
        <v>409</v>
      </c>
      <c r="C100" s="379" t="s">
        <v>408</v>
      </c>
      <c r="D100" s="381">
        <v>33884</v>
      </c>
      <c r="E100" s="381">
        <v>469</v>
      </c>
      <c r="F100" s="381">
        <v>3209</v>
      </c>
      <c r="G100" s="381">
        <v>-2693</v>
      </c>
      <c r="H100" s="379">
        <v>3</v>
      </c>
    </row>
    <row r="101" spans="1:8" x14ac:dyDescent="0.25">
      <c r="A101" s="379" t="s">
        <v>176</v>
      </c>
      <c r="B101" s="379" t="s">
        <v>417</v>
      </c>
      <c r="C101" s="379" t="s">
        <v>416</v>
      </c>
      <c r="D101" s="381">
        <v>355512</v>
      </c>
      <c r="E101" s="381">
        <v>29757</v>
      </c>
      <c r="F101" s="381">
        <v>29121</v>
      </c>
      <c r="G101" s="381">
        <v>3556</v>
      </c>
      <c r="H101" s="379">
        <v>3</v>
      </c>
    </row>
    <row r="102" spans="1:8" x14ac:dyDescent="0.25">
      <c r="A102" s="379" t="s">
        <v>176</v>
      </c>
      <c r="B102" s="379" t="s">
        <v>411</v>
      </c>
      <c r="C102" s="379" t="s">
        <v>410</v>
      </c>
      <c r="D102" s="381">
        <v>129179</v>
      </c>
      <c r="E102" s="381">
        <v>32284</v>
      </c>
      <c r="F102" s="381">
        <v>0</v>
      </c>
      <c r="G102" s="381">
        <v>35452</v>
      </c>
      <c r="H102" s="379">
        <v>5</v>
      </c>
    </row>
    <row r="103" spans="1:8" x14ac:dyDescent="0.25">
      <c r="A103" s="379" t="s">
        <v>176</v>
      </c>
      <c r="B103" s="379" t="s">
        <v>405</v>
      </c>
      <c r="C103" s="379" t="s">
        <v>404</v>
      </c>
      <c r="D103" s="381">
        <v>592765</v>
      </c>
      <c r="E103" s="381">
        <v>330821</v>
      </c>
      <c r="F103" s="381">
        <v>95682</v>
      </c>
      <c r="G103" s="381">
        <v>267598</v>
      </c>
      <c r="H103" s="379">
        <v>3</v>
      </c>
    </row>
    <row r="104" spans="1:8" x14ac:dyDescent="0.25">
      <c r="A104" s="379" t="s">
        <v>176</v>
      </c>
      <c r="B104" s="379" t="s">
        <v>413</v>
      </c>
      <c r="C104" s="379" t="s">
        <v>412</v>
      </c>
      <c r="D104" s="381">
        <v>114442</v>
      </c>
      <c r="E104" s="381">
        <v>4900</v>
      </c>
      <c r="F104" s="381">
        <v>0</v>
      </c>
      <c r="G104" s="381">
        <v>5380</v>
      </c>
      <c r="H104" s="379">
        <v>3</v>
      </c>
    </row>
    <row r="105" spans="1:8" x14ac:dyDescent="0.25">
      <c r="A105" s="379" t="s">
        <v>176</v>
      </c>
      <c r="B105" s="379" t="s">
        <v>419</v>
      </c>
      <c r="C105" s="379" t="s">
        <v>418</v>
      </c>
      <c r="D105" s="381">
        <v>236698</v>
      </c>
      <c r="E105" s="381">
        <v>5557</v>
      </c>
      <c r="F105" s="381">
        <v>0</v>
      </c>
      <c r="G105" s="381">
        <v>6103</v>
      </c>
      <c r="H105" s="379">
        <v>3</v>
      </c>
    </row>
    <row r="106" spans="1:8" x14ac:dyDescent="0.25">
      <c r="A106" s="379" t="s">
        <v>176</v>
      </c>
      <c r="B106" s="379" t="s">
        <v>407</v>
      </c>
      <c r="C106" s="379" t="s">
        <v>406</v>
      </c>
      <c r="D106" s="381">
        <v>220718</v>
      </c>
      <c r="E106" s="381">
        <v>2388</v>
      </c>
      <c r="F106" s="381">
        <v>0</v>
      </c>
      <c r="G106" s="381">
        <v>2623</v>
      </c>
      <c r="H106" s="379">
        <v>3</v>
      </c>
    </row>
    <row r="107" spans="1:8" x14ac:dyDescent="0.25">
      <c r="A107" s="379" t="s">
        <v>179</v>
      </c>
      <c r="B107" s="379" t="s">
        <v>513</v>
      </c>
      <c r="C107" s="379" t="s">
        <v>512</v>
      </c>
      <c r="D107" s="381">
        <v>183707</v>
      </c>
      <c r="E107" s="381">
        <v>13206</v>
      </c>
      <c r="F107" s="381">
        <v>16860</v>
      </c>
      <c r="G107" s="381">
        <v>-2359</v>
      </c>
      <c r="H107" s="379">
        <v>2</v>
      </c>
    </row>
    <row r="108" spans="1:8" x14ac:dyDescent="0.25">
      <c r="A108" s="379" t="s">
        <v>179</v>
      </c>
      <c r="B108" s="379" t="s">
        <v>519</v>
      </c>
      <c r="C108" s="379" t="s">
        <v>518</v>
      </c>
      <c r="D108" s="381">
        <v>421107</v>
      </c>
      <c r="E108" s="381">
        <v>145279</v>
      </c>
      <c r="F108" s="381">
        <v>87923</v>
      </c>
      <c r="G108" s="381">
        <v>71611</v>
      </c>
      <c r="H108" s="379">
        <v>3</v>
      </c>
    </row>
    <row r="109" spans="1:8" x14ac:dyDescent="0.25">
      <c r="A109" s="379" t="s">
        <v>179</v>
      </c>
      <c r="B109" s="379" t="s">
        <v>525</v>
      </c>
      <c r="C109" s="379" t="s">
        <v>524</v>
      </c>
      <c r="D109" s="381">
        <v>66475</v>
      </c>
      <c r="E109" s="381">
        <v>18758</v>
      </c>
      <c r="F109" s="381">
        <v>18691</v>
      </c>
      <c r="G109" s="381">
        <v>1907</v>
      </c>
      <c r="H109" s="379">
        <v>3</v>
      </c>
    </row>
    <row r="110" spans="1:8" x14ac:dyDescent="0.25">
      <c r="A110" s="379" t="s">
        <v>179</v>
      </c>
      <c r="B110" s="379" t="s">
        <v>515</v>
      </c>
      <c r="C110" s="379" t="s">
        <v>514</v>
      </c>
      <c r="D110" s="381">
        <v>245635</v>
      </c>
      <c r="E110" s="381">
        <v>66111</v>
      </c>
      <c r="F110" s="381">
        <v>76693</v>
      </c>
      <c r="G110" s="381">
        <v>-4095</v>
      </c>
      <c r="H110" s="379">
        <v>3</v>
      </c>
    </row>
    <row r="111" spans="1:8" x14ac:dyDescent="0.25">
      <c r="A111" s="379" t="s">
        <v>179</v>
      </c>
      <c r="B111" s="379" t="s">
        <v>521</v>
      </c>
      <c r="C111" s="379" t="s">
        <v>520</v>
      </c>
      <c r="D111" s="381">
        <v>262741</v>
      </c>
      <c r="E111" s="381">
        <v>92376</v>
      </c>
      <c r="F111" s="381">
        <v>81993</v>
      </c>
      <c r="G111" s="381">
        <v>19447</v>
      </c>
      <c r="H111" s="379">
        <v>3</v>
      </c>
    </row>
    <row r="112" spans="1:8" x14ac:dyDescent="0.25">
      <c r="A112" s="379" t="s">
        <v>179</v>
      </c>
      <c r="B112" s="379" t="s">
        <v>523</v>
      </c>
      <c r="C112" s="379" t="s">
        <v>522</v>
      </c>
      <c r="D112" s="381">
        <v>181578</v>
      </c>
      <c r="E112" s="381">
        <v>25950</v>
      </c>
      <c r="F112" s="381">
        <v>29389</v>
      </c>
      <c r="G112" s="381">
        <v>-893</v>
      </c>
      <c r="H112" s="379">
        <v>3</v>
      </c>
    </row>
    <row r="113" spans="1:8" x14ac:dyDescent="0.25">
      <c r="A113" s="379" t="s">
        <v>179</v>
      </c>
      <c r="B113" s="379" t="s">
        <v>517</v>
      </c>
      <c r="C113" s="379" t="s">
        <v>516</v>
      </c>
      <c r="D113" s="381">
        <v>490060</v>
      </c>
      <c r="E113" s="381">
        <v>221876</v>
      </c>
      <c r="F113" s="381">
        <v>80226</v>
      </c>
      <c r="G113" s="381">
        <v>163420</v>
      </c>
      <c r="H113" s="379">
        <v>3</v>
      </c>
    </row>
    <row r="114" spans="1:8" x14ac:dyDescent="0.25">
      <c r="A114" s="379" t="s">
        <v>182</v>
      </c>
      <c r="B114" s="379" t="s">
        <v>484</v>
      </c>
      <c r="C114" s="379" t="s">
        <v>483</v>
      </c>
      <c r="D114" s="381">
        <v>258332</v>
      </c>
      <c r="E114" s="381">
        <v>11762</v>
      </c>
      <c r="F114" s="381">
        <v>49012</v>
      </c>
      <c r="G114" s="381">
        <v>-36095</v>
      </c>
      <c r="H114" s="379">
        <v>3</v>
      </c>
    </row>
    <row r="115" spans="1:8" x14ac:dyDescent="0.25">
      <c r="A115" s="379" t="s">
        <v>182</v>
      </c>
      <c r="B115" s="379" t="s">
        <v>487</v>
      </c>
      <c r="C115" s="379" t="s">
        <v>486</v>
      </c>
      <c r="D115" s="381">
        <v>176032</v>
      </c>
      <c r="E115" s="381">
        <v>16031</v>
      </c>
      <c r="F115" s="381">
        <v>25918</v>
      </c>
      <c r="G115" s="381">
        <v>-8315</v>
      </c>
      <c r="H115" s="379">
        <v>3</v>
      </c>
    </row>
    <row r="116" spans="1:8" x14ac:dyDescent="0.25">
      <c r="A116" s="379" t="s">
        <v>182</v>
      </c>
      <c r="B116" s="379" t="s">
        <v>489</v>
      </c>
      <c r="C116" s="379" t="s">
        <v>488</v>
      </c>
      <c r="D116" s="381">
        <v>362138</v>
      </c>
      <c r="E116" s="381">
        <v>32978</v>
      </c>
      <c r="F116" s="381">
        <v>61761</v>
      </c>
      <c r="G116" s="381">
        <v>-25547</v>
      </c>
      <c r="H116" s="379">
        <v>3</v>
      </c>
    </row>
    <row r="117" spans="1:8" x14ac:dyDescent="0.25">
      <c r="A117" s="379" t="s">
        <v>182</v>
      </c>
      <c r="B117" s="379" t="s">
        <v>491</v>
      </c>
      <c r="C117" s="379" t="s">
        <v>490</v>
      </c>
      <c r="D117" s="381">
        <v>434473</v>
      </c>
      <c r="E117" s="381">
        <v>39566</v>
      </c>
      <c r="F117" s="381">
        <v>59778</v>
      </c>
      <c r="G117" s="381">
        <v>-16330</v>
      </c>
      <c r="H117" s="379">
        <v>3</v>
      </c>
    </row>
    <row r="118" spans="1:8" x14ac:dyDescent="0.25">
      <c r="A118" s="379" t="s">
        <v>182</v>
      </c>
      <c r="B118" s="379" t="s">
        <v>485</v>
      </c>
      <c r="C118" s="379" t="s">
        <v>182</v>
      </c>
      <c r="D118" s="381">
        <v>564870</v>
      </c>
      <c r="E118" s="381">
        <v>102879</v>
      </c>
      <c r="F118" s="381">
        <v>63500</v>
      </c>
      <c r="G118" s="381">
        <v>49473</v>
      </c>
      <c r="H118" s="379">
        <v>4</v>
      </c>
    </row>
    <row r="119" spans="1:8" x14ac:dyDescent="0.25">
      <c r="A119" s="379" t="s">
        <v>182</v>
      </c>
      <c r="B119" s="379" t="s">
        <v>493</v>
      </c>
      <c r="C119" s="379" t="s">
        <v>492</v>
      </c>
      <c r="D119" s="381">
        <v>415098</v>
      </c>
      <c r="E119" s="381">
        <v>37800</v>
      </c>
      <c r="F119" s="381">
        <v>55582</v>
      </c>
      <c r="G119" s="381">
        <v>-14072</v>
      </c>
      <c r="H119" s="379">
        <v>3</v>
      </c>
    </row>
    <row r="120" spans="1:8" x14ac:dyDescent="0.25">
      <c r="A120" s="379" t="s">
        <v>182</v>
      </c>
      <c r="B120" s="379" t="s">
        <v>495</v>
      </c>
      <c r="C120" s="379" t="s">
        <v>494</v>
      </c>
      <c r="D120" s="381">
        <v>318383</v>
      </c>
      <c r="E120" s="381">
        <v>28994</v>
      </c>
      <c r="F120" s="381">
        <v>29931</v>
      </c>
      <c r="G120" s="381">
        <v>1908</v>
      </c>
      <c r="H120" s="379">
        <v>3</v>
      </c>
    </row>
    <row r="121" spans="1:8" x14ac:dyDescent="0.25">
      <c r="A121" s="379" t="s">
        <v>185</v>
      </c>
      <c r="B121" s="379" t="s">
        <v>232</v>
      </c>
      <c r="C121" s="379" t="s">
        <v>233</v>
      </c>
      <c r="D121" s="381">
        <v>119603</v>
      </c>
      <c r="E121" s="381">
        <v>23153</v>
      </c>
      <c r="F121" s="381">
        <v>34149</v>
      </c>
      <c r="G121" s="381">
        <v>-8724</v>
      </c>
      <c r="H121" s="379">
        <v>3</v>
      </c>
    </row>
    <row r="122" spans="1:8" x14ac:dyDescent="0.25">
      <c r="A122" s="379" t="s">
        <v>185</v>
      </c>
      <c r="B122" s="379" t="s">
        <v>246</v>
      </c>
      <c r="C122" s="379" t="s">
        <v>247</v>
      </c>
      <c r="D122" s="381">
        <v>48258</v>
      </c>
      <c r="E122" s="381">
        <v>8008</v>
      </c>
      <c r="F122" s="381">
        <v>0</v>
      </c>
      <c r="G122" s="381">
        <v>8794</v>
      </c>
      <c r="H122" s="379">
        <v>3</v>
      </c>
    </row>
    <row r="123" spans="1:8" x14ac:dyDescent="0.25">
      <c r="A123" s="379" t="s">
        <v>185</v>
      </c>
      <c r="B123" s="379" t="s">
        <v>268</v>
      </c>
      <c r="C123" s="379" t="s">
        <v>269</v>
      </c>
      <c r="D123" s="381">
        <v>106597</v>
      </c>
      <c r="E123" s="381">
        <v>23767</v>
      </c>
      <c r="F123" s="381">
        <v>0</v>
      </c>
      <c r="G123" s="381">
        <v>26099</v>
      </c>
      <c r="H123" s="379">
        <v>3</v>
      </c>
    </row>
    <row r="124" spans="1:8" x14ac:dyDescent="0.25">
      <c r="A124" s="379" t="s">
        <v>185</v>
      </c>
      <c r="B124" s="379" t="s">
        <v>254</v>
      </c>
      <c r="C124" s="379" t="s">
        <v>255</v>
      </c>
      <c r="D124" s="381">
        <v>187692</v>
      </c>
      <c r="E124" s="381">
        <v>64784</v>
      </c>
      <c r="F124" s="381">
        <v>0</v>
      </c>
      <c r="G124" s="381">
        <v>71141</v>
      </c>
      <c r="H124" s="379">
        <v>3</v>
      </c>
    </row>
    <row r="125" spans="1:8" x14ac:dyDescent="0.25">
      <c r="A125" s="379" t="s">
        <v>185</v>
      </c>
      <c r="B125" s="379" t="s">
        <v>264</v>
      </c>
      <c r="C125" s="379" t="s">
        <v>265</v>
      </c>
      <c r="D125" s="381">
        <v>473048</v>
      </c>
      <c r="E125" s="381">
        <v>319611</v>
      </c>
      <c r="F125" s="381">
        <v>411086</v>
      </c>
      <c r="G125" s="381">
        <v>-60115</v>
      </c>
      <c r="H125" s="379">
        <v>3</v>
      </c>
    </row>
    <row r="126" spans="1:8" x14ac:dyDescent="0.25">
      <c r="A126" s="379" t="s">
        <v>185</v>
      </c>
      <c r="B126" s="379" t="s">
        <v>262</v>
      </c>
      <c r="C126" s="379" t="s">
        <v>263</v>
      </c>
      <c r="D126" s="381">
        <v>250400</v>
      </c>
      <c r="E126" s="381">
        <v>151409</v>
      </c>
      <c r="F126" s="381">
        <v>37270</v>
      </c>
      <c r="G126" s="381">
        <v>128995</v>
      </c>
      <c r="H126" s="379">
        <v>3</v>
      </c>
    </row>
    <row r="127" spans="1:8" x14ac:dyDescent="0.25">
      <c r="A127" s="379" t="s">
        <v>185</v>
      </c>
      <c r="B127" s="379" t="s">
        <v>272</v>
      </c>
      <c r="C127" s="379" t="s">
        <v>273</v>
      </c>
      <c r="D127" s="381">
        <v>179195</v>
      </c>
      <c r="E127" s="381">
        <v>11093</v>
      </c>
      <c r="F127" s="381">
        <v>0</v>
      </c>
      <c r="G127" s="381">
        <v>12181</v>
      </c>
      <c r="H127" s="379">
        <v>3</v>
      </c>
    </row>
    <row r="128" spans="1:8" x14ac:dyDescent="0.25">
      <c r="A128" s="379" t="s">
        <v>185</v>
      </c>
      <c r="B128" s="379" t="s">
        <v>234</v>
      </c>
      <c r="C128" s="379" t="s">
        <v>235</v>
      </c>
      <c r="D128" s="381">
        <v>212536</v>
      </c>
      <c r="E128" s="381">
        <v>38162</v>
      </c>
      <c r="F128" s="381">
        <v>19821</v>
      </c>
      <c r="G128" s="381">
        <v>22086</v>
      </c>
      <c r="H128" s="379">
        <v>3</v>
      </c>
    </row>
    <row r="129" spans="1:8" x14ac:dyDescent="0.25">
      <c r="A129" s="379" t="s">
        <v>185</v>
      </c>
      <c r="B129" s="379" t="s">
        <v>250</v>
      </c>
      <c r="C129" s="379" t="s">
        <v>251</v>
      </c>
      <c r="D129" s="381">
        <v>140558</v>
      </c>
      <c r="E129" s="381">
        <v>126932</v>
      </c>
      <c r="F129" s="381">
        <v>101629</v>
      </c>
      <c r="G129" s="381">
        <v>37757</v>
      </c>
      <c r="H129" s="379">
        <v>3</v>
      </c>
    </row>
    <row r="130" spans="1:8" x14ac:dyDescent="0.25">
      <c r="A130" s="379" t="s">
        <v>185</v>
      </c>
      <c r="B130" s="379" t="s">
        <v>236</v>
      </c>
      <c r="C130" s="379" t="s">
        <v>237</v>
      </c>
      <c r="D130" s="381">
        <v>325289</v>
      </c>
      <c r="E130" s="381">
        <v>210664</v>
      </c>
      <c r="F130" s="381">
        <v>114080</v>
      </c>
      <c r="G130" s="381">
        <v>117254</v>
      </c>
      <c r="H130" s="379">
        <v>5</v>
      </c>
    </row>
    <row r="131" spans="1:8" x14ac:dyDescent="0.25">
      <c r="A131" s="379" t="s">
        <v>185</v>
      </c>
      <c r="B131" s="379" t="s">
        <v>260</v>
      </c>
      <c r="C131" s="379" t="s">
        <v>261</v>
      </c>
      <c r="D131" s="381">
        <v>172016</v>
      </c>
      <c r="E131" s="381">
        <v>43716</v>
      </c>
      <c r="F131" s="381">
        <v>0</v>
      </c>
      <c r="G131" s="381">
        <v>48006</v>
      </c>
      <c r="H131" s="379">
        <v>3</v>
      </c>
    </row>
    <row r="132" spans="1:8" x14ac:dyDescent="0.25">
      <c r="A132" s="379" t="s">
        <v>185</v>
      </c>
      <c r="B132" s="379" t="s">
        <v>256</v>
      </c>
      <c r="C132" s="379" t="s">
        <v>257</v>
      </c>
      <c r="D132" s="381">
        <v>232618</v>
      </c>
      <c r="E132" s="381">
        <v>10733</v>
      </c>
      <c r="F132" s="381">
        <v>19701</v>
      </c>
      <c r="G132" s="381">
        <v>-7914</v>
      </c>
      <c r="H132" s="379">
        <v>3</v>
      </c>
    </row>
    <row r="133" spans="1:8" x14ac:dyDescent="0.25">
      <c r="A133" s="379" t="s">
        <v>185</v>
      </c>
      <c r="B133" s="379" t="s">
        <v>238</v>
      </c>
      <c r="C133" s="379" t="s">
        <v>239</v>
      </c>
      <c r="D133" s="381">
        <v>80670</v>
      </c>
      <c r="E133" s="381">
        <v>42753</v>
      </c>
      <c r="F133" s="381">
        <v>42849</v>
      </c>
      <c r="G133" s="381">
        <v>4099</v>
      </c>
      <c r="H133" s="379">
        <v>4</v>
      </c>
    </row>
    <row r="134" spans="1:8" x14ac:dyDescent="0.25">
      <c r="A134" s="379" t="s">
        <v>185</v>
      </c>
      <c r="B134" s="379" t="s">
        <v>248</v>
      </c>
      <c r="C134" s="379" t="s">
        <v>249</v>
      </c>
      <c r="D134" s="381">
        <v>28694</v>
      </c>
      <c r="E134" s="381">
        <v>23450</v>
      </c>
      <c r="F134" s="381">
        <v>9183</v>
      </c>
      <c r="G134" s="381">
        <v>16568</v>
      </c>
      <c r="H134" s="379">
        <v>3</v>
      </c>
    </row>
    <row r="135" spans="1:8" x14ac:dyDescent="0.25">
      <c r="A135" s="379" t="s">
        <v>185</v>
      </c>
      <c r="B135" s="379" t="s">
        <v>270</v>
      </c>
      <c r="C135" s="379" t="s">
        <v>271</v>
      </c>
      <c r="D135" s="381">
        <v>78632</v>
      </c>
      <c r="E135" s="381">
        <v>39954</v>
      </c>
      <c r="F135" s="381">
        <v>177043</v>
      </c>
      <c r="G135" s="381">
        <v>-133169</v>
      </c>
      <c r="H135" s="379">
        <v>3</v>
      </c>
    </row>
    <row r="136" spans="1:8" x14ac:dyDescent="0.25">
      <c r="A136" s="379" t="s">
        <v>185</v>
      </c>
      <c r="B136" s="379" t="s">
        <v>266</v>
      </c>
      <c r="C136" s="379" t="s">
        <v>267</v>
      </c>
      <c r="D136" s="381">
        <v>495335</v>
      </c>
      <c r="E136" s="381">
        <v>359393</v>
      </c>
      <c r="F136" s="381">
        <v>273907</v>
      </c>
      <c r="G136" s="381">
        <v>120750</v>
      </c>
      <c r="H136" s="379">
        <v>3</v>
      </c>
    </row>
    <row r="137" spans="1:8" x14ac:dyDescent="0.25">
      <c r="A137" s="379" t="s">
        <v>185</v>
      </c>
      <c r="B137" s="379" t="s">
        <v>258</v>
      </c>
      <c r="C137" s="379" t="s">
        <v>259</v>
      </c>
      <c r="D137" s="381">
        <v>256337</v>
      </c>
      <c r="E137" s="381">
        <v>83877</v>
      </c>
      <c r="F137" s="381">
        <v>23158</v>
      </c>
      <c r="G137" s="381">
        <v>68950</v>
      </c>
      <c r="H137" s="379">
        <v>5</v>
      </c>
    </row>
    <row r="138" spans="1:8" x14ac:dyDescent="0.25">
      <c r="A138" s="379" t="s">
        <v>185</v>
      </c>
      <c r="B138" s="379" t="s">
        <v>242</v>
      </c>
      <c r="C138" s="379" t="s">
        <v>243</v>
      </c>
      <c r="D138" s="381">
        <v>42045</v>
      </c>
      <c r="E138" s="381">
        <v>19635</v>
      </c>
      <c r="F138" s="381">
        <v>3606</v>
      </c>
      <c r="G138" s="381">
        <v>17956</v>
      </c>
      <c r="H138" s="379">
        <v>3</v>
      </c>
    </row>
    <row r="139" spans="1:8" x14ac:dyDescent="0.25">
      <c r="A139" s="379" t="s">
        <v>185</v>
      </c>
      <c r="B139" s="379" t="s">
        <v>252</v>
      </c>
      <c r="C139" s="379" t="s">
        <v>253</v>
      </c>
      <c r="D139" s="381">
        <v>6230</v>
      </c>
      <c r="E139" s="381">
        <v>396</v>
      </c>
      <c r="F139" s="381">
        <v>0</v>
      </c>
      <c r="G139" s="381">
        <v>435</v>
      </c>
      <c r="H139" s="379">
        <v>3</v>
      </c>
    </row>
    <row r="140" spans="1:8" x14ac:dyDescent="0.25">
      <c r="A140" s="379" t="s">
        <v>185</v>
      </c>
      <c r="B140" s="379" t="s">
        <v>244</v>
      </c>
      <c r="C140" s="379" t="s">
        <v>245</v>
      </c>
      <c r="D140" s="381">
        <v>371853</v>
      </c>
      <c r="E140" s="381">
        <v>8830</v>
      </c>
      <c r="F140" s="381">
        <v>29265</v>
      </c>
      <c r="G140" s="381">
        <v>-19569</v>
      </c>
      <c r="H140" s="379">
        <v>3</v>
      </c>
    </row>
    <row r="141" spans="1:8" x14ac:dyDescent="0.25">
      <c r="A141" s="379" t="s">
        <v>185</v>
      </c>
      <c r="B141" s="379" t="s">
        <v>240</v>
      </c>
      <c r="C141" s="379" t="s">
        <v>241</v>
      </c>
      <c r="D141" s="381">
        <v>68504</v>
      </c>
      <c r="E141" s="381">
        <v>8603</v>
      </c>
      <c r="F141" s="381">
        <v>7376</v>
      </c>
      <c r="G141" s="381">
        <v>2071</v>
      </c>
      <c r="H141" s="379">
        <v>3</v>
      </c>
    </row>
    <row r="142" spans="1:8" x14ac:dyDescent="0.25">
      <c r="A142" s="379" t="s">
        <v>188</v>
      </c>
      <c r="B142" s="379" t="s">
        <v>341</v>
      </c>
      <c r="C142" s="379" t="s">
        <v>340</v>
      </c>
      <c r="D142" s="381">
        <v>89902</v>
      </c>
      <c r="E142" s="381">
        <v>77833</v>
      </c>
      <c r="F142" s="381">
        <v>19928</v>
      </c>
      <c r="G142" s="381">
        <v>65542</v>
      </c>
      <c r="H142" s="379">
        <v>4</v>
      </c>
    </row>
    <row r="143" spans="1:8" x14ac:dyDescent="0.25">
      <c r="A143" s="379" t="s">
        <v>188</v>
      </c>
      <c r="B143" s="379" t="s">
        <v>337</v>
      </c>
      <c r="C143" s="379" t="s">
        <v>336</v>
      </c>
      <c r="D143" s="381">
        <v>143981</v>
      </c>
      <c r="E143" s="381">
        <v>61485</v>
      </c>
      <c r="F143" s="381">
        <v>57709</v>
      </c>
      <c r="G143" s="381">
        <v>9809</v>
      </c>
      <c r="H143" s="379">
        <v>3</v>
      </c>
    </row>
    <row r="144" spans="1:8" x14ac:dyDescent="0.25">
      <c r="A144" s="379" t="s">
        <v>188</v>
      </c>
      <c r="B144" s="379" t="s">
        <v>361</v>
      </c>
      <c r="C144" s="379" t="s">
        <v>360</v>
      </c>
      <c r="D144" s="381">
        <v>49323</v>
      </c>
      <c r="E144" s="381">
        <v>30043</v>
      </c>
      <c r="F144" s="381">
        <v>24236</v>
      </c>
      <c r="G144" s="381">
        <v>8755</v>
      </c>
      <c r="H144" s="379">
        <v>3</v>
      </c>
    </row>
    <row r="145" spans="1:8" x14ac:dyDescent="0.25">
      <c r="A145" s="379" t="s">
        <v>188</v>
      </c>
      <c r="B145" s="379" t="s">
        <v>357</v>
      </c>
      <c r="C145" s="379" t="s">
        <v>356</v>
      </c>
      <c r="D145" s="381">
        <v>97552</v>
      </c>
      <c r="E145" s="381">
        <v>17767</v>
      </c>
      <c r="F145" s="381">
        <v>22955</v>
      </c>
      <c r="G145" s="381">
        <v>-3445</v>
      </c>
      <c r="H145" s="379">
        <v>4</v>
      </c>
    </row>
    <row r="146" spans="1:8" x14ac:dyDescent="0.25">
      <c r="A146" s="379" t="s">
        <v>188</v>
      </c>
      <c r="B146" s="379" t="s">
        <v>363</v>
      </c>
      <c r="C146" s="379" t="s">
        <v>362</v>
      </c>
      <c r="D146" s="381">
        <v>26668</v>
      </c>
      <c r="E146" s="381">
        <v>12889</v>
      </c>
      <c r="F146" s="381">
        <v>8299</v>
      </c>
      <c r="G146" s="381">
        <v>5855</v>
      </c>
      <c r="H146" s="379">
        <v>3</v>
      </c>
    </row>
    <row r="147" spans="1:8" x14ac:dyDescent="0.25">
      <c r="A147" s="379" t="s">
        <v>188</v>
      </c>
      <c r="B147" s="379" t="s">
        <v>347</v>
      </c>
      <c r="C147" s="379" t="s">
        <v>346</v>
      </c>
      <c r="D147" s="381">
        <v>77558</v>
      </c>
      <c r="E147" s="381">
        <v>9473</v>
      </c>
      <c r="F147" s="381">
        <v>0</v>
      </c>
      <c r="G147" s="381">
        <v>10402</v>
      </c>
      <c r="H147" s="379">
        <v>3</v>
      </c>
    </row>
    <row r="148" spans="1:8" x14ac:dyDescent="0.25">
      <c r="A148" s="379" t="s">
        <v>188</v>
      </c>
      <c r="B148" s="379" t="s">
        <v>345</v>
      </c>
      <c r="C148" s="379" t="s">
        <v>344</v>
      </c>
      <c r="D148" s="381">
        <v>46685</v>
      </c>
      <c r="E148" s="381">
        <v>22331</v>
      </c>
      <c r="F148" s="381">
        <v>8076</v>
      </c>
      <c r="G148" s="381">
        <v>16446</v>
      </c>
      <c r="H148" s="379">
        <v>3</v>
      </c>
    </row>
    <row r="149" spans="1:8" x14ac:dyDescent="0.25">
      <c r="A149" s="379" t="s">
        <v>188</v>
      </c>
      <c r="B149" s="379" t="s">
        <v>353</v>
      </c>
      <c r="C149" s="379" t="s">
        <v>352</v>
      </c>
      <c r="D149" s="381">
        <v>39507</v>
      </c>
      <c r="E149" s="381">
        <v>30567</v>
      </c>
      <c r="F149" s="381">
        <v>12688</v>
      </c>
      <c r="G149" s="381">
        <v>20878</v>
      </c>
      <c r="H149" s="379">
        <v>3</v>
      </c>
    </row>
    <row r="150" spans="1:8" x14ac:dyDescent="0.25">
      <c r="A150" s="379" t="s">
        <v>188</v>
      </c>
      <c r="B150" s="379" t="s">
        <v>365</v>
      </c>
      <c r="C150" s="379" t="s">
        <v>364</v>
      </c>
      <c r="D150" s="381">
        <v>49519</v>
      </c>
      <c r="E150" s="381">
        <v>5137</v>
      </c>
      <c r="F150" s="381">
        <v>8901</v>
      </c>
      <c r="G150" s="381">
        <v>-3261</v>
      </c>
      <c r="H150" s="379">
        <v>3</v>
      </c>
    </row>
    <row r="151" spans="1:8" x14ac:dyDescent="0.25">
      <c r="A151" s="379" t="s">
        <v>188</v>
      </c>
      <c r="B151" s="379" t="s">
        <v>367</v>
      </c>
      <c r="C151" s="379" t="s">
        <v>366</v>
      </c>
      <c r="D151" s="381">
        <v>15148</v>
      </c>
      <c r="E151" s="381">
        <v>6328</v>
      </c>
      <c r="F151" s="381">
        <v>0</v>
      </c>
      <c r="G151" s="381">
        <v>6949</v>
      </c>
      <c r="H151" s="379">
        <v>3</v>
      </c>
    </row>
    <row r="152" spans="1:8" x14ac:dyDescent="0.25">
      <c r="A152" s="379" t="s">
        <v>188</v>
      </c>
      <c r="B152" s="379" t="s">
        <v>349</v>
      </c>
      <c r="C152" s="379" t="s">
        <v>348</v>
      </c>
      <c r="D152" s="381">
        <v>117111</v>
      </c>
      <c r="E152" s="381">
        <v>32458</v>
      </c>
      <c r="F152" s="381">
        <v>39360</v>
      </c>
      <c r="G152" s="381">
        <v>-3718</v>
      </c>
      <c r="H152" s="379">
        <v>3</v>
      </c>
    </row>
    <row r="153" spans="1:8" x14ac:dyDescent="0.25">
      <c r="A153" s="379" t="s">
        <v>188</v>
      </c>
      <c r="B153" s="379" t="s">
        <v>369</v>
      </c>
      <c r="C153" s="379" t="s">
        <v>368</v>
      </c>
      <c r="D153" s="381">
        <v>13458</v>
      </c>
      <c r="E153" s="381">
        <v>8084</v>
      </c>
      <c r="F153" s="381">
        <v>12122</v>
      </c>
      <c r="G153" s="381">
        <v>-3245</v>
      </c>
      <c r="H153" s="379">
        <v>3</v>
      </c>
    </row>
    <row r="154" spans="1:8" x14ac:dyDescent="0.25">
      <c r="A154" s="379" t="s">
        <v>188</v>
      </c>
      <c r="B154" s="379" t="s">
        <v>359</v>
      </c>
      <c r="C154" s="379" t="s">
        <v>358</v>
      </c>
      <c r="D154" s="381">
        <v>59694</v>
      </c>
      <c r="E154" s="381">
        <v>50737</v>
      </c>
      <c r="F154" s="381">
        <v>10689</v>
      </c>
      <c r="G154" s="381">
        <v>45026</v>
      </c>
      <c r="H154" s="379">
        <v>4</v>
      </c>
    </row>
    <row r="155" spans="1:8" x14ac:dyDescent="0.25">
      <c r="A155" s="379" t="s">
        <v>188</v>
      </c>
      <c r="B155" s="379" t="s">
        <v>351</v>
      </c>
      <c r="C155" s="379" t="s">
        <v>350</v>
      </c>
      <c r="D155" s="381">
        <v>138054</v>
      </c>
      <c r="E155" s="381">
        <v>18858</v>
      </c>
      <c r="F155" s="381">
        <v>25027</v>
      </c>
      <c r="G155" s="381">
        <v>-4319</v>
      </c>
      <c r="H155" s="379">
        <v>3</v>
      </c>
    </row>
    <row r="156" spans="1:8" x14ac:dyDescent="0.25">
      <c r="A156" s="379" t="s">
        <v>188</v>
      </c>
      <c r="B156" s="379" t="s">
        <v>355</v>
      </c>
      <c r="C156" s="379" t="s">
        <v>354</v>
      </c>
      <c r="D156" s="381">
        <v>84840</v>
      </c>
      <c r="E156" s="381">
        <v>45091</v>
      </c>
      <c r="F156" s="381">
        <v>90682</v>
      </c>
      <c r="G156" s="381">
        <v>-41166</v>
      </c>
      <c r="H156" s="379">
        <v>3</v>
      </c>
    </row>
    <row r="157" spans="1:8" x14ac:dyDescent="0.25">
      <c r="A157" s="379" t="s">
        <v>188</v>
      </c>
      <c r="B157" s="379" t="s">
        <v>339</v>
      </c>
      <c r="C157" s="379" t="s">
        <v>338</v>
      </c>
      <c r="D157" s="381">
        <v>10407</v>
      </c>
      <c r="E157" s="381">
        <v>4535</v>
      </c>
      <c r="F157" s="381">
        <v>6541</v>
      </c>
      <c r="G157" s="381">
        <v>-1561</v>
      </c>
      <c r="H157" s="379">
        <v>3</v>
      </c>
    </row>
    <row r="158" spans="1:8" x14ac:dyDescent="0.25">
      <c r="A158" s="379" t="s">
        <v>188</v>
      </c>
      <c r="B158" s="379" t="s">
        <v>343</v>
      </c>
      <c r="C158" s="379" t="s">
        <v>342</v>
      </c>
      <c r="D158" s="381">
        <v>71757</v>
      </c>
      <c r="E158" s="381">
        <v>9802</v>
      </c>
      <c r="F158" s="381">
        <v>0</v>
      </c>
      <c r="G158" s="381">
        <v>10764</v>
      </c>
      <c r="H158" s="379">
        <v>3</v>
      </c>
    </row>
    <row r="159" spans="1:8" x14ac:dyDescent="0.25">
      <c r="A159" s="379" t="s">
        <v>191</v>
      </c>
      <c r="B159" s="379" t="s">
        <v>276</v>
      </c>
      <c r="C159" s="379" t="s">
        <v>277</v>
      </c>
      <c r="D159" s="381">
        <v>195216</v>
      </c>
      <c r="E159" s="381">
        <v>50388</v>
      </c>
      <c r="F159" s="381">
        <v>153866</v>
      </c>
      <c r="G159" s="381">
        <v>-98534</v>
      </c>
      <c r="H159" s="379">
        <v>3</v>
      </c>
    </row>
    <row r="160" spans="1:8" x14ac:dyDescent="0.25">
      <c r="A160" s="379" t="s">
        <v>191</v>
      </c>
      <c r="B160" s="379" t="s">
        <v>274</v>
      </c>
      <c r="C160" s="379" t="s">
        <v>275</v>
      </c>
      <c r="D160" s="381">
        <v>65138</v>
      </c>
      <c r="E160" s="381">
        <v>8905</v>
      </c>
      <c r="F160" s="381">
        <v>43729</v>
      </c>
      <c r="G160" s="381">
        <v>-33950</v>
      </c>
      <c r="H160" s="379">
        <v>3</v>
      </c>
    </row>
    <row r="161" spans="1:8" x14ac:dyDescent="0.25">
      <c r="A161" s="379" t="s">
        <v>191</v>
      </c>
      <c r="B161" s="379" t="s">
        <v>278</v>
      </c>
      <c r="C161" s="379" t="s">
        <v>279</v>
      </c>
      <c r="D161" s="381">
        <v>33152</v>
      </c>
      <c r="E161" s="381">
        <v>13232</v>
      </c>
      <c r="F161" s="381">
        <v>16466</v>
      </c>
      <c r="G161" s="381">
        <v>-8524</v>
      </c>
      <c r="H161" s="379">
        <v>3</v>
      </c>
    </row>
    <row r="162" spans="1:8" x14ac:dyDescent="0.25">
      <c r="A162" s="379" t="s">
        <v>191</v>
      </c>
      <c r="B162" s="379" t="s">
        <v>280</v>
      </c>
      <c r="C162" s="379" t="s">
        <v>281</v>
      </c>
      <c r="D162" s="381">
        <v>45981</v>
      </c>
      <c r="E162" s="381">
        <v>29311</v>
      </c>
      <c r="F162" s="381">
        <v>39292</v>
      </c>
      <c r="G162" s="381">
        <v>-7105</v>
      </c>
      <c r="H162" s="379">
        <v>3</v>
      </c>
    </row>
    <row r="163" spans="1:8" x14ac:dyDescent="0.25">
      <c r="A163" s="379" t="s">
        <v>191</v>
      </c>
      <c r="B163" s="379" t="s">
        <v>282</v>
      </c>
      <c r="C163" s="379" t="s">
        <v>283</v>
      </c>
      <c r="D163" s="381">
        <v>70720</v>
      </c>
      <c r="E163" s="381">
        <v>53316</v>
      </c>
      <c r="F163" s="381">
        <v>39246</v>
      </c>
      <c r="G163" s="381">
        <v>19301</v>
      </c>
      <c r="H163" s="379">
        <v>3</v>
      </c>
    </row>
    <row r="164" spans="1:8" x14ac:dyDescent="0.25">
      <c r="A164" s="379" t="s">
        <v>191</v>
      </c>
      <c r="B164" s="379" t="s">
        <v>284</v>
      </c>
      <c r="C164" s="379" t="s">
        <v>285</v>
      </c>
      <c r="D164" s="381">
        <v>129063</v>
      </c>
      <c r="E164" s="381">
        <v>56030</v>
      </c>
      <c r="F164" s="381">
        <v>72715</v>
      </c>
      <c r="G164" s="381">
        <v>-11188</v>
      </c>
      <c r="H164" s="379">
        <v>3</v>
      </c>
    </row>
    <row r="165" spans="1:8" x14ac:dyDescent="0.25">
      <c r="A165" s="379" t="s">
        <v>191</v>
      </c>
      <c r="B165" s="379" t="s">
        <v>286</v>
      </c>
      <c r="C165" s="379" t="s">
        <v>287</v>
      </c>
      <c r="D165" s="381">
        <v>44562</v>
      </c>
      <c r="E165" s="381">
        <v>14122</v>
      </c>
      <c r="F165" s="381">
        <v>29348</v>
      </c>
      <c r="G165" s="381">
        <v>-13840</v>
      </c>
      <c r="H165" s="379">
        <v>3</v>
      </c>
    </row>
    <row r="166" spans="1:8" x14ac:dyDescent="0.25">
      <c r="A166" s="379" t="s">
        <v>191</v>
      </c>
      <c r="B166" s="379" t="s">
        <v>288</v>
      </c>
      <c r="C166" s="379" t="s">
        <v>289</v>
      </c>
      <c r="D166" s="381">
        <v>53573</v>
      </c>
      <c r="E166" s="381">
        <v>22012</v>
      </c>
      <c r="F166" s="381">
        <v>24342</v>
      </c>
      <c r="G166" s="381">
        <v>-170</v>
      </c>
      <c r="H166" s="379">
        <v>3</v>
      </c>
    </row>
    <row r="167" spans="1:8" x14ac:dyDescent="0.25">
      <c r="A167" s="379" t="s">
        <v>194</v>
      </c>
      <c r="B167" s="379" t="s">
        <v>545</v>
      </c>
      <c r="C167" s="379" t="s">
        <v>544</v>
      </c>
      <c r="D167" s="381">
        <v>176513</v>
      </c>
      <c r="E167" s="381">
        <v>33951</v>
      </c>
      <c r="F167" s="381">
        <v>14475</v>
      </c>
      <c r="G167" s="381">
        <v>22808</v>
      </c>
      <c r="H167" s="379">
        <v>3</v>
      </c>
    </row>
    <row r="168" spans="1:8" x14ac:dyDescent="0.25">
      <c r="A168" s="379" t="s">
        <v>194</v>
      </c>
      <c r="B168" s="379" t="s">
        <v>553</v>
      </c>
      <c r="C168" s="379" t="s">
        <v>552</v>
      </c>
      <c r="D168" s="381">
        <v>19629</v>
      </c>
      <c r="E168" s="381">
        <v>9066</v>
      </c>
      <c r="F168" s="381">
        <v>0</v>
      </c>
      <c r="G168" s="381">
        <v>9955</v>
      </c>
      <c r="H168" s="379">
        <v>3</v>
      </c>
    </row>
    <row r="169" spans="1:8" x14ac:dyDescent="0.25">
      <c r="A169" s="379" t="s">
        <v>194</v>
      </c>
      <c r="B169" s="379" t="s">
        <v>561</v>
      </c>
      <c r="C169" s="379" t="s">
        <v>560</v>
      </c>
      <c r="D169" s="381">
        <v>114569</v>
      </c>
      <c r="E169" s="381">
        <v>31738</v>
      </c>
      <c r="F169" s="381">
        <v>10764</v>
      </c>
      <c r="G169" s="381">
        <v>24087</v>
      </c>
      <c r="H169" s="379">
        <v>3</v>
      </c>
    </row>
    <row r="170" spans="1:8" x14ac:dyDescent="0.25">
      <c r="A170" s="379" t="s">
        <v>194</v>
      </c>
      <c r="B170" s="379" t="s">
        <v>563</v>
      </c>
      <c r="C170" s="379" t="s">
        <v>562</v>
      </c>
      <c r="D170" s="381">
        <v>382306</v>
      </c>
      <c r="E170" s="381">
        <v>73101</v>
      </c>
      <c r="F170" s="381">
        <v>24357</v>
      </c>
      <c r="G170" s="381">
        <v>55917</v>
      </c>
      <c r="H170" s="379">
        <v>3</v>
      </c>
    </row>
    <row r="171" spans="1:8" x14ac:dyDescent="0.25">
      <c r="A171" s="379" t="s">
        <v>194</v>
      </c>
      <c r="B171" s="379" t="s">
        <v>565</v>
      </c>
      <c r="C171" s="379" t="s">
        <v>564</v>
      </c>
      <c r="D171" s="381">
        <v>160761</v>
      </c>
      <c r="E171" s="381">
        <v>3508</v>
      </c>
      <c r="F171" s="381">
        <v>0</v>
      </c>
      <c r="G171" s="381">
        <v>3852</v>
      </c>
      <c r="H171" s="379">
        <v>3</v>
      </c>
    </row>
    <row r="172" spans="1:8" x14ac:dyDescent="0.25">
      <c r="A172" s="379" t="s">
        <v>194</v>
      </c>
      <c r="B172" s="379" t="s">
        <v>559</v>
      </c>
      <c r="C172" s="379" t="s">
        <v>558</v>
      </c>
      <c r="D172" s="381">
        <v>146846</v>
      </c>
      <c r="E172" s="381">
        <v>47122</v>
      </c>
      <c r="F172" s="381">
        <v>21379</v>
      </c>
      <c r="G172" s="381">
        <v>30366</v>
      </c>
      <c r="H172" s="379">
        <v>3</v>
      </c>
    </row>
    <row r="173" spans="1:8" x14ac:dyDescent="0.25">
      <c r="A173" s="379" t="s">
        <v>194</v>
      </c>
      <c r="B173" s="379" t="s">
        <v>567</v>
      </c>
      <c r="C173" s="379" t="s">
        <v>566</v>
      </c>
      <c r="D173" s="381">
        <v>70858</v>
      </c>
      <c r="E173" s="381">
        <v>21278</v>
      </c>
      <c r="F173" s="381">
        <v>0</v>
      </c>
      <c r="G173" s="381">
        <v>23366</v>
      </c>
      <c r="H173" s="379">
        <v>3</v>
      </c>
    </row>
    <row r="174" spans="1:8" x14ac:dyDescent="0.25">
      <c r="A174" s="379" t="s">
        <v>194</v>
      </c>
      <c r="B174" s="379" t="s">
        <v>543</v>
      </c>
      <c r="C174" s="379" t="s">
        <v>542</v>
      </c>
      <c r="D174" s="381">
        <v>404270</v>
      </c>
      <c r="E174" s="381">
        <v>37775</v>
      </c>
      <c r="F174" s="381">
        <v>46663</v>
      </c>
      <c r="G174" s="381">
        <v>-5182</v>
      </c>
      <c r="H174" s="379">
        <v>3</v>
      </c>
    </row>
    <row r="175" spans="1:8" x14ac:dyDescent="0.25">
      <c r="A175" s="379" t="s">
        <v>194</v>
      </c>
      <c r="B175" s="379" t="s">
        <v>551</v>
      </c>
      <c r="C175" s="379" t="s">
        <v>550</v>
      </c>
      <c r="D175" s="381">
        <v>216631</v>
      </c>
      <c r="E175" s="381">
        <v>43913</v>
      </c>
      <c r="F175" s="381">
        <v>15496</v>
      </c>
      <c r="G175" s="381">
        <v>32725</v>
      </c>
      <c r="H175" s="379">
        <v>3</v>
      </c>
    </row>
    <row r="176" spans="1:8" x14ac:dyDescent="0.25">
      <c r="A176" s="379" t="s">
        <v>194</v>
      </c>
      <c r="B176" s="379" t="s">
        <v>555</v>
      </c>
      <c r="C176" s="379" t="s">
        <v>554</v>
      </c>
      <c r="D176" s="381">
        <v>252317</v>
      </c>
      <c r="E176" s="381">
        <v>21143</v>
      </c>
      <c r="F176" s="381">
        <v>14678</v>
      </c>
      <c r="G176" s="381">
        <v>8539</v>
      </c>
      <c r="H176" s="379">
        <v>3</v>
      </c>
    </row>
    <row r="177" spans="1:8" x14ac:dyDescent="0.25">
      <c r="A177" s="379" t="s">
        <v>194</v>
      </c>
      <c r="B177" s="379" t="s">
        <v>557</v>
      </c>
      <c r="C177" s="379" t="s">
        <v>556</v>
      </c>
      <c r="D177" s="381">
        <v>74641</v>
      </c>
      <c r="E177" s="381">
        <v>58717</v>
      </c>
      <c r="F177" s="381">
        <v>11786</v>
      </c>
      <c r="G177" s="381">
        <v>52692</v>
      </c>
      <c r="H177" s="379">
        <v>3</v>
      </c>
    </row>
    <row r="178" spans="1:8" x14ac:dyDescent="0.25">
      <c r="A178" s="379" t="s">
        <v>194</v>
      </c>
      <c r="B178" s="379" t="s">
        <v>541</v>
      </c>
      <c r="C178" s="379" t="s">
        <v>540</v>
      </c>
      <c r="D178" s="381">
        <v>222346</v>
      </c>
      <c r="E178" s="381">
        <v>29502</v>
      </c>
      <c r="F178" s="381">
        <v>17607</v>
      </c>
      <c r="G178" s="381">
        <v>14790</v>
      </c>
      <c r="H178" s="379">
        <v>3</v>
      </c>
    </row>
    <row r="179" spans="1:8" x14ac:dyDescent="0.25">
      <c r="A179" s="379" t="s">
        <v>194</v>
      </c>
      <c r="B179" s="379" t="s">
        <v>549</v>
      </c>
      <c r="C179" s="379" t="s">
        <v>548</v>
      </c>
      <c r="D179" s="381">
        <v>113306</v>
      </c>
      <c r="E179" s="381">
        <v>33619</v>
      </c>
      <c r="F179" s="381">
        <v>4692</v>
      </c>
      <c r="G179" s="381">
        <v>32226</v>
      </c>
      <c r="H179" s="379">
        <v>3</v>
      </c>
    </row>
    <row r="180" spans="1:8" x14ac:dyDescent="0.25">
      <c r="A180" s="379" t="s">
        <v>194</v>
      </c>
      <c r="B180" s="379" t="s">
        <v>547</v>
      </c>
      <c r="C180" s="379" t="s">
        <v>546</v>
      </c>
      <c r="D180" s="381">
        <v>226558</v>
      </c>
      <c r="E180" s="381">
        <v>13726</v>
      </c>
      <c r="F180" s="381">
        <v>0</v>
      </c>
      <c r="G180" s="381">
        <v>15073</v>
      </c>
      <c r="H180" s="379">
        <v>3</v>
      </c>
    </row>
    <row r="181" spans="1:8" x14ac:dyDescent="0.25">
      <c r="A181" s="379" t="s">
        <v>197</v>
      </c>
      <c r="B181" s="379" t="s">
        <v>385</v>
      </c>
      <c r="C181" s="379" t="s">
        <v>384</v>
      </c>
      <c r="D181" s="381">
        <v>546024</v>
      </c>
      <c r="E181" s="381">
        <v>121533</v>
      </c>
      <c r="F181" s="381">
        <v>76308</v>
      </c>
      <c r="G181" s="381">
        <v>57150</v>
      </c>
      <c r="H181" s="379">
        <v>3</v>
      </c>
    </row>
    <row r="182" spans="1:8" x14ac:dyDescent="0.25">
      <c r="A182" s="379" t="s">
        <v>197</v>
      </c>
      <c r="B182" s="379" t="s">
        <v>399</v>
      </c>
      <c r="C182" s="379" t="s">
        <v>398</v>
      </c>
      <c r="D182" s="381">
        <v>359361</v>
      </c>
      <c r="E182" s="381">
        <v>293252</v>
      </c>
      <c r="F182" s="381">
        <v>77980</v>
      </c>
      <c r="G182" s="381">
        <v>244045</v>
      </c>
      <c r="H182" s="379">
        <v>5</v>
      </c>
    </row>
    <row r="183" spans="1:8" x14ac:dyDescent="0.25">
      <c r="A183" s="379" t="s">
        <v>197</v>
      </c>
      <c r="B183" s="379" t="s">
        <v>397</v>
      </c>
      <c r="C183" s="379" t="s">
        <v>396</v>
      </c>
      <c r="D183" s="381">
        <v>373623</v>
      </c>
      <c r="E183" s="381">
        <v>27935</v>
      </c>
      <c r="F183" s="381">
        <v>62542</v>
      </c>
      <c r="G183" s="381">
        <v>-31867</v>
      </c>
      <c r="H183" s="379">
        <v>3</v>
      </c>
    </row>
    <row r="184" spans="1:8" x14ac:dyDescent="0.25">
      <c r="A184" s="379" t="s">
        <v>197</v>
      </c>
      <c r="B184" s="379" t="s">
        <v>395</v>
      </c>
      <c r="C184" s="379" t="s">
        <v>394</v>
      </c>
      <c r="D184" s="381">
        <v>54837</v>
      </c>
      <c r="E184" s="381">
        <v>43010</v>
      </c>
      <c r="F184" s="381">
        <v>54682</v>
      </c>
      <c r="G184" s="381">
        <v>-7452</v>
      </c>
      <c r="H184" s="379">
        <v>3</v>
      </c>
    </row>
    <row r="185" spans="1:8" x14ac:dyDescent="0.25">
      <c r="A185" s="379" t="s">
        <v>197</v>
      </c>
      <c r="B185" s="379" t="s">
        <v>401</v>
      </c>
      <c r="C185" s="379" t="s">
        <v>400</v>
      </c>
      <c r="D185" s="381">
        <v>249908</v>
      </c>
      <c r="E185" s="381">
        <v>45533</v>
      </c>
      <c r="F185" s="381">
        <v>44783</v>
      </c>
      <c r="G185" s="381">
        <v>5217</v>
      </c>
      <c r="H185" s="379">
        <v>3</v>
      </c>
    </row>
    <row r="186" spans="1:8" x14ac:dyDescent="0.25">
      <c r="A186" s="379" t="s">
        <v>197</v>
      </c>
      <c r="B186" s="379" t="s">
        <v>391</v>
      </c>
      <c r="C186" s="379" t="s">
        <v>390</v>
      </c>
      <c r="D186" s="381">
        <v>505017</v>
      </c>
      <c r="E186" s="381">
        <v>164605</v>
      </c>
      <c r="F186" s="381">
        <v>30279</v>
      </c>
      <c r="G186" s="381">
        <v>150477</v>
      </c>
      <c r="H186" s="379">
        <v>3</v>
      </c>
    </row>
    <row r="187" spans="1:8" x14ac:dyDescent="0.25">
      <c r="A187" s="379" t="s">
        <v>197</v>
      </c>
      <c r="B187" s="379" t="s">
        <v>389</v>
      </c>
      <c r="C187" s="379" t="s">
        <v>388</v>
      </c>
      <c r="D187" s="381">
        <v>517903</v>
      </c>
      <c r="E187" s="381">
        <v>236740</v>
      </c>
      <c r="F187" s="381">
        <v>24704</v>
      </c>
      <c r="G187" s="381">
        <v>235264</v>
      </c>
      <c r="H187" s="379">
        <v>4</v>
      </c>
    </row>
    <row r="188" spans="1:8" x14ac:dyDescent="0.25">
      <c r="A188" s="379" t="s">
        <v>197</v>
      </c>
      <c r="B188" s="379" t="s">
        <v>393</v>
      </c>
      <c r="C188" s="379" t="s">
        <v>392</v>
      </c>
      <c r="D188" s="381">
        <v>235710</v>
      </c>
      <c r="E188" s="381">
        <v>19883</v>
      </c>
      <c r="F188" s="381">
        <v>22894</v>
      </c>
      <c r="G188" s="381">
        <v>-1059</v>
      </c>
      <c r="H188" s="379">
        <v>3</v>
      </c>
    </row>
    <row r="189" spans="1:8" x14ac:dyDescent="0.25">
      <c r="A189" s="379" t="s">
        <v>197</v>
      </c>
      <c r="B189" s="379" t="s">
        <v>387</v>
      </c>
      <c r="C189" s="379" t="s">
        <v>386</v>
      </c>
      <c r="D189" s="381">
        <v>194302</v>
      </c>
      <c r="E189" s="381">
        <v>12912</v>
      </c>
      <c r="F189" s="381">
        <v>20471</v>
      </c>
      <c r="G189" s="381">
        <v>-6293</v>
      </c>
      <c r="H189" s="379">
        <v>3</v>
      </c>
    </row>
  </sheetData>
  <pageMargins left="0.7" right="0.7" top="0.75" bottom="0.75" header="0.3" footer="0.3"/>
  <tableParts count="1">
    <tablePart r:id="rId1"/>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62E15B-4A90-4D7A-AE3A-79F27D5C8718}">
  <sheetPr codeName="Sheet3"/>
  <dimension ref="A1:BP763"/>
  <sheetViews>
    <sheetView showGridLines="0" topLeftCell="B1" zoomScale="64" zoomScaleNormal="64" workbookViewId="0">
      <pane ySplit="3" topLeftCell="A35" activePane="bottomLeft" state="frozen"/>
      <selection activeCell="R19" sqref="R19"/>
      <selection pane="bottomLeft" activeCell="AE39" sqref="AE39"/>
    </sheetView>
  </sheetViews>
  <sheetFormatPr defaultColWidth="8.7109375" defaultRowHeight="15" x14ac:dyDescent="0.25"/>
  <cols>
    <col min="1" max="1" width="14" hidden="1" customWidth="1"/>
    <col min="2" max="2" width="14.85546875" style="12" customWidth="1"/>
    <col min="3" max="3" width="13.28515625" style="13" customWidth="1"/>
    <col min="4" max="4" width="15" style="13" customWidth="1"/>
    <col min="5" max="5" width="15.85546875" style="13" customWidth="1"/>
    <col min="6" max="6" width="14.7109375" style="13" hidden="1" customWidth="1"/>
    <col min="7" max="7" width="18" style="13" hidden="1" customWidth="1"/>
    <col min="8" max="8" width="11.7109375" style="14" customWidth="1"/>
    <col min="9" max="9" width="14" style="14" customWidth="1"/>
    <col min="10" max="10" width="11.85546875" style="14" customWidth="1"/>
    <col min="11" max="11" width="12.5703125" style="14" bestFit="1" customWidth="1"/>
    <col min="12" max="13" width="12.85546875" style="14" customWidth="1"/>
    <col min="14" max="14" width="12.7109375" style="14" bestFit="1" customWidth="1"/>
    <col min="15" max="15" width="12" style="14" bestFit="1" customWidth="1"/>
    <col min="16" max="17" width="12" style="14" customWidth="1"/>
    <col min="18" max="18" width="13" style="14" bestFit="1" customWidth="1"/>
    <col min="19" max="19" width="12.85546875" style="14" customWidth="1"/>
    <col min="20" max="20" width="13" style="14" customWidth="1"/>
    <col min="21" max="21" width="17" style="14" customWidth="1"/>
    <col min="22" max="22" width="16.28515625" style="14" bestFit="1" customWidth="1"/>
    <col min="23" max="24" width="14" style="14" customWidth="1"/>
    <col min="25" max="25" width="13.5703125" style="14" bestFit="1" customWidth="1"/>
    <col min="26" max="26" width="13" style="14" bestFit="1" customWidth="1"/>
    <col min="27" max="28" width="13" style="14" customWidth="1"/>
    <col min="29" max="29" width="13.85546875" style="14" bestFit="1" customWidth="1"/>
    <col min="30" max="30" width="13.85546875" style="14" customWidth="1"/>
    <col min="31" max="31" width="13" style="14" bestFit="1" customWidth="1"/>
    <col min="32" max="32" width="13" style="14" customWidth="1"/>
    <col min="33" max="40" width="13" customWidth="1"/>
    <col min="41" max="41" width="22.140625" customWidth="1"/>
    <col min="42" max="42" width="13" customWidth="1"/>
    <col min="43" max="43" width="9.28515625" style="14" customWidth="1"/>
    <col min="44" max="44" width="11.28515625" style="14" customWidth="1"/>
    <col min="45" max="45" width="12.85546875" style="47" customWidth="1"/>
    <col min="46" max="46" width="9.28515625" style="47" customWidth="1"/>
    <col min="47" max="50" width="9.28515625" style="14" customWidth="1"/>
    <col min="51" max="51" width="13.7109375" style="47" customWidth="1"/>
    <col min="52" max="52" width="9.28515625" style="21" customWidth="1"/>
    <col min="53" max="53" width="9.28515625" style="47" customWidth="1"/>
    <col min="54" max="54" width="14.28515625" style="14" customWidth="1"/>
    <col min="55" max="55" width="14.28515625" style="47" customWidth="1"/>
    <col min="56" max="56" width="14.28515625" style="14" customWidth="1"/>
    <col min="57" max="57" width="14.28515625" style="47" customWidth="1"/>
    <col min="58" max="58" width="14.28515625" style="14" customWidth="1"/>
    <col min="59" max="59" width="14.28515625" style="47" customWidth="1"/>
    <col min="60" max="60" width="20" style="18" customWidth="1"/>
    <col min="61" max="61" width="25.28515625" style="12" customWidth="1"/>
    <col min="62" max="62" width="27.28515625" customWidth="1"/>
    <col min="63" max="63" width="22" customWidth="1"/>
    <col min="64" max="64" width="16" style="12" customWidth="1"/>
    <col min="65" max="65" width="11" customWidth="1"/>
    <col min="66" max="66" width="12.7109375" style="15" customWidth="1"/>
    <col min="67" max="67" width="20" style="14" bestFit="1" customWidth="1"/>
    <col min="68" max="68" width="46" style="12" customWidth="1"/>
  </cols>
  <sheetData>
    <row r="1" spans="1:68" ht="30" customHeight="1" thickBot="1" x14ac:dyDescent="0.3">
      <c r="B1" s="16"/>
      <c r="C1" s="19"/>
      <c r="D1" s="19"/>
      <c r="E1" s="19"/>
      <c r="F1" s="19"/>
      <c r="G1" s="19"/>
      <c r="H1" s="20"/>
      <c r="I1" s="20"/>
      <c r="J1" s="20">
        <f>SUM(tblPiNHistorical[Site Management - Old])</f>
        <v>3177463</v>
      </c>
      <c r="K1" s="20">
        <f>SUM(tblPiNHistorical[Education Old])</f>
        <v>9526271.6661829986</v>
      </c>
      <c r="L1" s="20">
        <f>SUM(tblPiNHistorical[Food Security and Livlihoods Old])</f>
        <v>20288630.589207757</v>
      </c>
      <c r="M1" s="20">
        <f>SUM(tblPiNHistorical[Health Old])</f>
        <v>15532076.029999999</v>
      </c>
      <c r="N1" s="20">
        <f>SUM(tblPiNHistorical[Nutrition Old])</f>
        <v>4789917</v>
      </c>
      <c r="O1" s="20">
        <f>SUM(tblPiNHistorical[Protection Old])</f>
        <v>13608192.278999995</v>
      </c>
      <c r="P1" s="20">
        <f>SUM(tblPiNHistorical[[CP Old ]])</f>
        <v>6245624.324000001</v>
      </c>
      <c r="Q1" s="20">
        <f>SUM(tblPiNHistorical[GBV Old])</f>
        <v>6938156.9120000005</v>
      </c>
      <c r="R1" s="20">
        <f>SUM(tblPiNHistorical[Mine Action Old])</f>
        <v>6020948.2460000003</v>
      </c>
      <c r="S1" s="20">
        <f>SUM(tblPiNHistorical[Shelter NFI Old])</f>
        <v>9158270</v>
      </c>
      <c r="T1" s="20">
        <f>SUM(tblPiNHistorical[WASH Old])</f>
        <v>19676297.741603192</v>
      </c>
      <c r="U1" s="20"/>
      <c r="V1" s="20"/>
      <c r="W1" s="20"/>
      <c r="X1" s="20"/>
      <c r="Y1" s="20"/>
      <c r="Z1" s="20"/>
      <c r="AA1" s="20"/>
      <c r="AB1" s="20"/>
      <c r="AC1" s="20"/>
      <c r="AD1" s="20"/>
      <c r="AE1" s="20"/>
      <c r="AF1" s="20"/>
      <c r="AG1" s="20"/>
      <c r="AH1" s="20"/>
      <c r="AI1" s="20"/>
      <c r="AJ1" s="20"/>
      <c r="AK1" s="20"/>
      <c r="AL1" s="20"/>
      <c r="AM1" s="20"/>
      <c r="AN1" s="20"/>
      <c r="AO1" s="20"/>
      <c r="AP1" s="21"/>
      <c r="AQ1" s="46"/>
      <c r="AR1" s="46"/>
      <c r="AS1" s="46"/>
      <c r="AT1" s="46"/>
      <c r="AU1" s="46"/>
      <c r="AV1" s="46"/>
      <c r="AW1" s="46"/>
      <c r="AX1" s="46"/>
      <c r="AY1" s="46"/>
      <c r="AZ1" s="46"/>
      <c r="BA1" s="18"/>
      <c r="BB1"/>
      <c r="BC1"/>
      <c r="BD1"/>
      <c r="BE1"/>
      <c r="BF1"/>
      <c r="BG1"/>
      <c r="BH1"/>
      <c r="BI1"/>
      <c r="BL1"/>
      <c r="BN1"/>
      <c r="BO1"/>
      <c r="BP1"/>
    </row>
    <row r="2" spans="1:68" ht="17.25" thickTop="1" thickBot="1" x14ac:dyDescent="0.3">
      <c r="A2" s="42"/>
      <c r="B2" s="421" t="s">
        <v>55</v>
      </c>
      <c r="C2" s="422"/>
      <c r="D2" s="422"/>
      <c r="E2" s="422"/>
      <c r="F2" s="422"/>
      <c r="G2" s="423"/>
      <c r="H2" s="424" t="s">
        <v>290</v>
      </c>
      <c r="I2" s="425"/>
      <c r="J2" s="426" t="s">
        <v>592</v>
      </c>
      <c r="K2" s="426"/>
      <c r="L2" s="426"/>
      <c r="M2" s="426"/>
      <c r="N2" s="426"/>
      <c r="O2" s="426"/>
      <c r="P2" s="426"/>
      <c r="Q2" s="426"/>
      <c r="R2" s="426"/>
      <c r="S2" s="426"/>
      <c r="T2" s="426"/>
      <c r="U2" s="426" t="s">
        <v>593</v>
      </c>
      <c r="V2" s="426"/>
      <c r="W2" s="426"/>
      <c r="X2" s="426"/>
      <c r="Y2" s="426"/>
      <c r="Z2" s="426"/>
      <c r="AA2" s="426"/>
      <c r="AB2" s="426"/>
      <c r="AC2" s="426"/>
      <c r="AD2" s="426"/>
      <c r="AE2" s="426"/>
      <c r="AF2" s="418" t="s">
        <v>594</v>
      </c>
      <c r="AG2" s="419"/>
      <c r="AH2" s="419"/>
      <c r="AI2" s="419"/>
      <c r="AJ2" s="419"/>
      <c r="AK2" s="419"/>
      <c r="AL2" s="419"/>
      <c r="AM2" s="419"/>
      <c r="AN2" s="419"/>
      <c r="AO2" s="419"/>
      <c r="AP2" s="420"/>
      <c r="AQ2" s="418" t="s">
        <v>595</v>
      </c>
      <c r="AR2" s="419"/>
      <c r="AS2" s="419"/>
      <c r="AT2" s="419"/>
      <c r="AU2" s="419"/>
      <c r="AV2" s="419"/>
      <c r="AW2" s="419"/>
      <c r="AX2" s="419"/>
      <c r="AY2" s="419"/>
      <c r="AZ2" s="419"/>
      <c r="BA2" s="420"/>
      <c r="BB2"/>
      <c r="BC2"/>
      <c r="BD2"/>
      <c r="BE2"/>
      <c r="BF2"/>
      <c r="BG2"/>
      <c r="BH2"/>
      <c r="BI2"/>
      <c r="BL2"/>
      <c r="BN2"/>
      <c r="BO2"/>
      <c r="BP2"/>
    </row>
    <row r="3" spans="1:68" ht="52.5" thickTop="1" thickBot="1" x14ac:dyDescent="0.3">
      <c r="A3" s="88" t="s">
        <v>294</v>
      </c>
      <c r="B3" s="126" t="s">
        <v>69</v>
      </c>
      <c r="C3" s="38" t="s">
        <v>295</v>
      </c>
      <c r="D3" s="38" t="s">
        <v>70</v>
      </c>
      <c r="E3" s="38" t="s">
        <v>139</v>
      </c>
      <c r="F3" s="38" t="s">
        <v>71</v>
      </c>
      <c r="G3" s="38" t="s">
        <v>296</v>
      </c>
      <c r="H3" s="38" t="s">
        <v>577</v>
      </c>
      <c r="I3" s="39" t="s">
        <v>137</v>
      </c>
      <c r="J3" s="45" t="s">
        <v>596</v>
      </c>
      <c r="K3" s="115" t="s">
        <v>597</v>
      </c>
      <c r="L3" s="40" t="s">
        <v>598</v>
      </c>
      <c r="M3" s="40" t="s">
        <v>599</v>
      </c>
      <c r="N3" s="40" t="s">
        <v>600</v>
      </c>
      <c r="O3" s="40" t="s">
        <v>601</v>
      </c>
      <c r="P3" s="40" t="s">
        <v>602</v>
      </c>
      <c r="Q3" s="40" t="s">
        <v>603</v>
      </c>
      <c r="R3" s="40" t="s">
        <v>604</v>
      </c>
      <c r="S3" s="40" t="s">
        <v>605</v>
      </c>
      <c r="T3" s="195" t="s">
        <v>606</v>
      </c>
      <c r="U3" s="43" t="s">
        <v>607</v>
      </c>
      <c r="V3" s="117" t="s">
        <v>608</v>
      </c>
      <c r="W3" s="44" t="s">
        <v>609</v>
      </c>
      <c r="X3" s="44" t="s">
        <v>610</v>
      </c>
      <c r="Y3" s="44" t="s">
        <v>611</v>
      </c>
      <c r="Z3" s="44" t="s">
        <v>612</v>
      </c>
      <c r="AA3" s="44" t="s">
        <v>613</v>
      </c>
      <c r="AB3" s="44" t="s">
        <v>614</v>
      </c>
      <c r="AC3" s="44" t="s">
        <v>615</v>
      </c>
      <c r="AD3" s="44" t="s">
        <v>616</v>
      </c>
      <c r="AE3" s="44" t="s">
        <v>617</v>
      </c>
      <c r="AF3" s="49" t="s">
        <v>618</v>
      </c>
      <c r="AG3" s="51" t="s">
        <v>619</v>
      </c>
      <c r="AH3" s="51" t="s">
        <v>299</v>
      </c>
      <c r="AI3" s="51" t="s">
        <v>620</v>
      </c>
      <c r="AJ3" s="51" t="s">
        <v>621</v>
      </c>
      <c r="AK3" s="51" t="s">
        <v>622</v>
      </c>
      <c r="AL3" s="51" t="s">
        <v>623</v>
      </c>
      <c r="AM3" s="51" t="s">
        <v>624</v>
      </c>
      <c r="AN3" s="51" t="s">
        <v>625</v>
      </c>
      <c r="AO3" s="51" t="s">
        <v>626</v>
      </c>
      <c r="AP3" s="50" t="s">
        <v>627</v>
      </c>
      <c r="AQ3" s="108" t="s">
        <v>298</v>
      </c>
      <c r="AR3" s="50" t="s">
        <v>44</v>
      </c>
      <c r="AS3" s="50" t="s">
        <v>628</v>
      </c>
      <c r="AT3" s="50" t="s">
        <v>300</v>
      </c>
      <c r="AU3" s="50" t="s">
        <v>46</v>
      </c>
      <c r="AV3" s="50" t="s">
        <v>301</v>
      </c>
      <c r="AW3" s="50" t="s">
        <v>303</v>
      </c>
      <c r="AX3" s="50" t="s">
        <v>102</v>
      </c>
      <c r="AY3" s="50" t="s">
        <v>629</v>
      </c>
      <c r="AZ3" s="50" t="s">
        <v>302</v>
      </c>
      <c r="BA3" s="50" t="s">
        <v>630</v>
      </c>
      <c r="BB3"/>
      <c r="BC3"/>
      <c r="BD3"/>
      <c r="BE3"/>
      <c r="BF3"/>
      <c r="BG3"/>
      <c r="BH3"/>
      <c r="BI3"/>
      <c r="BL3"/>
      <c r="BN3"/>
      <c r="BO3"/>
      <c r="BP3"/>
    </row>
    <row r="4" spans="1:68" s="2" customFormat="1" ht="26.25" customHeight="1" thickTop="1" x14ac:dyDescent="0.25">
      <c r="A4" s="86"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IDPsSD19101</v>
      </c>
      <c r="B4" s="127" t="s">
        <v>144</v>
      </c>
      <c r="C4" s="60" t="s">
        <v>136</v>
      </c>
      <c r="D4" s="60" t="s">
        <v>574</v>
      </c>
      <c r="E4" s="60" t="s">
        <v>573</v>
      </c>
      <c r="F4" s="54"/>
      <c r="G4" s="30"/>
      <c r="H4" s="56">
        <v>0</v>
      </c>
      <c r="I4" s="37" t="s">
        <v>88</v>
      </c>
      <c r="J4" s="34">
        <v>0</v>
      </c>
      <c r="K4" s="116">
        <v>0</v>
      </c>
      <c r="L4" s="114">
        <v>0</v>
      </c>
      <c r="M4" s="114">
        <v>0</v>
      </c>
      <c r="N4" s="114">
        <v>0</v>
      </c>
      <c r="O4" s="114">
        <v>0</v>
      </c>
      <c r="P4" s="114">
        <v>0</v>
      </c>
      <c r="Q4" s="114">
        <v>0</v>
      </c>
      <c r="R4" s="114">
        <v>0</v>
      </c>
      <c r="S4" s="114">
        <v>0</v>
      </c>
      <c r="T4" s="196">
        <v>0</v>
      </c>
      <c r="U4" s="194" t="str">
        <f>IFERROR(INDEX(tblPiNAnalysis[[Site Management ]], MATCH(tblPiNHistorical[[#This Row],[ID]], tblPiNAnalysis[ID], 0)), "")</f>
        <v/>
      </c>
      <c r="V4" s="83" t="str">
        <f>IFERROR(INDEX(tblPiNAnalysis[Education], MATCH(tblPiNHistorical[[#This Row],[ID]], tblPiNAnalysis[ID], 0)), "")</f>
        <v/>
      </c>
      <c r="W4" s="83" t="str">
        <f>IFERROR(INDEX(tblPiNAnalysis[Food Security and Livlihoods], MATCH(tblPiNHistorical[[#This Row],[ID]], tblPiNAnalysis[ID], 0)), "")</f>
        <v/>
      </c>
      <c r="X4" s="83" t="str">
        <f>IFERROR(INDEX(tblPiNAnalysis[[Health ]], MATCH(tblPiNHistorical[[#This Row],[ID]], tblPiNAnalysis[ID], 0)), "")</f>
        <v/>
      </c>
      <c r="Y4" s="83" t="str">
        <f>IFERROR(INDEX(tblPiNAnalysis[Nutrition], MATCH(tblPiNHistorical[[#This Row],[ID]], tblPiNAnalysis[ID], 0)), "")</f>
        <v/>
      </c>
      <c r="Z4" s="83" t="str">
        <f>IFERROR(INDEX(tblPiNAnalysis[Protection], MATCH(tblPiNHistorical[[#This Row],[ID]], tblPiNAnalysis[ID], 0)), "")</f>
        <v/>
      </c>
      <c r="AA4" s="83" t="str">
        <f>IFERROR(INDEX(tblPiNAnalysis[CP], MATCH(tblPiNHistorical[[#This Row],[ID]], tblPiNAnalysis[ID], 0)), "")</f>
        <v/>
      </c>
      <c r="AB4" s="83" t="str">
        <f>IFERROR(INDEX(tblPiNAnalysis[GBV], MATCH(tblPiNHistorical[[#This Row],[ID]], tblPiNAnalysis[ID], 0)), "")</f>
        <v/>
      </c>
      <c r="AC4" s="83" t="str">
        <f>IFERROR(INDEX(tblPiNAnalysis[Mine Action], MATCH(tblPiNHistorical[[#This Row],[ID]], tblPiNAnalysis[ID], 0)), "")</f>
        <v/>
      </c>
      <c r="AD4" s="83" t="str">
        <f>IFERROR(INDEX(tblPiNAnalysis[[Shelter NFI ]], MATCH(tblPiNHistorical[[#This Row],[ID]], tblPiNAnalysis[ID], 0)), "")</f>
        <v/>
      </c>
      <c r="AE4" s="35" t="str">
        <f>IFERROR(INDEX(tblPiNAnalysis[WASH], MATCH(tblPiNHistorical[[#This Row],[ID]], tblPiNAnalysis[ID], 0)), "")</f>
        <v/>
      </c>
      <c r="AF4" s="82"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4" s="83" t="str">
        <f>IF(OR(tblPiNHistorical[[#This Row],[Education Old]]="", tblPiNHistorical[[#This Row],[Education Old]]=0, tblPiNHistorical[[#This Row],[Education New]]="", tblPiNHistorical[[#This Row],[Education New]]=0), "", tblPiNHistorical[[#This Row],[Education New]]-tblPiNHistorical[[#This Row],[Education Old]])</f>
        <v/>
      </c>
      <c r="AH4" s="83"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4" s="83" t="str">
        <f>IF(OR(tblPiNHistorical[[#This Row],[Health Old]]="", tblPiNHistorical[[#This Row],[Health Old]]=0, tblPiNHistorical[[#This Row],[Health New]]="", tblPiNHistorical[[#This Row],[Health New]]=0), "", tblPiNHistorical[[#This Row],[Health New]]-tblPiNHistorical[[#This Row],[Health Old]])</f>
        <v/>
      </c>
      <c r="AJ4" s="83" t="str">
        <f>IF(OR(tblPiNHistorical[[#This Row],[Nutrition Old]]="", tblPiNHistorical[[#This Row],[Nutrition Old]]=0, tblPiNHistorical[[#This Row],[Nutrition New]]="", tblPiNHistorical[[#This Row],[Nutrition New]]=0), "", tblPiNHistorical[[#This Row],[Nutrition New]]-tblPiNHistorical[[#This Row],[Nutrition Old]])</f>
        <v/>
      </c>
      <c r="AK4" s="83" t="str">
        <f>IF(OR(tblPiNHistorical[[#This Row],[Protection Old]]="", tblPiNHistorical[[#This Row],[Protection Old]]=0, tblPiNHistorical[[#This Row],[Protection New]]="", tblPiNHistorical[[#This Row],[Protection New]]=0), "", tblPiNHistorical[[#This Row],[Protection New]]-tblPiNHistorical[[#This Row],[Protection Old]])</f>
        <v/>
      </c>
      <c r="AL4" s="83" t="str">
        <f>IF(OR(tblPiNHistorical[[#This Row],[CP Old ]]="", tblPiNHistorical[[#This Row],[CP Old ]]=0, tblPiNHistorical[[#This Row],[CP New]]="", tblPiNHistorical[[#This Row],[CP New]]=0), "", tblPiNHistorical[[#This Row],[CP New]]-tblPiNHistorical[[#This Row],[CP Old ]])</f>
        <v/>
      </c>
      <c r="AM4" s="83" t="str">
        <f>IF(OR(tblPiNHistorical[[#This Row],[GBV Old]]="", tblPiNHistorical[[#This Row],[GBV Old]]=0, tblPiNHistorical[[#This Row],[GBV New]]="", tblPiNHistorical[[#This Row],[GBV New]]=0), "", tblPiNHistorical[[#This Row],[GBV New]]-tblPiNHistorical[[#This Row],[GBV Old]])</f>
        <v/>
      </c>
      <c r="AN4" s="83" t="str">
        <f>IF(OR(tblPiNHistorical[[#This Row],[Mine Action Old]]="", tblPiNHistorical[[#This Row],[Mine Action Old]]=0, tblPiNHistorical[[#This Row],[Mine Action New]]="", tblPiNHistorical[[#This Row],[Mine Action New]]=0), "", tblPiNHistorical[[#This Row],[Mine Action New]]-tblPiNHistorical[[#This Row],[Mine Action Old]])</f>
        <v/>
      </c>
      <c r="AO4" s="83" t="str">
        <f>IF(OR(tblPiNHistorical[[#This Row],[Shelter NFI Old]]="", tblPiNHistorical[[#This Row],[Shelter NFI Old]]=0, tblPiNHistorical[[#This Row],[Shelter NFI New]]="", tblPiNHistorical[[#This Row],[Shelter NFI New]]=0), "", tblPiNHistorical[[#This Row],[Shelter NFI New]]-tblPiNHistorical[[#This Row],[Shelter NFI Old]])</f>
        <v/>
      </c>
      <c r="AP4" s="111" t="str">
        <f>IF(OR(tblPiNHistorical[[#This Row],[WASH Old]]="", tblPiNHistorical[[#This Row],[WASH Old]]=0, tblPiNHistorical[[#This Row],[WASH New]]="", tblPiNHistorical[[#This Row],[WASH New]]=0), "", tblPiNHistorical[[#This Row],[WASH New]]-tblPiNHistorical[[#This Row],[WASH Old]])</f>
        <v/>
      </c>
      <c r="AQ4" s="109" t="str">
        <f>IFERROR(ROUND((tblPiNHistorical[[#This Row],[Site Management - New]] - tblPiNHistorical[[#This Row],[Site Management - Old]])/tblPiNHistorical[[#This Row],[Site Management - Old]], 1), "")</f>
        <v/>
      </c>
      <c r="AR4" s="84" t="str">
        <f>IFERROR(ROUND((tblPiNHistorical[[#This Row],[Education New]]-tblPiNHistorical[[#This Row],[Education Old]])/tblPiNHistorical[[#This Row],[Education Old]], 1), "")</f>
        <v/>
      </c>
      <c r="AS4" s="84" t="str">
        <f>IFERROR(ROUND((tblPiNHistorical[[#This Row],[Food Security and Livlihoods New]]-tblPiNHistorical[[#This Row],[Food Security and Livlihoods Old]])/tblPiNHistorical[[#This Row],[Food Security and Livlihoods Old]], 1), "")</f>
        <v/>
      </c>
      <c r="AT4" s="84" t="str">
        <f>IFERROR(ROUND((tblPiNHistorical[[#This Row],[Health New]]-tblPiNHistorical[[#This Row],[Health Old]])/tblPiNHistorical[[#This Row],[Health Old]], 1), "")</f>
        <v/>
      </c>
      <c r="AU4" s="84" t="str">
        <f>IFERROR(ROUND((tblPiNHistorical[[#This Row],[Nutrition New]]-tblPiNHistorical[[#This Row],[Nutrition Old]])/tblPiNHistorical[[#This Row],[Nutrition Old]], 1), "")</f>
        <v/>
      </c>
      <c r="AV4" s="84" t="str">
        <f>IFERROR(ROUND((tblPiNHistorical[[#This Row],[Protection New]]-tblPiNHistorical[[#This Row],[Protection Old]])/tblPiNHistorical[[#This Row],[Protection Old]], 1), "")</f>
        <v/>
      </c>
      <c r="AW4" s="84" t="str">
        <f>IFERROR(ROUND((tblPiNHistorical[[#This Row],[CP New]]-tblPiNHistorical[[#This Row],[CP Old ]])/tblPiNHistorical[[#This Row],[CP Old ]], 1), "")</f>
        <v/>
      </c>
      <c r="AX4" s="84" t="str">
        <f>IFERROR(ROUND((tblPiNHistorical[[#This Row],[GBV New]]-tblPiNHistorical[[#This Row],[GBV Old]])/tblPiNHistorical[[#This Row],[GBV Old]], 1), "")</f>
        <v/>
      </c>
      <c r="AY4" s="84" t="str">
        <f>IFERROR(ROUND((tblPiNHistorical[[#This Row],[Mine Action New]]-tblPiNHistorical[[#This Row],[Mine Action Old]])/tblPiNHistorical[[#This Row],[Mine Action Old]], 1), "")</f>
        <v/>
      </c>
      <c r="AZ4" s="84" t="str">
        <f>IFERROR(ROUND((tblPiNHistorical[[#This Row],[Shelter NFI New]]-tblPiNHistorical[[#This Row],[Shelter NFI Old]])/tblPiNHistorical[[#This Row],[Shelter NFI Old]], 1), "")</f>
        <v/>
      </c>
      <c r="BA4" s="85" t="str">
        <f>IFERROR(ROUND((tblPiNHistorical[[#This Row],[WASH New]]-tblPiNHistorical[[#This Row],[WASH Old]])/tblPiNHistorical[[#This Row],[WASH Old]], 1), "")</f>
        <v/>
      </c>
    </row>
    <row r="5" spans="1:68" x14ac:dyDescent="0.25">
      <c r="A5"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IDPsSD15034</v>
      </c>
      <c r="B5" s="127" t="s">
        <v>147</v>
      </c>
      <c r="C5" s="60" t="s">
        <v>132</v>
      </c>
      <c r="D5" s="60" t="s">
        <v>504</v>
      </c>
      <c r="E5" s="60" t="s">
        <v>505</v>
      </c>
      <c r="F5" s="54"/>
      <c r="G5" s="30"/>
      <c r="H5" s="56">
        <v>21980</v>
      </c>
      <c r="I5" s="37" t="s">
        <v>88</v>
      </c>
      <c r="J5" s="34">
        <v>1902</v>
      </c>
      <c r="K5" s="116">
        <v>0</v>
      </c>
      <c r="L5" s="114">
        <v>21980</v>
      </c>
      <c r="M5" s="114">
        <v>21980</v>
      </c>
      <c r="N5" s="114">
        <v>1606</v>
      </c>
      <c r="O5" s="114">
        <v>12089.000000000002</v>
      </c>
      <c r="P5" s="114">
        <v>12089</v>
      </c>
      <c r="Q5" s="114">
        <v>8700</v>
      </c>
      <c r="R5" s="114">
        <v>0</v>
      </c>
      <c r="S5" s="114">
        <v>8792</v>
      </c>
      <c r="T5" s="196">
        <v>19275.5808</v>
      </c>
      <c r="U5" s="52">
        <f>IFERROR(INDEX(tblPiNAnalysis[[Site Management ]], MATCH(tblPiNHistorical[[#This Row],[ID]], tblPiNAnalysis[ID], 0)), "")</f>
        <v>0</v>
      </c>
      <c r="V5" s="52">
        <f>IFERROR(INDEX(tblPiNAnalysis[Education], MATCH(tblPiNHistorical[[#This Row],[ID]], tblPiNAnalysis[ID], 0)), "")</f>
        <v>0</v>
      </c>
      <c r="W5" s="28">
        <f>IFERROR(INDEX(tblPiNAnalysis[Food Security and Livlihoods], MATCH(tblPiNHistorical[[#This Row],[ID]], tblPiNAnalysis[ID], 0)), "")</f>
        <v>0</v>
      </c>
      <c r="X5" s="28">
        <f>IFERROR(INDEX(tblPiNAnalysis[[Health ]], MATCH(tblPiNHistorical[[#This Row],[ID]], tblPiNAnalysis[ID], 0)), "")</f>
        <v>0</v>
      </c>
      <c r="Y5" s="28">
        <f>IFERROR(INDEX(tblPiNAnalysis[Nutrition], MATCH(tblPiNHistorical[[#This Row],[ID]], tblPiNAnalysis[ID], 0)), "")</f>
        <v>0</v>
      </c>
      <c r="Z5" s="28">
        <f>IFERROR(INDEX(tblPiNAnalysis[Protection], MATCH(tblPiNHistorical[[#This Row],[ID]], tblPiNAnalysis[ID], 0)), "")</f>
        <v>0</v>
      </c>
      <c r="AA5" s="28">
        <f>IFERROR(INDEX(tblPiNAnalysis[CP], MATCH(tblPiNHistorical[[#This Row],[ID]], tblPiNAnalysis[ID], 0)), "")</f>
        <v>0</v>
      </c>
      <c r="AB5" s="83">
        <f>IFERROR(INDEX(tblPiNAnalysis[GBV], MATCH(tblPiNHistorical[[#This Row],[ID]], tblPiNAnalysis[ID], 0)), "")</f>
        <v>0</v>
      </c>
      <c r="AC5" s="28">
        <f>IFERROR(INDEX(tblPiNAnalysis[Mine Action], MATCH(tblPiNHistorical[[#This Row],[ID]], tblPiNAnalysis[ID], 0)), "")</f>
        <v>0</v>
      </c>
      <c r="AD5" s="83">
        <f>IFERROR(INDEX(tblPiNAnalysis[[Shelter NFI ]], MATCH(tblPiNHistorical[[#This Row],[ID]], tblPiNAnalysis[ID], 0)), "")</f>
        <v>9010</v>
      </c>
      <c r="AE5" s="35">
        <f>IFERROR(INDEX(tblPiNAnalysis[WASH], MATCH(tblPiNHistorical[[#This Row],[ID]], tblPiNAnalysis[ID], 0)), "")</f>
        <v>0</v>
      </c>
      <c r="AF5" s="6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5" s="67" t="str">
        <f>IF(OR(tblPiNHistorical[[#This Row],[Education Old]]="", tblPiNHistorical[[#This Row],[Education Old]]=0, tblPiNHistorical[[#This Row],[Education New]]="", tblPiNHistorical[[#This Row],[Education New]]=0), "", tblPiNHistorical[[#This Row],[Education New]]-tblPiNHistorical[[#This Row],[Education Old]])</f>
        <v/>
      </c>
      <c r="AH5" s="67"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5" s="67" t="str">
        <f>IF(OR(tblPiNHistorical[[#This Row],[Health Old]]="", tblPiNHistorical[[#This Row],[Health Old]]=0, tblPiNHistorical[[#This Row],[Health New]]="", tblPiNHistorical[[#This Row],[Health New]]=0), "", tblPiNHistorical[[#This Row],[Health New]]-tblPiNHistorical[[#This Row],[Health Old]])</f>
        <v/>
      </c>
      <c r="AJ5" s="67" t="str">
        <f>IF(OR(tblPiNHistorical[[#This Row],[Nutrition Old]]="", tblPiNHistorical[[#This Row],[Nutrition Old]]=0, tblPiNHistorical[[#This Row],[Nutrition New]]="", tblPiNHistorical[[#This Row],[Nutrition New]]=0), "", tblPiNHistorical[[#This Row],[Nutrition New]]-tblPiNHistorical[[#This Row],[Nutrition Old]])</f>
        <v/>
      </c>
      <c r="AK5" s="67" t="str">
        <f>IF(OR(tblPiNHistorical[[#This Row],[Protection Old]]="", tblPiNHistorical[[#This Row],[Protection Old]]=0, tblPiNHistorical[[#This Row],[Protection New]]="", tblPiNHistorical[[#This Row],[Protection New]]=0), "", tblPiNHistorical[[#This Row],[Protection New]]-tblPiNHistorical[[#This Row],[Protection Old]])</f>
        <v/>
      </c>
      <c r="AL5" s="67" t="str">
        <f>IF(OR(tblPiNHistorical[[#This Row],[CP Old ]]="", tblPiNHistorical[[#This Row],[CP Old ]]=0, tblPiNHistorical[[#This Row],[CP New]]="", tblPiNHistorical[[#This Row],[CP New]]=0), "", tblPiNHistorical[[#This Row],[CP New]]-tblPiNHistorical[[#This Row],[CP Old ]])</f>
        <v/>
      </c>
      <c r="AM5" s="83" t="str">
        <f>IF(OR(tblPiNHistorical[[#This Row],[GBV Old]]="", tblPiNHistorical[[#This Row],[GBV Old]]=0, tblPiNHistorical[[#This Row],[GBV New]]="", tblPiNHistorical[[#This Row],[GBV New]]=0), "", tblPiNHistorical[[#This Row],[GBV New]]-tblPiNHistorical[[#This Row],[GBV Old]])</f>
        <v/>
      </c>
      <c r="AN5" s="83" t="str">
        <f>IF(OR(tblPiNHistorical[[#This Row],[Mine Action Old]]="", tblPiNHistorical[[#This Row],[Mine Action Old]]=0, tblPiNHistorical[[#This Row],[Mine Action New]]="", tblPiNHistorical[[#This Row],[Mine Action New]]=0), "", tblPiNHistorical[[#This Row],[Mine Action New]]-tblPiNHistorical[[#This Row],[Mine Action Old]])</f>
        <v/>
      </c>
      <c r="AO5" s="67">
        <f>IF(OR(tblPiNHistorical[[#This Row],[Shelter NFI Old]]="", tblPiNHistorical[[#This Row],[Shelter NFI Old]]=0, tblPiNHistorical[[#This Row],[Shelter NFI New]]="", tblPiNHistorical[[#This Row],[Shelter NFI New]]=0), "", tblPiNHistorical[[#This Row],[Shelter NFI New]]-tblPiNHistorical[[#This Row],[Shelter NFI Old]])</f>
        <v>218</v>
      </c>
      <c r="AP5" s="111" t="str">
        <f>IF(OR(tblPiNHistorical[[#This Row],[WASH Old]]="", tblPiNHistorical[[#This Row],[WASH Old]]=0, tblPiNHistorical[[#This Row],[WASH New]]="", tblPiNHistorical[[#This Row],[WASH New]]=0), "", tblPiNHistorical[[#This Row],[WASH New]]-tblPiNHistorical[[#This Row],[WASH Old]])</f>
        <v/>
      </c>
      <c r="AQ5" s="110">
        <f>IFERROR(ROUND((tblPiNHistorical[[#This Row],[Site Management - New]] - tblPiNHistorical[[#This Row],[Site Management - Old]])/tblPiNHistorical[[#This Row],[Site Management - Old]], 1), "")</f>
        <v>-1</v>
      </c>
      <c r="AR5" s="66" t="str">
        <f>IFERROR(ROUND((tblPiNHistorical[[#This Row],[Education New]]-tblPiNHistorical[[#This Row],[Education Old]])/tblPiNHistorical[[#This Row],[Education Old]], 1), "")</f>
        <v/>
      </c>
      <c r="AS5" s="66">
        <f>IFERROR(ROUND((tblPiNHistorical[[#This Row],[Food Security and Livlihoods New]]-tblPiNHistorical[[#This Row],[Food Security and Livlihoods Old]])/tblPiNHistorical[[#This Row],[Food Security and Livlihoods Old]], 1), "")</f>
        <v>-1</v>
      </c>
      <c r="AT5" s="66">
        <f>IFERROR(ROUND((tblPiNHistorical[[#This Row],[Health New]]-tblPiNHistorical[[#This Row],[Health Old]])/tblPiNHistorical[[#This Row],[Health Old]], 1), "")</f>
        <v>-1</v>
      </c>
      <c r="AU5" s="66">
        <f>IFERROR(ROUND((tblPiNHistorical[[#This Row],[Nutrition New]]-tblPiNHistorical[[#This Row],[Nutrition Old]])/tblPiNHistorical[[#This Row],[Nutrition Old]], 1), "")</f>
        <v>-1</v>
      </c>
      <c r="AV5" s="66">
        <f>IFERROR(ROUND((tblPiNHistorical[[#This Row],[Protection New]]-tblPiNHistorical[[#This Row],[Protection Old]])/tblPiNHistorical[[#This Row],[Protection Old]], 1), "")</f>
        <v>-1</v>
      </c>
      <c r="AW5" s="84">
        <f>IFERROR(ROUND((tblPiNHistorical[[#This Row],[CP New]]-tblPiNHistorical[[#This Row],[CP Old ]])/tblPiNHistorical[[#This Row],[CP Old ]], 1), "")</f>
        <v>-1</v>
      </c>
      <c r="AX5" s="84">
        <f>IFERROR(ROUND((tblPiNHistorical[[#This Row],[GBV New]]-tblPiNHistorical[[#This Row],[GBV Old]])/tblPiNHistorical[[#This Row],[GBV Old]], 1), "")</f>
        <v>-1</v>
      </c>
      <c r="AY5" s="84" t="str">
        <f>IFERROR(ROUND((tblPiNHistorical[[#This Row],[Mine Action New]]-tblPiNHistorical[[#This Row],[Mine Action Old]])/tblPiNHistorical[[#This Row],[Mine Action Old]], 1), "")</f>
        <v/>
      </c>
      <c r="AZ5" s="66">
        <f>IFERROR(ROUND((tblPiNHistorical[[#This Row],[Shelter NFI New]]-tblPiNHistorical[[#This Row],[Shelter NFI Old]])/tblPiNHistorical[[#This Row],[Shelter NFI Old]], 1), "")</f>
        <v>0</v>
      </c>
      <c r="BA5" s="36">
        <f>IFERROR(ROUND((tblPiNHistorical[[#This Row],[WASH New]]-tblPiNHistorical[[#This Row],[WASH Old]])/tblPiNHistorical[[#This Row],[WASH Old]], 1), "")</f>
        <v>-1</v>
      </c>
      <c r="BB5"/>
      <c r="BC5"/>
      <c r="BD5"/>
      <c r="BE5"/>
      <c r="BF5"/>
      <c r="BG5"/>
      <c r="BH5"/>
      <c r="BI5"/>
      <c r="BL5"/>
      <c r="BN5"/>
      <c r="BO5"/>
      <c r="BP5"/>
    </row>
    <row r="6" spans="1:68" x14ac:dyDescent="0.25">
      <c r="A6"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IDPsSD15035</v>
      </c>
      <c r="B6" s="127" t="s">
        <v>147</v>
      </c>
      <c r="C6" s="60" t="s">
        <v>132</v>
      </c>
      <c r="D6" s="60" t="s">
        <v>506</v>
      </c>
      <c r="E6" s="60" t="s">
        <v>507</v>
      </c>
      <c r="F6" s="54"/>
      <c r="G6" s="30"/>
      <c r="H6" s="56">
        <v>72235</v>
      </c>
      <c r="I6" s="37" t="s">
        <v>88</v>
      </c>
      <c r="J6" s="34">
        <v>1320</v>
      </c>
      <c r="K6" s="116">
        <v>28005.5095</v>
      </c>
      <c r="L6" s="114">
        <v>72235</v>
      </c>
      <c r="M6" s="114">
        <v>72235</v>
      </c>
      <c r="N6" s="114">
        <v>3618</v>
      </c>
      <c r="O6" s="114">
        <v>72235</v>
      </c>
      <c r="P6" s="114">
        <v>39729</v>
      </c>
      <c r="Q6" s="114">
        <v>28591</v>
      </c>
      <c r="R6" s="114">
        <v>0</v>
      </c>
      <c r="S6" s="114">
        <v>43341</v>
      </c>
      <c r="T6" s="196">
        <v>71677.345799999996</v>
      </c>
      <c r="U6" s="52">
        <f>IFERROR(INDEX(tblPiNAnalysis[[Site Management ]], MATCH(tblPiNHistorical[[#This Row],[ID]], tblPiNAnalysis[ID], 0)), "")</f>
        <v>0</v>
      </c>
      <c r="V6" s="52">
        <f>IFERROR(INDEX(tblPiNAnalysis[Education], MATCH(tblPiNHistorical[[#This Row],[ID]], tblPiNAnalysis[ID], 0)), "")</f>
        <v>0</v>
      </c>
      <c r="W6" s="28">
        <f>IFERROR(INDEX(tblPiNAnalysis[Food Security and Livlihoods], MATCH(tblPiNHistorical[[#This Row],[ID]], tblPiNAnalysis[ID], 0)), "")</f>
        <v>0</v>
      </c>
      <c r="X6" s="28">
        <f>IFERROR(INDEX(tblPiNAnalysis[[Health ]], MATCH(tblPiNHistorical[[#This Row],[ID]], tblPiNAnalysis[ID], 0)), "")</f>
        <v>0</v>
      </c>
      <c r="Y6" s="28">
        <f>IFERROR(INDEX(tblPiNAnalysis[Nutrition], MATCH(tblPiNHistorical[[#This Row],[ID]], tblPiNAnalysis[ID], 0)), "")</f>
        <v>0</v>
      </c>
      <c r="Z6" s="28">
        <f>IFERROR(INDEX(tblPiNAnalysis[Protection], MATCH(tblPiNHistorical[[#This Row],[ID]], tblPiNAnalysis[ID], 0)), "")</f>
        <v>0</v>
      </c>
      <c r="AA6" s="28">
        <f>IFERROR(INDEX(tblPiNAnalysis[CP], MATCH(tblPiNHistorical[[#This Row],[ID]], tblPiNAnalysis[ID], 0)), "")</f>
        <v>0</v>
      </c>
      <c r="AB6" s="83">
        <f>IFERROR(INDEX(tblPiNAnalysis[GBV], MATCH(tblPiNHistorical[[#This Row],[ID]], tblPiNAnalysis[ID], 0)), "")</f>
        <v>0</v>
      </c>
      <c r="AC6" s="28">
        <f>IFERROR(INDEX(tblPiNAnalysis[Mine Action], MATCH(tblPiNHistorical[[#This Row],[ID]], tblPiNAnalysis[ID], 0)), "")</f>
        <v>0</v>
      </c>
      <c r="AD6" s="83">
        <f>IFERROR(INDEX(tblPiNAnalysis[[Shelter NFI ]], MATCH(tblPiNHistorical[[#This Row],[ID]], tblPiNAnalysis[ID], 0)), "")</f>
        <v>15353</v>
      </c>
      <c r="AE6" s="35">
        <f>IFERROR(INDEX(tblPiNAnalysis[WASH], MATCH(tblPiNHistorical[[#This Row],[ID]], tblPiNAnalysis[ID], 0)), "")</f>
        <v>0</v>
      </c>
      <c r="AF6" s="6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6" s="67" t="str">
        <f>IF(OR(tblPiNHistorical[[#This Row],[Education Old]]="", tblPiNHistorical[[#This Row],[Education Old]]=0, tblPiNHistorical[[#This Row],[Education New]]="", tblPiNHistorical[[#This Row],[Education New]]=0), "", tblPiNHistorical[[#This Row],[Education New]]-tblPiNHistorical[[#This Row],[Education Old]])</f>
        <v/>
      </c>
      <c r="AH6" s="67"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6" s="67" t="str">
        <f>IF(OR(tblPiNHistorical[[#This Row],[Health Old]]="", tblPiNHistorical[[#This Row],[Health Old]]=0, tblPiNHistorical[[#This Row],[Health New]]="", tblPiNHistorical[[#This Row],[Health New]]=0), "", tblPiNHistorical[[#This Row],[Health New]]-tblPiNHistorical[[#This Row],[Health Old]])</f>
        <v/>
      </c>
      <c r="AJ6" s="67" t="str">
        <f>IF(OR(tblPiNHistorical[[#This Row],[Nutrition Old]]="", tblPiNHistorical[[#This Row],[Nutrition Old]]=0, tblPiNHistorical[[#This Row],[Nutrition New]]="", tblPiNHistorical[[#This Row],[Nutrition New]]=0), "", tblPiNHistorical[[#This Row],[Nutrition New]]-tblPiNHistorical[[#This Row],[Nutrition Old]])</f>
        <v/>
      </c>
      <c r="AK6" s="67" t="str">
        <f>IF(OR(tblPiNHistorical[[#This Row],[Protection Old]]="", tblPiNHistorical[[#This Row],[Protection Old]]=0, tblPiNHistorical[[#This Row],[Protection New]]="", tblPiNHistorical[[#This Row],[Protection New]]=0), "", tblPiNHistorical[[#This Row],[Protection New]]-tblPiNHistorical[[#This Row],[Protection Old]])</f>
        <v/>
      </c>
      <c r="AL6" s="67" t="str">
        <f>IF(OR(tblPiNHistorical[[#This Row],[CP Old ]]="", tblPiNHistorical[[#This Row],[CP Old ]]=0, tblPiNHistorical[[#This Row],[CP New]]="", tblPiNHistorical[[#This Row],[CP New]]=0), "", tblPiNHistorical[[#This Row],[CP New]]-tblPiNHistorical[[#This Row],[CP Old ]])</f>
        <v/>
      </c>
      <c r="AM6" s="83" t="str">
        <f>IF(OR(tblPiNHistorical[[#This Row],[GBV Old]]="", tblPiNHistorical[[#This Row],[GBV Old]]=0, tblPiNHistorical[[#This Row],[GBV New]]="", tblPiNHistorical[[#This Row],[GBV New]]=0), "", tblPiNHistorical[[#This Row],[GBV New]]-tblPiNHistorical[[#This Row],[GBV Old]])</f>
        <v/>
      </c>
      <c r="AN6" s="83" t="str">
        <f>IF(OR(tblPiNHistorical[[#This Row],[Mine Action Old]]="", tblPiNHistorical[[#This Row],[Mine Action Old]]=0, tblPiNHistorical[[#This Row],[Mine Action New]]="", tblPiNHistorical[[#This Row],[Mine Action New]]=0), "", tblPiNHistorical[[#This Row],[Mine Action New]]-tblPiNHistorical[[#This Row],[Mine Action Old]])</f>
        <v/>
      </c>
      <c r="AO6" s="67">
        <f>IF(OR(tblPiNHistorical[[#This Row],[Shelter NFI Old]]="", tblPiNHistorical[[#This Row],[Shelter NFI Old]]=0, tblPiNHistorical[[#This Row],[Shelter NFI New]]="", tblPiNHistorical[[#This Row],[Shelter NFI New]]=0), "", tblPiNHistorical[[#This Row],[Shelter NFI New]]-tblPiNHistorical[[#This Row],[Shelter NFI Old]])</f>
        <v>-27988</v>
      </c>
      <c r="AP6" s="111" t="str">
        <f>IF(OR(tblPiNHistorical[[#This Row],[WASH Old]]="", tblPiNHistorical[[#This Row],[WASH Old]]=0, tblPiNHistorical[[#This Row],[WASH New]]="", tblPiNHistorical[[#This Row],[WASH New]]=0), "", tblPiNHistorical[[#This Row],[WASH New]]-tblPiNHistorical[[#This Row],[WASH Old]])</f>
        <v/>
      </c>
      <c r="AQ6" s="110">
        <f>IFERROR(ROUND((tblPiNHistorical[[#This Row],[Site Management - New]] - tblPiNHistorical[[#This Row],[Site Management - Old]])/tblPiNHistorical[[#This Row],[Site Management - Old]], 1), "")</f>
        <v>-1</v>
      </c>
      <c r="AR6" s="66">
        <f>IFERROR(ROUND((tblPiNHistorical[[#This Row],[Education New]]-tblPiNHistorical[[#This Row],[Education Old]])/tblPiNHistorical[[#This Row],[Education Old]], 1), "")</f>
        <v>-1</v>
      </c>
      <c r="AS6" s="66">
        <f>IFERROR(ROUND((tblPiNHistorical[[#This Row],[Food Security and Livlihoods New]]-tblPiNHistorical[[#This Row],[Food Security and Livlihoods Old]])/tblPiNHistorical[[#This Row],[Food Security and Livlihoods Old]], 1), "")</f>
        <v>-1</v>
      </c>
      <c r="AT6" s="66">
        <f>IFERROR(ROUND((tblPiNHistorical[[#This Row],[Health New]]-tblPiNHistorical[[#This Row],[Health Old]])/tblPiNHistorical[[#This Row],[Health Old]], 1), "")</f>
        <v>-1</v>
      </c>
      <c r="AU6" s="66">
        <f>IFERROR(ROUND((tblPiNHistorical[[#This Row],[Nutrition New]]-tblPiNHistorical[[#This Row],[Nutrition Old]])/tblPiNHistorical[[#This Row],[Nutrition Old]], 1), "")</f>
        <v>-1</v>
      </c>
      <c r="AV6" s="66">
        <f>IFERROR(ROUND((tblPiNHistorical[[#This Row],[Protection New]]-tblPiNHistorical[[#This Row],[Protection Old]])/tblPiNHistorical[[#This Row],[Protection Old]], 1), "")</f>
        <v>-1</v>
      </c>
      <c r="AW6" s="84">
        <f>IFERROR(ROUND((tblPiNHistorical[[#This Row],[CP New]]-tblPiNHistorical[[#This Row],[CP Old ]])/tblPiNHistorical[[#This Row],[CP Old ]], 1), "")</f>
        <v>-1</v>
      </c>
      <c r="AX6" s="84">
        <f>IFERROR(ROUND((tblPiNHistorical[[#This Row],[GBV New]]-tblPiNHistorical[[#This Row],[GBV Old]])/tblPiNHistorical[[#This Row],[GBV Old]], 1), "")</f>
        <v>-1</v>
      </c>
      <c r="AY6" s="84" t="str">
        <f>IFERROR(ROUND((tblPiNHistorical[[#This Row],[Mine Action New]]-tblPiNHistorical[[#This Row],[Mine Action Old]])/tblPiNHistorical[[#This Row],[Mine Action Old]], 1), "")</f>
        <v/>
      </c>
      <c r="AZ6" s="66">
        <f>IFERROR(ROUND((tblPiNHistorical[[#This Row],[Shelter NFI New]]-tblPiNHistorical[[#This Row],[Shelter NFI Old]])/tblPiNHistorical[[#This Row],[Shelter NFI Old]], 1), "")</f>
        <v>-0.6</v>
      </c>
      <c r="BA6" s="36">
        <f>IFERROR(ROUND((tblPiNHistorical[[#This Row],[WASH New]]-tblPiNHistorical[[#This Row],[WASH Old]])/tblPiNHistorical[[#This Row],[WASH Old]], 1), "")</f>
        <v>-1</v>
      </c>
      <c r="BB6"/>
      <c r="BC6"/>
      <c r="BD6"/>
      <c r="BE6"/>
      <c r="BF6"/>
      <c r="BG6"/>
      <c r="BH6"/>
      <c r="BI6"/>
      <c r="BL6"/>
      <c r="BN6"/>
      <c r="BO6"/>
      <c r="BP6"/>
    </row>
    <row r="7" spans="1:68" x14ac:dyDescent="0.25">
      <c r="A7"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IDPsSD15036</v>
      </c>
      <c r="B7" s="127" t="s">
        <v>147</v>
      </c>
      <c r="C7" s="60" t="s">
        <v>132</v>
      </c>
      <c r="D7" s="60" t="s">
        <v>508</v>
      </c>
      <c r="E7" s="60" t="s">
        <v>509</v>
      </c>
      <c r="F7" s="54"/>
      <c r="G7" s="30"/>
      <c r="H7" s="56">
        <v>29680</v>
      </c>
      <c r="I7" s="37" t="s">
        <v>88</v>
      </c>
      <c r="J7" s="34">
        <v>550</v>
      </c>
      <c r="K7" s="116">
        <v>0</v>
      </c>
      <c r="L7" s="114">
        <v>29680</v>
      </c>
      <c r="M7" s="114">
        <v>29680</v>
      </c>
      <c r="N7" s="114">
        <v>2718</v>
      </c>
      <c r="O7" s="114">
        <v>16324.000000000002</v>
      </c>
      <c r="P7" s="114">
        <v>16324</v>
      </c>
      <c r="Q7" s="114">
        <v>11748</v>
      </c>
      <c r="R7" s="114">
        <v>0</v>
      </c>
      <c r="S7" s="114">
        <v>11872</v>
      </c>
      <c r="T7" s="196">
        <v>23852.035199999998</v>
      </c>
      <c r="U7" s="52">
        <f>IFERROR(INDEX(tblPiNAnalysis[[Site Management ]], MATCH(tblPiNHistorical[[#This Row],[ID]], tblPiNAnalysis[ID], 0)), "")</f>
        <v>0</v>
      </c>
      <c r="V7" s="52">
        <f>IFERROR(INDEX(tblPiNAnalysis[Education], MATCH(tblPiNHistorical[[#This Row],[ID]], tblPiNAnalysis[ID], 0)), "")</f>
        <v>0</v>
      </c>
      <c r="W7" s="28">
        <f>IFERROR(INDEX(tblPiNAnalysis[Food Security and Livlihoods], MATCH(tblPiNHistorical[[#This Row],[ID]], tblPiNAnalysis[ID], 0)), "")</f>
        <v>0</v>
      </c>
      <c r="X7" s="28">
        <f>IFERROR(INDEX(tblPiNAnalysis[[Health ]], MATCH(tblPiNHistorical[[#This Row],[ID]], tblPiNAnalysis[ID], 0)), "")</f>
        <v>0</v>
      </c>
      <c r="Y7" s="28">
        <f>IFERROR(INDEX(tblPiNAnalysis[Nutrition], MATCH(tblPiNHistorical[[#This Row],[ID]], tblPiNAnalysis[ID], 0)), "")</f>
        <v>0</v>
      </c>
      <c r="Z7" s="28">
        <f>IFERROR(INDEX(tblPiNAnalysis[Protection], MATCH(tblPiNHistorical[[#This Row],[ID]], tblPiNAnalysis[ID], 0)), "")</f>
        <v>0</v>
      </c>
      <c r="AA7" s="28">
        <f>IFERROR(INDEX(tblPiNAnalysis[CP], MATCH(tblPiNHistorical[[#This Row],[ID]], tblPiNAnalysis[ID], 0)), "")</f>
        <v>0</v>
      </c>
      <c r="AB7" s="83">
        <f>IFERROR(INDEX(tblPiNAnalysis[GBV], MATCH(tblPiNHistorical[[#This Row],[ID]], tblPiNAnalysis[ID], 0)), "")</f>
        <v>0</v>
      </c>
      <c r="AC7" s="28">
        <f>IFERROR(INDEX(tblPiNAnalysis[Mine Action], MATCH(tblPiNHistorical[[#This Row],[ID]], tblPiNAnalysis[ID], 0)), "")</f>
        <v>0</v>
      </c>
      <c r="AD7" s="83">
        <f>IFERROR(INDEX(tblPiNAnalysis[[Shelter NFI ]], MATCH(tblPiNHistorical[[#This Row],[ID]], tblPiNAnalysis[ID], 0)), "")</f>
        <v>35004</v>
      </c>
      <c r="AE7" s="35">
        <f>IFERROR(INDEX(tblPiNAnalysis[WASH], MATCH(tblPiNHistorical[[#This Row],[ID]], tblPiNAnalysis[ID], 0)), "")</f>
        <v>0</v>
      </c>
      <c r="AF7" s="6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7" s="67" t="str">
        <f>IF(OR(tblPiNHistorical[[#This Row],[Education Old]]="", tblPiNHistorical[[#This Row],[Education Old]]=0, tblPiNHistorical[[#This Row],[Education New]]="", tblPiNHistorical[[#This Row],[Education New]]=0), "", tblPiNHistorical[[#This Row],[Education New]]-tblPiNHistorical[[#This Row],[Education Old]])</f>
        <v/>
      </c>
      <c r="AH7" s="67"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7" s="67" t="str">
        <f>IF(OR(tblPiNHistorical[[#This Row],[Health Old]]="", tblPiNHistorical[[#This Row],[Health Old]]=0, tblPiNHistorical[[#This Row],[Health New]]="", tblPiNHistorical[[#This Row],[Health New]]=0), "", tblPiNHistorical[[#This Row],[Health New]]-tblPiNHistorical[[#This Row],[Health Old]])</f>
        <v/>
      </c>
      <c r="AJ7" s="67" t="str">
        <f>IF(OR(tblPiNHistorical[[#This Row],[Nutrition Old]]="", tblPiNHistorical[[#This Row],[Nutrition Old]]=0, tblPiNHistorical[[#This Row],[Nutrition New]]="", tblPiNHistorical[[#This Row],[Nutrition New]]=0), "", tblPiNHistorical[[#This Row],[Nutrition New]]-tblPiNHistorical[[#This Row],[Nutrition Old]])</f>
        <v/>
      </c>
      <c r="AK7" s="67" t="str">
        <f>IF(OR(tblPiNHistorical[[#This Row],[Protection Old]]="", tblPiNHistorical[[#This Row],[Protection Old]]=0, tblPiNHistorical[[#This Row],[Protection New]]="", tblPiNHistorical[[#This Row],[Protection New]]=0), "", tblPiNHistorical[[#This Row],[Protection New]]-tblPiNHistorical[[#This Row],[Protection Old]])</f>
        <v/>
      </c>
      <c r="AL7" s="67" t="str">
        <f>IF(OR(tblPiNHistorical[[#This Row],[CP Old ]]="", tblPiNHistorical[[#This Row],[CP Old ]]=0, tblPiNHistorical[[#This Row],[CP New]]="", tblPiNHistorical[[#This Row],[CP New]]=0), "", tblPiNHistorical[[#This Row],[CP New]]-tblPiNHistorical[[#This Row],[CP Old ]])</f>
        <v/>
      </c>
      <c r="AM7" s="83" t="str">
        <f>IF(OR(tblPiNHistorical[[#This Row],[GBV Old]]="", tblPiNHistorical[[#This Row],[GBV Old]]=0, tblPiNHistorical[[#This Row],[GBV New]]="", tblPiNHistorical[[#This Row],[GBV New]]=0), "", tblPiNHistorical[[#This Row],[GBV New]]-tblPiNHistorical[[#This Row],[GBV Old]])</f>
        <v/>
      </c>
      <c r="AN7" s="83" t="str">
        <f>IF(OR(tblPiNHistorical[[#This Row],[Mine Action Old]]="", tblPiNHistorical[[#This Row],[Mine Action Old]]=0, tblPiNHistorical[[#This Row],[Mine Action New]]="", tblPiNHistorical[[#This Row],[Mine Action New]]=0), "", tblPiNHistorical[[#This Row],[Mine Action New]]-tblPiNHistorical[[#This Row],[Mine Action Old]])</f>
        <v/>
      </c>
      <c r="AO7" s="67">
        <f>IF(OR(tblPiNHistorical[[#This Row],[Shelter NFI Old]]="", tblPiNHistorical[[#This Row],[Shelter NFI Old]]=0, tblPiNHistorical[[#This Row],[Shelter NFI New]]="", tblPiNHistorical[[#This Row],[Shelter NFI New]]=0), "", tblPiNHistorical[[#This Row],[Shelter NFI New]]-tblPiNHistorical[[#This Row],[Shelter NFI Old]])</f>
        <v>23132</v>
      </c>
      <c r="AP7" s="111" t="str">
        <f>IF(OR(tblPiNHistorical[[#This Row],[WASH Old]]="", tblPiNHistorical[[#This Row],[WASH Old]]=0, tblPiNHistorical[[#This Row],[WASH New]]="", tblPiNHistorical[[#This Row],[WASH New]]=0), "", tblPiNHistorical[[#This Row],[WASH New]]-tblPiNHistorical[[#This Row],[WASH Old]])</f>
        <v/>
      </c>
      <c r="AQ7" s="110">
        <f>IFERROR(ROUND((tblPiNHistorical[[#This Row],[Site Management - New]] - tblPiNHistorical[[#This Row],[Site Management - Old]])/tblPiNHistorical[[#This Row],[Site Management - Old]], 1), "")</f>
        <v>-1</v>
      </c>
      <c r="AR7" s="66" t="str">
        <f>IFERROR(ROUND((tblPiNHistorical[[#This Row],[Education New]]-tblPiNHistorical[[#This Row],[Education Old]])/tblPiNHistorical[[#This Row],[Education Old]], 1), "")</f>
        <v/>
      </c>
      <c r="AS7" s="66">
        <f>IFERROR(ROUND((tblPiNHistorical[[#This Row],[Food Security and Livlihoods New]]-tblPiNHistorical[[#This Row],[Food Security and Livlihoods Old]])/tblPiNHistorical[[#This Row],[Food Security and Livlihoods Old]], 1), "")</f>
        <v>-1</v>
      </c>
      <c r="AT7" s="66">
        <f>IFERROR(ROUND((tblPiNHistorical[[#This Row],[Health New]]-tblPiNHistorical[[#This Row],[Health Old]])/tblPiNHistorical[[#This Row],[Health Old]], 1), "")</f>
        <v>-1</v>
      </c>
      <c r="AU7" s="66">
        <f>IFERROR(ROUND((tblPiNHistorical[[#This Row],[Nutrition New]]-tblPiNHistorical[[#This Row],[Nutrition Old]])/tblPiNHistorical[[#This Row],[Nutrition Old]], 1), "")</f>
        <v>-1</v>
      </c>
      <c r="AV7" s="66">
        <f>IFERROR(ROUND((tblPiNHistorical[[#This Row],[Protection New]]-tblPiNHistorical[[#This Row],[Protection Old]])/tblPiNHistorical[[#This Row],[Protection Old]], 1), "")</f>
        <v>-1</v>
      </c>
      <c r="AW7" s="84">
        <f>IFERROR(ROUND((tblPiNHistorical[[#This Row],[CP New]]-tblPiNHistorical[[#This Row],[CP Old ]])/tblPiNHistorical[[#This Row],[CP Old ]], 1), "")</f>
        <v>-1</v>
      </c>
      <c r="AX7" s="84">
        <f>IFERROR(ROUND((tblPiNHistorical[[#This Row],[GBV New]]-tblPiNHistorical[[#This Row],[GBV Old]])/tblPiNHistorical[[#This Row],[GBV Old]], 1), "")</f>
        <v>-1</v>
      </c>
      <c r="AY7" s="84" t="str">
        <f>IFERROR(ROUND((tblPiNHistorical[[#This Row],[Mine Action New]]-tblPiNHistorical[[#This Row],[Mine Action Old]])/tblPiNHistorical[[#This Row],[Mine Action Old]], 1), "")</f>
        <v/>
      </c>
      <c r="AZ7" s="66">
        <f>IFERROR(ROUND((tblPiNHistorical[[#This Row],[Shelter NFI New]]-tblPiNHistorical[[#This Row],[Shelter NFI Old]])/tblPiNHistorical[[#This Row],[Shelter NFI Old]], 1), "")</f>
        <v>1.9</v>
      </c>
      <c r="BA7" s="36">
        <f>IFERROR(ROUND((tblPiNHistorical[[#This Row],[WASH New]]-tblPiNHistorical[[#This Row],[WASH Old]])/tblPiNHistorical[[#This Row],[WASH Old]], 1), "")</f>
        <v>-1</v>
      </c>
      <c r="BB7"/>
      <c r="BC7"/>
      <c r="BD7"/>
      <c r="BE7"/>
      <c r="BF7"/>
      <c r="BG7"/>
      <c r="BH7"/>
      <c r="BI7"/>
      <c r="BL7"/>
      <c r="BN7"/>
      <c r="BO7"/>
      <c r="BP7"/>
    </row>
    <row r="8" spans="1:68" x14ac:dyDescent="0.25">
      <c r="A8"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IDPsSD15037</v>
      </c>
      <c r="B8" s="127" t="s">
        <v>147</v>
      </c>
      <c r="C8" s="60" t="s">
        <v>132</v>
      </c>
      <c r="D8" s="60" t="s">
        <v>510</v>
      </c>
      <c r="E8" s="60" t="s">
        <v>511</v>
      </c>
      <c r="F8" s="54"/>
      <c r="G8" s="30"/>
      <c r="H8" s="56">
        <v>9110</v>
      </c>
      <c r="I8" s="37" t="s">
        <v>88</v>
      </c>
      <c r="J8" s="34">
        <v>465</v>
      </c>
      <c r="K8" s="116">
        <v>0</v>
      </c>
      <c r="L8" s="114">
        <v>9110</v>
      </c>
      <c r="M8" s="114">
        <v>9110</v>
      </c>
      <c r="N8" s="114">
        <v>816</v>
      </c>
      <c r="O8" s="114">
        <v>9110</v>
      </c>
      <c r="P8" s="114">
        <v>5011</v>
      </c>
      <c r="Q8" s="114">
        <v>3125</v>
      </c>
      <c r="R8" s="114">
        <v>0</v>
      </c>
      <c r="S8" s="114">
        <v>0</v>
      </c>
      <c r="T8" s="196">
        <v>5240.8007999999982</v>
      </c>
      <c r="U8" s="52">
        <f>IFERROR(INDEX(tblPiNAnalysis[[Site Management ]], MATCH(tblPiNHistorical[[#This Row],[ID]], tblPiNAnalysis[ID], 0)), "")</f>
        <v>0</v>
      </c>
      <c r="V8" s="52">
        <f>IFERROR(INDEX(tblPiNAnalysis[Education], MATCH(tblPiNHistorical[[#This Row],[ID]], tblPiNAnalysis[ID], 0)), "")</f>
        <v>0</v>
      </c>
      <c r="W8" s="28">
        <f>IFERROR(INDEX(tblPiNAnalysis[Food Security and Livlihoods], MATCH(tblPiNHistorical[[#This Row],[ID]], tblPiNAnalysis[ID], 0)), "")</f>
        <v>0</v>
      </c>
      <c r="X8" s="28">
        <f>IFERROR(INDEX(tblPiNAnalysis[[Health ]], MATCH(tblPiNHistorical[[#This Row],[ID]], tblPiNAnalysis[ID], 0)), "")</f>
        <v>0</v>
      </c>
      <c r="Y8" s="28">
        <f>IFERROR(INDEX(tblPiNAnalysis[Nutrition], MATCH(tblPiNHistorical[[#This Row],[ID]], tblPiNAnalysis[ID], 0)), "")</f>
        <v>0</v>
      </c>
      <c r="Z8" s="28">
        <f>IFERROR(INDEX(tblPiNAnalysis[Protection], MATCH(tblPiNHistorical[[#This Row],[ID]], tblPiNAnalysis[ID], 0)), "")</f>
        <v>0</v>
      </c>
      <c r="AA8" s="28">
        <f>IFERROR(INDEX(tblPiNAnalysis[CP], MATCH(tblPiNHistorical[[#This Row],[ID]], tblPiNAnalysis[ID], 0)), "")</f>
        <v>0</v>
      </c>
      <c r="AB8" s="83">
        <f>IFERROR(INDEX(tblPiNAnalysis[GBV], MATCH(tblPiNHistorical[[#This Row],[ID]], tblPiNAnalysis[ID], 0)), "")</f>
        <v>0</v>
      </c>
      <c r="AC8" s="28">
        <f>IFERROR(INDEX(tblPiNAnalysis[Mine Action], MATCH(tblPiNHistorical[[#This Row],[ID]], tblPiNAnalysis[ID], 0)), "")</f>
        <v>0</v>
      </c>
      <c r="AD8" s="83">
        <f>IFERROR(INDEX(tblPiNAnalysis[[Shelter NFI ]], MATCH(tblPiNHistorical[[#This Row],[ID]], tblPiNAnalysis[ID], 0)), "")</f>
        <v>34533</v>
      </c>
      <c r="AE8" s="35">
        <f>IFERROR(INDEX(tblPiNAnalysis[WASH], MATCH(tblPiNHistorical[[#This Row],[ID]], tblPiNAnalysis[ID], 0)), "")</f>
        <v>0</v>
      </c>
      <c r="AF8" s="6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8" s="67" t="str">
        <f>IF(OR(tblPiNHistorical[[#This Row],[Education Old]]="", tblPiNHistorical[[#This Row],[Education Old]]=0, tblPiNHistorical[[#This Row],[Education New]]="", tblPiNHistorical[[#This Row],[Education New]]=0), "", tblPiNHistorical[[#This Row],[Education New]]-tblPiNHistorical[[#This Row],[Education Old]])</f>
        <v/>
      </c>
      <c r="AH8" s="67"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8" s="67" t="str">
        <f>IF(OR(tblPiNHistorical[[#This Row],[Health Old]]="", tblPiNHistorical[[#This Row],[Health Old]]=0, tblPiNHistorical[[#This Row],[Health New]]="", tblPiNHistorical[[#This Row],[Health New]]=0), "", tblPiNHistorical[[#This Row],[Health New]]-tblPiNHistorical[[#This Row],[Health Old]])</f>
        <v/>
      </c>
      <c r="AJ8" s="67" t="str">
        <f>IF(OR(tblPiNHistorical[[#This Row],[Nutrition Old]]="", tblPiNHistorical[[#This Row],[Nutrition Old]]=0, tblPiNHistorical[[#This Row],[Nutrition New]]="", tblPiNHistorical[[#This Row],[Nutrition New]]=0), "", tblPiNHistorical[[#This Row],[Nutrition New]]-tblPiNHistorical[[#This Row],[Nutrition Old]])</f>
        <v/>
      </c>
      <c r="AK8" s="67" t="str">
        <f>IF(OR(tblPiNHistorical[[#This Row],[Protection Old]]="", tblPiNHistorical[[#This Row],[Protection Old]]=0, tblPiNHistorical[[#This Row],[Protection New]]="", tblPiNHistorical[[#This Row],[Protection New]]=0), "", tblPiNHistorical[[#This Row],[Protection New]]-tblPiNHistorical[[#This Row],[Protection Old]])</f>
        <v/>
      </c>
      <c r="AL8" s="67" t="str">
        <f>IF(OR(tblPiNHistorical[[#This Row],[CP Old ]]="", tblPiNHistorical[[#This Row],[CP Old ]]=0, tblPiNHistorical[[#This Row],[CP New]]="", tblPiNHistorical[[#This Row],[CP New]]=0), "", tblPiNHistorical[[#This Row],[CP New]]-tblPiNHistorical[[#This Row],[CP Old ]])</f>
        <v/>
      </c>
      <c r="AM8" s="83" t="str">
        <f>IF(OR(tblPiNHistorical[[#This Row],[GBV Old]]="", tblPiNHistorical[[#This Row],[GBV Old]]=0, tblPiNHistorical[[#This Row],[GBV New]]="", tblPiNHistorical[[#This Row],[GBV New]]=0), "", tblPiNHistorical[[#This Row],[GBV New]]-tblPiNHistorical[[#This Row],[GBV Old]])</f>
        <v/>
      </c>
      <c r="AN8" s="83" t="str">
        <f>IF(OR(tblPiNHistorical[[#This Row],[Mine Action Old]]="", tblPiNHistorical[[#This Row],[Mine Action Old]]=0, tblPiNHistorical[[#This Row],[Mine Action New]]="", tblPiNHistorical[[#This Row],[Mine Action New]]=0), "", tblPiNHistorical[[#This Row],[Mine Action New]]-tblPiNHistorical[[#This Row],[Mine Action Old]])</f>
        <v/>
      </c>
      <c r="AO8" s="67" t="str">
        <f>IF(OR(tblPiNHistorical[[#This Row],[Shelter NFI Old]]="", tblPiNHistorical[[#This Row],[Shelter NFI Old]]=0, tblPiNHistorical[[#This Row],[Shelter NFI New]]="", tblPiNHistorical[[#This Row],[Shelter NFI New]]=0), "", tblPiNHistorical[[#This Row],[Shelter NFI New]]-tblPiNHistorical[[#This Row],[Shelter NFI Old]])</f>
        <v/>
      </c>
      <c r="AP8" s="111" t="str">
        <f>IF(OR(tblPiNHistorical[[#This Row],[WASH Old]]="", tblPiNHistorical[[#This Row],[WASH Old]]=0, tblPiNHistorical[[#This Row],[WASH New]]="", tblPiNHistorical[[#This Row],[WASH New]]=0), "", tblPiNHistorical[[#This Row],[WASH New]]-tblPiNHistorical[[#This Row],[WASH Old]])</f>
        <v/>
      </c>
      <c r="AQ8" s="110">
        <f>IFERROR(ROUND((tblPiNHistorical[[#This Row],[Site Management - New]] - tblPiNHistorical[[#This Row],[Site Management - Old]])/tblPiNHistorical[[#This Row],[Site Management - Old]], 1), "")</f>
        <v>-1</v>
      </c>
      <c r="AR8" s="66" t="str">
        <f>IFERROR(ROUND((tblPiNHistorical[[#This Row],[Education New]]-tblPiNHistorical[[#This Row],[Education Old]])/tblPiNHistorical[[#This Row],[Education Old]], 1), "")</f>
        <v/>
      </c>
      <c r="AS8" s="66">
        <f>IFERROR(ROUND((tblPiNHistorical[[#This Row],[Food Security and Livlihoods New]]-tblPiNHistorical[[#This Row],[Food Security and Livlihoods Old]])/tblPiNHistorical[[#This Row],[Food Security and Livlihoods Old]], 1), "")</f>
        <v>-1</v>
      </c>
      <c r="AT8" s="66">
        <f>IFERROR(ROUND((tblPiNHistorical[[#This Row],[Health New]]-tblPiNHistorical[[#This Row],[Health Old]])/tblPiNHistorical[[#This Row],[Health Old]], 1), "")</f>
        <v>-1</v>
      </c>
      <c r="AU8" s="66">
        <f>IFERROR(ROUND((tblPiNHistorical[[#This Row],[Nutrition New]]-tblPiNHistorical[[#This Row],[Nutrition Old]])/tblPiNHistorical[[#This Row],[Nutrition Old]], 1), "")</f>
        <v>-1</v>
      </c>
      <c r="AV8" s="66">
        <f>IFERROR(ROUND((tblPiNHistorical[[#This Row],[Protection New]]-tblPiNHistorical[[#This Row],[Protection Old]])/tblPiNHistorical[[#This Row],[Protection Old]], 1), "")</f>
        <v>-1</v>
      </c>
      <c r="AW8" s="84">
        <f>IFERROR(ROUND((tblPiNHistorical[[#This Row],[CP New]]-tblPiNHistorical[[#This Row],[CP Old ]])/tblPiNHistorical[[#This Row],[CP Old ]], 1), "")</f>
        <v>-1</v>
      </c>
      <c r="AX8" s="84">
        <f>IFERROR(ROUND((tblPiNHistorical[[#This Row],[GBV New]]-tblPiNHistorical[[#This Row],[GBV Old]])/tblPiNHistorical[[#This Row],[GBV Old]], 1), "")</f>
        <v>-1</v>
      </c>
      <c r="AY8" s="84" t="str">
        <f>IFERROR(ROUND((tblPiNHistorical[[#This Row],[Mine Action New]]-tblPiNHistorical[[#This Row],[Mine Action Old]])/tblPiNHistorical[[#This Row],[Mine Action Old]], 1), "")</f>
        <v/>
      </c>
      <c r="AZ8" s="66" t="str">
        <f>IFERROR(ROUND((tblPiNHistorical[[#This Row],[Shelter NFI New]]-tblPiNHistorical[[#This Row],[Shelter NFI Old]])/tblPiNHistorical[[#This Row],[Shelter NFI Old]], 1), "")</f>
        <v/>
      </c>
      <c r="BA8" s="36">
        <f>IFERROR(ROUND((tblPiNHistorical[[#This Row],[WASH New]]-tblPiNHistorical[[#This Row],[WASH Old]])/tblPiNHistorical[[#This Row],[WASH Old]], 1), "")</f>
        <v>-1</v>
      </c>
      <c r="BB8"/>
      <c r="BC8"/>
      <c r="BD8"/>
      <c r="BE8"/>
      <c r="BF8"/>
      <c r="BG8"/>
      <c r="BH8"/>
      <c r="BI8"/>
      <c r="BL8"/>
      <c r="BN8"/>
      <c r="BO8"/>
      <c r="BP8"/>
    </row>
    <row r="9" spans="1:68" x14ac:dyDescent="0.25">
      <c r="A9"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IDPsSD15031</v>
      </c>
      <c r="B9" s="127" t="s">
        <v>147</v>
      </c>
      <c r="C9" s="60" t="s">
        <v>132</v>
      </c>
      <c r="D9" s="60" t="s">
        <v>498</v>
      </c>
      <c r="E9" s="60" t="s">
        <v>499</v>
      </c>
      <c r="F9" s="54"/>
      <c r="G9" s="30"/>
      <c r="H9" s="56">
        <v>21966</v>
      </c>
      <c r="I9" s="37" t="s">
        <v>88</v>
      </c>
      <c r="J9" s="34">
        <v>0</v>
      </c>
      <c r="K9" s="116">
        <v>0</v>
      </c>
      <c r="L9" s="114">
        <v>21966</v>
      </c>
      <c r="M9" s="114">
        <v>21966</v>
      </c>
      <c r="N9" s="114">
        <v>1422</v>
      </c>
      <c r="O9" s="114">
        <v>21966</v>
      </c>
      <c r="P9" s="114">
        <v>12081</v>
      </c>
      <c r="Q9" s="114">
        <v>8693</v>
      </c>
      <c r="R9" s="114">
        <v>0</v>
      </c>
      <c r="S9" s="114">
        <v>8786</v>
      </c>
      <c r="T9" s="196">
        <v>14650.443359999999</v>
      </c>
      <c r="U9" s="52">
        <f>IFERROR(INDEX(tblPiNAnalysis[[Site Management ]], MATCH(tblPiNHistorical[[#This Row],[ID]], tblPiNAnalysis[ID], 0)), "")</f>
        <v>0</v>
      </c>
      <c r="V9" s="52">
        <f>IFERROR(INDEX(tblPiNAnalysis[Education], MATCH(tblPiNHistorical[[#This Row],[ID]], tblPiNAnalysis[ID], 0)), "")</f>
        <v>0</v>
      </c>
      <c r="W9" s="28">
        <f>IFERROR(INDEX(tblPiNAnalysis[Food Security and Livlihoods], MATCH(tblPiNHistorical[[#This Row],[ID]], tblPiNAnalysis[ID], 0)), "")</f>
        <v>0</v>
      </c>
      <c r="X9" s="28">
        <f>IFERROR(INDEX(tblPiNAnalysis[[Health ]], MATCH(tblPiNHistorical[[#This Row],[ID]], tblPiNAnalysis[ID], 0)), "")</f>
        <v>0</v>
      </c>
      <c r="Y9" s="28">
        <f>IFERROR(INDEX(tblPiNAnalysis[Nutrition], MATCH(tblPiNHistorical[[#This Row],[ID]], tblPiNAnalysis[ID], 0)), "")</f>
        <v>0</v>
      </c>
      <c r="Z9" s="28">
        <f>IFERROR(INDEX(tblPiNAnalysis[Protection], MATCH(tblPiNHistorical[[#This Row],[ID]], tblPiNAnalysis[ID], 0)), "")</f>
        <v>0</v>
      </c>
      <c r="AA9" s="28">
        <f>IFERROR(INDEX(tblPiNAnalysis[CP], MATCH(tblPiNHistorical[[#This Row],[ID]], tblPiNAnalysis[ID], 0)), "")</f>
        <v>0</v>
      </c>
      <c r="AB9" s="83">
        <f>IFERROR(INDEX(tblPiNAnalysis[GBV], MATCH(tblPiNHistorical[[#This Row],[ID]], tblPiNAnalysis[ID], 0)), "")</f>
        <v>0</v>
      </c>
      <c r="AC9" s="28">
        <f>IFERROR(INDEX(tblPiNAnalysis[Mine Action], MATCH(tblPiNHistorical[[#This Row],[ID]], tblPiNAnalysis[ID], 0)), "")</f>
        <v>0</v>
      </c>
      <c r="AD9" s="83">
        <f>IFERROR(INDEX(tblPiNAnalysis[[Shelter NFI ]], MATCH(tblPiNHistorical[[#This Row],[ID]], tblPiNAnalysis[ID], 0)), "")</f>
        <v>5810</v>
      </c>
      <c r="AE9" s="35">
        <f>IFERROR(INDEX(tblPiNAnalysis[WASH], MATCH(tblPiNHistorical[[#This Row],[ID]], tblPiNAnalysis[ID], 0)), "")</f>
        <v>0</v>
      </c>
      <c r="AF9" s="6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9" s="67" t="str">
        <f>IF(OR(tblPiNHistorical[[#This Row],[Education Old]]="", tblPiNHistorical[[#This Row],[Education Old]]=0, tblPiNHistorical[[#This Row],[Education New]]="", tblPiNHistorical[[#This Row],[Education New]]=0), "", tblPiNHistorical[[#This Row],[Education New]]-tblPiNHistorical[[#This Row],[Education Old]])</f>
        <v/>
      </c>
      <c r="AH9" s="67"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9" s="67" t="str">
        <f>IF(OR(tblPiNHistorical[[#This Row],[Health Old]]="", tblPiNHistorical[[#This Row],[Health Old]]=0, tblPiNHistorical[[#This Row],[Health New]]="", tblPiNHistorical[[#This Row],[Health New]]=0), "", tblPiNHistorical[[#This Row],[Health New]]-tblPiNHistorical[[#This Row],[Health Old]])</f>
        <v/>
      </c>
      <c r="AJ9" s="67" t="str">
        <f>IF(OR(tblPiNHistorical[[#This Row],[Nutrition Old]]="", tblPiNHistorical[[#This Row],[Nutrition Old]]=0, tblPiNHistorical[[#This Row],[Nutrition New]]="", tblPiNHistorical[[#This Row],[Nutrition New]]=0), "", tblPiNHistorical[[#This Row],[Nutrition New]]-tblPiNHistorical[[#This Row],[Nutrition Old]])</f>
        <v/>
      </c>
      <c r="AK9" s="67" t="str">
        <f>IF(OR(tblPiNHistorical[[#This Row],[Protection Old]]="", tblPiNHistorical[[#This Row],[Protection Old]]=0, tblPiNHistorical[[#This Row],[Protection New]]="", tblPiNHistorical[[#This Row],[Protection New]]=0), "", tblPiNHistorical[[#This Row],[Protection New]]-tblPiNHistorical[[#This Row],[Protection Old]])</f>
        <v/>
      </c>
      <c r="AL9" s="67" t="str">
        <f>IF(OR(tblPiNHistorical[[#This Row],[CP Old ]]="", tblPiNHistorical[[#This Row],[CP Old ]]=0, tblPiNHistorical[[#This Row],[CP New]]="", tblPiNHistorical[[#This Row],[CP New]]=0), "", tblPiNHistorical[[#This Row],[CP New]]-tblPiNHistorical[[#This Row],[CP Old ]])</f>
        <v/>
      </c>
      <c r="AM9" s="83" t="str">
        <f>IF(OR(tblPiNHistorical[[#This Row],[GBV Old]]="", tblPiNHistorical[[#This Row],[GBV Old]]=0, tblPiNHistorical[[#This Row],[GBV New]]="", tblPiNHistorical[[#This Row],[GBV New]]=0), "", tblPiNHistorical[[#This Row],[GBV New]]-tblPiNHistorical[[#This Row],[GBV Old]])</f>
        <v/>
      </c>
      <c r="AN9" s="83" t="str">
        <f>IF(OR(tblPiNHistorical[[#This Row],[Mine Action Old]]="", tblPiNHistorical[[#This Row],[Mine Action Old]]=0, tblPiNHistorical[[#This Row],[Mine Action New]]="", tblPiNHistorical[[#This Row],[Mine Action New]]=0), "", tblPiNHistorical[[#This Row],[Mine Action New]]-tblPiNHistorical[[#This Row],[Mine Action Old]])</f>
        <v/>
      </c>
      <c r="AO9" s="67">
        <f>IF(OR(tblPiNHistorical[[#This Row],[Shelter NFI Old]]="", tblPiNHistorical[[#This Row],[Shelter NFI Old]]=0, tblPiNHistorical[[#This Row],[Shelter NFI New]]="", tblPiNHistorical[[#This Row],[Shelter NFI New]]=0), "", tblPiNHistorical[[#This Row],[Shelter NFI New]]-tblPiNHistorical[[#This Row],[Shelter NFI Old]])</f>
        <v>-2976</v>
      </c>
      <c r="AP9" s="111" t="str">
        <f>IF(OR(tblPiNHistorical[[#This Row],[WASH Old]]="", tblPiNHistorical[[#This Row],[WASH Old]]=0, tblPiNHistorical[[#This Row],[WASH New]]="", tblPiNHistorical[[#This Row],[WASH New]]=0), "", tblPiNHistorical[[#This Row],[WASH New]]-tblPiNHistorical[[#This Row],[WASH Old]])</f>
        <v/>
      </c>
      <c r="AQ9" s="110" t="str">
        <f>IFERROR(ROUND((tblPiNHistorical[[#This Row],[Site Management - New]] - tblPiNHistorical[[#This Row],[Site Management - Old]])/tblPiNHistorical[[#This Row],[Site Management - Old]], 1), "")</f>
        <v/>
      </c>
      <c r="AR9" s="66" t="str">
        <f>IFERROR(ROUND((tblPiNHistorical[[#This Row],[Education New]]-tblPiNHistorical[[#This Row],[Education Old]])/tblPiNHistorical[[#This Row],[Education Old]], 1), "")</f>
        <v/>
      </c>
      <c r="AS9" s="66">
        <f>IFERROR(ROUND((tblPiNHistorical[[#This Row],[Food Security and Livlihoods New]]-tblPiNHistorical[[#This Row],[Food Security and Livlihoods Old]])/tblPiNHistorical[[#This Row],[Food Security and Livlihoods Old]], 1), "")</f>
        <v>-1</v>
      </c>
      <c r="AT9" s="66">
        <f>IFERROR(ROUND((tblPiNHistorical[[#This Row],[Health New]]-tblPiNHistorical[[#This Row],[Health Old]])/tblPiNHistorical[[#This Row],[Health Old]], 1), "")</f>
        <v>-1</v>
      </c>
      <c r="AU9" s="66">
        <f>IFERROR(ROUND((tblPiNHistorical[[#This Row],[Nutrition New]]-tblPiNHistorical[[#This Row],[Nutrition Old]])/tblPiNHistorical[[#This Row],[Nutrition Old]], 1), "")</f>
        <v>-1</v>
      </c>
      <c r="AV9" s="66">
        <f>IFERROR(ROUND((tblPiNHistorical[[#This Row],[Protection New]]-tblPiNHistorical[[#This Row],[Protection Old]])/tblPiNHistorical[[#This Row],[Protection Old]], 1), "")</f>
        <v>-1</v>
      </c>
      <c r="AW9" s="84">
        <f>IFERROR(ROUND((tblPiNHistorical[[#This Row],[CP New]]-tblPiNHistorical[[#This Row],[CP Old ]])/tblPiNHistorical[[#This Row],[CP Old ]], 1), "")</f>
        <v>-1</v>
      </c>
      <c r="AX9" s="84">
        <f>IFERROR(ROUND((tblPiNHistorical[[#This Row],[GBV New]]-tblPiNHistorical[[#This Row],[GBV Old]])/tblPiNHistorical[[#This Row],[GBV Old]], 1), "")</f>
        <v>-1</v>
      </c>
      <c r="AY9" s="84" t="str">
        <f>IFERROR(ROUND((tblPiNHistorical[[#This Row],[Mine Action New]]-tblPiNHistorical[[#This Row],[Mine Action Old]])/tblPiNHistorical[[#This Row],[Mine Action Old]], 1), "")</f>
        <v/>
      </c>
      <c r="AZ9" s="66">
        <f>IFERROR(ROUND((tblPiNHistorical[[#This Row],[Shelter NFI New]]-tblPiNHistorical[[#This Row],[Shelter NFI Old]])/tblPiNHistorical[[#This Row],[Shelter NFI Old]], 1), "")</f>
        <v>-0.3</v>
      </c>
      <c r="BA9" s="36">
        <f>IFERROR(ROUND((tblPiNHistorical[[#This Row],[WASH New]]-tblPiNHistorical[[#This Row],[WASH Old]])/tblPiNHistorical[[#This Row],[WASH Old]], 1), "")</f>
        <v>-1</v>
      </c>
      <c r="BB9"/>
      <c r="BC9"/>
      <c r="BD9"/>
      <c r="BE9"/>
      <c r="BF9"/>
      <c r="BG9"/>
      <c r="BH9"/>
      <c r="BI9"/>
      <c r="BL9"/>
      <c r="BN9"/>
      <c r="BO9"/>
      <c r="BP9"/>
    </row>
    <row r="10" spans="1:68" ht="30" x14ac:dyDescent="0.25">
      <c r="A10"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IDPsSD15030</v>
      </c>
      <c r="B10" s="127" t="s">
        <v>147</v>
      </c>
      <c r="C10" s="60" t="s">
        <v>132</v>
      </c>
      <c r="D10" s="60" t="s">
        <v>496</v>
      </c>
      <c r="E10" s="60" t="s">
        <v>497</v>
      </c>
      <c r="F10" s="54"/>
      <c r="G10" s="30"/>
      <c r="H10" s="56">
        <v>57694</v>
      </c>
      <c r="I10" s="37" t="s">
        <v>88</v>
      </c>
      <c r="J10" s="34">
        <v>4095</v>
      </c>
      <c r="K10" s="116">
        <v>22367.963799999998</v>
      </c>
      <c r="L10" s="114">
        <v>57694</v>
      </c>
      <c r="M10" s="114">
        <v>57694</v>
      </c>
      <c r="N10" s="114">
        <v>3796</v>
      </c>
      <c r="O10" s="114">
        <v>57694</v>
      </c>
      <c r="P10" s="114">
        <v>31732</v>
      </c>
      <c r="Q10" s="114">
        <v>22835</v>
      </c>
      <c r="R10" s="114">
        <v>0</v>
      </c>
      <c r="S10" s="114">
        <v>34616</v>
      </c>
      <c r="T10" s="196">
        <v>27762.352800000001</v>
      </c>
      <c r="U10" s="52">
        <f>IFERROR(INDEX(tblPiNAnalysis[[Site Management ]], MATCH(tblPiNHistorical[[#This Row],[ID]], tblPiNAnalysis[ID], 0)), "")</f>
        <v>0</v>
      </c>
      <c r="V10" s="52">
        <f>IFERROR(INDEX(tblPiNAnalysis[Education], MATCH(tblPiNHistorical[[#This Row],[ID]], tblPiNAnalysis[ID], 0)), "")</f>
        <v>0</v>
      </c>
      <c r="W10" s="28">
        <f>IFERROR(INDEX(tblPiNAnalysis[Food Security and Livlihoods], MATCH(tblPiNHistorical[[#This Row],[ID]], tblPiNAnalysis[ID], 0)), "")</f>
        <v>0</v>
      </c>
      <c r="X10" s="28">
        <f>IFERROR(INDEX(tblPiNAnalysis[[Health ]], MATCH(tblPiNHistorical[[#This Row],[ID]], tblPiNAnalysis[ID], 0)), "")</f>
        <v>0</v>
      </c>
      <c r="Y10" s="28">
        <f>IFERROR(INDEX(tblPiNAnalysis[Nutrition], MATCH(tblPiNHistorical[[#This Row],[ID]], tblPiNAnalysis[ID], 0)), "")</f>
        <v>0</v>
      </c>
      <c r="Z10" s="28">
        <f>IFERROR(INDEX(tblPiNAnalysis[Protection], MATCH(tblPiNHistorical[[#This Row],[ID]], tblPiNAnalysis[ID], 0)), "")</f>
        <v>0</v>
      </c>
      <c r="AA10" s="28">
        <f>IFERROR(INDEX(tblPiNAnalysis[CP], MATCH(tblPiNHistorical[[#This Row],[ID]], tblPiNAnalysis[ID], 0)), "")</f>
        <v>0</v>
      </c>
      <c r="AB10" s="83">
        <f>IFERROR(INDEX(tblPiNAnalysis[GBV], MATCH(tblPiNHistorical[[#This Row],[ID]], tblPiNAnalysis[ID], 0)), "")</f>
        <v>0</v>
      </c>
      <c r="AC10" s="28">
        <f>IFERROR(INDEX(tblPiNAnalysis[Mine Action], MATCH(tblPiNHistorical[[#This Row],[ID]], tblPiNAnalysis[ID], 0)), "")</f>
        <v>0</v>
      </c>
      <c r="AD10" s="83">
        <f>IFERROR(INDEX(tblPiNAnalysis[[Shelter NFI ]], MATCH(tblPiNHistorical[[#This Row],[ID]], tblPiNAnalysis[ID], 0)), "")</f>
        <v>5466</v>
      </c>
      <c r="AE10" s="35">
        <f>IFERROR(INDEX(tblPiNAnalysis[WASH], MATCH(tblPiNHistorical[[#This Row],[ID]], tblPiNAnalysis[ID], 0)), "")</f>
        <v>0</v>
      </c>
      <c r="AF10" s="6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10" s="67" t="str">
        <f>IF(OR(tblPiNHistorical[[#This Row],[Education Old]]="", tblPiNHistorical[[#This Row],[Education Old]]=0, tblPiNHistorical[[#This Row],[Education New]]="", tblPiNHistorical[[#This Row],[Education New]]=0), "", tblPiNHistorical[[#This Row],[Education New]]-tblPiNHistorical[[#This Row],[Education Old]])</f>
        <v/>
      </c>
      <c r="AH10" s="67"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10" s="67" t="str">
        <f>IF(OR(tblPiNHistorical[[#This Row],[Health Old]]="", tblPiNHistorical[[#This Row],[Health Old]]=0, tblPiNHistorical[[#This Row],[Health New]]="", tblPiNHistorical[[#This Row],[Health New]]=0), "", tblPiNHistorical[[#This Row],[Health New]]-tblPiNHistorical[[#This Row],[Health Old]])</f>
        <v/>
      </c>
      <c r="AJ10" s="67" t="str">
        <f>IF(OR(tblPiNHistorical[[#This Row],[Nutrition Old]]="", tblPiNHistorical[[#This Row],[Nutrition Old]]=0, tblPiNHistorical[[#This Row],[Nutrition New]]="", tblPiNHistorical[[#This Row],[Nutrition New]]=0), "", tblPiNHistorical[[#This Row],[Nutrition New]]-tblPiNHistorical[[#This Row],[Nutrition Old]])</f>
        <v/>
      </c>
      <c r="AK10" s="67" t="str">
        <f>IF(OR(tblPiNHistorical[[#This Row],[Protection Old]]="", tblPiNHistorical[[#This Row],[Protection Old]]=0, tblPiNHistorical[[#This Row],[Protection New]]="", tblPiNHistorical[[#This Row],[Protection New]]=0), "", tblPiNHistorical[[#This Row],[Protection New]]-tblPiNHistorical[[#This Row],[Protection Old]])</f>
        <v/>
      </c>
      <c r="AL10" s="67" t="str">
        <f>IF(OR(tblPiNHistorical[[#This Row],[CP Old ]]="", tblPiNHistorical[[#This Row],[CP Old ]]=0, tblPiNHistorical[[#This Row],[CP New]]="", tblPiNHistorical[[#This Row],[CP New]]=0), "", tblPiNHistorical[[#This Row],[CP New]]-tblPiNHistorical[[#This Row],[CP Old ]])</f>
        <v/>
      </c>
      <c r="AM10" s="83" t="str">
        <f>IF(OR(tblPiNHistorical[[#This Row],[GBV Old]]="", tblPiNHistorical[[#This Row],[GBV Old]]=0, tblPiNHistorical[[#This Row],[GBV New]]="", tblPiNHistorical[[#This Row],[GBV New]]=0), "", tblPiNHistorical[[#This Row],[GBV New]]-tblPiNHistorical[[#This Row],[GBV Old]])</f>
        <v/>
      </c>
      <c r="AN10" s="83" t="str">
        <f>IF(OR(tblPiNHistorical[[#This Row],[Mine Action Old]]="", tblPiNHistorical[[#This Row],[Mine Action Old]]=0, tblPiNHistorical[[#This Row],[Mine Action New]]="", tblPiNHistorical[[#This Row],[Mine Action New]]=0), "", tblPiNHistorical[[#This Row],[Mine Action New]]-tblPiNHistorical[[#This Row],[Mine Action Old]])</f>
        <v/>
      </c>
      <c r="AO10" s="67">
        <f>IF(OR(tblPiNHistorical[[#This Row],[Shelter NFI Old]]="", tblPiNHistorical[[#This Row],[Shelter NFI Old]]=0, tblPiNHistorical[[#This Row],[Shelter NFI New]]="", tblPiNHistorical[[#This Row],[Shelter NFI New]]=0), "", tblPiNHistorical[[#This Row],[Shelter NFI New]]-tblPiNHistorical[[#This Row],[Shelter NFI Old]])</f>
        <v>-29150</v>
      </c>
      <c r="AP10" s="111" t="str">
        <f>IF(OR(tblPiNHistorical[[#This Row],[WASH Old]]="", tblPiNHistorical[[#This Row],[WASH Old]]=0, tblPiNHistorical[[#This Row],[WASH New]]="", tblPiNHistorical[[#This Row],[WASH New]]=0), "", tblPiNHistorical[[#This Row],[WASH New]]-tblPiNHistorical[[#This Row],[WASH Old]])</f>
        <v/>
      </c>
      <c r="AQ10" s="110">
        <f>IFERROR(ROUND((tblPiNHistorical[[#This Row],[Site Management - New]] - tblPiNHistorical[[#This Row],[Site Management - Old]])/tblPiNHistorical[[#This Row],[Site Management - Old]], 1), "")</f>
        <v>-1</v>
      </c>
      <c r="AR10" s="66">
        <f>IFERROR(ROUND((tblPiNHistorical[[#This Row],[Education New]]-tblPiNHistorical[[#This Row],[Education Old]])/tblPiNHistorical[[#This Row],[Education Old]], 1), "")</f>
        <v>-1</v>
      </c>
      <c r="AS10" s="66">
        <f>IFERROR(ROUND((tblPiNHistorical[[#This Row],[Food Security and Livlihoods New]]-tblPiNHistorical[[#This Row],[Food Security and Livlihoods Old]])/tblPiNHistorical[[#This Row],[Food Security and Livlihoods Old]], 1), "")</f>
        <v>-1</v>
      </c>
      <c r="AT10" s="66">
        <f>IFERROR(ROUND((tblPiNHistorical[[#This Row],[Health New]]-tblPiNHistorical[[#This Row],[Health Old]])/tblPiNHistorical[[#This Row],[Health Old]], 1), "")</f>
        <v>-1</v>
      </c>
      <c r="AU10" s="66">
        <f>IFERROR(ROUND((tblPiNHistorical[[#This Row],[Nutrition New]]-tblPiNHistorical[[#This Row],[Nutrition Old]])/tblPiNHistorical[[#This Row],[Nutrition Old]], 1), "")</f>
        <v>-1</v>
      </c>
      <c r="AV10" s="66">
        <f>IFERROR(ROUND((tblPiNHistorical[[#This Row],[Protection New]]-tblPiNHistorical[[#This Row],[Protection Old]])/tblPiNHistorical[[#This Row],[Protection Old]], 1), "")</f>
        <v>-1</v>
      </c>
      <c r="AW10" s="84">
        <f>IFERROR(ROUND((tblPiNHistorical[[#This Row],[CP New]]-tblPiNHistorical[[#This Row],[CP Old ]])/tblPiNHistorical[[#This Row],[CP Old ]], 1), "")</f>
        <v>-1</v>
      </c>
      <c r="AX10" s="84">
        <f>IFERROR(ROUND((tblPiNHistorical[[#This Row],[GBV New]]-tblPiNHistorical[[#This Row],[GBV Old]])/tblPiNHistorical[[#This Row],[GBV Old]], 1), "")</f>
        <v>-1</v>
      </c>
      <c r="AY10" s="84" t="str">
        <f>IFERROR(ROUND((tblPiNHistorical[[#This Row],[Mine Action New]]-tblPiNHistorical[[#This Row],[Mine Action Old]])/tblPiNHistorical[[#This Row],[Mine Action Old]], 1), "")</f>
        <v/>
      </c>
      <c r="AZ10" s="66">
        <f>IFERROR(ROUND((tblPiNHistorical[[#This Row],[Shelter NFI New]]-tblPiNHistorical[[#This Row],[Shelter NFI Old]])/tblPiNHistorical[[#This Row],[Shelter NFI Old]], 1), "")</f>
        <v>-0.8</v>
      </c>
      <c r="BA10" s="36">
        <f>IFERROR(ROUND((tblPiNHistorical[[#This Row],[WASH New]]-tblPiNHistorical[[#This Row],[WASH Old]])/tblPiNHistorical[[#This Row],[WASH Old]], 1), "")</f>
        <v>-1</v>
      </c>
      <c r="BB10"/>
      <c r="BC10"/>
      <c r="BD10"/>
      <c r="BE10"/>
      <c r="BF10"/>
      <c r="BG10"/>
      <c r="BH10"/>
      <c r="BI10"/>
      <c r="BL10"/>
      <c r="BN10"/>
      <c r="BO10"/>
      <c r="BP10"/>
    </row>
    <row r="11" spans="1:68" x14ac:dyDescent="0.25">
      <c r="A11"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IDPsSD15033</v>
      </c>
      <c r="B11" s="127" t="s">
        <v>147</v>
      </c>
      <c r="C11" s="60" t="s">
        <v>132</v>
      </c>
      <c r="D11" s="60" t="s">
        <v>502</v>
      </c>
      <c r="E11" s="60" t="s">
        <v>503</v>
      </c>
      <c r="F11" s="54"/>
      <c r="G11" s="30"/>
      <c r="H11" s="56">
        <v>14210</v>
      </c>
      <c r="I11" s="37" t="s">
        <v>88</v>
      </c>
      <c r="J11" s="34">
        <v>0</v>
      </c>
      <c r="K11" s="116">
        <v>0</v>
      </c>
      <c r="L11" s="114">
        <v>14210</v>
      </c>
      <c r="M11" s="114">
        <v>14210</v>
      </c>
      <c r="N11" s="114">
        <v>1014</v>
      </c>
      <c r="O11" s="114">
        <v>14210</v>
      </c>
      <c r="P11" s="114">
        <v>7816</v>
      </c>
      <c r="Q11" s="114">
        <v>5624</v>
      </c>
      <c r="R11" s="114">
        <v>0</v>
      </c>
      <c r="S11" s="114">
        <v>0</v>
      </c>
      <c r="T11" s="196">
        <v>7997.387999999999</v>
      </c>
      <c r="U11" s="52">
        <f>IFERROR(INDEX(tblPiNAnalysis[[Site Management ]], MATCH(tblPiNHistorical[[#This Row],[ID]], tblPiNAnalysis[ID], 0)), "")</f>
        <v>0</v>
      </c>
      <c r="V11" s="52">
        <f>IFERROR(INDEX(tblPiNAnalysis[Education], MATCH(tblPiNHistorical[[#This Row],[ID]], tblPiNAnalysis[ID], 0)), "")</f>
        <v>0</v>
      </c>
      <c r="W11" s="28">
        <f>IFERROR(INDEX(tblPiNAnalysis[Food Security and Livlihoods], MATCH(tblPiNHistorical[[#This Row],[ID]], tblPiNAnalysis[ID], 0)), "")</f>
        <v>0</v>
      </c>
      <c r="X11" s="28">
        <f>IFERROR(INDEX(tblPiNAnalysis[[Health ]], MATCH(tblPiNHistorical[[#This Row],[ID]], tblPiNAnalysis[ID], 0)), "")</f>
        <v>0</v>
      </c>
      <c r="Y11" s="28">
        <f>IFERROR(INDEX(tblPiNAnalysis[Nutrition], MATCH(tblPiNHistorical[[#This Row],[ID]], tblPiNAnalysis[ID], 0)), "")</f>
        <v>0</v>
      </c>
      <c r="Z11" s="28">
        <f>IFERROR(INDEX(tblPiNAnalysis[Protection], MATCH(tblPiNHistorical[[#This Row],[ID]], tblPiNAnalysis[ID], 0)), "")</f>
        <v>0</v>
      </c>
      <c r="AA11" s="28">
        <f>IFERROR(INDEX(tblPiNAnalysis[CP], MATCH(tblPiNHistorical[[#This Row],[ID]], tblPiNAnalysis[ID], 0)), "")</f>
        <v>0</v>
      </c>
      <c r="AB11" s="83">
        <f>IFERROR(INDEX(tblPiNAnalysis[GBV], MATCH(tblPiNHistorical[[#This Row],[ID]], tblPiNAnalysis[ID], 0)), "")</f>
        <v>0</v>
      </c>
      <c r="AC11" s="28">
        <f>IFERROR(INDEX(tblPiNAnalysis[Mine Action], MATCH(tblPiNHistorical[[#This Row],[ID]], tblPiNAnalysis[ID], 0)), "")</f>
        <v>0</v>
      </c>
      <c r="AD11" s="83">
        <f>IFERROR(INDEX(tblPiNAnalysis[[Shelter NFI ]], MATCH(tblPiNHistorical[[#This Row],[ID]], tblPiNAnalysis[ID], 0)), "")</f>
        <v>7459</v>
      </c>
      <c r="AE11" s="35">
        <f>IFERROR(INDEX(tblPiNAnalysis[WASH], MATCH(tblPiNHistorical[[#This Row],[ID]], tblPiNAnalysis[ID], 0)), "")</f>
        <v>0</v>
      </c>
      <c r="AF11" s="6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11" s="67" t="str">
        <f>IF(OR(tblPiNHistorical[[#This Row],[Education Old]]="", tblPiNHistorical[[#This Row],[Education Old]]=0, tblPiNHistorical[[#This Row],[Education New]]="", tblPiNHistorical[[#This Row],[Education New]]=0), "", tblPiNHistorical[[#This Row],[Education New]]-tblPiNHistorical[[#This Row],[Education Old]])</f>
        <v/>
      </c>
      <c r="AH11" s="67"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11" s="67" t="str">
        <f>IF(OR(tblPiNHistorical[[#This Row],[Health Old]]="", tblPiNHistorical[[#This Row],[Health Old]]=0, tblPiNHistorical[[#This Row],[Health New]]="", tblPiNHistorical[[#This Row],[Health New]]=0), "", tblPiNHistorical[[#This Row],[Health New]]-tblPiNHistorical[[#This Row],[Health Old]])</f>
        <v/>
      </c>
      <c r="AJ11" s="67" t="str">
        <f>IF(OR(tblPiNHistorical[[#This Row],[Nutrition Old]]="", tblPiNHistorical[[#This Row],[Nutrition Old]]=0, tblPiNHistorical[[#This Row],[Nutrition New]]="", tblPiNHistorical[[#This Row],[Nutrition New]]=0), "", tblPiNHistorical[[#This Row],[Nutrition New]]-tblPiNHistorical[[#This Row],[Nutrition Old]])</f>
        <v/>
      </c>
      <c r="AK11" s="67" t="str">
        <f>IF(OR(tblPiNHistorical[[#This Row],[Protection Old]]="", tblPiNHistorical[[#This Row],[Protection Old]]=0, tblPiNHistorical[[#This Row],[Protection New]]="", tblPiNHistorical[[#This Row],[Protection New]]=0), "", tblPiNHistorical[[#This Row],[Protection New]]-tblPiNHistorical[[#This Row],[Protection Old]])</f>
        <v/>
      </c>
      <c r="AL11" s="67" t="str">
        <f>IF(OR(tblPiNHistorical[[#This Row],[CP Old ]]="", tblPiNHistorical[[#This Row],[CP Old ]]=0, tblPiNHistorical[[#This Row],[CP New]]="", tblPiNHistorical[[#This Row],[CP New]]=0), "", tblPiNHistorical[[#This Row],[CP New]]-tblPiNHistorical[[#This Row],[CP Old ]])</f>
        <v/>
      </c>
      <c r="AM11" s="83" t="str">
        <f>IF(OR(tblPiNHistorical[[#This Row],[GBV Old]]="", tblPiNHistorical[[#This Row],[GBV Old]]=0, tblPiNHistorical[[#This Row],[GBV New]]="", tblPiNHistorical[[#This Row],[GBV New]]=0), "", tblPiNHistorical[[#This Row],[GBV New]]-tblPiNHistorical[[#This Row],[GBV Old]])</f>
        <v/>
      </c>
      <c r="AN11" s="83" t="str">
        <f>IF(OR(tblPiNHistorical[[#This Row],[Mine Action Old]]="", tblPiNHistorical[[#This Row],[Mine Action Old]]=0, tblPiNHistorical[[#This Row],[Mine Action New]]="", tblPiNHistorical[[#This Row],[Mine Action New]]=0), "", tblPiNHistorical[[#This Row],[Mine Action New]]-tblPiNHistorical[[#This Row],[Mine Action Old]])</f>
        <v/>
      </c>
      <c r="AO11" s="67" t="str">
        <f>IF(OR(tblPiNHistorical[[#This Row],[Shelter NFI Old]]="", tblPiNHistorical[[#This Row],[Shelter NFI Old]]=0, tblPiNHistorical[[#This Row],[Shelter NFI New]]="", tblPiNHistorical[[#This Row],[Shelter NFI New]]=0), "", tblPiNHistorical[[#This Row],[Shelter NFI New]]-tblPiNHistorical[[#This Row],[Shelter NFI Old]])</f>
        <v/>
      </c>
      <c r="AP11" s="111" t="str">
        <f>IF(OR(tblPiNHistorical[[#This Row],[WASH Old]]="", tblPiNHistorical[[#This Row],[WASH Old]]=0, tblPiNHistorical[[#This Row],[WASH New]]="", tblPiNHistorical[[#This Row],[WASH New]]=0), "", tblPiNHistorical[[#This Row],[WASH New]]-tblPiNHistorical[[#This Row],[WASH Old]])</f>
        <v/>
      </c>
      <c r="AQ11" s="110" t="str">
        <f>IFERROR(ROUND((tblPiNHistorical[[#This Row],[Site Management - New]] - tblPiNHistorical[[#This Row],[Site Management - Old]])/tblPiNHistorical[[#This Row],[Site Management - Old]], 1), "")</f>
        <v/>
      </c>
      <c r="AR11" s="66" t="str">
        <f>IFERROR(ROUND((tblPiNHistorical[[#This Row],[Education New]]-tblPiNHistorical[[#This Row],[Education Old]])/tblPiNHistorical[[#This Row],[Education Old]], 1), "")</f>
        <v/>
      </c>
      <c r="AS11" s="66">
        <f>IFERROR(ROUND((tblPiNHistorical[[#This Row],[Food Security and Livlihoods New]]-tblPiNHistorical[[#This Row],[Food Security and Livlihoods Old]])/tblPiNHistorical[[#This Row],[Food Security and Livlihoods Old]], 1), "")</f>
        <v>-1</v>
      </c>
      <c r="AT11" s="66">
        <f>IFERROR(ROUND((tblPiNHistorical[[#This Row],[Health New]]-tblPiNHistorical[[#This Row],[Health Old]])/tblPiNHistorical[[#This Row],[Health Old]], 1), "")</f>
        <v>-1</v>
      </c>
      <c r="AU11" s="66">
        <f>IFERROR(ROUND((tblPiNHistorical[[#This Row],[Nutrition New]]-tblPiNHistorical[[#This Row],[Nutrition Old]])/tblPiNHistorical[[#This Row],[Nutrition Old]], 1), "")</f>
        <v>-1</v>
      </c>
      <c r="AV11" s="66">
        <f>IFERROR(ROUND((tblPiNHistorical[[#This Row],[Protection New]]-tblPiNHistorical[[#This Row],[Protection Old]])/tblPiNHistorical[[#This Row],[Protection Old]], 1), "")</f>
        <v>-1</v>
      </c>
      <c r="AW11" s="84">
        <f>IFERROR(ROUND((tblPiNHistorical[[#This Row],[CP New]]-tblPiNHistorical[[#This Row],[CP Old ]])/tblPiNHistorical[[#This Row],[CP Old ]], 1), "")</f>
        <v>-1</v>
      </c>
      <c r="AX11" s="84">
        <f>IFERROR(ROUND((tblPiNHistorical[[#This Row],[GBV New]]-tblPiNHistorical[[#This Row],[GBV Old]])/tblPiNHistorical[[#This Row],[GBV Old]], 1), "")</f>
        <v>-1</v>
      </c>
      <c r="AY11" s="84" t="str">
        <f>IFERROR(ROUND((tblPiNHistorical[[#This Row],[Mine Action New]]-tblPiNHistorical[[#This Row],[Mine Action Old]])/tblPiNHistorical[[#This Row],[Mine Action Old]], 1), "")</f>
        <v/>
      </c>
      <c r="AZ11" s="66" t="str">
        <f>IFERROR(ROUND((tblPiNHistorical[[#This Row],[Shelter NFI New]]-tblPiNHistorical[[#This Row],[Shelter NFI Old]])/tblPiNHistorical[[#This Row],[Shelter NFI Old]], 1), "")</f>
        <v/>
      </c>
      <c r="BA11" s="36">
        <f>IFERROR(ROUND((tblPiNHistorical[[#This Row],[WASH New]]-tblPiNHistorical[[#This Row],[WASH Old]])/tblPiNHistorical[[#This Row],[WASH Old]], 1), "")</f>
        <v>-1</v>
      </c>
      <c r="BB11"/>
      <c r="BC11"/>
      <c r="BD11"/>
      <c r="BE11"/>
      <c r="BF11"/>
      <c r="BG11"/>
      <c r="BH11"/>
      <c r="BI11"/>
      <c r="BL11"/>
      <c r="BN11"/>
      <c r="BO11"/>
      <c r="BP11"/>
    </row>
    <row r="12" spans="1:68" x14ac:dyDescent="0.25">
      <c r="A12"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IDPsSD15032</v>
      </c>
      <c r="B12" s="127" t="s">
        <v>147</v>
      </c>
      <c r="C12" s="60" t="s">
        <v>132</v>
      </c>
      <c r="D12" s="60" t="s">
        <v>500</v>
      </c>
      <c r="E12" s="60" t="s">
        <v>501</v>
      </c>
      <c r="F12" s="54"/>
      <c r="G12" s="30"/>
      <c r="H12" s="56">
        <v>43029</v>
      </c>
      <c r="I12" s="37" t="s">
        <v>88</v>
      </c>
      <c r="J12" s="34">
        <v>1244</v>
      </c>
      <c r="K12" s="116">
        <v>16682.3433</v>
      </c>
      <c r="L12" s="114">
        <v>43029</v>
      </c>
      <c r="M12" s="114">
        <v>43029</v>
      </c>
      <c r="N12" s="114">
        <v>3752</v>
      </c>
      <c r="O12" s="114">
        <v>43029</v>
      </c>
      <c r="P12" s="114">
        <v>23666</v>
      </c>
      <c r="Q12" s="114">
        <v>17030</v>
      </c>
      <c r="R12" s="114">
        <v>0</v>
      </c>
      <c r="S12" s="114">
        <v>17212</v>
      </c>
      <c r="T12" s="196">
        <v>27097.943040000002</v>
      </c>
      <c r="U12" s="52">
        <f>IFERROR(INDEX(tblPiNAnalysis[[Site Management ]], MATCH(tblPiNHistorical[[#This Row],[ID]], tblPiNAnalysis[ID], 0)), "")</f>
        <v>0</v>
      </c>
      <c r="V12" s="52">
        <f>IFERROR(INDEX(tblPiNAnalysis[Education], MATCH(tblPiNHistorical[[#This Row],[ID]], tblPiNAnalysis[ID], 0)), "")</f>
        <v>0</v>
      </c>
      <c r="W12" s="28">
        <f>IFERROR(INDEX(tblPiNAnalysis[Food Security and Livlihoods], MATCH(tblPiNHistorical[[#This Row],[ID]], tblPiNAnalysis[ID], 0)), "")</f>
        <v>0</v>
      </c>
      <c r="X12" s="28">
        <f>IFERROR(INDEX(tblPiNAnalysis[[Health ]], MATCH(tblPiNHistorical[[#This Row],[ID]], tblPiNAnalysis[ID], 0)), "")</f>
        <v>0</v>
      </c>
      <c r="Y12" s="28">
        <f>IFERROR(INDEX(tblPiNAnalysis[Nutrition], MATCH(tblPiNHistorical[[#This Row],[ID]], tblPiNAnalysis[ID], 0)), "")</f>
        <v>0</v>
      </c>
      <c r="Z12" s="28">
        <f>IFERROR(INDEX(tblPiNAnalysis[Protection], MATCH(tblPiNHistorical[[#This Row],[ID]], tblPiNAnalysis[ID], 0)), "")</f>
        <v>0</v>
      </c>
      <c r="AA12" s="28">
        <f>IFERROR(INDEX(tblPiNAnalysis[CP], MATCH(tblPiNHistorical[[#This Row],[ID]], tblPiNAnalysis[ID], 0)), "")</f>
        <v>0</v>
      </c>
      <c r="AB12" s="83">
        <f>IFERROR(INDEX(tblPiNAnalysis[GBV], MATCH(tblPiNHistorical[[#This Row],[ID]], tblPiNAnalysis[ID], 0)), "")</f>
        <v>0</v>
      </c>
      <c r="AC12" s="28">
        <f>IFERROR(INDEX(tblPiNAnalysis[Mine Action], MATCH(tblPiNHistorical[[#This Row],[ID]], tblPiNAnalysis[ID], 0)), "")</f>
        <v>0</v>
      </c>
      <c r="AD12" s="83">
        <f>IFERROR(INDEX(tblPiNAnalysis[[Shelter NFI ]], MATCH(tblPiNHistorical[[#This Row],[ID]], tblPiNAnalysis[ID], 0)), "")</f>
        <v>7727</v>
      </c>
      <c r="AE12" s="35">
        <f>IFERROR(INDEX(tblPiNAnalysis[WASH], MATCH(tblPiNHistorical[[#This Row],[ID]], tblPiNAnalysis[ID], 0)), "")</f>
        <v>0</v>
      </c>
      <c r="AF12" s="6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12" s="67" t="str">
        <f>IF(OR(tblPiNHistorical[[#This Row],[Education Old]]="", tblPiNHistorical[[#This Row],[Education Old]]=0, tblPiNHistorical[[#This Row],[Education New]]="", tblPiNHistorical[[#This Row],[Education New]]=0), "", tblPiNHistorical[[#This Row],[Education New]]-tblPiNHistorical[[#This Row],[Education Old]])</f>
        <v/>
      </c>
      <c r="AH12" s="67"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12" s="67" t="str">
        <f>IF(OR(tblPiNHistorical[[#This Row],[Health Old]]="", tblPiNHistorical[[#This Row],[Health Old]]=0, tblPiNHistorical[[#This Row],[Health New]]="", tblPiNHistorical[[#This Row],[Health New]]=0), "", tblPiNHistorical[[#This Row],[Health New]]-tblPiNHistorical[[#This Row],[Health Old]])</f>
        <v/>
      </c>
      <c r="AJ12" s="67" t="str">
        <f>IF(OR(tblPiNHistorical[[#This Row],[Nutrition Old]]="", tblPiNHistorical[[#This Row],[Nutrition Old]]=0, tblPiNHistorical[[#This Row],[Nutrition New]]="", tblPiNHistorical[[#This Row],[Nutrition New]]=0), "", tblPiNHistorical[[#This Row],[Nutrition New]]-tblPiNHistorical[[#This Row],[Nutrition Old]])</f>
        <v/>
      </c>
      <c r="AK12" s="67" t="str">
        <f>IF(OR(tblPiNHistorical[[#This Row],[Protection Old]]="", tblPiNHistorical[[#This Row],[Protection Old]]=0, tblPiNHistorical[[#This Row],[Protection New]]="", tblPiNHistorical[[#This Row],[Protection New]]=0), "", tblPiNHistorical[[#This Row],[Protection New]]-tblPiNHistorical[[#This Row],[Protection Old]])</f>
        <v/>
      </c>
      <c r="AL12" s="67" t="str">
        <f>IF(OR(tblPiNHistorical[[#This Row],[CP Old ]]="", tblPiNHistorical[[#This Row],[CP Old ]]=0, tblPiNHistorical[[#This Row],[CP New]]="", tblPiNHistorical[[#This Row],[CP New]]=0), "", tblPiNHistorical[[#This Row],[CP New]]-tblPiNHistorical[[#This Row],[CP Old ]])</f>
        <v/>
      </c>
      <c r="AM12" s="83" t="str">
        <f>IF(OR(tblPiNHistorical[[#This Row],[GBV Old]]="", tblPiNHistorical[[#This Row],[GBV Old]]=0, tblPiNHistorical[[#This Row],[GBV New]]="", tblPiNHistorical[[#This Row],[GBV New]]=0), "", tblPiNHistorical[[#This Row],[GBV New]]-tblPiNHistorical[[#This Row],[GBV Old]])</f>
        <v/>
      </c>
      <c r="AN12" s="83" t="str">
        <f>IF(OR(tblPiNHistorical[[#This Row],[Mine Action Old]]="", tblPiNHistorical[[#This Row],[Mine Action Old]]=0, tblPiNHistorical[[#This Row],[Mine Action New]]="", tblPiNHistorical[[#This Row],[Mine Action New]]=0), "", tblPiNHistorical[[#This Row],[Mine Action New]]-tblPiNHistorical[[#This Row],[Mine Action Old]])</f>
        <v/>
      </c>
      <c r="AO12" s="67">
        <f>IF(OR(tblPiNHistorical[[#This Row],[Shelter NFI Old]]="", tblPiNHistorical[[#This Row],[Shelter NFI Old]]=0, tblPiNHistorical[[#This Row],[Shelter NFI New]]="", tblPiNHistorical[[#This Row],[Shelter NFI New]]=0), "", tblPiNHistorical[[#This Row],[Shelter NFI New]]-tblPiNHistorical[[#This Row],[Shelter NFI Old]])</f>
        <v>-9485</v>
      </c>
      <c r="AP12" s="111" t="str">
        <f>IF(OR(tblPiNHistorical[[#This Row],[WASH Old]]="", tblPiNHistorical[[#This Row],[WASH Old]]=0, tblPiNHistorical[[#This Row],[WASH New]]="", tblPiNHistorical[[#This Row],[WASH New]]=0), "", tblPiNHistorical[[#This Row],[WASH New]]-tblPiNHistorical[[#This Row],[WASH Old]])</f>
        <v/>
      </c>
      <c r="AQ12" s="110">
        <f>IFERROR(ROUND((tblPiNHistorical[[#This Row],[Site Management - New]] - tblPiNHistorical[[#This Row],[Site Management - Old]])/tblPiNHistorical[[#This Row],[Site Management - Old]], 1), "")</f>
        <v>-1</v>
      </c>
      <c r="AR12" s="66">
        <f>IFERROR(ROUND((tblPiNHistorical[[#This Row],[Education New]]-tblPiNHistorical[[#This Row],[Education Old]])/tblPiNHistorical[[#This Row],[Education Old]], 1), "")</f>
        <v>-1</v>
      </c>
      <c r="AS12" s="66">
        <f>IFERROR(ROUND((tblPiNHistorical[[#This Row],[Food Security and Livlihoods New]]-tblPiNHistorical[[#This Row],[Food Security and Livlihoods Old]])/tblPiNHistorical[[#This Row],[Food Security and Livlihoods Old]], 1), "")</f>
        <v>-1</v>
      </c>
      <c r="AT12" s="66">
        <f>IFERROR(ROUND((tblPiNHistorical[[#This Row],[Health New]]-tblPiNHistorical[[#This Row],[Health Old]])/tblPiNHistorical[[#This Row],[Health Old]], 1), "")</f>
        <v>-1</v>
      </c>
      <c r="AU12" s="66">
        <f>IFERROR(ROUND((tblPiNHistorical[[#This Row],[Nutrition New]]-tblPiNHistorical[[#This Row],[Nutrition Old]])/tblPiNHistorical[[#This Row],[Nutrition Old]], 1), "")</f>
        <v>-1</v>
      </c>
      <c r="AV12" s="66">
        <f>IFERROR(ROUND((tblPiNHistorical[[#This Row],[Protection New]]-tblPiNHistorical[[#This Row],[Protection Old]])/tblPiNHistorical[[#This Row],[Protection Old]], 1), "")</f>
        <v>-1</v>
      </c>
      <c r="AW12" s="84">
        <f>IFERROR(ROUND((tblPiNHistorical[[#This Row],[CP New]]-tblPiNHistorical[[#This Row],[CP Old ]])/tblPiNHistorical[[#This Row],[CP Old ]], 1), "")</f>
        <v>-1</v>
      </c>
      <c r="AX12" s="84">
        <f>IFERROR(ROUND((tblPiNHistorical[[#This Row],[GBV New]]-tblPiNHistorical[[#This Row],[GBV Old]])/tblPiNHistorical[[#This Row],[GBV Old]], 1), "")</f>
        <v>-1</v>
      </c>
      <c r="AY12" s="84" t="str">
        <f>IFERROR(ROUND((tblPiNHistorical[[#This Row],[Mine Action New]]-tblPiNHistorical[[#This Row],[Mine Action Old]])/tblPiNHistorical[[#This Row],[Mine Action Old]], 1), "")</f>
        <v/>
      </c>
      <c r="AZ12" s="66">
        <f>IFERROR(ROUND((tblPiNHistorical[[#This Row],[Shelter NFI New]]-tblPiNHistorical[[#This Row],[Shelter NFI Old]])/tblPiNHistorical[[#This Row],[Shelter NFI Old]], 1), "")</f>
        <v>-0.6</v>
      </c>
      <c r="BA12" s="36">
        <f>IFERROR(ROUND((tblPiNHistorical[[#This Row],[WASH New]]-tblPiNHistorical[[#This Row],[WASH Old]])/tblPiNHistorical[[#This Row],[WASH Old]], 1), "")</f>
        <v>-1</v>
      </c>
      <c r="BB12"/>
      <c r="BC12"/>
      <c r="BD12"/>
      <c r="BE12"/>
      <c r="BF12"/>
      <c r="BG12"/>
      <c r="BH12"/>
      <c r="BI12"/>
      <c r="BL12"/>
      <c r="BN12"/>
      <c r="BO12"/>
      <c r="BP12"/>
    </row>
    <row r="13" spans="1:68" x14ac:dyDescent="0.25">
      <c r="A13"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IDPsSD08106</v>
      </c>
      <c r="B13" s="127" t="s">
        <v>150</v>
      </c>
      <c r="C13" s="60" t="s">
        <v>125</v>
      </c>
      <c r="D13" s="60" t="s">
        <v>374</v>
      </c>
      <c r="E13" s="60" t="s">
        <v>375</v>
      </c>
      <c r="F13" s="54"/>
      <c r="G13" s="30"/>
      <c r="H13" s="56">
        <v>19116</v>
      </c>
      <c r="I13" s="37" t="s">
        <v>88</v>
      </c>
      <c r="J13" s="34">
        <v>4937</v>
      </c>
      <c r="K13" s="116">
        <v>7411.2731999999996</v>
      </c>
      <c r="L13" s="114">
        <v>19116</v>
      </c>
      <c r="M13" s="114">
        <v>19116</v>
      </c>
      <c r="N13" s="114">
        <v>1730</v>
      </c>
      <c r="O13" s="114">
        <v>19116</v>
      </c>
      <c r="P13" s="114">
        <v>10514</v>
      </c>
      <c r="Q13" s="114">
        <v>6556</v>
      </c>
      <c r="R13" s="114">
        <v>9558</v>
      </c>
      <c r="S13" s="114">
        <v>7646</v>
      </c>
      <c r="T13" s="196">
        <v>16385.470560000002</v>
      </c>
      <c r="U13" s="52">
        <f>IFERROR(INDEX(tblPiNAnalysis[[Site Management ]], MATCH(tblPiNHistorical[[#This Row],[ID]], tblPiNAnalysis[ID], 0)), "")</f>
        <v>0</v>
      </c>
      <c r="V13" s="52">
        <f>IFERROR(INDEX(tblPiNAnalysis[Education], MATCH(tblPiNHistorical[[#This Row],[ID]], tblPiNAnalysis[ID], 0)), "")</f>
        <v>0</v>
      </c>
      <c r="W13" s="28">
        <f>IFERROR(INDEX(tblPiNAnalysis[Food Security and Livlihoods], MATCH(tblPiNHistorical[[#This Row],[ID]], tblPiNAnalysis[ID], 0)), "")</f>
        <v>0</v>
      </c>
      <c r="X13" s="28">
        <f>IFERROR(INDEX(tblPiNAnalysis[[Health ]], MATCH(tblPiNHistorical[[#This Row],[ID]], tblPiNAnalysis[ID], 0)), "")</f>
        <v>0</v>
      </c>
      <c r="Y13" s="28">
        <f>IFERROR(INDEX(tblPiNAnalysis[Nutrition], MATCH(tblPiNHistorical[[#This Row],[ID]], tblPiNAnalysis[ID], 0)), "")</f>
        <v>0</v>
      </c>
      <c r="Z13" s="28">
        <f>IFERROR(INDEX(tblPiNAnalysis[Protection], MATCH(tblPiNHistorical[[#This Row],[ID]], tblPiNAnalysis[ID], 0)), "")</f>
        <v>0</v>
      </c>
      <c r="AA13" s="28">
        <f>IFERROR(INDEX(tblPiNAnalysis[CP], MATCH(tblPiNHistorical[[#This Row],[ID]], tblPiNAnalysis[ID], 0)), "")</f>
        <v>0</v>
      </c>
      <c r="AB13" s="83">
        <f>IFERROR(INDEX(tblPiNAnalysis[GBV], MATCH(tblPiNHistorical[[#This Row],[ID]], tblPiNAnalysis[ID], 0)), "")</f>
        <v>0</v>
      </c>
      <c r="AC13" s="28">
        <f>IFERROR(INDEX(tblPiNAnalysis[Mine Action], MATCH(tblPiNHistorical[[#This Row],[ID]], tblPiNAnalysis[ID], 0)), "")</f>
        <v>0</v>
      </c>
      <c r="AD13" s="83">
        <f>IFERROR(INDEX(tblPiNAnalysis[[Shelter NFI ]], MATCH(tblPiNHistorical[[#This Row],[ID]], tblPiNAnalysis[ID], 0)), "")</f>
        <v>15323</v>
      </c>
      <c r="AE13" s="35">
        <f>IFERROR(INDEX(tblPiNAnalysis[WASH], MATCH(tblPiNHistorical[[#This Row],[ID]], tblPiNAnalysis[ID], 0)), "")</f>
        <v>0</v>
      </c>
      <c r="AF13" s="6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13" s="67" t="str">
        <f>IF(OR(tblPiNHistorical[[#This Row],[Education Old]]="", tblPiNHistorical[[#This Row],[Education Old]]=0, tblPiNHistorical[[#This Row],[Education New]]="", tblPiNHistorical[[#This Row],[Education New]]=0), "", tblPiNHistorical[[#This Row],[Education New]]-tblPiNHistorical[[#This Row],[Education Old]])</f>
        <v/>
      </c>
      <c r="AH13" s="67"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13" s="67" t="str">
        <f>IF(OR(tblPiNHistorical[[#This Row],[Health Old]]="", tblPiNHistorical[[#This Row],[Health Old]]=0, tblPiNHistorical[[#This Row],[Health New]]="", tblPiNHistorical[[#This Row],[Health New]]=0), "", tblPiNHistorical[[#This Row],[Health New]]-tblPiNHistorical[[#This Row],[Health Old]])</f>
        <v/>
      </c>
      <c r="AJ13" s="67" t="str">
        <f>IF(OR(tblPiNHistorical[[#This Row],[Nutrition Old]]="", tblPiNHistorical[[#This Row],[Nutrition Old]]=0, tblPiNHistorical[[#This Row],[Nutrition New]]="", tblPiNHistorical[[#This Row],[Nutrition New]]=0), "", tblPiNHistorical[[#This Row],[Nutrition New]]-tblPiNHistorical[[#This Row],[Nutrition Old]])</f>
        <v/>
      </c>
      <c r="AK13" s="67" t="str">
        <f>IF(OR(tblPiNHistorical[[#This Row],[Protection Old]]="", tblPiNHistorical[[#This Row],[Protection Old]]=0, tblPiNHistorical[[#This Row],[Protection New]]="", tblPiNHistorical[[#This Row],[Protection New]]=0), "", tblPiNHistorical[[#This Row],[Protection New]]-tblPiNHistorical[[#This Row],[Protection Old]])</f>
        <v/>
      </c>
      <c r="AL13" s="67" t="str">
        <f>IF(OR(tblPiNHistorical[[#This Row],[CP Old ]]="", tblPiNHistorical[[#This Row],[CP Old ]]=0, tblPiNHistorical[[#This Row],[CP New]]="", tblPiNHistorical[[#This Row],[CP New]]=0), "", tblPiNHistorical[[#This Row],[CP New]]-tblPiNHistorical[[#This Row],[CP Old ]])</f>
        <v/>
      </c>
      <c r="AM13" s="83" t="str">
        <f>IF(OR(tblPiNHistorical[[#This Row],[GBV Old]]="", tblPiNHistorical[[#This Row],[GBV Old]]=0, tblPiNHistorical[[#This Row],[GBV New]]="", tblPiNHistorical[[#This Row],[GBV New]]=0), "", tblPiNHistorical[[#This Row],[GBV New]]-tblPiNHistorical[[#This Row],[GBV Old]])</f>
        <v/>
      </c>
      <c r="AN13" s="83" t="str">
        <f>IF(OR(tblPiNHistorical[[#This Row],[Mine Action Old]]="", tblPiNHistorical[[#This Row],[Mine Action Old]]=0, tblPiNHistorical[[#This Row],[Mine Action New]]="", tblPiNHistorical[[#This Row],[Mine Action New]]=0), "", tblPiNHistorical[[#This Row],[Mine Action New]]-tblPiNHistorical[[#This Row],[Mine Action Old]])</f>
        <v/>
      </c>
      <c r="AO13" s="67">
        <f>IF(OR(tblPiNHistorical[[#This Row],[Shelter NFI Old]]="", tblPiNHistorical[[#This Row],[Shelter NFI Old]]=0, tblPiNHistorical[[#This Row],[Shelter NFI New]]="", tblPiNHistorical[[#This Row],[Shelter NFI New]]=0), "", tblPiNHistorical[[#This Row],[Shelter NFI New]]-tblPiNHistorical[[#This Row],[Shelter NFI Old]])</f>
        <v>7677</v>
      </c>
      <c r="AP13" s="111" t="str">
        <f>IF(OR(tblPiNHistorical[[#This Row],[WASH Old]]="", tblPiNHistorical[[#This Row],[WASH Old]]=0, tblPiNHistorical[[#This Row],[WASH New]]="", tblPiNHistorical[[#This Row],[WASH New]]=0), "", tblPiNHistorical[[#This Row],[WASH New]]-tblPiNHistorical[[#This Row],[WASH Old]])</f>
        <v/>
      </c>
      <c r="AQ13" s="110">
        <f>IFERROR(ROUND((tblPiNHistorical[[#This Row],[Site Management - New]] - tblPiNHistorical[[#This Row],[Site Management - Old]])/tblPiNHistorical[[#This Row],[Site Management - Old]], 1), "")</f>
        <v>-1</v>
      </c>
      <c r="AR13" s="66">
        <f>IFERROR(ROUND((tblPiNHistorical[[#This Row],[Education New]]-tblPiNHistorical[[#This Row],[Education Old]])/tblPiNHistorical[[#This Row],[Education Old]], 1), "")</f>
        <v>-1</v>
      </c>
      <c r="AS13" s="66">
        <f>IFERROR(ROUND((tblPiNHistorical[[#This Row],[Food Security and Livlihoods New]]-tblPiNHistorical[[#This Row],[Food Security and Livlihoods Old]])/tblPiNHistorical[[#This Row],[Food Security and Livlihoods Old]], 1), "")</f>
        <v>-1</v>
      </c>
      <c r="AT13" s="66">
        <f>IFERROR(ROUND((tblPiNHistorical[[#This Row],[Health New]]-tblPiNHistorical[[#This Row],[Health Old]])/tblPiNHistorical[[#This Row],[Health Old]], 1), "")</f>
        <v>-1</v>
      </c>
      <c r="AU13" s="66">
        <f>IFERROR(ROUND((tblPiNHistorical[[#This Row],[Nutrition New]]-tblPiNHistorical[[#This Row],[Nutrition Old]])/tblPiNHistorical[[#This Row],[Nutrition Old]], 1), "")</f>
        <v>-1</v>
      </c>
      <c r="AV13" s="66">
        <f>IFERROR(ROUND((tblPiNHistorical[[#This Row],[Protection New]]-tblPiNHistorical[[#This Row],[Protection Old]])/tblPiNHistorical[[#This Row],[Protection Old]], 1), "")</f>
        <v>-1</v>
      </c>
      <c r="AW13" s="84">
        <f>IFERROR(ROUND((tblPiNHistorical[[#This Row],[CP New]]-tblPiNHistorical[[#This Row],[CP Old ]])/tblPiNHistorical[[#This Row],[CP Old ]], 1), "")</f>
        <v>-1</v>
      </c>
      <c r="AX13" s="84">
        <f>IFERROR(ROUND((tblPiNHistorical[[#This Row],[GBV New]]-tblPiNHistorical[[#This Row],[GBV Old]])/tblPiNHistorical[[#This Row],[GBV Old]], 1), "")</f>
        <v>-1</v>
      </c>
      <c r="AY13" s="84">
        <f>IFERROR(ROUND((tblPiNHistorical[[#This Row],[Mine Action New]]-tblPiNHistorical[[#This Row],[Mine Action Old]])/tblPiNHistorical[[#This Row],[Mine Action Old]], 1), "")</f>
        <v>-1</v>
      </c>
      <c r="AZ13" s="66">
        <f>IFERROR(ROUND((tblPiNHistorical[[#This Row],[Shelter NFI New]]-tblPiNHistorical[[#This Row],[Shelter NFI Old]])/tblPiNHistorical[[#This Row],[Shelter NFI Old]], 1), "")</f>
        <v>1</v>
      </c>
      <c r="BA13" s="36">
        <f>IFERROR(ROUND((tblPiNHistorical[[#This Row],[WASH New]]-tblPiNHistorical[[#This Row],[WASH Old]])/tblPiNHistorical[[#This Row],[WASH Old]], 1), "")</f>
        <v>-1</v>
      </c>
      <c r="BB13"/>
      <c r="BC13"/>
      <c r="BD13"/>
      <c r="BE13"/>
      <c r="BF13"/>
      <c r="BG13"/>
      <c r="BH13"/>
      <c r="BI13"/>
      <c r="BL13"/>
      <c r="BN13"/>
      <c r="BO13"/>
      <c r="BP13"/>
    </row>
    <row r="14" spans="1:68" x14ac:dyDescent="0.25">
      <c r="A14"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IDPsSD08107</v>
      </c>
      <c r="B14" s="127" t="s">
        <v>150</v>
      </c>
      <c r="C14" s="60" t="s">
        <v>125</v>
      </c>
      <c r="D14" s="60" t="s">
        <v>376</v>
      </c>
      <c r="E14" s="60" t="s">
        <v>377</v>
      </c>
      <c r="F14" s="54"/>
      <c r="G14" s="30"/>
      <c r="H14" s="56">
        <v>32755</v>
      </c>
      <c r="I14" s="37" t="s">
        <v>88</v>
      </c>
      <c r="J14" s="34">
        <v>11020</v>
      </c>
      <c r="K14" s="116">
        <v>0</v>
      </c>
      <c r="L14" s="114">
        <v>32755</v>
      </c>
      <c r="M14" s="114">
        <v>32755</v>
      </c>
      <c r="N14" s="114">
        <v>2360</v>
      </c>
      <c r="O14" s="114">
        <v>32755</v>
      </c>
      <c r="P14" s="114">
        <v>18015</v>
      </c>
      <c r="Q14" s="114">
        <v>12965</v>
      </c>
      <c r="R14" s="114">
        <v>0</v>
      </c>
      <c r="S14" s="114">
        <v>19653</v>
      </c>
      <c r="T14" s="196">
        <v>21983.845799999996</v>
      </c>
      <c r="U14" s="52">
        <f>IFERROR(INDEX(tblPiNAnalysis[[Site Management ]], MATCH(tblPiNHistorical[[#This Row],[ID]], tblPiNAnalysis[ID], 0)), "")</f>
        <v>0</v>
      </c>
      <c r="V14" s="52">
        <f>IFERROR(INDEX(tblPiNAnalysis[Education], MATCH(tblPiNHistorical[[#This Row],[ID]], tblPiNAnalysis[ID], 0)), "")</f>
        <v>0</v>
      </c>
      <c r="W14" s="28">
        <f>IFERROR(INDEX(tblPiNAnalysis[Food Security and Livlihoods], MATCH(tblPiNHistorical[[#This Row],[ID]], tblPiNAnalysis[ID], 0)), "")</f>
        <v>0</v>
      </c>
      <c r="X14" s="28">
        <f>IFERROR(INDEX(tblPiNAnalysis[[Health ]], MATCH(tblPiNHistorical[[#This Row],[ID]], tblPiNAnalysis[ID], 0)), "")</f>
        <v>0</v>
      </c>
      <c r="Y14" s="28">
        <f>IFERROR(INDEX(tblPiNAnalysis[Nutrition], MATCH(tblPiNHistorical[[#This Row],[ID]], tblPiNAnalysis[ID], 0)), "")</f>
        <v>0</v>
      </c>
      <c r="Z14" s="28">
        <f>IFERROR(INDEX(tblPiNAnalysis[Protection], MATCH(tblPiNHistorical[[#This Row],[ID]], tblPiNAnalysis[ID], 0)), "")</f>
        <v>0</v>
      </c>
      <c r="AA14" s="28">
        <f>IFERROR(INDEX(tblPiNAnalysis[CP], MATCH(tblPiNHistorical[[#This Row],[ID]], tblPiNAnalysis[ID], 0)), "")</f>
        <v>0</v>
      </c>
      <c r="AB14" s="83">
        <f>IFERROR(INDEX(tblPiNAnalysis[GBV], MATCH(tblPiNHistorical[[#This Row],[ID]], tblPiNAnalysis[ID], 0)), "")</f>
        <v>0</v>
      </c>
      <c r="AC14" s="28">
        <f>IFERROR(INDEX(tblPiNAnalysis[Mine Action], MATCH(tblPiNHistorical[[#This Row],[ID]], tblPiNAnalysis[ID], 0)), "")</f>
        <v>0</v>
      </c>
      <c r="AD14" s="83">
        <f>IFERROR(INDEX(tblPiNAnalysis[[Shelter NFI ]], MATCH(tblPiNHistorical[[#This Row],[ID]], tblPiNAnalysis[ID], 0)), "")</f>
        <v>9741</v>
      </c>
      <c r="AE14" s="35">
        <f>IFERROR(INDEX(tblPiNAnalysis[WASH], MATCH(tblPiNHistorical[[#This Row],[ID]], tblPiNAnalysis[ID], 0)), "")</f>
        <v>0</v>
      </c>
      <c r="AF14" s="6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14" s="67" t="str">
        <f>IF(OR(tblPiNHistorical[[#This Row],[Education Old]]="", tblPiNHistorical[[#This Row],[Education Old]]=0, tblPiNHistorical[[#This Row],[Education New]]="", tblPiNHistorical[[#This Row],[Education New]]=0), "", tblPiNHistorical[[#This Row],[Education New]]-tblPiNHistorical[[#This Row],[Education Old]])</f>
        <v/>
      </c>
      <c r="AH14" s="67"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14" s="67" t="str">
        <f>IF(OR(tblPiNHistorical[[#This Row],[Health Old]]="", tblPiNHistorical[[#This Row],[Health Old]]=0, tblPiNHistorical[[#This Row],[Health New]]="", tblPiNHistorical[[#This Row],[Health New]]=0), "", tblPiNHistorical[[#This Row],[Health New]]-tblPiNHistorical[[#This Row],[Health Old]])</f>
        <v/>
      </c>
      <c r="AJ14" s="67" t="str">
        <f>IF(OR(tblPiNHistorical[[#This Row],[Nutrition Old]]="", tblPiNHistorical[[#This Row],[Nutrition Old]]=0, tblPiNHistorical[[#This Row],[Nutrition New]]="", tblPiNHistorical[[#This Row],[Nutrition New]]=0), "", tblPiNHistorical[[#This Row],[Nutrition New]]-tblPiNHistorical[[#This Row],[Nutrition Old]])</f>
        <v/>
      </c>
      <c r="AK14" s="67" t="str">
        <f>IF(OR(tblPiNHistorical[[#This Row],[Protection Old]]="", tblPiNHistorical[[#This Row],[Protection Old]]=0, tblPiNHistorical[[#This Row],[Protection New]]="", tblPiNHistorical[[#This Row],[Protection New]]=0), "", tblPiNHistorical[[#This Row],[Protection New]]-tblPiNHistorical[[#This Row],[Protection Old]])</f>
        <v/>
      </c>
      <c r="AL14" s="67" t="str">
        <f>IF(OR(tblPiNHistorical[[#This Row],[CP Old ]]="", tblPiNHistorical[[#This Row],[CP Old ]]=0, tblPiNHistorical[[#This Row],[CP New]]="", tblPiNHistorical[[#This Row],[CP New]]=0), "", tblPiNHistorical[[#This Row],[CP New]]-tblPiNHistorical[[#This Row],[CP Old ]])</f>
        <v/>
      </c>
      <c r="AM14" s="83" t="str">
        <f>IF(OR(tblPiNHistorical[[#This Row],[GBV Old]]="", tblPiNHistorical[[#This Row],[GBV Old]]=0, tblPiNHistorical[[#This Row],[GBV New]]="", tblPiNHistorical[[#This Row],[GBV New]]=0), "", tblPiNHistorical[[#This Row],[GBV New]]-tblPiNHistorical[[#This Row],[GBV Old]])</f>
        <v/>
      </c>
      <c r="AN14" s="83" t="str">
        <f>IF(OR(tblPiNHistorical[[#This Row],[Mine Action Old]]="", tblPiNHistorical[[#This Row],[Mine Action Old]]=0, tblPiNHistorical[[#This Row],[Mine Action New]]="", tblPiNHistorical[[#This Row],[Mine Action New]]=0), "", tblPiNHistorical[[#This Row],[Mine Action New]]-tblPiNHistorical[[#This Row],[Mine Action Old]])</f>
        <v/>
      </c>
      <c r="AO14" s="67">
        <f>IF(OR(tblPiNHistorical[[#This Row],[Shelter NFI Old]]="", tblPiNHistorical[[#This Row],[Shelter NFI Old]]=0, tblPiNHistorical[[#This Row],[Shelter NFI New]]="", tblPiNHistorical[[#This Row],[Shelter NFI New]]=0), "", tblPiNHistorical[[#This Row],[Shelter NFI New]]-tblPiNHistorical[[#This Row],[Shelter NFI Old]])</f>
        <v>-9912</v>
      </c>
      <c r="AP14" s="111" t="str">
        <f>IF(OR(tblPiNHistorical[[#This Row],[WASH Old]]="", tblPiNHistorical[[#This Row],[WASH Old]]=0, tblPiNHistorical[[#This Row],[WASH New]]="", tblPiNHistorical[[#This Row],[WASH New]]=0), "", tblPiNHistorical[[#This Row],[WASH New]]-tblPiNHistorical[[#This Row],[WASH Old]])</f>
        <v/>
      </c>
      <c r="AQ14" s="110">
        <f>IFERROR(ROUND((tblPiNHistorical[[#This Row],[Site Management - New]] - tblPiNHistorical[[#This Row],[Site Management - Old]])/tblPiNHistorical[[#This Row],[Site Management - Old]], 1), "")</f>
        <v>-1</v>
      </c>
      <c r="AR14" s="66" t="str">
        <f>IFERROR(ROUND((tblPiNHistorical[[#This Row],[Education New]]-tblPiNHistorical[[#This Row],[Education Old]])/tblPiNHistorical[[#This Row],[Education Old]], 1), "")</f>
        <v/>
      </c>
      <c r="AS14" s="66">
        <f>IFERROR(ROUND((tblPiNHistorical[[#This Row],[Food Security and Livlihoods New]]-tblPiNHistorical[[#This Row],[Food Security and Livlihoods Old]])/tblPiNHistorical[[#This Row],[Food Security and Livlihoods Old]], 1), "")</f>
        <v>-1</v>
      </c>
      <c r="AT14" s="66">
        <f>IFERROR(ROUND((tblPiNHistorical[[#This Row],[Health New]]-tblPiNHistorical[[#This Row],[Health Old]])/tblPiNHistorical[[#This Row],[Health Old]], 1), "")</f>
        <v>-1</v>
      </c>
      <c r="AU14" s="66">
        <f>IFERROR(ROUND((tblPiNHistorical[[#This Row],[Nutrition New]]-tblPiNHistorical[[#This Row],[Nutrition Old]])/tblPiNHistorical[[#This Row],[Nutrition Old]], 1), "")</f>
        <v>-1</v>
      </c>
      <c r="AV14" s="66">
        <f>IFERROR(ROUND((tblPiNHistorical[[#This Row],[Protection New]]-tblPiNHistorical[[#This Row],[Protection Old]])/tblPiNHistorical[[#This Row],[Protection Old]], 1), "")</f>
        <v>-1</v>
      </c>
      <c r="AW14" s="84">
        <f>IFERROR(ROUND((tblPiNHistorical[[#This Row],[CP New]]-tblPiNHistorical[[#This Row],[CP Old ]])/tblPiNHistorical[[#This Row],[CP Old ]], 1), "")</f>
        <v>-1</v>
      </c>
      <c r="AX14" s="84">
        <f>IFERROR(ROUND((tblPiNHistorical[[#This Row],[GBV New]]-tblPiNHistorical[[#This Row],[GBV Old]])/tblPiNHistorical[[#This Row],[GBV Old]], 1), "")</f>
        <v>-1</v>
      </c>
      <c r="AY14" s="84" t="str">
        <f>IFERROR(ROUND((tblPiNHistorical[[#This Row],[Mine Action New]]-tblPiNHistorical[[#This Row],[Mine Action Old]])/tblPiNHistorical[[#This Row],[Mine Action Old]], 1), "")</f>
        <v/>
      </c>
      <c r="AZ14" s="66">
        <f>IFERROR(ROUND((tblPiNHistorical[[#This Row],[Shelter NFI New]]-tblPiNHistorical[[#This Row],[Shelter NFI Old]])/tblPiNHistorical[[#This Row],[Shelter NFI Old]], 1), "")</f>
        <v>-0.5</v>
      </c>
      <c r="BA14" s="36">
        <f>IFERROR(ROUND((tblPiNHistorical[[#This Row],[WASH New]]-tblPiNHistorical[[#This Row],[WASH Old]])/tblPiNHistorical[[#This Row],[WASH Old]], 1), "")</f>
        <v>-1</v>
      </c>
      <c r="BB14"/>
      <c r="BC14"/>
      <c r="BD14"/>
      <c r="BE14"/>
      <c r="BF14"/>
      <c r="BG14"/>
      <c r="BH14"/>
      <c r="BI14"/>
      <c r="BL14"/>
      <c r="BN14"/>
      <c r="BO14"/>
      <c r="BP14"/>
    </row>
    <row r="15" spans="1:68" ht="30" x14ac:dyDescent="0.25">
      <c r="A15"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IDPsSD08108</v>
      </c>
      <c r="B15" s="127" t="s">
        <v>150</v>
      </c>
      <c r="C15" s="60" t="s">
        <v>125</v>
      </c>
      <c r="D15" s="60" t="s">
        <v>378</v>
      </c>
      <c r="E15" s="60" t="s">
        <v>379</v>
      </c>
      <c r="F15" s="54"/>
      <c r="G15" s="30"/>
      <c r="H15" s="56">
        <v>16752</v>
      </c>
      <c r="I15" s="37" t="s">
        <v>88</v>
      </c>
      <c r="J15" s="34">
        <v>15272</v>
      </c>
      <c r="K15" s="116">
        <v>0</v>
      </c>
      <c r="L15" s="114">
        <v>16752</v>
      </c>
      <c r="M15" s="114">
        <v>16752</v>
      </c>
      <c r="N15" s="114">
        <v>1203</v>
      </c>
      <c r="O15" s="114">
        <v>9213.6</v>
      </c>
      <c r="P15" s="114">
        <v>9214</v>
      </c>
      <c r="Q15" s="114">
        <v>5748</v>
      </c>
      <c r="R15" s="114">
        <v>5025.5999999999995</v>
      </c>
      <c r="S15" s="114">
        <v>6701</v>
      </c>
      <c r="T15" s="196">
        <v>20102.399999999998</v>
      </c>
      <c r="U15" s="52">
        <f>IFERROR(INDEX(tblPiNAnalysis[[Site Management ]], MATCH(tblPiNHistorical[[#This Row],[ID]], tblPiNAnalysis[ID], 0)), "")</f>
        <v>0</v>
      </c>
      <c r="V15" s="52">
        <f>IFERROR(INDEX(tblPiNAnalysis[Education], MATCH(tblPiNHistorical[[#This Row],[ID]], tblPiNAnalysis[ID], 0)), "")</f>
        <v>0</v>
      </c>
      <c r="W15" s="28">
        <f>IFERROR(INDEX(tblPiNAnalysis[Food Security and Livlihoods], MATCH(tblPiNHistorical[[#This Row],[ID]], tblPiNAnalysis[ID], 0)), "")</f>
        <v>0</v>
      </c>
      <c r="X15" s="28">
        <f>IFERROR(INDEX(tblPiNAnalysis[[Health ]], MATCH(tblPiNHistorical[[#This Row],[ID]], tblPiNAnalysis[ID], 0)), "")</f>
        <v>0</v>
      </c>
      <c r="Y15" s="28">
        <f>IFERROR(INDEX(tblPiNAnalysis[Nutrition], MATCH(tblPiNHistorical[[#This Row],[ID]], tblPiNAnalysis[ID], 0)), "")</f>
        <v>0</v>
      </c>
      <c r="Z15" s="28">
        <f>IFERROR(INDEX(tblPiNAnalysis[Protection], MATCH(tblPiNHistorical[[#This Row],[ID]], tblPiNAnalysis[ID], 0)), "")</f>
        <v>0</v>
      </c>
      <c r="AA15" s="28">
        <f>IFERROR(INDEX(tblPiNAnalysis[CP], MATCH(tblPiNHistorical[[#This Row],[ID]], tblPiNAnalysis[ID], 0)), "")</f>
        <v>0</v>
      </c>
      <c r="AB15" s="83">
        <f>IFERROR(INDEX(tblPiNAnalysis[GBV], MATCH(tblPiNHistorical[[#This Row],[ID]], tblPiNAnalysis[ID], 0)), "")</f>
        <v>0</v>
      </c>
      <c r="AC15" s="28">
        <f>IFERROR(INDEX(tblPiNAnalysis[Mine Action], MATCH(tblPiNHistorical[[#This Row],[ID]], tblPiNAnalysis[ID], 0)), "")</f>
        <v>0</v>
      </c>
      <c r="AD15" s="83">
        <f>IFERROR(INDEX(tblPiNAnalysis[[Shelter NFI ]], MATCH(tblPiNHistorical[[#This Row],[ID]], tblPiNAnalysis[ID], 0)), "")</f>
        <v>16422</v>
      </c>
      <c r="AE15" s="35">
        <f>IFERROR(INDEX(tblPiNAnalysis[WASH], MATCH(tblPiNHistorical[[#This Row],[ID]], tblPiNAnalysis[ID], 0)), "")</f>
        <v>0</v>
      </c>
      <c r="AF15" s="6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15" s="67" t="str">
        <f>IF(OR(tblPiNHistorical[[#This Row],[Education Old]]="", tblPiNHistorical[[#This Row],[Education Old]]=0, tblPiNHistorical[[#This Row],[Education New]]="", tblPiNHistorical[[#This Row],[Education New]]=0), "", tblPiNHistorical[[#This Row],[Education New]]-tblPiNHistorical[[#This Row],[Education Old]])</f>
        <v/>
      </c>
      <c r="AH15" s="67"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15" s="67" t="str">
        <f>IF(OR(tblPiNHistorical[[#This Row],[Health Old]]="", tblPiNHistorical[[#This Row],[Health Old]]=0, tblPiNHistorical[[#This Row],[Health New]]="", tblPiNHistorical[[#This Row],[Health New]]=0), "", tblPiNHistorical[[#This Row],[Health New]]-tblPiNHistorical[[#This Row],[Health Old]])</f>
        <v/>
      </c>
      <c r="AJ15" s="67" t="str">
        <f>IF(OR(tblPiNHistorical[[#This Row],[Nutrition Old]]="", tblPiNHistorical[[#This Row],[Nutrition Old]]=0, tblPiNHistorical[[#This Row],[Nutrition New]]="", tblPiNHistorical[[#This Row],[Nutrition New]]=0), "", tblPiNHistorical[[#This Row],[Nutrition New]]-tblPiNHistorical[[#This Row],[Nutrition Old]])</f>
        <v/>
      </c>
      <c r="AK15" s="67" t="str">
        <f>IF(OR(tblPiNHistorical[[#This Row],[Protection Old]]="", tblPiNHistorical[[#This Row],[Protection Old]]=0, tblPiNHistorical[[#This Row],[Protection New]]="", tblPiNHistorical[[#This Row],[Protection New]]=0), "", tblPiNHistorical[[#This Row],[Protection New]]-tblPiNHistorical[[#This Row],[Protection Old]])</f>
        <v/>
      </c>
      <c r="AL15" s="67" t="str">
        <f>IF(OR(tblPiNHistorical[[#This Row],[CP Old ]]="", tblPiNHistorical[[#This Row],[CP Old ]]=0, tblPiNHistorical[[#This Row],[CP New]]="", tblPiNHistorical[[#This Row],[CP New]]=0), "", tblPiNHistorical[[#This Row],[CP New]]-tblPiNHistorical[[#This Row],[CP Old ]])</f>
        <v/>
      </c>
      <c r="AM15" s="83" t="str">
        <f>IF(OR(tblPiNHistorical[[#This Row],[GBV Old]]="", tblPiNHistorical[[#This Row],[GBV Old]]=0, tblPiNHistorical[[#This Row],[GBV New]]="", tblPiNHistorical[[#This Row],[GBV New]]=0), "", tblPiNHistorical[[#This Row],[GBV New]]-tblPiNHistorical[[#This Row],[GBV Old]])</f>
        <v/>
      </c>
      <c r="AN15" s="83" t="str">
        <f>IF(OR(tblPiNHistorical[[#This Row],[Mine Action Old]]="", tblPiNHistorical[[#This Row],[Mine Action Old]]=0, tblPiNHistorical[[#This Row],[Mine Action New]]="", tblPiNHistorical[[#This Row],[Mine Action New]]=0), "", tblPiNHistorical[[#This Row],[Mine Action New]]-tblPiNHistorical[[#This Row],[Mine Action Old]])</f>
        <v/>
      </c>
      <c r="AO15" s="67">
        <f>IF(OR(tblPiNHistorical[[#This Row],[Shelter NFI Old]]="", tblPiNHistorical[[#This Row],[Shelter NFI Old]]=0, tblPiNHistorical[[#This Row],[Shelter NFI New]]="", tblPiNHistorical[[#This Row],[Shelter NFI New]]=0), "", tblPiNHistorical[[#This Row],[Shelter NFI New]]-tblPiNHistorical[[#This Row],[Shelter NFI Old]])</f>
        <v>9721</v>
      </c>
      <c r="AP15" s="111" t="str">
        <f>IF(OR(tblPiNHistorical[[#This Row],[WASH Old]]="", tblPiNHistorical[[#This Row],[WASH Old]]=0, tblPiNHistorical[[#This Row],[WASH New]]="", tblPiNHistorical[[#This Row],[WASH New]]=0), "", tblPiNHistorical[[#This Row],[WASH New]]-tblPiNHistorical[[#This Row],[WASH Old]])</f>
        <v/>
      </c>
      <c r="AQ15" s="110">
        <f>IFERROR(ROUND((tblPiNHistorical[[#This Row],[Site Management - New]] - tblPiNHistorical[[#This Row],[Site Management - Old]])/tblPiNHistorical[[#This Row],[Site Management - Old]], 1), "")</f>
        <v>-1</v>
      </c>
      <c r="AR15" s="66" t="str">
        <f>IFERROR(ROUND((tblPiNHistorical[[#This Row],[Education New]]-tblPiNHistorical[[#This Row],[Education Old]])/tblPiNHistorical[[#This Row],[Education Old]], 1), "")</f>
        <v/>
      </c>
      <c r="AS15" s="66">
        <f>IFERROR(ROUND((tblPiNHistorical[[#This Row],[Food Security and Livlihoods New]]-tblPiNHistorical[[#This Row],[Food Security and Livlihoods Old]])/tblPiNHistorical[[#This Row],[Food Security and Livlihoods Old]], 1), "")</f>
        <v>-1</v>
      </c>
      <c r="AT15" s="66">
        <f>IFERROR(ROUND((tblPiNHistorical[[#This Row],[Health New]]-tblPiNHistorical[[#This Row],[Health Old]])/tblPiNHistorical[[#This Row],[Health Old]], 1), "")</f>
        <v>-1</v>
      </c>
      <c r="AU15" s="66">
        <f>IFERROR(ROUND((tblPiNHistorical[[#This Row],[Nutrition New]]-tblPiNHistorical[[#This Row],[Nutrition Old]])/tblPiNHistorical[[#This Row],[Nutrition Old]], 1), "")</f>
        <v>-1</v>
      </c>
      <c r="AV15" s="66">
        <f>IFERROR(ROUND((tblPiNHistorical[[#This Row],[Protection New]]-tblPiNHistorical[[#This Row],[Protection Old]])/tblPiNHistorical[[#This Row],[Protection Old]], 1), "")</f>
        <v>-1</v>
      </c>
      <c r="AW15" s="84">
        <f>IFERROR(ROUND((tblPiNHistorical[[#This Row],[CP New]]-tblPiNHistorical[[#This Row],[CP Old ]])/tblPiNHistorical[[#This Row],[CP Old ]], 1), "")</f>
        <v>-1</v>
      </c>
      <c r="AX15" s="84">
        <f>IFERROR(ROUND((tblPiNHistorical[[#This Row],[GBV New]]-tblPiNHistorical[[#This Row],[GBV Old]])/tblPiNHistorical[[#This Row],[GBV Old]], 1), "")</f>
        <v>-1</v>
      </c>
      <c r="AY15" s="84">
        <f>IFERROR(ROUND((tblPiNHistorical[[#This Row],[Mine Action New]]-tblPiNHistorical[[#This Row],[Mine Action Old]])/tblPiNHistorical[[#This Row],[Mine Action Old]], 1), "")</f>
        <v>-1</v>
      </c>
      <c r="AZ15" s="66">
        <f>IFERROR(ROUND((tblPiNHistorical[[#This Row],[Shelter NFI New]]-tblPiNHistorical[[#This Row],[Shelter NFI Old]])/tblPiNHistorical[[#This Row],[Shelter NFI Old]], 1), "")</f>
        <v>1.5</v>
      </c>
      <c r="BA15" s="36">
        <f>IFERROR(ROUND((tblPiNHistorical[[#This Row],[WASH New]]-tblPiNHistorical[[#This Row],[WASH Old]])/tblPiNHistorical[[#This Row],[WASH Old]], 1), "")</f>
        <v>-1</v>
      </c>
      <c r="BB15"/>
      <c r="BC15"/>
      <c r="BD15"/>
      <c r="BE15"/>
      <c r="BF15"/>
      <c r="BG15"/>
      <c r="BH15"/>
      <c r="BI15"/>
      <c r="BL15"/>
      <c r="BN15"/>
      <c r="BO15"/>
      <c r="BP15"/>
    </row>
    <row r="16" spans="1:68" x14ac:dyDescent="0.25">
      <c r="A16"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IDPsSD08104</v>
      </c>
      <c r="B16" s="127" t="s">
        <v>150</v>
      </c>
      <c r="C16" s="60" t="s">
        <v>125</v>
      </c>
      <c r="D16" s="60" t="s">
        <v>370</v>
      </c>
      <c r="E16" s="60" t="s">
        <v>371</v>
      </c>
      <c r="F16" s="54"/>
      <c r="G16" s="30"/>
      <c r="H16" s="56">
        <v>41256</v>
      </c>
      <c r="I16" s="37" t="s">
        <v>88</v>
      </c>
      <c r="J16" s="34">
        <v>32683</v>
      </c>
      <c r="K16" s="116">
        <v>15994.9512</v>
      </c>
      <c r="L16" s="114">
        <v>41256</v>
      </c>
      <c r="M16" s="114">
        <v>41256</v>
      </c>
      <c r="N16" s="114">
        <v>1730</v>
      </c>
      <c r="O16" s="114">
        <v>22690.800000000003</v>
      </c>
      <c r="P16" s="114">
        <v>22691</v>
      </c>
      <c r="Q16" s="114">
        <v>14152</v>
      </c>
      <c r="R16" s="114">
        <v>20628</v>
      </c>
      <c r="S16" s="114">
        <v>16502</v>
      </c>
      <c r="T16" s="196">
        <v>33343.099199999997</v>
      </c>
      <c r="U16" s="52">
        <f>IFERROR(INDEX(tblPiNAnalysis[[Site Management ]], MATCH(tblPiNHistorical[[#This Row],[ID]], tblPiNAnalysis[ID], 0)), "")</f>
        <v>0</v>
      </c>
      <c r="V16" s="52">
        <f>IFERROR(INDEX(tblPiNAnalysis[Education], MATCH(tblPiNHistorical[[#This Row],[ID]], tblPiNAnalysis[ID], 0)), "")</f>
        <v>0</v>
      </c>
      <c r="W16" s="28">
        <f>IFERROR(INDEX(tblPiNAnalysis[Food Security and Livlihoods], MATCH(tblPiNHistorical[[#This Row],[ID]], tblPiNAnalysis[ID], 0)), "")</f>
        <v>0</v>
      </c>
      <c r="X16" s="28">
        <f>IFERROR(INDEX(tblPiNAnalysis[[Health ]], MATCH(tblPiNHistorical[[#This Row],[ID]], tblPiNAnalysis[ID], 0)), "")</f>
        <v>0</v>
      </c>
      <c r="Y16" s="28">
        <f>IFERROR(INDEX(tblPiNAnalysis[Nutrition], MATCH(tblPiNHistorical[[#This Row],[ID]], tblPiNAnalysis[ID], 0)), "")</f>
        <v>0</v>
      </c>
      <c r="Z16" s="28">
        <f>IFERROR(INDEX(tblPiNAnalysis[Protection], MATCH(tblPiNHistorical[[#This Row],[ID]], tblPiNAnalysis[ID], 0)), "")</f>
        <v>0</v>
      </c>
      <c r="AA16" s="28">
        <f>IFERROR(INDEX(tblPiNAnalysis[CP], MATCH(tblPiNHistorical[[#This Row],[ID]], tblPiNAnalysis[ID], 0)), "")</f>
        <v>0</v>
      </c>
      <c r="AB16" s="83">
        <f>IFERROR(INDEX(tblPiNAnalysis[GBV], MATCH(tblPiNHistorical[[#This Row],[ID]], tblPiNAnalysis[ID], 0)), "")</f>
        <v>0</v>
      </c>
      <c r="AC16" s="28">
        <f>IFERROR(INDEX(tblPiNAnalysis[Mine Action], MATCH(tblPiNHistorical[[#This Row],[ID]], tblPiNAnalysis[ID], 0)), "")</f>
        <v>0</v>
      </c>
      <c r="AD16" s="83">
        <f>IFERROR(INDEX(tblPiNAnalysis[[Shelter NFI ]], MATCH(tblPiNHistorical[[#This Row],[ID]], tblPiNAnalysis[ID], 0)), "")</f>
        <v>44046</v>
      </c>
      <c r="AE16" s="35">
        <f>IFERROR(INDEX(tblPiNAnalysis[WASH], MATCH(tblPiNHistorical[[#This Row],[ID]], tblPiNAnalysis[ID], 0)), "")</f>
        <v>0</v>
      </c>
      <c r="AF16" s="6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16" s="67" t="str">
        <f>IF(OR(tblPiNHistorical[[#This Row],[Education Old]]="", tblPiNHistorical[[#This Row],[Education Old]]=0, tblPiNHistorical[[#This Row],[Education New]]="", tblPiNHistorical[[#This Row],[Education New]]=0), "", tblPiNHistorical[[#This Row],[Education New]]-tblPiNHistorical[[#This Row],[Education Old]])</f>
        <v/>
      </c>
      <c r="AH16" s="67"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16" s="67" t="str">
        <f>IF(OR(tblPiNHistorical[[#This Row],[Health Old]]="", tblPiNHistorical[[#This Row],[Health Old]]=0, tblPiNHistorical[[#This Row],[Health New]]="", tblPiNHistorical[[#This Row],[Health New]]=0), "", tblPiNHistorical[[#This Row],[Health New]]-tblPiNHistorical[[#This Row],[Health Old]])</f>
        <v/>
      </c>
      <c r="AJ16" s="67" t="str">
        <f>IF(OR(tblPiNHistorical[[#This Row],[Nutrition Old]]="", tblPiNHistorical[[#This Row],[Nutrition Old]]=0, tblPiNHistorical[[#This Row],[Nutrition New]]="", tblPiNHistorical[[#This Row],[Nutrition New]]=0), "", tblPiNHistorical[[#This Row],[Nutrition New]]-tblPiNHistorical[[#This Row],[Nutrition Old]])</f>
        <v/>
      </c>
      <c r="AK16" s="67" t="str">
        <f>IF(OR(tblPiNHistorical[[#This Row],[Protection Old]]="", tblPiNHistorical[[#This Row],[Protection Old]]=0, tblPiNHistorical[[#This Row],[Protection New]]="", tblPiNHistorical[[#This Row],[Protection New]]=0), "", tblPiNHistorical[[#This Row],[Protection New]]-tblPiNHistorical[[#This Row],[Protection Old]])</f>
        <v/>
      </c>
      <c r="AL16" s="67" t="str">
        <f>IF(OR(tblPiNHistorical[[#This Row],[CP Old ]]="", tblPiNHistorical[[#This Row],[CP Old ]]=0, tblPiNHistorical[[#This Row],[CP New]]="", tblPiNHistorical[[#This Row],[CP New]]=0), "", tblPiNHistorical[[#This Row],[CP New]]-tblPiNHistorical[[#This Row],[CP Old ]])</f>
        <v/>
      </c>
      <c r="AM16" s="83" t="str">
        <f>IF(OR(tblPiNHistorical[[#This Row],[GBV Old]]="", tblPiNHistorical[[#This Row],[GBV Old]]=0, tblPiNHistorical[[#This Row],[GBV New]]="", tblPiNHistorical[[#This Row],[GBV New]]=0), "", tblPiNHistorical[[#This Row],[GBV New]]-tblPiNHistorical[[#This Row],[GBV Old]])</f>
        <v/>
      </c>
      <c r="AN16" s="83" t="str">
        <f>IF(OR(tblPiNHistorical[[#This Row],[Mine Action Old]]="", tblPiNHistorical[[#This Row],[Mine Action Old]]=0, tblPiNHistorical[[#This Row],[Mine Action New]]="", tblPiNHistorical[[#This Row],[Mine Action New]]=0), "", tblPiNHistorical[[#This Row],[Mine Action New]]-tblPiNHistorical[[#This Row],[Mine Action Old]])</f>
        <v/>
      </c>
      <c r="AO16" s="67">
        <f>IF(OR(tblPiNHistorical[[#This Row],[Shelter NFI Old]]="", tblPiNHistorical[[#This Row],[Shelter NFI Old]]=0, tblPiNHistorical[[#This Row],[Shelter NFI New]]="", tblPiNHistorical[[#This Row],[Shelter NFI New]]=0), "", tblPiNHistorical[[#This Row],[Shelter NFI New]]-tblPiNHistorical[[#This Row],[Shelter NFI Old]])</f>
        <v>27544</v>
      </c>
      <c r="AP16" s="111" t="str">
        <f>IF(OR(tblPiNHistorical[[#This Row],[WASH Old]]="", tblPiNHistorical[[#This Row],[WASH Old]]=0, tblPiNHistorical[[#This Row],[WASH New]]="", tblPiNHistorical[[#This Row],[WASH New]]=0), "", tblPiNHistorical[[#This Row],[WASH New]]-tblPiNHistorical[[#This Row],[WASH Old]])</f>
        <v/>
      </c>
      <c r="AQ16" s="110">
        <f>IFERROR(ROUND((tblPiNHistorical[[#This Row],[Site Management - New]] - tblPiNHistorical[[#This Row],[Site Management - Old]])/tblPiNHistorical[[#This Row],[Site Management - Old]], 1), "")</f>
        <v>-1</v>
      </c>
      <c r="AR16" s="66">
        <f>IFERROR(ROUND((tblPiNHistorical[[#This Row],[Education New]]-tblPiNHistorical[[#This Row],[Education Old]])/tblPiNHistorical[[#This Row],[Education Old]], 1), "")</f>
        <v>-1</v>
      </c>
      <c r="AS16" s="66">
        <f>IFERROR(ROUND((tblPiNHistorical[[#This Row],[Food Security and Livlihoods New]]-tblPiNHistorical[[#This Row],[Food Security and Livlihoods Old]])/tblPiNHistorical[[#This Row],[Food Security and Livlihoods Old]], 1), "")</f>
        <v>-1</v>
      </c>
      <c r="AT16" s="66">
        <f>IFERROR(ROUND((tblPiNHistorical[[#This Row],[Health New]]-tblPiNHistorical[[#This Row],[Health Old]])/tblPiNHistorical[[#This Row],[Health Old]], 1), "")</f>
        <v>-1</v>
      </c>
      <c r="AU16" s="66">
        <f>IFERROR(ROUND((tblPiNHistorical[[#This Row],[Nutrition New]]-tblPiNHistorical[[#This Row],[Nutrition Old]])/tblPiNHistorical[[#This Row],[Nutrition Old]], 1), "")</f>
        <v>-1</v>
      </c>
      <c r="AV16" s="66">
        <f>IFERROR(ROUND((tblPiNHistorical[[#This Row],[Protection New]]-tblPiNHistorical[[#This Row],[Protection Old]])/tblPiNHistorical[[#This Row],[Protection Old]], 1), "")</f>
        <v>-1</v>
      </c>
      <c r="AW16" s="84">
        <f>IFERROR(ROUND((tblPiNHistorical[[#This Row],[CP New]]-tblPiNHistorical[[#This Row],[CP Old ]])/tblPiNHistorical[[#This Row],[CP Old ]], 1), "")</f>
        <v>-1</v>
      </c>
      <c r="AX16" s="84">
        <f>IFERROR(ROUND((tblPiNHistorical[[#This Row],[GBV New]]-tblPiNHistorical[[#This Row],[GBV Old]])/tblPiNHistorical[[#This Row],[GBV Old]], 1), "")</f>
        <v>-1</v>
      </c>
      <c r="AY16" s="84">
        <f>IFERROR(ROUND((tblPiNHistorical[[#This Row],[Mine Action New]]-tblPiNHistorical[[#This Row],[Mine Action Old]])/tblPiNHistorical[[#This Row],[Mine Action Old]], 1), "")</f>
        <v>-1</v>
      </c>
      <c r="AZ16" s="66">
        <f>IFERROR(ROUND((tblPiNHistorical[[#This Row],[Shelter NFI New]]-tblPiNHistorical[[#This Row],[Shelter NFI Old]])/tblPiNHistorical[[#This Row],[Shelter NFI Old]], 1), "")</f>
        <v>1.7</v>
      </c>
      <c r="BA16" s="36">
        <f>IFERROR(ROUND((tblPiNHistorical[[#This Row],[WASH New]]-tblPiNHistorical[[#This Row],[WASH Old]])/tblPiNHistorical[[#This Row],[WASH Old]], 1), "")</f>
        <v>-1</v>
      </c>
      <c r="BB16"/>
      <c r="BC16"/>
      <c r="BD16"/>
      <c r="BE16"/>
      <c r="BF16"/>
      <c r="BG16"/>
      <c r="BH16"/>
      <c r="BI16"/>
      <c r="BL16"/>
      <c r="BN16"/>
      <c r="BO16"/>
      <c r="BP16"/>
    </row>
    <row r="17" spans="1:68" x14ac:dyDescent="0.25">
      <c r="A17"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IDPsSD08105</v>
      </c>
      <c r="B17" s="127" t="s">
        <v>150</v>
      </c>
      <c r="C17" s="60" t="s">
        <v>125</v>
      </c>
      <c r="D17" s="60" t="s">
        <v>372</v>
      </c>
      <c r="E17" s="60" t="s">
        <v>373</v>
      </c>
      <c r="F17" s="54"/>
      <c r="G17" s="30"/>
      <c r="H17" s="56">
        <v>49284</v>
      </c>
      <c r="I17" s="37" t="s">
        <v>88</v>
      </c>
      <c r="J17" s="34">
        <v>13987</v>
      </c>
      <c r="K17" s="116">
        <v>0</v>
      </c>
      <c r="L17" s="114">
        <v>49284</v>
      </c>
      <c r="M17" s="114">
        <v>49284</v>
      </c>
      <c r="N17" s="114">
        <v>3249</v>
      </c>
      <c r="O17" s="114">
        <v>27106.2</v>
      </c>
      <c r="P17" s="114">
        <v>27106</v>
      </c>
      <c r="Q17" s="114">
        <v>19507</v>
      </c>
      <c r="R17" s="114">
        <v>14785.199999999999</v>
      </c>
      <c r="S17" s="114">
        <v>19714</v>
      </c>
      <c r="T17" s="196">
        <v>37838.283839999996</v>
      </c>
      <c r="U17" s="52">
        <f>IFERROR(INDEX(tblPiNAnalysis[[Site Management ]], MATCH(tblPiNHistorical[[#This Row],[ID]], tblPiNAnalysis[ID], 0)), "")</f>
        <v>0</v>
      </c>
      <c r="V17" s="52">
        <f>IFERROR(INDEX(tblPiNAnalysis[Education], MATCH(tblPiNHistorical[[#This Row],[ID]], tblPiNAnalysis[ID], 0)), "")</f>
        <v>0</v>
      </c>
      <c r="W17" s="28">
        <f>IFERROR(INDEX(tblPiNAnalysis[Food Security and Livlihoods], MATCH(tblPiNHistorical[[#This Row],[ID]], tblPiNAnalysis[ID], 0)), "")</f>
        <v>0</v>
      </c>
      <c r="X17" s="28">
        <f>IFERROR(INDEX(tblPiNAnalysis[[Health ]], MATCH(tblPiNHistorical[[#This Row],[ID]], tblPiNAnalysis[ID], 0)), "")</f>
        <v>0</v>
      </c>
      <c r="Y17" s="28">
        <f>IFERROR(INDEX(tblPiNAnalysis[Nutrition], MATCH(tblPiNHistorical[[#This Row],[ID]], tblPiNAnalysis[ID], 0)), "")</f>
        <v>0</v>
      </c>
      <c r="Z17" s="28">
        <f>IFERROR(INDEX(tblPiNAnalysis[Protection], MATCH(tblPiNHistorical[[#This Row],[ID]], tblPiNAnalysis[ID], 0)), "")</f>
        <v>0</v>
      </c>
      <c r="AA17" s="28">
        <f>IFERROR(INDEX(tblPiNAnalysis[CP], MATCH(tblPiNHistorical[[#This Row],[ID]], tblPiNAnalysis[ID], 0)), "")</f>
        <v>0</v>
      </c>
      <c r="AB17" s="83">
        <f>IFERROR(INDEX(tblPiNAnalysis[GBV], MATCH(tblPiNHistorical[[#This Row],[ID]], tblPiNAnalysis[ID], 0)), "")</f>
        <v>0</v>
      </c>
      <c r="AC17" s="28">
        <f>IFERROR(INDEX(tblPiNAnalysis[Mine Action], MATCH(tblPiNHistorical[[#This Row],[ID]], tblPiNAnalysis[ID], 0)), "")</f>
        <v>0</v>
      </c>
      <c r="AD17" s="83">
        <f>IFERROR(INDEX(tblPiNAnalysis[[Shelter NFI ]], MATCH(tblPiNHistorical[[#This Row],[ID]], tblPiNAnalysis[ID], 0)), "")</f>
        <v>75814</v>
      </c>
      <c r="AE17" s="35">
        <f>IFERROR(INDEX(tblPiNAnalysis[WASH], MATCH(tblPiNHistorical[[#This Row],[ID]], tblPiNAnalysis[ID], 0)), "")</f>
        <v>0</v>
      </c>
      <c r="AF17" s="6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17" s="67" t="str">
        <f>IF(OR(tblPiNHistorical[[#This Row],[Education Old]]="", tblPiNHistorical[[#This Row],[Education Old]]=0, tblPiNHistorical[[#This Row],[Education New]]="", tblPiNHistorical[[#This Row],[Education New]]=0), "", tblPiNHistorical[[#This Row],[Education New]]-tblPiNHistorical[[#This Row],[Education Old]])</f>
        <v/>
      </c>
      <c r="AH17" s="67"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17" s="67" t="str">
        <f>IF(OR(tblPiNHistorical[[#This Row],[Health Old]]="", tblPiNHistorical[[#This Row],[Health Old]]=0, tblPiNHistorical[[#This Row],[Health New]]="", tblPiNHistorical[[#This Row],[Health New]]=0), "", tblPiNHistorical[[#This Row],[Health New]]-tblPiNHistorical[[#This Row],[Health Old]])</f>
        <v/>
      </c>
      <c r="AJ17" s="67" t="str">
        <f>IF(OR(tblPiNHistorical[[#This Row],[Nutrition Old]]="", tblPiNHistorical[[#This Row],[Nutrition Old]]=0, tblPiNHistorical[[#This Row],[Nutrition New]]="", tblPiNHistorical[[#This Row],[Nutrition New]]=0), "", tblPiNHistorical[[#This Row],[Nutrition New]]-tblPiNHistorical[[#This Row],[Nutrition Old]])</f>
        <v/>
      </c>
      <c r="AK17" s="67" t="str">
        <f>IF(OR(tblPiNHistorical[[#This Row],[Protection Old]]="", tblPiNHistorical[[#This Row],[Protection Old]]=0, tblPiNHistorical[[#This Row],[Protection New]]="", tblPiNHistorical[[#This Row],[Protection New]]=0), "", tblPiNHistorical[[#This Row],[Protection New]]-tblPiNHistorical[[#This Row],[Protection Old]])</f>
        <v/>
      </c>
      <c r="AL17" s="67" t="str">
        <f>IF(OR(tblPiNHistorical[[#This Row],[CP Old ]]="", tblPiNHistorical[[#This Row],[CP Old ]]=0, tblPiNHistorical[[#This Row],[CP New]]="", tblPiNHistorical[[#This Row],[CP New]]=0), "", tblPiNHistorical[[#This Row],[CP New]]-tblPiNHistorical[[#This Row],[CP Old ]])</f>
        <v/>
      </c>
      <c r="AM17" s="83" t="str">
        <f>IF(OR(tblPiNHistorical[[#This Row],[GBV Old]]="", tblPiNHistorical[[#This Row],[GBV Old]]=0, tblPiNHistorical[[#This Row],[GBV New]]="", tblPiNHistorical[[#This Row],[GBV New]]=0), "", tblPiNHistorical[[#This Row],[GBV New]]-tblPiNHistorical[[#This Row],[GBV Old]])</f>
        <v/>
      </c>
      <c r="AN17" s="83" t="str">
        <f>IF(OR(tblPiNHistorical[[#This Row],[Mine Action Old]]="", tblPiNHistorical[[#This Row],[Mine Action Old]]=0, tblPiNHistorical[[#This Row],[Mine Action New]]="", tblPiNHistorical[[#This Row],[Mine Action New]]=0), "", tblPiNHistorical[[#This Row],[Mine Action New]]-tblPiNHistorical[[#This Row],[Mine Action Old]])</f>
        <v/>
      </c>
      <c r="AO17" s="67">
        <f>IF(OR(tblPiNHistorical[[#This Row],[Shelter NFI Old]]="", tblPiNHistorical[[#This Row],[Shelter NFI Old]]=0, tblPiNHistorical[[#This Row],[Shelter NFI New]]="", tblPiNHistorical[[#This Row],[Shelter NFI New]]=0), "", tblPiNHistorical[[#This Row],[Shelter NFI New]]-tblPiNHistorical[[#This Row],[Shelter NFI Old]])</f>
        <v>56100</v>
      </c>
      <c r="AP17" s="111" t="str">
        <f>IF(OR(tblPiNHistorical[[#This Row],[WASH Old]]="", tblPiNHistorical[[#This Row],[WASH Old]]=0, tblPiNHistorical[[#This Row],[WASH New]]="", tblPiNHistorical[[#This Row],[WASH New]]=0), "", tblPiNHistorical[[#This Row],[WASH New]]-tblPiNHistorical[[#This Row],[WASH Old]])</f>
        <v/>
      </c>
      <c r="AQ17" s="110">
        <f>IFERROR(ROUND((tblPiNHistorical[[#This Row],[Site Management - New]] - tblPiNHistorical[[#This Row],[Site Management - Old]])/tblPiNHistorical[[#This Row],[Site Management - Old]], 1), "")</f>
        <v>-1</v>
      </c>
      <c r="AR17" s="66" t="str">
        <f>IFERROR(ROUND((tblPiNHistorical[[#This Row],[Education New]]-tblPiNHistorical[[#This Row],[Education Old]])/tblPiNHistorical[[#This Row],[Education Old]], 1), "")</f>
        <v/>
      </c>
      <c r="AS17" s="66">
        <f>IFERROR(ROUND((tblPiNHistorical[[#This Row],[Food Security and Livlihoods New]]-tblPiNHistorical[[#This Row],[Food Security and Livlihoods Old]])/tblPiNHistorical[[#This Row],[Food Security and Livlihoods Old]], 1), "")</f>
        <v>-1</v>
      </c>
      <c r="AT17" s="66">
        <f>IFERROR(ROUND((tblPiNHistorical[[#This Row],[Health New]]-tblPiNHistorical[[#This Row],[Health Old]])/tblPiNHistorical[[#This Row],[Health Old]], 1), "")</f>
        <v>-1</v>
      </c>
      <c r="AU17" s="66">
        <f>IFERROR(ROUND((tblPiNHistorical[[#This Row],[Nutrition New]]-tblPiNHistorical[[#This Row],[Nutrition Old]])/tblPiNHistorical[[#This Row],[Nutrition Old]], 1), "")</f>
        <v>-1</v>
      </c>
      <c r="AV17" s="66">
        <f>IFERROR(ROUND((tblPiNHistorical[[#This Row],[Protection New]]-tblPiNHistorical[[#This Row],[Protection Old]])/tblPiNHistorical[[#This Row],[Protection Old]], 1), "")</f>
        <v>-1</v>
      </c>
      <c r="AW17" s="84">
        <f>IFERROR(ROUND((tblPiNHistorical[[#This Row],[CP New]]-tblPiNHistorical[[#This Row],[CP Old ]])/tblPiNHistorical[[#This Row],[CP Old ]], 1), "")</f>
        <v>-1</v>
      </c>
      <c r="AX17" s="84">
        <f>IFERROR(ROUND((tblPiNHistorical[[#This Row],[GBV New]]-tblPiNHistorical[[#This Row],[GBV Old]])/tblPiNHistorical[[#This Row],[GBV Old]], 1), "")</f>
        <v>-1</v>
      </c>
      <c r="AY17" s="84">
        <f>IFERROR(ROUND((tblPiNHistorical[[#This Row],[Mine Action New]]-tblPiNHistorical[[#This Row],[Mine Action Old]])/tblPiNHistorical[[#This Row],[Mine Action Old]], 1), "")</f>
        <v>-1</v>
      </c>
      <c r="AZ17" s="66">
        <f>IFERROR(ROUND((tblPiNHistorical[[#This Row],[Shelter NFI New]]-tblPiNHistorical[[#This Row],[Shelter NFI Old]])/tblPiNHistorical[[#This Row],[Shelter NFI Old]], 1), "")</f>
        <v>2.8</v>
      </c>
      <c r="BA17" s="36">
        <f>IFERROR(ROUND((tblPiNHistorical[[#This Row],[WASH New]]-tblPiNHistorical[[#This Row],[WASH Old]])/tblPiNHistorical[[#This Row],[WASH Old]], 1), "")</f>
        <v>-1</v>
      </c>
      <c r="BB17"/>
      <c r="BC17"/>
      <c r="BD17"/>
      <c r="BE17"/>
      <c r="BF17"/>
      <c r="BG17"/>
      <c r="BH17"/>
      <c r="BI17"/>
      <c r="BL17"/>
      <c r="BN17"/>
      <c r="BO17"/>
      <c r="BP17"/>
    </row>
    <row r="18" spans="1:68" x14ac:dyDescent="0.25">
      <c r="A18"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IDPsSD08109</v>
      </c>
      <c r="B18" s="127" t="s">
        <v>150</v>
      </c>
      <c r="C18" s="60" t="s">
        <v>125</v>
      </c>
      <c r="D18" s="60" t="s">
        <v>380</v>
      </c>
      <c r="E18" s="60" t="s">
        <v>381</v>
      </c>
      <c r="F18" s="54"/>
      <c r="G18" s="30"/>
      <c r="H18" s="56">
        <v>29421</v>
      </c>
      <c r="I18" s="37" t="s">
        <v>88</v>
      </c>
      <c r="J18" s="34">
        <v>2000</v>
      </c>
      <c r="K18" s="116">
        <v>11406.521699999999</v>
      </c>
      <c r="L18" s="114">
        <v>29421</v>
      </c>
      <c r="M18" s="114">
        <v>29421</v>
      </c>
      <c r="N18" s="114">
        <v>1336</v>
      </c>
      <c r="O18" s="114">
        <v>29421</v>
      </c>
      <c r="P18" s="114">
        <v>16182</v>
      </c>
      <c r="Q18" s="114">
        <v>10092</v>
      </c>
      <c r="R18" s="114">
        <v>14710.5</v>
      </c>
      <c r="S18" s="114">
        <v>11768</v>
      </c>
      <c r="T18" s="196">
        <v>22552.961759999998</v>
      </c>
      <c r="U18" s="52">
        <f>IFERROR(INDEX(tblPiNAnalysis[[Site Management ]], MATCH(tblPiNHistorical[[#This Row],[ID]], tblPiNAnalysis[ID], 0)), "")</f>
        <v>0</v>
      </c>
      <c r="V18" s="52">
        <f>IFERROR(INDEX(tblPiNAnalysis[Education], MATCH(tblPiNHistorical[[#This Row],[ID]], tblPiNAnalysis[ID], 0)), "")</f>
        <v>0</v>
      </c>
      <c r="W18" s="28">
        <f>IFERROR(INDEX(tblPiNAnalysis[Food Security and Livlihoods], MATCH(tblPiNHistorical[[#This Row],[ID]], tblPiNAnalysis[ID], 0)), "")</f>
        <v>0</v>
      </c>
      <c r="X18" s="28">
        <f>IFERROR(INDEX(tblPiNAnalysis[[Health ]], MATCH(tblPiNHistorical[[#This Row],[ID]], tblPiNAnalysis[ID], 0)), "")</f>
        <v>0</v>
      </c>
      <c r="Y18" s="28">
        <f>IFERROR(INDEX(tblPiNAnalysis[Nutrition], MATCH(tblPiNHistorical[[#This Row],[ID]], tblPiNAnalysis[ID], 0)), "")</f>
        <v>0</v>
      </c>
      <c r="Z18" s="28">
        <f>IFERROR(INDEX(tblPiNAnalysis[Protection], MATCH(tblPiNHistorical[[#This Row],[ID]], tblPiNAnalysis[ID], 0)), "")</f>
        <v>0</v>
      </c>
      <c r="AA18" s="28">
        <f>IFERROR(INDEX(tblPiNAnalysis[CP], MATCH(tblPiNHistorical[[#This Row],[ID]], tblPiNAnalysis[ID], 0)), "")</f>
        <v>0</v>
      </c>
      <c r="AB18" s="83">
        <f>IFERROR(INDEX(tblPiNAnalysis[GBV], MATCH(tblPiNHistorical[[#This Row],[ID]], tblPiNAnalysis[ID], 0)), "")</f>
        <v>0</v>
      </c>
      <c r="AC18" s="28">
        <f>IFERROR(INDEX(tblPiNAnalysis[Mine Action], MATCH(tblPiNHistorical[[#This Row],[ID]], tblPiNAnalysis[ID], 0)), "")</f>
        <v>0</v>
      </c>
      <c r="AD18" s="83">
        <f>IFERROR(INDEX(tblPiNAnalysis[[Shelter NFI ]], MATCH(tblPiNHistorical[[#This Row],[ID]], tblPiNAnalysis[ID], 0)), "")</f>
        <v>22372</v>
      </c>
      <c r="AE18" s="35">
        <f>IFERROR(INDEX(tblPiNAnalysis[WASH], MATCH(tblPiNHistorical[[#This Row],[ID]], tblPiNAnalysis[ID], 0)), "")</f>
        <v>0</v>
      </c>
      <c r="AF18" s="6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18" s="67" t="str">
        <f>IF(OR(tblPiNHistorical[[#This Row],[Education Old]]="", tblPiNHistorical[[#This Row],[Education Old]]=0, tblPiNHistorical[[#This Row],[Education New]]="", tblPiNHistorical[[#This Row],[Education New]]=0), "", tblPiNHistorical[[#This Row],[Education New]]-tblPiNHistorical[[#This Row],[Education Old]])</f>
        <v/>
      </c>
      <c r="AH18" s="67"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18" s="67" t="str">
        <f>IF(OR(tblPiNHistorical[[#This Row],[Health Old]]="", tblPiNHistorical[[#This Row],[Health Old]]=0, tblPiNHistorical[[#This Row],[Health New]]="", tblPiNHistorical[[#This Row],[Health New]]=0), "", tblPiNHistorical[[#This Row],[Health New]]-tblPiNHistorical[[#This Row],[Health Old]])</f>
        <v/>
      </c>
      <c r="AJ18" s="67" t="str">
        <f>IF(OR(tblPiNHistorical[[#This Row],[Nutrition Old]]="", tblPiNHistorical[[#This Row],[Nutrition Old]]=0, tblPiNHistorical[[#This Row],[Nutrition New]]="", tblPiNHistorical[[#This Row],[Nutrition New]]=0), "", tblPiNHistorical[[#This Row],[Nutrition New]]-tblPiNHistorical[[#This Row],[Nutrition Old]])</f>
        <v/>
      </c>
      <c r="AK18" s="67" t="str">
        <f>IF(OR(tblPiNHistorical[[#This Row],[Protection Old]]="", tblPiNHistorical[[#This Row],[Protection Old]]=0, tblPiNHistorical[[#This Row],[Protection New]]="", tblPiNHistorical[[#This Row],[Protection New]]=0), "", tblPiNHistorical[[#This Row],[Protection New]]-tblPiNHistorical[[#This Row],[Protection Old]])</f>
        <v/>
      </c>
      <c r="AL18" s="67" t="str">
        <f>IF(OR(tblPiNHistorical[[#This Row],[CP Old ]]="", tblPiNHistorical[[#This Row],[CP Old ]]=0, tblPiNHistorical[[#This Row],[CP New]]="", tblPiNHistorical[[#This Row],[CP New]]=0), "", tblPiNHistorical[[#This Row],[CP New]]-tblPiNHistorical[[#This Row],[CP Old ]])</f>
        <v/>
      </c>
      <c r="AM18" s="83" t="str">
        <f>IF(OR(tblPiNHistorical[[#This Row],[GBV Old]]="", tblPiNHistorical[[#This Row],[GBV Old]]=0, tblPiNHistorical[[#This Row],[GBV New]]="", tblPiNHistorical[[#This Row],[GBV New]]=0), "", tblPiNHistorical[[#This Row],[GBV New]]-tblPiNHistorical[[#This Row],[GBV Old]])</f>
        <v/>
      </c>
      <c r="AN18" s="83" t="str">
        <f>IF(OR(tblPiNHistorical[[#This Row],[Mine Action Old]]="", tblPiNHistorical[[#This Row],[Mine Action Old]]=0, tblPiNHistorical[[#This Row],[Mine Action New]]="", tblPiNHistorical[[#This Row],[Mine Action New]]=0), "", tblPiNHistorical[[#This Row],[Mine Action New]]-tblPiNHistorical[[#This Row],[Mine Action Old]])</f>
        <v/>
      </c>
      <c r="AO18" s="67">
        <f>IF(OR(tblPiNHistorical[[#This Row],[Shelter NFI Old]]="", tblPiNHistorical[[#This Row],[Shelter NFI Old]]=0, tblPiNHistorical[[#This Row],[Shelter NFI New]]="", tblPiNHistorical[[#This Row],[Shelter NFI New]]=0), "", tblPiNHistorical[[#This Row],[Shelter NFI New]]-tblPiNHistorical[[#This Row],[Shelter NFI Old]])</f>
        <v>10604</v>
      </c>
      <c r="AP18" s="111" t="str">
        <f>IF(OR(tblPiNHistorical[[#This Row],[WASH Old]]="", tblPiNHistorical[[#This Row],[WASH Old]]=0, tblPiNHistorical[[#This Row],[WASH New]]="", tblPiNHistorical[[#This Row],[WASH New]]=0), "", tblPiNHistorical[[#This Row],[WASH New]]-tblPiNHistorical[[#This Row],[WASH Old]])</f>
        <v/>
      </c>
      <c r="AQ18" s="110">
        <f>IFERROR(ROUND((tblPiNHistorical[[#This Row],[Site Management - New]] - tblPiNHistorical[[#This Row],[Site Management - Old]])/tblPiNHistorical[[#This Row],[Site Management - Old]], 1), "")</f>
        <v>-1</v>
      </c>
      <c r="AR18" s="66">
        <f>IFERROR(ROUND((tblPiNHistorical[[#This Row],[Education New]]-tblPiNHistorical[[#This Row],[Education Old]])/tblPiNHistorical[[#This Row],[Education Old]], 1), "")</f>
        <v>-1</v>
      </c>
      <c r="AS18" s="66">
        <f>IFERROR(ROUND((tblPiNHistorical[[#This Row],[Food Security and Livlihoods New]]-tblPiNHistorical[[#This Row],[Food Security and Livlihoods Old]])/tblPiNHistorical[[#This Row],[Food Security and Livlihoods Old]], 1), "")</f>
        <v>-1</v>
      </c>
      <c r="AT18" s="66">
        <f>IFERROR(ROUND((tblPiNHistorical[[#This Row],[Health New]]-tblPiNHistorical[[#This Row],[Health Old]])/tblPiNHistorical[[#This Row],[Health Old]], 1), "")</f>
        <v>-1</v>
      </c>
      <c r="AU18" s="66">
        <f>IFERROR(ROUND((tblPiNHistorical[[#This Row],[Nutrition New]]-tblPiNHistorical[[#This Row],[Nutrition Old]])/tblPiNHistorical[[#This Row],[Nutrition Old]], 1), "")</f>
        <v>-1</v>
      </c>
      <c r="AV18" s="66">
        <f>IFERROR(ROUND((tblPiNHistorical[[#This Row],[Protection New]]-tblPiNHistorical[[#This Row],[Protection Old]])/tblPiNHistorical[[#This Row],[Protection Old]], 1), "")</f>
        <v>-1</v>
      </c>
      <c r="AW18" s="84">
        <f>IFERROR(ROUND((tblPiNHistorical[[#This Row],[CP New]]-tblPiNHistorical[[#This Row],[CP Old ]])/tblPiNHistorical[[#This Row],[CP Old ]], 1), "")</f>
        <v>-1</v>
      </c>
      <c r="AX18" s="84">
        <f>IFERROR(ROUND((tblPiNHistorical[[#This Row],[GBV New]]-tblPiNHistorical[[#This Row],[GBV Old]])/tblPiNHistorical[[#This Row],[GBV Old]], 1), "")</f>
        <v>-1</v>
      </c>
      <c r="AY18" s="84">
        <f>IFERROR(ROUND((tblPiNHistorical[[#This Row],[Mine Action New]]-tblPiNHistorical[[#This Row],[Mine Action Old]])/tblPiNHistorical[[#This Row],[Mine Action Old]], 1), "")</f>
        <v>-1</v>
      </c>
      <c r="AZ18" s="66">
        <f>IFERROR(ROUND((tblPiNHistorical[[#This Row],[Shelter NFI New]]-tblPiNHistorical[[#This Row],[Shelter NFI Old]])/tblPiNHistorical[[#This Row],[Shelter NFI Old]], 1), "")</f>
        <v>0.9</v>
      </c>
      <c r="BA18" s="36">
        <f>IFERROR(ROUND((tblPiNHistorical[[#This Row],[WASH New]]-tblPiNHistorical[[#This Row],[WASH Old]])/tblPiNHistorical[[#This Row],[WASH Old]], 1), "")</f>
        <v>-1</v>
      </c>
      <c r="BB18"/>
      <c r="BC18"/>
      <c r="BD18"/>
      <c r="BE18"/>
      <c r="BF18"/>
      <c r="BG18"/>
      <c r="BH18"/>
      <c r="BI18"/>
      <c r="BL18"/>
      <c r="BN18"/>
      <c r="BO18"/>
      <c r="BP18"/>
    </row>
    <row r="19" spans="1:68" x14ac:dyDescent="0.25">
      <c r="A19"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IDPsSD08110</v>
      </c>
      <c r="B19" s="127" t="s">
        <v>150</v>
      </c>
      <c r="C19" s="60" t="s">
        <v>125</v>
      </c>
      <c r="D19" s="60" t="s">
        <v>382</v>
      </c>
      <c r="E19" s="60" t="s">
        <v>383</v>
      </c>
      <c r="F19" s="54"/>
      <c r="G19" s="30"/>
      <c r="H19" s="56">
        <v>7801</v>
      </c>
      <c r="I19" s="37" t="s">
        <v>88</v>
      </c>
      <c r="J19" s="34">
        <v>859</v>
      </c>
      <c r="K19" s="116">
        <v>3024.4476999999997</v>
      </c>
      <c r="L19" s="114">
        <v>7801</v>
      </c>
      <c r="M19" s="114">
        <v>7801</v>
      </c>
      <c r="N19" s="114">
        <v>511</v>
      </c>
      <c r="O19" s="114">
        <v>7801</v>
      </c>
      <c r="P19" s="114">
        <v>4291</v>
      </c>
      <c r="Q19" s="114">
        <v>2677</v>
      </c>
      <c r="R19" s="114">
        <v>0</v>
      </c>
      <c r="S19" s="114">
        <v>3120</v>
      </c>
      <c r="T19" s="196">
        <v>4636.6023600000008</v>
      </c>
      <c r="U19" s="52">
        <f>IFERROR(INDEX(tblPiNAnalysis[[Site Management ]], MATCH(tblPiNHistorical[[#This Row],[ID]], tblPiNAnalysis[ID], 0)), "")</f>
        <v>0</v>
      </c>
      <c r="V19" s="52">
        <f>IFERROR(INDEX(tblPiNAnalysis[Education], MATCH(tblPiNHistorical[[#This Row],[ID]], tblPiNAnalysis[ID], 0)), "")</f>
        <v>0</v>
      </c>
      <c r="W19" s="28">
        <f>IFERROR(INDEX(tblPiNAnalysis[Food Security and Livlihoods], MATCH(tblPiNHistorical[[#This Row],[ID]], tblPiNAnalysis[ID], 0)), "")</f>
        <v>0</v>
      </c>
      <c r="X19" s="28">
        <f>IFERROR(INDEX(tblPiNAnalysis[[Health ]], MATCH(tblPiNHistorical[[#This Row],[ID]], tblPiNAnalysis[ID], 0)), "")</f>
        <v>0</v>
      </c>
      <c r="Y19" s="28">
        <f>IFERROR(INDEX(tblPiNAnalysis[Nutrition], MATCH(tblPiNHistorical[[#This Row],[ID]], tblPiNAnalysis[ID], 0)), "")</f>
        <v>0</v>
      </c>
      <c r="Z19" s="28">
        <f>IFERROR(INDEX(tblPiNAnalysis[Protection], MATCH(tblPiNHistorical[[#This Row],[ID]], tblPiNAnalysis[ID], 0)), "")</f>
        <v>0</v>
      </c>
      <c r="AA19" s="28">
        <f>IFERROR(INDEX(tblPiNAnalysis[CP], MATCH(tblPiNHistorical[[#This Row],[ID]], tblPiNAnalysis[ID], 0)), "")</f>
        <v>0</v>
      </c>
      <c r="AB19" s="83">
        <f>IFERROR(INDEX(tblPiNAnalysis[GBV], MATCH(tblPiNHistorical[[#This Row],[ID]], tblPiNAnalysis[ID], 0)), "")</f>
        <v>0</v>
      </c>
      <c r="AC19" s="28">
        <f>IFERROR(INDEX(tblPiNAnalysis[Mine Action], MATCH(tblPiNHistorical[[#This Row],[ID]], tblPiNAnalysis[ID], 0)), "")</f>
        <v>0</v>
      </c>
      <c r="AD19" s="83">
        <f>IFERROR(INDEX(tblPiNAnalysis[[Shelter NFI ]], MATCH(tblPiNHistorical[[#This Row],[ID]], tblPiNAnalysis[ID], 0)), "")</f>
        <v>4076</v>
      </c>
      <c r="AE19" s="35">
        <f>IFERROR(INDEX(tblPiNAnalysis[WASH], MATCH(tblPiNHistorical[[#This Row],[ID]], tblPiNAnalysis[ID], 0)), "")</f>
        <v>0</v>
      </c>
      <c r="AF19" s="6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19" s="67" t="str">
        <f>IF(OR(tblPiNHistorical[[#This Row],[Education Old]]="", tblPiNHistorical[[#This Row],[Education Old]]=0, tblPiNHistorical[[#This Row],[Education New]]="", tblPiNHistorical[[#This Row],[Education New]]=0), "", tblPiNHistorical[[#This Row],[Education New]]-tblPiNHistorical[[#This Row],[Education Old]])</f>
        <v/>
      </c>
      <c r="AH19" s="67"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19" s="67" t="str">
        <f>IF(OR(tblPiNHistorical[[#This Row],[Health Old]]="", tblPiNHistorical[[#This Row],[Health Old]]=0, tblPiNHistorical[[#This Row],[Health New]]="", tblPiNHistorical[[#This Row],[Health New]]=0), "", tblPiNHistorical[[#This Row],[Health New]]-tblPiNHistorical[[#This Row],[Health Old]])</f>
        <v/>
      </c>
      <c r="AJ19" s="67" t="str">
        <f>IF(OR(tblPiNHistorical[[#This Row],[Nutrition Old]]="", tblPiNHistorical[[#This Row],[Nutrition Old]]=0, tblPiNHistorical[[#This Row],[Nutrition New]]="", tblPiNHistorical[[#This Row],[Nutrition New]]=0), "", tblPiNHistorical[[#This Row],[Nutrition New]]-tblPiNHistorical[[#This Row],[Nutrition Old]])</f>
        <v/>
      </c>
      <c r="AK19" s="67" t="str">
        <f>IF(OR(tblPiNHistorical[[#This Row],[Protection Old]]="", tblPiNHistorical[[#This Row],[Protection Old]]=0, tblPiNHistorical[[#This Row],[Protection New]]="", tblPiNHistorical[[#This Row],[Protection New]]=0), "", tblPiNHistorical[[#This Row],[Protection New]]-tblPiNHistorical[[#This Row],[Protection Old]])</f>
        <v/>
      </c>
      <c r="AL19" s="67" t="str">
        <f>IF(OR(tblPiNHistorical[[#This Row],[CP Old ]]="", tblPiNHistorical[[#This Row],[CP Old ]]=0, tblPiNHistorical[[#This Row],[CP New]]="", tblPiNHistorical[[#This Row],[CP New]]=0), "", tblPiNHistorical[[#This Row],[CP New]]-tblPiNHistorical[[#This Row],[CP Old ]])</f>
        <v/>
      </c>
      <c r="AM19" s="83" t="str">
        <f>IF(OR(tblPiNHistorical[[#This Row],[GBV Old]]="", tblPiNHistorical[[#This Row],[GBV Old]]=0, tblPiNHistorical[[#This Row],[GBV New]]="", tblPiNHistorical[[#This Row],[GBV New]]=0), "", tblPiNHistorical[[#This Row],[GBV New]]-tblPiNHistorical[[#This Row],[GBV Old]])</f>
        <v/>
      </c>
      <c r="AN19" s="83" t="str">
        <f>IF(OR(tblPiNHistorical[[#This Row],[Mine Action Old]]="", tblPiNHistorical[[#This Row],[Mine Action Old]]=0, tblPiNHistorical[[#This Row],[Mine Action New]]="", tblPiNHistorical[[#This Row],[Mine Action New]]=0), "", tblPiNHistorical[[#This Row],[Mine Action New]]-tblPiNHistorical[[#This Row],[Mine Action Old]])</f>
        <v/>
      </c>
      <c r="AO19" s="67">
        <f>IF(OR(tblPiNHistorical[[#This Row],[Shelter NFI Old]]="", tblPiNHistorical[[#This Row],[Shelter NFI Old]]=0, tblPiNHistorical[[#This Row],[Shelter NFI New]]="", tblPiNHistorical[[#This Row],[Shelter NFI New]]=0), "", tblPiNHistorical[[#This Row],[Shelter NFI New]]-tblPiNHistorical[[#This Row],[Shelter NFI Old]])</f>
        <v>956</v>
      </c>
      <c r="AP19" s="111" t="str">
        <f>IF(OR(tblPiNHistorical[[#This Row],[WASH Old]]="", tblPiNHistorical[[#This Row],[WASH Old]]=0, tblPiNHistorical[[#This Row],[WASH New]]="", tblPiNHistorical[[#This Row],[WASH New]]=0), "", tblPiNHistorical[[#This Row],[WASH New]]-tblPiNHistorical[[#This Row],[WASH Old]])</f>
        <v/>
      </c>
      <c r="AQ19" s="110">
        <f>IFERROR(ROUND((tblPiNHistorical[[#This Row],[Site Management - New]] - tblPiNHistorical[[#This Row],[Site Management - Old]])/tblPiNHistorical[[#This Row],[Site Management - Old]], 1), "")</f>
        <v>-1</v>
      </c>
      <c r="AR19" s="66">
        <f>IFERROR(ROUND((tblPiNHistorical[[#This Row],[Education New]]-tblPiNHistorical[[#This Row],[Education Old]])/tblPiNHistorical[[#This Row],[Education Old]], 1), "")</f>
        <v>-1</v>
      </c>
      <c r="AS19" s="66">
        <f>IFERROR(ROUND((tblPiNHistorical[[#This Row],[Food Security and Livlihoods New]]-tblPiNHistorical[[#This Row],[Food Security and Livlihoods Old]])/tblPiNHistorical[[#This Row],[Food Security and Livlihoods Old]], 1), "")</f>
        <v>-1</v>
      </c>
      <c r="AT19" s="66">
        <f>IFERROR(ROUND((tblPiNHistorical[[#This Row],[Health New]]-tblPiNHistorical[[#This Row],[Health Old]])/tblPiNHistorical[[#This Row],[Health Old]], 1), "")</f>
        <v>-1</v>
      </c>
      <c r="AU19" s="66">
        <f>IFERROR(ROUND((tblPiNHistorical[[#This Row],[Nutrition New]]-tblPiNHistorical[[#This Row],[Nutrition Old]])/tblPiNHistorical[[#This Row],[Nutrition Old]], 1), "")</f>
        <v>-1</v>
      </c>
      <c r="AV19" s="66">
        <f>IFERROR(ROUND((tblPiNHistorical[[#This Row],[Protection New]]-tblPiNHistorical[[#This Row],[Protection Old]])/tblPiNHistorical[[#This Row],[Protection Old]], 1), "")</f>
        <v>-1</v>
      </c>
      <c r="AW19" s="84">
        <f>IFERROR(ROUND((tblPiNHistorical[[#This Row],[CP New]]-tblPiNHistorical[[#This Row],[CP Old ]])/tblPiNHistorical[[#This Row],[CP Old ]], 1), "")</f>
        <v>-1</v>
      </c>
      <c r="AX19" s="84">
        <f>IFERROR(ROUND((tblPiNHistorical[[#This Row],[GBV New]]-tblPiNHistorical[[#This Row],[GBV Old]])/tblPiNHistorical[[#This Row],[GBV Old]], 1), "")</f>
        <v>-1</v>
      </c>
      <c r="AY19" s="84" t="str">
        <f>IFERROR(ROUND((tblPiNHistorical[[#This Row],[Mine Action New]]-tblPiNHistorical[[#This Row],[Mine Action Old]])/tblPiNHistorical[[#This Row],[Mine Action Old]], 1), "")</f>
        <v/>
      </c>
      <c r="AZ19" s="66">
        <f>IFERROR(ROUND((tblPiNHistorical[[#This Row],[Shelter NFI New]]-tblPiNHistorical[[#This Row],[Shelter NFI Old]])/tblPiNHistorical[[#This Row],[Shelter NFI Old]], 1), "")</f>
        <v>0.3</v>
      </c>
      <c r="BA19" s="36">
        <f>IFERROR(ROUND((tblPiNHistorical[[#This Row],[WASH New]]-tblPiNHistorical[[#This Row],[WASH Old]])/tblPiNHistorical[[#This Row],[WASH Old]], 1), "")</f>
        <v>-1</v>
      </c>
      <c r="BB19"/>
      <c r="BC19"/>
      <c r="BD19"/>
      <c r="BE19"/>
      <c r="BF19"/>
      <c r="BG19"/>
      <c r="BH19"/>
      <c r="BI19"/>
      <c r="BL19"/>
      <c r="BN19"/>
      <c r="BO19"/>
      <c r="BP19"/>
    </row>
    <row r="20" spans="1:68" x14ac:dyDescent="0.25">
      <c r="A20"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IDPsSD06110</v>
      </c>
      <c r="B20" s="127" t="s">
        <v>141</v>
      </c>
      <c r="C20" s="60" t="s">
        <v>123</v>
      </c>
      <c r="D20" s="60" t="s">
        <v>143</v>
      </c>
      <c r="E20" s="60" t="s">
        <v>142</v>
      </c>
      <c r="F20" s="54"/>
      <c r="G20" s="30"/>
      <c r="H20" s="56">
        <v>75900</v>
      </c>
      <c r="I20" s="37" t="s">
        <v>88</v>
      </c>
      <c r="J20" s="34">
        <v>75900</v>
      </c>
      <c r="K20" s="116">
        <v>29426.43</v>
      </c>
      <c r="L20" s="114">
        <v>75900</v>
      </c>
      <c r="M20" s="114">
        <v>75900</v>
      </c>
      <c r="N20" s="114">
        <v>8547</v>
      </c>
      <c r="O20" s="114">
        <v>75900</v>
      </c>
      <c r="P20" s="114">
        <v>41745</v>
      </c>
      <c r="Q20" s="114">
        <v>30043</v>
      </c>
      <c r="R20" s="114">
        <v>22770</v>
      </c>
      <c r="S20" s="114">
        <v>45540</v>
      </c>
      <c r="T20" s="196">
        <v>77545.511999999988</v>
      </c>
      <c r="U20" s="52">
        <f>IFERROR(INDEX(tblPiNAnalysis[[Site Management ]], MATCH(tblPiNHistorical[[#This Row],[ID]], tblPiNAnalysis[ID], 0)), "")</f>
        <v>0</v>
      </c>
      <c r="V20" s="52">
        <f>IFERROR(INDEX(tblPiNAnalysis[Education], MATCH(tblPiNHistorical[[#This Row],[ID]], tblPiNAnalysis[ID], 0)), "")</f>
        <v>0</v>
      </c>
      <c r="W20" s="28">
        <f>IFERROR(INDEX(tblPiNAnalysis[Food Security and Livlihoods], MATCH(tblPiNHistorical[[#This Row],[ID]], tblPiNAnalysis[ID], 0)), "")</f>
        <v>0</v>
      </c>
      <c r="X20" s="28">
        <f>IFERROR(INDEX(tblPiNAnalysis[[Health ]], MATCH(tblPiNHistorical[[#This Row],[ID]], tblPiNAnalysis[ID], 0)), "")</f>
        <v>0</v>
      </c>
      <c r="Y20" s="28">
        <f>IFERROR(INDEX(tblPiNAnalysis[Nutrition], MATCH(tblPiNHistorical[[#This Row],[ID]], tblPiNAnalysis[ID], 0)), "")</f>
        <v>0</v>
      </c>
      <c r="Z20" s="28">
        <f>IFERROR(INDEX(tblPiNAnalysis[Protection], MATCH(tblPiNHistorical[[#This Row],[ID]], tblPiNAnalysis[ID], 0)), "")</f>
        <v>0</v>
      </c>
      <c r="AA20" s="28">
        <f>IFERROR(INDEX(tblPiNAnalysis[CP], MATCH(tblPiNHistorical[[#This Row],[ID]], tblPiNAnalysis[ID], 0)), "")</f>
        <v>0</v>
      </c>
      <c r="AB20" s="83">
        <f>IFERROR(INDEX(tblPiNAnalysis[GBV], MATCH(tblPiNHistorical[[#This Row],[ID]], tblPiNAnalysis[ID], 0)), "")</f>
        <v>0</v>
      </c>
      <c r="AC20" s="28">
        <f>IFERROR(INDEX(tblPiNAnalysis[Mine Action], MATCH(tblPiNHistorical[[#This Row],[ID]], tblPiNAnalysis[ID], 0)), "")</f>
        <v>0</v>
      </c>
      <c r="AD20" s="83">
        <f>IFERROR(INDEX(tblPiNAnalysis[[Shelter NFI ]], MATCH(tblPiNHistorical[[#This Row],[ID]], tblPiNAnalysis[ID], 0)), "")</f>
        <v>57065</v>
      </c>
      <c r="AE20" s="35">
        <f>IFERROR(INDEX(tblPiNAnalysis[WASH], MATCH(tblPiNHistorical[[#This Row],[ID]], tblPiNAnalysis[ID], 0)), "")</f>
        <v>0</v>
      </c>
      <c r="AF20" s="6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20" s="67" t="str">
        <f>IF(OR(tblPiNHistorical[[#This Row],[Education Old]]="", tblPiNHistorical[[#This Row],[Education Old]]=0, tblPiNHistorical[[#This Row],[Education New]]="", tblPiNHistorical[[#This Row],[Education New]]=0), "", tblPiNHistorical[[#This Row],[Education New]]-tblPiNHistorical[[#This Row],[Education Old]])</f>
        <v/>
      </c>
      <c r="AH20" s="67"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20" s="67" t="str">
        <f>IF(OR(tblPiNHistorical[[#This Row],[Health Old]]="", tblPiNHistorical[[#This Row],[Health Old]]=0, tblPiNHistorical[[#This Row],[Health New]]="", tblPiNHistorical[[#This Row],[Health New]]=0), "", tblPiNHistorical[[#This Row],[Health New]]-tblPiNHistorical[[#This Row],[Health Old]])</f>
        <v/>
      </c>
      <c r="AJ20" s="67" t="str">
        <f>IF(OR(tblPiNHistorical[[#This Row],[Nutrition Old]]="", tblPiNHistorical[[#This Row],[Nutrition Old]]=0, tblPiNHistorical[[#This Row],[Nutrition New]]="", tblPiNHistorical[[#This Row],[Nutrition New]]=0), "", tblPiNHistorical[[#This Row],[Nutrition New]]-tblPiNHistorical[[#This Row],[Nutrition Old]])</f>
        <v/>
      </c>
      <c r="AK20" s="67" t="str">
        <f>IF(OR(tblPiNHistorical[[#This Row],[Protection Old]]="", tblPiNHistorical[[#This Row],[Protection Old]]=0, tblPiNHistorical[[#This Row],[Protection New]]="", tblPiNHistorical[[#This Row],[Protection New]]=0), "", tblPiNHistorical[[#This Row],[Protection New]]-tblPiNHistorical[[#This Row],[Protection Old]])</f>
        <v/>
      </c>
      <c r="AL20" s="67" t="str">
        <f>IF(OR(tblPiNHistorical[[#This Row],[CP Old ]]="", tblPiNHistorical[[#This Row],[CP Old ]]=0, tblPiNHistorical[[#This Row],[CP New]]="", tblPiNHistorical[[#This Row],[CP New]]=0), "", tblPiNHistorical[[#This Row],[CP New]]-tblPiNHistorical[[#This Row],[CP Old ]])</f>
        <v/>
      </c>
      <c r="AM20" s="83" t="str">
        <f>IF(OR(tblPiNHistorical[[#This Row],[GBV Old]]="", tblPiNHistorical[[#This Row],[GBV Old]]=0, tblPiNHistorical[[#This Row],[GBV New]]="", tblPiNHistorical[[#This Row],[GBV New]]=0), "", tblPiNHistorical[[#This Row],[GBV New]]-tblPiNHistorical[[#This Row],[GBV Old]])</f>
        <v/>
      </c>
      <c r="AN20" s="83" t="str">
        <f>IF(OR(tblPiNHistorical[[#This Row],[Mine Action Old]]="", tblPiNHistorical[[#This Row],[Mine Action Old]]=0, tblPiNHistorical[[#This Row],[Mine Action New]]="", tblPiNHistorical[[#This Row],[Mine Action New]]=0), "", tblPiNHistorical[[#This Row],[Mine Action New]]-tblPiNHistorical[[#This Row],[Mine Action Old]])</f>
        <v/>
      </c>
      <c r="AO20" s="67">
        <f>IF(OR(tblPiNHistorical[[#This Row],[Shelter NFI Old]]="", tblPiNHistorical[[#This Row],[Shelter NFI Old]]=0, tblPiNHistorical[[#This Row],[Shelter NFI New]]="", tblPiNHistorical[[#This Row],[Shelter NFI New]]=0), "", tblPiNHistorical[[#This Row],[Shelter NFI New]]-tblPiNHistorical[[#This Row],[Shelter NFI Old]])</f>
        <v>11525</v>
      </c>
      <c r="AP20" s="111" t="str">
        <f>IF(OR(tblPiNHistorical[[#This Row],[WASH Old]]="", tblPiNHistorical[[#This Row],[WASH Old]]=0, tblPiNHistorical[[#This Row],[WASH New]]="", tblPiNHistorical[[#This Row],[WASH New]]=0), "", tblPiNHistorical[[#This Row],[WASH New]]-tblPiNHistorical[[#This Row],[WASH Old]])</f>
        <v/>
      </c>
      <c r="AQ20" s="110">
        <f>IFERROR(ROUND((tblPiNHistorical[[#This Row],[Site Management - New]] - tblPiNHistorical[[#This Row],[Site Management - Old]])/tblPiNHistorical[[#This Row],[Site Management - Old]], 1), "")</f>
        <v>-1</v>
      </c>
      <c r="AR20" s="66">
        <f>IFERROR(ROUND((tblPiNHistorical[[#This Row],[Education New]]-tblPiNHistorical[[#This Row],[Education Old]])/tblPiNHistorical[[#This Row],[Education Old]], 1), "")</f>
        <v>-1</v>
      </c>
      <c r="AS20" s="66">
        <f>IFERROR(ROUND((tblPiNHistorical[[#This Row],[Food Security and Livlihoods New]]-tblPiNHistorical[[#This Row],[Food Security and Livlihoods Old]])/tblPiNHistorical[[#This Row],[Food Security and Livlihoods Old]], 1), "")</f>
        <v>-1</v>
      </c>
      <c r="AT20" s="66">
        <f>IFERROR(ROUND((tblPiNHistorical[[#This Row],[Health New]]-tblPiNHistorical[[#This Row],[Health Old]])/tblPiNHistorical[[#This Row],[Health Old]], 1), "")</f>
        <v>-1</v>
      </c>
      <c r="AU20" s="66">
        <f>IFERROR(ROUND((tblPiNHistorical[[#This Row],[Nutrition New]]-tblPiNHistorical[[#This Row],[Nutrition Old]])/tblPiNHistorical[[#This Row],[Nutrition Old]], 1), "")</f>
        <v>-1</v>
      </c>
      <c r="AV20" s="66">
        <f>IFERROR(ROUND((tblPiNHistorical[[#This Row],[Protection New]]-tblPiNHistorical[[#This Row],[Protection Old]])/tblPiNHistorical[[#This Row],[Protection Old]], 1), "")</f>
        <v>-1</v>
      </c>
      <c r="AW20" s="84">
        <f>IFERROR(ROUND((tblPiNHistorical[[#This Row],[CP New]]-tblPiNHistorical[[#This Row],[CP Old ]])/tblPiNHistorical[[#This Row],[CP Old ]], 1), "")</f>
        <v>-1</v>
      </c>
      <c r="AX20" s="84">
        <f>IFERROR(ROUND((tblPiNHistorical[[#This Row],[GBV New]]-tblPiNHistorical[[#This Row],[GBV Old]])/tblPiNHistorical[[#This Row],[GBV Old]], 1), "")</f>
        <v>-1</v>
      </c>
      <c r="AY20" s="84">
        <f>IFERROR(ROUND((tblPiNHistorical[[#This Row],[Mine Action New]]-tblPiNHistorical[[#This Row],[Mine Action Old]])/tblPiNHistorical[[#This Row],[Mine Action Old]], 1), "")</f>
        <v>-1</v>
      </c>
      <c r="AZ20" s="66">
        <f>IFERROR(ROUND((tblPiNHistorical[[#This Row],[Shelter NFI New]]-tblPiNHistorical[[#This Row],[Shelter NFI Old]])/tblPiNHistorical[[#This Row],[Shelter NFI Old]], 1), "")</f>
        <v>0.3</v>
      </c>
      <c r="BA20" s="36">
        <f>IFERROR(ROUND((tblPiNHistorical[[#This Row],[WASH New]]-tblPiNHistorical[[#This Row],[WASH Old]])/tblPiNHistorical[[#This Row],[WASH Old]], 1), "")</f>
        <v>-1</v>
      </c>
      <c r="BB20"/>
      <c r="BC20"/>
      <c r="BD20"/>
      <c r="BE20"/>
      <c r="BF20"/>
      <c r="BG20"/>
      <c r="BH20"/>
      <c r="BI20"/>
      <c r="BL20"/>
      <c r="BN20"/>
      <c r="BO20"/>
      <c r="BP20"/>
    </row>
    <row r="21" spans="1:68" x14ac:dyDescent="0.25">
      <c r="A21"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IDPsSD06112</v>
      </c>
      <c r="B21" s="127" t="s">
        <v>141</v>
      </c>
      <c r="C21" s="60" t="s">
        <v>123</v>
      </c>
      <c r="D21" s="60" t="s">
        <v>146</v>
      </c>
      <c r="E21" s="60" t="s">
        <v>145</v>
      </c>
      <c r="F21" s="54"/>
      <c r="G21" s="30"/>
      <c r="H21" s="56">
        <v>29435</v>
      </c>
      <c r="I21" s="37" t="s">
        <v>88</v>
      </c>
      <c r="J21" s="34">
        <v>29435</v>
      </c>
      <c r="K21" s="116">
        <v>11411.949499999999</v>
      </c>
      <c r="L21" s="114">
        <v>29435</v>
      </c>
      <c r="M21" s="114">
        <v>29435</v>
      </c>
      <c r="N21" s="114">
        <v>3135</v>
      </c>
      <c r="O21" s="114">
        <v>29435</v>
      </c>
      <c r="P21" s="114">
        <v>16189</v>
      </c>
      <c r="Q21" s="114">
        <v>11649</v>
      </c>
      <c r="R21" s="114">
        <v>8830.5</v>
      </c>
      <c r="S21" s="114">
        <v>11774</v>
      </c>
      <c r="T21" s="196">
        <v>17470.261200000001</v>
      </c>
      <c r="U21" s="52">
        <f>IFERROR(INDEX(tblPiNAnalysis[[Site Management ]], MATCH(tblPiNHistorical[[#This Row],[ID]], tblPiNAnalysis[ID], 0)), "")</f>
        <v>0</v>
      </c>
      <c r="V21" s="52">
        <f>IFERROR(INDEX(tblPiNAnalysis[Education], MATCH(tblPiNHistorical[[#This Row],[ID]], tblPiNAnalysis[ID], 0)), "")</f>
        <v>0</v>
      </c>
      <c r="W21" s="28">
        <f>IFERROR(INDEX(tblPiNAnalysis[Food Security and Livlihoods], MATCH(tblPiNHistorical[[#This Row],[ID]], tblPiNAnalysis[ID], 0)), "")</f>
        <v>0</v>
      </c>
      <c r="X21" s="28">
        <f>IFERROR(INDEX(tblPiNAnalysis[[Health ]], MATCH(tblPiNHistorical[[#This Row],[ID]], tblPiNAnalysis[ID], 0)), "")</f>
        <v>0</v>
      </c>
      <c r="Y21" s="28">
        <f>IFERROR(INDEX(tblPiNAnalysis[Nutrition], MATCH(tblPiNHistorical[[#This Row],[ID]], tblPiNAnalysis[ID], 0)), "")</f>
        <v>0</v>
      </c>
      <c r="Z21" s="28">
        <f>IFERROR(INDEX(tblPiNAnalysis[Protection], MATCH(tblPiNHistorical[[#This Row],[ID]], tblPiNAnalysis[ID], 0)), "")</f>
        <v>0</v>
      </c>
      <c r="AA21" s="28">
        <f>IFERROR(INDEX(tblPiNAnalysis[CP], MATCH(tblPiNHistorical[[#This Row],[ID]], tblPiNAnalysis[ID], 0)), "")</f>
        <v>0</v>
      </c>
      <c r="AB21" s="83">
        <f>IFERROR(INDEX(tblPiNAnalysis[GBV], MATCH(tblPiNHistorical[[#This Row],[ID]], tblPiNAnalysis[ID], 0)), "")</f>
        <v>0</v>
      </c>
      <c r="AC21" s="28">
        <f>IFERROR(INDEX(tblPiNAnalysis[Mine Action], MATCH(tblPiNHistorical[[#This Row],[ID]], tblPiNAnalysis[ID], 0)), "")</f>
        <v>0</v>
      </c>
      <c r="AD21" s="83">
        <f>IFERROR(INDEX(tblPiNAnalysis[[Shelter NFI ]], MATCH(tblPiNHistorical[[#This Row],[ID]], tblPiNAnalysis[ID], 0)), "")</f>
        <v>17107</v>
      </c>
      <c r="AE21" s="35">
        <f>IFERROR(INDEX(tblPiNAnalysis[WASH], MATCH(tblPiNHistorical[[#This Row],[ID]], tblPiNAnalysis[ID], 0)), "")</f>
        <v>0</v>
      </c>
      <c r="AF21" s="6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21" s="67" t="str">
        <f>IF(OR(tblPiNHistorical[[#This Row],[Education Old]]="", tblPiNHistorical[[#This Row],[Education Old]]=0, tblPiNHistorical[[#This Row],[Education New]]="", tblPiNHistorical[[#This Row],[Education New]]=0), "", tblPiNHistorical[[#This Row],[Education New]]-tblPiNHistorical[[#This Row],[Education Old]])</f>
        <v/>
      </c>
      <c r="AH21" s="67"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21" s="67" t="str">
        <f>IF(OR(tblPiNHistorical[[#This Row],[Health Old]]="", tblPiNHistorical[[#This Row],[Health Old]]=0, tblPiNHistorical[[#This Row],[Health New]]="", tblPiNHistorical[[#This Row],[Health New]]=0), "", tblPiNHistorical[[#This Row],[Health New]]-tblPiNHistorical[[#This Row],[Health Old]])</f>
        <v/>
      </c>
      <c r="AJ21" s="67" t="str">
        <f>IF(OR(tblPiNHistorical[[#This Row],[Nutrition Old]]="", tblPiNHistorical[[#This Row],[Nutrition Old]]=0, tblPiNHistorical[[#This Row],[Nutrition New]]="", tblPiNHistorical[[#This Row],[Nutrition New]]=0), "", tblPiNHistorical[[#This Row],[Nutrition New]]-tblPiNHistorical[[#This Row],[Nutrition Old]])</f>
        <v/>
      </c>
      <c r="AK21" s="67" t="str">
        <f>IF(OR(tblPiNHistorical[[#This Row],[Protection Old]]="", tblPiNHistorical[[#This Row],[Protection Old]]=0, tblPiNHistorical[[#This Row],[Protection New]]="", tblPiNHistorical[[#This Row],[Protection New]]=0), "", tblPiNHistorical[[#This Row],[Protection New]]-tblPiNHistorical[[#This Row],[Protection Old]])</f>
        <v/>
      </c>
      <c r="AL21" s="67" t="str">
        <f>IF(OR(tblPiNHistorical[[#This Row],[CP Old ]]="", tblPiNHistorical[[#This Row],[CP Old ]]=0, tblPiNHistorical[[#This Row],[CP New]]="", tblPiNHistorical[[#This Row],[CP New]]=0), "", tblPiNHistorical[[#This Row],[CP New]]-tblPiNHistorical[[#This Row],[CP Old ]])</f>
        <v/>
      </c>
      <c r="AM21" s="83" t="str">
        <f>IF(OR(tblPiNHistorical[[#This Row],[GBV Old]]="", tblPiNHistorical[[#This Row],[GBV Old]]=0, tblPiNHistorical[[#This Row],[GBV New]]="", tblPiNHistorical[[#This Row],[GBV New]]=0), "", tblPiNHistorical[[#This Row],[GBV New]]-tblPiNHistorical[[#This Row],[GBV Old]])</f>
        <v/>
      </c>
      <c r="AN21" s="83" t="str">
        <f>IF(OR(tblPiNHistorical[[#This Row],[Mine Action Old]]="", tblPiNHistorical[[#This Row],[Mine Action Old]]=0, tblPiNHistorical[[#This Row],[Mine Action New]]="", tblPiNHistorical[[#This Row],[Mine Action New]]=0), "", tblPiNHistorical[[#This Row],[Mine Action New]]-tblPiNHistorical[[#This Row],[Mine Action Old]])</f>
        <v/>
      </c>
      <c r="AO21" s="67">
        <f>IF(OR(tblPiNHistorical[[#This Row],[Shelter NFI Old]]="", tblPiNHistorical[[#This Row],[Shelter NFI Old]]=0, tblPiNHistorical[[#This Row],[Shelter NFI New]]="", tblPiNHistorical[[#This Row],[Shelter NFI New]]=0), "", tblPiNHistorical[[#This Row],[Shelter NFI New]]-tblPiNHistorical[[#This Row],[Shelter NFI Old]])</f>
        <v>5333</v>
      </c>
      <c r="AP21" s="111" t="str">
        <f>IF(OR(tblPiNHistorical[[#This Row],[WASH Old]]="", tblPiNHistorical[[#This Row],[WASH Old]]=0, tblPiNHistorical[[#This Row],[WASH New]]="", tblPiNHistorical[[#This Row],[WASH New]]=0), "", tblPiNHistorical[[#This Row],[WASH New]]-tblPiNHistorical[[#This Row],[WASH Old]])</f>
        <v/>
      </c>
      <c r="AQ21" s="110">
        <f>IFERROR(ROUND((tblPiNHistorical[[#This Row],[Site Management - New]] - tblPiNHistorical[[#This Row],[Site Management - Old]])/tblPiNHistorical[[#This Row],[Site Management - Old]], 1), "")</f>
        <v>-1</v>
      </c>
      <c r="AR21" s="66">
        <f>IFERROR(ROUND((tblPiNHistorical[[#This Row],[Education New]]-tblPiNHistorical[[#This Row],[Education Old]])/tblPiNHistorical[[#This Row],[Education Old]], 1), "")</f>
        <v>-1</v>
      </c>
      <c r="AS21" s="66">
        <f>IFERROR(ROUND((tblPiNHistorical[[#This Row],[Food Security and Livlihoods New]]-tblPiNHistorical[[#This Row],[Food Security and Livlihoods Old]])/tblPiNHistorical[[#This Row],[Food Security and Livlihoods Old]], 1), "")</f>
        <v>-1</v>
      </c>
      <c r="AT21" s="66">
        <f>IFERROR(ROUND((tblPiNHistorical[[#This Row],[Health New]]-tblPiNHistorical[[#This Row],[Health Old]])/tblPiNHistorical[[#This Row],[Health Old]], 1), "")</f>
        <v>-1</v>
      </c>
      <c r="AU21" s="66">
        <f>IFERROR(ROUND((tblPiNHistorical[[#This Row],[Nutrition New]]-tblPiNHistorical[[#This Row],[Nutrition Old]])/tblPiNHistorical[[#This Row],[Nutrition Old]], 1), "")</f>
        <v>-1</v>
      </c>
      <c r="AV21" s="66">
        <f>IFERROR(ROUND((tblPiNHistorical[[#This Row],[Protection New]]-tblPiNHistorical[[#This Row],[Protection Old]])/tblPiNHistorical[[#This Row],[Protection Old]], 1), "")</f>
        <v>-1</v>
      </c>
      <c r="AW21" s="84">
        <f>IFERROR(ROUND((tblPiNHistorical[[#This Row],[CP New]]-tblPiNHistorical[[#This Row],[CP Old ]])/tblPiNHistorical[[#This Row],[CP Old ]], 1), "")</f>
        <v>-1</v>
      </c>
      <c r="AX21" s="84">
        <f>IFERROR(ROUND((tblPiNHistorical[[#This Row],[GBV New]]-tblPiNHistorical[[#This Row],[GBV Old]])/tblPiNHistorical[[#This Row],[GBV Old]], 1), "")</f>
        <v>-1</v>
      </c>
      <c r="AY21" s="84">
        <f>IFERROR(ROUND((tblPiNHistorical[[#This Row],[Mine Action New]]-tblPiNHistorical[[#This Row],[Mine Action Old]])/tblPiNHistorical[[#This Row],[Mine Action Old]], 1), "")</f>
        <v>-1</v>
      </c>
      <c r="AZ21" s="66">
        <f>IFERROR(ROUND((tblPiNHistorical[[#This Row],[Shelter NFI New]]-tblPiNHistorical[[#This Row],[Shelter NFI Old]])/tblPiNHistorical[[#This Row],[Shelter NFI Old]], 1), "")</f>
        <v>0.5</v>
      </c>
      <c r="BA21" s="36">
        <f>IFERROR(ROUND((tblPiNHistorical[[#This Row],[WASH New]]-tblPiNHistorical[[#This Row],[WASH Old]])/tblPiNHistorical[[#This Row],[WASH Old]], 1), "")</f>
        <v>-1</v>
      </c>
      <c r="BB21"/>
      <c r="BC21"/>
      <c r="BD21"/>
      <c r="BE21"/>
      <c r="BF21"/>
      <c r="BG21"/>
      <c r="BH21"/>
      <c r="BI21"/>
      <c r="BL21"/>
      <c r="BN21"/>
      <c r="BO21"/>
      <c r="BP21"/>
    </row>
    <row r="22" spans="1:68" ht="30" x14ac:dyDescent="0.25">
      <c r="A22"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IDPsSD06131</v>
      </c>
      <c r="B22" s="127" t="s">
        <v>141</v>
      </c>
      <c r="C22" s="60" t="s">
        <v>123</v>
      </c>
      <c r="D22" s="60" t="s">
        <v>152</v>
      </c>
      <c r="E22" s="60" t="s">
        <v>151</v>
      </c>
      <c r="F22" s="54"/>
      <c r="G22" s="30"/>
      <c r="H22" s="56">
        <v>42700</v>
      </c>
      <c r="I22" s="37" t="s">
        <v>88</v>
      </c>
      <c r="J22" s="34">
        <v>37999</v>
      </c>
      <c r="K22" s="116">
        <v>16554.79</v>
      </c>
      <c r="L22" s="114">
        <v>42700</v>
      </c>
      <c r="M22" s="114">
        <v>42700</v>
      </c>
      <c r="N22" s="114">
        <v>3748</v>
      </c>
      <c r="O22" s="114">
        <v>42700</v>
      </c>
      <c r="P22" s="114">
        <v>23485</v>
      </c>
      <c r="Q22" s="114">
        <v>16900</v>
      </c>
      <c r="R22" s="114">
        <v>17080</v>
      </c>
      <c r="S22" s="114">
        <v>17080</v>
      </c>
      <c r="T22" s="196">
        <v>37702.391999999993</v>
      </c>
      <c r="U22" s="52">
        <f>IFERROR(INDEX(tblPiNAnalysis[[Site Management ]], MATCH(tblPiNHistorical[[#This Row],[ID]], tblPiNAnalysis[ID], 0)), "")</f>
        <v>0</v>
      </c>
      <c r="V22" s="52">
        <f>IFERROR(INDEX(tblPiNAnalysis[Education], MATCH(tblPiNHistorical[[#This Row],[ID]], tblPiNAnalysis[ID], 0)), "")</f>
        <v>0</v>
      </c>
      <c r="W22" s="28">
        <f>IFERROR(INDEX(tblPiNAnalysis[Food Security and Livlihoods], MATCH(tblPiNHistorical[[#This Row],[ID]], tblPiNAnalysis[ID], 0)), "")</f>
        <v>0</v>
      </c>
      <c r="X22" s="28">
        <f>IFERROR(INDEX(tblPiNAnalysis[[Health ]], MATCH(tblPiNHistorical[[#This Row],[ID]], tblPiNAnalysis[ID], 0)), "")</f>
        <v>0</v>
      </c>
      <c r="Y22" s="28">
        <f>IFERROR(INDEX(tblPiNAnalysis[Nutrition], MATCH(tblPiNHistorical[[#This Row],[ID]], tblPiNAnalysis[ID], 0)), "")</f>
        <v>0</v>
      </c>
      <c r="Z22" s="28">
        <f>IFERROR(INDEX(tblPiNAnalysis[Protection], MATCH(tblPiNHistorical[[#This Row],[ID]], tblPiNAnalysis[ID], 0)), "")</f>
        <v>0</v>
      </c>
      <c r="AA22" s="28">
        <f>IFERROR(INDEX(tblPiNAnalysis[CP], MATCH(tblPiNHistorical[[#This Row],[ID]], tblPiNAnalysis[ID], 0)), "")</f>
        <v>0</v>
      </c>
      <c r="AB22" s="83">
        <f>IFERROR(INDEX(tblPiNAnalysis[GBV], MATCH(tblPiNHistorical[[#This Row],[ID]], tblPiNAnalysis[ID], 0)), "")</f>
        <v>0</v>
      </c>
      <c r="AC22" s="28">
        <f>IFERROR(INDEX(tblPiNAnalysis[Mine Action], MATCH(tblPiNHistorical[[#This Row],[ID]], tblPiNAnalysis[ID], 0)), "")</f>
        <v>0</v>
      </c>
      <c r="AD22" s="83">
        <f>IFERROR(INDEX(tblPiNAnalysis[[Shelter NFI ]], MATCH(tblPiNHistorical[[#This Row],[ID]], tblPiNAnalysis[ID], 0)), "")</f>
        <v>32889</v>
      </c>
      <c r="AE22" s="35">
        <f>IFERROR(INDEX(tblPiNAnalysis[WASH], MATCH(tblPiNHistorical[[#This Row],[ID]], tblPiNAnalysis[ID], 0)), "")</f>
        <v>0</v>
      </c>
      <c r="AF22" s="6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22" s="67" t="str">
        <f>IF(OR(tblPiNHistorical[[#This Row],[Education Old]]="", tblPiNHistorical[[#This Row],[Education Old]]=0, tblPiNHistorical[[#This Row],[Education New]]="", tblPiNHistorical[[#This Row],[Education New]]=0), "", tblPiNHistorical[[#This Row],[Education New]]-tblPiNHistorical[[#This Row],[Education Old]])</f>
        <v/>
      </c>
      <c r="AH22" s="67"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22" s="67" t="str">
        <f>IF(OR(tblPiNHistorical[[#This Row],[Health Old]]="", tblPiNHistorical[[#This Row],[Health Old]]=0, tblPiNHistorical[[#This Row],[Health New]]="", tblPiNHistorical[[#This Row],[Health New]]=0), "", tblPiNHistorical[[#This Row],[Health New]]-tblPiNHistorical[[#This Row],[Health Old]])</f>
        <v/>
      </c>
      <c r="AJ22" s="67" t="str">
        <f>IF(OR(tblPiNHistorical[[#This Row],[Nutrition Old]]="", tblPiNHistorical[[#This Row],[Nutrition Old]]=0, tblPiNHistorical[[#This Row],[Nutrition New]]="", tblPiNHistorical[[#This Row],[Nutrition New]]=0), "", tblPiNHistorical[[#This Row],[Nutrition New]]-tblPiNHistorical[[#This Row],[Nutrition Old]])</f>
        <v/>
      </c>
      <c r="AK22" s="67" t="str">
        <f>IF(OR(tblPiNHistorical[[#This Row],[Protection Old]]="", tblPiNHistorical[[#This Row],[Protection Old]]=0, tblPiNHistorical[[#This Row],[Protection New]]="", tblPiNHistorical[[#This Row],[Protection New]]=0), "", tblPiNHistorical[[#This Row],[Protection New]]-tblPiNHistorical[[#This Row],[Protection Old]])</f>
        <v/>
      </c>
      <c r="AL22" s="67" t="str">
        <f>IF(OR(tblPiNHistorical[[#This Row],[CP Old ]]="", tblPiNHistorical[[#This Row],[CP Old ]]=0, tblPiNHistorical[[#This Row],[CP New]]="", tblPiNHistorical[[#This Row],[CP New]]=0), "", tblPiNHistorical[[#This Row],[CP New]]-tblPiNHistorical[[#This Row],[CP Old ]])</f>
        <v/>
      </c>
      <c r="AM22" s="83" t="str">
        <f>IF(OR(tblPiNHistorical[[#This Row],[GBV Old]]="", tblPiNHistorical[[#This Row],[GBV Old]]=0, tblPiNHistorical[[#This Row],[GBV New]]="", tblPiNHistorical[[#This Row],[GBV New]]=0), "", tblPiNHistorical[[#This Row],[GBV New]]-tblPiNHistorical[[#This Row],[GBV Old]])</f>
        <v/>
      </c>
      <c r="AN22" s="83" t="str">
        <f>IF(OR(tblPiNHistorical[[#This Row],[Mine Action Old]]="", tblPiNHistorical[[#This Row],[Mine Action Old]]=0, tblPiNHistorical[[#This Row],[Mine Action New]]="", tblPiNHistorical[[#This Row],[Mine Action New]]=0), "", tblPiNHistorical[[#This Row],[Mine Action New]]-tblPiNHistorical[[#This Row],[Mine Action Old]])</f>
        <v/>
      </c>
      <c r="AO22" s="67">
        <f>IF(OR(tblPiNHistorical[[#This Row],[Shelter NFI Old]]="", tblPiNHistorical[[#This Row],[Shelter NFI Old]]=0, tblPiNHistorical[[#This Row],[Shelter NFI New]]="", tblPiNHistorical[[#This Row],[Shelter NFI New]]=0), "", tblPiNHistorical[[#This Row],[Shelter NFI New]]-tblPiNHistorical[[#This Row],[Shelter NFI Old]])</f>
        <v>15809</v>
      </c>
      <c r="AP22" s="111" t="str">
        <f>IF(OR(tblPiNHistorical[[#This Row],[WASH Old]]="", tblPiNHistorical[[#This Row],[WASH Old]]=0, tblPiNHistorical[[#This Row],[WASH New]]="", tblPiNHistorical[[#This Row],[WASH New]]=0), "", tblPiNHistorical[[#This Row],[WASH New]]-tblPiNHistorical[[#This Row],[WASH Old]])</f>
        <v/>
      </c>
      <c r="AQ22" s="110">
        <f>IFERROR(ROUND((tblPiNHistorical[[#This Row],[Site Management - New]] - tblPiNHistorical[[#This Row],[Site Management - Old]])/tblPiNHistorical[[#This Row],[Site Management - Old]], 1), "")</f>
        <v>-1</v>
      </c>
      <c r="AR22" s="66">
        <f>IFERROR(ROUND((tblPiNHistorical[[#This Row],[Education New]]-tblPiNHistorical[[#This Row],[Education Old]])/tblPiNHistorical[[#This Row],[Education Old]], 1), "")</f>
        <v>-1</v>
      </c>
      <c r="AS22" s="66">
        <f>IFERROR(ROUND((tblPiNHistorical[[#This Row],[Food Security and Livlihoods New]]-tblPiNHistorical[[#This Row],[Food Security and Livlihoods Old]])/tblPiNHistorical[[#This Row],[Food Security and Livlihoods Old]], 1), "")</f>
        <v>-1</v>
      </c>
      <c r="AT22" s="66">
        <f>IFERROR(ROUND((tblPiNHistorical[[#This Row],[Health New]]-tblPiNHistorical[[#This Row],[Health Old]])/tblPiNHistorical[[#This Row],[Health Old]], 1), "")</f>
        <v>-1</v>
      </c>
      <c r="AU22" s="66">
        <f>IFERROR(ROUND((tblPiNHistorical[[#This Row],[Nutrition New]]-tblPiNHistorical[[#This Row],[Nutrition Old]])/tblPiNHistorical[[#This Row],[Nutrition Old]], 1), "")</f>
        <v>-1</v>
      </c>
      <c r="AV22" s="66">
        <f>IFERROR(ROUND((tblPiNHistorical[[#This Row],[Protection New]]-tblPiNHistorical[[#This Row],[Protection Old]])/tblPiNHistorical[[#This Row],[Protection Old]], 1), "")</f>
        <v>-1</v>
      </c>
      <c r="AW22" s="84">
        <f>IFERROR(ROUND((tblPiNHistorical[[#This Row],[CP New]]-tblPiNHistorical[[#This Row],[CP Old ]])/tblPiNHistorical[[#This Row],[CP Old ]], 1), "")</f>
        <v>-1</v>
      </c>
      <c r="AX22" s="84">
        <f>IFERROR(ROUND((tblPiNHistorical[[#This Row],[GBV New]]-tblPiNHistorical[[#This Row],[GBV Old]])/tblPiNHistorical[[#This Row],[GBV Old]], 1), "")</f>
        <v>-1</v>
      </c>
      <c r="AY22" s="84">
        <f>IFERROR(ROUND((tblPiNHistorical[[#This Row],[Mine Action New]]-tblPiNHistorical[[#This Row],[Mine Action Old]])/tblPiNHistorical[[#This Row],[Mine Action Old]], 1), "")</f>
        <v>-1</v>
      </c>
      <c r="AZ22" s="66">
        <f>IFERROR(ROUND((tblPiNHistorical[[#This Row],[Shelter NFI New]]-tblPiNHistorical[[#This Row],[Shelter NFI Old]])/tblPiNHistorical[[#This Row],[Shelter NFI Old]], 1), "")</f>
        <v>0.9</v>
      </c>
      <c r="BA22" s="36">
        <f>IFERROR(ROUND((tblPiNHistorical[[#This Row],[WASH New]]-tblPiNHistorical[[#This Row],[WASH Old]])/tblPiNHistorical[[#This Row],[WASH Old]], 1), "")</f>
        <v>-1</v>
      </c>
      <c r="BB22"/>
      <c r="BC22"/>
      <c r="BD22"/>
      <c r="BE22"/>
      <c r="BF22"/>
      <c r="BG22"/>
      <c r="BH22"/>
      <c r="BI22"/>
      <c r="BL22"/>
      <c r="BN22"/>
      <c r="BO22"/>
      <c r="BP22"/>
    </row>
    <row r="23" spans="1:68" x14ac:dyDescent="0.25">
      <c r="A23"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IDPsSD06130</v>
      </c>
      <c r="B23" s="127" t="s">
        <v>141</v>
      </c>
      <c r="C23" s="60" t="s">
        <v>123</v>
      </c>
      <c r="D23" s="60" t="s">
        <v>149</v>
      </c>
      <c r="E23" s="60" t="s">
        <v>148</v>
      </c>
      <c r="F23" s="54"/>
      <c r="G23" s="30"/>
      <c r="H23" s="56">
        <v>25730</v>
      </c>
      <c r="I23" s="37" t="s">
        <v>88</v>
      </c>
      <c r="J23" s="34">
        <v>25730</v>
      </c>
      <c r="K23" s="116">
        <v>9975.5209999999988</v>
      </c>
      <c r="L23" s="114">
        <v>25730</v>
      </c>
      <c r="M23" s="114">
        <v>25730</v>
      </c>
      <c r="N23" s="114">
        <v>2257</v>
      </c>
      <c r="O23" s="114">
        <v>25730</v>
      </c>
      <c r="P23" s="114">
        <v>14152</v>
      </c>
      <c r="Q23" s="114">
        <v>10184</v>
      </c>
      <c r="R23" s="114">
        <v>0</v>
      </c>
      <c r="S23" s="114">
        <v>10292</v>
      </c>
      <c r="T23" s="196">
        <v>27467.2896</v>
      </c>
      <c r="U23" s="52">
        <f>IFERROR(INDEX(tblPiNAnalysis[[Site Management ]], MATCH(tblPiNHistorical[[#This Row],[ID]], tblPiNAnalysis[ID], 0)), "")</f>
        <v>0</v>
      </c>
      <c r="V23" s="52">
        <f>IFERROR(INDEX(tblPiNAnalysis[Education], MATCH(tblPiNHistorical[[#This Row],[ID]], tblPiNAnalysis[ID], 0)), "")</f>
        <v>0</v>
      </c>
      <c r="W23" s="28">
        <f>IFERROR(INDEX(tblPiNAnalysis[Food Security and Livlihoods], MATCH(tblPiNHistorical[[#This Row],[ID]], tblPiNAnalysis[ID], 0)), "")</f>
        <v>0</v>
      </c>
      <c r="X23" s="28">
        <f>IFERROR(INDEX(tblPiNAnalysis[[Health ]], MATCH(tblPiNHistorical[[#This Row],[ID]], tblPiNAnalysis[ID], 0)), "")</f>
        <v>0</v>
      </c>
      <c r="Y23" s="28">
        <f>IFERROR(INDEX(tblPiNAnalysis[Nutrition], MATCH(tblPiNHistorical[[#This Row],[ID]], tblPiNAnalysis[ID], 0)), "")</f>
        <v>0</v>
      </c>
      <c r="Z23" s="28">
        <f>IFERROR(INDEX(tblPiNAnalysis[Protection], MATCH(tblPiNHistorical[[#This Row],[ID]], tblPiNAnalysis[ID], 0)), "")</f>
        <v>0</v>
      </c>
      <c r="AA23" s="28">
        <f>IFERROR(INDEX(tblPiNAnalysis[CP], MATCH(tblPiNHistorical[[#This Row],[ID]], tblPiNAnalysis[ID], 0)), "")</f>
        <v>0</v>
      </c>
      <c r="AB23" s="83">
        <f>IFERROR(INDEX(tblPiNAnalysis[GBV], MATCH(tblPiNHistorical[[#This Row],[ID]], tblPiNAnalysis[ID], 0)), "")</f>
        <v>0</v>
      </c>
      <c r="AC23" s="28">
        <f>IFERROR(INDEX(tblPiNAnalysis[Mine Action], MATCH(tblPiNHistorical[[#This Row],[ID]], tblPiNAnalysis[ID], 0)), "")</f>
        <v>0</v>
      </c>
      <c r="AD23" s="83">
        <f>IFERROR(INDEX(tblPiNAnalysis[[Shelter NFI ]], MATCH(tblPiNHistorical[[#This Row],[ID]], tblPiNAnalysis[ID], 0)), "")</f>
        <v>6028</v>
      </c>
      <c r="AE23" s="35">
        <f>IFERROR(INDEX(tblPiNAnalysis[WASH], MATCH(tblPiNHistorical[[#This Row],[ID]], tblPiNAnalysis[ID], 0)), "")</f>
        <v>0</v>
      </c>
      <c r="AF23" s="6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23" s="67" t="str">
        <f>IF(OR(tblPiNHistorical[[#This Row],[Education Old]]="", tblPiNHistorical[[#This Row],[Education Old]]=0, tblPiNHistorical[[#This Row],[Education New]]="", tblPiNHistorical[[#This Row],[Education New]]=0), "", tblPiNHistorical[[#This Row],[Education New]]-tblPiNHistorical[[#This Row],[Education Old]])</f>
        <v/>
      </c>
      <c r="AH23" s="67"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23" s="67" t="str">
        <f>IF(OR(tblPiNHistorical[[#This Row],[Health Old]]="", tblPiNHistorical[[#This Row],[Health Old]]=0, tblPiNHistorical[[#This Row],[Health New]]="", tblPiNHistorical[[#This Row],[Health New]]=0), "", tblPiNHistorical[[#This Row],[Health New]]-tblPiNHistorical[[#This Row],[Health Old]])</f>
        <v/>
      </c>
      <c r="AJ23" s="67" t="str">
        <f>IF(OR(tblPiNHistorical[[#This Row],[Nutrition Old]]="", tblPiNHistorical[[#This Row],[Nutrition Old]]=0, tblPiNHistorical[[#This Row],[Nutrition New]]="", tblPiNHistorical[[#This Row],[Nutrition New]]=0), "", tblPiNHistorical[[#This Row],[Nutrition New]]-tblPiNHistorical[[#This Row],[Nutrition Old]])</f>
        <v/>
      </c>
      <c r="AK23" s="67" t="str">
        <f>IF(OR(tblPiNHistorical[[#This Row],[Protection Old]]="", tblPiNHistorical[[#This Row],[Protection Old]]=0, tblPiNHistorical[[#This Row],[Protection New]]="", tblPiNHistorical[[#This Row],[Protection New]]=0), "", tblPiNHistorical[[#This Row],[Protection New]]-tblPiNHistorical[[#This Row],[Protection Old]])</f>
        <v/>
      </c>
      <c r="AL23" s="67" t="str">
        <f>IF(OR(tblPiNHistorical[[#This Row],[CP Old ]]="", tblPiNHistorical[[#This Row],[CP Old ]]=0, tblPiNHistorical[[#This Row],[CP New]]="", tblPiNHistorical[[#This Row],[CP New]]=0), "", tblPiNHistorical[[#This Row],[CP New]]-tblPiNHistorical[[#This Row],[CP Old ]])</f>
        <v/>
      </c>
      <c r="AM23" s="83" t="str">
        <f>IF(OR(tblPiNHistorical[[#This Row],[GBV Old]]="", tblPiNHistorical[[#This Row],[GBV Old]]=0, tblPiNHistorical[[#This Row],[GBV New]]="", tblPiNHistorical[[#This Row],[GBV New]]=0), "", tblPiNHistorical[[#This Row],[GBV New]]-tblPiNHistorical[[#This Row],[GBV Old]])</f>
        <v/>
      </c>
      <c r="AN23" s="83" t="str">
        <f>IF(OR(tblPiNHistorical[[#This Row],[Mine Action Old]]="", tblPiNHistorical[[#This Row],[Mine Action Old]]=0, tblPiNHistorical[[#This Row],[Mine Action New]]="", tblPiNHistorical[[#This Row],[Mine Action New]]=0), "", tblPiNHistorical[[#This Row],[Mine Action New]]-tblPiNHistorical[[#This Row],[Mine Action Old]])</f>
        <v/>
      </c>
      <c r="AO23" s="67">
        <f>IF(OR(tblPiNHistorical[[#This Row],[Shelter NFI Old]]="", tblPiNHistorical[[#This Row],[Shelter NFI Old]]=0, tblPiNHistorical[[#This Row],[Shelter NFI New]]="", tblPiNHistorical[[#This Row],[Shelter NFI New]]=0), "", tblPiNHistorical[[#This Row],[Shelter NFI New]]-tblPiNHistorical[[#This Row],[Shelter NFI Old]])</f>
        <v>-4264</v>
      </c>
      <c r="AP23" s="111" t="str">
        <f>IF(OR(tblPiNHistorical[[#This Row],[WASH Old]]="", tblPiNHistorical[[#This Row],[WASH Old]]=0, tblPiNHistorical[[#This Row],[WASH New]]="", tblPiNHistorical[[#This Row],[WASH New]]=0), "", tblPiNHistorical[[#This Row],[WASH New]]-tblPiNHistorical[[#This Row],[WASH Old]])</f>
        <v/>
      </c>
      <c r="AQ23" s="110">
        <f>IFERROR(ROUND((tblPiNHistorical[[#This Row],[Site Management - New]] - tblPiNHistorical[[#This Row],[Site Management - Old]])/tblPiNHistorical[[#This Row],[Site Management - Old]], 1), "")</f>
        <v>-1</v>
      </c>
      <c r="AR23" s="66">
        <f>IFERROR(ROUND((tblPiNHistorical[[#This Row],[Education New]]-tblPiNHistorical[[#This Row],[Education Old]])/tblPiNHistorical[[#This Row],[Education Old]], 1), "")</f>
        <v>-1</v>
      </c>
      <c r="AS23" s="66">
        <f>IFERROR(ROUND((tblPiNHistorical[[#This Row],[Food Security and Livlihoods New]]-tblPiNHistorical[[#This Row],[Food Security and Livlihoods Old]])/tblPiNHistorical[[#This Row],[Food Security and Livlihoods Old]], 1), "")</f>
        <v>-1</v>
      </c>
      <c r="AT23" s="66">
        <f>IFERROR(ROUND((tblPiNHistorical[[#This Row],[Health New]]-tblPiNHistorical[[#This Row],[Health Old]])/tblPiNHistorical[[#This Row],[Health Old]], 1), "")</f>
        <v>-1</v>
      </c>
      <c r="AU23" s="66">
        <f>IFERROR(ROUND((tblPiNHistorical[[#This Row],[Nutrition New]]-tblPiNHistorical[[#This Row],[Nutrition Old]])/tblPiNHistorical[[#This Row],[Nutrition Old]], 1), "")</f>
        <v>-1</v>
      </c>
      <c r="AV23" s="66">
        <f>IFERROR(ROUND((tblPiNHistorical[[#This Row],[Protection New]]-tblPiNHistorical[[#This Row],[Protection Old]])/tblPiNHistorical[[#This Row],[Protection Old]], 1), "")</f>
        <v>-1</v>
      </c>
      <c r="AW23" s="84">
        <f>IFERROR(ROUND((tblPiNHistorical[[#This Row],[CP New]]-tblPiNHistorical[[#This Row],[CP Old ]])/tblPiNHistorical[[#This Row],[CP Old ]], 1), "")</f>
        <v>-1</v>
      </c>
      <c r="AX23" s="84">
        <f>IFERROR(ROUND((tblPiNHistorical[[#This Row],[GBV New]]-tblPiNHistorical[[#This Row],[GBV Old]])/tblPiNHistorical[[#This Row],[GBV Old]], 1), "")</f>
        <v>-1</v>
      </c>
      <c r="AY23" s="84" t="str">
        <f>IFERROR(ROUND((tblPiNHistorical[[#This Row],[Mine Action New]]-tblPiNHistorical[[#This Row],[Mine Action Old]])/tblPiNHistorical[[#This Row],[Mine Action Old]], 1), "")</f>
        <v/>
      </c>
      <c r="AZ23" s="66">
        <f>IFERROR(ROUND((tblPiNHistorical[[#This Row],[Shelter NFI New]]-tblPiNHistorical[[#This Row],[Shelter NFI Old]])/tblPiNHistorical[[#This Row],[Shelter NFI Old]], 1), "")</f>
        <v>-0.4</v>
      </c>
      <c r="BA23" s="36">
        <f>IFERROR(ROUND((tblPiNHistorical[[#This Row],[WASH New]]-tblPiNHistorical[[#This Row],[WASH Old]])/tblPiNHistorical[[#This Row],[WASH Old]], 1), "")</f>
        <v>-1</v>
      </c>
      <c r="BB23"/>
      <c r="BC23"/>
      <c r="BD23"/>
      <c r="BE23"/>
      <c r="BF23"/>
      <c r="BG23"/>
      <c r="BH23"/>
      <c r="BI23"/>
      <c r="BL23"/>
      <c r="BN23"/>
      <c r="BO23"/>
      <c r="BP23"/>
    </row>
    <row r="24" spans="1:68" ht="30" x14ac:dyDescent="0.25">
      <c r="A24"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IDPsSD06132</v>
      </c>
      <c r="B24" s="127" t="s">
        <v>141</v>
      </c>
      <c r="C24" s="60" t="s">
        <v>123</v>
      </c>
      <c r="D24" s="60" t="s">
        <v>154</v>
      </c>
      <c r="E24" s="60" t="s">
        <v>153</v>
      </c>
      <c r="F24" s="54"/>
      <c r="G24" s="30"/>
      <c r="H24" s="56">
        <v>111818</v>
      </c>
      <c r="I24" s="37" t="s">
        <v>88</v>
      </c>
      <c r="J24" s="34">
        <v>101587</v>
      </c>
      <c r="K24" s="116">
        <v>43351.838599999995</v>
      </c>
      <c r="L24" s="114">
        <v>111818</v>
      </c>
      <c r="M24" s="114">
        <v>111818</v>
      </c>
      <c r="N24" s="114">
        <v>10885</v>
      </c>
      <c r="O24" s="114">
        <v>111818</v>
      </c>
      <c r="P24" s="114">
        <v>61500</v>
      </c>
      <c r="Q24" s="114">
        <v>44259</v>
      </c>
      <c r="R24" s="114">
        <v>44727.200000000004</v>
      </c>
      <c r="S24" s="114">
        <v>67091</v>
      </c>
      <c r="T24" s="196">
        <v>132893.45663999999</v>
      </c>
      <c r="U24" s="52">
        <f>IFERROR(INDEX(tblPiNAnalysis[[Site Management ]], MATCH(tblPiNHistorical[[#This Row],[ID]], tblPiNAnalysis[ID], 0)), "")</f>
        <v>0</v>
      </c>
      <c r="V24" s="52">
        <f>IFERROR(INDEX(tblPiNAnalysis[Education], MATCH(tblPiNHistorical[[#This Row],[ID]], tblPiNAnalysis[ID], 0)), "")</f>
        <v>0</v>
      </c>
      <c r="W24" s="28">
        <f>IFERROR(INDEX(tblPiNAnalysis[Food Security and Livlihoods], MATCH(tblPiNHistorical[[#This Row],[ID]], tblPiNAnalysis[ID], 0)), "")</f>
        <v>0</v>
      </c>
      <c r="X24" s="28">
        <f>IFERROR(INDEX(tblPiNAnalysis[[Health ]], MATCH(tblPiNHistorical[[#This Row],[ID]], tblPiNAnalysis[ID], 0)), "")</f>
        <v>0</v>
      </c>
      <c r="Y24" s="28">
        <f>IFERROR(INDEX(tblPiNAnalysis[Nutrition], MATCH(tblPiNHistorical[[#This Row],[ID]], tblPiNAnalysis[ID], 0)), "")</f>
        <v>0</v>
      </c>
      <c r="Z24" s="28">
        <f>IFERROR(INDEX(tblPiNAnalysis[Protection], MATCH(tblPiNHistorical[[#This Row],[ID]], tblPiNAnalysis[ID], 0)), "")</f>
        <v>0</v>
      </c>
      <c r="AA24" s="28">
        <f>IFERROR(INDEX(tblPiNAnalysis[CP], MATCH(tblPiNHistorical[[#This Row],[ID]], tblPiNAnalysis[ID], 0)), "")</f>
        <v>0</v>
      </c>
      <c r="AB24" s="83">
        <f>IFERROR(INDEX(tblPiNAnalysis[GBV], MATCH(tblPiNHistorical[[#This Row],[ID]], tblPiNAnalysis[ID], 0)), "")</f>
        <v>0</v>
      </c>
      <c r="AC24" s="28">
        <f>IFERROR(INDEX(tblPiNAnalysis[Mine Action], MATCH(tblPiNHistorical[[#This Row],[ID]], tblPiNAnalysis[ID], 0)), "")</f>
        <v>0</v>
      </c>
      <c r="AD24" s="83">
        <f>IFERROR(INDEX(tblPiNAnalysis[[Shelter NFI ]], MATCH(tblPiNHistorical[[#This Row],[ID]], tblPiNAnalysis[ID], 0)), "")</f>
        <v>70815</v>
      </c>
      <c r="AE24" s="35">
        <f>IFERROR(INDEX(tblPiNAnalysis[WASH], MATCH(tblPiNHistorical[[#This Row],[ID]], tblPiNAnalysis[ID], 0)), "")</f>
        <v>0</v>
      </c>
      <c r="AF24" s="6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24" s="67" t="str">
        <f>IF(OR(tblPiNHistorical[[#This Row],[Education Old]]="", tblPiNHistorical[[#This Row],[Education Old]]=0, tblPiNHistorical[[#This Row],[Education New]]="", tblPiNHistorical[[#This Row],[Education New]]=0), "", tblPiNHistorical[[#This Row],[Education New]]-tblPiNHistorical[[#This Row],[Education Old]])</f>
        <v/>
      </c>
      <c r="AH24" s="67"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24" s="67" t="str">
        <f>IF(OR(tblPiNHistorical[[#This Row],[Health Old]]="", tblPiNHistorical[[#This Row],[Health Old]]=0, tblPiNHistorical[[#This Row],[Health New]]="", tblPiNHistorical[[#This Row],[Health New]]=0), "", tblPiNHistorical[[#This Row],[Health New]]-tblPiNHistorical[[#This Row],[Health Old]])</f>
        <v/>
      </c>
      <c r="AJ24" s="67" t="str">
        <f>IF(OR(tblPiNHistorical[[#This Row],[Nutrition Old]]="", tblPiNHistorical[[#This Row],[Nutrition Old]]=0, tblPiNHistorical[[#This Row],[Nutrition New]]="", tblPiNHistorical[[#This Row],[Nutrition New]]=0), "", tblPiNHistorical[[#This Row],[Nutrition New]]-tblPiNHistorical[[#This Row],[Nutrition Old]])</f>
        <v/>
      </c>
      <c r="AK24" s="67" t="str">
        <f>IF(OR(tblPiNHistorical[[#This Row],[Protection Old]]="", tblPiNHistorical[[#This Row],[Protection Old]]=0, tblPiNHistorical[[#This Row],[Protection New]]="", tblPiNHistorical[[#This Row],[Protection New]]=0), "", tblPiNHistorical[[#This Row],[Protection New]]-tblPiNHistorical[[#This Row],[Protection Old]])</f>
        <v/>
      </c>
      <c r="AL24" s="67" t="str">
        <f>IF(OR(tblPiNHistorical[[#This Row],[CP Old ]]="", tblPiNHistorical[[#This Row],[CP Old ]]=0, tblPiNHistorical[[#This Row],[CP New]]="", tblPiNHistorical[[#This Row],[CP New]]=0), "", tblPiNHistorical[[#This Row],[CP New]]-tblPiNHistorical[[#This Row],[CP Old ]])</f>
        <v/>
      </c>
      <c r="AM24" s="83" t="str">
        <f>IF(OR(tblPiNHistorical[[#This Row],[GBV Old]]="", tblPiNHistorical[[#This Row],[GBV Old]]=0, tblPiNHistorical[[#This Row],[GBV New]]="", tblPiNHistorical[[#This Row],[GBV New]]=0), "", tblPiNHistorical[[#This Row],[GBV New]]-tblPiNHistorical[[#This Row],[GBV Old]])</f>
        <v/>
      </c>
      <c r="AN24" s="83" t="str">
        <f>IF(OR(tblPiNHistorical[[#This Row],[Mine Action Old]]="", tblPiNHistorical[[#This Row],[Mine Action Old]]=0, tblPiNHistorical[[#This Row],[Mine Action New]]="", tblPiNHistorical[[#This Row],[Mine Action New]]=0), "", tblPiNHistorical[[#This Row],[Mine Action New]]-tblPiNHistorical[[#This Row],[Mine Action Old]])</f>
        <v/>
      </c>
      <c r="AO24" s="67">
        <f>IF(OR(tblPiNHistorical[[#This Row],[Shelter NFI Old]]="", tblPiNHistorical[[#This Row],[Shelter NFI Old]]=0, tblPiNHistorical[[#This Row],[Shelter NFI New]]="", tblPiNHistorical[[#This Row],[Shelter NFI New]]=0), "", tblPiNHistorical[[#This Row],[Shelter NFI New]]-tblPiNHistorical[[#This Row],[Shelter NFI Old]])</f>
        <v>3724</v>
      </c>
      <c r="AP24" s="111" t="str">
        <f>IF(OR(tblPiNHistorical[[#This Row],[WASH Old]]="", tblPiNHistorical[[#This Row],[WASH Old]]=0, tblPiNHistorical[[#This Row],[WASH New]]="", tblPiNHistorical[[#This Row],[WASH New]]=0), "", tblPiNHistorical[[#This Row],[WASH New]]-tblPiNHistorical[[#This Row],[WASH Old]])</f>
        <v/>
      </c>
      <c r="AQ24" s="110">
        <f>IFERROR(ROUND((tblPiNHistorical[[#This Row],[Site Management - New]] - tblPiNHistorical[[#This Row],[Site Management - Old]])/tblPiNHistorical[[#This Row],[Site Management - Old]], 1), "")</f>
        <v>-1</v>
      </c>
      <c r="AR24" s="66">
        <f>IFERROR(ROUND((tblPiNHistorical[[#This Row],[Education New]]-tblPiNHistorical[[#This Row],[Education Old]])/tblPiNHistorical[[#This Row],[Education Old]], 1), "")</f>
        <v>-1</v>
      </c>
      <c r="AS24" s="66">
        <f>IFERROR(ROUND((tblPiNHistorical[[#This Row],[Food Security and Livlihoods New]]-tblPiNHistorical[[#This Row],[Food Security and Livlihoods Old]])/tblPiNHistorical[[#This Row],[Food Security and Livlihoods Old]], 1), "")</f>
        <v>-1</v>
      </c>
      <c r="AT24" s="66">
        <f>IFERROR(ROUND((tblPiNHistorical[[#This Row],[Health New]]-tblPiNHistorical[[#This Row],[Health Old]])/tblPiNHistorical[[#This Row],[Health Old]], 1), "")</f>
        <v>-1</v>
      </c>
      <c r="AU24" s="66">
        <f>IFERROR(ROUND((tblPiNHistorical[[#This Row],[Nutrition New]]-tblPiNHistorical[[#This Row],[Nutrition Old]])/tblPiNHistorical[[#This Row],[Nutrition Old]], 1), "")</f>
        <v>-1</v>
      </c>
      <c r="AV24" s="66">
        <f>IFERROR(ROUND((tblPiNHistorical[[#This Row],[Protection New]]-tblPiNHistorical[[#This Row],[Protection Old]])/tblPiNHistorical[[#This Row],[Protection Old]], 1), "")</f>
        <v>-1</v>
      </c>
      <c r="AW24" s="84">
        <f>IFERROR(ROUND((tblPiNHistorical[[#This Row],[CP New]]-tblPiNHistorical[[#This Row],[CP Old ]])/tblPiNHistorical[[#This Row],[CP Old ]], 1), "")</f>
        <v>-1</v>
      </c>
      <c r="AX24" s="84">
        <f>IFERROR(ROUND((tblPiNHistorical[[#This Row],[GBV New]]-tblPiNHistorical[[#This Row],[GBV Old]])/tblPiNHistorical[[#This Row],[GBV Old]], 1), "")</f>
        <v>-1</v>
      </c>
      <c r="AY24" s="84">
        <f>IFERROR(ROUND((tblPiNHistorical[[#This Row],[Mine Action New]]-tblPiNHistorical[[#This Row],[Mine Action Old]])/tblPiNHistorical[[#This Row],[Mine Action Old]], 1), "")</f>
        <v>-1</v>
      </c>
      <c r="AZ24" s="66">
        <f>IFERROR(ROUND((tblPiNHistorical[[#This Row],[Shelter NFI New]]-tblPiNHistorical[[#This Row],[Shelter NFI Old]])/tblPiNHistorical[[#This Row],[Shelter NFI Old]], 1), "")</f>
        <v>0.1</v>
      </c>
      <c r="BA24" s="36">
        <f>IFERROR(ROUND((tblPiNHistorical[[#This Row],[WASH New]]-tblPiNHistorical[[#This Row],[WASH Old]])/tblPiNHistorical[[#This Row],[WASH Old]], 1), "")</f>
        <v>-1</v>
      </c>
      <c r="BB24"/>
      <c r="BC24"/>
      <c r="BD24"/>
      <c r="BE24"/>
      <c r="BF24"/>
      <c r="BG24"/>
      <c r="BH24"/>
      <c r="BI24"/>
      <c r="BL24"/>
      <c r="BN24"/>
      <c r="BO24"/>
      <c r="BP24"/>
    </row>
    <row r="25" spans="1:68" x14ac:dyDescent="0.25">
      <c r="A25"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IDPsSD06135</v>
      </c>
      <c r="B25" s="127" t="s">
        <v>141</v>
      </c>
      <c r="C25" s="60" t="s">
        <v>123</v>
      </c>
      <c r="D25" s="60" t="s">
        <v>157</v>
      </c>
      <c r="E25" s="60" t="s">
        <v>156</v>
      </c>
      <c r="F25" s="54"/>
      <c r="G25" s="30"/>
      <c r="H25" s="56">
        <v>50328</v>
      </c>
      <c r="I25" s="37" t="s">
        <v>88</v>
      </c>
      <c r="J25" s="34">
        <v>17354</v>
      </c>
      <c r="K25" s="116">
        <v>19512.1656</v>
      </c>
      <c r="L25" s="114">
        <v>50328</v>
      </c>
      <c r="M25" s="114">
        <v>50328</v>
      </c>
      <c r="N25" s="114">
        <v>6997</v>
      </c>
      <c r="O25" s="114">
        <v>50328</v>
      </c>
      <c r="P25" s="114">
        <v>27680</v>
      </c>
      <c r="Q25" s="114">
        <v>19920</v>
      </c>
      <c r="R25" s="114">
        <v>25164</v>
      </c>
      <c r="S25" s="114">
        <v>30197</v>
      </c>
      <c r="T25" s="196">
        <v>60284.891519999997</v>
      </c>
      <c r="U25" s="52">
        <f>IFERROR(INDEX(tblPiNAnalysis[[Site Management ]], MATCH(tblPiNHistorical[[#This Row],[ID]], tblPiNAnalysis[ID], 0)), "")</f>
        <v>0</v>
      </c>
      <c r="V25" s="52">
        <f>IFERROR(INDEX(tblPiNAnalysis[Education], MATCH(tblPiNHistorical[[#This Row],[ID]], tblPiNAnalysis[ID], 0)), "")</f>
        <v>0</v>
      </c>
      <c r="W25" s="28">
        <f>IFERROR(INDEX(tblPiNAnalysis[Food Security and Livlihoods], MATCH(tblPiNHistorical[[#This Row],[ID]], tblPiNAnalysis[ID], 0)), "")</f>
        <v>0</v>
      </c>
      <c r="X25" s="28">
        <f>IFERROR(INDEX(tblPiNAnalysis[[Health ]], MATCH(tblPiNHistorical[[#This Row],[ID]], tblPiNAnalysis[ID], 0)), "")</f>
        <v>0</v>
      </c>
      <c r="Y25" s="28">
        <f>IFERROR(INDEX(tblPiNAnalysis[Nutrition], MATCH(tblPiNHistorical[[#This Row],[ID]], tblPiNAnalysis[ID], 0)), "")</f>
        <v>0</v>
      </c>
      <c r="Z25" s="28">
        <f>IFERROR(INDEX(tblPiNAnalysis[Protection], MATCH(tblPiNHistorical[[#This Row],[ID]], tblPiNAnalysis[ID], 0)), "")</f>
        <v>0</v>
      </c>
      <c r="AA25" s="28">
        <f>IFERROR(INDEX(tblPiNAnalysis[CP], MATCH(tblPiNHistorical[[#This Row],[ID]], tblPiNAnalysis[ID], 0)), "")</f>
        <v>0</v>
      </c>
      <c r="AB25" s="83">
        <f>IFERROR(INDEX(tblPiNAnalysis[GBV], MATCH(tblPiNHistorical[[#This Row],[ID]], tblPiNAnalysis[ID], 0)), "")</f>
        <v>0</v>
      </c>
      <c r="AC25" s="28">
        <f>IFERROR(INDEX(tblPiNAnalysis[Mine Action], MATCH(tblPiNHistorical[[#This Row],[ID]], tblPiNAnalysis[ID], 0)), "")</f>
        <v>0</v>
      </c>
      <c r="AD25" s="83">
        <f>IFERROR(INDEX(tblPiNAnalysis[[Shelter NFI ]], MATCH(tblPiNHistorical[[#This Row],[ID]], tblPiNAnalysis[ID], 0)), "")</f>
        <v>30304</v>
      </c>
      <c r="AE25" s="35">
        <f>IFERROR(INDEX(tblPiNAnalysis[WASH], MATCH(tblPiNHistorical[[#This Row],[ID]], tblPiNAnalysis[ID], 0)), "")</f>
        <v>0</v>
      </c>
      <c r="AF25" s="6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25" s="67" t="str">
        <f>IF(OR(tblPiNHistorical[[#This Row],[Education Old]]="", tblPiNHistorical[[#This Row],[Education Old]]=0, tblPiNHistorical[[#This Row],[Education New]]="", tblPiNHistorical[[#This Row],[Education New]]=0), "", tblPiNHistorical[[#This Row],[Education New]]-tblPiNHistorical[[#This Row],[Education Old]])</f>
        <v/>
      </c>
      <c r="AH25" s="67"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25" s="67" t="str">
        <f>IF(OR(tblPiNHistorical[[#This Row],[Health Old]]="", tblPiNHistorical[[#This Row],[Health Old]]=0, tblPiNHistorical[[#This Row],[Health New]]="", tblPiNHistorical[[#This Row],[Health New]]=0), "", tblPiNHistorical[[#This Row],[Health New]]-tblPiNHistorical[[#This Row],[Health Old]])</f>
        <v/>
      </c>
      <c r="AJ25" s="67" t="str">
        <f>IF(OR(tblPiNHistorical[[#This Row],[Nutrition Old]]="", tblPiNHistorical[[#This Row],[Nutrition Old]]=0, tblPiNHistorical[[#This Row],[Nutrition New]]="", tblPiNHistorical[[#This Row],[Nutrition New]]=0), "", tblPiNHistorical[[#This Row],[Nutrition New]]-tblPiNHistorical[[#This Row],[Nutrition Old]])</f>
        <v/>
      </c>
      <c r="AK25" s="67" t="str">
        <f>IF(OR(tblPiNHistorical[[#This Row],[Protection Old]]="", tblPiNHistorical[[#This Row],[Protection Old]]=0, tblPiNHistorical[[#This Row],[Protection New]]="", tblPiNHistorical[[#This Row],[Protection New]]=0), "", tblPiNHistorical[[#This Row],[Protection New]]-tblPiNHistorical[[#This Row],[Protection Old]])</f>
        <v/>
      </c>
      <c r="AL25" s="67" t="str">
        <f>IF(OR(tblPiNHistorical[[#This Row],[CP Old ]]="", tblPiNHistorical[[#This Row],[CP Old ]]=0, tblPiNHistorical[[#This Row],[CP New]]="", tblPiNHistorical[[#This Row],[CP New]]=0), "", tblPiNHistorical[[#This Row],[CP New]]-tblPiNHistorical[[#This Row],[CP Old ]])</f>
        <v/>
      </c>
      <c r="AM25" s="83" t="str">
        <f>IF(OR(tblPiNHistorical[[#This Row],[GBV Old]]="", tblPiNHistorical[[#This Row],[GBV Old]]=0, tblPiNHistorical[[#This Row],[GBV New]]="", tblPiNHistorical[[#This Row],[GBV New]]=0), "", tblPiNHistorical[[#This Row],[GBV New]]-tblPiNHistorical[[#This Row],[GBV Old]])</f>
        <v/>
      </c>
      <c r="AN25" s="83" t="str">
        <f>IF(OR(tblPiNHistorical[[#This Row],[Mine Action Old]]="", tblPiNHistorical[[#This Row],[Mine Action Old]]=0, tblPiNHistorical[[#This Row],[Mine Action New]]="", tblPiNHistorical[[#This Row],[Mine Action New]]=0), "", tblPiNHistorical[[#This Row],[Mine Action New]]-tblPiNHistorical[[#This Row],[Mine Action Old]])</f>
        <v/>
      </c>
      <c r="AO25" s="67">
        <f>IF(OR(tblPiNHistorical[[#This Row],[Shelter NFI Old]]="", tblPiNHistorical[[#This Row],[Shelter NFI Old]]=0, tblPiNHistorical[[#This Row],[Shelter NFI New]]="", tblPiNHistorical[[#This Row],[Shelter NFI New]]=0), "", tblPiNHistorical[[#This Row],[Shelter NFI New]]-tblPiNHistorical[[#This Row],[Shelter NFI Old]])</f>
        <v>107</v>
      </c>
      <c r="AP25" s="111" t="str">
        <f>IF(OR(tblPiNHistorical[[#This Row],[WASH Old]]="", tblPiNHistorical[[#This Row],[WASH Old]]=0, tblPiNHistorical[[#This Row],[WASH New]]="", tblPiNHistorical[[#This Row],[WASH New]]=0), "", tblPiNHistorical[[#This Row],[WASH New]]-tblPiNHistorical[[#This Row],[WASH Old]])</f>
        <v/>
      </c>
      <c r="AQ25" s="110">
        <f>IFERROR(ROUND((tblPiNHistorical[[#This Row],[Site Management - New]] - tblPiNHistorical[[#This Row],[Site Management - Old]])/tblPiNHistorical[[#This Row],[Site Management - Old]], 1), "")</f>
        <v>-1</v>
      </c>
      <c r="AR25" s="66">
        <f>IFERROR(ROUND((tblPiNHistorical[[#This Row],[Education New]]-tblPiNHistorical[[#This Row],[Education Old]])/tblPiNHistorical[[#This Row],[Education Old]], 1), "")</f>
        <v>-1</v>
      </c>
      <c r="AS25" s="66">
        <f>IFERROR(ROUND((tblPiNHistorical[[#This Row],[Food Security and Livlihoods New]]-tblPiNHistorical[[#This Row],[Food Security and Livlihoods Old]])/tblPiNHistorical[[#This Row],[Food Security and Livlihoods Old]], 1), "")</f>
        <v>-1</v>
      </c>
      <c r="AT25" s="66">
        <f>IFERROR(ROUND((tblPiNHistorical[[#This Row],[Health New]]-tblPiNHistorical[[#This Row],[Health Old]])/tblPiNHistorical[[#This Row],[Health Old]], 1), "")</f>
        <v>-1</v>
      </c>
      <c r="AU25" s="66">
        <f>IFERROR(ROUND((tblPiNHistorical[[#This Row],[Nutrition New]]-tblPiNHistorical[[#This Row],[Nutrition Old]])/tblPiNHistorical[[#This Row],[Nutrition Old]], 1), "")</f>
        <v>-1</v>
      </c>
      <c r="AV25" s="66">
        <f>IFERROR(ROUND((tblPiNHistorical[[#This Row],[Protection New]]-tblPiNHistorical[[#This Row],[Protection Old]])/tblPiNHistorical[[#This Row],[Protection Old]], 1), "")</f>
        <v>-1</v>
      </c>
      <c r="AW25" s="84">
        <f>IFERROR(ROUND((tblPiNHistorical[[#This Row],[CP New]]-tblPiNHistorical[[#This Row],[CP Old ]])/tblPiNHistorical[[#This Row],[CP Old ]], 1), "")</f>
        <v>-1</v>
      </c>
      <c r="AX25" s="84">
        <f>IFERROR(ROUND((tblPiNHistorical[[#This Row],[GBV New]]-tblPiNHistorical[[#This Row],[GBV Old]])/tblPiNHistorical[[#This Row],[GBV Old]], 1), "")</f>
        <v>-1</v>
      </c>
      <c r="AY25" s="84">
        <f>IFERROR(ROUND((tblPiNHistorical[[#This Row],[Mine Action New]]-tblPiNHistorical[[#This Row],[Mine Action Old]])/tblPiNHistorical[[#This Row],[Mine Action Old]], 1), "")</f>
        <v>-1</v>
      </c>
      <c r="AZ25" s="66">
        <f>IFERROR(ROUND((tblPiNHistorical[[#This Row],[Shelter NFI New]]-tblPiNHistorical[[#This Row],[Shelter NFI Old]])/tblPiNHistorical[[#This Row],[Shelter NFI Old]], 1), "")</f>
        <v>0</v>
      </c>
      <c r="BA25" s="36">
        <f>IFERROR(ROUND((tblPiNHistorical[[#This Row],[WASH New]]-tblPiNHistorical[[#This Row],[WASH Old]])/tblPiNHistorical[[#This Row],[WASH Old]], 1), "")</f>
        <v>-1</v>
      </c>
      <c r="BB25"/>
      <c r="BC25"/>
      <c r="BD25"/>
      <c r="BE25"/>
      <c r="BF25"/>
      <c r="BG25"/>
      <c r="BH25"/>
      <c r="BI25"/>
      <c r="BL25"/>
      <c r="BN25"/>
      <c r="BO25"/>
      <c r="BP25"/>
    </row>
    <row r="26" spans="1:68" x14ac:dyDescent="0.25">
      <c r="A26"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IDPsSD06137</v>
      </c>
      <c r="B26" s="127" t="s">
        <v>141</v>
      </c>
      <c r="C26" s="60" t="s">
        <v>123</v>
      </c>
      <c r="D26" s="60" t="s">
        <v>160</v>
      </c>
      <c r="E26" s="60" t="s">
        <v>159</v>
      </c>
      <c r="F26" s="54"/>
      <c r="G26" s="30"/>
      <c r="H26" s="56">
        <v>54305.8</v>
      </c>
      <c r="I26" s="37" t="s">
        <v>88</v>
      </c>
      <c r="J26" s="34">
        <v>54306</v>
      </c>
      <c r="K26" s="116">
        <v>21054.358660000002</v>
      </c>
      <c r="L26" s="114">
        <v>54305.8</v>
      </c>
      <c r="M26" s="114">
        <v>54305.8</v>
      </c>
      <c r="N26" s="114">
        <v>6563</v>
      </c>
      <c r="O26" s="114">
        <v>54306</v>
      </c>
      <c r="P26" s="114">
        <v>29868</v>
      </c>
      <c r="Q26" s="114">
        <v>21495</v>
      </c>
      <c r="R26" s="114">
        <v>16291.74</v>
      </c>
      <c r="S26" s="114">
        <v>21722</v>
      </c>
      <c r="T26" s="196">
        <v>36656.414999999994</v>
      </c>
      <c r="U26" s="52">
        <f>IFERROR(INDEX(tblPiNAnalysis[[Site Management ]], MATCH(tblPiNHistorical[[#This Row],[ID]], tblPiNAnalysis[ID], 0)), "")</f>
        <v>0</v>
      </c>
      <c r="V26" s="52">
        <f>IFERROR(INDEX(tblPiNAnalysis[Education], MATCH(tblPiNHistorical[[#This Row],[ID]], tblPiNAnalysis[ID], 0)), "")</f>
        <v>0</v>
      </c>
      <c r="W26" s="28">
        <f>IFERROR(INDEX(tblPiNAnalysis[Food Security and Livlihoods], MATCH(tblPiNHistorical[[#This Row],[ID]], tblPiNAnalysis[ID], 0)), "")</f>
        <v>0</v>
      </c>
      <c r="X26" s="28">
        <f>IFERROR(INDEX(tblPiNAnalysis[[Health ]], MATCH(tblPiNHistorical[[#This Row],[ID]], tblPiNAnalysis[ID], 0)), "")</f>
        <v>0</v>
      </c>
      <c r="Y26" s="28">
        <f>IFERROR(INDEX(tblPiNAnalysis[Nutrition], MATCH(tblPiNHistorical[[#This Row],[ID]], tblPiNAnalysis[ID], 0)), "")</f>
        <v>0</v>
      </c>
      <c r="Z26" s="28">
        <f>IFERROR(INDEX(tblPiNAnalysis[Protection], MATCH(tblPiNHistorical[[#This Row],[ID]], tblPiNAnalysis[ID], 0)), "")</f>
        <v>0</v>
      </c>
      <c r="AA26" s="28">
        <f>IFERROR(INDEX(tblPiNAnalysis[CP], MATCH(tblPiNHistorical[[#This Row],[ID]], tblPiNAnalysis[ID], 0)), "")</f>
        <v>0</v>
      </c>
      <c r="AB26" s="83">
        <f>IFERROR(INDEX(tblPiNAnalysis[GBV], MATCH(tblPiNHistorical[[#This Row],[ID]], tblPiNAnalysis[ID], 0)), "")</f>
        <v>0</v>
      </c>
      <c r="AC26" s="28">
        <f>IFERROR(INDEX(tblPiNAnalysis[Mine Action], MATCH(tblPiNHistorical[[#This Row],[ID]], tblPiNAnalysis[ID], 0)), "")</f>
        <v>0</v>
      </c>
      <c r="AD26" s="83">
        <f>IFERROR(INDEX(tblPiNAnalysis[[Shelter NFI ]], MATCH(tblPiNHistorical[[#This Row],[ID]], tblPiNAnalysis[ID], 0)), "")</f>
        <v>34456</v>
      </c>
      <c r="AE26" s="35">
        <f>IFERROR(INDEX(tblPiNAnalysis[WASH], MATCH(tblPiNHistorical[[#This Row],[ID]], tblPiNAnalysis[ID], 0)), "")</f>
        <v>0</v>
      </c>
      <c r="AF26" s="6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26" s="67" t="str">
        <f>IF(OR(tblPiNHistorical[[#This Row],[Education Old]]="", tblPiNHistorical[[#This Row],[Education Old]]=0, tblPiNHistorical[[#This Row],[Education New]]="", tblPiNHistorical[[#This Row],[Education New]]=0), "", tblPiNHistorical[[#This Row],[Education New]]-tblPiNHistorical[[#This Row],[Education Old]])</f>
        <v/>
      </c>
      <c r="AH26" s="67"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26" s="67" t="str">
        <f>IF(OR(tblPiNHistorical[[#This Row],[Health Old]]="", tblPiNHistorical[[#This Row],[Health Old]]=0, tblPiNHistorical[[#This Row],[Health New]]="", tblPiNHistorical[[#This Row],[Health New]]=0), "", tblPiNHistorical[[#This Row],[Health New]]-tblPiNHistorical[[#This Row],[Health Old]])</f>
        <v/>
      </c>
      <c r="AJ26" s="67" t="str">
        <f>IF(OR(tblPiNHistorical[[#This Row],[Nutrition Old]]="", tblPiNHistorical[[#This Row],[Nutrition Old]]=0, tblPiNHistorical[[#This Row],[Nutrition New]]="", tblPiNHistorical[[#This Row],[Nutrition New]]=0), "", tblPiNHistorical[[#This Row],[Nutrition New]]-tblPiNHistorical[[#This Row],[Nutrition Old]])</f>
        <v/>
      </c>
      <c r="AK26" s="67" t="str">
        <f>IF(OR(tblPiNHistorical[[#This Row],[Protection Old]]="", tblPiNHistorical[[#This Row],[Protection Old]]=0, tblPiNHistorical[[#This Row],[Protection New]]="", tblPiNHistorical[[#This Row],[Protection New]]=0), "", tblPiNHistorical[[#This Row],[Protection New]]-tblPiNHistorical[[#This Row],[Protection Old]])</f>
        <v/>
      </c>
      <c r="AL26" s="67" t="str">
        <f>IF(OR(tblPiNHistorical[[#This Row],[CP Old ]]="", tblPiNHistorical[[#This Row],[CP Old ]]=0, tblPiNHistorical[[#This Row],[CP New]]="", tblPiNHistorical[[#This Row],[CP New]]=0), "", tblPiNHistorical[[#This Row],[CP New]]-tblPiNHistorical[[#This Row],[CP Old ]])</f>
        <v/>
      </c>
      <c r="AM26" s="83" t="str">
        <f>IF(OR(tblPiNHistorical[[#This Row],[GBV Old]]="", tblPiNHistorical[[#This Row],[GBV Old]]=0, tblPiNHistorical[[#This Row],[GBV New]]="", tblPiNHistorical[[#This Row],[GBV New]]=0), "", tblPiNHistorical[[#This Row],[GBV New]]-tblPiNHistorical[[#This Row],[GBV Old]])</f>
        <v/>
      </c>
      <c r="AN26" s="83" t="str">
        <f>IF(OR(tblPiNHistorical[[#This Row],[Mine Action Old]]="", tblPiNHistorical[[#This Row],[Mine Action Old]]=0, tblPiNHistorical[[#This Row],[Mine Action New]]="", tblPiNHistorical[[#This Row],[Mine Action New]]=0), "", tblPiNHistorical[[#This Row],[Mine Action New]]-tblPiNHistorical[[#This Row],[Mine Action Old]])</f>
        <v/>
      </c>
      <c r="AO26" s="67">
        <f>IF(OR(tblPiNHistorical[[#This Row],[Shelter NFI Old]]="", tblPiNHistorical[[#This Row],[Shelter NFI Old]]=0, tblPiNHistorical[[#This Row],[Shelter NFI New]]="", tblPiNHistorical[[#This Row],[Shelter NFI New]]=0), "", tblPiNHistorical[[#This Row],[Shelter NFI New]]-tblPiNHistorical[[#This Row],[Shelter NFI Old]])</f>
        <v>12734</v>
      </c>
      <c r="AP26" s="111" t="str">
        <f>IF(OR(tblPiNHistorical[[#This Row],[WASH Old]]="", tblPiNHistorical[[#This Row],[WASH Old]]=0, tblPiNHistorical[[#This Row],[WASH New]]="", tblPiNHistorical[[#This Row],[WASH New]]=0), "", tblPiNHistorical[[#This Row],[WASH New]]-tblPiNHistorical[[#This Row],[WASH Old]])</f>
        <v/>
      </c>
      <c r="AQ26" s="110">
        <f>IFERROR(ROUND((tblPiNHistorical[[#This Row],[Site Management - New]] - tblPiNHistorical[[#This Row],[Site Management - Old]])/tblPiNHistorical[[#This Row],[Site Management - Old]], 1), "")</f>
        <v>-1</v>
      </c>
      <c r="AR26" s="66">
        <f>IFERROR(ROUND((tblPiNHistorical[[#This Row],[Education New]]-tblPiNHistorical[[#This Row],[Education Old]])/tblPiNHistorical[[#This Row],[Education Old]], 1), "")</f>
        <v>-1</v>
      </c>
      <c r="AS26" s="66">
        <f>IFERROR(ROUND((tblPiNHistorical[[#This Row],[Food Security and Livlihoods New]]-tblPiNHistorical[[#This Row],[Food Security and Livlihoods Old]])/tblPiNHistorical[[#This Row],[Food Security and Livlihoods Old]], 1), "")</f>
        <v>-1</v>
      </c>
      <c r="AT26" s="66">
        <f>IFERROR(ROUND((tblPiNHistorical[[#This Row],[Health New]]-tblPiNHistorical[[#This Row],[Health Old]])/tblPiNHistorical[[#This Row],[Health Old]], 1), "")</f>
        <v>-1</v>
      </c>
      <c r="AU26" s="66">
        <f>IFERROR(ROUND((tblPiNHistorical[[#This Row],[Nutrition New]]-tblPiNHistorical[[#This Row],[Nutrition Old]])/tblPiNHistorical[[#This Row],[Nutrition Old]], 1), "")</f>
        <v>-1</v>
      </c>
      <c r="AV26" s="66">
        <f>IFERROR(ROUND((tblPiNHistorical[[#This Row],[Protection New]]-tblPiNHistorical[[#This Row],[Protection Old]])/tblPiNHistorical[[#This Row],[Protection Old]], 1), "")</f>
        <v>-1</v>
      </c>
      <c r="AW26" s="84">
        <f>IFERROR(ROUND((tblPiNHistorical[[#This Row],[CP New]]-tblPiNHistorical[[#This Row],[CP Old ]])/tblPiNHistorical[[#This Row],[CP Old ]], 1), "")</f>
        <v>-1</v>
      </c>
      <c r="AX26" s="84">
        <f>IFERROR(ROUND((tblPiNHistorical[[#This Row],[GBV New]]-tblPiNHistorical[[#This Row],[GBV Old]])/tblPiNHistorical[[#This Row],[GBV Old]], 1), "")</f>
        <v>-1</v>
      </c>
      <c r="AY26" s="84">
        <f>IFERROR(ROUND((tblPiNHistorical[[#This Row],[Mine Action New]]-tblPiNHistorical[[#This Row],[Mine Action Old]])/tblPiNHistorical[[#This Row],[Mine Action Old]], 1), "")</f>
        <v>-1</v>
      </c>
      <c r="AZ26" s="66">
        <f>IFERROR(ROUND((tblPiNHistorical[[#This Row],[Shelter NFI New]]-tblPiNHistorical[[#This Row],[Shelter NFI Old]])/tblPiNHistorical[[#This Row],[Shelter NFI Old]], 1), "")</f>
        <v>0.6</v>
      </c>
      <c r="BA26" s="36">
        <f>IFERROR(ROUND((tblPiNHistorical[[#This Row],[WASH New]]-tblPiNHistorical[[#This Row],[WASH Old]])/tblPiNHistorical[[#This Row],[WASH Old]], 1), "")</f>
        <v>-1</v>
      </c>
      <c r="BB26"/>
      <c r="BC26"/>
      <c r="BD26"/>
      <c r="BE26"/>
      <c r="BF26"/>
      <c r="BG26"/>
      <c r="BH26"/>
      <c r="BI26"/>
      <c r="BL26"/>
      <c r="BN26"/>
      <c r="BO26"/>
      <c r="BP26"/>
    </row>
    <row r="27" spans="1:68" ht="30" x14ac:dyDescent="0.25">
      <c r="A27"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IDPsSD06139</v>
      </c>
      <c r="B27" s="127" t="s">
        <v>141</v>
      </c>
      <c r="C27" s="60" t="s">
        <v>123</v>
      </c>
      <c r="D27" s="60" t="s">
        <v>166</v>
      </c>
      <c r="E27" s="60" t="s">
        <v>165</v>
      </c>
      <c r="F27" s="54"/>
      <c r="G27" s="30"/>
      <c r="H27" s="56">
        <v>84830</v>
      </c>
      <c r="I27" s="37" t="s">
        <v>88</v>
      </c>
      <c r="J27" s="34">
        <v>77407</v>
      </c>
      <c r="K27" s="116">
        <v>32888.591</v>
      </c>
      <c r="L27" s="114">
        <v>84830</v>
      </c>
      <c r="M27" s="114">
        <v>84830</v>
      </c>
      <c r="N27" s="114">
        <v>8831</v>
      </c>
      <c r="O27" s="114">
        <v>84830</v>
      </c>
      <c r="P27" s="114">
        <v>46657</v>
      </c>
      <c r="Q27" s="114">
        <v>33576</v>
      </c>
      <c r="R27" s="114">
        <v>33932</v>
      </c>
      <c r="S27" s="114">
        <v>50898</v>
      </c>
      <c r="T27" s="196">
        <v>68539.246799999994</v>
      </c>
      <c r="U27" s="52">
        <f>IFERROR(INDEX(tblPiNAnalysis[[Site Management ]], MATCH(tblPiNHistorical[[#This Row],[ID]], tblPiNAnalysis[ID], 0)), "")</f>
        <v>0</v>
      </c>
      <c r="V27" s="52">
        <f>IFERROR(INDEX(tblPiNAnalysis[Education], MATCH(tblPiNHistorical[[#This Row],[ID]], tblPiNAnalysis[ID], 0)), "")</f>
        <v>0</v>
      </c>
      <c r="W27" s="28">
        <f>IFERROR(INDEX(tblPiNAnalysis[Food Security and Livlihoods], MATCH(tblPiNHistorical[[#This Row],[ID]], tblPiNAnalysis[ID], 0)), "")</f>
        <v>0</v>
      </c>
      <c r="X27" s="28">
        <f>IFERROR(INDEX(tblPiNAnalysis[[Health ]], MATCH(tblPiNHistorical[[#This Row],[ID]], tblPiNAnalysis[ID], 0)), "")</f>
        <v>0</v>
      </c>
      <c r="Y27" s="28">
        <f>IFERROR(INDEX(tblPiNAnalysis[Nutrition], MATCH(tblPiNHistorical[[#This Row],[ID]], tblPiNAnalysis[ID], 0)), "")</f>
        <v>0</v>
      </c>
      <c r="Z27" s="28">
        <f>IFERROR(INDEX(tblPiNAnalysis[Protection], MATCH(tblPiNHistorical[[#This Row],[ID]], tblPiNAnalysis[ID], 0)), "")</f>
        <v>0</v>
      </c>
      <c r="AA27" s="28">
        <f>IFERROR(INDEX(tblPiNAnalysis[CP], MATCH(tblPiNHistorical[[#This Row],[ID]], tblPiNAnalysis[ID], 0)), "")</f>
        <v>0</v>
      </c>
      <c r="AB27" s="83">
        <f>IFERROR(INDEX(tblPiNAnalysis[GBV], MATCH(tblPiNHistorical[[#This Row],[ID]], tblPiNAnalysis[ID], 0)), "")</f>
        <v>0</v>
      </c>
      <c r="AC27" s="28">
        <f>IFERROR(INDEX(tblPiNAnalysis[Mine Action], MATCH(tblPiNHistorical[[#This Row],[ID]], tblPiNAnalysis[ID], 0)), "")</f>
        <v>0</v>
      </c>
      <c r="AD27" s="83">
        <f>IFERROR(INDEX(tblPiNAnalysis[[Shelter NFI ]], MATCH(tblPiNHistorical[[#This Row],[ID]], tblPiNAnalysis[ID], 0)), "")</f>
        <v>139538</v>
      </c>
      <c r="AE27" s="35">
        <f>IFERROR(INDEX(tblPiNAnalysis[WASH], MATCH(tblPiNHistorical[[#This Row],[ID]], tblPiNAnalysis[ID], 0)), "")</f>
        <v>0</v>
      </c>
      <c r="AF27" s="6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27" s="67" t="str">
        <f>IF(OR(tblPiNHistorical[[#This Row],[Education Old]]="", tblPiNHistorical[[#This Row],[Education Old]]=0, tblPiNHistorical[[#This Row],[Education New]]="", tblPiNHistorical[[#This Row],[Education New]]=0), "", tblPiNHistorical[[#This Row],[Education New]]-tblPiNHistorical[[#This Row],[Education Old]])</f>
        <v/>
      </c>
      <c r="AH27" s="67"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27" s="67" t="str">
        <f>IF(OR(tblPiNHistorical[[#This Row],[Health Old]]="", tblPiNHistorical[[#This Row],[Health Old]]=0, tblPiNHistorical[[#This Row],[Health New]]="", tblPiNHistorical[[#This Row],[Health New]]=0), "", tblPiNHistorical[[#This Row],[Health New]]-tblPiNHistorical[[#This Row],[Health Old]])</f>
        <v/>
      </c>
      <c r="AJ27" s="67" t="str">
        <f>IF(OR(tblPiNHistorical[[#This Row],[Nutrition Old]]="", tblPiNHistorical[[#This Row],[Nutrition Old]]=0, tblPiNHistorical[[#This Row],[Nutrition New]]="", tblPiNHistorical[[#This Row],[Nutrition New]]=0), "", tblPiNHistorical[[#This Row],[Nutrition New]]-tblPiNHistorical[[#This Row],[Nutrition Old]])</f>
        <v/>
      </c>
      <c r="AK27" s="67" t="str">
        <f>IF(OR(tblPiNHistorical[[#This Row],[Protection Old]]="", tblPiNHistorical[[#This Row],[Protection Old]]=0, tblPiNHistorical[[#This Row],[Protection New]]="", tblPiNHistorical[[#This Row],[Protection New]]=0), "", tblPiNHistorical[[#This Row],[Protection New]]-tblPiNHistorical[[#This Row],[Protection Old]])</f>
        <v/>
      </c>
      <c r="AL27" s="67" t="str">
        <f>IF(OR(tblPiNHistorical[[#This Row],[CP Old ]]="", tblPiNHistorical[[#This Row],[CP Old ]]=0, tblPiNHistorical[[#This Row],[CP New]]="", tblPiNHistorical[[#This Row],[CP New]]=0), "", tblPiNHistorical[[#This Row],[CP New]]-tblPiNHistorical[[#This Row],[CP Old ]])</f>
        <v/>
      </c>
      <c r="AM27" s="83" t="str">
        <f>IF(OR(tblPiNHistorical[[#This Row],[GBV Old]]="", tblPiNHistorical[[#This Row],[GBV Old]]=0, tblPiNHistorical[[#This Row],[GBV New]]="", tblPiNHistorical[[#This Row],[GBV New]]=0), "", tblPiNHistorical[[#This Row],[GBV New]]-tblPiNHistorical[[#This Row],[GBV Old]])</f>
        <v/>
      </c>
      <c r="AN27" s="83" t="str">
        <f>IF(OR(tblPiNHistorical[[#This Row],[Mine Action Old]]="", tblPiNHistorical[[#This Row],[Mine Action Old]]=0, tblPiNHistorical[[#This Row],[Mine Action New]]="", tblPiNHistorical[[#This Row],[Mine Action New]]=0), "", tblPiNHistorical[[#This Row],[Mine Action New]]-tblPiNHistorical[[#This Row],[Mine Action Old]])</f>
        <v/>
      </c>
      <c r="AO27" s="67">
        <f>IF(OR(tblPiNHistorical[[#This Row],[Shelter NFI Old]]="", tblPiNHistorical[[#This Row],[Shelter NFI Old]]=0, tblPiNHistorical[[#This Row],[Shelter NFI New]]="", tblPiNHistorical[[#This Row],[Shelter NFI New]]=0), "", tblPiNHistorical[[#This Row],[Shelter NFI New]]-tblPiNHistorical[[#This Row],[Shelter NFI Old]])</f>
        <v>88640</v>
      </c>
      <c r="AP27" s="111" t="str">
        <f>IF(OR(tblPiNHistorical[[#This Row],[WASH Old]]="", tblPiNHistorical[[#This Row],[WASH Old]]=0, tblPiNHistorical[[#This Row],[WASH New]]="", tblPiNHistorical[[#This Row],[WASH New]]=0), "", tblPiNHistorical[[#This Row],[WASH New]]-tblPiNHistorical[[#This Row],[WASH Old]])</f>
        <v/>
      </c>
      <c r="AQ27" s="110">
        <f>IFERROR(ROUND((tblPiNHistorical[[#This Row],[Site Management - New]] - tblPiNHistorical[[#This Row],[Site Management - Old]])/tblPiNHistorical[[#This Row],[Site Management - Old]], 1), "")</f>
        <v>-1</v>
      </c>
      <c r="AR27" s="66">
        <f>IFERROR(ROUND((tblPiNHistorical[[#This Row],[Education New]]-tblPiNHistorical[[#This Row],[Education Old]])/tblPiNHistorical[[#This Row],[Education Old]], 1), "")</f>
        <v>-1</v>
      </c>
      <c r="AS27" s="66">
        <f>IFERROR(ROUND((tblPiNHistorical[[#This Row],[Food Security and Livlihoods New]]-tblPiNHistorical[[#This Row],[Food Security and Livlihoods Old]])/tblPiNHistorical[[#This Row],[Food Security and Livlihoods Old]], 1), "")</f>
        <v>-1</v>
      </c>
      <c r="AT27" s="66">
        <f>IFERROR(ROUND((tblPiNHistorical[[#This Row],[Health New]]-tblPiNHistorical[[#This Row],[Health Old]])/tblPiNHistorical[[#This Row],[Health Old]], 1), "")</f>
        <v>-1</v>
      </c>
      <c r="AU27" s="66">
        <f>IFERROR(ROUND((tblPiNHistorical[[#This Row],[Nutrition New]]-tblPiNHistorical[[#This Row],[Nutrition Old]])/tblPiNHistorical[[#This Row],[Nutrition Old]], 1), "")</f>
        <v>-1</v>
      </c>
      <c r="AV27" s="66">
        <f>IFERROR(ROUND((tblPiNHistorical[[#This Row],[Protection New]]-tblPiNHistorical[[#This Row],[Protection Old]])/tblPiNHistorical[[#This Row],[Protection Old]], 1), "")</f>
        <v>-1</v>
      </c>
      <c r="AW27" s="84">
        <f>IFERROR(ROUND((tblPiNHistorical[[#This Row],[CP New]]-tblPiNHistorical[[#This Row],[CP Old ]])/tblPiNHistorical[[#This Row],[CP Old ]], 1), "")</f>
        <v>-1</v>
      </c>
      <c r="AX27" s="84">
        <f>IFERROR(ROUND((tblPiNHistorical[[#This Row],[GBV New]]-tblPiNHistorical[[#This Row],[GBV Old]])/tblPiNHistorical[[#This Row],[GBV Old]], 1), "")</f>
        <v>-1</v>
      </c>
      <c r="AY27" s="84">
        <f>IFERROR(ROUND((tblPiNHistorical[[#This Row],[Mine Action New]]-tblPiNHistorical[[#This Row],[Mine Action Old]])/tblPiNHistorical[[#This Row],[Mine Action Old]], 1), "")</f>
        <v>-1</v>
      </c>
      <c r="AZ27" s="66">
        <f>IFERROR(ROUND((tblPiNHistorical[[#This Row],[Shelter NFI New]]-tblPiNHistorical[[#This Row],[Shelter NFI Old]])/tblPiNHistorical[[#This Row],[Shelter NFI Old]], 1), "")</f>
        <v>1.7</v>
      </c>
      <c r="BA27" s="36">
        <f>IFERROR(ROUND((tblPiNHistorical[[#This Row],[WASH New]]-tblPiNHistorical[[#This Row],[WASH Old]])/tblPiNHistorical[[#This Row],[WASH Old]], 1), "")</f>
        <v>-1</v>
      </c>
      <c r="BB27"/>
      <c r="BC27"/>
      <c r="BD27"/>
      <c r="BE27"/>
      <c r="BF27"/>
      <c r="BG27"/>
      <c r="BH27"/>
      <c r="BI27"/>
      <c r="BL27"/>
      <c r="BN27"/>
      <c r="BO27"/>
      <c r="BP27"/>
    </row>
    <row r="28" spans="1:68" x14ac:dyDescent="0.25">
      <c r="A28"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IDPsSD06138</v>
      </c>
      <c r="B28" s="127" t="s">
        <v>141</v>
      </c>
      <c r="C28" s="60" t="s">
        <v>123</v>
      </c>
      <c r="D28" s="60" t="s">
        <v>163</v>
      </c>
      <c r="E28" s="60" t="s">
        <v>162</v>
      </c>
      <c r="F28" s="54"/>
      <c r="G28" s="30"/>
      <c r="H28" s="56">
        <v>268763</v>
      </c>
      <c r="I28" s="37" t="s">
        <v>88</v>
      </c>
      <c r="J28" s="34">
        <v>171569</v>
      </c>
      <c r="K28" s="116">
        <v>104199.4151</v>
      </c>
      <c r="L28" s="114">
        <v>268763</v>
      </c>
      <c r="M28" s="114">
        <v>268763</v>
      </c>
      <c r="N28" s="114">
        <v>30992</v>
      </c>
      <c r="O28" s="114">
        <v>268763</v>
      </c>
      <c r="P28" s="114">
        <v>147820</v>
      </c>
      <c r="Q28" s="114">
        <v>127652</v>
      </c>
      <c r="R28" s="114">
        <v>241886.7</v>
      </c>
      <c r="S28" s="114">
        <v>215010</v>
      </c>
      <c r="T28" s="196">
        <v>225470.65596</v>
      </c>
      <c r="U28" s="52">
        <f>IFERROR(INDEX(tblPiNAnalysis[[Site Management ]], MATCH(tblPiNHistorical[[#This Row],[ID]], tblPiNAnalysis[ID], 0)), "")</f>
        <v>0</v>
      </c>
      <c r="V28" s="52">
        <f>IFERROR(INDEX(tblPiNAnalysis[Education], MATCH(tblPiNHistorical[[#This Row],[ID]], tblPiNAnalysis[ID], 0)), "")</f>
        <v>0</v>
      </c>
      <c r="W28" s="28">
        <f>IFERROR(INDEX(tblPiNAnalysis[Food Security and Livlihoods], MATCH(tblPiNHistorical[[#This Row],[ID]], tblPiNAnalysis[ID], 0)), "")</f>
        <v>0</v>
      </c>
      <c r="X28" s="28">
        <f>IFERROR(INDEX(tblPiNAnalysis[[Health ]], MATCH(tblPiNHistorical[[#This Row],[ID]], tblPiNAnalysis[ID], 0)), "")</f>
        <v>0</v>
      </c>
      <c r="Y28" s="28">
        <f>IFERROR(INDEX(tblPiNAnalysis[Nutrition], MATCH(tblPiNHistorical[[#This Row],[ID]], tblPiNAnalysis[ID], 0)), "")</f>
        <v>0</v>
      </c>
      <c r="Z28" s="28">
        <f>IFERROR(INDEX(tblPiNAnalysis[Protection], MATCH(tblPiNHistorical[[#This Row],[ID]], tblPiNAnalysis[ID], 0)), "")</f>
        <v>0</v>
      </c>
      <c r="AA28" s="28">
        <f>IFERROR(INDEX(tblPiNAnalysis[CP], MATCH(tblPiNHistorical[[#This Row],[ID]], tblPiNAnalysis[ID], 0)), "")</f>
        <v>0</v>
      </c>
      <c r="AB28" s="83">
        <f>IFERROR(INDEX(tblPiNAnalysis[GBV], MATCH(tblPiNHistorical[[#This Row],[ID]], tblPiNAnalysis[ID], 0)), "")</f>
        <v>0</v>
      </c>
      <c r="AC28" s="28">
        <f>IFERROR(INDEX(tblPiNAnalysis[Mine Action], MATCH(tblPiNHistorical[[#This Row],[ID]], tblPiNAnalysis[ID], 0)), "")</f>
        <v>0</v>
      </c>
      <c r="AD28" s="83">
        <f>IFERROR(INDEX(tblPiNAnalysis[[Shelter NFI ]], MATCH(tblPiNHistorical[[#This Row],[ID]], tblPiNAnalysis[ID], 0)), "")</f>
        <v>138246</v>
      </c>
      <c r="AE28" s="35">
        <f>IFERROR(INDEX(tblPiNAnalysis[WASH], MATCH(tblPiNHistorical[[#This Row],[ID]], tblPiNAnalysis[ID], 0)), "")</f>
        <v>0</v>
      </c>
      <c r="AF28" s="6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28" s="67" t="str">
        <f>IF(OR(tblPiNHistorical[[#This Row],[Education Old]]="", tblPiNHistorical[[#This Row],[Education Old]]=0, tblPiNHistorical[[#This Row],[Education New]]="", tblPiNHistorical[[#This Row],[Education New]]=0), "", tblPiNHistorical[[#This Row],[Education New]]-tblPiNHistorical[[#This Row],[Education Old]])</f>
        <v/>
      </c>
      <c r="AH28" s="67"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28" s="67" t="str">
        <f>IF(OR(tblPiNHistorical[[#This Row],[Health Old]]="", tblPiNHistorical[[#This Row],[Health Old]]=0, tblPiNHistorical[[#This Row],[Health New]]="", tblPiNHistorical[[#This Row],[Health New]]=0), "", tblPiNHistorical[[#This Row],[Health New]]-tblPiNHistorical[[#This Row],[Health Old]])</f>
        <v/>
      </c>
      <c r="AJ28" s="67" t="str">
        <f>IF(OR(tblPiNHistorical[[#This Row],[Nutrition Old]]="", tblPiNHistorical[[#This Row],[Nutrition Old]]=0, tblPiNHistorical[[#This Row],[Nutrition New]]="", tblPiNHistorical[[#This Row],[Nutrition New]]=0), "", tblPiNHistorical[[#This Row],[Nutrition New]]-tblPiNHistorical[[#This Row],[Nutrition Old]])</f>
        <v/>
      </c>
      <c r="AK28" s="67" t="str">
        <f>IF(OR(tblPiNHistorical[[#This Row],[Protection Old]]="", tblPiNHistorical[[#This Row],[Protection Old]]=0, tblPiNHistorical[[#This Row],[Protection New]]="", tblPiNHistorical[[#This Row],[Protection New]]=0), "", tblPiNHistorical[[#This Row],[Protection New]]-tblPiNHistorical[[#This Row],[Protection Old]])</f>
        <v/>
      </c>
      <c r="AL28" s="67" t="str">
        <f>IF(OR(tblPiNHistorical[[#This Row],[CP Old ]]="", tblPiNHistorical[[#This Row],[CP Old ]]=0, tblPiNHistorical[[#This Row],[CP New]]="", tblPiNHistorical[[#This Row],[CP New]]=0), "", tblPiNHistorical[[#This Row],[CP New]]-tblPiNHistorical[[#This Row],[CP Old ]])</f>
        <v/>
      </c>
      <c r="AM28" s="83" t="str">
        <f>IF(OR(tblPiNHistorical[[#This Row],[GBV Old]]="", tblPiNHistorical[[#This Row],[GBV Old]]=0, tblPiNHistorical[[#This Row],[GBV New]]="", tblPiNHistorical[[#This Row],[GBV New]]=0), "", tblPiNHistorical[[#This Row],[GBV New]]-tblPiNHistorical[[#This Row],[GBV Old]])</f>
        <v/>
      </c>
      <c r="AN28" s="83" t="str">
        <f>IF(OR(tblPiNHistorical[[#This Row],[Mine Action Old]]="", tblPiNHistorical[[#This Row],[Mine Action Old]]=0, tblPiNHistorical[[#This Row],[Mine Action New]]="", tblPiNHistorical[[#This Row],[Mine Action New]]=0), "", tblPiNHistorical[[#This Row],[Mine Action New]]-tblPiNHistorical[[#This Row],[Mine Action Old]])</f>
        <v/>
      </c>
      <c r="AO28" s="67">
        <f>IF(OR(tblPiNHistorical[[#This Row],[Shelter NFI Old]]="", tblPiNHistorical[[#This Row],[Shelter NFI Old]]=0, tblPiNHistorical[[#This Row],[Shelter NFI New]]="", tblPiNHistorical[[#This Row],[Shelter NFI New]]=0), "", tblPiNHistorical[[#This Row],[Shelter NFI New]]-tblPiNHistorical[[#This Row],[Shelter NFI Old]])</f>
        <v>-76764</v>
      </c>
      <c r="AP28" s="111" t="str">
        <f>IF(OR(tblPiNHistorical[[#This Row],[WASH Old]]="", tblPiNHistorical[[#This Row],[WASH Old]]=0, tblPiNHistorical[[#This Row],[WASH New]]="", tblPiNHistorical[[#This Row],[WASH New]]=0), "", tblPiNHistorical[[#This Row],[WASH New]]-tblPiNHistorical[[#This Row],[WASH Old]])</f>
        <v/>
      </c>
      <c r="AQ28" s="110">
        <f>IFERROR(ROUND((tblPiNHistorical[[#This Row],[Site Management - New]] - tblPiNHistorical[[#This Row],[Site Management - Old]])/tblPiNHistorical[[#This Row],[Site Management - Old]], 1), "")</f>
        <v>-1</v>
      </c>
      <c r="AR28" s="66">
        <f>IFERROR(ROUND((tblPiNHistorical[[#This Row],[Education New]]-tblPiNHistorical[[#This Row],[Education Old]])/tblPiNHistorical[[#This Row],[Education Old]], 1), "")</f>
        <v>-1</v>
      </c>
      <c r="AS28" s="66">
        <f>IFERROR(ROUND((tblPiNHistorical[[#This Row],[Food Security and Livlihoods New]]-tblPiNHistorical[[#This Row],[Food Security and Livlihoods Old]])/tblPiNHistorical[[#This Row],[Food Security and Livlihoods Old]], 1), "")</f>
        <v>-1</v>
      </c>
      <c r="AT28" s="66">
        <f>IFERROR(ROUND((tblPiNHistorical[[#This Row],[Health New]]-tblPiNHistorical[[#This Row],[Health Old]])/tblPiNHistorical[[#This Row],[Health Old]], 1), "")</f>
        <v>-1</v>
      </c>
      <c r="AU28" s="66">
        <f>IFERROR(ROUND((tblPiNHistorical[[#This Row],[Nutrition New]]-tblPiNHistorical[[#This Row],[Nutrition Old]])/tblPiNHistorical[[#This Row],[Nutrition Old]], 1), "")</f>
        <v>-1</v>
      </c>
      <c r="AV28" s="66">
        <f>IFERROR(ROUND((tblPiNHistorical[[#This Row],[Protection New]]-tblPiNHistorical[[#This Row],[Protection Old]])/tblPiNHistorical[[#This Row],[Protection Old]], 1), "")</f>
        <v>-1</v>
      </c>
      <c r="AW28" s="84">
        <f>IFERROR(ROUND((tblPiNHistorical[[#This Row],[CP New]]-tblPiNHistorical[[#This Row],[CP Old ]])/tblPiNHistorical[[#This Row],[CP Old ]], 1), "")</f>
        <v>-1</v>
      </c>
      <c r="AX28" s="84">
        <f>IFERROR(ROUND((tblPiNHistorical[[#This Row],[GBV New]]-tblPiNHistorical[[#This Row],[GBV Old]])/tblPiNHistorical[[#This Row],[GBV Old]], 1), "")</f>
        <v>-1</v>
      </c>
      <c r="AY28" s="84">
        <f>IFERROR(ROUND((tblPiNHistorical[[#This Row],[Mine Action New]]-tblPiNHistorical[[#This Row],[Mine Action Old]])/tblPiNHistorical[[#This Row],[Mine Action Old]], 1), "")</f>
        <v>-1</v>
      </c>
      <c r="AZ28" s="66">
        <f>IFERROR(ROUND((tblPiNHistorical[[#This Row],[Shelter NFI New]]-tblPiNHistorical[[#This Row],[Shelter NFI Old]])/tblPiNHistorical[[#This Row],[Shelter NFI Old]], 1), "")</f>
        <v>-0.4</v>
      </c>
      <c r="BA28" s="36">
        <f>IFERROR(ROUND((tblPiNHistorical[[#This Row],[WASH New]]-tblPiNHistorical[[#This Row],[WASH Old]])/tblPiNHistorical[[#This Row],[WASH Old]], 1), "")</f>
        <v>-1</v>
      </c>
      <c r="BB28"/>
      <c r="BC28"/>
      <c r="BD28"/>
      <c r="BE28"/>
      <c r="BF28"/>
      <c r="BG28"/>
      <c r="BH28"/>
      <c r="BI28"/>
      <c r="BL28"/>
      <c r="BN28"/>
      <c r="BO28"/>
      <c r="BP28"/>
    </row>
    <row r="29" spans="1:68" x14ac:dyDescent="0.25">
      <c r="A29"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IDPsSD05140</v>
      </c>
      <c r="B29" s="127" t="s">
        <v>155</v>
      </c>
      <c r="C29" s="60" t="s">
        <v>122</v>
      </c>
      <c r="D29" s="60" t="s">
        <v>172</v>
      </c>
      <c r="E29" s="60" t="s">
        <v>171</v>
      </c>
      <c r="F29" s="54"/>
      <c r="G29" s="30"/>
      <c r="H29" s="56">
        <v>40760</v>
      </c>
      <c r="I29" s="37" t="s">
        <v>88</v>
      </c>
      <c r="J29" s="34">
        <v>0</v>
      </c>
      <c r="K29" s="116">
        <v>15802.652</v>
      </c>
      <c r="L29" s="114">
        <v>40760</v>
      </c>
      <c r="M29" s="114">
        <v>40760</v>
      </c>
      <c r="N29" s="114">
        <v>3931</v>
      </c>
      <c r="O29" s="114">
        <v>40760</v>
      </c>
      <c r="P29" s="114">
        <v>22418</v>
      </c>
      <c r="Q29" s="114">
        <v>16134</v>
      </c>
      <c r="R29" s="114">
        <v>0</v>
      </c>
      <c r="S29" s="114">
        <v>16304</v>
      </c>
      <c r="T29" s="196">
        <v>48300.6</v>
      </c>
      <c r="U29" s="52">
        <f>IFERROR(INDEX(tblPiNAnalysis[[Site Management ]], MATCH(tblPiNHistorical[[#This Row],[ID]], tblPiNAnalysis[ID], 0)), "")</f>
        <v>0</v>
      </c>
      <c r="V29" s="52">
        <f>IFERROR(INDEX(tblPiNAnalysis[Education], MATCH(tblPiNHistorical[[#This Row],[ID]], tblPiNAnalysis[ID], 0)), "")</f>
        <v>0</v>
      </c>
      <c r="W29" s="28">
        <f>IFERROR(INDEX(tblPiNAnalysis[Food Security and Livlihoods], MATCH(tblPiNHistorical[[#This Row],[ID]], tblPiNAnalysis[ID], 0)), "")</f>
        <v>0</v>
      </c>
      <c r="X29" s="28">
        <f>IFERROR(INDEX(tblPiNAnalysis[[Health ]], MATCH(tblPiNHistorical[[#This Row],[ID]], tblPiNAnalysis[ID], 0)), "")</f>
        <v>0</v>
      </c>
      <c r="Y29" s="28">
        <f>IFERROR(INDEX(tblPiNAnalysis[Nutrition], MATCH(tblPiNHistorical[[#This Row],[ID]], tblPiNAnalysis[ID], 0)), "")</f>
        <v>0</v>
      </c>
      <c r="Z29" s="28">
        <f>IFERROR(INDEX(tblPiNAnalysis[Protection], MATCH(tblPiNHistorical[[#This Row],[ID]], tblPiNAnalysis[ID], 0)), "")</f>
        <v>0</v>
      </c>
      <c r="AA29" s="28">
        <f>IFERROR(INDEX(tblPiNAnalysis[CP], MATCH(tblPiNHistorical[[#This Row],[ID]], tblPiNAnalysis[ID], 0)), "")</f>
        <v>0</v>
      </c>
      <c r="AB29" s="83">
        <f>IFERROR(INDEX(tblPiNAnalysis[GBV], MATCH(tblPiNHistorical[[#This Row],[ID]], tblPiNAnalysis[ID], 0)), "")</f>
        <v>0</v>
      </c>
      <c r="AC29" s="28">
        <f>IFERROR(INDEX(tblPiNAnalysis[Mine Action], MATCH(tblPiNHistorical[[#This Row],[ID]], tblPiNAnalysis[ID], 0)), "")</f>
        <v>0</v>
      </c>
      <c r="AD29" s="83">
        <f>IFERROR(INDEX(tblPiNAnalysis[[Shelter NFI ]], MATCH(tblPiNHistorical[[#This Row],[ID]], tblPiNAnalysis[ID], 0)), "")</f>
        <v>39330</v>
      </c>
      <c r="AE29" s="35">
        <f>IFERROR(INDEX(tblPiNAnalysis[WASH], MATCH(tblPiNHistorical[[#This Row],[ID]], tblPiNAnalysis[ID], 0)), "")</f>
        <v>0</v>
      </c>
      <c r="AF29" s="6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29" s="67" t="str">
        <f>IF(OR(tblPiNHistorical[[#This Row],[Education Old]]="", tblPiNHistorical[[#This Row],[Education Old]]=0, tblPiNHistorical[[#This Row],[Education New]]="", tblPiNHistorical[[#This Row],[Education New]]=0), "", tblPiNHistorical[[#This Row],[Education New]]-tblPiNHistorical[[#This Row],[Education Old]])</f>
        <v/>
      </c>
      <c r="AH29" s="67"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29" s="67" t="str">
        <f>IF(OR(tblPiNHistorical[[#This Row],[Health Old]]="", tblPiNHistorical[[#This Row],[Health Old]]=0, tblPiNHistorical[[#This Row],[Health New]]="", tblPiNHistorical[[#This Row],[Health New]]=0), "", tblPiNHistorical[[#This Row],[Health New]]-tblPiNHistorical[[#This Row],[Health Old]])</f>
        <v/>
      </c>
      <c r="AJ29" s="67" t="str">
        <f>IF(OR(tblPiNHistorical[[#This Row],[Nutrition Old]]="", tblPiNHistorical[[#This Row],[Nutrition Old]]=0, tblPiNHistorical[[#This Row],[Nutrition New]]="", tblPiNHistorical[[#This Row],[Nutrition New]]=0), "", tblPiNHistorical[[#This Row],[Nutrition New]]-tblPiNHistorical[[#This Row],[Nutrition Old]])</f>
        <v/>
      </c>
      <c r="AK29" s="67" t="str">
        <f>IF(OR(tblPiNHistorical[[#This Row],[Protection Old]]="", tblPiNHistorical[[#This Row],[Protection Old]]=0, tblPiNHistorical[[#This Row],[Protection New]]="", tblPiNHistorical[[#This Row],[Protection New]]=0), "", tblPiNHistorical[[#This Row],[Protection New]]-tblPiNHistorical[[#This Row],[Protection Old]])</f>
        <v/>
      </c>
      <c r="AL29" s="67" t="str">
        <f>IF(OR(tblPiNHistorical[[#This Row],[CP Old ]]="", tblPiNHistorical[[#This Row],[CP Old ]]=0, tblPiNHistorical[[#This Row],[CP New]]="", tblPiNHistorical[[#This Row],[CP New]]=0), "", tblPiNHistorical[[#This Row],[CP New]]-tblPiNHistorical[[#This Row],[CP Old ]])</f>
        <v/>
      </c>
      <c r="AM29" s="83" t="str">
        <f>IF(OR(tblPiNHistorical[[#This Row],[GBV Old]]="", tblPiNHistorical[[#This Row],[GBV Old]]=0, tblPiNHistorical[[#This Row],[GBV New]]="", tblPiNHistorical[[#This Row],[GBV New]]=0), "", tblPiNHistorical[[#This Row],[GBV New]]-tblPiNHistorical[[#This Row],[GBV Old]])</f>
        <v/>
      </c>
      <c r="AN29" s="83" t="str">
        <f>IF(OR(tblPiNHistorical[[#This Row],[Mine Action Old]]="", tblPiNHistorical[[#This Row],[Mine Action Old]]=0, tblPiNHistorical[[#This Row],[Mine Action New]]="", tblPiNHistorical[[#This Row],[Mine Action New]]=0), "", tblPiNHistorical[[#This Row],[Mine Action New]]-tblPiNHistorical[[#This Row],[Mine Action Old]])</f>
        <v/>
      </c>
      <c r="AO29" s="67">
        <f>IF(OR(tblPiNHistorical[[#This Row],[Shelter NFI Old]]="", tblPiNHistorical[[#This Row],[Shelter NFI Old]]=0, tblPiNHistorical[[#This Row],[Shelter NFI New]]="", tblPiNHistorical[[#This Row],[Shelter NFI New]]=0), "", tblPiNHistorical[[#This Row],[Shelter NFI New]]-tblPiNHistorical[[#This Row],[Shelter NFI Old]])</f>
        <v>23026</v>
      </c>
      <c r="AP29" s="111" t="str">
        <f>IF(OR(tblPiNHistorical[[#This Row],[WASH Old]]="", tblPiNHistorical[[#This Row],[WASH Old]]=0, tblPiNHistorical[[#This Row],[WASH New]]="", tblPiNHistorical[[#This Row],[WASH New]]=0), "", tblPiNHistorical[[#This Row],[WASH New]]-tblPiNHistorical[[#This Row],[WASH Old]])</f>
        <v/>
      </c>
      <c r="AQ29" s="110" t="str">
        <f>IFERROR(ROUND((tblPiNHistorical[[#This Row],[Site Management - New]] - tblPiNHistorical[[#This Row],[Site Management - Old]])/tblPiNHistorical[[#This Row],[Site Management - Old]], 1), "")</f>
        <v/>
      </c>
      <c r="AR29" s="66">
        <f>IFERROR(ROUND((tblPiNHistorical[[#This Row],[Education New]]-tblPiNHistorical[[#This Row],[Education Old]])/tblPiNHistorical[[#This Row],[Education Old]], 1), "")</f>
        <v>-1</v>
      </c>
      <c r="AS29" s="66">
        <f>IFERROR(ROUND((tblPiNHistorical[[#This Row],[Food Security and Livlihoods New]]-tblPiNHistorical[[#This Row],[Food Security and Livlihoods Old]])/tblPiNHistorical[[#This Row],[Food Security and Livlihoods Old]], 1), "")</f>
        <v>-1</v>
      </c>
      <c r="AT29" s="66">
        <f>IFERROR(ROUND((tblPiNHistorical[[#This Row],[Health New]]-tblPiNHistorical[[#This Row],[Health Old]])/tblPiNHistorical[[#This Row],[Health Old]], 1), "")</f>
        <v>-1</v>
      </c>
      <c r="AU29" s="66">
        <f>IFERROR(ROUND((tblPiNHistorical[[#This Row],[Nutrition New]]-tblPiNHistorical[[#This Row],[Nutrition Old]])/tblPiNHistorical[[#This Row],[Nutrition Old]], 1), "")</f>
        <v>-1</v>
      </c>
      <c r="AV29" s="66">
        <f>IFERROR(ROUND((tblPiNHistorical[[#This Row],[Protection New]]-tblPiNHistorical[[#This Row],[Protection Old]])/tblPiNHistorical[[#This Row],[Protection Old]], 1), "")</f>
        <v>-1</v>
      </c>
      <c r="AW29" s="84">
        <f>IFERROR(ROUND((tblPiNHistorical[[#This Row],[CP New]]-tblPiNHistorical[[#This Row],[CP Old ]])/tblPiNHistorical[[#This Row],[CP Old ]], 1), "")</f>
        <v>-1</v>
      </c>
      <c r="AX29" s="84">
        <f>IFERROR(ROUND((tblPiNHistorical[[#This Row],[GBV New]]-tblPiNHistorical[[#This Row],[GBV Old]])/tblPiNHistorical[[#This Row],[GBV Old]], 1), "")</f>
        <v>-1</v>
      </c>
      <c r="AY29" s="84" t="str">
        <f>IFERROR(ROUND((tblPiNHistorical[[#This Row],[Mine Action New]]-tblPiNHistorical[[#This Row],[Mine Action Old]])/tblPiNHistorical[[#This Row],[Mine Action Old]], 1), "")</f>
        <v/>
      </c>
      <c r="AZ29" s="66">
        <f>IFERROR(ROUND((tblPiNHistorical[[#This Row],[Shelter NFI New]]-tblPiNHistorical[[#This Row],[Shelter NFI Old]])/tblPiNHistorical[[#This Row],[Shelter NFI Old]], 1), "")</f>
        <v>1.4</v>
      </c>
      <c r="BA29" s="36">
        <f>IFERROR(ROUND((tblPiNHistorical[[#This Row],[WASH New]]-tblPiNHistorical[[#This Row],[WASH Old]])/tblPiNHistorical[[#This Row],[WASH Old]], 1), "")</f>
        <v>-1</v>
      </c>
      <c r="BB29"/>
      <c r="BC29"/>
      <c r="BD29"/>
      <c r="BE29"/>
      <c r="BF29"/>
      <c r="BG29"/>
      <c r="BH29"/>
      <c r="BI29"/>
      <c r="BL29"/>
      <c r="BN29"/>
      <c r="BO29"/>
      <c r="BP29"/>
    </row>
    <row r="30" spans="1:68" x14ac:dyDescent="0.25">
      <c r="A30"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IDPsSD05155</v>
      </c>
      <c r="B30" s="127" t="s">
        <v>155</v>
      </c>
      <c r="C30" s="60" t="s">
        <v>122</v>
      </c>
      <c r="D30" s="60" t="s">
        <v>184</v>
      </c>
      <c r="E30" s="60" t="s">
        <v>183</v>
      </c>
      <c r="F30" s="54"/>
      <c r="G30" s="30"/>
      <c r="H30" s="56">
        <v>34056</v>
      </c>
      <c r="I30" s="37" t="s">
        <v>88</v>
      </c>
      <c r="J30" s="34">
        <v>0</v>
      </c>
      <c r="K30" s="116">
        <v>13203.511199999999</v>
      </c>
      <c r="L30" s="114">
        <v>34056</v>
      </c>
      <c r="M30" s="114">
        <v>34056</v>
      </c>
      <c r="N30" s="114">
        <v>4478</v>
      </c>
      <c r="O30" s="114">
        <v>34056</v>
      </c>
      <c r="P30" s="114">
        <v>18731</v>
      </c>
      <c r="Q30" s="114">
        <v>13479</v>
      </c>
      <c r="R30" s="114">
        <v>0</v>
      </c>
      <c r="S30" s="114">
        <v>13622</v>
      </c>
      <c r="T30" s="196">
        <v>31749.72768</v>
      </c>
      <c r="U30" s="52">
        <f>IFERROR(INDEX(tblPiNAnalysis[[Site Management ]], MATCH(tblPiNHistorical[[#This Row],[ID]], tblPiNAnalysis[ID], 0)), "")</f>
        <v>0</v>
      </c>
      <c r="V30" s="52">
        <f>IFERROR(INDEX(tblPiNAnalysis[Education], MATCH(tblPiNHistorical[[#This Row],[ID]], tblPiNAnalysis[ID], 0)), "")</f>
        <v>0</v>
      </c>
      <c r="W30" s="28">
        <f>IFERROR(INDEX(tblPiNAnalysis[Food Security and Livlihoods], MATCH(tblPiNHistorical[[#This Row],[ID]], tblPiNAnalysis[ID], 0)), "")</f>
        <v>0</v>
      </c>
      <c r="X30" s="28">
        <f>IFERROR(INDEX(tblPiNAnalysis[[Health ]], MATCH(tblPiNHistorical[[#This Row],[ID]], tblPiNAnalysis[ID], 0)), "")</f>
        <v>0</v>
      </c>
      <c r="Y30" s="28">
        <f>IFERROR(INDEX(tblPiNAnalysis[Nutrition], MATCH(tblPiNHistorical[[#This Row],[ID]], tblPiNAnalysis[ID], 0)), "")</f>
        <v>0</v>
      </c>
      <c r="Z30" s="28">
        <f>IFERROR(INDEX(tblPiNAnalysis[Protection], MATCH(tblPiNHistorical[[#This Row],[ID]], tblPiNAnalysis[ID], 0)), "")</f>
        <v>0</v>
      </c>
      <c r="AA30" s="28">
        <f>IFERROR(INDEX(tblPiNAnalysis[CP], MATCH(tblPiNHistorical[[#This Row],[ID]], tblPiNAnalysis[ID], 0)), "")</f>
        <v>0</v>
      </c>
      <c r="AB30" s="83">
        <f>IFERROR(INDEX(tblPiNAnalysis[GBV], MATCH(tblPiNHistorical[[#This Row],[ID]], tblPiNAnalysis[ID], 0)), "")</f>
        <v>0</v>
      </c>
      <c r="AC30" s="28">
        <f>IFERROR(INDEX(tblPiNAnalysis[Mine Action], MATCH(tblPiNHistorical[[#This Row],[ID]], tblPiNAnalysis[ID], 0)), "")</f>
        <v>0</v>
      </c>
      <c r="AD30" s="83">
        <f>IFERROR(INDEX(tblPiNAnalysis[[Shelter NFI ]], MATCH(tblPiNHistorical[[#This Row],[ID]], tblPiNAnalysis[ID], 0)), "")</f>
        <v>32623</v>
      </c>
      <c r="AE30" s="35">
        <f>IFERROR(INDEX(tblPiNAnalysis[WASH], MATCH(tblPiNHistorical[[#This Row],[ID]], tblPiNAnalysis[ID], 0)), "")</f>
        <v>0</v>
      </c>
      <c r="AF30" s="6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30" s="67" t="str">
        <f>IF(OR(tblPiNHistorical[[#This Row],[Education Old]]="", tblPiNHistorical[[#This Row],[Education Old]]=0, tblPiNHistorical[[#This Row],[Education New]]="", tblPiNHistorical[[#This Row],[Education New]]=0), "", tblPiNHistorical[[#This Row],[Education New]]-tblPiNHistorical[[#This Row],[Education Old]])</f>
        <v/>
      </c>
      <c r="AH30" s="67"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30" s="67" t="str">
        <f>IF(OR(tblPiNHistorical[[#This Row],[Health Old]]="", tblPiNHistorical[[#This Row],[Health Old]]=0, tblPiNHistorical[[#This Row],[Health New]]="", tblPiNHistorical[[#This Row],[Health New]]=0), "", tblPiNHistorical[[#This Row],[Health New]]-tblPiNHistorical[[#This Row],[Health Old]])</f>
        <v/>
      </c>
      <c r="AJ30" s="67" t="str">
        <f>IF(OR(tblPiNHistorical[[#This Row],[Nutrition Old]]="", tblPiNHistorical[[#This Row],[Nutrition Old]]=0, tblPiNHistorical[[#This Row],[Nutrition New]]="", tblPiNHistorical[[#This Row],[Nutrition New]]=0), "", tblPiNHistorical[[#This Row],[Nutrition New]]-tblPiNHistorical[[#This Row],[Nutrition Old]])</f>
        <v/>
      </c>
      <c r="AK30" s="67" t="str">
        <f>IF(OR(tblPiNHistorical[[#This Row],[Protection Old]]="", tblPiNHistorical[[#This Row],[Protection Old]]=0, tblPiNHistorical[[#This Row],[Protection New]]="", tblPiNHistorical[[#This Row],[Protection New]]=0), "", tblPiNHistorical[[#This Row],[Protection New]]-tblPiNHistorical[[#This Row],[Protection Old]])</f>
        <v/>
      </c>
      <c r="AL30" s="67" t="str">
        <f>IF(OR(tblPiNHistorical[[#This Row],[CP Old ]]="", tblPiNHistorical[[#This Row],[CP Old ]]=0, tblPiNHistorical[[#This Row],[CP New]]="", tblPiNHistorical[[#This Row],[CP New]]=0), "", tblPiNHistorical[[#This Row],[CP New]]-tblPiNHistorical[[#This Row],[CP Old ]])</f>
        <v/>
      </c>
      <c r="AM30" s="83" t="str">
        <f>IF(OR(tblPiNHistorical[[#This Row],[GBV Old]]="", tblPiNHistorical[[#This Row],[GBV Old]]=0, tblPiNHistorical[[#This Row],[GBV New]]="", tblPiNHistorical[[#This Row],[GBV New]]=0), "", tblPiNHistorical[[#This Row],[GBV New]]-tblPiNHistorical[[#This Row],[GBV Old]])</f>
        <v/>
      </c>
      <c r="AN30" s="83" t="str">
        <f>IF(OR(tblPiNHistorical[[#This Row],[Mine Action Old]]="", tblPiNHistorical[[#This Row],[Mine Action Old]]=0, tblPiNHistorical[[#This Row],[Mine Action New]]="", tblPiNHistorical[[#This Row],[Mine Action New]]=0), "", tblPiNHistorical[[#This Row],[Mine Action New]]-tblPiNHistorical[[#This Row],[Mine Action Old]])</f>
        <v/>
      </c>
      <c r="AO30" s="67">
        <f>IF(OR(tblPiNHistorical[[#This Row],[Shelter NFI Old]]="", tblPiNHistorical[[#This Row],[Shelter NFI Old]]=0, tblPiNHistorical[[#This Row],[Shelter NFI New]]="", tblPiNHistorical[[#This Row],[Shelter NFI New]]=0), "", tblPiNHistorical[[#This Row],[Shelter NFI New]]-tblPiNHistorical[[#This Row],[Shelter NFI Old]])</f>
        <v>19001</v>
      </c>
      <c r="AP30" s="111" t="str">
        <f>IF(OR(tblPiNHistorical[[#This Row],[WASH Old]]="", tblPiNHistorical[[#This Row],[WASH Old]]=0, tblPiNHistorical[[#This Row],[WASH New]]="", tblPiNHistorical[[#This Row],[WASH New]]=0), "", tblPiNHistorical[[#This Row],[WASH New]]-tblPiNHistorical[[#This Row],[WASH Old]])</f>
        <v/>
      </c>
      <c r="AQ30" s="110" t="str">
        <f>IFERROR(ROUND((tblPiNHistorical[[#This Row],[Site Management - New]] - tblPiNHistorical[[#This Row],[Site Management - Old]])/tblPiNHistorical[[#This Row],[Site Management - Old]], 1), "")</f>
        <v/>
      </c>
      <c r="AR30" s="66">
        <f>IFERROR(ROUND((tblPiNHistorical[[#This Row],[Education New]]-tblPiNHistorical[[#This Row],[Education Old]])/tblPiNHistorical[[#This Row],[Education Old]], 1), "")</f>
        <v>-1</v>
      </c>
      <c r="AS30" s="66">
        <f>IFERROR(ROUND((tblPiNHistorical[[#This Row],[Food Security and Livlihoods New]]-tblPiNHistorical[[#This Row],[Food Security and Livlihoods Old]])/tblPiNHistorical[[#This Row],[Food Security and Livlihoods Old]], 1), "")</f>
        <v>-1</v>
      </c>
      <c r="AT30" s="66">
        <f>IFERROR(ROUND((tblPiNHistorical[[#This Row],[Health New]]-tblPiNHistorical[[#This Row],[Health Old]])/tblPiNHistorical[[#This Row],[Health Old]], 1), "")</f>
        <v>-1</v>
      </c>
      <c r="AU30" s="66">
        <f>IFERROR(ROUND((tblPiNHistorical[[#This Row],[Nutrition New]]-tblPiNHistorical[[#This Row],[Nutrition Old]])/tblPiNHistorical[[#This Row],[Nutrition Old]], 1), "")</f>
        <v>-1</v>
      </c>
      <c r="AV30" s="66">
        <f>IFERROR(ROUND((tblPiNHistorical[[#This Row],[Protection New]]-tblPiNHistorical[[#This Row],[Protection Old]])/tblPiNHistorical[[#This Row],[Protection Old]], 1), "")</f>
        <v>-1</v>
      </c>
      <c r="AW30" s="84">
        <f>IFERROR(ROUND((tblPiNHistorical[[#This Row],[CP New]]-tblPiNHistorical[[#This Row],[CP Old ]])/tblPiNHistorical[[#This Row],[CP Old ]], 1), "")</f>
        <v>-1</v>
      </c>
      <c r="AX30" s="84">
        <f>IFERROR(ROUND((tblPiNHistorical[[#This Row],[GBV New]]-tblPiNHistorical[[#This Row],[GBV Old]])/tblPiNHistorical[[#This Row],[GBV Old]], 1), "")</f>
        <v>-1</v>
      </c>
      <c r="AY30" s="84" t="str">
        <f>IFERROR(ROUND((tblPiNHistorical[[#This Row],[Mine Action New]]-tblPiNHistorical[[#This Row],[Mine Action Old]])/tblPiNHistorical[[#This Row],[Mine Action Old]], 1), "")</f>
        <v/>
      </c>
      <c r="AZ30" s="66">
        <f>IFERROR(ROUND((tblPiNHistorical[[#This Row],[Shelter NFI New]]-tblPiNHistorical[[#This Row],[Shelter NFI Old]])/tblPiNHistorical[[#This Row],[Shelter NFI Old]], 1), "")</f>
        <v>1.4</v>
      </c>
      <c r="BA30" s="36">
        <f>IFERROR(ROUND((tblPiNHistorical[[#This Row],[WASH New]]-tblPiNHistorical[[#This Row],[WASH Old]])/tblPiNHistorical[[#This Row],[WASH Old]], 1), "")</f>
        <v>-1</v>
      </c>
      <c r="BB30"/>
      <c r="BC30"/>
      <c r="BD30"/>
      <c r="BE30"/>
      <c r="BF30"/>
      <c r="BG30"/>
      <c r="BH30"/>
      <c r="BI30"/>
      <c r="BL30"/>
      <c r="BN30"/>
      <c r="BO30"/>
      <c r="BP30"/>
    </row>
    <row r="31" spans="1:68" x14ac:dyDescent="0.25">
      <c r="A31"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IDPsSD05142</v>
      </c>
      <c r="B31" s="127" t="s">
        <v>155</v>
      </c>
      <c r="C31" s="60" t="s">
        <v>122</v>
      </c>
      <c r="D31" s="60" t="s">
        <v>175</v>
      </c>
      <c r="E31" s="60" t="s">
        <v>174</v>
      </c>
      <c r="F31" s="54"/>
      <c r="G31" s="30"/>
      <c r="H31" s="56">
        <v>154785</v>
      </c>
      <c r="I31" s="37" t="s">
        <v>88</v>
      </c>
      <c r="J31" s="34">
        <v>80252</v>
      </c>
      <c r="K31" s="116">
        <v>60010.144499999995</v>
      </c>
      <c r="L31" s="114">
        <v>154785</v>
      </c>
      <c r="M31" s="114">
        <v>154785</v>
      </c>
      <c r="N31" s="114">
        <v>17832</v>
      </c>
      <c r="O31" s="114">
        <v>154785</v>
      </c>
      <c r="P31" s="114">
        <v>85132</v>
      </c>
      <c r="Q31" s="114">
        <v>61265</v>
      </c>
      <c r="R31" s="114">
        <v>46435.5</v>
      </c>
      <c r="S31" s="114">
        <v>123828</v>
      </c>
      <c r="T31" s="196">
        <v>86760.088199999998</v>
      </c>
      <c r="U31" s="52">
        <f>IFERROR(INDEX(tblPiNAnalysis[[Site Management ]], MATCH(tblPiNHistorical[[#This Row],[ID]], tblPiNAnalysis[ID], 0)), "")</f>
        <v>0</v>
      </c>
      <c r="V31" s="52">
        <f>IFERROR(INDEX(tblPiNAnalysis[Education], MATCH(tblPiNHistorical[[#This Row],[ID]], tblPiNAnalysis[ID], 0)), "")</f>
        <v>0</v>
      </c>
      <c r="W31" s="28">
        <f>IFERROR(INDEX(tblPiNAnalysis[Food Security and Livlihoods], MATCH(tblPiNHistorical[[#This Row],[ID]], tblPiNAnalysis[ID], 0)), "")</f>
        <v>0</v>
      </c>
      <c r="X31" s="28">
        <f>IFERROR(INDEX(tblPiNAnalysis[[Health ]], MATCH(tblPiNHistorical[[#This Row],[ID]], tblPiNAnalysis[ID], 0)), "")</f>
        <v>0</v>
      </c>
      <c r="Y31" s="28">
        <f>IFERROR(INDEX(tblPiNAnalysis[Nutrition], MATCH(tblPiNHistorical[[#This Row],[ID]], tblPiNAnalysis[ID], 0)), "")</f>
        <v>0</v>
      </c>
      <c r="Z31" s="28">
        <f>IFERROR(INDEX(tblPiNAnalysis[Protection], MATCH(tblPiNHistorical[[#This Row],[ID]], tblPiNAnalysis[ID], 0)), "")</f>
        <v>0</v>
      </c>
      <c r="AA31" s="28">
        <f>IFERROR(INDEX(tblPiNAnalysis[CP], MATCH(tblPiNHistorical[[#This Row],[ID]], tblPiNAnalysis[ID], 0)), "")</f>
        <v>0</v>
      </c>
      <c r="AB31" s="83">
        <f>IFERROR(INDEX(tblPiNAnalysis[GBV], MATCH(tblPiNHistorical[[#This Row],[ID]], tblPiNAnalysis[ID], 0)), "")</f>
        <v>0</v>
      </c>
      <c r="AC31" s="28">
        <f>IFERROR(INDEX(tblPiNAnalysis[Mine Action], MATCH(tblPiNHistorical[[#This Row],[ID]], tblPiNAnalysis[ID], 0)), "")</f>
        <v>0</v>
      </c>
      <c r="AD31" s="83">
        <f>IFERROR(INDEX(tblPiNAnalysis[[Shelter NFI ]], MATCH(tblPiNHistorical[[#This Row],[ID]], tblPiNAnalysis[ID], 0)), "")</f>
        <v>136782</v>
      </c>
      <c r="AE31" s="35">
        <f>IFERROR(INDEX(tblPiNAnalysis[WASH], MATCH(tblPiNHistorical[[#This Row],[ID]], tblPiNAnalysis[ID], 0)), "")</f>
        <v>0</v>
      </c>
      <c r="AF31" s="6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31" s="67" t="str">
        <f>IF(OR(tblPiNHistorical[[#This Row],[Education Old]]="", tblPiNHistorical[[#This Row],[Education Old]]=0, tblPiNHistorical[[#This Row],[Education New]]="", tblPiNHistorical[[#This Row],[Education New]]=0), "", tblPiNHistorical[[#This Row],[Education New]]-tblPiNHistorical[[#This Row],[Education Old]])</f>
        <v/>
      </c>
      <c r="AH31" s="67"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31" s="67" t="str">
        <f>IF(OR(tblPiNHistorical[[#This Row],[Health Old]]="", tblPiNHistorical[[#This Row],[Health Old]]=0, tblPiNHistorical[[#This Row],[Health New]]="", tblPiNHistorical[[#This Row],[Health New]]=0), "", tblPiNHistorical[[#This Row],[Health New]]-tblPiNHistorical[[#This Row],[Health Old]])</f>
        <v/>
      </c>
      <c r="AJ31" s="67" t="str">
        <f>IF(OR(tblPiNHistorical[[#This Row],[Nutrition Old]]="", tblPiNHistorical[[#This Row],[Nutrition Old]]=0, tblPiNHistorical[[#This Row],[Nutrition New]]="", tblPiNHistorical[[#This Row],[Nutrition New]]=0), "", tblPiNHistorical[[#This Row],[Nutrition New]]-tblPiNHistorical[[#This Row],[Nutrition Old]])</f>
        <v/>
      </c>
      <c r="AK31" s="67" t="str">
        <f>IF(OR(tblPiNHistorical[[#This Row],[Protection Old]]="", tblPiNHistorical[[#This Row],[Protection Old]]=0, tblPiNHistorical[[#This Row],[Protection New]]="", tblPiNHistorical[[#This Row],[Protection New]]=0), "", tblPiNHistorical[[#This Row],[Protection New]]-tblPiNHistorical[[#This Row],[Protection Old]])</f>
        <v/>
      </c>
      <c r="AL31" s="67" t="str">
        <f>IF(OR(tblPiNHistorical[[#This Row],[CP Old ]]="", tblPiNHistorical[[#This Row],[CP Old ]]=0, tblPiNHistorical[[#This Row],[CP New]]="", tblPiNHistorical[[#This Row],[CP New]]=0), "", tblPiNHistorical[[#This Row],[CP New]]-tblPiNHistorical[[#This Row],[CP Old ]])</f>
        <v/>
      </c>
      <c r="AM31" s="83" t="str">
        <f>IF(OR(tblPiNHistorical[[#This Row],[GBV Old]]="", tblPiNHistorical[[#This Row],[GBV Old]]=0, tblPiNHistorical[[#This Row],[GBV New]]="", tblPiNHistorical[[#This Row],[GBV New]]=0), "", tblPiNHistorical[[#This Row],[GBV New]]-tblPiNHistorical[[#This Row],[GBV Old]])</f>
        <v/>
      </c>
      <c r="AN31" s="83" t="str">
        <f>IF(OR(tblPiNHistorical[[#This Row],[Mine Action Old]]="", tblPiNHistorical[[#This Row],[Mine Action Old]]=0, tblPiNHistorical[[#This Row],[Mine Action New]]="", tblPiNHistorical[[#This Row],[Mine Action New]]=0), "", tblPiNHistorical[[#This Row],[Mine Action New]]-tblPiNHistorical[[#This Row],[Mine Action Old]])</f>
        <v/>
      </c>
      <c r="AO31" s="67">
        <f>IF(OR(tblPiNHistorical[[#This Row],[Shelter NFI Old]]="", tblPiNHistorical[[#This Row],[Shelter NFI Old]]=0, tblPiNHistorical[[#This Row],[Shelter NFI New]]="", tblPiNHistorical[[#This Row],[Shelter NFI New]]=0), "", tblPiNHistorical[[#This Row],[Shelter NFI New]]-tblPiNHistorical[[#This Row],[Shelter NFI Old]])</f>
        <v>12954</v>
      </c>
      <c r="AP31" s="111" t="str">
        <f>IF(OR(tblPiNHistorical[[#This Row],[WASH Old]]="", tblPiNHistorical[[#This Row],[WASH Old]]=0, tblPiNHistorical[[#This Row],[WASH New]]="", tblPiNHistorical[[#This Row],[WASH New]]=0), "", tblPiNHistorical[[#This Row],[WASH New]]-tblPiNHistorical[[#This Row],[WASH Old]])</f>
        <v/>
      </c>
      <c r="AQ31" s="110">
        <f>IFERROR(ROUND((tblPiNHistorical[[#This Row],[Site Management - New]] - tblPiNHistorical[[#This Row],[Site Management - Old]])/tblPiNHistorical[[#This Row],[Site Management - Old]], 1), "")</f>
        <v>-1</v>
      </c>
      <c r="AR31" s="66">
        <f>IFERROR(ROUND((tblPiNHistorical[[#This Row],[Education New]]-tblPiNHistorical[[#This Row],[Education Old]])/tblPiNHistorical[[#This Row],[Education Old]], 1), "")</f>
        <v>-1</v>
      </c>
      <c r="AS31" s="66">
        <f>IFERROR(ROUND((tblPiNHistorical[[#This Row],[Food Security and Livlihoods New]]-tblPiNHistorical[[#This Row],[Food Security and Livlihoods Old]])/tblPiNHistorical[[#This Row],[Food Security and Livlihoods Old]], 1), "")</f>
        <v>-1</v>
      </c>
      <c r="AT31" s="66">
        <f>IFERROR(ROUND((tblPiNHistorical[[#This Row],[Health New]]-tblPiNHistorical[[#This Row],[Health Old]])/tblPiNHistorical[[#This Row],[Health Old]], 1), "")</f>
        <v>-1</v>
      </c>
      <c r="AU31" s="66">
        <f>IFERROR(ROUND((tblPiNHistorical[[#This Row],[Nutrition New]]-tblPiNHistorical[[#This Row],[Nutrition Old]])/tblPiNHistorical[[#This Row],[Nutrition Old]], 1), "")</f>
        <v>-1</v>
      </c>
      <c r="AV31" s="66">
        <f>IFERROR(ROUND((tblPiNHistorical[[#This Row],[Protection New]]-tblPiNHistorical[[#This Row],[Protection Old]])/tblPiNHistorical[[#This Row],[Protection Old]], 1), "")</f>
        <v>-1</v>
      </c>
      <c r="AW31" s="84">
        <f>IFERROR(ROUND((tblPiNHistorical[[#This Row],[CP New]]-tblPiNHistorical[[#This Row],[CP Old ]])/tblPiNHistorical[[#This Row],[CP Old ]], 1), "")</f>
        <v>-1</v>
      </c>
      <c r="AX31" s="84">
        <f>IFERROR(ROUND((tblPiNHistorical[[#This Row],[GBV New]]-tblPiNHistorical[[#This Row],[GBV Old]])/tblPiNHistorical[[#This Row],[GBV Old]], 1), "")</f>
        <v>-1</v>
      </c>
      <c r="AY31" s="84">
        <f>IFERROR(ROUND((tblPiNHistorical[[#This Row],[Mine Action New]]-tblPiNHistorical[[#This Row],[Mine Action Old]])/tblPiNHistorical[[#This Row],[Mine Action Old]], 1), "")</f>
        <v>-1</v>
      </c>
      <c r="AZ31" s="66">
        <f>IFERROR(ROUND((tblPiNHistorical[[#This Row],[Shelter NFI New]]-tblPiNHistorical[[#This Row],[Shelter NFI Old]])/tblPiNHistorical[[#This Row],[Shelter NFI Old]], 1), "")</f>
        <v>0.1</v>
      </c>
      <c r="BA31" s="36">
        <f>IFERROR(ROUND((tblPiNHistorical[[#This Row],[WASH New]]-tblPiNHistorical[[#This Row],[WASH Old]])/tblPiNHistorical[[#This Row],[WASH Old]], 1), "")</f>
        <v>-1</v>
      </c>
      <c r="BB31"/>
      <c r="BC31"/>
      <c r="BD31"/>
      <c r="BE31"/>
      <c r="BF31"/>
      <c r="BG31"/>
      <c r="BH31"/>
      <c r="BI31"/>
      <c r="BL31"/>
      <c r="BN31"/>
      <c r="BO31"/>
      <c r="BP31"/>
    </row>
    <row r="32" spans="1:68" x14ac:dyDescent="0.25">
      <c r="A32"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IDPsSD05139</v>
      </c>
      <c r="B32" s="127" t="s">
        <v>155</v>
      </c>
      <c r="C32" s="60" t="s">
        <v>122</v>
      </c>
      <c r="D32" s="60" t="s">
        <v>169</v>
      </c>
      <c r="E32" s="60" t="s">
        <v>168</v>
      </c>
      <c r="F32" s="54"/>
      <c r="G32" s="30"/>
      <c r="H32" s="56">
        <v>49822</v>
      </c>
      <c r="I32" s="37" t="s">
        <v>88</v>
      </c>
      <c r="J32" s="34">
        <v>1902</v>
      </c>
      <c r="K32" s="116">
        <v>19315.989399999999</v>
      </c>
      <c r="L32" s="114">
        <v>49822</v>
      </c>
      <c r="M32" s="114">
        <v>49822</v>
      </c>
      <c r="N32" s="114">
        <v>7819</v>
      </c>
      <c r="O32" s="114">
        <v>49822</v>
      </c>
      <c r="P32" s="114">
        <v>27402</v>
      </c>
      <c r="Q32" s="114">
        <v>19720</v>
      </c>
      <c r="R32" s="114">
        <v>14946.599999999999</v>
      </c>
      <c r="S32" s="114">
        <v>19929</v>
      </c>
      <c r="T32" s="196">
        <v>33031.985999999997</v>
      </c>
      <c r="U32" s="52">
        <f>IFERROR(INDEX(tblPiNAnalysis[[Site Management ]], MATCH(tblPiNHistorical[[#This Row],[ID]], tblPiNAnalysis[ID], 0)), "")</f>
        <v>0</v>
      </c>
      <c r="V32" s="52">
        <f>IFERROR(INDEX(tblPiNAnalysis[Education], MATCH(tblPiNHistorical[[#This Row],[ID]], tblPiNAnalysis[ID], 0)), "")</f>
        <v>0</v>
      </c>
      <c r="W32" s="28">
        <f>IFERROR(INDEX(tblPiNAnalysis[Food Security and Livlihoods], MATCH(tblPiNHistorical[[#This Row],[ID]], tblPiNAnalysis[ID], 0)), "")</f>
        <v>0</v>
      </c>
      <c r="X32" s="28">
        <f>IFERROR(INDEX(tblPiNAnalysis[[Health ]], MATCH(tblPiNHistorical[[#This Row],[ID]], tblPiNAnalysis[ID], 0)), "")</f>
        <v>0</v>
      </c>
      <c r="Y32" s="28">
        <f>IFERROR(INDEX(tblPiNAnalysis[Nutrition], MATCH(tblPiNHistorical[[#This Row],[ID]], tblPiNAnalysis[ID], 0)), "")</f>
        <v>0</v>
      </c>
      <c r="Z32" s="28">
        <f>IFERROR(INDEX(tblPiNAnalysis[Protection], MATCH(tblPiNHistorical[[#This Row],[ID]], tblPiNAnalysis[ID], 0)), "")</f>
        <v>0</v>
      </c>
      <c r="AA32" s="28">
        <f>IFERROR(INDEX(tblPiNAnalysis[CP], MATCH(tblPiNHistorical[[#This Row],[ID]], tblPiNAnalysis[ID], 0)), "")</f>
        <v>0</v>
      </c>
      <c r="AB32" s="83">
        <f>IFERROR(INDEX(tblPiNAnalysis[GBV], MATCH(tblPiNHistorical[[#This Row],[ID]], tblPiNAnalysis[ID], 0)), "")</f>
        <v>0</v>
      </c>
      <c r="AC32" s="28">
        <f>IFERROR(INDEX(tblPiNAnalysis[Mine Action], MATCH(tblPiNHistorical[[#This Row],[ID]], tblPiNAnalysis[ID], 0)), "")</f>
        <v>0</v>
      </c>
      <c r="AD32" s="83">
        <f>IFERROR(INDEX(tblPiNAnalysis[[Shelter NFI ]], MATCH(tblPiNHistorical[[#This Row],[ID]], tblPiNAnalysis[ID], 0)), "")</f>
        <v>22938</v>
      </c>
      <c r="AE32" s="35">
        <f>IFERROR(INDEX(tblPiNAnalysis[WASH], MATCH(tblPiNHistorical[[#This Row],[ID]], tblPiNAnalysis[ID], 0)), "")</f>
        <v>0</v>
      </c>
      <c r="AF32" s="6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32" s="67" t="str">
        <f>IF(OR(tblPiNHistorical[[#This Row],[Education Old]]="", tblPiNHistorical[[#This Row],[Education Old]]=0, tblPiNHistorical[[#This Row],[Education New]]="", tblPiNHistorical[[#This Row],[Education New]]=0), "", tblPiNHistorical[[#This Row],[Education New]]-tblPiNHistorical[[#This Row],[Education Old]])</f>
        <v/>
      </c>
      <c r="AH32" s="67"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32" s="67" t="str">
        <f>IF(OR(tblPiNHistorical[[#This Row],[Health Old]]="", tblPiNHistorical[[#This Row],[Health Old]]=0, tblPiNHistorical[[#This Row],[Health New]]="", tblPiNHistorical[[#This Row],[Health New]]=0), "", tblPiNHistorical[[#This Row],[Health New]]-tblPiNHistorical[[#This Row],[Health Old]])</f>
        <v/>
      </c>
      <c r="AJ32" s="67" t="str">
        <f>IF(OR(tblPiNHistorical[[#This Row],[Nutrition Old]]="", tblPiNHistorical[[#This Row],[Nutrition Old]]=0, tblPiNHistorical[[#This Row],[Nutrition New]]="", tblPiNHistorical[[#This Row],[Nutrition New]]=0), "", tblPiNHistorical[[#This Row],[Nutrition New]]-tblPiNHistorical[[#This Row],[Nutrition Old]])</f>
        <v/>
      </c>
      <c r="AK32" s="67" t="str">
        <f>IF(OR(tblPiNHistorical[[#This Row],[Protection Old]]="", tblPiNHistorical[[#This Row],[Protection Old]]=0, tblPiNHistorical[[#This Row],[Protection New]]="", tblPiNHistorical[[#This Row],[Protection New]]=0), "", tblPiNHistorical[[#This Row],[Protection New]]-tblPiNHistorical[[#This Row],[Protection Old]])</f>
        <v/>
      </c>
      <c r="AL32" s="67" t="str">
        <f>IF(OR(tblPiNHistorical[[#This Row],[CP Old ]]="", tblPiNHistorical[[#This Row],[CP Old ]]=0, tblPiNHistorical[[#This Row],[CP New]]="", tblPiNHistorical[[#This Row],[CP New]]=0), "", tblPiNHistorical[[#This Row],[CP New]]-tblPiNHistorical[[#This Row],[CP Old ]])</f>
        <v/>
      </c>
      <c r="AM32" s="83" t="str">
        <f>IF(OR(tblPiNHistorical[[#This Row],[GBV Old]]="", tblPiNHistorical[[#This Row],[GBV Old]]=0, tblPiNHistorical[[#This Row],[GBV New]]="", tblPiNHistorical[[#This Row],[GBV New]]=0), "", tblPiNHistorical[[#This Row],[GBV New]]-tblPiNHistorical[[#This Row],[GBV Old]])</f>
        <v/>
      </c>
      <c r="AN32" s="83" t="str">
        <f>IF(OR(tblPiNHistorical[[#This Row],[Mine Action Old]]="", tblPiNHistorical[[#This Row],[Mine Action Old]]=0, tblPiNHistorical[[#This Row],[Mine Action New]]="", tblPiNHistorical[[#This Row],[Mine Action New]]=0), "", tblPiNHistorical[[#This Row],[Mine Action New]]-tblPiNHistorical[[#This Row],[Mine Action Old]])</f>
        <v/>
      </c>
      <c r="AO32" s="67">
        <f>IF(OR(tblPiNHistorical[[#This Row],[Shelter NFI Old]]="", tblPiNHistorical[[#This Row],[Shelter NFI Old]]=0, tblPiNHistorical[[#This Row],[Shelter NFI New]]="", tblPiNHistorical[[#This Row],[Shelter NFI New]]=0), "", tblPiNHistorical[[#This Row],[Shelter NFI New]]-tblPiNHistorical[[#This Row],[Shelter NFI Old]])</f>
        <v>3009</v>
      </c>
      <c r="AP32" s="111" t="str">
        <f>IF(OR(tblPiNHistorical[[#This Row],[WASH Old]]="", tblPiNHistorical[[#This Row],[WASH Old]]=0, tblPiNHistorical[[#This Row],[WASH New]]="", tblPiNHistorical[[#This Row],[WASH New]]=0), "", tblPiNHistorical[[#This Row],[WASH New]]-tblPiNHistorical[[#This Row],[WASH Old]])</f>
        <v/>
      </c>
      <c r="AQ32" s="110">
        <f>IFERROR(ROUND((tblPiNHistorical[[#This Row],[Site Management - New]] - tblPiNHistorical[[#This Row],[Site Management - Old]])/tblPiNHistorical[[#This Row],[Site Management - Old]], 1), "")</f>
        <v>-1</v>
      </c>
      <c r="AR32" s="66">
        <f>IFERROR(ROUND((tblPiNHistorical[[#This Row],[Education New]]-tblPiNHistorical[[#This Row],[Education Old]])/tblPiNHistorical[[#This Row],[Education Old]], 1), "")</f>
        <v>-1</v>
      </c>
      <c r="AS32" s="66">
        <f>IFERROR(ROUND((tblPiNHistorical[[#This Row],[Food Security and Livlihoods New]]-tblPiNHistorical[[#This Row],[Food Security and Livlihoods Old]])/tblPiNHistorical[[#This Row],[Food Security and Livlihoods Old]], 1), "")</f>
        <v>-1</v>
      </c>
      <c r="AT32" s="66">
        <f>IFERROR(ROUND((tblPiNHistorical[[#This Row],[Health New]]-tblPiNHistorical[[#This Row],[Health Old]])/tblPiNHistorical[[#This Row],[Health Old]], 1), "")</f>
        <v>-1</v>
      </c>
      <c r="AU32" s="66">
        <f>IFERROR(ROUND((tblPiNHistorical[[#This Row],[Nutrition New]]-tblPiNHistorical[[#This Row],[Nutrition Old]])/tblPiNHistorical[[#This Row],[Nutrition Old]], 1), "")</f>
        <v>-1</v>
      </c>
      <c r="AV32" s="66">
        <f>IFERROR(ROUND((tblPiNHistorical[[#This Row],[Protection New]]-tblPiNHistorical[[#This Row],[Protection Old]])/tblPiNHistorical[[#This Row],[Protection Old]], 1), "")</f>
        <v>-1</v>
      </c>
      <c r="AW32" s="84">
        <f>IFERROR(ROUND((tblPiNHistorical[[#This Row],[CP New]]-tblPiNHistorical[[#This Row],[CP Old ]])/tblPiNHistorical[[#This Row],[CP Old ]], 1), "")</f>
        <v>-1</v>
      </c>
      <c r="AX32" s="84">
        <f>IFERROR(ROUND((tblPiNHistorical[[#This Row],[GBV New]]-tblPiNHistorical[[#This Row],[GBV Old]])/tblPiNHistorical[[#This Row],[GBV Old]], 1), "")</f>
        <v>-1</v>
      </c>
      <c r="AY32" s="84">
        <f>IFERROR(ROUND((tblPiNHistorical[[#This Row],[Mine Action New]]-tblPiNHistorical[[#This Row],[Mine Action Old]])/tblPiNHistorical[[#This Row],[Mine Action Old]], 1), "")</f>
        <v>-1</v>
      </c>
      <c r="AZ32" s="66">
        <f>IFERROR(ROUND((tblPiNHistorical[[#This Row],[Shelter NFI New]]-tblPiNHistorical[[#This Row],[Shelter NFI Old]])/tblPiNHistorical[[#This Row],[Shelter NFI Old]], 1), "")</f>
        <v>0.2</v>
      </c>
      <c r="BA32" s="36">
        <f>IFERROR(ROUND((tblPiNHistorical[[#This Row],[WASH New]]-tblPiNHistorical[[#This Row],[WASH Old]])/tblPiNHistorical[[#This Row],[WASH Old]], 1), "")</f>
        <v>-1</v>
      </c>
      <c r="BB32"/>
      <c r="BC32"/>
      <c r="BD32"/>
      <c r="BE32"/>
      <c r="BF32"/>
      <c r="BG32"/>
      <c r="BH32"/>
      <c r="BI32"/>
      <c r="BL32"/>
      <c r="BN32"/>
      <c r="BO32"/>
      <c r="BP32"/>
    </row>
    <row r="33" spans="1:68" x14ac:dyDescent="0.25">
      <c r="A33"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IDPsSD05152</v>
      </c>
      <c r="B33" s="127" t="s">
        <v>155</v>
      </c>
      <c r="C33" s="60" t="s">
        <v>122</v>
      </c>
      <c r="D33" s="60" t="s">
        <v>181</v>
      </c>
      <c r="E33" s="60" t="s">
        <v>180</v>
      </c>
      <c r="F33" s="54"/>
      <c r="G33" s="30"/>
      <c r="H33" s="56">
        <v>41320</v>
      </c>
      <c r="I33" s="37" t="s">
        <v>88</v>
      </c>
      <c r="J33" s="34">
        <v>7098</v>
      </c>
      <c r="K33" s="116">
        <v>16019.763999999999</v>
      </c>
      <c r="L33" s="114">
        <v>41320</v>
      </c>
      <c r="M33" s="114">
        <v>41320</v>
      </c>
      <c r="N33" s="114">
        <v>4286</v>
      </c>
      <c r="O33" s="114">
        <v>41320</v>
      </c>
      <c r="P33" s="114">
        <v>22726</v>
      </c>
      <c r="Q33" s="114">
        <v>16356</v>
      </c>
      <c r="R33" s="114">
        <v>0</v>
      </c>
      <c r="S33" s="114">
        <v>24792</v>
      </c>
      <c r="T33" s="196">
        <v>47719.641600000003</v>
      </c>
      <c r="U33" s="52">
        <f>IFERROR(INDEX(tblPiNAnalysis[[Site Management ]], MATCH(tblPiNHistorical[[#This Row],[ID]], tblPiNAnalysis[ID], 0)), "")</f>
        <v>0</v>
      </c>
      <c r="V33" s="52">
        <f>IFERROR(INDEX(tblPiNAnalysis[Education], MATCH(tblPiNHistorical[[#This Row],[ID]], tblPiNAnalysis[ID], 0)), "")</f>
        <v>0</v>
      </c>
      <c r="W33" s="28">
        <f>IFERROR(INDEX(tblPiNAnalysis[Food Security and Livlihoods], MATCH(tblPiNHistorical[[#This Row],[ID]], tblPiNAnalysis[ID], 0)), "")</f>
        <v>0</v>
      </c>
      <c r="X33" s="28">
        <f>IFERROR(INDEX(tblPiNAnalysis[[Health ]], MATCH(tblPiNHistorical[[#This Row],[ID]], tblPiNAnalysis[ID], 0)), "")</f>
        <v>0</v>
      </c>
      <c r="Y33" s="28">
        <f>IFERROR(INDEX(tblPiNAnalysis[Nutrition], MATCH(tblPiNHistorical[[#This Row],[ID]], tblPiNAnalysis[ID], 0)), "")</f>
        <v>0</v>
      </c>
      <c r="Z33" s="28">
        <f>IFERROR(INDEX(tblPiNAnalysis[Protection], MATCH(tblPiNHistorical[[#This Row],[ID]], tblPiNAnalysis[ID], 0)), "")</f>
        <v>0</v>
      </c>
      <c r="AA33" s="28">
        <f>IFERROR(INDEX(tblPiNAnalysis[CP], MATCH(tblPiNHistorical[[#This Row],[ID]], tblPiNAnalysis[ID], 0)), "")</f>
        <v>0</v>
      </c>
      <c r="AB33" s="83">
        <f>IFERROR(INDEX(tblPiNAnalysis[GBV], MATCH(tblPiNHistorical[[#This Row],[ID]], tblPiNAnalysis[ID], 0)), "")</f>
        <v>0</v>
      </c>
      <c r="AC33" s="28">
        <f>IFERROR(INDEX(tblPiNAnalysis[Mine Action], MATCH(tblPiNHistorical[[#This Row],[ID]], tblPiNAnalysis[ID], 0)), "")</f>
        <v>0</v>
      </c>
      <c r="AD33" s="83">
        <f>IFERROR(INDEX(tblPiNAnalysis[[Shelter NFI ]], MATCH(tblPiNHistorical[[#This Row],[ID]], tblPiNAnalysis[ID], 0)), "")</f>
        <v>30302</v>
      </c>
      <c r="AE33" s="35">
        <f>IFERROR(INDEX(tblPiNAnalysis[WASH], MATCH(tblPiNHistorical[[#This Row],[ID]], tblPiNAnalysis[ID], 0)), "")</f>
        <v>0</v>
      </c>
      <c r="AF33" s="6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33" s="67" t="str">
        <f>IF(OR(tblPiNHistorical[[#This Row],[Education Old]]="", tblPiNHistorical[[#This Row],[Education Old]]=0, tblPiNHistorical[[#This Row],[Education New]]="", tblPiNHistorical[[#This Row],[Education New]]=0), "", tblPiNHistorical[[#This Row],[Education New]]-tblPiNHistorical[[#This Row],[Education Old]])</f>
        <v/>
      </c>
      <c r="AH33" s="67"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33" s="67" t="str">
        <f>IF(OR(tblPiNHistorical[[#This Row],[Health Old]]="", tblPiNHistorical[[#This Row],[Health Old]]=0, tblPiNHistorical[[#This Row],[Health New]]="", tblPiNHistorical[[#This Row],[Health New]]=0), "", tblPiNHistorical[[#This Row],[Health New]]-tblPiNHistorical[[#This Row],[Health Old]])</f>
        <v/>
      </c>
      <c r="AJ33" s="67" t="str">
        <f>IF(OR(tblPiNHistorical[[#This Row],[Nutrition Old]]="", tblPiNHistorical[[#This Row],[Nutrition Old]]=0, tblPiNHistorical[[#This Row],[Nutrition New]]="", tblPiNHistorical[[#This Row],[Nutrition New]]=0), "", tblPiNHistorical[[#This Row],[Nutrition New]]-tblPiNHistorical[[#This Row],[Nutrition Old]])</f>
        <v/>
      </c>
      <c r="AK33" s="67" t="str">
        <f>IF(OR(tblPiNHistorical[[#This Row],[Protection Old]]="", tblPiNHistorical[[#This Row],[Protection Old]]=0, tblPiNHistorical[[#This Row],[Protection New]]="", tblPiNHistorical[[#This Row],[Protection New]]=0), "", tblPiNHistorical[[#This Row],[Protection New]]-tblPiNHistorical[[#This Row],[Protection Old]])</f>
        <v/>
      </c>
      <c r="AL33" s="67" t="str">
        <f>IF(OR(tblPiNHistorical[[#This Row],[CP Old ]]="", tblPiNHistorical[[#This Row],[CP Old ]]=0, tblPiNHistorical[[#This Row],[CP New]]="", tblPiNHistorical[[#This Row],[CP New]]=0), "", tblPiNHistorical[[#This Row],[CP New]]-tblPiNHistorical[[#This Row],[CP Old ]])</f>
        <v/>
      </c>
      <c r="AM33" s="83" t="str">
        <f>IF(OR(tblPiNHistorical[[#This Row],[GBV Old]]="", tblPiNHistorical[[#This Row],[GBV Old]]=0, tblPiNHistorical[[#This Row],[GBV New]]="", tblPiNHistorical[[#This Row],[GBV New]]=0), "", tblPiNHistorical[[#This Row],[GBV New]]-tblPiNHistorical[[#This Row],[GBV Old]])</f>
        <v/>
      </c>
      <c r="AN33" s="83" t="str">
        <f>IF(OR(tblPiNHistorical[[#This Row],[Mine Action Old]]="", tblPiNHistorical[[#This Row],[Mine Action Old]]=0, tblPiNHistorical[[#This Row],[Mine Action New]]="", tblPiNHistorical[[#This Row],[Mine Action New]]=0), "", tblPiNHistorical[[#This Row],[Mine Action New]]-tblPiNHistorical[[#This Row],[Mine Action Old]])</f>
        <v/>
      </c>
      <c r="AO33" s="67">
        <f>IF(OR(tblPiNHistorical[[#This Row],[Shelter NFI Old]]="", tblPiNHistorical[[#This Row],[Shelter NFI Old]]=0, tblPiNHistorical[[#This Row],[Shelter NFI New]]="", tblPiNHistorical[[#This Row],[Shelter NFI New]]=0), "", tblPiNHistorical[[#This Row],[Shelter NFI New]]-tblPiNHistorical[[#This Row],[Shelter NFI Old]])</f>
        <v>5510</v>
      </c>
      <c r="AP33" s="111" t="str">
        <f>IF(OR(tblPiNHistorical[[#This Row],[WASH Old]]="", tblPiNHistorical[[#This Row],[WASH Old]]=0, tblPiNHistorical[[#This Row],[WASH New]]="", tblPiNHistorical[[#This Row],[WASH New]]=0), "", tblPiNHistorical[[#This Row],[WASH New]]-tblPiNHistorical[[#This Row],[WASH Old]])</f>
        <v/>
      </c>
      <c r="AQ33" s="110">
        <f>IFERROR(ROUND((tblPiNHistorical[[#This Row],[Site Management - New]] - tblPiNHistorical[[#This Row],[Site Management - Old]])/tblPiNHistorical[[#This Row],[Site Management - Old]], 1), "")</f>
        <v>-1</v>
      </c>
      <c r="AR33" s="66">
        <f>IFERROR(ROUND((tblPiNHistorical[[#This Row],[Education New]]-tblPiNHistorical[[#This Row],[Education Old]])/tblPiNHistorical[[#This Row],[Education Old]], 1), "")</f>
        <v>-1</v>
      </c>
      <c r="AS33" s="66">
        <f>IFERROR(ROUND((tblPiNHistorical[[#This Row],[Food Security and Livlihoods New]]-tblPiNHistorical[[#This Row],[Food Security and Livlihoods Old]])/tblPiNHistorical[[#This Row],[Food Security and Livlihoods Old]], 1), "")</f>
        <v>-1</v>
      </c>
      <c r="AT33" s="66">
        <f>IFERROR(ROUND((tblPiNHistorical[[#This Row],[Health New]]-tblPiNHistorical[[#This Row],[Health Old]])/tblPiNHistorical[[#This Row],[Health Old]], 1), "")</f>
        <v>-1</v>
      </c>
      <c r="AU33" s="66">
        <f>IFERROR(ROUND((tblPiNHistorical[[#This Row],[Nutrition New]]-tblPiNHistorical[[#This Row],[Nutrition Old]])/tblPiNHistorical[[#This Row],[Nutrition Old]], 1), "")</f>
        <v>-1</v>
      </c>
      <c r="AV33" s="66">
        <f>IFERROR(ROUND((tblPiNHistorical[[#This Row],[Protection New]]-tblPiNHistorical[[#This Row],[Protection Old]])/tblPiNHistorical[[#This Row],[Protection Old]], 1), "")</f>
        <v>-1</v>
      </c>
      <c r="AW33" s="84">
        <f>IFERROR(ROUND((tblPiNHistorical[[#This Row],[CP New]]-tblPiNHistorical[[#This Row],[CP Old ]])/tblPiNHistorical[[#This Row],[CP Old ]], 1), "")</f>
        <v>-1</v>
      </c>
      <c r="AX33" s="84">
        <f>IFERROR(ROUND((tblPiNHistorical[[#This Row],[GBV New]]-tblPiNHistorical[[#This Row],[GBV Old]])/tblPiNHistorical[[#This Row],[GBV Old]], 1), "")</f>
        <v>-1</v>
      </c>
      <c r="AY33" s="84" t="str">
        <f>IFERROR(ROUND((tblPiNHistorical[[#This Row],[Mine Action New]]-tblPiNHistorical[[#This Row],[Mine Action Old]])/tblPiNHistorical[[#This Row],[Mine Action Old]], 1), "")</f>
        <v/>
      </c>
      <c r="AZ33" s="66">
        <f>IFERROR(ROUND((tblPiNHistorical[[#This Row],[Shelter NFI New]]-tblPiNHistorical[[#This Row],[Shelter NFI Old]])/tblPiNHistorical[[#This Row],[Shelter NFI Old]], 1), "")</f>
        <v>0.2</v>
      </c>
      <c r="BA33" s="36">
        <f>IFERROR(ROUND((tblPiNHistorical[[#This Row],[WASH New]]-tblPiNHistorical[[#This Row],[WASH Old]])/tblPiNHistorical[[#This Row],[WASH Old]], 1), "")</f>
        <v>-1</v>
      </c>
      <c r="BB33"/>
      <c r="BC33"/>
      <c r="BD33"/>
      <c r="BE33"/>
      <c r="BF33"/>
      <c r="BG33"/>
      <c r="BH33"/>
      <c r="BI33"/>
      <c r="BL33"/>
      <c r="BN33"/>
      <c r="BO33"/>
      <c r="BP33"/>
    </row>
    <row r="34" spans="1:68" x14ac:dyDescent="0.25">
      <c r="A34"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IDPsSD05163</v>
      </c>
      <c r="B34" s="127" t="s">
        <v>155</v>
      </c>
      <c r="C34" s="60" t="s">
        <v>122</v>
      </c>
      <c r="D34" s="60" t="s">
        <v>190</v>
      </c>
      <c r="E34" s="60" t="s">
        <v>189</v>
      </c>
      <c r="F34" s="54"/>
      <c r="G34" s="30"/>
      <c r="H34" s="56">
        <v>5610</v>
      </c>
      <c r="I34" s="37" t="s">
        <v>88</v>
      </c>
      <c r="J34" s="34">
        <v>5360</v>
      </c>
      <c r="K34" s="116">
        <v>2174.9969999999998</v>
      </c>
      <c r="L34" s="114">
        <v>5610</v>
      </c>
      <c r="M34" s="114">
        <v>5610</v>
      </c>
      <c r="N34" s="114">
        <v>659</v>
      </c>
      <c r="O34" s="114">
        <v>5610</v>
      </c>
      <c r="P34" s="114">
        <v>3086</v>
      </c>
      <c r="Q34" s="114">
        <v>2221</v>
      </c>
      <c r="R34" s="114">
        <v>0</v>
      </c>
      <c r="S34" s="114">
        <v>2244</v>
      </c>
      <c r="T34" s="196">
        <v>0</v>
      </c>
      <c r="U34" s="52">
        <f>IFERROR(INDEX(tblPiNAnalysis[[Site Management ]], MATCH(tblPiNHistorical[[#This Row],[ID]], tblPiNAnalysis[ID], 0)), "")</f>
        <v>0</v>
      </c>
      <c r="V34" s="52">
        <f>IFERROR(INDEX(tblPiNAnalysis[Education], MATCH(tblPiNHistorical[[#This Row],[ID]], tblPiNAnalysis[ID], 0)), "")</f>
        <v>0</v>
      </c>
      <c r="W34" s="28">
        <f>IFERROR(INDEX(tblPiNAnalysis[Food Security and Livlihoods], MATCH(tblPiNHistorical[[#This Row],[ID]], tblPiNAnalysis[ID], 0)), "")</f>
        <v>0</v>
      </c>
      <c r="X34" s="28">
        <f>IFERROR(INDEX(tblPiNAnalysis[[Health ]], MATCH(tblPiNHistorical[[#This Row],[ID]], tblPiNAnalysis[ID], 0)), "")</f>
        <v>0</v>
      </c>
      <c r="Y34" s="28">
        <f>IFERROR(INDEX(tblPiNAnalysis[Nutrition], MATCH(tblPiNHistorical[[#This Row],[ID]], tblPiNAnalysis[ID], 0)), "")</f>
        <v>0</v>
      </c>
      <c r="Z34" s="28">
        <f>IFERROR(INDEX(tblPiNAnalysis[Protection], MATCH(tblPiNHistorical[[#This Row],[ID]], tblPiNAnalysis[ID], 0)), "")</f>
        <v>0</v>
      </c>
      <c r="AA34" s="28">
        <f>IFERROR(INDEX(tblPiNAnalysis[CP], MATCH(tblPiNHistorical[[#This Row],[ID]], tblPiNAnalysis[ID], 0)), "")</f>
        <v>0</v>
      </c>
      <c r="AB34" s="83">
        <f>IFERROR(INDEX(tblPiNAnalysis[GBV], MATCH(tblPiNHistorical[[#This Row],[ID]], tblPiNAnalysis[ID], 0)), "")</f>
        <v>0</v>
      </c>
      <c r="AC34" s="28">
        <f>IFERROR(INDEX(tblPiNAnalysis[Mine Action], MATCH(tblPiNHistorical[[#This Row],[ID]], tblPiNAnalysis[ID], 0)), "")</f>
        <v>0</v>
      </c>
      <c r="AD34" s="83">
        <f>IFERROR(INDEX(tblPiNAnalysis[[Shelter NFI ]], MATCH(tblPiNHistorical[[#This Row],[ID]], tblPiNAnalysis[ID], 0)), "")</f>
        <v>19833</v>
      </c>
      <c r="AE34" s="35">
        <f>IFERROR(INDEX(tblPiNAnalysis[WASH], MATCH(tblPiNHistorical[[#This Row],[ID]], tblPiNAnalysis[ID], 0)), "")</f>
        <v>0</v>
      </c>
      <c r="AF34" s="6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34" s="67" t="str">
        <f>IF(OR(tblPiNHistorical[[#This Row],[Education Old]]="", tblPiNHistorical[[#This Row],[Education Old]]=0, tblPiNHistorical[[#This Row],[Education New]]="", tblPiNHistorical[[#This Row],[Education New]]=0), "", tblPiNHistorical[[#This Row],[Education New]]-tblPiNHistorical[[#This Row],[Education Old]])</f>
        <v/>
      </c>
      <c r="AH34" s="67"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34" s="67" t="str">
        <f>IF(OR(tblPiNHistorical[[#This Row],[Health Old]]="", tblPiNHistorical[[#This Row],[Health Old]]=0, tblPiNHistorical[[#This Row],[Health New]]="", tblPiNHistorical[[#This Row],[Health New]]=0), "", tblPiNHistorical[[#This Row],[Health New]]-tblPiNHistorical[[#This Row],[Health Old]])</f>
        <v/>
      </c>
      <c r="AJ34" s="67" t="str">
        <f>IF(OR(tblPiNHistorical[[#This Row],[Nutrition Old]]="", tblPiNHistorical[[#This Row],[Nutrition Old]]=0, tblPiNHistorical[[#This Row],[Nutrition New]]="", tblPiNHistorical[[#This Row],[Nutrition New]]=0), "", tblPiNHistorical[[#This Row],[Nutrition New]]-tblPiNHistorical[[#This Row],[Nutrition Old]])</f>
        <v/>
      </c>
      <c r="AK34" s="67" t="str">
        <f>IF(OR(tblPiNHistorical[[#This Row],[Protection Old]]="", tblPiNHistorical[[#This Row],[Protection Old]]=0, tblPiNHistorical[[#This Row],[Protection New]]="", tblPiNHistorical[[#This Row],[Protection New]]=0), "", tblPiNHistorical[[#This Row],[Protection New]]-tblPiNHistorical[[#This Row],[Protection Old]])</f>
        <v/>
      </c>
      <c r="AL34" s="67" t="str">
        <f>IF(OR(tblPiNHistorical[[#This Row],[CP Old ]]="", tblPiNHistorical[[#This Row],[CP Old ]]=0, tblPiNHistorical[[#This Row],[CP New]]="", tblPiNHistorical[[#This Row],[CP New]]=0), "", tblPiNHistorical[[#This Row],[CP New]]-tblPiNHistorical[[#This Row],[CP Old ]])</f>
        <v/>
      </c>
      <c r="AM34" s="83" t="str">
        <f>IF(OR(tblPiNHistorical[[#This Row],[GBV Old]]="", tblPiNHistorical[[#This Row],[GBV Old]]=0, tblPiNHistorical[[#This Row],[GBV New]]="", tblPiNHistorical[[#This Row],[GBV New]]=0), "", tblPiNHistorical[[#This Row],[GBV New]]-tblPiNHistorical[[#This Row],[GBV Old]])</f>
        <v/>
      </c>
      <c r="AN34" s="83" t="str">
        <f>IF(OR(tblPiNHistorical[[#This Row],[Mine Action Old]]="", tblPiNHistorical[[#This Row],[Mine Action Old]]=0, tblPiNHistorical[[#This Row],[Mine Action New]]="", tblPiNHistorical[[#This Row],[Mine Action New]]=0), "", tblPiNHistorical[[#This Row],[Mine Action New]]-tblPiNHistorical[[#This Row],[Mine Action Old]])</f>
        <v/>
      </c>
      <c r="AO34" s="67">
        <f>IF(OR(tblPiNHistorical[[#This Row],[Shelter NFI Old]]="", tblPiNHistorical[[#This Row],[Shelter NFI Old]]=0, tblPiNHistorical[[#This Row],[Shelter NFI New]]="", tblPiNHistorical[[#This Row],[Shelter NFI New]]=0), "", tblPiNHistorical[[#This Row],[Shelter NFI New]]-tblPiNHistorical[[#This Row],[Shelter NFI Old]])</f>
        <v>17589</v>
      </c>
      <c r="AP34" s="111" t="str">
        <f>IF(OR(tblPiNHistorical[[#This Row],[WASH Old]]="", tblPiNHistorical[[#This Row],[WASH Old]]=0, tblPiNHistorical[[#This Row],[WASH New]]="", tblPiNHistorical[[#This Row],[WASH New]]=0), "", tblPiNHistorical[[#This Row],[WASH New]]-tblPiNHistorical[[#This Row],[WASH Old]])</f>
        <v/>
      </c>
      <c r="AQ34" s="110">
        <f>IFERROR(ROUND((tblPiNHistorical[[#This Row],[Site Management - New]] - tblPiNHistorical[[#This Row],[Site Management - Old]])/tblPiNHistorical[[#This Row],[Site Management - Old]], 1), "")</f>
        <v>-1</v>
      </c>
      <c r="AR34" s="66">
        <f>IFERROR(ROUND((tblPiNHistorical[[#This Row],[Education New]]-tblPiNHistorical[[#This Row],[Education Old]])/tblPiNHistorical[[#This Row],[Education Old]], 1), "")</f>
        <v>-1</v>
      </c>
      <c r="AS34" s="66">
        <f>IFERROR(ROUND((tblPiNHistorical[[#This Row],[Food Security and Livlihoods New]]-tblPiNHistorical[[#This Row],[Food Security and Livlihoods Old]])/tblPiNHistorical[[#This Row],[Food Security and Livlihoods Old]], 1), "")</f>
        <v>-1</v>
      </c>
      <c r="AT34" s="66">
        <f>IFERROR(ROUND((tblPiNHistorical[[#This Row],[Health New]]-tblPiNHistorical[[#This Row],[Health Old]])/tblPiNHistorical[[#This Row],[Health Old]], 1), "")</f>
        <v>-1</v>
      </c>
      <c r="AU34" s="66">
        <f>IFERROR(ROUND((tblPiNHistorical[[#This Row],[Nutrition New]]-tblPiNHistorical[[#This Row],[Nutrition Old]])/tblPiNHistorical[[#This Row],[Nutrition Old]], 1), "")</f>
        <v>-1</v>
      </c>
      <c r="AV34" s="66">
        <f>IFERROR(ROUND((tblPiNHistorical[[#This Row],[Protection New]]-tblPiNHistorical[[#This Row],[Protection Old]])/tblPiNHistorical[[#This Row],[Protection Old]], 1), "")</f>
        <v>-1</v>
      </c>
      <c r="AW34" s="84">
        <f>IFERROR(ROUND((tblPiNHistorical[[#This Row],[CP New]]-tblPiNHistorical[[#This Row],[CP Old ]])/tblPiNHistorical[[#This Row],[CP Old ]], 1), "")</f>
        <v>-1</v>
      </c>
      <c r="AX34" s="84">
        <f>IFERROR(ROUND((tblPiNHistorical[[#This Row],[GBV New]]-tblPiNHistorical[[#This Row],[GBV Old]])/tblPiNHistorical[[#This Row],[GBV Old]], 1), "")</f>
        <v>-1</v>
      </c>
      <c r="AY34" s="84" t="str">
        <f>IFERROR(ROUND((tblPiNHistorical[[#This Row],[Mine Action New]]-tblPiNHistorical[[#This Row],[Mine Action Old]])/tblPiNHistorical[[#This Row],[Mine Action Old]], 1), "")</f>
        <v/>
      </c>
      <c r="AZ34" s="66">
        <f>IFERROR(ROUND((tblPiNHistorical[[#This Row],[Shelter NFI New]]-tblPiNHistorical[[#This Row],[Shelter NFI Old]])/tblPiNHistorical[[#This Row],[Shelter NFI Old]], 1), "")</f>
        <v>7.8</v>
      </c>
      <c r="BA34" s="36" t="str">
        <f>IFERROR(ROUND((tblPiNHistorical[[#This Row],[WASH New]]-tblPiNHistorical[[#This Row],[WASH Old]])/tblPiNHistorical[[#This Row],[WASH Old]], 1), "")</f>
        <v/>
      </c>
      <c r="BB34"/>
      <c r="BC34"/>
      <c r="BD34"/>
      <c r="BE34"/>
      <c r="BF34"/>
      <c r="BG34"/>
      <c r="BH34"/>
      <c r="BI34"/>
      <c r="BL34"/>
      <c r="BN34"/>
      <c r="BO34"/>
      <c r="BP34"/>
    </row>
    <row r="35" spans="1:68" x14ac:dyDescent="0.25">
      <c r="A35"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IDPsSD05160</v>
      </c>
      <c r="B35" s="127" t="s">
        <v>155</v>
      </c>
      <c r="C35" s="60" t="s">
        <v>122</v>
      </c>
      <c r="D35" s="60" t="s">
        <v>187</v>
      </c>
      <c r="E35" s="60" t="s">
        <v>186</v>
      </c>
      <c r="F35" s="54"/>
      <c r="G35" s="30"/>
      <c r="H35" s="56">
        <v>49920</v>
      </c>
      <c r="I35" s="37" t="s">
        <v>88</v>
      </c>
      <c r="J35" s="34">
        <v>0</v>
      </c>
      <c r="K35" s="116">
        <v>19353.984</v>
      </c>
      <c r="L35" s="114">
        <v>49920</v>
      </c>
      <c r="M35" s="114">
        <v>49920</v>
      </c>
      <c r="N35" s="114">
        <v>7818</v>
      </c>
      <c r="O35" s="114">
        <v>49920</v>
      </c>
      <c r="P35" s="114">
        <v>27456</v>
      </c>
      <c r="Q35" s="114">
        <v>19759</v>
      </c>
      <c r="R35" s="114">
        <v>14976</v>
      </c>
      <c r="S35" s="114">
        <v>29952</v>
      </c>
      <c r="T35" s="196">
        <v>55920.383999999998</v>
      </c>
      <c r="U35" s="52">
        <f>IFERROR(INDEX(tblPiNAnalysis[[Site Management ]], MATCH(tblPiNHistorical[[#This Row],[ID]], tblPiNAnalysis[ID], 0)), "")</f>
        <v>0</v>
      </c>
      <c r="V35" s="52">
        <f>IFERROR(INDEX(tblPiNAnalysis[Education], MATCH(tblPiNHistorical[[#This Row],[ID]], tblPiNAnalysis[ID], 0)), "")</f>
        <v>0</v>
      </c>
      <c r="W35" s="28">
        <f>IFERROR(INDEX(tblPiNAnalysis[Food Security and Livlihoods], MATCH(tblPiNHistorical[[#This Row],[ID]], tblPiNAnalysis[ID], 0)), "")</f>
        <v>0</v>
      </c>
      <c r="X35" s="28">
        <f>IFERROR(INDEX(tblPiNAnalysis[[Health ]], MATCH(tblPiNHistorical[[#This Row],[ID]], tblPiNAnalysis[ID], 0)), "")</f>
        <v>0</v>
      </c>
      <c r="Y35" s="28">
        <f>IFERROR(INDEX(tblPiNAnalysis[Nutrition], MATCH(tblPiNHistorical[[#This Row],[ID]], tblPiNAnalysis[ID], 0)), "")</f>
        <v>0</v>
      </c>
      <c r="Z35" s="28">
        <f>IFERROR(INDEX(tblPiNAnalysis[Protection], MATCH(tblPiNHistorical[[#This Row],[ID]], tblPiNAnalysis[ID], 0)), "")</f>
        <v>0</v>
      </c>
      <c r="AA35" s="28">
        <f>IFERROR(INDEX(tblPiNAnalysis[CP], MATCH(tblPiNHistorical[[#This Row],[ID]], tblPiNAnalysis[ID], 0)), "")</f>
        <v>0</v>
      </c>
      <c r="AB35" s="83">
        <f>IFERROR(INDEX(tblPiNAnalysis[GBV], MATCH(tblPiNHistorical[[#This Row],[ID]], tblPiNAnalysis[ID], 0)), "")</f>
        <v>0</v>
      </c>
      <c r="AC35" s="28">
        <f>IFERROR(INDEX(tblPiNAnalysis[Mine Action], MATCH(tblPiNHistorical[[#This Row],[ID]], tblPiNAnalysis[ID], 0)), "")</f>
        <v>0</v>
      </c>
      <c r="AD35" s="83">
        <f>IFERROR(INDEX(tblPiNAnalysis[[Shelter NFI ]], MATCH(tblPiNHistorical[[#This Row],[ID]], tblPiNAnalysis[ID], 0)), "")</f>
        <v>50323</v>
      </c>
      <c r="AE35" s="35">
        <f>IFERROR(INDEX(tblPiNAnalysis[WASH], MATCH(tblPiNHistorical[[#This Row],[ID]], tblPiNAnalysis[ID], 0)), "")</f>
        <v>0</v>
      </c>
      <c r="AF35" s="6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35" s="67" t="str">
        <f>IF(OR(tblPiNHistorical[[#This Row],[Education Old]]="", tblPiNHistorical[[#This Row],[Education Old]]=0, tblPiNHistorical[[#This Row],[Education New]]="", tblPiNHistorical[[#This Row],[Education New]]=0), "", tblPiNHistorical[[#This Row],[Education New]]-tblPiNHistorical[[#This Row],[Education Old]])</f>
        <v/>
      </c>
      <c r="AH35" s="67"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35" s="67" t="str">
        <f>IF(OR(tblPiNHistorical[[#This Row],[Health Old]]="", tblPiNHistorical[[#This Row],[Health Old]]=0, tblPiNHistorical[[#This Row],[Health New]]="", tblPiNHistorical[[#This Row],[Health New]]=0), "", tblPiNHistorical[[#This Row],[Health New]]-tblPiNHistorical[[#This Row],[Health Old]])</f>
        <v/>
      </c>
      <c r="AJ35" s="67" t="str">
        <f>IF(OR(tblPiNHistorical[[#This Row],[Nutrition Old]]="", tblPiNHistorical[[#This Row],[Nutrition Old]]=0, tblPiNHistorical[[#This Row],[Nutrition New]]="", tblPiNHistorical[[#This Row],[Nutrition New]]=0), "", tblPiNHistorical[[#This Row],[Nutrition New]]-tblPiNHistorical[[#This Row],[Nutrition Old]])</f>
        <v/>
      </c>
      <c r="AK35" s="67" t="str">
        <f>IF(OR(tblPiNHistorical[[#This Row],[Protection Old]]="", tblPiNHistorical[[#This Row],[Protection Old]]=0, tblPiNHistorical[[#This Row],[Protection New]]="", tblPiNHistorical[[#This Row],[Protection New]]=0), "", tblPiNHistorical[[#This Row],[Protection New]]-tblPiNHistorical[[#This Row],[Protection Old]])</f>
        <v/>
      </c>
      <c r="AL35" s="67" t="str">
        <f>IF(OR(tblPiNHistorical[[#This Row],[CP Old ]]="", tblPiNHistorical[[#This Row],[CP Old ]]=0, tblPiNHistorical[[#This Row],[CP New]]="", tblPiNHistorical[[#This Row],[CP New]]=0), "", tblPiNHistorical[[#This Row],[CP New]]-tblPiNHistorical[[#This Row],[CP Old ]])</f>
        <v/>
      </c>
      <c r="AM35" s="83" t="str">
        <f>IF(OR(tblPiNHistorical[[#This Row],[GBV Old]]="", tblPiNHistorical[[#This Row],[GBV Old]]=0, tblPiNHistorical[[#This Row],[GBV New]]="", tblPiNHistorical[[#This Row],[GBV New]]=0), "", tblPiNHistorical[[#This Row],[GBV New]]-tblPiNHistorical[[#This Row],[GBV Old]])</f>
        <v/>
      </c>
      <c r="AN35" s="83" t="str">
        <f>IF(OR(tblPiNHistorical[[#This Row],[Mine Action Old]]="", tblPiNHistorical[[#This Row],[Mine Action Old]]=0, tblPiNHistorical[[#This Row],[Mine Action New]]="", tblPiNHistorical[[#This Row],[Mine Action New]]=0), "", tblPiNHistorical[[#This Row],[Mine Action New]]-tblPiNHistorical[[#This Row],[Mine Action Old]])</f>
        <v/>
      </c>
      <c r="AO35" s="67">
        <f>IF(OR(tblPiNHistorical[[#This Row],[Shelter NFI Old]]="", tblPiNHistorical[[#This Row],[Shelter NFI Old]]=0, tblPiNHistorical[[#This Row],[Shelter NFI New]]="", tblPiNHistorical[[#This Row],[Shelter NFI New]]=0), "", tblPiNHistorical[[#This Row],[Shelter NFI New]]-tblPiNHistorical[[#This Row],[Shelter NFI Old]])</f>
        <v>20371</v>
      </c>
      <c r="AP35" s="111" t="str">
        <f>IF(OR(tblPiNHistorical[[#This Row],[WASH Old]]="", tblPiNHistorical[[#This Row],[WASH Old]]=0, tblPiNHistorical[[#This Row],[WASH New]]="", tblPiNHistorical[[#This Row],[WASH New]]=0), "", tblPiNHistorical[[#This Row],[WASH New]]-tblPiNHistorical[[#This Row],[WASH Old]])</f>
        <v/>
      </c>
      <c r="AQ35" s="110" t="str">
        <f>IFERROR(ROUND((tblPiNHistorical[[#This Row],[Site Management - New]] - tblPiNHistorical[[#This Row],[Site Management - Old]])/tblPiNHistorical[[#This Row],[Site Management - Old]], 1), "")</f>
        <v/>
      </c>
      <c r="AR35" s="66">
        <f>IFERROR(ROUND((tblPiNHistorical[[#This Row],[Education New]]-tblPiNHistorical[[#This Row],[Education Old]])/tblPiNHistorical[[#This Row],[Education Old]], 1), "")</f>
        <v>-1</v>
      </c>
      <c r="AS35" s="66">
        <f>IFERROR(ROUND((tblPiNHistorical[[#This Row],[Food Security and Livlihoods New]]-tblPiNHistorical[[#This Row],[Food Security and Livlihoods Old]])/tblPiNHistorical[[#This Row],[Food Security and Livlihoods Old]], 1), "")</f>
        <v>-1</v>
      </c>
      <c r="AT35" s="66">
        <f>IFERROR(ROUND((tblPiNHistorical[[#This Row],[Health New]]-tblPiNHistorical[[#This Row],[Health Old]])/tblPiNHistorical[[#This Row],[Health Old]], 1), "")</f>
        <v>-1</v>
      </c>
      <c r="AU35" s="66">
        <f>IFERROR(ROUND((tblPiNHistorical[[#This Row],[Nutrition New]]-tblPiNHistorical[[#This Row],[Nutrition Old]])/tblPiNHistorical[[#This Row],[Nutrition Old]], 1), "")</f>
        <v>-1</v>
      </c>
      <c r="AV35" s="66">
        <f>IFERROR(ROUND((tblPiNHistorical[[#This Row],[Protection New]]-tblPiNHistorical[[#This Row],[Protection Old]])/tblPiNHistorical[[#This Row],[Protection Old]], 1), "")</f>
        <v>-1</v>
      </c>
      <c r="AW35" s="84">
        <f>IFERROR(ROUND((tblPiNHistorical[[#This Row],[CP New]]-tblPiNHistorical[[#This Row],[CP Old ]])/tblPiNHistorical[[#This Row],[CP Old ]], 1), "")</f>
        <v>-1</v>
      </c>
      <c r="AX35" s="84">
        <f>IFERROR(ROUND((tblPiNHistorical[[#This Row],[GBV New]]-tblPiNHistorical[[#This Row],[GBV Old]])/tblPiNHistorical[[#This Row],[GBV Old]], 1), "")</f>
        <v>-1</v>
      </c>
      <c r="AY35" s="84">
        <f>IFERROR(ROUND((tblPiNHistorical[[#This Row],[Mine Action New]]-tblPiNHistorical[[#This Row],[Mine Action Old]])/tblPiNHistorical[[#This Row],[Mine Action Old]], 1), "")</f>
        <v>-1</v>
      </c>
      <c r="AZ35" s="66">
        <f>IFERROR(ROUND((tblPiNHistorical[[#This Row],[Shelter NFI New]]-tblPiNHistorical[[#This Row],[Shelter NFI Old]])/tblPiNHistorical[[#This Row],[Shelter NFI Old]], 1), "")</f>
        <v>0.7</v>
      </c>
      <c r="BA35" s="36">
        <f>IFERROR(ROUND((tblPiNHistorical[[#This Row],[WASH New]]-tblPiNHistorical[[#This Row],[WASH Old]])/tblPiNHistorical[[#This Row],[WASH Old]], 1), "")</f>
        <v>-1</v>
      </c>
      <c r="BB35"/>
      <c r="BC35"/>
      <c r="BD35"/>
      <c r="BE35"/>
      <c r="BF35"/>
      <c r="BG35"/>
      <c r="BH35"/>
      <c r="BI35"/>
      <c r="BL35"/>
      <c r="BN35"/>
      <c r="BO35"/>
      <c r="BP35"/>
    </row>
    <row r="36" spans="1:68" x14ac:dyDescent="0.25">
      <c r="A36"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IDPsSD05148</v>
      </c>
      <c r="B36" s="127" t="s">
        <v>155</v>
      </c>
      <c r="C36" s="60" t="s">
        <v>122</v>
      </c>
      <c r="D36" s="60" t="s">
        <v>178</v>
      </c>
      <c r="E36" s="60" t="s">
        <v>177</v>
      </c>
      <c r="F36" s="54"/>
      <c r="G36" s="30"/>
      <c r="H36" s="56">
        <v>77325</v>
      </c>
      <c r="I36" s="37" t="s">
        <v>88</v>
      </c>
      <c r="J36" s="34">
        <v>5272</v>
      </c>
      <c r="K36" s="116">
        <v>29978.9025</v>
      </c>
      <c r="L36" s="114">
        <v>77325</v>
      </c>
      <c r="M36" s="114">
        <v>77325</v>
      </c>
      <c r="N36" s="114">
        <v>21726</v>
      </c>
      <c r="O36" s="114">
        <v>77325</v>
      </c>
      <c r="P36" s="114">
        <v>42529</v>
      </c>
      <c r="Q36" s="114">
        <v>30605</v>
      </c>
      <c r="R36" s="114">
        <v>30930</v>
      </c>
      <c r="S36" s="114">
        <v>46395</v>
      </c>
      <c r="T36" s="196">
        <v>91138.338000000003</v>
      </c>
      <c r="U36" s="52">
        <f>IFERROR(INDEX(tblPiNAnalysis[[Site Management ]], MATCH(tblPiNHistorical[[#This Row],[ID]], tblPiNAnalysis[ID], 0)), "")</f>
        <v>0</v>
      </c>
      <c r="V36" s="52">
        <f>IFERROR(INDEX(tblPiNAnalysis[Education], MATCH(tblPiNHistorical[[#This Row],[ID]], tblPiNAnalysis[ID], 0)), "")</f>
        <v>0</v>
      </c>
      <c r="W36" s="28">
        <f>IFERROR(INDEX(tblPiNAnalysis[Food Security and Livlihoods], MATCH(tblPiNHistorical[[#This Row],[ID]], tblPiNAnalysis[ID], 0)), "")</f>
        <v>0</v>
      </c>
      <c r="X36" s="28">
        <f>IFERROR(INDEX(tblPiNAnalysis[[Health ]], MATCH(tblPiNHistorical[[#This Row],[ID]], tblPiNAnalysis[ID], 0)), "")</f>
        <v>0</v>
      </c>
      <c r="Y36" s="28">
        <f>IFERROR(INDEX(tblPiNAnalysis[Nutrition], MATCH(tblPiNHistorical[[#This Row],[ID]], tblPiNAnalysis[ID], 0)), "")</f>
        <v>0</v>
      </c>
      <c r="Z36" s="28">
        <f>IFERROR(INDEX(tblPiNAnalysis[Protection], MATCH(tblPiNHistorical[[#This Row],[ID]], tblPiNAnalysis[ID], 0)), "")</f>
        <v>0</v>
      </c>
      <c r="AA36" s="28">
        <f>IFERROR(INDEX(tblPiNAnalysis[CP], MATCH(tblPiNHistorical[[#This Row],[ID]], tblPiNAnalysis[ID], 0)), "")</f>
        <v>0</v>
      </c>
      <c r="AB36" s="83">
        <f>IFERROR(INDEX(tblPiNAnalysis[GBV], MATCH(tblPiNHistorical[[#This Row],[ID]], tblPiNAnalysis[ID], 0)), "")</f>
        <v>0</v>
      </c>
      <c r="AC36" s="28">
        <f>IFERROR(INDEX(tblPiNAnalysis[Mine Action], MATCH(tblPiNHistorical[[#This Row],[ID]], tblPiNAnalysis[ID], 0)), "")</f>
        <v>0</v>
      </c>
      <c r="AD36" s="83">
        <f>IFERROR(INDEX(tblPiNAnalysis[[Shelter NFI ]], MATCH(tblPiNHistorical[[#This Row],[ID]], tblPiNAnalysis[ID], 0)), "")</f>
        <v>137785</v>
      </c>
      <c r="AE36" s="35">
        <f>IFERROR(INDEX(tblPiNAnalysis[WASH], MATCH(tblPiNHistorical[[#This Row],[ID]], tblPiNAnalysis[ID], 0)), "")</f>
        <v>0</v>
      </c>
      <c r="AF36" s="6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36" s="67" t="str">
        <f>IF(OR(tblPiNHistorical[[#This Row],[Education Old]]="", tblPiNHistorical[[#This Row],[Education Old]]=0, tblPiNHistorical[[#This Row],[Education New]]="", tblPiNHistorical[[#This Row],[Education New]]=0), "", tblPiNHistorical[[#This Row],[Education New]]-tblPiNHistorical[[#This Row],[Education Old]])</f>
        <v/>
      </c>
      <c r="AH36" s="67"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36" s="67" t="str">
        <f>IF(OR(tblPiNHistorical[[#This Row],[Health Old]]="", tblPiNHistorical[[#This Row],[Health Old]]=0, tblPiNHistorical[[#This Row],[Health New]]="", tblPiNHistorical[[#This Row],[Health New]]=0), "", tblPiNHistorical[[#This Row],[Health New]]-tblPiNHistorical[[#This Row],[Health Old]])</f>
        <v/>
      </c>
      <c r="AJ36" s="67" t="str">
        <f>IF(OR(tblPiNHistorical[[#This Row],[Nutrition Old]]="", tblPiNHistorical[[#This Row],[Nutrition Old]]=0, tblPiNHistorical[[#This Row],[Nutrition New]]="", tblPiNHistorical[[#This Row],[Nutrition New]]=0), "", tblPiNHistorical[[#This Row],[Nutrition New]]-tblPiNHistorical[[#This Row],[Nutrition Old]])</f>
        <v/>
      </c>
      <c r="AK36" s="67" t="str">
        <f>IF(OR(tblPiNHistorical[[#This Row],[Protection Old]]="", tblPiNHistorical[[#This Row],[Protection Old]]=0, tblPiNHistorical[[#This Row],[Protection New]]="", tblPiNHistorical[[#This Row],[Protection New]]=0), "", tblPiNHistorical[[#This Row],[Protection New]]-tblPiNHistorical[[#This Row],[Protection Old]])</f>
        <v/>
      </c>
      <c r="AL36" s="67" t="str">
        <f>IF(OR(tblPiNHistorical[[#This Row],[CP Old ]]="", tblPiNHistorical[[#This Row],[CP Old ]]=0, tblPiNHistorical[[#This Row],[CP New]]="", tblPiNHistorical[[#This Row],[CP New]]=0), "", tblPiNHistorical[[#This Row],[CP New]]-tblPiNHistorical[[#This Row],[CP Old ]])</f>
        <v/>
      </c>
      <c r="AM36" s="83" t="str">
        <f>IF(OR(tblPiNHistorical[[#This Row],[GBV Old]]="", tblPiNHistorical[[#This Row],[GBV Old]]=0, tblPiNHistorical[[#This Row],[GBV New]]="", tblPiNHistorical[[#This Row],[GBV New]]=0), "", tblPiNHistorical[[#This Row],[GBV New]]-tblPiNHistorical[[#This Row],[GBV Old]])</f>
        <v/>
      </c>
      <c r="AN36" s="83" t="str">
        <f>IF(OR(tblPiNHistorical[[#This Row],[Mine Action Old]]="", tblPiNHistorical[[#This Row],[Mine Action Old]]=0, tblPiNHistorical[[#This Row],[Mine Action New]]="", tblPiNHistorical[[#This Row],[Mine Action New]]=0), "", tblPiNHistorical[[#This Row],[Mine Action New]]-tblPiNHistorical[[#This Row],[Mine Action Old]])</f>
        <v/>
      </c>
      <c r="AO36" s="67">
        <f>IF(OR(tblPiNHistorical[[#This Row],[Shelter NFI Old]]="", tblPiNHistorical[[#This Row],[Shelter NFI Old]]=0, tblPiNHistorical[[#This Row],[Shelter NFI New]]="", tblPiNHistorical[[#This Row],[Shelter NFI New]]=0), "", tblPiNHistorical[[#This Row],[Shelter NFI New]]-tblPiNHistorical[[#This Row],[Shelter NFI Old]])</f>
        <v>91390</v>
      </c>
      <c r="AP36" s="111" t="str">
        <f>IF(OR(tblPiNHistorical[[#This Row],[WASH Old]]="", tblPiNHistorical[[#This Row],[WASH Old]]=0, tblPiNHistorical[[#This Row],[WASH New]]="", tblPiNHistorical[[#This Row],[WASH New]]=0), "", tblPiNHistorical[[#This Row],[WASH New]]-tblPiNHistorical[[#This Row],[WASH Old]])</f>
        <v/>
      </c>
      <c r="AQ36" s="110">
        <f>IFERROR(ROUND((tblPiNHistorical[[#This Row],[Site Management - New]] - tblPiNHistorical[[#This Row],[Site Management - Old]])/tblPiNHistorical[[#This Row],[Site Management - Old]], 1), "")</f>
        <v>-1</v>
      </c>
      <c r="AR36" s="66">
        <f>IFERROR(ROUND((tblPiNHistorical[[#This Row],[Education New]]-tblPiNHistorical[[#This Row],[Education Old]])/tblPiNHistorical[[#This Row],[Education Old]], 1), "")</f>
        <v>-1</v>
      </c>
      <c r="AS36" s="66">
        <f>IFERROR(ROUND((tblPiNHistorical[[#This Row],[Food Security and Livlihoods New]]-tblPiNHistorical[[#This Row],[Food Security and Livlihoods Old]])/tblPiNHistorical[[#This Row],[Food Security and Livlihoods Old]], 1), "")</f>
        <v>-1</v>
      </c>
      <c r="AT36" s="66">
        <f>IFERROR(ROUND((tblPiNHistorical[[#This Row],[Health New]]-tblPiNHistorical[[#This Row],[Health Old]])/tblPiNHistorical[[#This Row],[Health Old]], 1), "")</f>
        <v>-1</v>
      </c>
      <c r="AU36" s="66">
        <f>IFERROR(ROUND((tblPiNHistorical[[#This Row],[Nutrition New]]-tblPiNHistorical[[#This Row],[Nutrition Old]])/tblPiNHistorical[[#This Row],[Nutrition Old]], 1), "")</f>
        <v>-1</v>
      </c>
      <c r="AV36" s="66">
        <f>IFERROR(ROUND((tblPiNHistorical[[#This Row],[Protection New]]-tblPiNHistorical[[#This Row],[Protection Old]])/tblPiNHistorical[[#This Row],[Protection Old]], 1), "")</f>
        <v>-1</v>
      </c>
      <c r="AW36" s="84">
        <f>IFERROR(ROUND((tblPiNHistorical[[#This Row],[CP New]]-tblPiNHistorical[[#This Row],[CP Old ]])/tblPiNHistorical[[#This Row],[CP Old ]], 1), "")</f>
        <v>-1</v>
      </c>
      <c r="AX36" s="84">
        <f>IFERROR(ROUND((tblPiNHistorical[[#This Row],[GBV New]]-tblPiNHistorical[[#This Row],[GBV Old]])/tblPiNHistorical[[#This Row],[GBV Old]], 1), "")</f>
        <v>-1</v>
      </c>
      <c r="AY36" s="84">
        <f>IFERROR(ROUND((tblPiNHistorical[[#This Row],[Mine Action New]]-tblPiNHistorical[[#This Row],[Mine Action Old]])/tblPiNHistorical[[#This Row],[Mine Action Old]], 1), "")</f>
        <v>-1</v>
      </c>
      <c r="AZ36" s="66">
        <f>IFERROR(ROUND((tblPiNHistorical[[#This Row],[Shelter NFI New]]-tblPiNHistorical[[#This Row],[Shelter NFI Old]])/tblPiNHistorical[[#This Row],[Shelter NFI Old]], 1), "")</f>
        <v>2</v>
      </c>
      <c r="BA36" s="36">
        <f>IFERROR(ROUND((tblPiNHistorical[[#This Row],[WASH New]]-tblPiNHistorical[[#This Row],[WASH Old]])/tblPiNHistorical[[#This Row],[WASH Old]], 1), "")</f>
        <v>-1</v>
      </c>
      <c r="BB36"/>
      <c r="BC36"/>
      <c r="BD36"/>
      <c r="BE36"/>
      <c r="BF36"/>
      <c r="BG36"/>
      <c r="BH36"/>
      <c r="BI36"/>
      <c r="BL36"/>
      <c r="BN36"/>
      <c r="BO36"/>
      <c r="BP36"/>
    </row>
    <row r="37" spans="1:68" x14ac:dyDescent="0.25">
      <c r="A37"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IDPsSD05165</v>
      </c>
      <c r="B37" s="127" t="s">
        <v>155</v>
      </c>
      <c r="C37" s="60" t="s">
        <v>122</v>
      </c>
      <c r="D37" s="60" t="s">
        <v>193</v>
      </c>
      <c r="E37" s="60" t="s">
        <v>192</v>
      </c>
      <c r="F37" s="54"/>
      <c r="G37" s="30"/>
      <c r="H37" s="56">
        <v>65122</v>
      </c>
      <c r="I37" s="37" t="s">
        <v>88</v>
      </c>
      <c r="J37" s="34">
        <v>1957</v>
      </c>
      <c r="K37" s="116">
        <v>25247.7994</v>
      </c>
      <c r="L37" s="114">
        <v>65122</v>
      </c>
      <c r="M37" s="114">
        <v>65122</v>
      </c>
      <c r="N37" s="114">
        <v>9279</v>
      </c>
      <c r="O37" s="114">
        <v>65122</v>
      </c>
      <c r="P37" s="114">
        <v>35817</v>
      </c>
      <c r="Q37" s="114">
        <v>25777</v>
      </c>
      <c r="R37" s="114">
        <v>19536.599999999999</v>
      </c>
      <c r="S37" s="114">
        <v>39073</v>
      </c>
      <c r="T37" s="196">
        <v>74692.329119999995</v>
      </c>
      <c r="U37" s="52">
        <f>IFERROR(INDEX(tblPiNAnalysis[[Site Management ]], MATCH(tblPiNHistorical[[#This Row],[ID]], tblPiNAnalysis[ID], 0)), "")</f>
        <v>0</v>
      </c>
      <c r="V37" s="52">
        <f>IFERROR(INDEX(tblPiNAnalysis[Education], MATCH(tblPiNHistorical[[#This Row],[ID]], tblPiNAnalysis[ID], 0)), "")</f>
        <v>0</v>
      </c>
      <c r="W37" s="28">
        <f>IFERROR(INDEX(tblPiNAnalysis[Food Security and Livlihoods], MATCH(tblPiNHistorical[[#This Row],[ID]], tblPiNAnalysis[ID], 0)), "")</f>
        <v>0</v>
      </c>
      <c r="X37" s="28">
        <f>IFERROR(INDEX(tblPiNAnalysis[[Health ]], MATCH(tblPiNHistorical[[#This Row],[ID]], tblPiNAnalysis[ID], 0)), "")</f>
        <v>0</v>
      </c>
      <c r="Y37" s="28">
        <f>IFERROR(INDEX(tblPiNAnalysis[Nutrition], MATCH(tblPiNHistorical[[#This Row],[ID]], tblPiNAnalysis[ID], 0)), "")</f>
        <v>0</v>
      </c>
      <c r="Z37" s="28">
        <f>IFERROR(INDEX(tblPiNAnalysis[Protection], MATCH(tblPiNHistorical[[#This Row],[ID]], tblPiNAnalysis[ID], 0)), "")</f>
        <v>0</v>
      </c>
      <c r="AA37" s="28">
        <f>IFERROR(INDEX(tblPiNAnalysis[CP], MATCH(tblPiNHistorical[[#This Row],[ID]], tblPiNAnalysis[ID], 0)), "")</f>
        <v>0</v>
      </c>
      <c r="AB37" s="83">
        <f>IFERROR(INDEX(tblPiNAnalysis[GBV], MATCH(tblPiNHistorical[[#This Row],[ID]], tblPiNAnalysis[ID], 0)), "")</f>
        <v>0</v>
      </c>
      <c r="AC37" s="28">
        <f>IFERROR(INDEX(tblPiNAnalysis[Mine Action], MATCH(tblPiNHistorical[[#This Row],[ID]], tblPiNAnalysis[ID], 0)), "")</f>
        <v>0</v>
      </c>
      <c r="AD37" s="83">
        <f>IFERROR(INDEX(tblPiNAnalysis[[Shelter NFI ]], MATCH(tblPiNHistorical[[#This Row],[ID]], tblPiNAnalysis[ID], 0)), "")</f>
        <v>41734</v>
      </c>
      <c r="AE37" s="35">
        <f>IFERROR(INDEX(tblPiNAnalysis[WASH], MATCH(tblPiNHistorical[[#This Row],[ID]], tblPiNAnalysis[ID], 0)), "")</f>
        <v>0</v>
      </c>
      <c r="AF37" s="6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37" s="67" t="str">
        <f>IF(OR(tblPiNHistorical[[#This Row],[Education Old]]="", tblPiNHistorical[[#This Row],[Education Old]]=0, tblPiNHistorical[[#This Row],[Education New]]="", tblPiNHistorical[[#This Row],[Education New]]=0), "", tblPiNHistorical[[#This Row],[Education New]]-tblPiNHistorical[[#This Row],[Education Old]])</f>
        <v/>
      </c>
      <c r="AH37" s="67"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37" s="67" t="str">
        <f>IF(OR(tblPiNHistorical[[#This Row],[Health Old]]="", tblPiNHistorical[[#This Row],[Health Old]]=0, tblPiNHistorical[[#This Row],[Health New]]="", tblPiNHistorical[[#This Row],[Health New]]=0), "", tblPiNHistorical[[#This Row],[Health New]]-tblPiNHistorical[[#This Row],[Health Old]])</f>
        <v/>
      </c>
      <c r="AJ37" s="67" t="str">
        <f>IF(OR(tblPiNHistorical[[#This Row],[Nutrition Old]]="", tblPiNHistorical[[#This Row],[Nutrition Old]]=0, tblPiNHistorical[[#This Row],[Nutrition New]]="", tblPiNHistorical[[#This Row],[Nutrition New]]=0), "", tblPiNHistorical[[#This Row],[Nutrition New]]-tblPiNHistorical[[#This Row],[Nutrition Old]])</f>
        <v/>
      </c>
      <c r="AK37" s="67" t="str">
        <f>IF(OR(tblPiNHistorical[[#This Row],[Protection Old]]="", tblPiNHistorical[[#This Row],[Protection Old]]=0, tblPiNHistorical[[#This Row],[Protection New]]="", tblPiNHistorical[[#This Row],[Protection New]]=0), "", tblPiNHistorical[[#This Row],[Protection New]]-tblPiNHistorical[[#This Row],[Protection Old]])</f>
        <v/>
      </c>
      <c r="AL37" s="67" t="str">
        <f>IF(OR(tblPiNHistorical[[#This Row],[CP Old ]]="", tblPiNHistorical[[#This Row],[CP Old ]]=0, tblPiNHistorical[[#This Row],[CP New]]="", tblPiNHistorical[[#This Row],[CP New]]=0), "", tblPiNHistorical[[#This Row],[CP New]]-tblPiNHistorical[[#This Row],[CP Old ]])</f>
        <v/>
      </c>
      <c r="AM37" s="83" t="str">
        <f>IF(OR(tblPiNHistorical[[#This Row],[GBV Old]]="", tblPiNHistorical[[#This Row],[GBV Old]]=0, tblPiNHistorical[[#This Row],[GBV New]]="", tblPiNHistorical[[#This Row],[GBV New]]=0), "", tblPiNHistorical[[#This Row],[GBV New]]-tblPiNHistorical[[#This Row],[GBV Old]])</f>
        <v/>
      </c>
      <c r="AN37" s="83" t="str">
        <f>IF(OR(tblPiNHistorical[[#This Row],[Mine Action Old]]="", tblPiNHistorical[[#This Row],[Mine Action Old]]=0, tblPiNHistorical[[#This Row],[Mine Action New]]="", tblPiNHistorical[[#This Row],[Mine Action New]]=0), "", tblPiNHistorical[[#This Row],[Mine Action New]]-tblPiNHistorical[[#This Row],[Mine Action Old]])</f>
        <v/>
      </c>
      <c r="AO37" s="67">
        <f>IF(OR(tblPiNHistorical[[#This Row],[Shelter NFI Old]]="", tblPiNHistorical[[#This Row],[Shelter NFI Old]]=0, tblPiNHistorical[[#This Row],[Shelter NFI New]]="", tblPiNHistorical[[#This Row],[Shelter NFI New]]=0), "", tblPiNHistorical[[#This Row],[Shelter NFI New]]-tblPiNHistorical[[#This Row],[Shelter NFI Old]])</f>
        <v>2661</v>
      </c>
      <c r="AP37" s="111" t="str">
        <f>IF(OR(tblPiNHistorical[[#This Row],[WASH Old]]="", tblPiNHistorical[[#This Row],[WASH Old]]=0, tblPiNHistorical[[#This Row],[WASH New]]="", tblPiNHistorical[[#This Row],[WASH New]]=0), "", tblPiNHistorical[[#This Row],[WASH New]]-tblPiNHistorical[[#This Row],[WASH Old]])</f>
        <v/>
      </c>
      <c r="AQ37" s="110">
        <f>IFERROR(ROUND((tblPiNHistorical[[#This Row],[Site Management - New]] - tblPiNHistorical[[#This Row],[Site Management - Old]])/tblPiNHistorical[[#This Row],[Site Management - Old]], 1), "")</f>
        <v>-1</v>
      </c>
      <c r="AR37" s="66">
        <f>IFERROR(ROUND((tblPiNHistorical[[#This Row],[Education New]]-tblPiNHistorical[[#This Row],[Education Old]])/tblPiNHistorical[[#This Row],[Education Old]], 1), "")</f>
        <v>-1</v>
      </c>
      <c r="AS37" s="66">
        <f>IFERROR(ROUND((tblPiNHistorical[[#This Row],[Food Security and Livlihoods New]]-tblPiNHistorical[[#This Row],[Food Security and Livlihoods Old]])/tblPiNHistorical[[#This Row],[Food Security and Livlihoods Old]], 1), "")</f>
        <v>-1</v>
      </c>
      <c r="AT37" s="66">
        <f>IFERROR(ROUND((tblPiNHistorical[[#This Row],[Health New]]-tblPiNHistorical[[#This Row],[Health Old]])/tblPiNHistorical[[#This Row],[Health Old]], 1), "")</f>
        <v>-1</v>
      </c>
      <c r="AU37" s="66">
        <f>IFERROR(ROUND((tblPiNHistorical[[#This Row],[Nutrition New]]-tblPiNHistorical[[#This Row],[Nutrition Old]])/tblPiNHistorical[[#This Row],[Nutrition Old]], 1), "")</f>
        <v>-1</v>
      </c>
      <c r="AV37" s="66">
        <f>IFERROR(ROUND((tblPiNHistorical[[#This Row],[Protection New]]-tblPiNHistorical[[#This Row],[Protection Old]])/tblPiNHistorical[[#This Row],[Protection Old]], 1), "")</f>
        <v>-1</v>
      </c>
      <c r="AW37" s="84">
        <f>IFERROR(ROUND((tblPiNHistorical[[#This Row],[CP New]]-tblPiNHistorical[[#This Row],[CP Old ]])/tblPiNHistorical[[#This Row],[CP Old ]], 1), "")</f>
        <v>-1</v>
      </c>
      <c r="AX37" s="84">
        <f>IFERROR(ROUND((tblPiNHistorical[[#This Row],[GBV New]]-tblPiNHistorical[[#This Row],[GBV Old]])/tblPiNHistorical[[#This Row],[GBV Old]], 1), "")</f>
        <v>-1</v>
      </c>
      <c r="AY37" s="84">
        <f>IFERROR(ROUND((tblPiNHistorical[[#This Row],[Mine Action New]]-tblPiNHistorical[[#This Row],[Mine Action Old]])/tblPiNHistorical[[#This Row],[Mine Action Old]], 1), "")</f>
        <v>-1</v>
      </c>
      <c r="AZ37" s="66">
        <f>IFERROR(ROUND((tblPiNHistorical[[#This Row],[Shelter NFI New]]-tblPiNHistorical[[#This Row],[Shelter NFI Old]])/tblPiNHistorical[[#This Row],[Shelter NFI Old]], 1), "")</f>
        <v>0.1</v>
      </c>
      <c r="BA37" s="36">
        <f>IFERROR(ROUND((tblPiNHistorical[[#This Row],[WASH New]]-tblPiNHistorical[[#This Row],[WASH Old]])/tblPiNHistorical[[#This Row],[WASH Old]], 1), "")</f>
        <v>-1</v>
      </c>
      <c r="BB37"/>
      <c r="BC37"/>
      <c r="BD37"/>
      <c r="BE37"/>
      <c r="BF37"/>
      <c r="BG37"/>
      <c r="BH37"/>
      <c r="BI37"/>
      <c r="BL37"/>
      <c r="BN37"/>
      <c r="BO37"/>
      <c r="BP37"/>
    </row>
    <row r="38" spans="1:68" x14ac:dyDescent="0.25">
      <c r="A38"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IDPsSD12073</v>
      </c>
      <c r="B38" s="127" t="s">
        <v>158</v>
      </c>
      <c r="C38" s="60" t="s">
        <v>129</v>
      </c>
      <c r="D38" s="60" t="s">
        <v>444</v>
      </c>
      <c r="E38" s="60" t="s">
        <v>445</v>
      </c>
      <c r="F38" s="54"/>
      <c r="G38" s="30"/>
      <c r="H38" s="56">
        <v>2966</v>
      </c>
      <c r="I38" s="37" t="s">
        <v>88</v>
      </c>
      <c r="J38" s="34">
        <v>0</v>
      </c>
      <c r="K38" s="116">
        <v>0</v>
      </c>
      <c r="L38" s="114">
        <v>2966</v>
      </c>
      <c r="M38" s="114">
        <v>2966</v>
      </c>
      <c r="N38" s="114">
        <v>272</v>
      </c>
      <c r="O38" s="114">
        <v>2966</v>
      </c>
      <c r="P38" s="114">
        <v>1631</v>
      </c>
      <c r="Q38" s="114">
        <v>1017</v>
      </c>
      <c r="R38" s="114">
        <v>0</v>
      </c>
      <c r="S38" s="114">
        <v>0</v>
      </c>
      <c r="T38" s="196">
        <v>0</v>
      </c>
      <c r="U38" s="52">
        <f>IFERROR(INDEX(tblPiNAnalysis[[Site Management ]], MATCH(tblPiNHistorical[[#This Row],[ID]], tblPiNAnalysis[ID], 0)), "")</f>
        <v>0</v>
      </c>
      <c r="V38" s="52">
        <f>IFERROR(INDEX(tblPiNAnalysis[Education], MATCH(tblPiNHistorical[[#This Row],[ID]], tblPiNAnalysis[ID], 0)), "")</f>
        <v>0</v>
      </c>
      <c r="W38" s="28">
        <f>IFERROR(INDEX(tblPiNAnalysis[Food Security and Livlihoods], MATCH(tblPiNHistorical[[#This Row],[ID]], tblPiNAnalysis[ID], 0)), "")</f>
        <v>0</v>
      </c>
      <c r="X38" s="28">
        <f>IFERROR(INDEX(tblPiNAnalysis[[Health ]], MATCH(tblPiNHistorical[[#This Row],[ID]], tblPiNAnalysis[ID], 0)), "")</f>
        <v>0</v>
      </c>
      <c r="Y38" s="28">
        <f>IFERROR(INDEX(tblPiNAnalysis[Nutrition], MATCH(tblPiNHistorical[[#This Row],[ID]], tblPiNAnalysis[ID], 0)), "")</f>
        <v>0</v>
      </c>
      <c r="Z38" s="28">
        <f>IFERROR(INDEX(tblPiNAnalysis[Protection], MATCH(tblPiNHistorical[[#This Row],[ID]], tblPiNAnalysis[ID], 0)), "")</f>
        <v>0</v>
      </c>
      <c r="AA38" s="28">
        <f>IFERROR(INDEX(tblPiNAnalysis[CP], MATCH(tblPiNHistorical[[#This Row],[ID]], tblPiNAnalysis[ID], 0)), "")</f>
        <v>0</v>
      </c>
      <c r="AB38" s="83">
        <f>IFERROR(INDEX(tblPiNAnalysis[GBV], MATCH(tblPiNHistorical[[#This Row],[ID]], tblPiNAnalysis[ID], 0)), "")</f>
        <v>0</v>
      </c>
      <c r="AC38" s="28">
        <f>IFERROR(INDEX(tblPiNAnalysis[Mine Action], MATCH(tblPiNHistorical[[#This Row],[ID]], tblPiNAnalysis[ID], 0)), "")</f>
        <v>0</v>
      </c>
      <c r="AD38" s="83">
        <f>IFERROR(INDEX(tblPiNAnalysis[[Shelter NFI ]], MATCH(tblPiNHistorical[[#This Row],[ID]], tblPiNAnalysis[ID], 0)), "")</f>
        <v>5507</v>
      </c>
      <c r="AE38" s="35">
        <f>IFERROR(INDEX(tblPiNAnalysis[WASH], MATCH(tblPiNHistorical[[#This Row],[ID]], tblPiNAnalysis[ID], 0)), "")</f>
        <v>0</v>
      </c>
      <c r="AF38" s="6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38" s="67" t="str">
        <f>IF(OR(tblPiNHistorical[[#This Row],[Education Old]]="", tblPiNHistorical[[#This Row],[Education Old]]=0, tblPiNHistorical[[#This Row],[Education New]]="", tblPiNHistorical[[#This Row],[Education New]]=0), "", tblPiNHistorical[[#This Row],[Education New]]-tblPiNHistorical[[#This Row],[Education Old]])</f>
        <v/>
      </c>
      <c r="AH38" s="67"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38" s="67" t="str">
        <f>IF(OR(tblPiNHistorical[[#This Row],[Health Old]]="", tblPiNHistorical[[#This Row],[Health Old]]=0, tblPiNHistorical[[#This Row],[Health New]]="", tblPiNHistorical[[#This Row],[Health New]]=0), "", tblPiNHistorical[[#This Row],[Health New]]-tblPiNHistorical[[#This Row],[Health Old]])</f>
        <v/>
      </c>
      <c r="AJ38" s="67" t="str">
        <f>IF(OR(tblPiNHistorical[[#This Row],[Nutrition Old]]="", tblPiNHistorical[[#This Row],[Nutrition Old]]=0, tblPiNHistorical[[#This Row],[Nutrition New]]="", tblPiNHistorical[[#This Row],[Nutrition New]]=0), "", tblPiNHistorical[[#This Row],[Nutrition New]]-tblPiNHistorical[[#This Row],[Nutrition Old]])</f>
        <v/>
      </c>
      <c r="AK38" s="67" t="str">
        <f>IF(OR(tblPiNHistorical[[#This Row],[Protection Old]]="", tblPiNHistorical[[#This Row],[Protection Old]]=0, tblPiNHistorical[[#This Row],[Protection New]]="", tblPiNHistorical[[#This Row],[Protection New]]=0), "", tblPiNHistorical[[#This Row],[Protection New]]-tblPiNHistorical[[#This Row],[Protection Old]])</f>
        <v/>
      </c>
      <c r="AL38" s="67" t="str">
        <f>IF(OR(tblPiNHistorical[[#This Row],[CP Old ]]="", tblPiNHistorical[[#This Row],[CP Old ]]=0, tblPiNHistorical[[#This Row],[CP New]]="", tblPiNHistorical[[#This Row],[CP New]]=0), "", tblPiNHistorical[[#This Row],[CP New]]-tblPiNHistorical[[#This Row],[CP Old ]])</f>
        <v/>
      </c>
      <c r="AM38" s="83" t="str">
        <f>IF(OR(tblPiNHistorical[[#This Row],[GBV Old]]="", tblPiNHistorical[[#This Row],[GBV Old]]=0, tblPiNHistorical[[#This Row],[GBV New]]="", tblPiNHistorical[[#This Row],[GBV New]]=0), "", tblPiNHistorical[[#This Row],[GBV New]]-tblPiNHistorical[[#This Row],[GBV Old]])</f>
        <v/>
      </c>
      <c r="AN38" s="83" t="str">
        <f>IF(OR(tblPiNHistorical[[#This Row],[Mine Action Old]]="", tblPiNHistorical[[#This Row],[Mine Action Old]]=0, tblPiNHistorical[[#This Row],[Mine Action New]]="", tblPiNHistorical[[#This Row],[Mine Action New]]=0), "", tblPiNHistorical[[#This Row],[Mine Action New]]-tblPiNHistorical[[#This Row],[Mine Action Old]])</f>
        <v/>
      </c>
      <c r="AO38" s="67" t="str">
        <f>IF(OR(tblPiNHistorical[[#This Row],[Shelter NFI Old]]="", tblPiNHistorical[[#This Row],[Shelter NFI Old]]=0, tblPiNHistorical[[#This Row],[Shelter NFI New]]="", tblPiNHistorical[[#This Row],[Shelter NFI New]]=0), "", tblPiNHistorical[[#This Row],[Shelter NFI New]]-tblPiNHistorical[[#This Row],[Shelter NFI Old]])</f>
        <v/>
      </c>
      <c r="AP38" s="111" t="str">
        <f>IF(OR(tblPiNHistorical[[#This Row],[WASH Old]]="", tblPiNHistorical[[#This Row],[WASH Old]]=0, tblPiNHistorical[[#This Row],[WASH New]]="", tblPiNHistorical[[#This Row],[WASH New]]=0), "", tblPiNHistorical[[#This Row],[WASH New]]-tblPiNHistorical[[#This Row],[WASH Old]])</f>
        <v/>
      </c>
      <c r="AQ38" s="110" t="str">
        <f>IFERROR(ROUND((tblPiNHistorical[[#This Row],[Site Management - New]] - tblPiNHistorical[[#This Row],[Site Management - Old]])/tblPiNHistorical[[#This Row],[Site Management - Old]], 1), "")</f>
        <v/>
      </c>
      <c r="AR38" s="66" t="str">
        <f>IFERROR(ROUND((tblPiNHistorical[[#This Row],[Education New]]-tblPiNHistorical[[#This Row],[Education Old]])/tblPiNHistorical[[#This Row],[Education Old]], 1), "")</f>
        <v/>
      </c>
      <c r="AS38" s="66">
        <f>IFERROR(ROUND((tblPiNHistorical[[#This Row],[Food Security and Livlihoods New]]-tblPiNHistorical[[#This Row],[Food Security and Livlihoods Old]])/tblPiNHistorical[[#This Row],[Food Security and Livlihoods Old]], 1), "")</f>
        <v>-1</v>
      </c>
      <c r="AT38" s="66">
        <f>IFERROR(ROUND((tblPiNHistorical[[#This Row],[Health New]]-tblPiNHistorical[[#This Row],[Health Old]])/tblPiNHistorical[[#This Row],[Health Old]], 1), "")</f>
        <v>-1</v>
      </c>
      <c r="AU38" s="66">
        <f>IFERROR(ROUND((tblPiNHistorical[[#This Row],[Nutrition New]]-tblPiNHistorical[[#This Row],[Nutrition Old]])/tblPiNHistorical[[#This Row],[Nutrition Old]], 1), "")</f>
        <v>-1</v>
      </c>
      <c r="AV38" s="66">
        <f>IFERROR(ROUND((tblPiNHistorical[[#This Row],[Protection New]]-tblPiNHistorical[[#This Row],[Protection Old]])/tblPiNHistorical[[#This Row],[Protection Old]], 1), "")</f>
        <v>-1</v>
      </c>
      <c r="AW38" s="84">
        <f>IFERROR(ROUND((tblPiNHistorical[[#This Row],[CP New]]-tblPiNHistorical[[#This Row],[CP Old ]])/tblPiNHistorical[[#This Row],[CP Old ]], 1), "")</f>
        <v>-1</v>
      </c>
      <c r="AX38" s="84">
        <f>IFERROR(ROUND((tblPiNHistorical[[#This Row],[GBV New]]-tblPiNHistorical[[#This Row],[GBV Old]])/tblPiNHistorical[[#This Row],[GBV Old]], 1), "")</f>
        <v>-1</v>
      </c>
      <c r="AY38" s="84" t="str">
        <f>IFERROR(ROUND((tblPiNHistorical[[#This Row],[Mine Action New]]-tblPiNHistorical[[#This Row],[Mine Action Old]])/tblPiNHistorical[[#This Row],[Mine Action Old]], 1), "")</f>
        <v/>
      </c>
      <c r="AZ38" s="66" t="str">
        <f>IFERROR(ROUND((tblPiNHistorical[[#This Row],[Shelter NFI New]]-tblPiNHistorical[[#This Row],[Shelter NFI Old]])/tblPiNHistorical[[#This Row],[Shelter NFI Old]], 1), "")</f>
        <v/>
      </c>
      <c r="BA38" s="36" t="str">
        <f>IFERROR(ROUND((tblPiNHistorical[[#This Row],[WASH New]]-tblPiNHistorical[[#This Row],[WASH Old]])/tblPiNHistorical[[#This Row],[WASH Old]], 1), "")</f>
        <v/>
      </c>
      <c r="BB38"/>
      <c r="BC38"/>
      <c r="BD38"/>
      <c r="BE38"/>
      <c r="BF38"/>
      <c r="BG38"/>
      <c r="BH38"/>
      <c r="BI38"/>
      <c r="BL38"/>
      <c r="BN38"/>
      <c r="BO38"/>
      <c r="BP38"/>
    </row>
    <row r="39" spans="1:68" x14ac:dyDescent="0.25">
      <c r="A39"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IDPsSD12074</v>
      </c>
      <c r="B39" s="127" t="s">
        <v>158</v>
      </c>
      <c r="C39" s="60" t="s">
        <v>129</v>
      </c>
      <c r="D39" s="60" t="s">
        <v>446</v>
      </c>
      <c r="E39" s="60" t="s">
        <v>447</v>
      </c>
      <c r="F39" s="54"/>
      <c r="G39" s="30"/>
      <c r="H39" s="56">
        <v>11951</v>
      </c>
      <c r="I39" s="37" t="s">
        <v>88</v>
      </c>
      <c r="J39" s="34">
        <v>807</v>
      </c>
      <c r="K39" s="116">
        <v>0</v>
      </c>
      <c r="L39" s="114">
        <v>11951</v>
      </c>
      <c r="M39" s="114">
        <v>11951</v>
      </c>
      <c r="N39" s="114">
        <v>931</v>
      </c>
      <c r="O39" s="114">
        <v>11951</v>
      </c>
      <c r="P39" s="114">
        <v>6573</v>
      </c>
      <c r="Q39" s="114">
        <v>4730</v>
      </c>
      <c r="R39" s="114">
        <v>0</v>
      </c>
      <c r="S39" s="114">
        <v>0</v>
      </c>
      <c r="T39" s="196">
        <v>12587.27124</v>
      </c>
      <c r="U39" s="52">
        <f>IFERROR(INDEX(tblPiNAnalysis[[Site Management ]], MATCH(tblPiNHistorical[[#This Row],[ID]], tblPiNAnalysis[ID], 0)), "")</f>
        <v>0</v>
      </c>
      <c r="V39" s="52">
        <f>IFERROR(INDEX(tblPiNAnalysis[Education], MATCH(tblPiNHistorical[[#This Row],[ID]], tblPiNAnalysis[ID], 0)), "")</f>
        <v>0</v>
      </c>
      <c r="W39" s="28">
        <f>IFERROR(INDEX(tblPiNAnalysis[Food Security and Livlihoods], MATCH(tblPiNHistorical[[#This Row],[ID]], tblPiNAnalysis[ID], 0)), "")</f>
        <v>0</v>
      </c>
      <c r="X39" s="28">
        <f>IFERROR(INDEX(tblPiNAnalysis[[Health ]], MATCH(tblPiNHistorical[[#This Row],[ID]], tblPiNAnalysis[ID], 0)), "")</f>
        <v>0</v>
      </c>
      <c r="Y39" s="28">
        <f>IFERROR(INDEX(tblPiNAnalysis[Nutrition], MATCH(tblPiNHistorical[[#This Row],[ID]], tblPiNAnalysis[ID], 0)), "")</f>
        <v>0</v>
      </c>
      <c r="Z39" s="28">
        <f>IFERROR(INDEX(tblPiNAnalysis[Protection], MATCH(tblPiNHistorical[[#This Row],[ID]], tblPiNAnalysis[ID], 0)), "")</f>
        <v>0</v>
      </c>
      <c r="AA39" s="28">
        <f>IFERROR(INDEX(tblPiNAnalysis[CP], MATCH(tblPiNHistorical[[#This Row],[ID]], tblPiNAnalysis[ID], 0)), "")</f>
        <v>0</v>
      </c>
      <c r="AB39" s="83">
        <f>IFERROR(INDEX(tblPiNAnalysis[GBV], MATCH(tblPiNHistorical[[#This Row],[ID]], tblPiNAnalysis[ID], 0)), "")</f>
        <v>0</v>
      </c>
      <c r="AC39" s="28">
        <f>IFERROR(INDEX(tblPiNAnalysis[Mine Action], MATCH(tblPiNHistorical[[#This Row],[ID]], tblPiNAnalysis[ID], 0)), "")</f>
        <v>0</v>
      </c>
      <c r="AD39" s="83">
        <f>IFERROR(INDEX(tblPiNAnalysis[[Shelter NFI ]], MATCH(tblPiNHistorical[[#This Row],[ID]], tblPiNAnalysis[ID], 0)), "")</f>
        <v>18146</v>
      </c>
      <c r="AE39" s="35">
        <f>IFERROR(INDEX(tblPiNAnalysis[WASH], MATCH(tblPiNHistorical[[#This Row],[ID]], tblPiNAnalysis[ID], 0)), "")</f>
        <v>0</v>
      </c>
      <c r="AF39" s="6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39" s="67" t="str">
        <f>IF(OR(tblPiNHistorical[[#This Row],[Education Old]]="", tblPiNHistorical[[#This Row],[Education Old]]=0, tblPiNHistorical[[#This Row],[Education New]]="", tblPiNHistorical[[#This Row],[Education New]]=0), "", tblPiNHistorical[[#This Row],[Education New]]-tblPiNHistorical[[#This Row],[Education Old]])</f>
        <v/>
      </c>
      <c r="AH39" s="67"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39" s="67" t="str">
        <f>IF(OR(tblPiNHistorical[[#This Row],[Health Old]]="", tblPiNHistorical[[#This Row],[Health Old]]=0, tblPiNHistorical[[#This Row],[Health New]]="", tblPiNHistorical[[#This Row],[Health New]]=0), "", tblPiNHistorical[[#This Row],[Health New]]-tblPiNHistorical[[#This Row],[Health Old]])</f>
        <v/>
      </c>
      <c r="AJ39" s="67" t="str">
        <f>IF(OR(tblPiNHistorical[[#This Row],[Nutrition Old]]="", tblPiNHistorical[[#This Row],[Nutrition Old]]=0, tblPiNHistorical[[#This Row],[Nutrition New]]="", tblPiNHistorical[[#This Row],[Nutrition New]]=0), "", tblPiNHistorical[[#This Row],[Nutrition New]]-tblPiNHistorical[[#This Row],[Nutrition Old]])</f>
        <v/>
      </c>
      <c r="AK39" s="67" t="str">
        <f>IF(OR(tblPiNHistorical[[#This Row],[Protection Old]]="", tblPiNHistorical[[#This Row],[Protection Old]]=0, tblPiNHistorical[[#This Row],[Protection New]]="", tblPiNHistorical[[#This Row],[Protection New]]=0), "", tblPiNHistorical[[#This Row],[Protection New]]-tblPiNHistorical[[#This Row],[Protection Old]])</f>
        <v/>
      </c>
      <c r="AL39" s="67" t="str">
        <f>IF(OR(tblPiNHistorical[[#This Row],[CP Old ]]="", tblPiNHistorical[[#This Row],[CP Old ]]=0, tblPiNHistorical[[#This Row],[CP New]]="", tblPiNHistorical[[#This Row],[CP New]]=0), "", tblPiNHistorical[[#This Row],[CP New]]-tblPiNHistorical[[#This Row],[CP Old ]])</f>
        <v/>
      </c>
      <c r="AM39" s="83" t="str">
        <f>IF(OR(tblPiNHistorical[[#This Row],[GBV Old]]="", tblPiNHistorical[[#This Row],[GBV Old]]=0, tblPiNHistorical[[#This Row],[GBV New]]="", tblPiNHistorical[[#This Row],[GBV New]]=0), "", tblPiNHistorical[[#This Row],[GBV New]]-tblPiNHistorical[[#This Row],[GBV Old]])</f>
        <v/>
      </c>
      <c r="AN39" s="83" t="str">
        <f>IF(OR(tblPiNHistorical[[#This Row],[Mine Action Old]]="", tblPiNHistorical[[#This Row],[Mine Action Old]]=0, tblPiNHistorical[[#This Row],[Mine Action New]]="", tblPiNHistorical[[#This Row],[Mine Action New]]=0), "", tblPiNHistorical[[#This Row],[Mine Action New]]-tblPiNHistorical[[#This Row],[Mine Action Old]])</f>
        <v/>
      </c>
      <c r="AO39" s="67" t="str">
        <f>IF(OR(tblPiNHistorical[[#This Row],[Shelter NFI Old]]="", tblPiNHistorical[[#This Row],[Shelter NFI Old]]=0, tblPiNHistorical[[#This Row],[Shelter NFI New]]="", tblPiNHistorical[[#This Row],[Shelter NFI New]]=0), "", tblPiNHistorical[[#This Row],[Shelter NFI New]]-tblPiNHistorical[[#This Row],[Shelter NFI Old]])</f>
        <v/>
      </c>
      <c r="AP39" s="111" t="str">
        <f>IF(OR(tblPiNHistorical[[#This Row],[WASH Old]]="", tblPiNHistorical[[#This Row],[WASH Old]]=0, tblPiNHistorical[[#This Row],[WASH New]]="", tblPiNHistorical[[#This Row],[WASH New]]=0), "", tblPiNHistorical[[#This Row],[WASH New]]-tblPiNHistorical[[#This Row],[WASH Old]])</f>
        <v/>
      </c>
      <c r="AQ39" s="110">
        <f>IFERROR(ROUND((tblPiNHistorical[[#This Row],[Site Management - New]] - tblPiNHistorical[[#This Row],[Site Management - Old]])/tblPiNHistorical[[#This Row],[Site Management - Old]], 1), "")</f>
        <v>-1</v>
      </c>
      <c r="AR39" s="66" t="str">
        <f>IFERROR(ROUND((tblPiNHistorical[[#This Row],[Education New]]-tblPiNHistorical[[#This Row],[Education Old]])/tblPiNHistorical[[#This Row],[Education Old]], 1), "")</f>
        <v/>
      </c>
      <c r="AS39" s="66">
        <f>IFERROR(ROUND((tblPiNHistorical[[#This Row],[Food Security and Livlihoods New]]-tblPiNHistorical[[#This Row],[Food Security and Livlihoods Old]])/tblPiNHistorical[[#This Row],[Food Security and Livlihoods Old]], 1), "")</f>
        <v>-1</v>
      </c>
      <c r="AT39" s="66">
        <f>IFERROR(ROUND((tblPiNHistorical[[#This Row],[Health New]]-tblPiNHistorical[[#This Row],[Health Old]])/tblPiNHistorical[[#This Row],[Health Old]], 1), "")</f>
        <v>-1</v>
      </c>
      <c r="AU39" s="66">
        <f>IFERROR(ROUND((tblPiNHistorical[[#This Row],[Nutrition New]]-tblPiNHistorical[[#This Row],[Nutrition Old]])/tblPiNHistorical[[#This Row],[Nutrition Old]], 1), "")</f>
        <v>-1</v>
      </c>
      <c r="AV39" s="66">
        <f>IFERROR(ROUND((tblPiNHistorical[[#This Row],[Protection New]]-tblPiNHistorical[[#This Row],[Protection Old]])/tblPiNHistorical[[#This Row],[Protection Old]], 1), "")</f>
        <v>-1</v>
      </c>
      <c r="AW39" s="84">
        <f>IFERROR(ROUND((tblPiNHistorical[[#This Row],[CP New]]-tblPiNHistorical[[#This Row],[CP Old ]])/tblPiNHistorical[[#This Row],[CP Old ]], 1), "")</f>
        <v>-1</v>
      </c>
      <c r="AX39" s="84">
        <f>IFERROR(ROUND((tblPiNHistorical[[#This Row],[GBV New]]-tblPiNHistorical[[#This Row],[GBV Old]])/tblPiNHistorical[[#This Row],[GBV Old]], 1), "")</f>
        <v>-1</v>
      </c>
      <c r="AY39" s="84" t="str">
        <f>IFERROR(ROUND((tblPiNHistorical[[#This Row],[Mine Action New]]-tblPiNHistorical[[#This Row],[Mine Action Old]])/tblPiNHistorical[[#This Row],[Mine Action Old]], 1), "")</f>
        <v/>
      </c>
      <c r="AZ39" s="66" t="str">
        <f>IFERROR(ROUND((tblPiNHistorical[[#This Row],[Shelter NFI New]]-tblPiNHistorical[[#This Row],[Shelter NFI Old]])/tblPiNHistorical[[#This Row],[Shelter NFI Old]], 1), "")</f>
        <v/>
      </c>
      <c r="BA39" s="36">
        <f>IFERROR(ROUND((tblPiNHistorical[[#This Row],[WASH New]]-tblPiNHistorical[[#This Row],[WASH Old]])/tblPiNHistorical[[#This Row],[WASH Old]], 1), "")</f>
        <v>-1</v>
      </c>
      <c r="BB39"/>
      <c r="BC39"/>
      <c r="BD39"/>
      <c r="BE39"/>
      <c r="BF39"/>
      <c r="BG39"/>
      <c r="BH39"/>
      <c r="BI39"/>
      <c r="BL39"/>
      <c r="BN39"/>
      <c r="BO39"/>
      <c r="BP39"/>
    </row>
    <row r="40" spans="1:68" x14ac:dyDescent="0.25">
      <c r="A40"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IDPsSD12075</v>
      </c>
      <c r="B40" s="127" t="s">
        <v>158</v>
      </c>
      <c r="C40" s="60" t="s">
        <v>129</v>
      </c>
      <c r="D40" s="60" t="s">
        <v>448</v>
      </c>
      <c r="E40" s="60" t="s">
        <v>449</v>
      </c>
      <c r="F40" s="54"/>
      <c r="G40" s="30"/>
      <c r="H40" s="56">
        <v>13130</v>
      </c>
      <c r="I40" s="37" t="s">
        <v>88</v>
      </c>
      <c r="J40" s="34">
        <v>0</v>
      </c>
      <c r="K40" s="116">
        <v>0</v>
      </c>
      <c r="L40" s="114">
        <v>13130</v>
      </c>
      <c r="M40" s="114">
        <v>13130</v>
      </c>
      <c r="N40" s="114">
        <v>934</v>
      </c>
      <c r="O40" s="114">
        <v>13130</v>
      </c>
      <c r="P40" s="114">
        <v>7222</v>
      </c>
      <c r="Q40" s="114">
        <v>5198</v>
      </c>
      <c r="R40" s="114">
        <v>0</v>
      </c>
      <c r="S40" s="114">
        <v>0</v>
      </c>
      <c r="T40" s="196">
        <v>11568.055200000001</v>
      </c>
      <c r="U40" s="52">
        <f>IFERROR(INDEX(tblPiNAnalysis[[Site Management ]], MATCH(tblPiNHistorical[[#This Row],[ID]], tblPiNAnalysis[ID], 0)), "")</f>
        <v>0</v>
      </c>
      <c r="V40" s="52">
        <f>IFERROR(INDEX(tblPiNAnalysis[Education], MATCH(tblPiNHistorical[[#This Row],[ID]], tblPiNAnalysis[ID], 0)), "")</f>
        <v>0</v>
      </c>
      <c r="W40" s="28">
        <f>IFERROR(INDEX(tblPiNAnalysis[Food Security and Livlihoods], MATCH(tblPiNHistorical[[#This Row],[ID]], tblPiNAnalysis[ID], 0)), "")</f>
        <v>0</v>
      </c>
      <c r="X40" s="28">
        <f>IFERROR(INDEX(tblPiNAnalysis[[Health ]], MATCH(tblPiNHistorical[[#This Row],[ID]], tblPiNAnalysis[ID], 0)), "")</f>
        <v>0</v>
      </c>
      <c r="Y40" s="28">
        <f>IFERROR(INDEX(tblPiNAnalysis[Nutrition], MATCH(tblPiNHistorical[[#This Row],[ID]], tblPiNAnalysis[ID], 0)), "")</f>
        <v>0</v>
      </c>
      <c r="Z40" s="28">
        <f>IFERROR(INDEX(tblPiNAnalysis[Protection], MATCH(tblPiNHistorical[[#This Row],[ID]], tblPiNAnalysis[ID], 0)), "")</f>
        <v>0</v>
      </c>
      <c r="AA40" s="28">
        <f>IFERROR(INDEX(tblPiNAnalysis[CP], MATCH(tblPiNHistorical[[#This Row],[ID]], tblPiNAnalysis[ID], 0)), "")</f>
        <v>0</v>
      </c>
      <c r="AB40" s="83">
        <f>IFERROR(INDEX(tblPiNAnalysis[GBV], MATCH(tblPiNHistorical[[#This Row],[ID]], tblPiNAnalysis[ID], 0)), "")</f>
        <v>0</v>
      </c>
      <c r="AC40" s="28">
        <f>IFERROR(INDEX(tblPiNAnalysis[Mine Action], MATCH(tblPiNHistorical[[#This Row],[ID]], tblPiNAnalysis[ID], 0)), "")</f>
        <v>0</v>
      </c>
      <c r="AD40" s="83">
        <f>IFERROR(INDEX(tblPiNAnalysis[[Shelter NFI ]], MATCH(tblPiNHistorical[[#This Row],[ID]], tblPiNAnalysis[ID], 0)), "")</f>
        <v>21607</v>
      </c>
      <c r="AE40" s="35">
        <f>IFERROR(INDEX(tblPiNAnalysis[WASH], MATCH(tblPiNHistorical[[#This Row],[ID]], tblPiNAnalysis[ID], 0)), "")</f>
        <v>0</v>
      </c>
      <c r="AF40" s="6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40" s="67" t="str">
        <f>IF(OR(tblPiNHistorical[[#This Row],[Education Old]]="", tblPiNHistorical[[#This Row],[Education Old]]=0, tblPiNHistorical[[#This Row],[Education New]]="", tblPiNHistorical[[#This Row],[Education New]]=0), "", tblPiNHistorical[[#This Row],[Education New]]-tblPiNHistorical[[#This Row],[Education Old]])</f>
        <v/>
      </c>
      <c r="AH40" s="67"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40" s="67" t="str">
        <f>IF(OR(tblPiNHistorical[[#This Row],[Health Old]]="", tblPiNHistorical[[#This Row],[Health Old]]=0, tblPiNHistorical[[#This Row],[Health New]]="", tblPiNHistorical[[#This Row],[Health New]]=0), "", tblPiNHistorical[[#This Row],[Health New]]-tblPiNHistorical[[#This Row],[Health Old]])</f>
        <v/>
      </c>
      <c r="AJ40" s="67" t="str">
        <f>IF(OR(tblPiNHistorical[[#This Row],[Nutrition Old]]="", tblPiNHistorical[[#This Row],[Nutrition Old]]=0, tblPiNHistorical[[#This Row],[Nutrition New]]="", tblPiNHistorical[[#This Row],[Nutrition New]]=0), "", tblPiNHistorical[[#This Row],[Nutrition New]]-tblPiNHistorical[[#This Row],[Nutrition Old]])</f>
        <v/>
      </c>
      <c r="AK40" s="67" t="str">
        <f>IF(OR(tblPiNHistorical[[#This Row],[Protection Old]]="", tblPiNHistorical[[#This Row],[Protection Old]]=0, tblPiNHistorical[[#This Row],[Protection New]]="", tblPiNHistorical[[#This Row],[Protection New]]=0), "", tblPiNHistorical[[#This Row],[Protection New]]-tblPiNHistorical[[#This Row],[Protection Old]])</f>
        <v/>
      </c>
      <c r="AL40" s="67" t="str">
        <f>IF(OR(tblPiNHistorical[[#This Row],[CP Old ]]="", tblPiNHistorical[[#This Row],[CP Old ]]=0, tblPiNHistorical[[#This Row],[CP New]]="", tblPiNHistorical[[#This Row],[CP New]]=0), "", tblPiNHistorical[[#This Row],[CP New]]-tblPiNHistorical[[#This Row],[CP Old ]])</f>
        <v/>
      </c>
      <c r="AM40" s="83" t="str">
        <f>IF(OR(tblPiNHistorical[[#This Row],[GBV Old]]="", tblPiNHistorical[[#This Row],[GBV Old]]=0, tblPiNHistorical[[#This Row],[GBV New]]="", tblPiNHistorical[[#This Row],[GBV New]]=0), "", tblPiNHistorical[[#This Row],[GBV New]]-tblPiNHistorical[[#This Row],[GBV Old]])</f>
        <v/>
      </c>
      <c r="AN40" s="83" t="str">
        <f>IF(OR(tblPiNHistorical[[#This Row],[Mine Action Old]]="", tblPiNHistorical[[#This Row],[Mine Action Old]]=0, tblPiNHistorical[[#This Row],[Mine Action New]]="", tblPiNHistorical[[#This Row],[Mine Action New]]=0), "", tblPiNHistorical[[#This Row],[Mine Action New]]-tblPiNHistorical[[#This Row],[Mine Action Old]])</f>
        <v/>
      </c>
      <c r="AO40" s="67" t="str">
        <f>IF(OR(tblPiNHistorical[[#This Row],[Shelter NFI Old]]="", tblPiNHistorical[[#This Row],[Shelter NFI Old]]=0, tblPiNHistorical[[#This Row],[Shelter NFI New]]="", tblPiNHistorical[[#This Row],[Shelter NFI New]]=0), "", tblPiNHistorical[[#This Row],[Shelter NFI New]]-tblPiNHistorical[[#This Row],[Shelter NFI Old]])</f>
        <v/>
      </c>
      <c r="AP40" s="111" t="str">
        <f>IF(OR(tblPiNHistorical[[#This Row],[WASH Old]]="", tblPiNHistorical[[#This Row],[WASH Old]]=0, tblPiNHistorical[[#This Row],[WASH New]]="", tblPiNHistorical[[#This Row],[WASH New]]=0), "", tblPiNHistorical[[#This Row],[WASH New]]-tblPiNHistorical[[#This Row],[WASH Old]])</f>
        <v/>
      </c>
      <c r="AQ40" s="110" t="str">
        <f>IFERROR(ROUND((tblPiNHistorical[[#This Row],[Site Management - New]] - tblPiNHistorical[[#This Row],[Site Management - Old]])/tblPiNHistorical[[#This Row],[Site Management - Old]], 1), "")</f>
        <v/>
      </c>
      <c r="AR40" s="66" t="str">
        <f>IFERROR(ROUND((tblPiNHistorical[[#This Row],[Education New]]-tblPiNHistorical[[#This Row],[Education Old]])/tblPiNHistorical[[#This Row],[Education Old]], 1), "")</f>
        <v/>
      </c>
      <c r="AS40" s="66">
        <f>IFERROR(ROUND((tblPiNHistorical[[#This Row],[Food Security and Livlihoods New]]-tblPiNHistorical[[#This Row],[Food Security and Livlihoods Old]])/tblPiNHistorical[[#This Row],[Food Security and Livlihoods Old]], 1), "")</f>
        <v>-1</v>
      </c>
      <c r="AT40" s="66">
        <f>IFERROR(ROUND((tblPiNHistorical[[#This Row],[Health New]]-tblPiNHistorical[[#This Row],[Health Old]])/tblPiNHistorical[[#This Row],[Health Old]], 1), "")</f>
        <v>-1</v>
      </c>
      <c r="AU40" s="66">
        <f>IFERROR(ROUND((tblPiNHistorical[[#This Row],[Nutrition New]]-tblPiNHistorical[[#This Row],[Nutrition Old]])/tblPiNHistorical[[#This Row],[Nutrition Old]], 1), "")</f>
        <v>-1</v>
      </c>
      <c r="AV40" s="66">
        <f>IFERROR(ROUND((tblPiNHistorical[[#This Row],[Protection New]]-tblPiNHistorical[[#This Row],[Protection Old]])/tblPiNHistorical[[#This Row],[Protection Old]], 1), "")</f>
        <v>-1</v>
      </c>
      <c r="AW40" s="84">
        <f>IFERROR(ROUND((tblPiNHistorical[[#This Row],[CP New]]-tblPiNHistorical[[#This Row],[CP Old ]])/tblPiNHistorical[[#This Row],[CP Old ]], 1), "")</f>
        <v>-1</v>
      </c>
      <c r="AX40" s="84">
        <f>IFERROR(ROUND((tblPiNHistorical[[#This Row],[GBV New]]-tblPiNHistorical[[#This Row],[GBV Old]])/tblPiNHistorical[[#This Row],[GBV Old]], 1), "")</f>
        <v>-1</v>
      </c>
      <c r="AY40" s="84" t="str">
        <f>IFERROR(ROUND((tblPiNHistorical[[#This Row],[Mine Action New]]-tblPiNHistorical[[#This Row],[Mine Action Old]])/tblPiNHistorical[[#This Row],[Mine Action Old]], 1), "")</f>
        <v/>
      </c>
      <c r="AZ40" s="66" t="str">
        <f>IFERROR(ROUND((tblPiNHistorical[[#This Row],[Shelter NFI New]]-tblPiNHistorical[[#This Row],[Shelter NFI Old]])/tblPiNHistorical[[#This Row],[Shelter NFI Old]], 1), "")</f>
        <v/>
      </c>
      <c r="BA40" s="36">
        <f>IFERROR(ROUND((tblPiNHistorical[[#This Row],[WASH New]]-tblPiNHistorical[[#This Row],[WASH Old]])/tblPiNHistorical[[#This Row],[WASH Old]], 1), "")</f>
        <v>-1</v>
      </c>
      <c r="BB40"/>
      <c r="BC40"/>
      <c r="BD40"/>
      <c r="BE40"/>
      <c r="BF40"/>
      <c r="BG40"/>
      <c r="BH40"/>
      <c r="BI40"/>
      <c r="BL40"/>
      <c r="BN40"/>
      <c r="BO40"/>
      <c r="BP40"/>
    </row>
    <row r="41" spans="1:68" ht="45" x14ac:dyDescent="0.25">
      <c r="A41"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IDPsSD12078</v>
      </c>
      <c r="B41" s="127" t="s">
        <v>158</v>
      </c>
      <c r="C41" s="60" t="s">
        <v>129</v>
      </c>
      <c r="D41" s="60" t="s">
        <v>454</v>
      </c>
      <c r="E41" s="60" t="s">
        <v>455</v>
      </c>
      <c r="F41" s="54"/>
      <c r="G41" s="30"/>
      <c r="H41" s="56">
        <v>8355</v>
      </c>
      <c r="I41" s="37" t="s">
        <v>88</v>
      </c>
      <c r="J41" s="34">
        <v>0</v>
      </c>
      <c r="K41" s="116">
        <v>3239.2334999999998</v>
      </c>
      <c r="L41" s="114">
        <v>8355</v>
      </c>
      <c r="M41" s="114">
        <v>8355</v>
      </c>
      <c r="N41" s="114">
        <v>949</v>
      </c>
      <c r="O41" s="114">
        <v>8355</v>
      </c>
      <c r="P41" s="114">
        <v>4595</v>
      </c>
      <c r="Q41" s="114">
        <v>2866</v>
      </c>
      <c r="R41" s="114">
        <v>0</v>
      </c>
      <c r="S41" s="114">
        <v>0</v>
      </c>
      <c r="T41" s="196">
        <v>0</v>
      </c>
      <c r="U41" s="52">
        <f>IFERROR(INDEX(tblPiNAnalysis[[Site Management ]], MATCH(tblPiNHistorical[[#This Row],[ID]], tblPiNAnalysis[ID], 0)), "")</f>
        <v>0</v>
      </c>
      <c r="V41" s="52">
        <f>IFERROR(INDEX(tblPiNAnalysis[Education], MATCH(tblPiNHistorical[[#This Row],[ID]], tblPiNAnalysis[ID], 0)), "")</f>
        <v>0</v>
      </c>
      <c r="W41" s="28">
        <f>IFERROR(INDEX(tblPiNAnalysis[Food Security and Livlihoods], MATCH(tblPiNHistorical[[#This Row],[ID]], tblPiNAnalysis[ID], 0)), "")</f>
        <v>0</v>
      </c>
      <c r="X41" s="28">
        <f>IFERROR(INDEX(tblPiNAnalysis[[Health ]], MATCH(tblPiNHistorical[[#This Row],[ID]], tblPiNAnalysis[ID], 0)), "")</f>
        <v>0</v>
      </c>
      <c r="Y41" s="28">
        <f>IFERROR(INDEX(tblPiNAnalysis[Nutrition], MATCH(tblPiNHistorical[[#This Row],[ID]], tblPiNAnalysis[ID], 0)), "")</f>
        <v>0</v>
      </c>
      <c r="Z41" s="28">
        <f>IFERROR(INDEX(tblPiNAnalysis[Protection], MATCH(tblPiNHistorical[[#This Row],[ID]], tblPiNAnalysis[ID], 0)), "")</f>
        <v>0</v>
      </c>
      <c r="AA41" s="28">
        <f>IFERROR(INDEX(tblPiNAnalysis[CP], MATCH(tblPiNHistorical[[#This Row],[ID]], tblPiNAnalysis[ID], 0)), "")</f>
        <v>0</v>
      </c>
      <c r="AB41" s="83">
        <f>IFERROR(INDEX(tblPiNAnalysis[GBV], MATCH(tblPiNHistorical[[#This Row],[ID]], tblPiNAnalysis[ID], 0)), "")</f>
        <v>0</v>
      </c>
      <c r="AC41" s="28">
        <f>IFERROR(INDEX(tblPiNAnalysis[Mine Action], MATCH(tblPiNHistorical[[#This Row],[ID]], tblPiNAnalysis[ID], 0)), "")</f>
        <v>0</v>
      </c>
      <c r="AD41" s="83">
        <f>IFERROR(INDEX(tblPiNAnalysis[[Shelter NFI ]], MATCH(tblPiNHistorical[[#This Row],[ID]], tblPiNAnalysis[ID], 0)), "")</f>
        <v>4160</v>
      </c>
      <c r="AE41" s="35">
        <f>IFERROR(INDEX(tblPiNAnalysis[WASH], MATCH(tblPiNHistorical[[#This Row],[ID]], tblPiNAnalysis[ID], 0)), "")</f>
        <v>0</v>
      </c>
      <c r="AF41" s="6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41" s="67" t="str">
        <f>IF(OR(tblPiNHistorical[[#This Row],[Education Old]]="", tblPiNHistorical[[#This Row],[Education Old]]=0, tblPiNHistorical[[#This Row],[Education New]]="", tblPiNHistorical[[#This Row],[Education New]]=0), "", tblPiNHistorical[[#This Row],[Education New]]-tblPiNHistorical[[#This Row],[Education Old]])</f>
        <v/>
      </c>
      <c r="AH41" s="67"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41" s="67" t="str">
        <f>IF(OR(tblPiNHistorical[[#This Row],[Health Old]]="", tblPiNHistorical[[#This Row],[Health Old]]=0, tblPiNHistorical[[#This Row],[Health New]]="", tblPiNHistorical[[#This Row],[Health New]]=0), "", tblPiNHistorical[[#This Row],[Health New]]-tblPiNHistorical[[#This Row],[Health Old]])</f>
        <v/>
      </c>
      <c r="AJ41" s="67" t="str">
        <f>IF(OR(tblPiNHistorical[[#This Row],[Nutrition Old]]="", tblPiNHistorical[[#This Row],[Nutrition Old]]=0, tblPiNHistorical[[#This Row],[Nutrition New]]="", tblPiNHistorical[[#This Row],[Nutrition New]]=0), "", tblPiNHistorical[[#This Row],[Nutrition New]]-tblPiNHistorical[[#This Row],[Nutrition Old]])</f>
        <v/>
      </c>
      <c r="AK41" s="67" t="str">
        <f>IF(OR(tblPiNHistorical[[#This Row],[Protection Old]]="", tblPiNHistorical[[#This Row],[Protection Old]]=0, tblPiNHistorical[[#This Row],[Protection New]]="", tblPiNHistorical[[#This Row],[Protection New]]=0), "", tblPiNHistorical[[#This Row],[Protection New]]-tblPiNHistorical[[#This Row],[Protection Old]])</f>
        <v/>
      </c>
      <c r="AL41" s="67" t="str">
        <f>IF(OR(tblPiNHistorical[[#This Row],[CP Old ]]="", tblPiNHistorical[[#This Row],[CP Old ]]=0, tblPiNHistorical[[#This Row],[CP New]]="", tblPiNHistorical[[#This Row],[CP New]]=0), "", tblPiNHistorical[[#This Row],[CP New]]-tblPiNHistorical[[#This Row],[CP Old ]])</f>
        <v/>
      </c>
      <c r="AM41" s="83" t="str">
        <f>IF(OR(tblPiNHistorical[[#This Row],[GBV Old]]="", tblPiNHistorical[[#This Row],[GBV Old]]=0, tblPiNHistorical[[#This Row],[GBV New]]="", tblPiNHistorical[[#This Row],[GBV New]]=0), "", tblPiNHistorical[[#This Row],[GBV New]]-tblPiNHistorical[[#This Row],[GBV Old]])</f>
        <v/>
      </c>
      <c r="AN41" s="83" t="str">
        <f>IF(OR(tblPiNHistorical[[#This Row],[Mine Action Old]]="", tblPiNHistorical[[#This Row],[Mine Action Old]]=0, tblPiNHistorical[[#This Row],[Mine Action New]]="", tblPiNHistorical[[#This Row],[Mine Action New]]=0), "", tblPiNHistorical[[#This Row],[Mine Action New]]-tblPiNHistorical[[#This Row],[Mine Action Old]])</f>
        <v/>
      </c>
      <c r="AO41" s="67" t="str">
        <f>IF(OR(tblPiNHistorical[[#This Row],[Shelter NFI Old]]="", tblPiNHistorical[[#This Row],[Shelter NFI Old]]=0, tblPiNHistorical[[#This Row],[Shelter NFI New]]="", tblPiNHistorical[[#This Row],[Shelter NFI New]]=0), "", tblPiNHistorical[[#This Row],[Shelter NFI New]]-tblPiNHistorical[[#This Row],[Shelter NFI Old]])</f>
        <v/>
      </c>
      <c r="AP41" s="111" t="str">
        <f>IF(OR(tblPiNHistorical[[#This Row],[WASH Old]]="", tblPiNHistorical[[#This Row],[WASH Old]]=0, tblPiNHistorical[[#This Row],[WASH New]]="", tblPiNHistorical[[#This Row],[WASH New]]=0), "", tblPiNHistorical[[#This Row],[WASH New]]-tblPiNHistorical[[#This Row],[WASH Old]])</f>
        <v/>
      </c>
      <c r="AQ41" s="110" t="str">
        <f>IFERROR(ROUND((tblPiNHistorical[[#This Row],[Site Management - New]] - tblPiNHistorical[[#This Row],[Site Management - Old]])/tblPiNHistorical[[#This Row],[Site Management - Old]], 1), "")</f>
        <v/>
      </c>
      <c r="AR41" s="66">
        <f>IFERROR(ROUND((tblPiNHistorical[[#This Row],[Education New]]-tblPiNHistorical[[#This Row],[Education Old]])/tblPiNHistorical[[#This Row],[Education Old]], 1), "")</f>
        <v>-1</v>
      </c>
      <c r="AS41" s="66">
        <f>IFERROR(ROUND((tblPiNHistorical[[#This Row],[Food Security and Livlihoods New]]-tblPiNHistorical[[#This Row],[Food Security and Livlihoods Old]])/tblPiNHistorical[[#This Row],[Food Security and Livlihoods Old]], 1), "")</f>
        <v>-1</v>
      </c>
      <c r="AT41" s="66">
        <f>IFERROR(ROUND((tblPiNHistorical[[#This Row],[Health New]]-tblPiNHistorical[[#This Row],[Health Old]])/tblPiNHistorical[[#This Row],[Health Old]], 1), "")</f>
        <v>-1</v>
      </c>
      <c r="AU41" s="66">
        <f>IFERROR(ROUND((tblPiNHistorical[[#This Row],[Nutrition New]]-tblPiNHistorical[[#This Row],[Nutrition Old]])/tblPiNHistorical[[#This Row],[Nutrition Old]], 1), "")</f>
        <v>-1</v>
      </c>
      <c r="AV41" s="66">
        <f>IFERROR(ROUND((tblPiNHistorical[[#This Row],[Protection New]]-tblPiNHistorical[[#This Row],[Protection Old]])/tblPiNHistorical[[#This Row],[Protection Old]], 1), "")</f>
        <v>-1</v>
      </c>
      <c r="AW41" s="84">
        <f>IFERROR(ROUND((tblPiNHistorical[[#This Row],[CP New]]-tblPiNHistorical[[#This Row],[CP Old ]])/tblPiNHistorical[[#This Row],[CP Old ]], 1), "")</f>
        <v>-1</v>
      </c>
      <c r="AX41" s="84">
        <f>IFERROR(ROUND((tblPiNHistorical[[#This Row],[GBV New]]-tblPiNHistorical[[#This Row],[GBV Old]])/tblPiNHistorical[[#This Row],[GBV Old]], 1), "")</f>
        <v>-1</v>
      </c>
      <c r="AY41" s="84" t="str">
        <f>IFERROR(ROUND((tblPiNHistorical[[#This Row],[Mine Action New]]-tblPiNHistorical[[#This Row],[Mine Action Old]])/tblPiNHistorical[[#This Row],[Mine Action Old]], 1), "")</f>
        <v/>
      </c>
      <c r="AZ41" s="66" t="str">
        <f>IFERROR(ROUND((tblPiNHistorical[[#This Row],[Shelter NFI New]]-tblPiNHistorical[[#This Row],[Shelter NFI Old]])/tblPiNHistorical[[#This Row],[Shelter NFI Old]], 1), "")</f>
        <v/>
      </c>
      <c r="BA41" s="36" t="str">
        <f>IFERROR(ROUND((tblPiNHistorical[[#This Row],[WASH New]]-tblPiNHistorical[[#This Row],[WASH Old]])/tblPiNHistorical[[#This Row],[WASH Old]], 1), "")</f>
        <v/>
      </c>
      <c r="BB41"/>
      <c r="BC41"/>
      <c r="BD41"/>
      <c r="BE41"/>
      <c r="BF41"/>
      <c r="BG41"/>
      <c r="BH41"/>
      <c r="BI41"/>
      <c r="BL41"/>
      <c r="BN41"/>
      <c r="BO41"/>
      <c r="BP41"/>
    </row>
    <row r="42" spans="1:68" x14ac:dyDescent="0.25">
      <c r="A42"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IDPsSD12082</v>
      </c>
      <c r="B42" s="127" t="s">
        <v>158</v>
      </c>
      <c r="C42" s="60" t="s">
        <v>129</v>
      </c>
      <c r="D42" s="60" t="s">
        <v>462</v>
      </c>
      <c r="E42" s="60" t="s">
        <v>463</v>
      </c>
      <c r="F42" s="54"/>
      <c r="G42" s="30"/>
      <c r="H42" s="56">
        <v>17800</v>
      </c>
      <c r="I42" s="37" t="s">
        <v>88</v>
      </c>
      <c r="J42" s="34">
        <v>0</v>
      </c>
      <c r="K42" s="116">
        <v>6901.0599999999995</v>
      </c>
      <c r="L42" s="114">
        <v>17800</v>
      </c>
      <c r="M42" s="114">
        <v>17800</v>
      </c>
      <c r="N42" s="114">
        <v>946</v>
      </c>
      <c r="O42" s="114">
        <v>17800</v>
      </c>
      <c r="P42" s="114">
        <v>9790</v>
      </c>
      <c r="Q42" s="114">
        <v>7046</v>
      </c>
      <c r="R42" s="114">
        <v>0</v>
      </c>
      <c r="S42" s="114">
        <v>0</v>
      </c>
      <c r="T42" s="196">
        <v>18843.791999999998</v>
      </c>
      <c r="U42" s="52">
        <f>IFERROR(INDEX(tblPiNAnalysis[[Site Management ]], MATCH(tblPiNHistorical[[#This Row],[ID]], tblPiNAnalysis[ID], 0)), "")</f>
        <v>0</v>
      </c>
      <c r="V42" s="52">
        <f>IFERROR(INDEX(tblPiNAnalysis[Education], MATCH(tblPiNHistorical[[#This Row],[ID]], tblPiNAnalysis[ID], 0)), "")</f>
        <v>0</v>
      </c>
      <c r="W42" s="28">
        <f>IFERROR(INDEX(tblPiNAnalysis[Food Security and Livlihoods], MATCH(tblPiNHistorical[[#This Row],[ID]], tblPiNAnalysis[ID], 0)), "")</f>
        <v>0</v>
      </c>
      <c r="X42" s="28">
        <f>IFERROR(INDEX(tblPiNAnalysis[[Health ]], MATCH(tblPiNHistorical[[#This Row],[ID]], tblPiNAnalysis[ID], 0)), "")</f>
        <v>0</v>
      </c>
      <c r="Y42" s="28">
        <f>IFERROR(INDEX(tblPiNAnalysis[Nutrition], MATCH(tblPiNHistorical[[#This Row],[ID]], tblPiNAnalysis[ID], 0)), "")</f>
        <v>0</v>
      </c>
      <c r="Z42" s="28">
        <f>IFERROR(INDEX(tblPiNAnalysis[Protection], MATCH(tblPiNHistorical[[#This Row],[ID]], tblPiNAnalysis[ID], 0)), "")</f>
        <v>0</v>
      </c>
      <c r="AA42" s="28">
        <f>IFERROR(INDEX(tblPiNAnalysis[CP], MATCH(tblPiNHistorical[[#This Row],[ID]], tblPiNAnalysis[ID], 0)), "")</f>
        <v>0</v>
      </c>
      <c r="AB42" s="83">
        <f>IFERROR(INDEX(tblPiNAnalysis[GBV], MATCH(tblPiNHistorical[[#This Row],[ID]], tblPiNAnalysis[ID], 0)), "")</f>
        <v>0</v>
      </c>
      <c r="AC42" s="28">
        <f>IFERROR(INDEX(tblPiNAnalysis[Mine Action], MATCH(tblPiNHistorical[[#This Row],[ID]], tblPiNAnalysis[ID], 0)), "")</f>
        <v>0</v>
      </c>
      <c r="AD42" s="83">
        <f>IFERROR(INDEX(tblPiNAnalysis[[Shelter NFI ]], MATCH(tblPiNHistorical[[#This Row],[ID]], tblPiNAnalysis[ID], 0)), "")</f>
        <v>41227</v>
      </c>
      <c r="AE42" s="35">
        <f>IFERROR(INDEX(tblPiNAnalysis[WASH], MATCH(tblPiNHistorical[[#This Row],[ID]], tblPiNAnalysis[ID], 0)), "")</f>
        <v>0</v>
      </c>
      <c r="AF42" s="6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42" s="67" t="str">
        <f>IF(OR(tblPiNHistorical[[#This Row],[Education Old]]="", tblPiNHistorical[[#This Row],[Education Old]]=0, tblPiNHistorical[[#This Row],[Education New]]="", tblPiNHistorical[[#This Row],[Education New]]=0), "", tblPiNHistorical[[#This Row],[Education New]]-tblPiNHistorical[[#This Row],[Education Old]])</f>
        <v/>
      </c>
      <c r="AH42" s="67"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42" s="67" t="str">
        <f>IF(OR(tblPiNHistorical[[#This Row],[Health Old]]="", tblPiNHistorical[[#This Row],[Health Old]]=0, tblPiNHistorical[[#This Row],[Health New]]="", tblPiNHistorical[[#This Row],[Health New]]=0), "", tblPiNHistorical[[#This Row],[Health New]]-tblPiNHistorical[[#This Row],[Health Old]])</f>
        <v/>
      </c>
      <c r="AJ42" s="67" t="str">
        <f>IF(OR(tblPiNHistorical[[#This Row],[Nutrition Old]]="", tblPiNHistorical[[#This Row],[Nutrition Old]]=0, tblPiNHistorical[[#This Row],[Nutrition New]]="", tblPiNHistorical[[#This Row],[Nutrition New]]=0), "", tblPiNHistorical[[#This Row],[Nutrition New]]-tblPiNHistorical[[#This Row],[Nutrition Old]])</f>
        <v/>
      </c>
      <c r="AK42" s="67" t="str">
        <f>IF(OR(tblPiNHistorical[[#This Row],[Protection Old]]="", tblPiNHistorical[[#This Row],[Protection Old]]=0, tblPiNHistorical[[#This Row],[Protection New]]="", tblPiNHistorical[[#This Row],[Protection New]]=0), "", tblPiNHistorical[[#This Row],[Protection New]]-tblPiNHistorical[[#This Row],[Protection Old]])</f>
        <v/>
      </c>
      <c r="AL42" s="67" t="str">
        <f>IF(OR(tblPiNHistorical[[#This Row],[CP Old ]]="", tblPiNHistorical[[#This Row],[CP Old ]]=0, tblPiNHistorical[[#This Row],[CP New]]="", tblPiNHistorical[[#This Row],[CP New]]=0), "", tblPiNHistorical[[#This Row],[CP New]]-tblPiNHistorical[[#This Row],[CP Old ]])</f>
        <v/>
      </c>
      <c r="AM42" s="83" t="str">
        <f>IF(OR(tblPiNHistorical[[#This Row],[GBV Old]]="", tblPiNHistorical[[#This Row],[GBV Old]]=0, tblPiNHistorical[[#This Row],[GBV New]]="", tblPiNHistorical[[#This Row],[GBV New]]=0), "", tblPiNHistorical[[#This Row],[GBV New]]-tblPiNHistorical[[#This Row],[GBV Old]])</f>
        <v/>
      </c>
      <c r="AN42" s="83" t="str">
        <f>IF(OR(tblPiNHistorical[[#This Row],[Mine Action Old]]="", tblPiNHistorical[[#This Row],[Mine Action Old]]=0, tblPiNHistorical[[#This Row],[Mine Action New]]="", tblPiNHistorical[[#This Row],[Mine Action New]]=0), "", tblPiNHistorical[[#This Row],[Mine Action New]]-tblPiNHistorical[[#This Row],[Mine Action Old]])</f>
        <v/>
      </c>
      <c r="AO42" s="67" t="str">
        <f>IF(OR(tblPiNHistorical[[#This Row],[Shelter NFI Old]]="", tblPiNHistorical[[#This Row],[Shelter NFI Old]]=0, tblPiNHistorical[[#This Row],[Shelter NFI New]]="", tblPiNHistorical[[#This Row],[Shelter NFI New]]=0), "", tblPiNHistorical[[#This Row],[Shelter NFI New]]-tblPiNHistorical[[#This Row],[Shelter NFI Old]])</f>
        <v/>
      </c>
      <c r="AP42" s="111" t="str">
        <f>IF(OR(tblPiNHistorical[[#This Row],[WASH Old]]="", tblPiNHistorical[[#This Row],[WASH Old]]=0, tblPiNHistorical[[#This Row],[WASH New]]="", tblPiNHistorical[[#This Row],[WASH New]]=0), "", tblPiNHistorical[[#This Row],[WASH New]]-tblPiNHistorical[[#This Row],[WASH Old]])</f>
        <v/>
      </c>
      <c r="AQ42" s="110" t="str">
        <f>IFERROR(ROUND((tblPiNHistorical[[#This Row],[Site Management - New]] - tblPiNHistorical[[#This Row],[Site Management - Old]])/tblPiNHistorical[[#This Row],[Site Management - Old]], 1), "")</f>
        <v/>
      </c>
      <c r="AR42" s="66">
        <f>IFERROR(ROUND((tblPiNHistorical[[#This Row],[Education New]]-tblPiNHistorical[[#This Row],[Education Old]])/tblPiNHistorical[[#This Row],[Education Old]], 1), "")</f>
        <v>-1</v>
      </c>
      <c r="AS42" s="66">
        <f>IFERROR(ROUND((tblPiNHistorical[[#This Row],[Food Security and Livlihoods New]]-tblPiNHistorical[[#This Row],[Food Security and Livlihoods Old]])/tblPiNHistorical[[#This Row],[Food Security and Livlihoods Old]], 1), "")</f>
        <v>-1</v>
      </c>
      <c r="AT42" s="66">
        <f>IFERROR(ROUND((tblPiNHistorical[[#This Row],[Health New]]-tblPiNHistorical[[#This Row],[Health Old]])/tblPiNHistorical[[#This Row],[Health Old]], 1), "")</f>
        <v>-1</v>
      </c>
      <c r="AU42" s="66">
        <f>IFERROR(ROUND((tblPiNHistorical[[#This Row],[Nutrition New]]-tblPiNHistorical[[#This Row],[Nutrition Old]])/tblPiNHistorical[[#This Row],[Nutrition Old]], 1), "")</f>
        <v>-1</v>
      </c>
      <c r="AV42" s="66">
        <f>IFERROR(ROUND((tblPiNHistorical[[#This Row],[Protection New]]-tblPiNHistorical[[#This Row],[Protection Old]])/tblPiNHistorical[[#This Row],[Protection Old]], 1), "")</f>
        <v>-1</v>
      </c>
      <c r="AW42" s="84">
        <f>IFERROR(ROUND((tblPiNHistorical[[#This Row],[CP New]]-tblPiNHistorical[[#This Row],[CP Old ]])/tblPiNHistorical[[#This Row],[CP Old ]], 1), "")</f>
        <v>-1</v>
      </c>
      <c r="AX42" s="84">
        <f>IFERROR(ROUND((tblPiNHistorical[[#This Row],[GBV New]]-tblPiNHistorical[[#This Row],[GBV Old]])/tblPiNHistorical[[#This Row],[GBV Old]], 1), "")</f>
        <v>-1</v>
      </c>
      <c r="AY42" s="84" t="str">
        <f>IFERROR(ROUND((tblPiNHistorical[[#This Row],[Mine Action New]]-tblPiNHistorical[[#This Row],[Mine Action Old]])/tblPiNHistorical[[#This Row],[Mine Action Old]], 1), "")</f>
        <v/>
      </c>
      <c r="AZ42" s="66" t="str">
        <f>IFERROR(ROUND((tblPiNHistorical[[#This Row],[Shelter NFI New]]-tblPiNHistorical[[#This Row],[Shelter NFI Old]])/tblPiNHistorical[[#This Row],[Shelter NFI Old]], 1), "")</f>
        <v/>
      </c>
      <c r="BA42" s="36">
        <f>IFERROR(ROUND((tblPiNHistorical[[#This Row],[WASH New]]-tblPiNHistorical[[#This Row],[WASH Old]])/tblPiNHistorical[[#This Row],[WASH Old]], 1), "")</f>
        <v>-1</v>
      </c>
      <c r="BB42"/>
      <c r="BC42"/>
      <c r="BD42"/>
      <c r="BE42"/>
      <c r="BF42"/>
      <c r="BG42"/>
      <c r="BH42"/>
      <c r="BI42"/>
      <c r="BL42"/>
      <c r="BN42"/>
      <c r="BO42"/>
      <c r="BP42"/>
    </row>
    <row r="43" spans="1:68" x14ac:dyDescent="0.25">
      <c r="A43"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IDPsSD12076</v>
      </c>
      <c r="B43" s="127" t="s">
        <v>158</v>
      </c>
      <c r="C43" s="60" t="s">
        <v>129</v>
      </c>
      <c r="D43" s="60" t="s">
        <v>450</v>
      </c>
      <c r="E43" s="60" t="s">
        <v>451</v>
      </c>
      <c r="F43" s="54"/>
      <c r="G43" s="30"/>
      <c r="H43" s="56">
        <v>18745</v>
      </c>
      <c r="I43" s="37" t="s">
        <v>88</v>
      </c>
      <c r="J43" s="34">
        <v>0</v>
      </c>
      <c r="K43" s="116">
        <v>7267.4364999999998</v>
      </c>
      <c r="L43" s="114">
        <v>18745</v>
      </c>
      <c r="M43" s="114">
        <v>18745</v>
      </c>
      <c r="N43" s="114">
        <v>950</v>
      </c>
      <c r="O43" s="114">
        <v>18745</v>
      </c>
      <c r="P43" s="114">
        <v>10310</v>
      </c>
      <c r="Q43" s="114">
        <v>7419</v>
      </c>
      <c r="R43" s="114">
        <v>0</v>
      </c>
      <c r="S43" s="114">
        <v>0</v>
      </c>
      <c r="T43" s="196">
        <v>16211.425799999997</v>
      </c>
      <c r="U43" s="52">
        <f>IFERROR(INDEX(tblPiNAnalysis[[Site Management ]], MATCH(tblPiNHistorical[[#This Row],[ID]], tblPiNAnalysis[ID], 0)), "")</f>
        <v>0</v>
      </c>
      <c r="V43" s="52">
        <f>IFERROR(INDEX(tblPiNAnalysis[Education], MATCH(tblPiNHistorical[[#This Row],[ID]], tblPiNAnalysis[ID], 0)), "")</f>
        <v>0</v>
      </c>
      <c r="W43" s="28">
        <f>IFERROR(INDEX(tblPiNAnalysis[Food Security and Livlihoods], MATCH(tblPiNHistorical[[#This Row],[ID]], tblPiNAnalysis[ID], 0)), "")</f>
        <v>0</v>
      </c>
      <c r="X43" s="28">
        <f>IFERROR(INDEX(tblPiNAnalysis[[Health ]], MATCH(tblPiNHistorical[[#This Row],[ID]], tblPiNAnalysis[ID], 0)), "")</f>
        <v>0</v>
      </c>
      <c r="Y43" s="28">
        <f>IFERROR(INDEX(tblPiNAnalysis[Nutrition], MATCH(tblPiNHistorical[[#This Row],[ID]], tblPiNAnalysis[ID], 0)), "")</f>
        <v>0</v>
      </c>
      <c r="Z43" s="28">
        <f>IFERROR(INDEX(tblPiNAnalysis[Protection], MATCH(tblPiNHistorical[[#This Row],[ID]], tblPiNAnalysis[ID], 0)), "")</f>
        <v>0</v>
      </c>
      <c r="AA43" s="28">
        <f>IFERROR(INDEX(tblPiNAnalysis[CP], MATCH(tblPiNHistorical[[#This Row],[ID]], tblPiNAnalysis[ID], 0)), "")</f>
        <v>0</v>
      </c>
      <c r="AB43" s="83">
        <f>IFERROR(INDEX(tblPiNAnalysis[GBV], MATCH(tblPiNHistorical[[#This Row],[ID]], tblPiNAnalysis[ID], 0)), "")</f>
        <v>0</v>
      </c>
      <c r="AC43" s="28">
        <f>IFERROR(INDEX(tblPiNAnalysis[Mine Action], MATCH(tblPiNHistorical[[#This Row],[ID]], tblPiNAnalysis[ID], 0)), "")</f>
        <v>0</v>
      </c>
      <c r="AD43" s="83">
        <f>IFERROR(INDEX(tblPiNAnalysis[[Shelter NFI ]], MATCH(tblPiNHistorical[[#This Row],[ID]], tblPiNAnalysis[ID], 0)), "")</f>
        <v>2069</v>
      </c>
      <c r="AE43" s="35">
        <f>IFERROR(INDEX(tblPiNAnalysis[WASH], MATCH(tblPiNHistorical[[#This Row],[ID]], tblPiNAnalysis[ID], 0)), "")</f>
        <v>0</v>
      </c>
      <c r="AF43" s="6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43" s="67" t="str">
        <f>IF(OR(tblPiNHistorical[[#This Row],[Education Old]]="", tblPiNHistorical[[#This Row],[Education Old]]=0, tblPiNHistorical[[#This Row],[Education New]]="", tblPiNHistorical[[#This Row],[Education New]]=0), "", tblPiNHistorical[[#This Row],[Education New]]-tblPiNHistorical[[#This Row],[Education Old]])</f>
        <v/>
      </c>
      <c r="AH43" s="67"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43" s="67" t="str">
        <f>IF(OR(tblPiNHistorical[[#This Row],[Health Old]]="", tblPiNHistorical[[#This Row],[Health Old]]=0, tblPiNHistorical[[#This Row],[Health New]]="", tblPiNHistorical[[#This Row],[Health New]]=0), "", tblPiNHistorical[[#This Row],[Health New]]-tblPiNHistorical[[#This Row],[Health Old]])</f>
        <v/>
      </c>
      <c r="AJ43" s="67" t="str">
        <f>IF(OR(tblPiNHistorical[[#This Row],[Nutrition Old]]="", tblPiNHistorical[[#This Row],[Nutrition Old]]=0, tblPiNHistorical[[#This Row],[Nutrition New]]="", tblPiNHistorical[[#This Row],[Nutrition New]]=0), "", tblPiNHistorical[[#This Row],[Nutrition New]]-tblPiNHistorical[[#This Row],[Nutrition Old]])</f>
        <v/>
      </c>
      <c r="AK43" s="67" t="str">
        <f>IF(OR(tblPiNHistorical[[#This Row],[Protection Old]]="", tblPiNHistorical[[#This Row],[Protection Old]]=0, tblPiNHistorical[[#This Row],[Protection New]]="", tblPiNHistorical[[#This Row],[Protection New]]=0), "", tblPiNHistorical[[#This Row],[Protection New]]-tblPiNHistorical[[#This Row],[Protection Old]])</f>
        <v/>
      </c>
      <c r="AL43" s="67" t="str">
        <f>IF(OR(tblPiNHistorical[[#This Row],[CP Old ]]="", tblPiNHistorical[[#This Row],[CP Old ]]=0, tblPiNHistorical[[#This Row],[CP New]]="", tblPiNHistorical[[#This Row],[CP New]]=0), "", tblPiNHistorical[[#This Row],[CP New]]-tblPiNHistorical[[#This Row],[CP Old ]])</f>
        <v/>
      </c>
      <c r="AM43" s="83" t="str">
        <f>IF(OR(tblPiNHistorical[[#This Row],[GBV Old]]="", tblPiNHistorical[[#This Row],[GBV Old]]=0, tblPiNHistorical[[#This Row],[GBV New]]="", tblPiNHistorical[[#This Row],[GBV New]]=0), "", tblPiNHistorical[[#This Row],[GBV New]]-tblPiNHistorical[[#This Row],[GBV Old]])</f>
        <v/>
      </c>
      <c r="AN43" s="83" t="str">
        <f>IF(OR(tblPiNHistorical[[#This Row],[Mine Action Old]]="", tblPiNHistorical[[#This Row],[Mine Action Old]]=0, tblPiNHistorical[[#This Row],[Mine Action New]]="", tblPiNHistorical[[#This Row],[Mine Action New]]=0), "", tblPiNHistorical[[#This Row],[Mine Action New]]-tblPiNHistorical[[#This Row],[Mine Action Old]])</f>
        <v/>
      </c>
      <c r="AO43" s="67" t="str">
        <f>IF(OR(tblPiNHistorical[[#This Row],[Shelter NFI Old]]="", tblPiNHistorical[[#This Row],[Shelter NFI Old]]=0, tblPiNHistorical[[#This Row],[Shelter NFI New]]="", tblPiNHistorical[[#This Row],[Shelter NFI New]]=0), "", tblPiNHistorical[[#This Row],[Shelter NFI New]]-tblPiNHistorical[[#This Row],[Shelter NFI Old]])</f>
        <v/>
      </c>
      <c r="AP43" s="111" t="str">
        <f>IF(OR(tblPiNHistorical[[#This Row],[WASH Old]]="", tblPiNHistorical[[#This Row],[WASH Old]]=0, tblPiNHistorical[[#This Row],[WASH New]]="", tblPiNHistorical[[#This Row],[WASH New]]=0), "", tblPiNHistorical[[#This Row],[WASH New]]-tblPiNHistorical[[#This Row],[WASH Old]])</f>
        <v/>
      </c>
      <c r="AQ43" s="110" t="str">
        <f>IFERROR(ROUND((tblPiNHistorical[[#This Row],[Site Management - New]] - tblPiNHistorical[[#This Row],[Site Management - Old]])/tblPiNHistorical[[#This Row],[Site Management - Old]], 1), "")</f>
        <v/>
      </c>
      <c r="AR43" s="66">
        <f>IFERROR(ROUND((tblPiNHistorical[[#This Row],[Education New]]-tblPiNHistorical[[#This Row],[Education Old]])/tblPiNHistorical[[#This Row],[Education Old]], 1), "")</f>
        <v>-1</v>
      </c>
      <c r="AS43" s="66">
        <f>IFERROR(ROUND((tblPiNHistorical[[#This Row],[Food Security and Livlihoods New]]-tblPiNHistorical[[#This Row],[Food Security and Livlihoods Old]])/tblPiNHistorical[[#This Row],[Food Security and Livlihoods Old]], 1), "")</f>
        <v>-1</v>
      </c>
      <c r="AT43" s="66">
        <f>IFERROR(ROUND((tblPiNHistorical[[#This Row],[Health New]]-tblPiNHistorical[[#This Row],[Health Old]])/tblPiNHistorical[[#This Row],[Health Old]], 1), "")</f>
        <v>-1</v>
      </c>
      <c r="AU43" s="66">
        <f>IFERROR(ROUND((tblPiNHistorical[[#This Row],[Nutrition New]]-tblPiNHistorical[[#This Row],[Nutrition Old]])/tblPiNHistorical[[#This Row],[Nutrition Old]], 1), "")</f>
        <v>-1</v>
      </c>
      <c r="AV43" s="66">
        <f>IFERROR(ROUND((tblPiNHistorical[[#This Row],[Protection New]]-tblPiNHistorical[[#This Row],[Protection Old]])/tblPiNHistorical[[#This Row],[Protection Old]], 1), "")</f>
        <v>-1</v>
      </c>
      <c r="AW43" s="84">
        <f>IFERROR(ROUND((tblPiNHistorical[[#This Row],[CP New]]-tblPiNHistorical[[#This Row],[CP Old ]])/tblPiNHistorical[[#This Row],[CP Old ]], 1), "")</f>
        <v>-1</v>
      </c>
      <c r="AX43" s="84">
        <f>IFERROR(ROUND((tblPiNHistorical[[#This Row],[GBV New]]-tblPiNHistorical[[#This Row],[GBV Old]])/tblPiNHistorical[[#This Row],[GBV Old]], 1), "")</f>
        <v>-1</v>
      </c>
      <c r="AY43" s="84" t="str">
        <f>IFERROR(ROUND((tblPiNHistorical[[#This Row],[Mine Action New]]-tblPiNHistorical[[#This Row],[Mine Action Old]])/tblPiNHistorical[[#This Row],[Mine Action Old]], 1), "")</f>
        <v/>
      </c>
      <c r="AZ43" s="66" t="str">
        <f>IFERROR(ROUND((tblPiNHistorical[[#This Row],[Shelter NFI New]]-tblPiNHistorical[[#This Row],[Shelter NFI Old]])/tblPiNHistorical[[#This Row],[Shelter NFI Old]], 1), "")</f>
        <v/>
      </c>
      <c r="BA43" s="36">
        <f>IFERROR(ROUND((tblPiNHistorical[[#This Row],[WASH New]]-tblPiNHistorical[[#This Row],[WASH Old]])/tblPiNHistorical[[#This Row],[WASH Old]], 1), "")</f>
        <v>-1</v>
      </c>
      <c r="BB43"/>
      <c r="BC43"/>
      <c r="BD43"/>
      <c r="BE43"/>
      <c r="BF43"/>
      <c r="BG43"/>
      <c r="BH43"/>
      <c r="BI43"/>
      <c r="BL43"/>
      <c r="BN43"/>
      <c r="BO43"/>
      <c r="BP43"/>
    </row>
    <row r="44" spans="1:68" x14ac:dyDescent="0.25">
      <c r="A44"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IDPsSD12084</v>
      </c>
      <c r="B44" s="127" t="s">
        <v>158</v>
      </c>
      <c r="C44" s="60" t="s">
        <v>129</v>
      </c>
      <c r="D44" s="60" t="s">
        <v>466</v>
      </c>
      <c r="E44" s="60" t="s">
        <v>467</v>
      </c>
      <c r="F44" s="54"/>
      <c r="G44" s="30"/>
      <c r="H44" s="56">
        <v>36565</v>
      </c>
      <c r="I44" s="37" t="s">
        <v>88</v>
      </c>
      <c r="J44" s="34">
        <v>0</v>
      </c>
      <c r="K44" s="116">
        <v>0</v>
      </c>
      <c r="L44" s="114">
        <v>36565</v>
      </c>
      <c r="M44" s="114">
        <v>36565</v>
      </c>
      <c r="N44" s="114">
        <v>2038</v>
      </c>
      <c r="O44" s="114">
        <v>36565</v>
      </c>
      <c r="P44" s="114">
        <v>20111</v>
      </c>
      <c r="Q44" s="114">
        <v>14473</v>
      </c>
      <c r="R44" s="114">
        <v>0</v>
      </c>
      <c r="S44" s="114">
        <v>14626</v>
      </c>
      <c r="T44" s="196">
        <v>34944.439199999993</v>
      </c>
      <c r="U44" s="52">
        <f>IFERROR(INDEX(tblPiNAnalysis[[Site Management ]], MATCH(tblPiNHistorical[[#This Row],[ID]], tblPiNAnalysis[ID], 0)), "")</f>
        <v>0</v>
      </c>
      <c r="V44" s="52">
        <f>IFERROR(INDEX(tblPiNAnalysis[Education], MATCH(tblPiNHistorical[[#This Row],[ID]], tblPiNAnalysis[ID], 0)), "")</f>
        <v>0</v>
      </c>
      <c r="W44" s="28">
        <f>IFERROR(INDEX(tblPiNAnalysis[Food Security and Livlihoods], MATCH(tblPiNHistorical[[#This Row],[ID]], tblPiNAnalysis[ID], 0)), "")</f>
        <v>0</v>
      </c>
      <c r="X44" s="28">
        <f>IFERROR(INDEX(tblPiNAnalysis[[Health ]], MATCH(tblPiNHistorical[[#This Row],[ID]], tblPiNAnalysis[ID], 0)), "")</f>
        <v>0</v>
      </c>
      <c r="Y44" s="28">
        <f>IFERROR(INDEX(tblPiNAnalysis[Nutrition], MATCH(tblPiNHistorical[[#This Row],[ID]], tblPiNAnalysis[ID], 0)), "")</f>
        <v>0</v>
      </c>
      <c r="Z44" s="28">
        <f>IFERROR(INDEX(tblPiNAnalysis[Protection], MATCH(tblPiNHistorical[[#This Row],[ID]], tblPiNAnalysis[ID], 0)), "")</f>
        <v>0</v>
      </c>
      <c r="AA44" s="28">
        <f>IFERROR(INDEX(tblPiNAnalysis[CP], MATCH(tblPiNHistorical[[#This Row],[ID]], tblPiNAnalysis[ID], 0)), "")</f>
        <v>0</v>
      </c>
      <c r="AB44" s="83">
        <f>IFERROR(INDEX(tblPiNAnalysis[GBV], MATCH(tblPiNHistorical[[#This Row],[ID]], tblPiNAnalysis[ID], 0)), "")</f>
        <v>0</v>
      </c>
      <c r="AC44" s="28">
        <f>IFERROR(INDEX(tblPiNAnalysis[Mine Action], MATCH(tblPiNHistorical[[#This Row],[ID]], tblPiNAnalysis[ID], 0)), "")</f>
        <v>0</v>
      </c>
      <c r="AD44" s="83">
        <f>IFERROR(INDEX(tblPiNAnalysis[[Shelter NFI ]], MATCH(tblPiNHistorical[[#This Row],[ID]], tblPiNAnalysis[ID], 0)), "")</f>
        <v>37841</v>
      </c>
      <c r="AE44" s="35">
        <f>IFERROR(INDEX(tblPiNAnalysis[WASH], MATCH(tblPiNHistorical[[#This Row],[ID]], tblPiNAnalysis[ID], 0)), "")</f>
        <v>0</v>
      </c>
      <c r="AF44" s="6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44" s="67" t="str">
        <f>IF(OR(tblPiNHistorical[[#This Row],[Education Old]]="", tblPiNHistorical[[#This Row],[Education Old]]=0, tblPiNHistorical[[#This Row],[Education New]]="", tblPiNHistorical[[#This Row],[Education New]]=0), "", tblPiNHistorical[[#This Row],[Education New]]-tblPiNHistorical[[#This Row],[Education Old]])</f>
        <v/>
      </c>
      <c r="AH44" s="67"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44" s="67" t="str">
        <f>IF(OR(tblPiNHistorical[[#This Row],[Health Old]]="", tblPiNHistorical[[#This Row],[Health Old]]=0, tblPiNHistorical[[#This Row],[Health New]]="", tblPiNHistorical[[#This Row],[Health New]]=0), "", tblPiNHistorical[[#This Row],[Health New]]-tblPiNHistorical[[#This Row],[Health Old]])</f>
        <v/>
      </c>
      <c r="AJ44" s="67" t="str">
        <f>IF(OR(tblPiNHistorical[[#This Row],[Nutrition Old]]="", tblPiNHistorical[[#This Row],[Nutrition Old]]=0, tblPiNHistorical[[#This Row],[Nutrition New]]="", tblPiNHistorical[[#This Row],[Nutrition New]]=0), "", tblPiNHistorical[[#This Row],[Nutrition New]]-tblPiNHistorical[[#This Row],[Nutrition Old]])</f>
        <v/>
      </c>
      <c r="AK44" s="67" t="str">
        <f>IF(OR(tblPiNHistorical[[#This Row],[Protection Old]]="", tblPiNHistorical[[#This Row],[Protection Old]]=0, tblPiNHistorical[[#This Row],[Protection New]]="", tblPiNHistorical[[#This Row],[Protection New]]=0), "", tblPiNHistorical[[#This Row],[Protection New]]-tblPiNHistorical[[#This Row],[Protection Old]])</f>
        <v/>
      </c>
      <c r="AL44" s="67" t="str">
        <f>IF(OR(tblPiNHistorical[[#This Row],[CP Old ]]="", tblPiNHistorical[[#This Row],[CP Old ]]=0, tblPiNHistorical[[#This Row],[CP New]]="", tblPiNHistorical[[#This Row],[CP New]]=0), "", tblPiNHistorical[[#This Row],[CP New]]-tblPiNHistorical[[#This Row],[CP Old ]])</f>
        <v/>
      </c>
      <c r="AM44" s="83" t="str">
        <f>IF(OR(tblPiNHistorical[[#This Row],[GBV Old]]="", tblPiNHistorical[[#This Row],[GBV Old]]=0, tblPiNHistorical[[#This Row],[GBV New]]="", tblPiNHistorical[[#This Row],[GBV New]]=0), "", tblPiNHistorical[[#This Row],[GBV New]]-tblPiNHistorical[[#This Row],[GBV Old]])</f>
        <v/>
      </c>
      <c r="AN44" s="83" t="str">
        <f>IF(OR(tblPiNHistorical[[#This Row],[Mine Action Old]]="", tblPiNHistorical[[#This Row],[Mine Action Old]]=0, tblPiNHistorical[[#This Row],[Mine Action New]]="", tblPiNHistorical[[#This Row],[Mine Action New]]=0), "", tblPiNHistorical[[#This Row],[Mine Action New]]-tblPiNHistorical[[#This Row],[Mine Action Old]])</f>
        <v/>
      </c>
      <c r="AO44" s="67">
        <f>IF(OR(tblPiNHistorical[[#This Row],[Shelter NFI Old]]="", tblPiNHistorical[[#This Row],[Shelter NFI Old]]=0, tblPiNHistorical[[#This Row],[Shelter NFI New]]="", tblPiNHistorical[[#This Row],[Shelter NFI New]]=0), "", tblPiNHistorical[[#This Row],[Shelter NFI New]]-tblPiNHistorical[[#This Row],[Shelter NFI Old]])</f>
        <v>23215</v>
      </c>
      <c r="AP44" s="111" t="str">
        <f>IF(OR(tblPiNHistorical[[#This Row],[WASH Old]]="", tblPiNHistorical[[#This Row],[WASH Old]]=0, tblPiNHistorical[[#This Row],[WASH New]]="", tblPiNHistorical[[#This Row],[WASH New]]=0), "", tblPiNHistorical[[#This Row],[WASH New]]-tblPiNHistorical[[#This Row],[WASH Old]])</f>
        <v/>
      </c>
      <c r="AQ44" s="110" t="str">
        <f>IFERROR(ROUND((tblPiNHistorical[[#This Row],[Site Management - New]] - tblPiNHistorical[[#This Row],[Site Management - Old]])/tblPiNHistorical[[#This Row],[Site Management - Old]], 1), "")</f>
        <v/>
      </c>
      <c r="AR44" s="66" t="str">
        <f>IFERROR(ROUND((tblPiNHistorical[[#This Row],[Education New]]-tblPiNHistorical[[#This Row],[Education Old]])/tblPiNHistorical[[#This Row],[Education Old]], 1), "")</f>
        <v/>
      </c>
      <c r="AS44" s="66">
        <f>IFERROR(ROUND((tblPiNHistorical[[#This Row],[Food Security and Livlihoods New]]-tblPiNHistorical[[#This Row],[Food Security and Livlihoods Old]])/tblPiNHistorical[[#This Row],[Food Security and Livlihoods Old]], 1), "")</f>
        <v>-1</v>
      </c>
      <c r="AT44" s="66">
        <f>IFERROR(ROUND((tblPiNHistorical[[#This Row],[Health New]]-tblPiNHistorical[[#This Row],[Health Old]])/tblPiNHistorical[[#This Row],[Health Old]], 1), "")</f>
        <v>-1</v>
      </c>
      <c r="AU44" s="66">
        <f>IFERROR(ROUND((tblPiNHistorical[[#This Row],[Nutrition New]]-tblPiNHistorical[[#This Row],[Nutrition Old]])/tblPiNHistorical[[#This Row],[Nutrition Old]], 1), "")</f>
        <v>-1</v>
      </c>
      <c r="AV44" s="66">
        <f>IFERROR(ROUND((tblPiNHistorical[[#This Row],[Protection New]]-tblPiNHistorical[[#This Row],[Protection Old]])/tblPiNHistorical[[#This Row],[Protection Old]], 1), "")</f>
        <v>-1</v>
      </c>
      <c r="AW44" s="84">
        <f>IFERROR(ROUND((tblPiNHistorical[[#This Row],[CP New]]-tblPiNHistorical[[#This Row],[CP Old ]])/tblPiNHistorical[[#This Row],[CP Old ]], 1), "")</f>
        <v>-1</v>
      </c>
      <c r="AX44" s="84">
        <f>IFERROR(ROUND((tblPiNHistorical[[#This Row],[GBV New]]-tblPiNHistorical[[#This Row],[GBV Old]])/tblPiNHistorical[[#This Row],[GBV Old]], 1), "")</f>
        <v>-1</v>
      </c>
      <c r="AY44" s="84" t="str">
        <f>IFERROR(ROUND((tblPiNHistorical[[#This Row],[Mine Action New]]-tblPiNHistorical[[#This Row],[Mine Action Old]])/tblPiNHistorical[[#This Row],[Mine Action Old]], 1), "")</f>
        <v/>
      </c>
      <c r="AZ44" s="66">
        <f>IFERROR(ROUND((tblPiNHistorical[[#This Row],[Shelter NFI New]]-tblPiNHistorical[[#This Row],[Shelter NFI Old]])/tblPiNHistorical[[#This Row],[Shelter NFI Old]], 1), "")</f>
        <v>1.6</v>
      </c>
      <c r="BA44" s="36">
        <f>IFERROR(ROUND((tblPiNHistorical[[#This Row],[WASH New]]-tblPiNHistorical[[#This Row],[WASH Old]])/tblPiNHistorical[[#This Row],[WASH Old]], 1), "")</f>
        <v>-1</v>
      </c>
      <c r="BB44"/>
      <c r="BC44"/>
      <c r="BD44"/>
      <c r="BE44"/>
      <c r="BF44"/>
      <c r="BG44"/>
      <c r="BH44"/>
      <c r="BI44"/>
      <c r="BL44"/>
      <c r="BN44"/>
      <c r="BO44"/>
      <c r="BP44"/>
    </row>
    <row r="45" spans="1:68" x14ac:dyDescent="0.25">
      <c r="A45"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IDPsSD12077</v>
      </c>
      <c r="B45" s="127" t="s">
        <v>158</v>
      </c>
      <c r="C45" s="60" t="s">
        <v>129</v>
      </c>
      <c r="D45" s="60" t="s">
        <v>452</v>
      </c>
      <c r="E45" s="60" t="s">
        <v>453</v>
      </c>
      <c r="F45" s="54"/>
      <c r="G45" s="30"/>
      <c r="H45" s="56">
        <v>27530</v>
      </c>
      <c r="I45" s="37" t="s">
        <v>88</v>
      </c>
      <c r="J45" s="34">
        <v>3406</v>
      </c>
      <c r="K45" s="116">
        <v>10673.380999999999</v>
      </c>
      <c r="L45" s="114">
        <v>27530</v>
      </c>
      <c r="M45" s="114">
        <v>27530</v>
      </c>
      <c r="N45" s="114">
        <v>2786</v>
      </c>
      <c r="O45" s="114">
        <v>27530</v>
      </c>
      <c r="P45" s="114">
        <v>15142</v>
      </c>
      <c r="Q45" s="114">
        <v>10896</v>
      </c>
      <c r="R45" s="114">
        <v>0</v>
      </c>
      <c r="S45" s="114">
        <v>11012</v>
      </c>
      <c r="T45" s="196">
        <v>31057.143599999999</v>
      </c>
      <c r="U45" s="52">
        <f>IFERROR(INDEX(tblPiNAnalysis[[Site Management ]], MATCH(tblPiNHistorical[[#This Row],[ID]], tblPiNAnalysis[ID], 0)), "")</f>
        <v>0</v>
      </c>
      <c r="V45" s="52">
        <f>IFERROR(INDEX(tblPiNAnalysis[Education], MATCH(tblPiNHistorical[[#This Row],[ID]], tblPiNAnalysis[ID], 0)), "")</f>
        <v>0</v>
      </c>
      <c r="W45" s="28">
        <f>IFERROR(INDEX(tblPiNAnalysis[Food Security and Livlihoods], MATCH(tblPiNHistorical[[#This Row],[ID]], tblPiNAnalysis[ID], 0)), "")</f>
        <v>0</v>
      </c>
      <c r="X45" s="28">
        <f>IFERROR(INDEX(tblPiNAnalysis[[Health ]], MATCH(tblPiNHistorical[[#This Row],[ID]], tblPiNAnalysis[ID], 0)), "")</f>
        <v>0</v>
      </c>
      <c r="Y45" s="28">
        <f>IFERROR(INDEX(tblPiNAnalysis[Nutrition], MATCH(tblPiNHistorical[[#This Row],[ID]], tblPiNAnalysis[ID], 0)), "")</f>
        <v>0</v>
      </c>
      <c r="Z45" s="28">
        <f>IFERROR(INDEX(tblPiNAnalysis[Protection], MATCH(tblPiNHistorical[[#This Row],[ID]], tblPiNAnalysis[ID], 0)), "")</f>
        <v>0</v>
      </c>
      <c r="AA45" s="28">
        <f>IFERROR(INDEX(tblPiNAnalysis[CP], MATCH(tblPiNHistorical[[#This Row],[ID]], tblPiNAnalysis[ID], 0)), "")</f>
        <v>0</v>
      </c>
      <c r="AB45" s="83">
        <f>IFERROR(INDEX(tblPiNAnalysis[GBV], MATCH(tblPiNHistorical[[#This Row],[ID]], tblPiNAnalysis[ID], 0)), "")</f>
        <v>0</v>
      </c>
      <c r="AC45" s="28">
        <f>IFERROR(INDEX(tblPiNAnalysis[Mine Action], MATCH(tblPiNHistorical[[#This Row],[ID]], tblPiNAnalysis[ID], 0)), "")</f>
        <v>0</v>
      </c>
      <c r="AD45" s="83">
        <f>IFERROR(INDEX(tblPiNAnalysis[[Shelter NFI ]], MATCH(tblPiNHistorical[[#This Row],[ID]], tblPiNAnalysis[ID], 0)), "")</f>
        <v>35836</v>
      </c>
      <c r="AE45" s="35">
        <f>IFERROR(INDEX(tblPiNAnalysis[WASH], MATCH(tblPiNHistorical[[#This Row],[ID]], tblPiNAnalysis[ID], 0)), "")</f>
        <v>0</v>
      </c>
      <c r="AF45" s="6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45" s="67" t="str">
        <f>IF(OR(tblPiNHistorical[[#This Row],[Education Old]]="", tblPiNHistorical[[#This Row],[Education Old]]=0, tblPiNHistorical[[#This Row],[Education New]]="", tblPiNHistorical[[#This Row],[Education New]]=0), "", tblPiNHistorical[[#This Row],[Education New]]-tblPiNHistorical[[#This Row],[Education Old]])</f>
        <v/>
      </c>
      <c r="AH45" s="67"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45" s="67" t="str">
        <f>IF(OR(tblPiNHistorical[[#This Row],[Health Old]]="", tblPiNHistorical[[#This Row],[Health Old]]=0, tblPiNHistorical[[#This Row],[Health New]]="", tblPiNHistorical[[#This Row],[Health New]]=0), "", tblPiNHistorical[[#This Row],[Health New]]-tblPiNHistorical[[#This Row],[Health Old]])</f>
        <v/>
      </c>
      <c r="AJ45" s="67" t="str">
        <f>IF(OR(tblPiNHistorical[[#This Row],[Nutrition Old]]="", tblPiNHistorical[[#This Row],[Nutrition Old]]=0, tblPiNHistorical[[#This Row],[Nutrition New]]="", tblPiNHistorical[[#This Row],[Nutrition New]]=0), "", tblPiNHistorical[[#This Row],[Nutrition New]]-tblPiNHistorical[[#This Row],[Nutrition Old]])</f>
        <v/>
      </c>
      <c r="AK45" s="67" t="str">
        <f>IF(OR(tblPiNHistorical[[#This Row],[Protection Old]]="", tblPiNHistorical[[#This Row],[Protection Old]]=0, tblPiNHistorical[[#This Row],[Protection New]]="", tblPiNHistorical[[#This Row],[Protection New]]=0), "", tblPiNHistorical[[#This Row],[Protection New]]-tblPiNHistorical[[#This Row],[Protection Old]])</f>
        <v/>
      </c>
      <c r="AL45" s="67" t="str">
        <f>IF(OR(tblPiNHistorical[[#This Row],[CP Old ]]="", tblPiNHistorical[[#This Row],[CP Old ]]=0, tblPiNHistorical[[#This Row],[CP New]]="", tblPiNHistorical[[#This Row],[CP New]]=0), "", tblPiNHistorical[[#This Row],[CP New]]-tblPiNHistorical[[#This Row],[CP Old ]])</f>
        <v/>
      </c>
      <c r="AM45" s="83" t="str">
        <f>IF(OR(tblPiNHistorical[[#This Row],[GBV Old]]="", tblPiNHistorical[[#This Row],[GBV Old]]=0, tblPiNHistorical[[#This Row],[GBV New]]="", tblPiNHistorical[[#This Row],[GBV New]]=0), "", tblPiNHistorical[[#This Row],[GBV New]]-tblPiNHistorical[[#This Row],[GBV Old]])</f>
        <v/>
      </c>
      <c r="AN45" s="83" t="str">
        <f>IF(OR(tblPiNHistorical[[#This Row],[Mine Action Old]]="", tblPiNHistorical[[#This Row],[Mine Action Old]]=0, tblPiNHistorical[[#This Row],[Mine Action New]]="", tblPiNHistorical[[#This Row],[Mine Action New]]=0), "", tblPiNHistorical[[#This Row],[Mine Action New]]-tblPiNHistorical[[#This Row],[Mine Action Old]])</f>
        <v/>
      </c>
      <c r="AO45" s="67">
        <f>IF(OR(tblPiNHistorical[[#This Row],[Shelter NFI Old]]="", tblPiNHistorical[[#This Row],[Shelter NFI Old]]=0, tblPiNHistorical[[#This Row],[Shelter NFI New]]="", tblPiNHistorical[[#This Row],[Shelter NFI New]]=0), "", tblPiNHistorical[[#This Row],[Shelter NFI New]]-tblPiNHistorical[[#This Row],[Shelter NFI Old]])</f>
        <v>24824</v>
      </c>
      <c r="AP45" s="111" t="str">
        <f>IF(OR(tblPiNHistorical[[#This Row],[WASH Old]]="", tblPiNHistorical[[#This Row],[WASH Old]]=0, tblPiNHistorical[[#This Row],[WASH New]]="", tblPiNHistorical[[#This Row],[WASH New]]=0), "", tblPiNHistorical[[#This Row],[WASH New]]-tblPiNHistorical[[#This Row],[WASH Old]])</f>
        <v/>
      </c>
      <c r="AQ45" s="110">
        <f>IFERROR(ROUND((tblPiNHistorical[[#This Row],[Site Management - New]] - tblPiNHistorical[[#This Row],[Site Management - Old]])/tblPiNHistorical[[#This Row],[Site Management - Old]], 1), "")</f>
        <v>-1</v>
      </c>
      <c r="AR45" s="66">
        <f>IFERROR(ROUND((tblPiNHistorical[[#This Row],[Education New]]-tblPiNHistorical[[#This Row],[Education Old]])/tblPiNHistorical[[#This Row],[Education Old]], 1), "")</f>
        <v>-1</v>
      </c>
      <c r="AS45" s="66">
        <f>IFERROR(ROUND((tblPiNHistorical[[#This Row],[Food Security and Livlihoods New]]-tblPiNHistorical[[#This Row],[Food Security and Livlihoods Old]])/tblPiNHistorical[[#This Row],[Food Security and Livlihoods Old]], 1), "")</f>
        <v>-1</v>
      </c>
      <c r="AT45" s="66">
        <f>IFERROR(ROUND((tblPiNHistorical[[#This Row],[Health New]]-tblPiNHistorical[[#This Row],[Health Old]])/tblPiNHistorical[[#This Row],[Health Old]], 1), "")</f>
        <v>-1</v>
      </c>
      <c r="AU45" s="66">
        <f>IFERROR(ROUND((tblPiNHistorical[[#This Row],[Nutrition New]]-tblPiNHistorical[[#This Row],[Nutrition Old]])/tblPiNHistorical[[#This Row],[Nutrition Old]], 1), "")</f>
        <v>-1</v>
      </c>
      <c r="AV45" s="66">
        <f>IFERROR(ROUND((tblPiNHistorical[[#This Row],[Protection New]]-tblPiNHistorical[[#This Row],[Protection Old]])/tblPiNHistorical[[#This Row],[Protection Old]], 1), "")</f>
        <v>-1</v>
      </c>
      <c r="AW45" s="84">
        <f>IFERROR(ROUND((tblPiNHistorical[[#This Row],[CP New]]-tblPiNHistorical[[#This Row],[CP Old ]])/tblPiNHistorical[[#This Row],[CP Old ]], 1), "")</f>
        <v>-1</v>
      </c>
      <c r="AX45" s="84">
        <f>IFERROR(ROUND((tblPiNHistorical[[#This Row],[GBV New]]-tblPiNHistorical[[#This Row],[GBV Old]])/tblPiNHistorical[[#This Row],[GBV Old]], 1), "")</f>
        <v>-1</v>
      </c>
      <c r="AY45" s="84" t="str">
        <f>IFERROR(ROUND((tblPiNHistorical[[#This Row],[Mine Action New]]-tblPiNHistorical[[#This Row],[Mine Action Old]])/tblPiNHistorical[[#This Row],[Mine Action Old]], 1), "")</f>
        <v/>
      </c>
      <c r="AZ45" s="66">
        <f>IFERROR(ROUND((tblPiNHistorical[[#This Row],[Shelter NFI New]]-tblPiNHistorical[[#This Row],[Shelter NFI Old]])/tblPiNHistorical[[#This Row],[Shelter NFI Old]], 1), "")</f>
        <v>2.2999999999999998</v>
      </c>
      <c r="BA45" s="36">
        <f>IFERROR(ROUND((tblPiNHistorical[[#This Row],[WASH New]]-tblPiNHistorical[[#This Row],[WASH Old]])/tblPiNHistorical[[#This Row],[WASH Old]], 1), "")</f>
        <v>-1</v>
      </c>
      <c r="BB45"/>
      <c r="BC45"/>
      <c r="BD45"/>
      <c r="BE45"/>
      <c r="BF45"/>
      <c r="BG45"/>
      <c r="BH45"/>
      <c r="BI45"/>
      <c r="BL45"/>
      <c r="BN45"/>
      <c r="BO45"/>
      <c r="BP45"/>
    </row>
    <row r="46" spans="1:68" x14ac:dyDescent="0.25">
      <c r="A46"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IDPsSD12079</v>
      </c>
      <c r="B46" s="127" t="s">
        <v>158</v>
      </c>
      <c r="C46" s="60" t="s">
        <v>129</v>
      </c>
      <c r="D46" s="60" t="s">
        <v>456</v>
      </c>
      <c r="E46" s="60" t="s">
        <v>457</v>
      </c>
      <c r="F46" s="54"/>
      <c r="G46" s="30"/>
      <c r="H46" s="56">
        <v>12202</v>
      </c>
      <c r="I46" s="37" t="s">
        <v>88</v>
      </c>
      <c r="J46" s="34">
        <v>0</v>
      </c>
      <c r="K46" s="116">
        <v>4730.7154</v>
      </c>
      <c r="L46" s="114">
        <v>12202</v>
      </c>
      <c r="M46" s="114">
        <v>12202</v>
      </c>
      <c r="N46" s="114">
        <v>473</v>
      </c>
      <c r="O46" s="114">
        <v>12202</v>
      </c>
      <c r="P46" s="114">
        <v>6711</v>
      </c>
      <c r="Q46" s="114">
        <v>4830</v>
      </c>
      <c r="R46" s="114">
        <v>0</v>
      </c>
      <c r="S46" s="114">
        <v>0</v>
      </c>
      <c r="T46" s="196">
        <v>13099.091039999999</v>
      </c>
      <c r="U46" s="52">
        <f>IFERROR(INDEX(tblPiNAnalysis[[Site Management ]], MATCH(tblPiNHistorical[[#This Row],[ID]], tblPiNAnalysis[ID], 0)), "")</f>
        <v>0</v>
      </c>
      <c r="V46" s="52">
        <f>IFERROR(INDEX(tblPiNAnalysis[Education], MATCH(tblPiNHistorical[[#This Row],[ID]], tblPiNAnalysis[ID], 0)), "")</f>
        <v>0</v>
      </c>
      <c r="W46" s="28">
        <f>IFERROR(INDEX(tblPiNAnalysis[Food Security and Livlihoods], MATCH(tblPiNHistorical[[#This Row],[ID]], tblPiNAnalysis[ID], 0)), "")</f>
        <v>0</v>
      </c>
      <c r="X46" s="28">
        <f>IFERROR(INDEX(tblPiNAnalysis[[Health ]], MATCH(tblPiNHistorical[[#This Row],[ID]], tblPiNAnalysis[ID], 0)), "")</f>
        <v>0</v>
      </c>
      <c r="Y46" s="28">
        <f>IFERROR(INDEX(tblPiNAnalysis[Nutrition], MATCH(tblPiNHistorical[[#This Row],[ID]], tblPiNAnalysis[ID], 0)), "")</f>
        <v>0</v>
      </c>
      <c r="Z46" s="28">
        <f>IFERROR(INDEX(tblPiNAnalysis[Protection], MATCH(tblPiNHistorical[[#This Row],[ID]], tblPiNAnalysis[ID], 0)), "")</f>
        <v>0</v>
      </c>
      <c r="AA46" s="28">
        <f>IFERROR(INDEX(tblPiNAnalysis[CP], MATCH(tblPiNHistorical[[#This Row],[ID]], tblPiNAnalysis[ID], 0)), "")</f>
        <v>0</v>
      </c>
      <c r="AB46" s="83">
        <f>IFERROR(INDEX(tblPiNAnalysis[GBV], MATCH(tblPiNHistorical[[#This Row],[ID]], tblPiNAnalysis[ID], 0)), "")</f>
        <v>0</v>
      </c>
      <c r="AC46" s="28">
        <f>IFERROR(INDEX(tblPiNAnalysis[Mine Action], MATCH(tblPiNHistorical[[#This Row],[ID]], tblPiNAnalysis[ID], 0)), "")</f>
        <v>0</v>
      </c>
      <c r="AD46" s="83">
        <f>IFERROR(INDEX(tblPiNAnalysis[[Shelter NFI ]], MATCH(tblPiNHistorical[[#This Row],[ID]], tblPiNAnalysis[ID], 0)), "")</f>
        <v>3815</v>
      </c>
      <c r="AE46" s="35">
        <f>IFERROR(INDEX(tblPiNAnalysis[WASH], MATCH(tblPiNHistorical[[#This Row],[ID]], tblPiNAnalysis[ID], 0)), "")</f>
        <v>0</v>
      </c>
      <c r="AF46" s="6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46" s="67" t="str">
        <f>IF(OR(tblPiNHistorical[[#This Row],[Education Old]]="", tblPiNHistorical[[#This Row],[Education Old]]=0, tblPiNHistorical[[#This Row],[Education New]]="", tblPiNHistorical[[#This Row],[Education New]]=0), "", tblPiNHistorical[[#This Row],[Education New]]-tblPiNHistorical[[#This Row],[Education Old]])</f>
        <v/>
      </c>
      <c r="AH46" s="67"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46" s="67" t="str">
        <f>IF(OR(tblPiNHistorical[[#This Row],[Health Old]]="", tblPiNHistorical[[#This Row],[Health Old]]=0, tblPiNHistorical[[#This Row],[Health New]]="", tblPiNHistorical[[#This Row],[Health New]]=0), "", tblPiNHistorical[[#This Row],[Health New]]-tblPiNHistorical[[#This Row],[Health Old]])</f>
        <v/>
      </c>
      <c r="AJ46" s="67" t="str">
        <f>IF(OR(tblPiNHistorical[[#This Row],[Nutrition Old]]="", tblPiNHistorical[[#This Row],[Nutrition Old]]=0, tblPiNHistorical[[#This Row],[Nutrition New]]="", tblPiNHistorical[[#This Row],[Nutrition New]]=0), "", tblPiNHistorical[[#This Row],[Nutrition New]]-tblPiNHistorical[[#This Row],[Nutrition Old]])</f>
        <v/>
      </c>
      <c r="AK46" s="67" t="str">
        <f>IF(OR(tblPiNHistorical[[#This Row],[Protection Old]]="", tblPiNHistorical[[#This Row],[Protection Old]]=0, tblPiNHistorical[[#This Row],[Protection New]]="", tblPiNHistorical[[#This Row],[Protection New]]=0), "", tblPiNHistorical[[#This Row],[Protection New]]-tblPiNHistorical[[#This Row],[Protection Old]])</f>
        <v/>
      </c>
      <c r="AL46" s="67" t="str">
        <f>IF(OR(tblPiNHistorical[[#This Row],[CP Old ]]="", tblPiNHistorical[[#This Row],[CP Old ]]=0, tblPiNHistorical[[#This Row],[CP New]]="", tblPiNHistorical[[#This Row],[CP New]]=0), "", tblPiNHistorical[[#This Row],[CP New]]-tblPiNHistorical[[#This Row],[CP Old ]])</f>
        <v/>
      </c>
      <c r="AM46" s="83" t="str">
        <f>IF(OR(tblPiNHistorical[[#This Row],[GBV Old]]="", tblPiNHistorical[[#This Row],[GBV Old]]=0, tblPiNHistorical[[#This Row],[GBV New]]="", tblPiNHistorical[[#This Row],[GBV New]]=0), "", tblPiNHistorical[[#This Row],[GBV New]]-tblPiNHistorical[[#This Row],[GBV Old]])</f>
        <v/>
      </c>
      <c r="AN46" s="83" t="str">
        <f>IF(OR(tblPiNHistorical[[#This Row],[Mine Action Old]]="", tblPiNHistorical[[#This Row],[Mine Action Old]]=0, tblPiNHistorical[[#This Row],[Mine Action New]]="", tblPiNHistorical[[#This Row],[Mine Action New]]=0), "", tblPiNHistorical[[#This Row],[Mine Action New]]-tblPiNHistorical[[#This Row],[Mine Action Old]])</f>
        <v/>
      </c>
      <c r="AO46" s="67" t="str">
        <f>IF(OR(tblPiNHistorical[[#This Row],[Shelter NFI Old]]="", tblPiNHistorical[[#This Row],[Shelter NFI Old]]=0, tblPiNHistorical[[#This Row],[Shelter NFI New]]="", tblPiNHistorical[[#This Row],[Shelter NFI New]]=0), "", tblPiNHistorical[[#This Row],[Shelter NFI New]]-tblPiNHistorical[[#This Row],[Shelter NFI Old]])</f>
        <v/>
      </c>
      <c r="AP46" s="111" t="str">
        <f>IF(OR(tblPiNHistorical[[#This Row],[WASH Old]]="", tblPiNHistorical[[#This Row],[WASH Old]]=0, tblPiNHistorical[[#This Row],[WASH New]]="", tblPiNHistorical[[#This Row],[WASH New]]=0), "", tblPiNHistorical[[#This Row],[WASH New]]-tblPiNHistorical[[#This Row],[WASH Old]])</f>
        <v/>
      </c>
      <c r="AQ46" s="110" t="str">
        <f>IFERROR(ROUND((tblPiNHistorical[[#This Row],[Site Management - New]] - tblPiNHistorical[[#This Row],[Site Management - Old]])/tblPiNHistorical[[#This Row],[Site Management - Old]], 1), "")</f>
        <v/>
      </c>
      <c r="AR46" s="66">
        <f>IFERROR(ROUND((tblPiNHistorical[[#This Row],[Education New]]-tblPiNHistorical[[#This Row],[Education Old]])/tblPiNHistorical[[#This Row],[Education Old]], 1), "")</f>
        <v>-1</v>
      </c>
      <c r="AS46" s="66">
        <f>IFERROR(ROUND((tblPiNHistorical[[#This Row],[Food Security and Livlihoods New]]-tblPiNHistorical[[#This Row],[Food Security and Livlihoods Old]])/tblPiNHistorical[[#This Row],[Food Security and Livlihoods Old]], 1), "")</f>
        <v>-1</v>
      </c>
      <c r="AT46" s="66">
        <f>IFERROR(ROUND((tblPiNHistorical[[#This Row],[Health New]]-tblPiNHistorical[[#This Row],[Health Old]])/tblPiNHistorical[[#This Row],[Health Old]], 1), "")</f>
        <v>-1</v>
      </c>
      <c r="AU46" s="66">
        <f>IFERROR(ROUND((tblPiNHistorical[[#This Row],[Nutrition New]]-tblPiNHistorical[[#This Row],[Nutrition Old]])/tblPiNHistorical[[#This Row],[Nutrition Old]], 1), "")</f>
        <v>-1</v>
      </c>
      <c r="AV46" s="66">
        <f>IFERROR(ROUND((tblPiNHistorical[[#This Row],[Protection New]]-tblPiNHistorical[[#This Row],[Protection Old]])/tblPiNHistorical[[#This Row],[Protection Old]], 1), "")</f>
        <v>-1</v>
      </c>
      <c r="AW46" s="84">
        <f>IFERROR(ROUND((tblPiNHistorical[[#This Row],[CP New]]-tblPiNHistorical[[#This Row],[CP Old ]])/tblPiNHistorical[[#This Row],[CP Old ]], 1), "")</f>
        <v>-1</v>
      </c>
      <c r="AX46" s="84">
        <f>IFERROR(ROUND((tblPiNHistorical[[#This Row],[GBV New]]-tblPiNHistorical[[#This Row],[GBV Old]])/tblPiNHistorical[[#This Row],[GBV Old]], 1), "")</f>
        <v>-1</v>
      </c>
      <c r="AY46" s="84" t="str">
        <f>IFERROR(ROUND((tblPiNHistorical[[#This Row],[Mine Action New]]-tblPiNHistorical[[#This Row],[Mine Action Old]])/tblPiNHistorical[[#This Row],[Mine Action Old]], 1), "")</f>
        <v/>
      </c>
      <c r="AZ46" s="66" t="str">
        <f>IFERROR(ROUND((tblPiNHistorical[[#This Row],[Shelter NFI New]]-tblPiNHistorical[[#This Row],[Shelter NFI Old]])/tblPiNHistorical[[#This Row],[Shelter NFI Old]], 1), "")</f>
        <v/>
      </c>
      <c r="BA46" s="36">
        <f>IFERROR(ROUND((tblPiNHistorical[[#This Row],[WASH New]]-tblPiNHistorical[[#This Row],[WASH Old]])/tblPiNHistorical[[#This Row],[WASH Old]], 1), "")</f>
        <v>-1</v>
      </c>
      <c r="BB46"/>
      <c r="BC46"/>
      <c r="BD46"/>
      <c r="BE46"/>
      <c r="BF46"/>
      <c r="BG46"/>
      <c r="BH46"/>
      <c r="BI46"/>
      <c r="BL46"/>
      <c r="BN46"/>
      <c r="BO46"/>
      <c r="BP46"/>
    </row>
    <row r="47" spans="1:68" ht="30" x14ac:dyDescent="0.25">
      <c r="A47"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IDPsSD12083</v>
      </c>
      <c r="B47" s="127" t="s">
        <v>158</v>
      </c>
      <c r="C47" s="60" t="s">
        <v>129</v>
      </c>
      <c r="D47" s="60" t="s">
        <v>464</v>
      </c>
      <c r="E47" s="60" t="s">
        <v>465</v>
      </c>
      <c r="F47" s="54"/>
      <c r="G47" s="30"/>
      <c r="H47" s="56">
        <v>27925</v>
      </c>
      <c r="I47" s="37" t="s">
        <v>88</v>
      </c>
      <c r="J47" s="34">
        <v>466</v>
      </c>
      <c r="K47" s="116">
        <v>10826.522499999999</v>
      </c>
      <c r="L47" s="114">
        <v>27925</v>
      </c>
      <c r="M47" s="114">
        <v>27925</v>
      </c>
      <c r="N47" s="114">
        <v>2129</v>
      </c>
      <c r="O47" s="114">
        <v>27925</v>
      </c>
      <c r="P47" s="114">
        <v>15359</v>
      </c>
      <c r="Q47" s="114">
        <v>11053</v>
      </c>
      <c r="R47" s="114">
        <v>0</v>
      </c>
      <c r="S47" s="114">
        <v>11170</v>
      </c>
      <c r="T47" s="196">
        <v>26844.860999999997</v>
      </c>
      <c r="U47" s="52">
        <f>IFERROR(INDEX(tblPiNAnalysis[[Site Management ]], MATCH(tblPiNHistorical[[#This Row],[ID]], tblPiNAnalysis[ID], 0)), "")</f>
        <v>0</v>
      </c>
      <c r="V47" s="52">
        <f>IFERROR(INDEX(tblPiNAnalysis[Education], MATCH(tblPiNHistorical[[#This Row],[ID]], tblPiNAnalysis[ID], 0)), "")</f>
        <v>0</v>
      </c>
      <c r="W47" s="28">
        <f>IFERROR(INDEX(tblPiNAnalysis[Food Security and Livlihoods], MATCH(tblPiNHistorical[[#This Row],[ID]], tblPiNAnalysis[ID], 0)), "")</f>
        <v>0</v>
      </c>
      <c r="X47" s="28">
        <f>IFERROR(INDEX(tblPiNAnalysis[[Health ]], MATCH(tblPiNHistorical[[#This Row],[ID]], tblPiNAnalysis[ID], 0)), "")</f>
        <v>0</v>
      </c>
      <c r="Y47" s="28">
        <f>IFERROR(INDEX(tblPiNAnalysis[Nutrition], MATCH(tblPiNHistorical[[#This Row],[ID]], tblPiNAnalysis[ID], 0)), "")</f>
        <v>0</v>
      </c>
      <c r="Z47" s="28">
        <f>IFERROR(INDEX(tblPiNAnalysis[Protection], MATCH(tblPiNHistorical[[#This Row],[ID]], tblPiNAnalysis[ID], 0)), "")</f>
        <v>0</v>
      </c>
      <c r="AA47" s="28">
        <f>IFERROR(INDEX(tblPiNAnalysis[CP], MATCH(tblPiNHistorical[[#This Row],[ID]], tblPiNAnalysis[ID], 0)), "")</f>
        <v>0</v>
      </c>
      <c r="AB47" s="83">
        <f>IFERROR(INDEX(tblPiNAnalysis[GBV], MATCH(tblPiNHistorical[[#This Row],[ID]], tblPiNAnalysis[ID], 0)), "")</f>
        <v>0</v>
      </c>
      <c r="AC47" s="28">
        <f>IFERROR(INDEX(tblPiNAnalysis[Mine Action], MATCH(tblPiNHistorical[[#This Row],[ID]], tblPiNAnalysis[ID], 0)), "")</f>
        <v>0</v>
      </c>
      <c r="AD47" s="83">
        <f>IFERROR(INDEX(tblPiNAnalysis[[Shelter NFI ]], MATCH(tblPiNHistorical[[#This Row],[ID]], tblPiNAnalysis[ID], 0)), "")</f>
        <v>2523</v>
      </c>
      <c r="AE47" s="35">
        <f>IFERROR(INDEX(tblPiNAnalysis[WASH], MATCH(tblPiNHistorical[[#This Row],[ID]], tblPiNAnalysis[ID], 0)), "")</f>
        <v>0</v>
      </c>
      <c r="AF47" s="6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47" s="67" t="str">
        <f>IF(OR(tblPiNHistorical[[#This Row],[Education Old]]="", tblPiNHistorical[[#This Row],[Education Old]]=0, tblPiNHistorical[[#This Row],[Education New]]="", tblPiNHistorical[[#This Row],[Education New]]=0), "", tblPiNHistorical[[#This Row],[Education New]]-tblPiNHistorical[[#This Row],[Education Old]])</f>
        <v/>
      </c>
      <c r="AH47" s="67"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47" s="67" t="str">
        <f>IF(OR(tblPiNHistorical[[#This Row],[Health Old]]="", tblPiNHistorical[[#This Row],[Health Old]]=0, tblPiNHistorical[[#This Row],[Health New]]="", tblPiNHistorical[[#This Row],[Health New]]=0), "", tblPiNHistorical[[#This Row],[Health New]]-tblPiNHistorical[[#This Row],[Health Old]])</f>
        <v/>
      </c>
      <c r="AJ47" s="67" t="str">
        <f>IF(OR(tblPiNHistorical[[#This Row],[Nutrition Old]]="", tblPiNHistorical[[#This Row],[Nutrition Old]]=0, tblPiNHistorical[[#This Row],[Nutrition New]]="", tblPiNHistorical[[#This Row],[Nutrition New]]=0), "", tblPiNHistorical[[#This Row],[Nutrition New]]-tblPiNHistorical[[#This Row],[Nutrition Old]])</f>
        <v/>
      </c>
      <c r="AK47" s="67" t="str">
        <f>IF(OR(tblPiNHistorical[[#This Row],[Protection Old]]="", tblPiNHistorical[[#This Row],[Protection Old]]=0, tblPiNHistorical[[#This Row],[Protection New]]="", tblPiNHistorical[[#This Row],[Protection New]]=0), "", tblPiNHistorical[[#This Row],[Protection New]]-tblPiNHistorical[[#This Row],[Protection Old]])</f>
        <v/>
      </c>
      <c r="AL47" s="67" t="str">
        <f>IF(OR(tblPiNHistorical[[#This Row],[CP Old ]]="", tblPiNHistorical[[#This Row],[CP Old ]]=0, tblPiNHistorical[[#This Row],[CP New]]="", tblPiNHistorical[[#This Row],[CP New]]=0), "", tblPiNHistorical[[#This Row],[CP New]]-tblPiNHistorical[[#This Row],[CP Old ]])</f>
        <v/>
      </c>
      <c r="AM47" s="83" t="str">
        <f>IF(OR(tblPiNHistorical[[#This Row],[GBV Old]]="", tblPiNHistorical[[#This Row],[GBV Old]]=0, tblPiNHistorical[[#This Row],[GBV New]]="", tblPiNHistorical[[#This Row],[GBV New]]=0), "", tblPiNHistorical[[#This Row],[GBV New]]-tblPiNHistorical[[#This Row],[GBV Old]])</f>
        <v/>
      </c>
      <c r="AN47" s="83" t="str">
        <f>IF(OR(tblPiNHistorical[[#This Row],[Mine Action Old]]="", tblPiNHistorical[[#This Row],[Mine Action Old]]=0, tblPiNHistorical[[#This Row],[Mine Action New]]="", tblPiNHistorical[[#This Row],[Mine Action New]]=0), "", tblPiNHistorical[[#This Row],[Mine Action New]]-tblPiNHistorical[[#This Row],[Mine Action Old]])</f>
        <v/>
      </c>
      <c r="AO47" s="67">
        <f>IF(OR(tblPiNHistorical[[#This Row],[Shelter NFI Old]]="", tblPiNHistorical[[#This Row],[Shelter NFI Old]]=0, tblPiNHistorical[[#This Row],[Shelter NFI New]]="", tblPiNHistorical[[#This Row],[Shelter NFI New]]=0), "", tblPiNHistorical[[#This Row],[Shelter NFI New]]-tblPiNHistorical[[#This Row],[Shelter NFI Old]])</f>
        <v>-8647</v>
      </c>
      <c r="AP47" s="111" t="str">
        <f>IF(OR(tblPiNHistorical[[#This Row],[WASH Old]]="", tblPiNHistorical[[#This Row],[WASH Old]]=0, tblPiNHistorical[[#This Row],[WASH New]]="", tblPiNHistorical[[#This Row],[WASH New]]=0), "", tblPiNHistorical[[#This Row],[WASH New]]-tblPiNHistorical[[#This Row],[WASH Old]])</f>
        <v/>
      </c>
      <c r="AQ47" s="110">
        <f>IFERROR(ROUND((tblPiNHistorical[[#This Row],[Site Management - New]] - tblPiNHistorical[[#This Row],[Site Management - Old]])/tblPiNHistorical[[#This Row],[Site Management - Old]], 1), "")</f>
        <v>-1</v>
      </c>
      <c r="AR47" s="66">
        <f>IFERROR(ROUND((tblPiNHistorical[[#This Row],[Education New]]-tblPiNHistorical[[#This Row],[Education Old]])/tblPiNHistorical[[#This Row],[Education Old]], 1), "")</f>
        <v>-1</v>
      </c>
      <c r="AS47" s="66">
        <f>IFERROR(ROUND((tblPiNHistorical[[#This Row],[Food Security and Livlihoods New]]-tblPiNHistorical[[#This Row],[Food Security and Livlihoods Old]])/tblPiNHistorical[[#This Row],[Food Security and Livlihoods Old]], 1), "")</f>
        <v>-1</v>
      </c>
      <c r="AT47" s="66">
        <f>IFERROR(ROUND((tblPiNHistorical[[#This Row],[Health New]]-tblPiNHistorical[[#This Row],[Health Old]])/tblPiNHistorical[[#This Row],[Health Old]], 1), "")</f>
        <v>-1</v>
      </c>
      <c r="AU47" s="66">
        <f>IFERROR(ROUND((tblPiNHistorical[[#This Row],[Nutrition New]]-tblPiNHistorical[[#This Row],[Nutrition Old]])/tblPiNHistorical[[#This Row],[Nutrition Old]], 1), "")</f>
        <v>-1</v>
      </c>
      <c r="AV47" s="66">
        <f>IFERROR(ROUND((tblPiNHistorical[[#This Row],[Protection New]]-tblPiNHistorical[[#This Row],[Protection Old]])/tblPiNHistorical[[#This Row],[Protection Old]], 1), "")</f>
        <v>-1</v>
      </c>
      <c r="AW47" s="84">
        <f>IFERROR(ROUND((tblPiNHistorical[[#This Row],[CP New]]-tblPiNHistorical[[#This Row],[CP Old ]])/tblPiNHistorical[[#This Row],[CP Old ]], 1), "")</f>
        <v>-1</v>
      </c>
      <c r="AX47" s="84">
        <f>IFERROR(ROUND((tblPiNHistorical[[#This Row],[GBV New]]-tblPiNHistorical[[#This Row],[GBV Old]])/tblPiNHistorical[[#This Row],[GBV Old]], 1), "")</f>
        <v>-1</v>
      </c>
      <c r="AY47" s="84" t="str">
        <f>IFERROR(ROUND((tblPiNHistorical[[#This Row],[Mine Action New]]-tblPiNHistorical[[#This Row],[Mine Action Old]])/tblPiNHistorical[[#This Row],[Mine Action Old]], 1), "")</f>
        <v/>
      </c>
      <c r="AZ47" s="66">
        <f>IFERROR(ROUND((tblPiNHistorical[[#This Row],[Shelter NFI New]]-tblPiNHistorical[[#This Row],[Shelter NFI Old]])/tblPiNHistorical[[#This Row],[Shelter NFI Old]], 1), "")</f>
        <v>-0.8</v>
      </c>
      <c r="BA47" s="36">
        <f>IFERROR(ROUND((tblPiNHistorical[[#This Row],[WASH New]]-tblPiNHistorical[[#This Row],[WASH Old]])/tblPiNHistorical[[#This Row],[WASH Old]], 1), "")</f>
        <v>-1</v>
      </c>
      <c r="BB47"/>
      <c r="BC47"/>
      <c r="BD47"/>
      <c r="BE47"/>
      <c r="BF47"/>
      <c r="BG47"/>
      <c r="BH47"/>
      <c r="BI47"/>
      <c r="BL47"/>
      <c r="BN47"/>
      <c r="BO47"/>
      <c r="BP47"/>
    </row>
    <row r="48" spans="1:68" ht="30" x14ac:dyDescent="0.25">
      <c r="A48"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IDPsSD12080</v>
      </c>
      <c r="B48" s="127" t="s">
        <v>158</v>
      </c>
      <c r="C48" s="60" t="s">
        <v>129</v>
      </c>
      <c r="D48" s="60" t="s">
        <v>458</v>
      </c>
      <c r="E48" s="60" t="s">
        <v>459</v>
      </c>
      <c r="F48" s="54"/>
      <c r="G48" s="30"/>
      <c r="H48" s="56">
        <v>72355</v>
      </c>
      <c r="I48" s="37" t="s">
        <v>88</v>
      </c>
      <c r="J48" s="34">
        <v>364</v>
      </c>
      <c r="K48" s="116">
        <v>28052.033499999998</v>
      </c>
      <c r="L48" s="114">
        <v>72355</v>
      </c>
      <c r="M48" s="114">
        <v>72355</v>
      </c>
      <c r="N48" s="114">
        <v>7732</v>
      </c>
      <c r="O48" s="114">
        <v>72355</v>
      </c>
      <c r="P48" s="114">
        <v>39795</v>
      </c>
      <c r="Q48" s="114">
        <v>28638</v>
      </c>
      <c r="R48" s="114">
        <v>0</v>
      </c>
      <c r="S48" s="114">
        <v>43413</v>
      </c>
      <c r="T48" s="196">
        <v>37725.896999999997</v>
      </c>
      <c r="U48" s="52">
        <f>IFERROR(INDEX(tblPiNAnalysis[[Site Management ]], MATCH(tblPiNHistorical[[#This Row],[ID]], tblPiNAnalysis[ID], 0)), "")</f>
        <v>0</v>
      </c>
      <c r="V48" s="52">
        <f>IFERROR(INDEX(tblPiNAnalysis[Education], MATCH(tblPiNHistorical[[#This Row],[ID]], tblPiNAnalysis[ID], 0)), "")</f>
        <v>0</v>
      </c>
      <c r="W48" s="28">
        <f>IFERROR(INDEX(tblPiNAnalysis[Food Security and Livlihoods], MATCH(tblPiNHistorical[[#This Row],[ID]], tblPiNAnalysis[ID], 0)), "")</f>
        <v>0</v>
      </c>
      <c r="X48" s="28">
        <f>IFERROR(INDEX(tblPiNAnalysis[[Health ]], MATCH(tblPiNHistorical[[#This Row],[ID]], tblPiNAnalysis[ID], 0)), "")</f>
        <v>0</v>
      </c>
      <c r="Y48" s="28">
        <f>IFERROR(INDEX(tblPiNAnalysis[Nutrition], MATCH(tblPiNHistorical[[#This Row],[ID]], tblPiNAnalysis[ID], 0)), "")</f>
        <v>0</v>
      </c>
      <c r="Z48" s="28">
        <f>IFERROR(INDEX(tblPiNAnalysis[Protection], MATCH(tblPiNHistorical[[#This Row],[ID]], tblPiNAnalysis[ID], 0)), "")</f>
        <v>0</v>
      </c>
      <c r="AA48" s="28">
        <f>IFERROR(INDEX(tblPiNAnalysis[CP], MATCH(tblPiNHistorical[[#This Row],[ID]], tblPiNAnalysis[ID], 0)), "")</f>
        <v>0</v>
      </c>
      <c r="AB48" s="83">
        <f>IFERROR(INDEX(tblPiNAnalysis[GBV], MATCH(tblPiNHistorical[[#This Row],[ID]], tblPiNAnalysis[ID], 0)), "")</f>
        <v>0</v>
      </c>
      <c r="AC48" s="28">
        <f>IFERROR(INDEX(tblPiNAnalysis[Mine Action], MATCH(tblPiNHistorical[[#This Row],[ID]], tblPiNAnalysis[ID], 0)), "")</f>
        <v>0</v>
      </c>
      <c r="AD48" s="83">
        <f>IFERROR(INDEX(tblPiNAnalysis[[Shelter NFI ]], MATCH(tblPiNHistorical[[#This Row],[ID]], tblPiNAnalysis[ID], 0)), "")</f>
        <v>31254</v>
      </c>
      <c r="AE48" s="35">
        <f>IFERROR(INDEX(tblPiNAnalysis[WASH], MATCH(tblPiNHistorical[[#This Row],[ID]], tblPiNAnalysis[ID], 0)), "")</f>
        <v>0</v>
      </c>
      <c r="AF48" s="6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48" s="67" t="str">
        <f>IF(OR(tblPiNHistorical[[#This Row],[Education Old]]="", tblPiNHistorical[[#This Row],[Education Old]]=0, tblPiNHistorical[[#This Row],[Education New]]="", tblPiNHistorical[[#This Row],[Education New]]=0), "", tblPiNHistorical[[#This Row],[Education New]]-tblPiNHistorical[[#This Row],[Education Old]])</f>
        <v/>
      </c>
      <c r="AH48" s="67"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48" s="67" t="str">
        <f>IF(OR(tblPiNHistorical[[#This Row],[Health Old]]="", tblPiNHistorical[[#This Row],[Health Old]]=0, tblPiNHistorical[[#This Row],[Health New]]="", tblPiNHistorical[[#This Row],[Health New]]=0), "", tblPiNHistorical[[#This Row],[Health New]]-tblPiNHistorical[[#This Row],[Health Old]])</f>
        <v/>
      </c>
      <c r="AJ48" s="67" t="str">
        <f>IF(OR(tblPiNHistorical[[#This Row],[Nutrition Old]]="", tblPiNHistorical[[#This Row],[Nutrition Old]]=0, tblPiNHistorical[[#This Row],[Nutrition New]]="", tblPiNHistorical[[#This Row],[Nutrition New]]=0), "", tblPiNHistorical[[#This Row],[Nutrition New]]-tblPiNHistorical[[#This Row],[Nutrition Old]])</f>
        <v/>
      </c>
      <c r="AK48" s="67" t="str">
        <f>IF(OR(tblPiNHistorical[[#This Row],[Protection Old]]="", tblPiNHistorical[[#This Row],[Protection Old]]=0, tblPiNHistorical[[#This Row],[Protection New]]="", tblPiNHistorical[[#This Row],[Protection New]]=0), "", tblPiNHistorical[[#This Row],[Protection New]]-tblPiNHistorical[[#This Row],[Protection Old]])</f>
        <v/>
      </c>
      <c r="AL48" s="67" t="str">
        <f>IF(OR(tblPiNHistorical[[#This Row],[CP Old ]]="", tblPiNHistorical[[#This Row],[CP Old ]]=0, tblPiNHistorical[[#This Row],[CP New]]="", tblPiNHistorical[[#This Row],[CP New]]=0), "", tblPiNHistorical[[#This Row],[CP New]]-tblPiNHistorical[[#This Row],[CP Old ]])</f>
        <v/>
      </c>
      <c r="AM48" s="83" t="str">
        <f>IF(OR(tblPiNHistorical[[#This Row],[GBV Old]]="", tblPiNHistorical[[#This Row],[GBV Old]]=0, tblPiNHistorical[[#This Row],[GBV New]]="", tblPiNHistorical[[#This Row],[GBV New]]=0), "", tblPiNHistorical[[#This Row],[GBV New]]-tblPiNHistorical[[#This Row],[GBV Old]])</f>
        <v/>
      </c>
      <c r="AN48" s="83" t="str">
        <f>IF(OR(tblPiNHistorical[[#This Row],[Mine Action Old]]="", tblPiNHistorical[[#This Row],[Mine Action Old]]=0, tblPiNHistorical[[#This Row],[Mine Action New]]="", tblPiNHistorical[[#This Row],[Mine Action New]]=0), "", tblPiNHistorical[[#This Row],[Mine Action New]]-tblPiNHistorical[[#This Row],[Mine Action Old]])</f>
        <v/>
      </c>
      <c r="AO48" s="67">
        <f>IF(OR(tblPiNHistorical[[#This Row],[Shelter NFI Old]]="", tblPiNHistorical[[#This Row],[Shelter NFI Old]]=0, tblPiNHistorical[[#This Row],[Shelter NFI New]]="", tblPiNHistorical[[#This Row],[Shelter NFI New]]=0), "", tblPiNHistorical[[#This Row],[Shelter NFI New]]-tblPiNHistorical[[#This Row],[Shelter NFI Old]])</f>
        <v>-12159</v>
      </c>
      <c r="AP48" s="111" t="str">
        <f>IF(OR(tblPiNHistorical[[#This Row],[WASH Old]]="", tblPiNHistorical[[#This Row],[WASH Old]]=0, tblPiNHistorical[[#This Row],[WASH New]]="", tblPiNHistorical[[#This Row],[WASH New]]=0), "", tblPiNHistorical[[#This Row],[WASH New]]-tblPiNHistorical[[#This Row],[WASH Old]])</f>
        <v/>
      </c>
      <c r="AQ48" s="110">
        <f>IFERROR(ROUND((tblPiNHistorical[[#This Row],[Site Management - New]] - tblPiNHistorical[[#This Row],[Site Management - Old]])/tblPiNHistorical[[#This Row],[Site Management - Old]], 1), "")</f>
        <v>-1</v>
      </c>
      <c r="AR48" s="66">
        <f>IFERROR(ROUND((tblPiNHistorical[[#This Row],[Education New]]-tblPiNHistorical[[#This Row],[Education Old]])/tblPiNHistorical[[#This Row],[Education Old]], 1), "")</f>
        <v>-1</v>
      </c>
      <c r="AS48" s="66">
        <f>IFERROR(ROUND((tblPiNHistorical[[#This Row],[Food Security and Livlihoods New]]-tblPiNHistorical[[#This Row],[Food Security and Livlihoods Old]])/tblPiNHistorical[[#This Row],[Food Security and Livlihoods Old]], 1), "")</f>
        <v>-1</v>
      </c>
      <c r="AT48" s="66">
        <f>IFERROR(ROUND((tblPiNHistorical[[#This Row],[Health New]]-tblPiNHistorical[[#This Row],[Health Old]])/tblPiNHistorical[[#This Row],[Health Old]], 1), "")</f>
        <v>-1</v>
      </c>
      <c r="AU48" s="66">
        <f>IFERROR(ROUND((tblPiNHistorical[[#This Row],[Nutrition New]]-tblPiNHistorical[[#This Row],[Nutrition Old]])/tblPiNHistorical[[#This Row],[Nutrition Old]], 1), "")</f>
        <v>-1</v>
      </c>
      <c r="AV48" s="66">
        <f>IFERROR(ROUND((tblPiNHistorical[[#This Row],[Protection New]]-tblPiNHistorical[[#This Row],[Protection Old]])/tblPiNHistorical[[#This Row],[Protection Old]], 1), "")</f>
        <v>-1</v>
      </c>
      <c r="AW48" s="84">
        <f>IFERROR(ROUND((tblPiNHistorical[[#This Row],[CP New]]-tblPiNHistorical[[#This Row],[CP Old ]])/tblPiNHistorical[[#This Row],[CP Old ]], 1), "")</f>
        <v>-1</v>
      </c>
      <c r="AX48" s="84">
        <f>IFERROR(ROUND((tblPiNHistorical[[#This Row],[GBV New]]-tblPiNHistorical[[#This Row],[GBV Old]])/tblPiNHistorical[[#This Row],[GBV Old]], 1), "")</f>
        <v>-1</v>
      </c>
      <c r="AY48" s="84" t="str">
        <f>IFERROR(ROUND((tblPiNHistorical[[#This Row],[Mine Action New]]-tblPiNHistorical[[#This Row],[Mine Action Old]])/tblPiNHistorical[[#This Row],[Mine Action Old]], 1), "")</f>
        <v/>
      </c>
      <c r="AZ48" s="66">
        <f>IFERROR(ROUND((tblPiNHistorical[[#This Row],[Shelter NFI New]]-tblPiNHistorical[[#This Row],[Shelter NFI Old]])/tblPiNHistorical[[#This Row],[Shelter NFI Old]], 1), "")</f>
        <v>-0.3</v>
      </c>
      <c r="BA48" s="36">
        <f>IFERROR(ROUND((tblPiNHistorical[[#This Row],[WASH New]]-tblPiNHistorical[[#This Row],[WASH Old]])/tblPiNHistorical[[#This Row],[WASH Old]], 1), "")</f>
        <v>-1</v>
      </c>
      <c r="BB48"/>
      <c r="BC48"/>
      <c r="BD48"/>
      <c r="BE48"/>
      <c r="BF48"/>
      <c r="BG48"/>
      <c r="BH48"/>
      <c r="BI48"/>
      <c r="BL48"/>
      <c r="BN48"/>
      <c r="BO48"/>
      <c r="BP48"/>
    </row>
    <row r="49" spans="1:68" ht="30" x14ac:dyDescent="0.25">
      <c r="A49"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IDPsSD12081</v>
      </c>
      <c r="B49" s="127" t="s">
        <v>158</v>
      </c>
      <c r="C49" s="60" t="s">
        <v>129</v>
      </c>
      <c r="D49" s="60" t="s">
        <v>460</v>
      </c>
      <c r="E49" s="60" t="s">
        <v>461</v>
      </c>
      <c r="F49" s="54"/>
      <c r="G49" s="30"/>
      <c r="H49" s="56">
        <v>18325</v>
      </c>
      <c r="I49" s="37" t="s">
        <v>88</v>
      </c>
      <c r="J49" s="34">
        <v>7311</v>
      </c>
      <c r="K49" s="116">
        <v>0</v>
      </c>
      <c r="L49" s="114">
        <v>18325</v>
      </c>
      <c r="M49" s="114">
        <v>18325</v>
      </c>
      <c r="N49" s="114">
        <v>1025</v>
      </c>
      <c r="O49" s="114">
        <v>18325</v>
      </c>
      <c r="P49" s="114">
        <v>10079</v>
      </c>
      <c r="Q49" s="114">
        <v>7253</v>
      </c>
      <c r="R49" s="114">
        <v>0</v>
      </c>
      <c r="S49" s="114">
        <v>0</v>
      </c>
      <c r="T49" s="196">
        <v>13526.049000000001</v>
      </c>
      <c r="U49" s="52">
        <f>IFERROR(INDEX(tblPiNAnalysis[[Site Management ]], MATCH(tblPiNHistorical[[#This Row],[ID]], tblPiNAnalysis[ID], 0)), "")</f>
        <v>0</v>
      </c>
      <c r="V49" s="52">
        <f>IFERROR(INDEX(tblPiNAnalysis[Education], MATCH(tblPiNHistorical[[#This Row],[ID]], tblPiNAnalysis[ID], 0)), "")</f>
        <v>0</v>
      </c>
      <c r="W49" s="28">
        <f>IFERROR(INDEX(tblPiNAnalysis[Food Security and Livlihoods], MATCH(tblPiNHistorical[[#This Row],[ID]], tblPiNAnalysis[ID], 0)), "")</f>
        <v>0</v>
      </c>
      <c r="X49" s="28">
        <f>IFERROR(INDEX(tblPiNAnalysis[[Health ]], MATCH(tblPiNHistorical[[#This Row],[ID]], tblPiNAnalysis[ID], 0)), "")</f>
        <v>0</v>
      </c>
      <c r="Y49" s="28">
        <f>IFERROR(INDEX(tblPiNAnalysis[Nutrition], MATCH(tblPiNHistorical[[#This Row],[ID]], tblPiNAnalysis[ID], 0)), "")</f>
        <v>0</v>
      </c>
      <c r="Z49" s="28">
        <f>IFERROR(INDEX(tblPiNAnalysis[Protection], MATCH(tblPiNHistorical[[#This Row],[ID]], tblPiNAnalysis[ID], 0)), "")</f>
        <v>0</v>
      </c>
      <c r="AA49" s="28">
        <f>IFERROR(INDEX(tblPiNAnalysis[CP], MATCH(tblPiNHistorical[[#This Row],[ID]], tblPiNAnalysis[ID], 0)), "")</f>
        <v>0</v>
      </c>
      <c r="AB49" s="83">
        <f>IFERROR(INDEX(tblPiNAnalysis[GBV], MATCH(tblPiNHistorical[[#This Row],[ID]], tblPiNAnalysis[ID], 0)), "")</f>
        <v>0</v>
      </c>
      <c r="AC49" s="28">
        <f>IFERROR(INDEX(tblPiNAnalysis[Mine Action], MATCH(tblPiNHistorical[[#This Row],[ID]], tblPiNAnalysis[ID], 0)), "")</f>
        <v>0</v>
      </c>
      <c r="AD49" s="83">
        <f>IFERROR(INDEX(tblPiNAnalysis[[Shelter NFI ]], MATCH(tblPiNHistorical[[#This Row],[ID]], tblPiNAnalysis[ID], 0)), "")</f>
        <v>4888</v>
      </c>
      <c r="AE49" s="35">
        <f>IFERROR(INDEX(tblPiNAnalysis[WASH], MATCH(tblPiNHistorical[[#This Row],[ID]], tblPiNAnalysis[ID], 0)), "")</f>
        <v>0</v>
      </c>
      <c r="AF49" s="6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49" s="67" t="str">
        <f>IF(OR(tblPiNHistorical[[#This Row],[Education Old]]="", tblPiNHistorical[[#This Row],[Education Old]]=0, tblPiNHistorical[[#This Row],[Education New]]="", tblPiNHistorical[[#This Row],[Education New]]=0), "", tblPiNHistorical[[#This Row],[Education New]]-tblPiNHistorical[[#This Row],[Education Old]])</f>
        <v/>
      </c>
      <c r="AH49" s="67"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49" s="67" t="str">
        <f>IF(OR(tblPiNHistorical[[#This Row],[Health Old]]="", tblPiNHistorical[[#This Row],[Health Old]]=0, tblPiNHistorical[[#This Row],[Health New]]="", tblPiNHistorical[[#This Row],[Health New]]=0), "", tblPiNHistorical[[#This Row],[Health New]]-tblPiNHistorical[[#This Row],[Health Old]])</f>
        <v/>
      </c>
      <c r="AJ49" s="67" t="str">
        <f>IF(OR(tblPiNHistorical[[#This Row],[Nutrition Old]]="", tblPiNHistorical[[#This Row],[Nutrition Old]]=0, tblPiNHistorical[[#This Row],[Nutrition New]]="", tblPiNHistorical[[#This Row],[Nutrition New]]=0), "", tblPiNHistorical[[#This Row],[Nutrition New]]-tblPiNHistorical[[#This Row],[Nutrition Old]])</f>
        <v/>
      </c>
      <c r="AK49" s="67" t="str">
        <f>IF(OR(tblPiNHistorical[[#This Row],[Protection Old]]="", tblPiNHistorical[[#This Row],[Protection Old]]=0, tblPiNHistorical[[#This Row],[Protection New]]="", tblPiNHistorical[[#This Row],[Protection New]]=0), "", tblPiNHistorical[[#This Row],[Protection New]]-tblPiNHistorical[[#This Row],[Protection Old]])</f>
        <v/>
      </c>
      <c r="AL49" s="67" t="str">
        <f>IF(OR(tblPiNHistorical[[#This Row],[CP Old ]]="", tblPiNHistorical[[#This Row],[CP Old ]]=0, tblPiNHistorical[[#This Row],[CP New]]="", tblPiNHistorical[[#This Row],[CP New]]=0), "", tblPiNHistorical[[#This Row],[CP New]]-tblPiNHistorical[[#This Row],[CP Old ]])</f>
        <v/>
      </c>
      <c r="AM49" s="83" t="str">
        <f>IF(OR(tblPiNHistorical[[#This Row],[GBV Old]]="", tblPiNHistorical[[#This Row],[GBV Old]]=0, tblPiNHistorical[[#This Row],[GBV New]]="", tblPiNHistorical[[#This Row],[GBV New]]=0), "", tblPiNHistorical[[#This Row],[GBV New]]-tblPiNHistorical[[#This Row],[GBV Old]])</f>
        <v/>
      </c>
      <c r="AN49" s="83" t="str">
        <f>IF(OR(tblPiNHistorical[[#This Row],[Mine Action Old]]="", tblPiNHistorical[[#This Row],[Mine Action Old]]=0, tblPiNHistorical[[#This Row],[Mine Action New]]="", tblPiNHistorical[[#This Row],[Mine Action New]]=0), "", tblPiNHistorical[[#This Row],[Mine Action New]]-tblPiNHistorical[[#This Row],[Mine Action Old]])</f>
        <v/>
      </c>
      <c r="AO49" s="67" t="str">
        <f>IF(OR(tblPiNHistorical[[#This Row],[Shelter NFI Old]]="", tblPiNHistorical[[#This Row],[Shelter NFI Old]]=0, tblPiNHistorical[[#This Row],[Shelter NFI New]]="", tblPiNHistorical[[#This Row],[Shelter NFI New]]=0), "", tblPiNHistorical[[#This Row],[Shelter NFI New]]-tblPiNHistorical[[#This Row],[Shelter NFI Old]])</f>
        <v/>
      </c>
      <c r="AP49" s="111" t="str">
        <f>IF(OR(tblPiNHistorical[[#This Row],[WASH Old]]="", tblPiNHistorical[[#This Row],[WASH Old]]=0, tblPiNHistorical[[#This Row],[WASH New]]="", tblPiNHistorical[[#This Row],[WASH New]]=0), "", tblPiNHistorical[[#This Row],[WASH New]]-tblPiNHistorical[[#This Row],[WASH Old]])</f>
        <v/>
      </c>
      <c r="AQ49" s="110">
        <f>IFERROR(ROUND((tblPiNHistorical[[#This Row],[Site Management - New]] - tblPiNHistorical[[#This Row],[Site Management - Old]])/tblPiNHistorical[[#This Row],[Site Management - Old]], 1), "")</f>
        <v>-1</v>
      </c>
      <c r="AR49" s="66" t="str">
        <f>IFERROR(ROUND((tblPiNHistorical[[#This Row],[Education New]]-tblPiNHistorical[[#This Row],[Education Old]])/tblPiNHistorical[[#This Row],[Education Old]], 1), "")</f>
        <v/>
      </c>
      <c r="AS49" s="66">
        <f>IFERROR(ROUND((tblPiNHistorical[[#This Row],[Food Security and Livlihoods New]]-tblPiNHistorical[[#This Row],[Food Security and Livlihoods Old]])/tblPiNHistorical[[#This Row],[Food Security and Livlihoods Old]], 1), "")</f>
        <v>-1</v>
      </c>
      <c r="AT49" s="66">
        <f>IFERROR(ROUND((tblPiNHistorical[[#This Row],[Health New]]-tblPiNHistorical[[#This Row],[Health Old]])/tblPiNHistorical[[#This Row],[Health Old]], 1), "")</f>
        <v>-1</v>
      </c>
      <c r="AU49" s="66">
        <f>IFERROR(ROUND((tblPiNHistorical[[#This Row],[Nutrition New]]-tblPiNHistorical[[#This Row],[Nutrition Old]])/tblPiNHistorical[[#This Row],[Nutrition Old]], 1), "")</f>
        <v>-1</v>
      </c>
      <c r="AV49" s="66">
        <f>IFERROR(ROUND((tblPiNHistorical[[#This Row],[Protection New]]-tblPiNHistorical[[#This Row],[Protection Old]])/tblPiNHistorical[[#This Row],[Protection Old]], 1), "")</f>
        <v>-1</v>
      </c>
      <c r="AW49" s="84">
        <f>IFERROR(ROUND((tblPiNHistorical[[#This Row],[CP New]]-tblPiNHistorical[[#This Row],[CP Old ]])/tblPiNHistorical[[#This Row],[CP Old ]], 1), "")</f>
        <v>-1</v>
      </c>
      <c r="AX49" s="84">
        <f>IFERROR(ROUND((tblPiNHistorical[[#This Row],[GBV New]]-tblPiNHistorical[[#This Row],[GBV Old]])/tblPiNHistorical[[#This Row],[GBV Old]], 1), "")</f>
        <v>-1</v>
      </c>
      <c r="AY49" s="84" t="str">
        <f>IFERROR(ROUND((tblPiNHistorical[[#This Row],[Mine Action New]]-tblPiNHistorical[[#This Row],[Mine Action Old]])/tblPiNHistorical[[#This Row],[Mine Action Old]], 1), "")</f>
        <v/>
      </c>
      <c r="AZ49" s="66" t="str">
        <f>IFERROR(ROUND((tblPiNHistorical[[#This Row],[Shelter NFI New]]-tblPiNHistorical[[#This Row],[Shelter NFI Old]])/tblPiNHistorical[[#This Row],[Shelter NFI Old]], 1), "")</f>
        <v/>
      </c>
      <c r="BA49" s="36">
        <f>IFERROR(ROUND((tblPiNHistorical[[#This Row],[WASH New]]-tblPiNHistorical[[#This Row],[WASH Old]])/tblPiNHistorical[[#This Row],[WASH Old]], 1), "")</f>
        <v>-1</v>
      </c>
      <c r="BB49"/>
      <c r="BC49"/>
      <c r="BD49"/>
      <c r="BE49"/>
      <c r="BF49"/>
      <c r="BG49"/>
      <c r="BH49"/>
      <c r="BI49"/>
      <c r="BL49"/>
      <c r="BN49"/>
      <c r="BO49"/>
      <c r="BP49"/>
    </row>
    <row r="50" spans="1:68" ht="30" x14ac:dyDescent="0.25">
      <c r="A50"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IDPsSD11052</v>
      </c>
      <c r="B50" s="127" t="s">
        <v>161</v>
      </c>
      <c r="C50" s="60" t="s">
        <v>128</v>
      </c>
      <c r="D50" s="60" t="s">
        <v>422</v>
      </c>
      <c r="E50" s="60" t="s">
        <v>423</v>
      </c>
      <c r="F50" s="54"/>
      <c r="G50" s="30"/>
      <c r="H50" s="56">
        <v>32370</v>
      </c>
      <c r="I50" s="37" t="s">
        <v>88</v>
      </c>
      <c r="J50" s="34">
        <v>0</v>
      </c>
      <c r="K50" s="116">
        <v>12549.849</v>
      </c>
      <c r="L50" s="114">
        <v>32370</v>
      </c>
      <c r="M50" s="114">
        <v>32370</v>
      </c>
      <c r="N50" s="114">
        <v>1869</v>
      </c>
      <c r="O50" s="114">
        <v>17803.5</v>
      </c>
      <c r="P50" s="114">
        <v>17804</v>
      </c>
      <c r="Q50" s="114">
        <v>12812</v>
      </c>
      <c r="R50" s="114">
        <v>0</v>
      </c>
      <c r="S50" s="114">
        <v>12948</v>
      </c>
      <c r="T50" s="196">
        <v>23267.556</v>
      </c>
      <c r="U50" s="52">
        <f>IFERROR(INDEX(tblPiNAnalysis[[Site Management ]], MATCH(tblPiNHistorical[[#This Row],[ID]], tblPiNAnalysis[ID], 0)), "")</f>
        <v>0</v>
      </c>
      <c r="V50" s="52">
        <f>IFERROR(INDEX(tblPiNAnalysis[Education], MATCH(tblPiNHistorical[[#This Row],[ID]], tblPiNAnalysis[ID], 0)), "")</f>
        <v>0</v>
      </c>
      <c r="W50" s="28">
        <f>IFERROR(INDEX(tblPiNAnalysis[Food Security and Livlihoods], MATCH(tblPiNHistorical[[#This Row],[ID]], tblPiNAnalysis[ID], 0)), "")</f>
        <v>0</v>
      </c>
      <c r="X50" s="28">
        <f>IFERROR(INDEX(tblPiNAnalysis[[Health ]], MATCH(tblPiNHistorical[[#This Row],[ID]], tblPiNAnalysis[ID], 0)), "")</f>
        <v>0</v>
      </c>
      <c r="Y50" s="28">
        <f>IFERROR(INDEX(tblPiNAnalysis[Nutrition], MATCH(tblPiNHistorical[[#This Row],[ID]], tblPiNAnalysis[ID], 0)), "")</f>
        <v>0</v>
      </c>
      <c r="Z50" s="28">
        <f>IFERROR(INDEX(tblPiNAnalysis[Protection], MATCH(tblPiNHistorical[[#This Row],[ID]], tblPiNAnalysis[ID], 0)), "")</f>
        <v>0</v>
      </c>
      <c r="AA50" s="28">
        <f>IFERROR(INDEX(tblPiNAnalysis[CP], MATCH(tblPiNHistorical[[#This Row],[ID]], tblPiNAnalysis[ID], 0)), "")</f>
        <v>0</v>
      </c>
      <c r="AB50" s="83">
        <f>IFERROR(INDEX(tblPiNAnalysis[GBV], MATCH(tblPiNHistorical[[#This Row],[ID]], tblPiNAnalysis[ID], 0)), "")</f>
        <v>0</v>
      </c>
      <c r="AC50" s="28">
        <f>IFERROR(INDEX(tblPiNAnalysis[Mine Action], MATCH(tblPiNHistorical[[#This Row],[ID]], tblPiNAnalysis[ID], 0)), "")</f>
        <v>0</v>
      </c>
      <c r="AD50" s="83">
        <f>IFERROR(INDEX(tblPiNAnalysis[[Shelter NFI ]], MATCH(tblPiNHistorical[[#This Row],[ID]], tblPiNAnalysis[ID], 0)), "")</f>
        <v>14066</v>
      </c>
      <c r="AE50" s="35">
        <f>IFERROR(INDEX(tblPiNAnalysis[WASH], MATCH(tblPiNHistorical[[#This Row],[ID]], tblPiNAnalysis[ID], 0)), "")</f>
        <v>0</v>
      </c>
      <c r="AF50" s="6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50" s="67" t="str">
        <f>IF(OR(tblPiNHistorical[[#This Row],[Education Old]]="", tblPiNHistorical[[#This Row],[Education Old]]=0, tblPiNHistorical[[#This Row],[Education New]]="", tblPiNHistorical[[#This Row],[Education New]]=0), "", tblPiNHistorical[[#This Row],[Education New]]-tblPiNHistorical[[#This Row],[Education Old]])</f>
        <v/>
      </c>
      <c r="AH50" s="67"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50" s="67" t="str">
        <f>IF(OR(tblPiNHistorical[[#This Row],[Health Old]]="", tblPiNHistorical[[#This Row],[Health Old]]=0, tblPiNHistorical[[#This Row],[Health New]]="", tblPiNHistorical[[#This Row],[Health New]]=0), "", tblPiNHistorical[[#This Row],[Health New]]-tblPiNHistorical[[#This Row],[Health Old]])</f>
        <v/>
      </c>
      <c r="AJ50" s="67" t="str">
        <f>IF(OR(tblPiNHistorical[[#This Row],[Nutrition Old]]="", tblPiNHistorical[[#This Row],[Nutrition Old]]=0, tblPiNHistorical[[#This Row],[Nutrition New]]="", tblPiNHistorical[[#This Row],[Nutrition New]]=0), "", tblPiNHistorical[[#This Row],[Nutrition New]]-tblPiNHistorical[[#This Row],[Nutrition Old]])</f>
        <v/>
      </c>
      <c r="AK50" s="67" t="str">
        <f>IF(OR(tblPiNHistorical[[#This Row],[Protection Old]]="", tblPiNHistorical[[#This Row],[Protection Old]]=0, tblPiNHistorical[[#This Row],[Protection New]]="", tblPiNHistorical[[#This Row],[Protection New]]=0), "", tblPiNHistorical[[#This Row],[Protection New]]-tblPiNHistorical[[#This Row],[Protection Old]])</f>
        <v/>
      </c>
      <c r="AL50" s="67" t="str">
        <f>IF(OR(tblPiNHistorical[[#This Row],[CP Old ]]="", tblPiNHistorical[[#This Row],[CP Old ]]=0, tblPiNHistorical[[#This Row],[CP New]]="", tblPiNHistorical[[#This Row],[CP New]]=0), "", tblPiNHistorical[[#This Row],[CP New]]-tblPiNHistorical[[#This Row],[CP Old ]])</f>
        <v/>
      </c>
      <c r="AM50" s="83" t="str">
        <f>IF(OR(tblPiNHistorical[[#This Row],[GBV Old]]="", tblPiNHistorical[[#This Row],[GBV Old]]=0, tblPiNHistorical[[#This Row],[GBV New]]="", tblPiNHistorical[[#This Row],[GBV New]]=0), "", tblPiNHistorical[[#This Row],[GBV New]]-tblPiNHistorical[[#This Row],[GBV Old]])</f>
        <v/>
      </c>
      <c r="AN50" s="83" t="str">
        <f>IF(OR(tblPiNHistorical[[#This Row],[Mine Action Old]]="", tblPiNHistorical[[#This Row],[Mine Action Old]]=0, tblPiNHistorical[[#This Row],[Mine Action New]]="", tblPiNHistorical[[#This Row],[Mine Action New]]=0), "", tblPiNHistorical[[#This Row],[Mine Action New]]-tblPiNHistorical[[#This Row],[Mine Action Old]])</f>
        <v/>
      </c>
      <c r="AO50" s="67">
        <f>IF(OR(tblPiNHistorical[[#This Row],[Shelter NFI Old]]="", tblPiNHistorical[[#This Row],[Shelter NFI Old]]=0, tblPiNHistorical[[#This Row],[Shelter NFI New]]="", tblPiNHistorical[[#This Row],[Shelter NFI New]]=0), "", tblPiNHistorical[[#This Row],[Shelter NFI New]]-tblPiNHistorical[[#This Row],[Shelter NFI Old]])</f>
        <v>1118</v>
      </c>
      <c r="AP50" s="111" t="str">
        <f>IF(OR(tblPiNHistorical[[#This Row],[WASH Old]]="", tblPiNHistorical[[#This Row],[WASH Old]]=0, tblPiNHistorical[[#This Row],[WASH New]]="", tblPiNHistorical[[#This Row],[WASH New]]=0), "", tblPiNHistorical[[#This Row],[WASH New]]-tblPiNHistorical[[#This Row],[WASH Old]])</f>
        <v/>
      </c>
      <c r="AQ50" s="110" t="str">
        <f>IFERROR(ROUND((tblPiNHistorical[[#This Row],[Site Management - New]] - tblPiNHistorical[[#This Row],[Site Management - Old]])/tblPiNHistorical[[#This Row],[Site Management - Old]], 1), "")</f>
        <v/>
      </c>
      <c r="AR50" s="66">
        <f>IFERROR(ROUND((tblPiNHistorical[[#This Row],[Education New]]-tblPiNHistorical[[#This Row],[Education Old]])/tblPiNHistorical[[#This Row],[Education Old]], 1), "")</f>
        <v>-1</v>
      </c>
      <c r="AS50" s="66">
        <f>IFERROR(ROUND((tblPiNHistorical[[#This Row],[Food Security and Livlihoods New]]-tblPiNHistorical[[#This Row],[Food Security and Livlihoods Old]])/tblPiNHistorical[[#This Row],[Food Security and Livlihoods Old]], 1), "")</f>
        <v>-1</v>
      </c>
      <c r="AT50" s="66">
        <f>IFERROR(ROUND((tblPiNHistorical[[#This Row],[Health New]]-tblPiNHistorical[[#This Row],[Health Old]])/tblPiNHistorical[[#This Row],[Health Old]], 1), "")</f>
        <v>-1</v>
      </c>
      <c r="AU50" s="66">
        <f>IFERROR(ROUND((tblPiNHistorical[[#This Row],[Nutrition New]]-tblPiNHistorical[[#This Row],[Nutrition Old]])/tblPiNHistorical[[#This Row],[Nutrition Old]], 1), "")</f>
        <v>-1</v>
      </c>
      <c r="AV50" s="66">
        <f>IFERROR(ROUND((tblPiNHistorical[[#This Row],[Protection New]]-tblPiNHistorical[[#This Row],[Protection Old]])/tblPiNHistorical[[#This Row],[Protection Old]], 1), "")</f>
        <v>-1</v>
      </c>
      <c r="AW50" s="84">
        <f>IFERROR(ROUND((tblPiNHistorical[[#This Row],[CP New]]-tblPiNHistorical[[#This Row],[CP Old ]])/tblPiNHistorical[[#This Row],[CP Old ]], 1), "")</f>
        <v>-1</v>
      </c>
      <c r="AX50" s="84">
        <f>IFERROR(ROUND((tblPiNHistorical[[#This Row],[GBV New]]-tblPiNHistorical[[#This Row],[GBV Old]])/tblPiNHistorical[[#This Row],[GBV Old]], 1), "")</f>
        <v>-1</v>
      </c>
      <c r="AY50" s="84" t="str">
        <f>IFERROR(ROUND((tblPiNHistorical[[#This Row],[Mine Action New]]-tblPiNHistorical[[#This Row],[Mine Action Old]])/tblPiNHistorical[[#This Row],[Mine Action Old]], 1), "")</f>
        <v/>
      </c>
      <c r="AZ50" s="66">
        <f>IFERROR(ROUND((tblPiNHistorical[[#This Row],[Shelter NFI New]]-tblPiNHistorical[[#This Row],[Shelter NFI Old]])/tblPiNHistorical[[#This Row],[Shelter NFI Old]], 1), "")</f>
        <v>0.1</v>
      </c>
      <c r="BA50" s="36">
        <f>IFERROR(ROUND((tblPiNHistorical[[#This Row],[WASH New]]-tblPiNHistorical[[#This Row],[WASH Old]])/tblPiNHistorical[[#This Row],[WASH Old]], 1), "")</f>
        <v>-1</v>
      </c>
      <c r="BB50"/>
      <c r="BC50"/>
      <c r="BD50"/>
      <c r="BE50"/>
      <c r="BF50"/>
      <c r="BG50"/>
      <c r="BH50"/>
      <c r="BI50"/>
      <c r="BL50"/>
      <c r="BN50"/>
      <c r="BO50"/>
      <c r="BP50"/>
    </row>
    <row r="51" spans="1:68" ht="30" x14ac:dyDescent="0.25">
      <c r="A51"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IDPsSD11053</v>
      </c>
      <c r="B51" s="127" t="s">
        <v>161</v>
      </c>
      <c r="C51" s="60" t="s">
        <v>128</v>
      </c>
      <c r="D51" s="60" t="s">
        <v>424</v>
      </c>
      <c r="E51" s="60" t="s">
        <v>425</v>
      </c>
      <c r="F51" s="54"/>
      <c r="G51" s="30"/>
      <c r="H51" s="56">
        <v>39365</v>
      </c>
      <c r="I51" s="37" t="s">
        <v>88</v>
      </c>
      <c r="J51" s="34">
        <v>310</v>
      </c>
      <c r="K51" s="116">
        <v>15261.8105</v>
      </c>
      <c r="L51" s="114">
        <v>39365</v>
      </c>
      <c r="M51" s="114">
        <v>39365</v>
      </c>
      <c r="N51" s="114">
        <v>4476</v>
      </c>
      <c r="O51" s="114">
        <v>21650.75</v>
      </c>
      <c r="P51" s="114">
        <v>21651</v>
      </c>
      <c r="Q51" s="114">
        <v>15580</v>
      </c>
      <c r="R51" s="114">
        <v>0</v>
      </c>
      <c r="S51" s="114">
        <v>15746</v>
      </c>
      <c r="T51" s="196">
        <v>15593.263800000001</v>
      </c>
      <c r="U51" s="52">
        <f>IFERROR(INDEX(tblPiNAnalysis[[Site Management ]], MATCH(tblPiNHistorical[[#This Row],[ID]], tblPiNAnalysis[ID], 0)), "")</f>
        <v>0</v>
      </c>
      <c r="V51" s="52">
        <f>IFERROR(INDEX(tblPiNAnalysis[Education], MATCH(tblPiNHistorical[[#This Row],[ID]], tblPiNAnalysis[ID], 0)), "")</f>
        <v>0</v>
      </c>
      <c r="W51" s="28">
        <f>IFERROR(INDEX(tblPiNAnalysis[Food Security and Livlihoods], MATCH(tblPiNHistorical[[#This Row],[ID]], tblPiNAnalysis[ID], 0)), "")</f>
        <v>0</v>
      </c>
      <c r="X51" s="28">
        <f>IFERROR(INDEX(tblPiNAnalysis[[Health ]], MATCH(tblPiNHistorical[[#This Row],[ID]], tblPiNAnalysis[ID], 0)), "")</f>
        <v>0</v>
      </c>
      <c r="Y51" s="28">
        <f>IFERROR(INDEX(tblPiNAnalysis[Nutrition], MATCH(tblPiNHistorical[[#This Row],[ID]], tblPiNAnalysis[ID], 0)), "")</f>
        <v>0</v>
      </c>
      <c r="Z51" s="28">
        <f>IFERROR(INDEX(tblPiNAnalysis[Protection], MATCH(tblPiNHistorical[[#This Row],[ID]], tblPiNAnalysis[ID], 0)), "")</f>
        <v>0</v>
      </c>
      <c r="AA51" s="28">
        <f>IFERROR(INDEX(tblPiNAnalysis[CP], MATCH(tblPiNHistorical[[#This Row],[ID]], tblPiNAnalysis[ID], 0)), "")</f>
        <v>0</v>
      </c>
      <c r="AB51" s="83">
        <f>IFERROR(INDEX(tblPiNAnalysis[GBV], MATCH(tblPiNHistorical[[#This Row],[ID]], tblPiNAnalysis[ID], 0)), "")</f>
        <v>0</v>
      </c>
      <c r="AC51" s="28">
        <f>IFERROR(INDEX(tblPiNAnalysis[Mine Action], MATCH(tblPiNHistorical[[#This Row],[ID]], tblPiNAnalysis[ID], 0)), "")</f>
        <v>0</v>
      </c>
      <c r="AD51" s="83">
        <f>IFERROR(INDEX(tblPiNAnalysis[[Shelter NFI ]], MATCH(tblPiNHistorical[[#This Row],[ID]], tblPiNAnalysis[ID], 0)), "")</f>
        <v>50308</v>
      </c>
      <c r="AE51" s="35">
        <f>IFERROR(INDEX(tblPiNAnalysis[WASH], MATCH(tblPiNHistorical[[#This Row],[ID]], tblPiNAnalysis[ID], 0)), "")</f>
        <v>0</v>
      </c>
      <c r="AF51" s="6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51" s="67" t="str">
        <f>IF(OR(tblPiNHistorical[[#This Row],[Education Old]]="", tblPiNHistorical[[#This Row],[Education Old]]=0, tblPiNHistorical[[#This Row],[Education New]]="", tblPiNHistorical[[#This Row],[Education New]]=0), "", tblPiNHistorical[[#This Row],[Education New]]-tblPiNHistorical[[#This Row],[Education Old]])</f>
        <v/>
      </c>
      <c r="AH51" s="67"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51" s="67" t="str">
        <f>IF(OR(tblPiNHistorical[[#This Row],[Health Old]]="", tblPiNHistorical[[#This Row],[Health Old]]=0, tblPiNHistorical[[#This Row],[Health New]]="", tblPiNHistorical[[#This Row],[Health New]]=0), "", tblPiNHistorical[[#This Row],[Health New]]-tblPiNHistorical[[#This Row],[Health Old]])</f>
        <v/>
      </c>
      <c r="AJ51" s="67" t="str">
        <f>IF(OR(tblPiNHistorical[[#This Row],[Nutrition Old]]="", tblPiNHistorical[[#This Row],[Nutrition Old]]=0, tblPiNHistorical[[#This Row],[Nutrition New]]="", tblPiNHistorical[[#This Row],[Nutrition New]]=0), "", tblPiNHistorical[[#This Row],[Nutrition New]]-tblPiNHistorical[[#This Row],[Nutrition Old]])</f>
        <v/>
      </c>
      <c r="AK51" s="67" t="str">
        <f>IF(OR(tblPiNHistorical[[#This Row],[Protection Old]]="", tblPiNHistorical[[#This Row],[Protection Old]]=0, tblPiNHistorical[[#This Row],[Protection New]]="", tblPiNHistorical[[#This Row],[Protection New]]=0), "", tblPiNHistorical[[#This Row],[Protection New]]-tblPiNHistorical[[#This Row],[Protection Old]])</f>
        <v/>
      </c>
      <c r="AL51" s="67" t="str">
        <f>IF(OR(tblPiNHistorical[[#This Row],[CP Old ]]="", tblPiNHistorical[[#This Row],[CP Old ]]=0, tblPiNHistorical[[#This Row],[CP New]]="", tblPiNHistorical[[#This Row],[CP New]]=0), "", tblPiNHistorical[[#This Row],[CP New]]-tblPiNHistorical[[#This Row],[CP Old ]])</f>
        <v/>
      </c>
      <c r="AM51" s="83" t="str">
        <f>IF(OR(tblPiNHistorical[[#This Row],[GBV Old]]="", tblPiNHistorical[[#This Row],[GBV Old]]=0, tblPiNHistorical[[#This Row],[GBV New]]="", tblPiNHistorical[[#This Row],[GBV New]]=0), "", tblPiNHistorical[[#This Row],[GBV New]]-tblPiNHistorical[[#This Row],[GBV Old]])</f>
        <v/>
      </c>
      <c r="AN51" s="83" t="str">
        <f>IF(OR(tblPiNHistorical[[#This Row],[Mine Action Old]]="", tblPiNHistorical[[#This Row],[Mine Action Old]]=0, tblPiNHistorical[[#This Row],[Mine Action New]]="", tblPiNHistorical[[#This Row],[Mine Action New]]=0), "", tblPiNHistorical[[#This Row],[Mine Action New]]-tblPiNHistorical[[#This Row],[Mine Action Old]])</f>
        <v/>
      </c>
      <c r="AO51" s="67">
        <f>IF(OR(tblPiNHistorical[[#This Row],[Shelter NFI Old]]="", tblPiNHistorical[[#This Row],[Shelter NFI Old]]=0, tblPiNHistorical[[#This Row],[Shelter NFI New]]="", tblPiNHistorical[[#This Row],[Shelter NFI New]]=0), "", tblPiNHistorical[[#This Row],[Shelter NFI New]]-tblPiNHistorical[[#This Row],[Shelter NFI Old]])</f>
        <v>34562</v>
      </c>
      <c r="AP51" s="111" t="str">
        <f>IF(OR(tblPiNHistorical[[#This Row],[WASH Old]]="", tblPiNHistorical[[#This Row],[WASH Old]]=0, tblPiNHistorical[[#This Row],[WASH New]]="", tblPiNHistorical[[#This Row],[WASH New]]=0), "", tblPiNHistorical[[#This Row],[WASH New]]-tblPiNHistorical[[#This Row],[WASH Old]])</f>
        <v/>
      </c>
      <c r="AQ51" s="110">
        <f>IFERROR(ROUND((tblPiNHistorical[[#This Row],[Site Management - New]] - tblPiNHistorical[[#This Row],[Site Management - Old]])/tblPiNHistorical[[#This Row],[Site Management - Old]], 1), "")</f>
        <v>-1</v>
      </c>
      <c r="AR51" s="66">
        <f>IFERROR(ROUND((tblPiNHistorical[[#This Row],[Education New]]-tblPiNHistorical[[#This Row],[Education Old]])/tblPiNHistorical[[#This Row],[Education Old]], 1), "")</f>
        <v>-1</v>
      </c>
      <c r="AS51" s="66">
        <f>IFERROR(ROUND((tblPiNHistorical[[#This Row],[Food Security and Livlihoods New]]-tblPiNHistorical[[#This Row],[Food Security and Livlihoods Old]])/tblPiNHistorical[[#This Row],[Food Security and Livlihoods Old]], 1), "")</f>
        <v>-1</v>
      </c>
      <c r="AT51" s="66">
        <f>IFERROR(ROUND((tblPiNHistorical[[#This Row],[Health New]]-tblPiNHistorical[[#This Row],[Health Old]])/tblPiNHistorical[[#This Row],[Health Old]], 1), "")</f>
        <v>-1</v>
      </c>
      <c r="AU51" s="66">
        <f>IFERROR(ROUND((tblPiNHistorical[[#This Row],[Nutrition New]]-tblPiNHistorical[[#This Row],[Nutrition Old]])/tblPiNHistorical[[#This Row],[Nutrition Old]], 1), "")</f>
        <v>-1</v>
      </c>
      <c r="AV51" s="66">
        <f>IFERROR(ROUND((tblPiNHistorical[[#This Row],[Protection New]]-tblPiNHistorical[[#This Row],[Protection Old]])/tblPiNHistorical[[#This Row],[Protection Old]], 1), "")</f>
        <v>-1</v>
      </c>
      <c r="AW51" s="84">
        <f>IFERROR(ROUND((tblPiNHistorical[[#This Row],[CP New]]-tblPiNHistorical[[#This Row],[CP Old ]])/tblPiNHistorical[[#This Row],[CP Old ]], 1), "")</f>
        <v>-1</v>
      </c>
      <c r="AX51" s="84">
        <f>IFERROR(ROUND((tblPiNHistorical[[#This Row],[GBV New]]-tblPiNHistorical[[#This Row],[GBV Old]])/tblPiNHistorical[[#This Row],[GBV Old]], 1), "")</f>
        <v>-1</v>
      </c>
      <c r="AY51" s="84" t="str">
        <f>IFERROR(ROUND((tblPiNHistorical[[#This Row],[Mine Action New]]-tblPiNHistorical[[#This Row],[Mine Action Old]])/tblPiNHistorical[[#This Row],[Mine Action Old]], 1), "")</f>
        <v/>
      </c>
      <c r="AZ51" s="66">
        <f>IFERROR(ROUND((tblPiNHistorical[[#This Row],[Shelter NFI New]]-tblPiNHistorical[[#This Row],[Shelter NFI Old]])/tblPiNHistorical[[#This Row],[Shelter NFI Old]], 1), "")</f>
        <v>2.2000000000000002</v>
      </c>
      <c r="BA51" s="36">
        <f>IFERROR(ROUND((tblPiNHistorical[[#This Row],[WASH New]]-tblPiNHistorical[[#This Row],[WASH Old]])/tblPiNHistorical[[#This Row],[WASH Old]], 1), "")</f>
        <v>-1</v>
      </c>
      <c r="BB51"/>
      <c r="BC51"/>
      <c r="BD51"/>
      <c r="BE51"/>
      <c r="BF51"/>
      <c r="BG51"/>
      <c r="BH51"/>
      <c r="BI51"/>
      <c r="BL51"/>
      <c r="BN51"/>
      <c r="BO51"/>
      <c r="BP51"/>
    </row>
    <row r="52" spans="1:68" x14ac:dyDescent="0.25">
      <c r="A52"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IDPsSD11055</v>
      </c>
      <c r="B52" s="127" t="s">
        <v>161</v>
      </c>
      <c r="C52" s="60" t="s">
        <v>128</v>
      </c>
      <c r="D52" s="60" t="s">
        <v>428</v>
      </c>
      <c r="E52" s="60" t="s">
        <v>429</v>
      </c>
      <c r="F52" s="54"/>
      <c r="G52" s="30"/>
      <c r="H52" s="56">
        <v>690</v>
      </c>
      <c r="I52" s="37" t="s">
        <v>88</v>
      </c>
      <c r="J52" s="34">
        <v>0</v>
      </c>
      <c r="K52" s="116">
        <v>267.51299999999998</v>
      </c>
      <c r="L52" s="114">
        <v>690</v>
      </c>
      <c r="M52" s="114">
        <v>690</v>
      </c>
      <c r="N52" s="114">
        <v>113</v>
      </c>
      <c r="O52" s="114">
        <v>379.50000000000006</v>
      </c>
      <c r="P52" s="114">
        <v>380</v>
      </c>
      <c r="Q52" s="114">
        <v>0</v>
      </c>
      <c r="R52" s="114">
        <v>0</v>
      </c>
      <c r="S52" s="114">
        <v>0</v>
      </c>
      <c r="T52" s="196">
        <v>0</v>
      </c>
      <c r="U52" s="52">
        <f>IFERROR(INDEX(tblPiNAnalysis[[Site Management ]], MATCH(tblPiNHistorical[[#This Row],[ID]], tblPiNAnalysis[ID], 0)), "")</f>
        <v>0</v>
      </c>
      <c r="V52" s="52">
        <f>IFERROR(INDEX(tblPiNAnalysis[Education], MATCH(tblPiNHistorical[[#This Row],[ID]], tblPiNAnalysis[ID], 0)), "")</f>
        <v>0</v>
      </c>
      <c r="W52" s="28">
        <f>IFERROR(INDEX(tblPiNAnalysis[Food Security and Livlihoods], MATCH(tblPiNHistorical[[#This Row],[ID]], tblPiNAnalysis[ID], 0)), "")</f>
        <v>0</v>
      </c>
      <c r="X52" s="28">
        <f>IFERROR(INDEX(tblPiNAnalysis[[Health ]], MATCH(tblPiNHistorical[[#This Row],[ID]], tblPiNAnalysis[ID], 0)), "")</f>
        <v>0</v>
      </c>
      <c r="Y52" s="28">
        <f>IFERROR(INDEX(tblPiNAnalysis[Nutrition], MATCH(tblPiNHistorical[[#This Row],[ID]], tblPiNAnalysis[ID], 0)), "")</f>
        <v>0</v>
      </c>
      <c r="Z52" s="28">
        <f>IFERROR(INDEX(tblPiNAnalysis[Protection], MATCH(tblPiNHistorical[[#This Row],[ID]], tblPiNAnalysis[ID], 0)), "")</f>
        <v>0</v>
      </c>
      <c r="AA52" s="28">
        <f>IFERROR(INDEX(tblPiNAnalysis[CP], MATCH(tblPiNHistorical[[#This Row],[ID]], tblPiNAnalysis[ID], 0)), "")</f>
        <v>0</v>
      </c>
      <c r="AB52" s="83">
        <f>IFERROR(INDEX(tblPiNAnalysis[GBV], MATCH(tblPiNHistorical[[#This Row],[ID]], tblPiNAnalysis[ID], 0)), "")</f>
        <v>0</v>
      </c>
      <c r="AC52" s="28">
        <f>IFERROR(INDEX(tblPiNAnalysis[Mine Action], MATCH(tblPiNHistorical[[#This Row],[ID]], tblPiNAnalysis[ID], 0)), "")</f>
        <v>0</v>
      </c>
      <c r="AD52" s="83">
        <f>IFERROR(INDEX(tblPiNAnalysis[[Shelter NFI ]], MATCH(tblPiNHistorical[[#This Row],[ID]], tblPiNAnalysis[ID], 0)), "")</f>
        <v>723</v>
      </c>
      <c r="AE52" s="35">
        <f>IFERROR(INDEX(tblPiNAnalysis[WASH], MATCH(tblPiNHistorical[[#This Row],[ID]], tblPiNAnalysis[ID], 0)), "")</f>
        <v>0</v>
      </c>
      <c r="AF52" s="6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52" s="67" t="str">
        <f>IF(OR(tblPiNHistorical[[#This Row],[Education Old]]="", tblPiNHistorical[[#This Row],[Education Old]]=0, tblPiNHistorical[[#This Row],[Education New]]="", tblPiNHistorical[[#This Row],[Education New]]=0), "", tblPiNHistorical[[#This Row],[Education New]]-tblPiNHistorical[[#This Row],[Education Old]])</f>
        <v/>
      </c>
      <c r="AH52" s="67"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52" s="67" t="str">
        <f>IF(OR(tblPiNHistorical[[#This Row],[Health Old]]="", tblPiNHistorical[[#This Row],[Health Old]]=0, tblPiNHistorical[[#This Row],[Health New]]="", tblPiNHistorical[[#This Row],[Health New]]=0), "", tblPiNHistorical[[#This Row],[Health New]]-tblPiNHistorical[[#This Row],[Health Old]])</f>
        <v/>
      </c>
      <c r="AJ52" s="67" t="str">
        <f>IF(OR(tblPiNHistorical[[#This Row],[Nutrition Old]]="", tblPiNHistorical[[#This Row],[Nutrition Old]]=0, tblPiNHistorical[[#This Row],[Nutrition New]]="", tblPiNHistorical[[#This Row],[Nutrition New]]=0), "", tblPiNHistorical[[#This Row],[Nutrition New]]-tblPiNHistorical[[#This Row],[Nutrition Old]])</f>
        <v/>
      </c>
      <c r="AK52" s="67" t="str">
        <f>IF(OR(tblPiNHistorical[[#This Row],[Protection Old]]="", tblPiNHistorical[[#This Row],[Protection Old]]=0, tblPiNHistorical[[#This Row],[Protection New]]="", tblPiNHistorical[[#This Row],[Protection New]]=0), "", tblPiNHistorical[[#This Row],[Protection New]]-tblPiNHistorical[[#This Row],[Protection Old]])</f>
        <v/>
      </c>
      <c r="AL52" s="67" t="str">
        <f>IF(OR(tblPiNHistorical[[#This Row],[CP Old ]]="", tblPiNHistorical[[#This Row],[CP Old ]]=0, tblPiNHistorical[[#This Row],[CP New]]="", tblPiNHistorical[[#This Row],[CP New]]=0), "", tblPiNHistorical[[#This Row],[CP New]]-tblPiNHistorical[[#This Row],[CP Old ]])</f>
        <v/>
      </c>
      <c r="AM52" s="83" t="str">
        <f>IF(OR(tblPiNHistorical[[#This Row],[GBV Old]]="", tblPiNHistorical[[#This Row],[GBV Old]]=0, tblPiNHistorical[[#This Row],[GBV New]]="", tblPiNHistorical[[#This Row],[GBV New]]=0), "", tblPiNHistorical[[#This Row],[GBV New]]-tblPiNHistorical[[#This Row],[GBV Old]])</f>
        <v/>
      </c>
      <c r="AN52" s="83" t="str">
        <f>IF(OR(tblPiNHistorical[[#This Row],[Mine Action Old]]="", tblPiNHistorical[[#This Row],[Mine Action Old]]=0, tblPiNHistorical[[#This Row],[Mine Action New]]="", tblPiNHistorical[[#This Row],[Mine Action New]]=0), "", tblPiNHistorical[[#This Row],[Mine Action New]]-tblPiNHistorical[[#This Row],[Mine Action Old]])</f>
        <v/>
      </c>
      <c r="AO52" s="67" t="str">
        <f>IF(OR(tblPiNHistorical[[#This Row],[Shelter NFI Old]]="", tblPiNHistorical[[#This Row],[Shelter NFI Old]]=0, tblPiNHistorical[[#This Row],[Shelter NFI New]]="", tblPiNHistorical[[#This Row],[Shelter NFI New]]=0), "", tblPiNHistorical[[#This Row],[Shelter NFI New]]-tblPiNHistorical[[#This Row],[Shelter NFI Old]])</f>
        <v/>
      </c>
      <c r="AP52" s="111" t="str">
        <f>IF(OR(tblPiNHistorical[[#This Row],[WASH Old]]="", tblPiNHistorical[[#This Row],[WASH Old]]=0, tblPiNHistorical[[#This Row],[WASH New]]="", tblPiNHistorical[[#This Row],[WASH New]]=0), "", tblPiNHistorical[[#This Row],[WASH New]]-tblPiNHistorical[[#This Row],[WASH Old]])</f>
        <v/>
      </c>
      <c r="AQ52" s="110" t="str">
        <f>IFERROR(ROUND((tblPiNHistorical[[#This Row],[Site Management - New]] - tblPiNHistorical[[#This Row],[Site Management - Old]])/tblPiNHistorical[[#This Row],[Site Management - Old]], 1), "")</f>
        <v/>
      </c>
      <c r="AR52" s="66">
        <f>IFERROR(ROUND((tblPiNHistorical[[#This Row],[Education New]]-tblPiNHistorical[[#This Row],[Education Old]])/tblPiNHistorical[[#This Row],[Education Old]], 1), "")</f>
        <v>-1</v>
      </c>
      <c r="AS52" s="66">
        <f>IFERROR(ROUND((tblPiNHistorical[[#This Row],[Food Security and Livlihoods New]]-tblPiNHistorical[[#This Row],[Food Security and Livlihoods Old]])/tblPiNHistorical[[#This Row],[Food Security and Livlihoods Old]], 1), "")</f>
        <v>-1</v>
      </c>
      <c r="AT52" s="66">
        <f>IFERROR(ROUND((tblPiNHistorical[[#This Row],[Health New]]-tblPiNHistorical[[#This Row],[Health Old]])/tblPiNHistorical[[#This Row],[Health Old]], 1), "")</f>
        <v>-1</v>
      </c>
      <c r="AU52" s="66">
        <f>IFERROR(ROUND((tblPiNHistorical[[#This Row],[Nutrition New]]-tblPiNHistorical[[#This Row],[Nutrition Old]])/tblPiNHistorical[[#This Row],[Nutrition Old]], 1), "")</f>
        <v>-1</v>
      </c>
      <c r="AV52" s="66">
        <f>IFERROR(ROUND((tblPiNHistorical[[#This Row],[Protection New]]-tblPiNHistorical[[#This Row],[Protection Old]])/tblPiNHistorical[[#This Row],[Protection Old]], 1), "")</f>
        <v>-1</v>
      </c>
      <c r="AW52" s="84">
        <f>IFERROR(ROUND((tblPiNHistorical[[#This Row],[CP New]]-tblPiNHistorical[[#This Row],[CP Old ]])/tblPiNHistorical[[#This Row],[CP Old ]], 1), "")</f>
        <v>-1</v>
      </c>
      <c r="AX52" s="84" t="str">
        <f>IFERROR(ROUND((tblPiNHistorical[[#This Row],[GBV New]]-tblPiNHistorical[[#This Row],[GBV Old]])/tblPiNHistorical[[#This Row],[GBV Old]], 1), "")</f>
        <v/>
      </c>
      <c r="AY52" s="84" t="str">
        <f>IFERROR(ROUND((tblPiNHistorical[[#This Row],[Mine Action New]]-tblPiNHistorical[[#This Row],[Mine Action Old]])/tblPiNHistorical[[#This Row],[Mine Action Old]], 1), "")</f>
        <v/>
      </c>
      <c r="AZ52" s="66" t="str">
        <f>IFERROR(ROUND((tblPiNHistorical[[#This Row],[Shelter NFI New]]-tblPiNHistorical[[#This Row],[Shelter NFI Old]])/tblPiNHistorical[[#This Row],[Shelter NFI Old]], 1), "")</f>
        <v/>
      </c>
      <c r="BA52" s="36" t="str">
        <f>IFERROR(ROUND((tblPiNHistorical[[#This Row],[WASH New]]-tblPiNHistorical[[#This Row],[WASH Old]])/tblPiNHistorical[[#This Row],[WASH Old]], 1), "")</f>
        <v/>
      </c>
      <c r="BB52"/>
      <c r="BC52"/>
      <c r="BD52"/>
      <c r="BE52"/>
      <c r="BF52"/>
      <c r="BG52"/>
      <c r="BH52"/>
      <c r="BI52"/>
      <c r="BL52"/>
      <c r="BN52"/>
      <c r="BO52"/>
      <c r="BP52"/>
    </row>
    <row r="53" spans="1:68" ht="30" x14ac:dyDescent="0.25">
      <c r="A53"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IDPsSD11054</v>
      </c>
      <c r="B53" s="127" t="s">
        <v>161</v>
      </c>
      <c r="C53" s="60" t="s">
        <v>128</v>
      </c>
      <c r="D53" s="60" t="s">
        <v>426</v>
      </c>
      <c r="E53" s="60" t="s">
        <v>427</v>
      </c>
      <c r="F53" s="54"/>
      <c r="G53" s="30"/>
      <c r="H53" s="56">
        <v>0</v>
      </c>
      <c r="I53" s="37" t="s">
        <v>88</v>
      </c>
      <c r="J53" s="34">
        <v>0</v>
      </c>
      <c r="K53" s="116">
        <v>0</v>
      </c>
      <c r="L53" s="114">
        <v>0</v>
      </c>
      <c r="M53" s="114">
        <v>0</v>
      </c>
      <c r="N53" s="114">
        <v>0</v>
      </c>
      <c r="O53" s="114">
        <v>0</v>
      </c>
      <c r="P53" s="114">
        <v>0</v>
      </c>
      <c r="Q53" s="114">
        <v>0</v>
      </c>
      <c r="R53" s="114">
        <v>0</v>
      </c>
      <c r="S53" s="114">
        <v>0</v>
      </c>
      <c r="T53" s="196">
        <v>0</v>
      </c>
      <c r="U53" s="52">
        <f>IFERROR(INDEX(tblPiNAnalysis[[Site Management ]], MATCH(tblPiNHistorical[[#This Row],[ID]], tblPiNAnalysis[ID], 0)), "")</f>
        <v>0</v>
      </c>
      <c r="V53" s="52">
        <f>IFERROR(INDEX(tblPiNAnalysis[Education], MATCH(tblPiNHistorical[[#This Row],[ID]], tblPiNAnalysis[ID], 0)), "")</f>
        <v>0</v>
      </c>
      <c r="W53" s="28">
        <f>IFERROR(INDEX(tblPiNAnalysis[Food Security and Livlihoods], MATCH(tblPiNHistorical[[#This Row],[ID]], tblPiNAnalysis[ID], 0)), "")</f>
        <v>0</v>
      </c>
      <c r="X53" s="28">
        <f>IFERROR(INDEX(tblPiNAnalysis[[Health ]], MATCH(tblPiNHistorical[[#This Row],[ID]], tblPiNAnalysis[ID], 0)), "")</f>
        <v>0</v>
      </c>
      <c r="Y53" s="28">
        <f>IFERROR(INDEX(tblPiNAnalysis[Nutrition], MATCH(tblPiNHistorical[[#This Row],[ID]], tblPiNAnalysis[ID], 0)), "")</f>
        <v>0</v>
      </c>
      <c r="Z53" s="28">
        <f>IFERROR(INDEX(tblPiNAnalysis[Protection], MATCH(tblPiNHistorical[[#This Row],[ID]], tblPiNAnalysis[ID], 0)), "")</f>
        <v>0</v>
      </c>
      <c r="AA53" s="28">
        <f>IFERROR(INDEX(tblPiNAnalysis[CP], MATCH(tblPiNHistorical[[#This Row],[ID]], tblPiNAnalysis[ID], 0)), "")</f>
        <v>0</v>
      </c>
      <c r="AB53" s="83">
        <f>IFERROR(INDEX(tblPiNAnalysis[GBV], MATCH(tblPiNHistorical[[#This Row],[ID]], tblPiNAnalysis[ID], 0)), "")</f>
        <v>0</v>
      </c>
      <c r="AC53" s="28">
        <f>IFERROR(INDEX(tblPiNAnalysis[Mine Action], MATCH(tblPiNHistorical[[#This Row],[ID]], tblPiNAnalysis[ID], 0)), "")</f>
        <v>0</v>
      </c>
      <c r="AD53" s="83">
        <f>IFERROR(INDEX(tblPiNAnalysis[[Shelter NFI ]], MATCH(tblPiNHistorical[[#This Row],[ID]], tblPiNAnalysis[ID], 0)), "")</f>
        <v>18</v>
      </c>
      <c r="AE53" s="35">
        <f>IFERROR(INDEX(tblPiNAnalysis[WASH], MATCH(tblPiNHistorical[[#This Row],[ID]], tblPiNAnalysis[ID], 0)), "")</f>
        <v>0</v>
      </c>
      <c r="AF53" s="6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53" s="67" t="str">
        <f>IF(OR(tblPiNHistorical[[#This Row],[Education Old]]="", tblPiNHistorical[[#This Row],[Education Old]]=0, tblPiNHistorical[[#This Row],[Education New]]="", tblPiNHistorical[[#This Row],[Education New]]=0), "", tblPiNHistorical[[#This Row],[Education New]]-tblPiNHistorical[[#This Row],[Education Old]])</f>
        <v/>
      </c>
      <c r="AH53" s="67"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53" s="67" t="str">
        <f>IF(OR(tblPiNHistorical[[#This Row],[Health Old]]="", tblPiNHistorical[[#This Row],[Health Old]]=0, tblPiNHistorical[[#This Row],[Health New]]="", tblPiNHistorical[[#This Row],[Health New]]=0), "", tblPiNHistorical[[#This Row],[Health New]]-tblPiNHistorical[[#This Row],[Health Old]])</f>
        <v/>
      </c>
      <c r="AJ53" s="67" t="str">
        <f>IF(OR(tblPiNHistorical[[#This Row],[Nutrition Old]]="", tblPiNHistorical[[#This Row],[Nutrition Old]]=0, tblPiNHistorical[[#This Row],[Nutrition New]]="", tblPiNHistorical[[#This Row],[Nutrition New]]=0), "", tblPiNHistorical[[#This Row],[Nutrition New]]-tblPiNHistorical[[#This Row],[Nutrition Old]])</f>
        <v/>
      </c>
      <c r="AK53" s="67" t="str">
        <f>IF(OR(tblPiNHistorical[[#This Row],[Protection Old]]="", tblPiNHistorical[[#This Row],[Protection Old]]=0, tblPiNHistorical[[#This Row],[Protection New]]="", tblPiNHistorical[[#This Row],[Protection New]]=0), "", tblPiNHistorical[[#This Row],[Protection New]]-tblPiNHistorical[[#This Row],[Protection Old]])</f>
        <v/>
      </c>
      <c r="AL53" s="67" t="str">
        <f>IF(OR(tblPiNHistorical[[#This Row],[CP Old ]]="", tblPiNHistorical[[#This Row],[CP Old ]]=0, tblPiNHistorical[[#This Row],[CP New]]="", tblPiNHistorical[[#This Row],[CP New]]=0), "", tblPiNHistorical[[#This Row],[CP New]]-tblPiNHistorical[[#This Row],[CP Old ]])</f>
        <v/>
      </c>
      <c r="AM53" s="83" t="str">
        <f>IF(OR(tblPiNHistorical[[#This Row],[GBV Old]]="", tblPiNHistorical[[#This Row],[GBV Old]]=0, tblPiNHistorical[[#This Row],[GBV New]]="", tblPiNHistorical[[#This Row],[GBV New]]=0), "", tblPiNHistorical[[#This Row],[GBV New]]-tblPiNHistorical[[#This Row],[GBV Old]])</f>
        <v/>
      </c>
      <c r="AN53" s="83" t="str">
        <f>IF(OR(tblPiNHistorical[[#This Row],[Mine Action Old]]="", tblPiNHistorical[[#This Row],[Mine Action Old]]=0, tblPiNHistorical[[#This Row],[Mine Action New]]="", tblPiNHistorical[[#This Row],[Mine Action New]]=0), "", tblPiNHistorical[[#This Row],[Mine Action New]]-tblPiNHistorical[[#This Row],[Mine Action Old]])</f>
        <v/>
      </c>
      <c r="AO53" s="67" t="str">
        <f>IF(OR(tblPiNHistorical[[#This Row],[Shelter NFI Old]]="", tblPiNHistorical[[#This Row],[Shelter NFI Old]]=0, tblPiNHistorical[[#This Row],[Shelter NFI New]]="", tblPiNHistorical[[#This Row],[Shelter NFI New]]=0), "", tblPiNHistorical[[#This Row],[Shelter NFI New]]-tblPiNHistorical[[#This Row],[Shelter NFI Old]])</f>
        <v/>
      </c>
      <c r="AP53" s="111" t="str">
        <f>IF(OR(tblPiNHistorical[[#This Row],[WASH Old]]="", tblPiNHistorical[[#This Row],[WASH Old]]=0, tblPiNHistorical[[#This Row],[WASH New]]="", tblPiNHistorical[[#This Row],[WASH New]]=0), "", tblPiNHistorical[[#This Row],[WASH New]]-tblPiNHistorical[[#This Row],[WASH Old]])</f>
        <v/>
      </c>
      <c r="AQ53" s="110" t="str">
        <f>IFERROR(ROUND((tblPiNHistorical[[#This Row],[Site Management - New]] - tblPiNHistorical[[#This Row],[Site Management - Old]])/tblPiNHistorical[[#This Row],[Site Management - Old]], 1), "")</f>
        <v/>
      </c>
      <c r="AR53" s="66" t="str">
        <f>IFERROR(ROUND((tblPiNHistorical[[#This Row],[Education New]]-tblPiNHistorical[[#This Row],[Education Old]])/tblPiNHistorical[[#This Row],[Education Old]], 1), "")</f>
        <v/>
      </c>
      <c r="AS53" s="66" t="str">
        <f>IFERROR(ROUND((tblPiNHistorical[[#This Row],[Food Security and Livlihoods New]]-tblPiNHistorical[[#This Row],[Food Security and Livlihoods Old]])/tblPiNHistorical[[#This Row],[Food Security and Livlihoods Old]], 1), "")</f>
        <v/>
      </c>
      <c r="AT53" s="66" t="str">
        <f>IFERROR(ROUND((tblPiNHistorical[[#This Row],[Health New]]-tblPiNHistorical[[#This Row],[Health Old]])/tblPiNHistorical[[#This Row],[Health Old]], 1), "")</f>
        <v/>
      </c>
      <c r="AU53" s="66" t="str">
        <f>IFERROR(ROUND((tblPiNHistorical[[#This Row],[Nutrition New]]-tblPiNHistorical[[#This Row],[Nutrition Old]])/tblPiNHistorical[[#This Row],[Nutrition Old]], 1), "")</f>
        <v/>
      </c>
      <c r="AV53" s="66" t="str">
        <f>IFERROR(ROUND((tblPiNHistorical[[#This Row],[Protection New]]-tblPiNHistorical[[#This Row],[Protection Old]])/tblPiNHistorical[[#This Row],[Protection Old]], 1), "")</f>
        <v/>
      </c>
      <c r="AW53" s="84" t="str">
        <f>IFERROR(ROUND((tblPiNHistorical[[#This Row],[CP New]]-tblPiNHistorical[[#This Row],[CP Old ]])/tblPiNHistorical[[#This Row],[CP Old ]], 1), "")</f>
        <v/>
      </c>
      <c r="AX53" s="84" t="str">
        <f>IFERROR(ROUND((tblPiNHistorical[[#This Row],[GBV New]]-tblPiNHistorical[[#This Row],[GBV Old]])/tblPiNHistorical[[#This Row],[GBV Old]], 1), "")</f>
        <v/>
      </c>
      <c r="AY53" s="84" t="str">
        <f>IFERROR(ROUND((tblPiNHistorical[[#This Row],[Mine Action New]]-tblPiNHistorical[[#This Row],[Mine Action Old]])/tblPiNHistorical[[#This Row],[Mine Action Old]], 1), "")</f>
        <v/>
      </c>
      <c r="AZ53" s="66" t="str">
        <f>IFERROR(ROUND((tblPiNHistorical[[#This Row],[Shelter NFI New]]-tblPiNHistorical[[#This Row],[Shelter NFI Old]])/tblPiNHistorical[[#This Row],[Shelter NFI Old]], 1), "")</f>
        <v/>
      </c>
      <c r="BA53" s="36" t="str">
        <f>IFERROR(ROUND((tblPiNHistorical[[#This Row],[WASH New]]-tblPiNHistorical[[#This Row],[WASH Old]])/tblPiNHistorical[[#This Row],[WASH Old]], 1), "")</f>
        <v/>
      </c>
      <c r="BB53"/>
      <c r="BC53"/>
      <c r="BD53"/>
      <c r="BE53"/>
      <c r="BF53"/>
      <c r="BG53"/>
      <c r="BH53"/>
      <c r="BI53"/>
      <c r="BL53"/>
      <c r="BN53"/>
      <c r="BO53"/>
      <c r="BP53"/>
    </row>
    <row r="54" spans="1:68" ht="30" x14ac:dyDescent="0.25">
      <c r="A54"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IDPsSD11058</v>
      </c>
      <c r="B54" s="127" t="s">
        <v>161</v>
      </c>
      <c r="C54" s="60" t="s">
        <v>128</v>
      </c>
      <c r="D54" s="60" t="s">
        <v>434</v>
      </c>
      <c r="E54" s="60" t="s">
        <v>435</v>
      </c>
      <c r="F54" s="54"/>
      <c r="G54" s="30"/>
      <c r="H54" s="56">
        <v>0</v>
      </c>
      <c r="I54" s="37" t="s">
        <v>88</v>
      </c>
      <c r="J54" s="34">
        <v>0</v>
      </c>
      <c r="K54" s="116">
        <v>0</v>
      </c>
      <c r="L54" s="114">
        <v>0</v>
      </c>
      <c r="M54" s="114">
        <v>0</v>
      </c>
      <c r="N54" s="114">
        <v>0</v>
      </c>
      <c r="O54" s="114">
        <v>0</v>
      </c>
      <c r="P54" s="114">
        <v>0</v>
      </c>
      <c r="Q54" s="114">
        <v>0</v>
      </c>
      <c r="R54" s="114">
        <v>0</v>
      </c>
      <c r="S54" s="114">
        <v>0</v>
      </c>
      <c r="T54" s="196">
        <v>0</v>
      </c>
      <c r="U54" s="52">
        <f>IFERROR(INDEX(tblPiNAnalysis[[Site Management ]], MATCH(tblPiNHistorical[[#This Row],[ID]], tblPiNAnalysis[ID], 0)), "")</f>
        <v>0</v>
      </c>
      <c r="V54" s="52">
        <f>IFERROR(INDEX(tblPiNAnalysis[Education], MATCH(tblPiNHistorical[[#This Row],[ID]], tblPiNAnalysis[ID], 0)), "")</f>
        <v>0</v>
      </c>
      <c r="W54" s="28">
        <f>IFERROR(INDEX(tblPiNAnalysis[Food Security and Livlihoods], MATCH(tblPiNHistorical[[#This Row],[ID]], tblPiNAnalysis[ID], 0)), "")</f>
        <v>0</v>
      </c>
      <c r="X54" s="28">
        <f>IFERROR(INDEX(tblPiNAnalysis[[Health ]], MATCH(tblPiNHistorical[[#This Row],[ID]], tblPiNAnalysis[ID], 0)), "")</f>
        <v>0</v>
      </c>
      <c r="Y54" s="28">
        <f>IFERROR(INDEX(tblPiNAnalysis[Nutrition], MATCH(tblPiNHistorical[[#This Row],[ID]], tblPiNAnalysis[ID], 0)), "")</f>
        <v>0</v>
      </c>
      <c r="Z54" s="28">
        <f>IFERROR(INDEX(tblPiNAnalysis[Protection], MATCH(tblPiNHistorical[[#This Row],[ID]], tblPiNAnalysis[ID], 0)), "")</f>
        <v>0</v>
      </c>
      <c r="AA54" s="28">
        <f>IFERROR(INDEX(tblPiNAnalysis[CP], MATCH(tblPiNHistorical[[#This Row],[ID]], tblPiNAnalysis[ID], 0)), "")</f>
        <v>0</v>
      </c>
      <c r="AB54" s="83">
        <f>IFERROR(INDEX(tblPiNAnalysis[GBV], MATCH(tblPiNHistorical[[#This Row],[ID]], tblPiNAnalysis[ID], 0)), "")</f>
        <v>0</v>
      </c>
      <c r="AC54" s="28">
        <f>IFERROR(INDEX(tblPiNAnalysis[Mine Action], MATCH(tblPiNHistorical[[#This Row],[ID]], tblPiNAnalysis[ID], 0)), "")</f>
        <v>0</v>
      </c>
      <c r="AD54" s="83">
        <f>IFERROR(INDEX(tblPiNAnalysis[[Shelter NFI ]], MATCH(tblPiNHistorical[[#This Row],[ID]], tblPiNAnalysis[ID], 0)), "")</f>
        <v>380</v>
      </c>
      <c r="AE54" s="35">
        <f>IFERROR(INDEX(tblPiNAnalysis[WASH], MATCH(tblPiNHistorical[[#This Row],[ID]], tblPiNAnalysis[ID], 0)), "")</f>
        <v>0</v>
      </c>
      <c r="AF54" s="6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54" s="67" t="str">
        <f>IF(OR(tblPiNHistorical[[#This Row],[Education Old]]="", tblPiNHistorical[[#This Row],[Education Old]]=0, tblPiNHistorical[[#This Row],[Education New]]="", tblPiNHistorical[[#This Row],[Education New]]=0), "", tblPiNHistorical[[#This Row],[Education New]]-tblPiNHistorical[[#This Row],[Education Old]])</f>
        <v/>
      </c>
      <c r="AH54" s="67"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54" s="67" t="str">
        <f>IF(OR(tblPiNHistorical[[#This Row],[Health Old]]="", tblPiNHistorical[[#This Row],[Health Old]]=0, tblPiNHistorical[[#This Row],[Health New]]="", tblPiNHistorical[[#This Row],[Health New]]=0), "", tblPiNHistorical[[#This Row],[Health New]]-tblPiNHistorical[[#This Row],[Health Old]])</f>
        <v/>
      </c>
      <c r="AJ54" s="67" t="str">
        <f>IF(OR(tblPiNHistorical[[#This Row],[Nutrition Old]]="", tblPiNHistorical[[#This Row],[Nutrition Old]]=0, tblPiNHistorical[[#This Row],[Nutrition New]]="", tblPiNHistorical[[#This Row],[Nutrition New]]=0), "", tblPiNHistorical[[#This Row],[Nutrition New]]-tblPiNHistorical[[#This Row],[Nutrition Old]])</f>
        <v/>
      </c>
      <c r="AK54" s="67" t="str">
        <f>IF(OR(tblPiNHistorical[[#This Row],[Protection Old]]="", tblPiNHistorical[[#This Row],[Protection Old]]=0, tblPiNHistorical[[#This Row],[Protection New]]="", tblPiNHistorical[[#This Row],[Protection New]]=0), "", tblPiNHistorical[[#This Row],[Protection New]]-tblPiNHistorical[[#This Row],[Protection Old]])</f>
        <v/>
      </c>
      <c r="AL54" s="67" t="str">
        <f>IF(OR(tblPiNHistorical[[#This Row],[CP Old ]]="", tblPiNHistorical[[#This Row],[CP Old ]]=0, tblPiNHistorical[[#This Row],[CP New]]="", tblPiNHistorical[[#This Row],[CP New]]=0), "", tblPiNHistorical[[#This Row],[CP New]]-tblPiNHistorical[[#This Row],[CP Old ]])</f>
        <v/>
      </c>
      <c r="AM54" s="83" t="str">
        <f>IF(OR(tblPiNHistorical[[#This Row],[GBV Old]]="", tblPiNHistorical[[#This Row],[GBV Old]]=0, tblPiNHistorical[[#This Row],[GBV New]]="", tblPiNHistorical[[#This Row],[GBV New]]=0), "", tblPiNHistorical[[#This Row],[GBV New]]-tblPiNHistorical[[#This Row],[GBV Old]])</f>
        <v/>
      </c>
      <c r="AN54" s="83" t="str">
        <f>IF(OR(tblPiNHistorical[[#This Row],[Mine Action Old]]="", tblPiNHistorical[[#This Row],[Mine Action Old]]=0, tblPiNHistorical[[#This Row],[Mine Action New]]="", tblPiNHistorical[[#This Row],[Mine Action New]]=0), "", tblPiNHistorical[[#This Row],[Mine Action New]]-tblPiNHistorical[[#This Row],[Mine Action Old]])</f>
        <v/>
      </c>
      <c r="AO54" s="67" t="str">
        <f>IF(OR(tblPiNHistorical[[#This Row],[Shelter NFI Old]]="", tblPiNHistorical[[#This Row],[Shelter NFI Old]]=0, tblPiNHistorical[[#This Row],[Shelter NFI New]]="", tblPiNHistorical[[#This Row],[Shelter NFI New]]=0), "", tblPiNHistorical[[#This Row],[Shelter NFI New]]-tblPiNHistorical[[#This Row],[Shelter NFI Old]])</f>
        <v/>
      </c>
      <c r="AP54" s="111" t="str">
        <f>IF(OR(tblPiNHistorical[[#This Row],[WASH Old]]="", tblPiNHistorical[[#This Row],[WASH Old]]=0, tblPiNHistorical[[#This Row],[WASH New]]="", tblPiNHistorical[[#This Row],[WASH New]]=0), "", tblPiNHistorical[[#This Row],[WASH New]]-tblPiNHistorical[[#This Row],[WASH Old]])</f>
        <v/>
      </c>
      <c r="AQ54" s="110" t="str">
        <f>IFERROR(ROUND((tblPiNHistorical[[#This Row],[Site Management - New]] - tblPiNHistorical[[#This Row],[Site Management - Old]])/tblPiNHistorical[[#This Row],[Site Management - Old]], 1), "")</f>
        <v/>
      </c>
      <c r="AR54" s="66" t="str">
        <f>IFERROR(ROUND((tblPiNHistorical[[#This Row],[Education New]]-tblPiNHistorical[[#This Row],[Education Old]])/tblPiNHistorical[[#This Row],[Education Old]], 1), "")</f>
        <v/>
      </c>
      <c r="AS54" s="66" t="str">
        <f>IFERROR(ROUND((tblPiNHistorical[[#This Row],[Food Security and Livlihoods New]]-tblPiNHistorical[[#This Row],[Food Security and Livlihoods Old]])/tblPiNHistorical[[#This Row],[Food Security and Livlihoods Old]], 1), "")</f>
        <v/>
      </c>
      <c r="AT54" s="66" t="str">
        <f>IFERROR(ROUND((tblPiNHistorical[[#This Row],[Health New]]-tblPiNHistorical[[#This Row],[Health Old]])/tblPiNHistorical[[#This Row],[Health Old]], 1), "")</f>
        <v/>
      </c>
      <c r="AU54" s="66" t="str">
        <f>IFERROR(ROUND((tblPiNHistorical[[#This Row],[Nutrition New]]-tblPiNHistorical[[#This Row],[Nutrition Old]])/tblPiNHistorical[[#This Row],[Nutrition Old]], 1), "")</f>
        <v/>
      </c>
      <c r="AV54" s="66" t="str">
        <f>IFERROR(ROUND((tblPiNHistorical[[#This Row],[Protection New]]-tblPiNHistorical[[#This Row],[Protection Old]])/tblPiNHistorical[[#This Row],[Protection Old]], 1), "")</f>
        <v/>
      </c>
      <c r="AW54" s="84" t="str">
        <f>IFERROR(ROUND((tblPiNHistorical[[#This Row],[CP New]]-tblPiNHistorical[[#This Row],[CP Old ]])/tblPiNHistorical[[#This Row],[CP Old ]], 1), "")</f>
        <v/>
      </c>
      <c r="AX54" s="84" t="str">
        <f>IFERROR(ROUND((tblPiNHistorical[[#This Row],[GBV New]]-tblPiNHistorical[[#This Row],[GBV Old]])/tblPiNHistorical[[#This Row],[GBV Old]], 1), "")</f>
        <v/>
      </c>
      <c r="AY54" s="84" t="str">
        <f>IFERROR(ROUND((tblPiNHistorical[[#This Row],[Mine Action New]]-tblPiNHistorical[[#This Row],[Mine Action Old]])/tblPiNHistorical[[#This Row],[Mine Action Old]], 1), "")</f>
        <v/>
      </c>
      <c r="AZ54" s="66" t="str">
        <f>IFERROR(ROUND((tblPiNHistorical[[#This Row],[Shelter NFI New]]-tblPiNHistorical[[#This Row],[Shelter NFI Old]])/tblPiNHistorical[[#This Row],[Shelter NFI Old]], 1), "")</f>
        <v/>
      </c>
      <c r="BA54" s="36" t="str">
        <f>IFERROR(ROUND((tblPiNHistorical[[#This Row],[WASH New]]-tblPiNHistorical[[#This Row],[WASH Old]])/tblPiNHistorical[[#This Row],[WASH Old]], 1), "")</f>
        <v/>
      </c>
      <c r="BB54"/>
      <c r="BC54"/>
      <c r="BD54"/>
      <c r="BE54"/>
      <c r="BF54"/>
      <c r="BG54"/>
      <c r="BH54"/>
      <c r="BI54"/>
      <c r="BL54"/>
      <c r="BN54"/>
      <c r="BO54"/>
      <c r="BP54"/>
    </row>
    <row r="55" spans="1:68" x14ac:dyDescent="0.25">
      <c r="A55"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IDPsSD11056</v>
      </c>
      <c r="B55" s="127" t="s">
        <v>161</v>
      </c>
      <c r="C55" s="60" t="s">
        <v>128</v>
      </c>
      <c r="D55" s="60" t="s">
        <v>430</v>
      </c>
      <c r="E55" s="60" t="s">
        <v>431</v>
      </c>
      <c r="F55" s="54"/>
      <c r="G55" s="30"/>
      <c r="H55" s="56">
        <v>2545</v>
      </c>
      <c r="I55" s="37" t="s">
        <v>88</v>
      </c>
      <c r="J55" s="34">
        <v>0</v>
      </c>
      <c r="K55" s="116">
        <v>0</v>
      </c>
      <c r="L55" s="114">
        <v>2545</v>
      </c>
      <c r="M55" s="114">
        <v>2545</v>
      </c>
      <c r="N55" s="114">
        <v>227</v>
      </c>
      <c r="O55" s="114">
        <v>1399.75</v>
      </c>
      <c r="P55" s="114">
        <v>1400</v>
      </c>
      <c r="Q55" s="114">
        <v>872</v>
      </c>
      <c r="R55" s="114">
        <v>0</v>
      </c>
      <c r="S55" s="114">
        <v>0</v>
      </c>
      <c r="T55" s="196">
        <v>0</v>
      </c>
      <c r="U55" s="52">
        <f>IFERROR(INDEX(tblPiNAnalysis[[Site Management ]], MATCH(tblPiNHistorical[[#This Row],[ID]], tblPiNAnalysis[ID], 0)), "")</f>
        <v>0</v>
      </c>
      <c r="V55" s="52">
        <f>IFERROR(INDEX(tblPiNAnalysis[Education], MATCH(tblPiNHistorical[[#This Row],[ID]], tblPiNAnalysis[ID], 0)), "")</f>
        <v>0</v>
      </c>
      <c r="W55" s="28">
        <f>IFERROR(INDEX(tblPiNAnalysis[Food Security and Livlihoods], MATCH(tblPiNHistorical[[#This Row],[ID]], tblPiNAnalysis[ID], 0)), "")</f>
        <v>0</v>
      </c>
      <c r="X55" s="28">
        <f>IFERROR(INDEX(tblPiNAnalysis[[Health ]], MATCH(tblPiNHistorical[[#This Row],[ID]], tblPiNAnalysis[ID], 0)), "")</f>
        <v>0</v>
      </c>
      <c r="Y55" s="28">
        <f>IFERROR(INDEX(tblPiNAnalysis[Nutrition], MATCH(tblPiNHistorical[[#This Row],[ID]], tblPiNAnalysis[ID], 0)), "")</f>
        <v>0</v>
      </c>
      <c r="Z55" s="28">
        <f>IFERROR(INDEX(tblPiNAnalysis[Protection], MATCH(tblPiNHistorical[[#This Row],[ID]], tblPiNAnalysis[ID], 0)), "")</f>
        <v>0</v>
      </c>
      <c r="AA55" s="28">
        <f>IFERROR(INDEX(tblPiNAnalysis[CP], MATCH(tblPiNHistorical[[#This Row],[ID]], tblPiNAnalysis[ID], 0)), "")</f>
        <v>0</v>
      </c>
      <c r="AB55" s="83">
        <f>IFERROR(INDEX(tblPiNAnalysis[GBV], MATCH(tblPiNHistorical[[#This Row],[ID]], tblPiNAnalysis[ID], 0)), "")</f>
        <v>0</v>
      </c>
      <c r="AC55" s="28">
        <f>IFERROR(INDEX(tblPiNAnalysis[Mine Action], MATCH(tblPiNHistorical[[#This Row],[ID]], tblPiNAnalysis[ID], 0)), "")</f>
        <v>0</v>
      </c>
      <c r="AD55" s="83">
        <f>IFERROR(INDEX(tblPiNAnalysis[[Shelter NFI ]], MATCH(tblPiNHistorical[[#This Row],[ID]], tblPiNAnalysis[ID], 0)), "")</f>
        <v>3411</v>
      </c>
      <c r="AE55" s="35">
        <f>IFERROR(INDEX(tblPiNAnalysis[WASH], MATCH(tblPiNHistorical[[#This Row],[ID]], tblPiNAnalysis[ID], 0)), "")</f>
        <v>0</v>
      </c>
      <c r="AF55" s="6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55" s="67" t="str">
        <f>IF(OR(tblPiNHistorical[[#This Row],[Education Old]]="", tblPiNHistorical[[#This Row],[Education Old]]=0, tblPiNHistorical[[#This Row],[Education New]]="", tblPiNHistorical[[#This Row],[Education New]]=0), "", tblPiNHistorical[[#This Row],[Education New]]-tblPiNHistorical[[#This Row],[Education Old]])</f>
        <v/>
      </c>
      <c r="AH55" s="67"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55" s="67" t="str">
        <f>IF(OR(tblPiNHistorical[[#This Row],[Health Old]]="", tblPiNHistorical[[#This Row],[Health Old]]=0, tblPiNHistorical[[#This Row],[Health New]]="", tblPiNHistorical[[#This Row],[Health New]]=0), "", tblPiNHistorical[[#This Row],[Health New]]-tblPiNHistorical[[#This Row],[Health Old]])</f>
        <v/>
      </c>
      <c r="AJ55" s="67" t="str">
        <f>IF(OR(tblPiNHistorical[[#This Row],[Nutrition Old]]="", tblPiNHistorical[[#This Row],[Nutrition Old]]=0, tblPiNHistorical[[#This Row],[Nutrition New]]="", tblPiNHistorical[[#This Row],[Nutrition New]]=0), "", tblPiNHistorical[[#This Row],[Nutrition New]]-tblPiNHistorical[[#This Row],[Nutrition Old]])</f>
        <v/>
      </c>
      <c r="AK55" s="67" t="str">
        <f>IF(OR(tblPiNHistorical[[#This Row],[Protection Old]]="", tblPiNHistorical[[#This Row],[Protection Old]]=0, tblPiNHistorical[[#This Row],[Protection New]]="", tblPiNHistorical[[#This Row],[Protection New]]=0), "", tblPiNHistorical[[#This Row],[Protection New]]-tblPiNHistorical[[#This Row],[Protection Old]])</f>
        <v/>
      </c>
      <c r="AL55" s="67" t="str">
        <f>IF(OR(tblPiNHistorical[[#This Row],[CP Old ]]="", tblPiNHistorical[[#This Row],[CP Old ]]=0, tblPiNHistorical[[#This Row],[CP New]]="", tblPiNHistorical[[#This Row],[CP New]]=0), "", tblPiNHistorical[[#This Row],[CP New]]-tblPiNHistorical[[#This Row],[CP Old ]])</f>
        <v/>
      </c>
      <c r="AM55" s="83" t="str">
        <f>IF(OR(tblPiNHistorical[[#This Row],[GBV Old]]="", tblPiNHistorical[[#This Row],[GBV Old]]=0, tblPiNHistorical[[#This Row],[GBV New]]="", tblPiNHistorical[[#This Row],[GBV New]]=0), "", tblPiNHistorical[[#This Row],[GBV New]]-tblPiNHistorical[[#This Row],[GBV Old]])</f>
        <v/>
      </c>
      <c r="AN55" s="83" t="str">
        <f>IF(OR(tblPiNHistorical[[#This Row],[Mine Action Old]]="", tblPiNHistorical[[#This Row],[Mine Action Old]]=0, tblPiNHistorical[[#This Row],[Mine Action New]]="", tblPiNHistorical[[#This Row],[Mine Action New]]=0), "", tblPiNHistorical[[#This Row],[Mine Action New]]-tblPiNHistorical[[#This Row],[Mine Action Old]])</f>
        <v/>
      </c>
      <c r="AO55" s="67" t="str">
        <f>IF(OR(tblPiNHistorical[[#This Row],[Shelter NFI Old]]="", tblPiNHistorical[[#This Row],[Shelter NFI Old]]=0, tblPiNHistorical[[#This Row],[Shelter NFI New]]="", tblPiNHistorical[[#This Row],[Shelter NFI New]]=0), "", tblPiNHistorical[[#This Row],[Shelter NFI New]]-tblPiNHistorical[[#This Row],[Shelter NFI Old]])</f>
        <v/>
      </c>
      <c r="AP55" s="111" t="str">
        <f>IF(OR(tblPiNHistorical[[#This Row],[WASH Old]]="", tblPiNHistorical[[#This Row],[WASH Old]]=0, tblPiNHistorical[[#This Row],[WASH New]]="", tblPiNHistorical[[#This Row],[WASH New]]=0), "", tblPiNHistorical[[#This Row],[WASH New]]-tblPiNHistorical[[#This Row],[WASH Old]])</f>
        <v/>
      </c>
      <c r="AQ55" s="110" t="str">
        <f>IFERROR(ROUND((tblPiNHistorical[[#This Row],[Site Management - New]] - tblPiNHistorical[[#This Row],[Site Management - Old]])/tblPiNHistorical[[#This Row],[Site Management - Old]], 1), "")</f>
        <v/>
      </c>
      <c r="AR55" s="66" t="str">
        <f>IFERROR(ROUND((tblPiNHistorical[[#This Row],[Education New]]-tblPiNHistorical[[#This Row],[Education Old]])/tblPiNHistorical[[#This Row],[Education Old]], 1), "")</f>
        <v/>
      </c>
      <c r="AS55" s="66">
        <f>IFERROR(ROUND((tblPiNHistorical[[#This Row],[Food Security and Livlihoods New]]-tblPiNHistorical[[#This Row],[Food Security and Livlihoods Old]])/tblPiNHistorical[[#This Row],[Food Security and Livlihoods Old]], 1), "")</f>
        <v>-1</v>
      </c>
      <c r="AT55" s="66">
        <f>IFERROR(ROUND((tblPiNHistorical[[#This Row],[Health New]]-tblPiNHistorical[[#This Row],[Health Old]])/tblPiNHistorical[[#This Row],[Health Old]], 1), "")</f>
        <v>-1</v>
      </c>
      <c r="AU55" s="66">
        <f>IFERROR(ROUND((tblPiNHistorical[[#This Row],[Nutrition New]]-tblPiNHistorical[[#This Row],[Nutrition Old]])/tblPiNHistorical[[#This Row],[Nutrition Old]], 1), "")</f>
        <v>-1</v>
      </c>
      <c r="AV55" s="66">
        <f>IFERROR(ROUND((tblPiNHistorical[[#This Row],[Protection New]]-tblPiNHistorical[[#This Row],[Protection Old]])/tblPiNHistorical[[#This Row],[Protection Old]], 1), "")</f>
        <v>-1</v>
      </c>
      <c r="AW55" s="84">
        <f>IFERROR(ROUND((tblPiNHistorical[[#This Row],[CP New]]-tblPiNHistorical[[#This Row],[CP Old ]])/tblPiNHistorical[[#This Row],[CP Old ]], 1), "")</f>
        <v>-1</v>
      </c>
      <c r="AX55" s="84">
        <f>IFERROR(ROUND((tblPiNHistorical[[#This Row],[GBV New]]-tblPiNHistorical[[#This Row],[GBV Old]])/tblPiNHistorical[[#This Row],[GBV Old]], 1), "")</f>
        <v>-1</v>
      </c>
      <c r="AY55" s="84" t="str">
        <f>IFERROR(ROUND((tblPiNHistorical[[#This Row],[Mine Action New]]-tblPiNHistorical[[#This Row],[Mine Action Old]])/tblPiNHistorical[[#This Row],[Mine Action Old]], 1), "")</f>
        <v/>
      </c>
      <c r="AZ55" s="66" t="str">
        <f>IFERROR(ROUND((tblPiNHistorical[[#This Row],[Shelter NFI New]]-tblPiNHistorical[[#This Row],[Shelter NFI Old]])/tblPiNHistorical[[#This Row],[Shelter NFI Old]], 1), "")</f>
        <v/>
      </c>
      <c r="BA55" s="36" t="str">
        <f>IFERROR(ROUND((tblPiNHistorical[[#This Row],[WASH New]]-tblPiNHistorical[[#This Row],[WASH Old]])/tblPiNHistorical[[#This Row],[WASH Old]], 1), "")</f>
        <v/>
      </c>
      <c r="BB55"/>
      <c r="BC55"/>
      <c r="BD55"/>
      <c r="BE55"/>
      <c r="BF55"/>
      <c r="BG55"/>
      <c r="BH55"/>
      <c r="BI55"/>
      <c r="BL55"/>
      <c r="BN55"/>
      <c r="BO55"/>
      <c r="BP55"/>
    </row>
    <row r="56" spans="1:68" ht="30" x14ac:dyDescent="0.25">
      <c r="A56"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IDPsSD11060</v>
      </c>
      <c r="B56" s="127" t="s">
        <v>161</v>
      </c>
      <c r="C56" s="60" t="s">
        <v>128</v>
      </c>
      <c r="D56" s="60" t="s">
        <v>438</v>
      </c>
      <c r="E56" s="60" t="s">
        <v>439</v>
      </c>
      <c r="F56" s="54"/>
      <c r="G56" s="30"/>
      <c r="H56" s="56">
        <v>7729</v>
      </c>
      <c r="I56" s="37" t="s">
        <v>88</v>
      </c>
      <c r="J56" s="34">
        <v>0</v>
      </c>
      <c r="K56" s="116">
        <v>0</v>
      </c>
      <c r="L56" s="114">
        <v>7729</v>
      </c>
      <c r="M56" s="114">
        <v>7729</v>
      </c>
      <c r="N56" s="114">
        <v>296</v>
      </c>
      <c r="O56" s="114">
        <v>4250.9500000000007</v>
      </c>
      <c r="P56" s="114">
        <v>4251</v>
      </c>
      <c r="Q56" s="114">
        <v>2652</v>
      </c>
      <c r="R56" s="114">
        <v>0</v>
      </c>
      <c r="S56" s="114">
        <v>0</v>
      </c>
      <c r="T56" s="196">
        <v>0</v>
      </c>
      <c r="U56" s="52">
        <f>IFERROR(INDEX(tblPiNAnalysis[[Site Management ]], MATCH(tblPiNHistorical[[#This Row],[ID]], tblPiNAnalysis[ID], 0)), "")</f>
        <v>0</v>
      </c>
      <c r="V56" s="52">
        <f>IFERROR(INDEX(tblPiNAnalysis[Education], MATCH(tblPiNHistorical[[#This Row],[ID]], tblPiNAnalysis[ID], 0)), "")</f>
        <v>0</v>
      </c>
      <c r="W56" s="28">
        <f>IFERROR(INDEX(tblPiNAnalysis[Food Security and Livlihoods], MATCH(tblPiNHistorical[[#This Row],[ID]], tblPiNAnalysis[ID], 0)), "")</f>
        <v>0</v>
      </c>
      <c r="X56" s="28">
        <f>IFERROR(INDEX(tblPiNAnalysis[[Health ]], MATCH(tblPiNHistorical[[#This Row],[ID]], tblPiNAnalysis[ID], 0)), "")</f>
        <v>0</v>
      </c>
      <c r="Y56" s="28">
        <f>IFERROR(INDEX(tblPiNAnalysis[Nutrition], MATCH(tblPiNHistorical[[#This Row],[ID]], tblPiNAnalysis[ID], 0)), "")</f>
        <v>0</v>
      </c>
      <c r="Z56" s="28">
        <f>IFERROR(INDEX(tblPiNAnalysis[Protection], MATCH(tblPiNHistorical[[#This Row],[ID]], tblPiNAnalysis[ID], 0)), "")</f>
        <v>0</v>
      </c>
      <c r="AA56" s="28">
        <f>IFERROR(INDEX(tblPiNAnalysis[CP], MATCH(tblPiNHistorical[[#This Row],[ID]], tblPiNAnalysis[ID], 0)), "")</f>
        <v>0</v>
      </c>
      <c r="AB56" s="83">
        <f>IFERROR(INDEX(tblPiNAnalysis[GBV], MATCH(tblPiNHistorical[[#This Row],[ID]], tblPiNAnalysis[ID], 0)), "")</f>
        <v>0</v>
      </c>
      <c r="AC56" s="28">
        <f>IFERROR(INDEX(tblPiNAnalysis[Mine Action], MATCH(tblPiNHistorical[[#This Row],[ID]], tblPiNAnalysis[ID], 0)), "")</f>
        <v>0</v>
      </c>
      <c r="AD56" s="83">
        <f>IFERROR(INDEX(tblPiNAnalysis[[Shelter NFI ]], MATCH(tblPiNHistorical[[#This Row],[ID]], tblPiNAnalysis[ID], 0)), "")</f>
        <v>1146</v>
      </c>
      <c r="AE56" s="35">
        <f>IFERROR(INDEX(tblPiNAnalysis[WASH], MATCH(tblPiNHistorical[[#This Row],[ID]], tblPiNAnalysis[ID], 0)), "")</f>
        <v>0</v>
      </c>
      <c r="AF56" s="6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56" s="67" t="str">
        <f>IF(OR(tblPiNHistorical[[#This Row],[Education Old]]="", tblPiNHistorical[[#This Row],[Education Old]]=0, tblPiNHistorical[[#This Row],[Education New]]="", tblPiNHistorical[[#This Row],[Education New]]=0), "", tblPiNHistorical[[#This Row],[Education New]]-tblPiNHistorical[[#This Row],[Education Old]])</f>
        <v/>
      </c>
      <c r="AH56" s="67"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56" s="67" t="str">
        <f>IF(OR(tblPiNHistorical[[#This Row],[Health Old]]="", tblPiNHistorical[[#This Row],[Health Old]]=0, tblPiNHistorical[[#This Row],[Health New]]="", tblPiNHistorical[[#This Row],[Health New]]=0), "", tblPiNHistorical[[#This Row],[Health New]]-tblPiNHistorical[[#This Row],[Health Old]])</f>
        <v/>
      </c>
      <c r="AJ56" s="67" t="str">
        <f>IF(OR(tblPiNHistorical[[#This Row],[Nutrition Old]]="", tblPiNHistorical[[#This Row],[Nutrition Old]]=0, tblPiNHistorical[[#This Row],[Nutrition New]]="", tblPiNHistorical[[#This Row],[Nutrition New]]=0), "", tblPiNHistorical[[#This Row],[Nutrition New]]-tblPiNHistorical[[#This Row],[Nutrition Old]])</f>
        <v/>
      </c>
      <c r="AK56" s="67" t="str">
        <f>IF(OR(tblPiNHistorical[[#This Row],[Protection Old]]="", tblPiNHistorical[[#This Row],[Protection Old]]=0, tblPiNHistorical[[#This Row],[Protection New]]="", tblPiNHistorical[[#This Row],[Protection New]]=0), "", tblPiNHistorical[[#This Row],[Protection New]]-tblPiNHistorical[[#This Row],[Protection Old]])</f>
        <v/>
      </c>
      <c r="AL56" s="67" t="str">
        <f>IF(OR(tblPiNHistorical[[#This Row],[CP Old ]]="", tblPiNHistorical[[#This Row],[CP Old ]]=0, tblPiNHistorical[[#This Row],[CP New]]="", tblPiNHistorical[[#This Row],[CP New]]=0), "", tblPiNHistorical[[#This Row],[CP New]]-tblPiNHistorical[[#This Row],[CP Old ]])</f>
        <v/>
      </c>
      <c r="AM56" s="83" t="str">
        <f>IF(OR(tblPiNHistorical[[#This Row],[GBV Old]]="", tblPiNHistorical[[#This Row],[GBV Old]]=0, tblPiNHistorical[[#This Row],[GBV New]]="", tblPiNHistorical[[#This Row],[GBV New]]=0), "", tblPiNHistorical[[#This Row],[GBV New]]-tblPiNHistorical[[#This Row],[GBV Old]])</f>
        <v/>
      </c>
      <c r="AN56" s="83" t="str">
        <f>IF(OR(tblPiNHistorical[[#This Row],[Mine Action Old]]="", tblPiNHistorical[[#This Row],[Mine Action Old]]=0, tblPiNHistorical[[#This Row],[Mine Action New]]="", tblPiNHistorical[[#This Row],[Mine Action New]]=0), "", tblPiNHistorical[[#This Row],[Mine Action New]]-tblPiNHistorical[[#This Row],[Mine Action Old]])</f>
        <v/>
      </c>
      <c r="AO56" s="67" t="str">
        <f>IF(OR(tblPiNHistorical[[#This Row],[Shelter NFI Old]]="", tblPiNHistorical[[#This Row],[Shelter NFI Old]]=0, tblPiNHistorical[[#This Row],[Shelter NFI New]]="", tblPiNHistorical[[#This Row],[Shelter NFI New]]=0), "", tblPiNHistorical[[#This Row],[Shelter NFI New]]-tblPiNHistorical[[#This Row],[Shelter NFI Old]])</f>
        <v/>
      </c>
      <c r="AP56" s="111" t="str">
        <f>IF(OR(tblPiNHistorical[[#This Row],[WASH Old]]="", tblPiNHistorical[[#This Row],[WASH Old]]=0, tblPiNHistorical[[#This Row],[WASH New]]="", tblPiNHistorical[[#This Row],[WASH New]]=0), "", tblPiNHistorical[[#This Row],[WASH New]]-tblPiNHistorical[[#This Row],[WASH Old]])</f>
        <v/>
      </c>
      <c r="AQ56" s="110" t="str">
        <f>IFERROR(ROUND((tblPiNHistorical[[#This Row],[Site Management - New]] - tblPiNHistorical[[#This Row],[Site Management - Old]])/tblPiNHistorical[[#This Row],[Site Management - Old]], 1), "")</f>
        <v/>
      </c>
      <c r="AR56" s="66" t="str">
        <f>IFERROR(ROUND((tblPiNHistorical[[#This Row],[Education New]]-tblPiNHistorical[[#This Row],[Education Old]])/tblPiNHistorical[[#This Row],[Education Old]], 1), "")</f>
        <v/>
      </c>
      <c r="AS56" s="66">
        <f>IFERROR(ROUND((tblPiNHistorical[[#This Row],[Food Security and Livlihoods New]]-tblPiNHistorical[[#This Row],[Food Security and Livlihoods Old]])/tblPiNHistorical[[#This Row],[Food Security and Livlihoods Old]], 1), "")</f>
        <v>-1</v>
      </c>
      <c r="AT56" s="66">
        <f>IFERROR(ROUND((tblPiNHistorical[[#This Row],[Health New]]-tblPiNHistorical[[#This Row],[Health Old]])/tblPiNHistorical[[#This Row],[Health Old]], 1), "")</f>
        <v>-1</v>
      </c>
      <c r="AU56" s="66">
        <f>IFERROR(ROUND((tblPiNHistorical[[#This Row],[Nutrition New]]-tblPiNHistorical[[#This Row],[Nutrition Old]])/tblPiNHistorical[[#This Row],[Nutrition Old]], 1), "")</f>
        <v>-1</v>
      </c>
      <c r="AV56" s="66">
        <f>IFERROR(ROUND((tblPiNHistorical[[#This Row],[Protection New]]-tblPiNHistorical[[#This Row],[Protection Old]])/tblPiNHistorical[[#This Row],[Protection Old]], 1), "")</f>
        <v>-1</v>
      </c>
      <c r="AW56" s="84">
        <f>IFERROR(ROUND((tblPiNHistorical[[#This Row],[CP New]]-tblPiNHistorical[[#This Row],[CP Old ]])/tblPiNHistorical[[#This Row],[CP Old ]], 1), "")</f>
        <v>-1</v>
      </c>
      <c r="AX56" s="84">
        <f>IFERROR(ROUND((tblPiNHistorical[[#This Row],[GBV New]]-tblPiNHistorical[[#This Row],[GBV Old]])/tblPiNHistorical[[#This Row],[GBV Old]], 1), "")</f>
        <v>-1</v>
      </c>
      <c r="AY56" s="84" t="str">
        <f>IFERROR(ROUND((tblPiNHistorical[[#This Row],[Mine Action New]]-tblPiNHistorical[[#This Row],[Mine Action Old]])/tblPiNHistorical[[#This Row],[Mine Action Old]], 1), "")</f>
        <v/>
      </c>
      <c r="AZ56" s="66" t="str">
        <f>IFERROR(ROUND((tblPiNHistorical[[#This Row],[Shelter NFI New]]-tblPiNHistorical[[#This Row],[Shelter NFI Old]])/tblPiNHistorical[[#This Row],[Shelter NFI Old]], 1), "")</f>
        <v/>
      </c>
      <c r="BA56" s="36" t="str">
        <f>IFERROR(ROUND((tblPiNHistorical[[#This Row],[WASH New]]-tblPiNHistorical[[#This Row],[WASH Old]])/tblPiNHistorical[[#This Row],[WASH Old]], 1), "")</f>
        <v/>
      </c>
      <c r="BB56"/>
      <c r="BC56"/>
      <c r="BD56"/>
      <c r="BE56"/>
      <c r="BF56"/>
      <c r="BG56"/>
      <c r="BH56"/>
      <c r="BI56"/>
      <c r="BL56"/>
      <c r="BN56"/>
      <c r="BO56"/>
      <c r="BP56"/>
    </row>
    <row r="57" spans="1:68" ht="30" x14ac:dyDescent="0.25">
      <c r="A57"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IDPsSD11062</v>
      </c>
      <c r="B57" s="127" t="s">
        <v>161</v>
      </c>
      <c r="C57" s="60" t="s">
        <v>128</v>
      </c>
      <c r="D57" s="60" t="s">
        <v>442</v>
      </c>
      <c r="E57" s="60" t="s">
        <v>443</v>
      </c>
      <c r="F57" s="54"/>
      <c r="G57" s="30"/>
      <c r="H57" s="56">
        <v>2391</v>
      </c>
      <c r="I57" s="37" t="s">
        <v>88</v>
      </c>
      <c r="J57" s="34">
        <v>0</v>
      </c>
      <c r="K57" s="116">
        <v>926.99069999999995</v>
      </c>
      <c r="L57" s="114">
        <v>2391</v>
      </c>
      <c r="M57" s="114">
        <v>2391</v>
      </c>
      <c r="N57" s="114">
        <v>241</v>
      </c>
      <c r="O57" s="114">
        <v>1315.0500000000002</v>
      </c>
      <c r="P57" s="114">
        <v>1315</v>
      </c>
      <c r="Q57" s="114">
        <v>821</v>
      </c>
      <c r="R57" s="114">
        <v>0</v>
      </c>
      <c r="S57" s="114">
        <v>0</v>
      </c>
      <c r="T57" s="196">
        <v>0</v>
      </c>
      <c r="U57" s="52">
        <f>IFERROR(INDEX(tblPiNAnalysis[[Site Management ]], MATCH(tblPiNHistorical[[#This Row],[ID]], tblPiNAnalysis[ID], 0)), "")</f>
        <v>0</v>
      </c>
      <c r="V57" s="52">
        <f>IFERROR(INDEX(tblPiNAnalysis[Education], MATCH(tblPiNHistorical[[#This Row],[ID]], tblPiNAnalysis[ID], 0)), "")</f>
        <v>0</v>
      </c>
      <c r="W57" s="28">
        <f>IFERROR(INDEX(tblPiNAnalysis[Food Security and Livlihoods], MATCH(tblPiNHistorical[[#This Row],[ID]], tblPiNAnalysis[ID], 0)), "")</f>
        <v>0</v>
      </c>
      <c r="X57" s="28">
        <f>IFERROR(INDEX(tblPiNAnalysis[[Health ]], MATCH(tblPiNHistorical[[#This Row],[ID]], tblPiNAnalysis[ID], 0)), "")</f>
        <v>0</v>
      </c>
      <c r="Y57" s="28">
        <f>IFERROR(INDEX(tblPiNAnalysis[Nutrition], MATCH(tblPiNHistorical[[#This Row],[ID]], tblPiNAnalysis[ID], 0)), "")</f>
        <v>0</v>
      </c>
      <c r="Z57" s="28">
        <f>IFERROR(INDEX(tblPiNAnalysis[Protection], MATCH(tblPiNHistorical[[#This Row],[ID]], tblPiNAnalysis[ID], 0)), "")</f>
        <v>0</v>
      </c>
      <c r="AA57" s="28">
        <f>IFERROR(INDEX(tblPiNAnalysis[CP], MATCH(tblPiNHistorical[[#This Row],[ID]], tblPiNAnalysis[ID], 0)), "")</f>
        <v>0</v>
      </c>
      <c r="AB57" s="83">
        <f>IFERROR(INDEX(tblPiNAnalysis[GBV], MATCH(tblPiNHistorical[[#This Row],[ID]], tblPiNAnalysis[ID], 0)), "")</f>
        <v>0</v>
      </c>
      <c r="AC57" s="28">
        <f>IFERROR(INDEX(tblPiNAnalysis[Mine Action], MATCH(tblPiNHistorical[[#This Row],[ID]], tblPiNAnalysis[ID], 0)), "")</f>
        <v>0</v>
      </c>
      <c r="AD57" s="83">
        <f>IFERROR(INDEX(tblPiNAnalysis[[Shelter NFI ]], MATCH(tblPiNHistorical[[#This Row],[ID]], tblPiNAnalysis[ID], 0)), "")</f>
        <v>3506</v>
      </c>
      <c r="AE57" s="35">
        <f>IFERROR(INDEX(tblPiNAnalysis[WASH], MATCH(tblPiNHistorical[[#This Row],[ID]], tblPiNAnalysis[ID], 0)), "")</f>
        <v>0</v>
      </c>
      <c r="AF57" s="6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57" s="67" t="str">
        <f>IF(OR(tblPiNHistorical[[#This Row],[Education Old]]="", tblPiNHistorical[[#This Row],[Education Old]]=0, tblPiNHistorical[[#This Row],[Education New]]="", tblPiNHistorical[[#This Row],[Education New]]=0), "", tblPiNHistorical[[#This Row],[Education New]]-tblPiNHistorical[[#This Row],[Education Old]])</f>
        <v/>
      </c>
      <c r="AH57" s="67"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57" s="67" t="str">
        <f>IF(OR(tblPiNHistorical[[#This Row],[Health Old]]="", tblPiNHistorical[[#This Row],[Health Old]]=0, tblPiNHistorical[[#This Row],[Health New]]="", tblPiNHistorical[[#This Row],[Health New]]=0), "", tblPiNHistorical[[#This Row],[Health New]]-tblPiNHistorical[[#This Row],[Health Old]])</f>
        <v/>
      </c>
      <c r="AJ57" s="67" t="str">
        <f>IF(OR(tblPiNHistorical[[#This Row],[Nutrition Old]]="", tblPiNHistorical[[#This Row],[Nutrition Old]]=0, tblPiNHistorical[[#This Row],[Nutrition New]]="", tblPiNHistorical[[#This Row],[Nutrition New]]=0), "", tblPiNHistorical[[#This Row],[Nutrition New]]-tblPiNHistorical[[#This Row],[Nutrition Old]])</f>
        <v/>
      </c>
      <c r="AK57" s="67" t="str">
        <f>IF(OR(tblPiNHistorical[[#This Row],[Protection Old]]="", tblPiNHistorical[[#This Row],[Protection Old]]=0, tblPiNHistorical[[#This Row],[Protection New]]="", tblPiNHistorical[[#This Row],[Protection New]]=0), "", tblPiNHistorical[[#This Row],[Protection New]]-tblPiNHistorical[[#This Row],[Protection Old]])</f>
        <v/>
      </c>
      <c r="AL57" s="67" t="str">
        <f>IF(OR(tblPiNHistorical[[#This Row],[CP Old ]]="", tblPiNHistorical[[#This Row],[CP Old ]]=0, tblPiNHistorical[[#This Row],[CP New]]="", tblPiNHistorical[[#This Row],[CP New]]=0), "", tblPiNHistorical[[#This Row],[CP New]]-tblPiNHistorical[[#This Row],[CP Old ]])</f>
        <v/>
      </c>
      <c r="AM57" s="83" t="str">
        <f>IF(OR(tblPiNHistorical[[#This Row],[GBV Old]]="", tblPiNHistorical[[#This Row],[GBV Old]]=0, tblPiNHistorical[[#This Row],[GBV New]]="", tblPiNHistorical[[#This Row],[GBV New]]=0), "", tblPiNHistorical[[#This Row],[GBV New]]-tblPiNHistorical[[#This Row],[GBV Old]])</f>
        <v/>
      </c>
      <c r="AN57" s="83" t="str">
        <f>IF(OR(tblPiNHistorical[[#This Row],[Mine Action Old]]="", tblPiNHistorical[[#This Row],[Mine Action Old]]=0, tblPiNHistorical[[#This Row],[Mine Action New]]="", tblPiNHistorical[[#This Row],[Mine Action New]]=0), "", tblPiNHistorical[[#This Row],[Mine Action New]]-tblPiNHistorical[[#This Row],[Mine Action Old]])</f>
        <v/>
      </c>
      <c r="AO57" s="67" t="str">
        <f>IF(OR(tblPiNHistorical[[#This Row],[Shelter NFI Old]]="", tblPiNHistorical[[#This Row],[Shelter NFI Old]]=0, tblPiNHistorical[[#This Row],[Shelter NFI New]]="", tblPiNHistorical[[#This Row],[Shelter NFI New]]=0), "", tblPiNHistorical[[#This Row],[Shelter NFI New]]-tblPiNHistorical[[#This Row],[Shelter NFI Old]])</f>
        <v/>
      </c>
      <c r="AP57" s="111" t="str">
        <f>IF(OR(tblPiNHistorical[[#This Row],[WASH Old]]="", tblPiNHistorical[[#This Row],[WASH Old]]=0, tblPiNHistorical[[#This Row],[WASH New]]="", tblPiNHistorical[[#This Row],[WASH New]]=0), "", tblPiNHistorical[[#This Row],[WASH New]]-tblPiNHistorical[[#This Row],[WASH Old]])</f>
        <v/>
      </c>
      <c r="AQ57" s="110" t="str">
        <f>IFERROR(ROUND((tblPiNHistorical[[#This Row],[Site Management - New]] - tblPiNHistorical[[#This Row],[Site Management - Old]])/tblPiNHistorical[[#This Row],[Site Management - Old]], 1), "")</f>
        <v/>
      </c>
      <c r="AR57" s="66">
        <f>IFERROR(ROUND((tblPiNHistorical[[#This Row],[Education New]]-tblPiNHistorical[[#This Row],[Education Old]])/tblPiNHistorical[[#This Row],[Education Old]], 1), "")</f>
        <v>-1</v>
      </c>
      <c r="AS57" s="66">
        <f>IFERROR(ROUND((tblPiNHistorical[[#This Row],[Food Security and Livlihoods New]]-tblPiNHistorical[[#This Row],[Food Security and Livlihoods Old]])/tblPiNHistorical[[#This Row],[Food Security and Livlihoods Old]], 1), "")</f>
        <v>-1</v>
      </c>
      <c r="AT57" s="66">
        <f>IFERROR(ROUND((tblPiNHistorical[[#This Row],[Health New]]-tblPiNHistorical[[#This Row],[Health Old]])/tblPiNHistorical[[#This Row],[Health Old]], 1), "")</f>
        <v>-1</v>
      </c>
      <c r="AU57" s="66">
        <f>IFERROR(ROUND((tblPiNHistorical[[#This Row],[Nutrition New]]-tblPiNHistorical[[#This Row],[Nutrition Old]])/tblPiNHistorical[[#This Row],[Nutrition Old]], 1), "")</f>
        <v>-1</v>
      </c>
      <c r="AV57" s="66">
        <f>IFERROR(ROUND((tblPiNHistorical[[#This Row],[Protection New]]-tblPiNHistorical[[#This Row],[Protection Old]])/tblPiNHistorical[[#This Row],[Protection Old]], 1), "")</f>
        <v>-1</v>
      </c>
      <c r="AW57" s="84">
        <f>IFERROR(ROUND((tblPiNHistorical[[#This Row],[CP New]]-tblPiNHistorical[[#This Row],[CP Old ]])/tblPiNHistorical[[#This Row],[CP Old ]], 1), "")</f>
        <v>-1</v>
      </c>
      <c r="AX57" s="84">
        <f>IFERROR(ROUND((tblPiNHistorical[[#This Row],[GBV New]]-tblPiNHistorical[[#This Row],[GBV Old]])/tblPiNHistorical[[#This Row],[GBV Old]], 1), "")</f>
        <v>-1</v>
      </c>
      <c r="AY57" s="84" t="str">
        <f>IFERROR(ROUND((tblPiNHistorical[[#This Row],[Mine Action New]]-tblPiNHistorical[[#This Row],[Mine Action Old]])/tblPiNHistorical[[#This Row],[Mine Action Old]], 1), "")</f>
        <v/>
      </c>
      <c r="AZ57" s="66" t="str">
        <f>IFERROR(ROUND((tblPiNHistorical[[#This Row],[Shelter NFI New]]-tblPiNHistorical[[#This Row],[Shelter NFI Old]])/tblPiNHistorical[[#This Row],[Shelter NFI Old]], 1), "")</f>
        <v/>
      </c>
      <c r="BA57" s="36" t="str">
        <f>IFERROR(ROUND((tblPiNHistorical[[#This Row],[WASH New]]-tblPiNHistorical[[#This Row],[WASH Old]])/tblPiNHistorical[[#This Row],[WASH Old]], 1), "")</f>
        <v/>
      </c>
      <c r="BB57"/>
      <c r="BC57"/>
      <c r="BD57"/>
      <c r="BE57"/>
      <c r="BF57"/>
      <c r="BG57"/>
      <c r="BH57"/>
      <c r="BI57"/>
      <c r="BL57"/>
      <c r="BN57"/>
      <c r="BO57"/>
      <c r="BP57"/>
    </row>
    <row r="58" spans="1:68" ht="30" x14ac:dyDescent="0.25">
      <c r="A58"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IDPsSD11057</v>
      </c>
      <c r="B58" s="127" t="s">
        <v>161</v>
      </c>
      <c r="C58" s="60" t="s">
        <v>128</v>
      </c>
      <c r="D58" s="60" t="s">
        <v>432</v>
      </c>
      <c r="E58" s="60" t="s">
        <v>433</v>
      </c>
      <c r="F58" s="54"/>
      <c r="G58" s="30"/>
      <c r="H58" s="56">
        <v>3415</v>
      </c>
      <c r="I58" s="37" t="s">
        <v>88</v>
      </c>
      <c r="J58" s="34">
        <v>1498</v>
      </c>
      <c r="K58" s="116">
        <v>1323.9955</v>
      </c>
      <c r="L58" s="114">
        <v>3415</v>
      </c>
      <c r="M58" s="114">
        <v>3415</v>
      </c>
      <c r="N58" s="114">
        <v>243</v>
      </c>
      <c r="O58" s="114">
        <v>1878.2500000000002</v>
      </c>
      <c r="P58" s="114">
        <v>1878</v>
      </c>
      <c r="Q58" s="114">
        <v>1171</v>
      </c>
      <c r="R58" s="114">
        <v>0</v>
      </c>
      <c r="S58" s="114">
        <v>1366</v>
      </c>
      <c r="T58" s="196">
        <v>0</v>
      </c>
      <c r="U58" s="52">
        <f>IFERROR(INDEX(tblPiNAnalysis[[Site Management ]], MATCH(tblPiNHistorical[[#This Row],[ID]], tblPiNAnalysis[ID], 0)), "")</f>
        <v>0</v>
      </c>
      <c r="V58" s="52">
        <f>IFERROR(INDEX(tblPiNAnalysis[Education], MATCH(tblPiNHistorical[[#This Row],[ID]], tblPiNAnalysis[ID], 0)), "")</f>
        <v>0</v>
      </c>
      <c r="W58" s="28">
        <f>IFERROR(INDEX(tblPiNAnalysis[Food Security and Livlihoods], MATCH(tblPiNHistorical[[#This Row],[ID]], tblPiNAnalysis[ID], 0)), "")</f>
        <v>0</v>
      </c>
      <c r="X58" s="28">
        <f>IFERROR(INDEX(tblPiNAnalysis[[Health ]], MATCH(tblPiNHistorical[[#This Row],[ID]], tblPiNAnalysis[ID], 0)), "")</f>
        <v>0</v>
      </c>
      <c r="Y58" s="28">
        <f>IFERROR(INDEX(tblPiNAnalysis[Nutrition], MATCH(tblPiNHistorical[[#This Row],[ID]], tblPiNAnalysis[ID], 0)), "")</f>
        <v>0</v>
      </c>
      <c r="Z58" s="28">
        <f>IFERROR(INDEX(tblPiNAnalysis[Protection], MATCH(tblPiNHistorical[[#This Row],[ID]], tblPiNAnalysis[ID], 0)), "")</f>
        <v>0</v>
      </c>
      <c r="AA58" s="28">
        <f>IFERROR(INDEX(tblPiNAnalysis[CP], MATCH(tblPiNHistorical[[#This Row],[ID]], tblPiNAnalysis[ID], 0)), "")</f>
        <v>0</v>
      </c>
      <c r="AB58" s="83">
        <f>IFERROR(INDEX(tblPiNAnalysis[GBV], MATCH(tblPiNHistorical[[#This Row],[ID]], tblPiNAnalysis[ID], 0)), "")</f>
        <v>0</v>
      </c>
      <c r="AC58" s="28">
        <f>IFERROR(INDEX(tblPiNAnalysis[Mine Action], MATCH(tblPiNHistorical[[#This Row],[ID]], tblPiNAnalysis[ID], 0)), "")</f>
        <v>0</v>
      </c>
      <c r="AD58" s="83">
        <f>IFERROR(INDEX(tblPiNAnalysis[[Shelter NFI ]], MATCH(tblPiNHistorical[[#This Row],[ID]], tblPiNAnalysis[ID], 0)), "")</f>
        <v>871</v>
      </c>
      <c r="AE58" s="35">
        <f>IFERROR(INDEX(tblPiNAnalysis[WASH], MATCH(tblPiNHistorical[[#This Row],[ID]], tblPiNAnalysis[ID], 0)), "")</f>
        <v>0</v>
      </c>
      <c r="AF58" s="6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58" s="67" t="str">
        <f>IF(OR(tblPiNHistorical[[#This Row],[Education Old]]="", tblPiNHistorical[[#This Row],[Education Old]]=0, tblPiNHistorical[[#This Row],[Education New]]="", tblPiNHistorical[[#This Row],[Education New]]=0), "", tblPiNHistorical[[#This Row],[Education New]]-tblPiNHistorical[[#This Row],[Education Old]])</f>
        <v/>
      </c>
      <c r="AH58" s="67"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58" s="67" t="str">
        <f>IF(OR(tblPiNHistorical[[#This Row],[Health Old]]="", tblPiNHistorical[[#This Row],[Health Old]]=0, tblPiNHistorical[[#This Row],[Health New]]="", tblPiNHistorical[[#This Row],[Health New]]=0), "", tblPiNHistorical[[#This Row],[Health New]]-tblPiNHistorical[[#This Row],[Health Old]])</f>
        <v/>
      </c>
      <c r="AJ58" s="67" t="str">
        <f>IF(OR(tblPiNHistorical[[#This Row],[Nutrition Old]]="", tblPiNHistorical[[#This Row],[Nutrition Old]]=0, tblPiNHistorical[[#This Row],[Nutrition New]]="", tblPiNHistorical[[#This Row],[Nutrition New]]=0), "", tblPiNHistorical[[#This Row],[Nutrition New]]-tblPiNHistorical[[#This Row],[Nutrition Old]])</f>
        <v/>
      </c>
      <c r="AK58" s="67" t="str">
        <f>IF(OR(tblPiNHistorical[[#This Row],[Protection Old]]="", tblPiNHistorical[[#This Row],[Protection Old]]=0, tblPiNHistorical[[#This Row],[Protection New]]="", tblPiNHistorical[[#This Row],[Protection New]]=0), "", tblPiNHistorical[[#This Row],[Protection New]]-tblPiNHistorical[[#This Row],[Protection Old]])</f>
        <v/>
      </c>
      <c r="AL58" s="67" t="str">
        <f>IF(OR(tblPiNHistorical[[#This Row],[CP Old ]]="", tblPiNHistorical[[#This Row],[CP Old ]]=0, tblPiNHistorical[[#This Row],[CP New]]="", tblPiNHistorical[[#This Row],[CP New]]=0), "", tblPiNHistorical[[#This Row],[CP New]]-tblPiNHistorical[[#This Row],[CP Old ]])</f>
        <v/>
      </c>
      <c r="AM58" s="83" t="str">
        <f>IF(OR(tblPiNHistorical[[#This Row],[GBV Old]]="", tblPiNHistorical[[#This Row],[GBV Old]]=0, tblPiNHistorical[[#This Row],[GBV New]]="", tblPiNHistorical[[#This Row],[GBV New]]=0), "", tblPiNHistorical[[#This Row],[GBV New]]-tblPiNHistorical[[#This Row],[GBV Old]])</f>
        <v/>
      </c>
      <c r="AN58" s="83" t="str">
        <f>IF(OR(tblPiNHistorical[[#This Row],[Mine Action Old]]="", tblPiNHistorical[[#This Row],[Mine Action Old]]=0, tblPiNHistorical[[#This Row],[Mine Action New]]="", tblPiNHistorical[[#This Row],[Mine Action New]]=0), "", tblPiNHistorical[[#This Row],[Mine Action New]]-tblPiNHistorical[[#This Row],[Mine Action Old]])</f>
        <v/>
      </c>
      <c r="AO58" s="67">
        <f>IF(OR(tblPiNHistorical[[#This Row],[Shelter NFI Old]]="", tblPiNHistorical[[#This Row],[Shelter NFI Old]]=0, tblPiNHistorical[[#This Row],[Shelter NFI New]]="", tblPiNHistorical[[#This Row],[Shelter NFI New]]=0), "", tblPiNHistorical[[#This Row],[Shelter NFI New]]-tblPiNHistorical[[#This Row],[Shelter NFI Old]])</f>
        <v>-495</v>
      </c>
      <c r="AP58" s="111" t="str">
        <f>IF(OR(tblPiNHistorical[[#This Row],[WASH Old]]="", tblPiNHistorical[[#This Row],[WASH Old]]=0, tblPiNHistorical[[#This Row],[WASH New]]="", tblPiNHistorical[[#This Row],[WASH New]]=0), "", tblPiNHistorical[[#This Row],[WASH New]]-tblPiNHistorical[[#This Row],[WASH Old]])</f>
        <v/>
      </c>
      <c r="AQ58" s="110">
        <f>IFERROR(ROUND((tblPiNHistorical[[#This Row],[Site Management - New]] - tblPiNHistorical[[#This Row],[Site Management - Old]])/tblPiNHistorical[[#This Row],[Site Management - Old]], 1), "")</f>
        <v>-1</v>
      </c>
      <c r="AR58" s="66">
        <f>IFERROR(ROUND((tblPiNHistorical[[#This Row],[Education New]]-tblPiNHistorical[[#This Row],[Education Old]])/tblPiNHistorical[[#This Row],[Education Old]], 1), "")</f>
        <v>-1</v>
      </c>
      <c r="AS58" s="66">
        <f>IFERROR(ROUND((tblPiNHistorical[[#This Row],[Food Security and Livlihoods New]]-tblPiNHistorical[[#This Row],[Food Security and Livlihoods Old]])/tblPiNHistorical[[#This Row],[Food Security and Livlihoods Old]], 1), "")</f>
        <v>-1</v>
      </c>
      <c r="AT58" s="66">
        <f>IFERROR(ROUND((tblPiNHistorical[[#This Row],[Health New]]-tblPiNHistorical[[#This Row],[Health Old]])/tblPiNHistorical[[#This Row],[Health Old]], 1), "")</f>
        <v>-1</v>
      </c>
      <c r="AU58" s="66">
        <f>IFERROR(ROUND((tblPiNHistorical[[#This Row],[Nutrition New]]-tblPiNHistorical[[#This Row],[Nutrition Old]])/tblPiNHistorical[[#This Row],[Nutrition Old]], 1), "")</f>
        <v>-1</v>
      </c>
      <c r="AV58" s="66">
        <f>IFERROR(ROUND((tblPiNHistorical[[#This Row],[Protection New]]-tblPiNHistorical[[#This Row],[Protection Old]])/tblPiNHistorical[[#This Row],[Protection Old]], 1), "")</f>
        <v>-1</v>
      </c>
      <c r="AW58" s="84">
        <f>IFERROR(ROUND((tblPiNHistorical[[#This Row],[CP New]]-tblPiNHistorical[[#This Row],[CP Old ]])/tblPiNHistorical[[#This Row],[CP Old ]], 1), "")</f>
        <v>-1</v>
      </c>
      <c r="AX58" s="84">
        <f>IFERROR(ROUND((tblPiNHistorical[[#This Row],[GBV New]]-tblPiNHistorical[[#This Row],[GBV Old]])/tblPiNHistorical[[#This Row],[GBV Old]], 1), "")</f>
        <v>-1</v>
      </c>
      <c r="AY58" s="84" t="str">
        <f>IFERROR(ROUND((tblPiNHistorical[[#This Row],[Mine Action New]]-tblPiNHistorical[[#This Row],[Mine Action Old]])/tblPiNHistorical[[#This Row],[Mine Action Old]], 1), "")</f>
        <v/>
      </c>
      <c r="AZ58" s="66">
        <f>IFERROR(ROUND((tblPiNHistorical[[#This Row],[Shelter NFI New]]-tblPiNHistorical[[#This Row],[Shelter NFI Old]])/tblPiNHistorical[[#This Row],[Shelter NFI Old]], 1), "")</f>
        <v>-0.4</v>
      </c>
      <c r="BA58" s="36" t="str">
        <f>IFERROR(ROUND((tblPiNHistorical[[#This Row],[WASH New]]-tblPiNHistorical[[#This Row],[WASH Old]])/tblPiNHistorical[[#This Row],[WASH Old]], 1), "")</f>
        <v/>
      </c>
      <c r="BB58"/>
      <c r="BC58"/>
      <c r="BD58"/>
      <c r="BE58"/>
      <c r="BF58"/>
      <c r="BG58"/>
      <c r="BH58"/>
      <c r="BI58"/>
      <c r="BL58"/>
      <c r="BN58"/>
      <c r="BO58"/>
      <c r="BP58"/>
    </row>
    <row r="59" spans="1:68" x14ac:dyDescent="0.25">
      <c r="A59"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IDPsSD11059</v>
      </c>
      <c r="B59" s="127" t="s">
        <v>161</v>
      </c>
      <c r="C59" s="60" t="s">
        <v>128</v>
      </c>
      <c r="D59" s="60" t="s">
        <v>436</v>
      </c>
      <c r="E59" s="60" t="s">
        <v>437</v>
      </c>
      <c r="F59" s="54"/>
      <c r="G59" s="30"/>
      <c r="H59" s="56">
        <v>1855</v>
      </c>
      <c r="I59" s="37" t="s">
        <v>88</v>
      </c>
      <c r="J59" s="34">
        <v>1000</v>
      </c>
      <c r="K59" s="116">
        <v>719.18349999999998</v>
      </c>
      <c r="L59" s="114">
        <v>1855</v>
      </c>
      <c r="M59" s="114">
        <v>1855</v>
      </c>
      <c r="N59" s="114">
        <v>231</v>
      </c>
      <c r="O59" s="114">
        <v>1020.2500000000001</v>
      </c>
      <c r="P59" s="114">
        <v>1020</v>
      </c>
      <c r="Q59" s="114">
        <v>0</v>
      </c>
      <c r="R59" s="114">
        <v>0</v>
      </c>
      <c r="S59" s="114">
        <v>742</v>
      </c>
      <c r="T59" s="196">
        <v>0</v>
      </c>
      <c r="U59" s="52">
        <f>IFERROR(INDEX(tblPiNAnalysis[[Site Management ]], MATCH(tblPiNHistorical[[#This Row],[ID]], tblPiNAnalysis[ID], 0)), "")</f>
        <v>0</v>
      </c>
      <c r="V59" s="52">
        <f>IFERROR(INDEX(tblPiNAnalysis[Education], MATCH(tblPiNHistorical[[#This Row],[ID]], tblPiNAnalysis[ID], 0)), "")</f>
        <v>0</v>
      </c>
      <c r="W59" s="28">
        <f>IFERROR(INDEX(tblPiNAnalysis[Food Security and Livlihoods], MATCH(tblPiNHistorical[[#This Row],[ID]], tblPiNAnalysis[ID], 0)), "")</f>
        <v>0</v>
      </c>
      <c r="X59" s="28">
        <f>IFERROR(INDEX(tblPiNAnalysis[[Health ]], MATCH(tblPiNHistorical[[#This Row],[ID]], tblPiNAnalysis[ID], 0)), "")</f>
        <v>0</v>
      </c>
      <c r="Y59" s="28">
        <f>IFERROR(INDEX(tblPiNAnalysis[Nutrition], MATCH(tblPiNHistorical[[#This Row],[ID]], tblPiNAnalysis[ID], 0)), "")</f>
        <v>0</v>
      </c>
      <c r="Z59" s="28">
        <f>IFERROR(INDEX(tblPiNAnalysis[Protection], MATCH(tblPiNHistorical[[#This Row],[ID]], tblPiNAnalysis[ID], 0)), "")</f>
        <v>0</v>
      </c>
      <c r="AA59" s="28">
        <f>IFERROR(INDEX(tblPiNAnalysis[CP], MATCH(tblPiNHistorical[[#This Row],[ID]], tblPiNAnalysis[ID], 0)), "")</f>
        <v>0</v>
      </c>
      <c r="AB59" s="83">
        <f>IFERROR(INDEX(tblPiNAnalysis[GBV], MATCH(tblPiNHistorical[[#This Row],[ID]], tblPiNAnalysis[ID], 0)), "")</f>
        <v>0</v>
      </c>
      <c r="AC59" s="28">
        <f>IFERROR(INDEX(tblPiNAnalysis[Mine Action], MATCH(tblPiNHistorical[[#This Row],[ID]], tblPiNAnalysis[ID], 0)), "")</f>
        <v>0</v>
      </c>
      <c r="AD59" s="83">
        <f>IFERROR(INDEX(tblPiNAnalysis[[Shelter NFI ]], MATCH(tblPiNHistorical[[#This Row],[ID]], tblPiNAnalysis[ID], 0)), "")</f>
        <v>2167</v>
      </c>
      <c r="AE59" s="35">
        <f>IFERROR(INDEX(tblPiNAnalysis[WASH], MATCH(tblPiNHistorical[[#This Row],[ID]], tblPiNAnalysis[ID], 0)), "")</f>
        <v>0</v>
      </c>
      <c r="AF59" s="6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59" s="67" t="str">
        <f>IF(OR(tblPiNHistorical[[#This Row],[Education Old]]="", tblPiNHistorical[[#This Row],[Education Old]]=0, tblPiNHistorical[[#This Row],[Education New]]="", tblPiNHistorical[[#This Row],[Education New]]=0), "", tblPiNHistorical[[#This Row],[Education New]]-tblPiNHistorical[[#This Row],[Education Old]])</f>
        <v/>
      </c>
      <c r="AH59" s="67"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59" s="67" t="str">
        <f>IF(OR(tblPiNHistorical[[#This Row],[Health Old]]="", tblPiNHistorical[[#This Row],[Health Old]]=0, tblPiNHistorical[[#This Row],[Health New]]="", tblPiNHistorical[[#This Row],[Health New]]=0), "", tblPiNHistorical[[#This Row],[Health New]]-tblPiNHistorical[[#This Row],[Health Old]])</f>
        <v/>
      </c>
      <c r="AJ59" s="67" t="str">
        <f>IF(OR(tblPiNHistorical[[#This Row],[Nutrition Old]]="", tblPiNHistorical[[#This Row],[Nutrition Old]]=0, tblPiNHistorical[[#This Row],[Nutrition New]]="", tblPiNHistorical[[#This Row],[Nutrition New]]=0), "", tblPiNHistorical[[#This Row],[Nutrition New]]-tblPiNHistorical[[#This Row],[Nutrition Old]])</f>
        <v/>
      </c>
      <c r="AK59" s="67" t="str">
        <f>IF(OR(tblPiNHistorical[[#This Row],[Protection Old]]="", tblPiNHistorical[[#This Row],[Protection Old]]=0, tblPiNHistorical[[#This Row],[Protection New]]="", tblPiNHistorical[[#This Row],[Protection New]]=0), "", tblPiNHistorical[[#This Row],[Protection New]]-tblPiNHistorical[[#This Row],[Protection Old]])</f>
        <v/>
      </c>
      <c r="AL59" s="67" t="str">
        <f>IF(OR(tblPiNHistorical[[#This Row],[CP Old ]]="", tblPiNHistorical[[#This Row],[CP Old ]]=0, tblPiNHistorical[[#This Row],[CP New]]="", tblPiNHistorical[[#This Row],[CP New]]=0), "", tblPiNHistorical[[#This Row],[CP New]]-tblPiNHistorical[[#This Row],[CP Old ]])</f>
        <v/>
      </c>
      <c r="AM59" s="83" t="str">
        <f>IF(OR(tblPiNHistorical[[#This Row],[GBV Old]]="", tblPiNHistorical[[#This Row],[GBV Old]]=0, tblPiNHistorical[[#This Row],[GBV New]]="", tblPiNHistorical[[#This Row],[GBV New]]=0), "", tblPiNHistorical[[#This Row],[GBV New]]-tblPiNHistorical[[#This Row],[GBV Old]])</f>
        <v/>
      </c>
      <c r="AN59" s="83" t="str">
        <f>IF(OR(tblPiNHistorical[[#This Row],[Mine Action Old]]="", tblPiNHistorical[[#This Row],[Mine Action Old]]=0, tblPiNHistorical[[#This Row],[Mine Action New]]="", tblPiNHistorical[[#This Row],[Mine Action New]]=0), "", tblPiNHistorical[[#This Row],[Mine Action New]]-tblPiNHistorical[[#This Row],[Mine Action Old]])</f>
        <v/>
      </c>
      <c r="AO59" s="67">
        <f>IF(OR(tblPiNHistorical[[#This Row],[Shelter NFI Old]]="", tblPiNHistorical[[#This Row],[Shelter NFI Old]]=0, tblPiNHistorical[[#This Row],[Shelter NFI New]]="", tblPiNHistorical[[#This Row],[Shelter NFI New]]=0), "", tblPiNHistorical[[#This Row],[Shelter NFI New]]-tblPiNHistorical[[#This Row],[Shelter NFI Old]])</f>
        <v>1425</v>
      </c>
      <c r="AP59" s="111" t="str">
        <f>IF(OR(tblPiNHistorical[[#This Row],[WASH Old]]="", tblPiNHistorical[[#This Row],[WASH Old]]=0, tblPiNHistorical[[#This Row],[WASH New]]="", tblPiNHistorical[[#This Row],[WASH New]]=0), "", tblPiNHistorical[[#This Row],[WASH New]]-tblPiNHistorical[[#This Row],[WASH Old]])</f>
        <v/>
      </c>
      <c r="AQ59" s="110">
        <f>IFERROR(ROUND((tblPiNHistorical[[#This Row],[Site Management - New]] - tblPiNHistorical[[#This Row],[Site Management - Old]])/tblPiNHistorical[[#This Row],[Site Management - Old]], 1), "")</f>
        <v>-1</v>
      </c>
      <c r="AR59" s="66">
        <f>IFERROR(ROUND((tblPiNHistorical[[#This Row],[Education New]]-tblPiNHistorical[[#This Row],[Education Old]])/tblPiNHistorical[[#This Row],[Education Old]], 1), "")</f>
        <v>-1</v>
      </c>
      <c r="AS59" s="66">
        <f>IFERROR(ROUND((tblPiNHistorical[[#This Row],[Food Security and Livlihoods New]]-tblPiNHistorical[[#This Row],[Food Security and Livlihoods Old]])/tblPiNHistorical[[#This Row],[Food Security and Livlihoods Old]], 1), "")</f>
        <v>-1</v>
      </c>
      <c r="AT59" s="66">
        <f>IFERROR(ROUND((tblPiNHistorical[[#This Row],[Health New]]-tblPiNHistorical[[#This Row],[Health Old]])/tblPiNHistorical[[#This Row],[Health Old]], 1), "")</f>
        <v>-1</v>
      </c>
      <c r="AU59" s="66">
        <f>IFERROR(ROUND((tblPiNHistorical[[#This Row],[Nutrition New]]-tblPiNHistorical[[#This Row],[Nutrition Old]])/tblPiNHistorical[[#This Row],[Nutrition Old]], 1), "")</f>
        <v>-1</v>
      </c>
      <c r="AV59" s="66">
        <f>IFERROR(ROUND((tblPiNHistorical[[#This Row],[Protection New]]-tblPiNHistorical[[#This Row],[Protection Old]])/tblPiNHistorical[[#This Row],[Protection Old]], 1), "")</f>
        <v>-1</v>
      </c>
      <c r="AW59" s="84">
        <f>IFERROR(ROUND((tblPiNHistorical[[#This Row],[CP New]]-tblPiNHistorical[[#This Row],[CP Old ]])/tblPiNHistorical[[#This Row],[CP Old ]], 1), "")</f>
        <v>-1</v>
      </c>
      <c r="AX59" s="84" t="str">
        <f>IFERROR(ROUND((tblPiNHistorical[[#This Row],[GBV New]]-tblPiNHistorical[[#This Row],[GBV Old]])/tblPiNHistorical[[#This Row],[GBV Old]], 1), "")</f>
        <v/>
      </c>
      <c r="AY59" s="84" t="str">
        <f>IFERROR(ROUND((tblPiNHistorical[[#This Row],[Mine Action New]]-tblPiNHistorical[[#This Row],[Mine Action Old]])/tblPiNHistorical[[#This Row],[Mine Action Old]], 1), "")</f>
        <v/>
      </c>
      <c r="AZ59" s="66">
        <f>IFERROR(ROUND((tblPiNHistorical[[#This Row],[Shelter NFI New]]-tblPiNHistorical[[#This Row],[Shelter NFI Old]])/tblPiNHistorical[[#This Row],[Shelter NFI Old]], 1), "")</f>
        <v>1.9</v>
      </c>
      <c r="BA59" s="36" t="str">
        <f>IFERROR(ROUND((tblPiNHistorical[[#This Row],[WASH New]]-tblPiNHistorical[[#This Row],[WASH Old]])/tblPiNHistorical[[#This Row],[WASH Old]], 1), "")</f>
        <v/>
      </c>
      <c r="BB59"/>
      <c r="BC59"/>
      <c r="BD59"/>
      <c r="BE59"/>
      <c r="BF59"/>
      <c r="BG59"/>
      <c r="BH59"/>
      <c r="BI59"/>
      <c r="BL59"/>
      <c r="BN59"/>
      <c r="BO59"/>
      <c r="BP59"/>
    </row>
    <row r="60" spans="1:68" ht="30" x14ac:dyDescent="0.25">
      <c r="A60"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IDPsSD11061</v>
      </c>
      <c r="B60" s="127" t="s">
        <v>161</v>
      </c>
      <c r="C60" s="60" t="s">
        <v>128</v>
      </c>
      <c r="D60" s="60" t="s">
        <v>440</v>
      </c>
      <c r="E60" s="60" t="s">
        <v>441</v>
      </c>
      <c r="F60" s="54"/>
      <c r="G60" s="30"/>
      <c r="H60" s="56">
        <v>0</v>
      </c>
      <c r="I60" s="37" t="s">
        <v>88</v>
      </c>
      <c r="J60" s="34">
        <v>0</v>
      </c>
      <c r="K60" s="116">
        <v>0</v>
      </c>
      <c r="L60" s="114">
        <v>0</v>
      </c>
      <c r="M60" s="114">
        <v>0</v>
      </c>
      <c r="N60" s="114">
        <v>0</v>
      </c>
      <c r="O60" s="114">
        <v>0</v>
      </c>
      <c r="P60" s="114">
        <v>0</v>
      </c>
      <c r="Q60" s="114">
        <v>0</v>
      </c>
      <c r="R60" s="114">
        <v>0</v>
      </c>
      <c r="S60" s="114">
        <v>0</v>
      </c>
      <c r="T60" s="196">
        <v>0</v>
      </c>
      <c r="U60" s="52">
        <f>IFERROR(INDEX(tblPiNAnalysis[[Site Management ]], MATCH(tblPiNHistorical[[#This Row],[ID]], tblPiNAnalysis[ID], 0)), "")</f>
        <v>0</v>
      </c>
      <c r="V60" s="52">
        <f>IFERROR(INDEX(tblPiNAnalysis[Education], MATCH(tblPiNHistorical[[#This Row],[ID]], tblPiNAnalysis[ID], 0)), "")</f>
        <v>0</v>
      </c>
      <c r="W60" s="28">
        <f>IFERROR(INDEX(tblPiNAnalysis[Food Security and Livlihoods], MATCH(tblPiNHistorical[[#This Row],[ID]], tblPiNAnalysis[ID], 0)), "")</f>
        <v>0</v>
      </c>
      <c r="X60" s="28">
        <f>IFERROR(INDEX(tblPiNAnalysis[[Health ]], MATCH(tblPiNHistorical[[#This Row],[ID]], tblPiNAnalysis[ID], 0)), "")</f>
        <v>0</v>
      </c>
      <c r="Y60" s="28">
        <f>IFERROR(INDEX(tblPiNAnalysis[Nutrition], MATCH(tblPiNHistorical[[#This Row],[ID]], tblPiNAnalysis[ID], 0)), "")</f>
        <v>0</v>
      </c>
      <c r="Z60" s="28">
        <f>IFERROR(INDEX(tblPiNAnalysis[Protection], MATCH(tblPiNHistorical[[#This Row],[ID]], tblPiNAnalysis[ID], 0)), "")</f>
        <v>0</v>
      </c>
      <c r="AA60" s="28">
        <f>IFERROR(INDEX(tblPiNAnalysis[CP], MATCH(tblPiNHistorical[[#This Row],[ID]], tblPiNAnalysis[ID], 0)), "")</f>
        <v>0</v>
      </c>
      <c r="AB60" s="83">
        <f>IFERROR(INDEX(tblPiNAnalysis[GBV], MATCH(tblPiNHistorical[[#This Row],[ID]], tblPiNAnalysis[ID], 0)), "")</f>
        <v>0</v>
      </c>
      <c r="AC60" s="28">
        <f>IFERROR(INDEX(tblPiNAnalysis[Mine Action], MATCH(tblPiNHistorical[[#This Row],[ID]], tblPiNAnalysis[ID], 0)), "")</f>
        <v>0</v>
      </c>
      <c r="AD60" s="83">
        <f>IFERROR(INDEX(tblPiNAnalysis[[Shelter NFI ]], MATCH(tblPiNHistorical[[#This Row],[ID]], tblPiNAnalysis[ID], 0)), "")</f>
        <v>0</v>
      </c>
      <c r="AE60" s="35">
        <f>IFERROR(INDEX(tblPiNAnalysis[WASH], MATCH(tblPiNHistorical[[#This Row],[ID]], tblPiNAnalysis[ID], 0)), "")</f>
        <v>0</v>
      </c>
      <c r="AF60" s="6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60" s="67" t="str">
        <f>IF(OR(tblPiNHistorical[[#This Row],[Education Old]]="", tblPiNHistorical[[#This Row],[Education Old]]=0, tblPiNHistorical[[#This Row],[Education New]]="", tblPiNHistorical[[#This Row],[Education New]]=0), "", tblPiNHistorical[[#This Row],[Education New]]-tblPiNHistorical[[#This Row],[Education Old]])</f>
        <v/>
      </c>
      <c r="AH60" s="67"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60" s="67" t="str">
        <f>IF(OR(tblPiNHistorical[[#This Row],[Health Old]]="", tblPiNHistorical[[#This Row],[Health Old]]=0, tblPiNHistorical[[#This Row],[Health New]]="", tblPiNHistorical[[#This Row],[Health New]]=0), "", tblPiNHistorical[[#This Row],[Health New]]-tblPiNHistorical[[#This Row],[Health Old]])</f>
        <v/>
      </c>
      <c r="AJ60" s="67" t="str">
        <f>IF(OR(tblPiNHistorical[[#This Row],[Nutrition Old]]="", tblPiNHistorical[[#This Row],[Nutrition Old]]=0, tblPiNHistorical[[#This Row],[Nutrition New]]="", tblPiNHistorical[[#This Row],[Nutrition New]]=0), "", tblPiNHistorical[[#This Row],[Nutrition New]]-tblPiNHistorical[[#This Row],[Nutrition Old]])</f>
        <v/>
      </c>
      <c r="AK60" s="67" t="str">
        <f>IF(OR(tblPiNHistorical[[#This Row],[Protection Old]]="", tblPiNHistorical[[#This Row],[Protection Old]]=0, tblPiNHistorical[[#This Row],[Protection New]]="", tblPiNHistorical[[#This Row],[Protection New]]=0), "", tblPiNHistorical[[#This Row],[Protection New]]-tblPiNHistorical[[#This Row],[Protection Old]])</f>
        <v/>
      </c>
      <c r="AL60" s="67" t="str">
        <f>IF(OR(tblPiNHistorical[[#This Row],[CP Old ]]="", tblPiNHistorical[[#This Row],[CP Old ]]=0, tblPiNHistorical[[#This Row],[CP New]]="", tblPiNHistorical[[#This Row],[CP New]]=0), "", tblPiNHistorical[[#This Row],[CP New]]-tblPiNHistorical[[#This Row],[CP Old ]])</f>
        <v/>
      </c>
      <c r="AM60" s="83" t="str">
        <f>IF(OR(tblPiNHistorical[[#This Row],[GBV Old]]="", tblPiNHistorical[[#This Row],[GBV Old]]=0, tblPiNHistorical[[#This Row],[GBV New]]="", tblPiNHistorical[[#This Row],[GBV New]]=0), "", tblPiNHistorical[[#This Row],[GBV New]]-tblPiNHistorical[[#This Row],[GBV Old]])</f>
        <v/>
      </c>
      <c r="AN60" s="83" t="str">
        <f>IF(OR(tblPiNHistorical[[#This Row],[Mine Action Old]]="", tblPiNHistorical[[#This Row],[Mine Action Old]]=0, tblPiNHistorical[[#This Row],[Mine Action New]]="", tblPiNHistorical[[#This Row],[Mine Action New]]=0), "", tblPiNHistorical[[#This Row],[Mine Action New]]-tblPiNHistorical[[#This Row],[Mine Action Old]])</f>
        <v/>
      </c>
      <c r="AO60" s="67" t="str">
        <f>IF(OR(tblPiNHistorical[[#This Row],[Shelter NFI Old]]="", tblPiNHistorical[[#This Row],[Shelter NFI Old]]=0, tblPiNHistorical[[#This Row],[Shelter NFI New]]="", tblPiNHistorical[[#This Row],[Shelter NFI New]]=0), "", tblPiNHistorical[[#This Row],[Shelter NFI New]]-tblPiNHistorical[[#This Row],[Shelter NFI Old]])</f>
        <v/>
      </c>
      <c r="AP60" s="111" t="str">
        <f>IF(OR(tblPiNHistorical[[#This Row],[WASH Old]]="", tblPiNHistorical[[#This Row],[WASH Old]]=0, tblPiNHistorical[[#This Row],[WASH New]]="", tblPiNHistorical[[#This Row],[WASH New]]=0), "", tblPiNHistorical[[#This Row],[WASH New]]-tblPiNHistorical[[#This Row],[WASH Old]])</f>
        <v/>
      </c>
      <c r="AQ60" s="110" t="str">
        <f>IFERROR(ROUND((tblPiNHistorical[[#This Row],[Site Management - New]] - tblPiNHistorical[[#This Row],[Site Management - Old]])/tblPiNHistorical[[#This Row],[Site Management - Old]], 1), "")</f>
        <v/>
      </c>
      <c r="AR60" s="66" t="str">
        <f>IFERROR(ROUND((tblPiNHistorical[[#This Row],[Education New]]-tblPiNHistorical[[#This Row],[Education Old]])/tblPiNHistorical[[#This Row],[Education Old]], 1), "")</f>
        <v/>
      </c>
      <c r="AS60" s="66" t="str">
        <f>IFERROR(ROUND((tblPiNHistorical[[#This Row],[Food Security and Livlihoods New]]-tblPiNHistorical[[#This Row],[Food Security and Livlihoods Old]])/tblPiNHistorical[[#This Row],[Food Security and Livlihoods Old]], 1), "")</f>
        <v/>
      </c>
      <c r="AT60" s="66" t="str">
        <f>IFERROR(ROUND((tblPiNHistorical[[#This Row],[Health New]]-tblPiNHistorical[[#This Row],[Health Old]])/tblPiNHistorical[[#This Row],[Health Old]], 1), "")</f>
        <v/>
      </c>
      <c r="AU60" s="66" t="str">
        <f>IFERROR(ROUND((tblPiNHistorical[[#This Row],[Nutrition New]]-tblPiNHistorical[[#This Row],[Nutrition Old]])/tblPiNHistorical[[#This Row],[Nutrition Old]], 1), "")</f>
        <v/>
      </c>
      <c r="AV60" s="66" t="str">
        <f>IFERROR(ROUND((tblPiNHistorical[[#This Row],[Protection New]]-tblPiNHistorical[[#This Row],[Protection Old]])/tblPiNHistorical[[#This Row],[Protection Old]], 1), "")</f>
        <v/>
      </c>
      <c r="AW60" s="84" t="str">
        <f>IFERROR(ROUND((tblPiNHistorical[[#This Row],[CP New]]-tblPiNHistorical[[#This Row],[CP Old ]])/tblPiNHistorical[[#This Row],[CP Old ]], 1), "")</f>
        <v/>
      </c>
      <c r="AX60" s="84" t="str">
        <f>IFERROR(ROUND((tblPiNHistorical[[#This Row],[GBV New]]-tblPiNHistorical[[#This Row],[GBV Old]])/tblPiNHistorical[[#This Row],[GBV Old]], 1), "")</f>
        <v/>
      </c>
      <c r="AY60" s="84" t="str">
        <f>IFERROR(ROUND((tblPiNHistorical[[#This Row],[Mine Action New]]-tblPiNHistorical[[#This Row],[Mine Action Old]])/tblPiNHistorical[[#This Row],[Mine Action Old]], 1), "")</f>
        <v/>
      </c>
      <c r="AZ60" s="66" t="str">
        <f>IFERROR(ROUND((tblPiNHistorical[[#This Row],[Shelter NFI New]]-tblPiNHistorical[[#This Row],[Shelter NFI Old]])/tblPiNHistorical[[#This Row],[Shelter NFI Old]], 1), "")</f>
        <v/>
      </c>
      <c r="BA60" s="36" t="str">
        <f>IFERROR(ROUND((tblPiNHistorical[[#This Row],[WASH New]]-tblPiNHistorical[[#This Row],[WASH Old]])/tblPiNHistorical[[#This Row],[WASH Old]], 1), "")</f>
        <v/>
      </c>
      <c r="BB60"/>
      <c r="BC60"/>
      <c r="BD60"/>
      <c r="BE60"/>
      <c r="BF60"/>
      <c r="BG60"/>
      <c r="BH60"/>
      <c r="BI60"/>
      <c r="BL60"/>
      <c r="BN60"/>
      <c r="BO60"/>
      <c r="BP60"/>
    </row>
    <row r="61" spans="1:68" x14ac:dyDescent="0.25">
      <c r="A61"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IDPsSD01003</v>
      </c>
      <c r="B61" s="127" t="s">
        <v>164</v>
      </c>
      <c r="C61" s="60" t="s">
        <v>118</v>
      </c>
      <c r="D61" s="60" t="s">
        <v>327</v>
      </c>
      <c r="E61" s="60" t="s">
        <v>328</v>
      </c>
      <c r="F61" s="54"/>
      <c r="G61" s="30"/>
      <c r="H61" s="56">
        <v>4450</v>
      </c>
      <c r="I61" s="37" t="s">
        <v>88</v>
      </c>
      <c r="J61" s="34">
        <v>0</v>
      </c>
      <c r="K61" s="116">
        <v>1725.2649999999999</v>
      </c>
      <c r="L61" s="114">
        <v>4450</v>
      </c>
      <c r="M61" s="114">
        <v>4450</v>
      </c>
      <c r="N61" s="114">
        <v>468</v>
      </c>
      <c r="O61" s="114">
        <v>4450</v>
      </c>
      <c r="P61" s="114">
        <v>2448</v>
      </c>
      <c r="Q61" s="114">
        <v>2113</v>
      </c>
      <c r="R61" s="114">
        <v>3115</v>
      </c>
      <c r="S61" s="114">
        <v>3560</v>
      </c>
      <c r="T61" s="196">
        <v>3405.8519999999999</v>
      </c>
      <c r="U61" s="52">
        <f>IFERROR(INDEX(tblPiNAnalysis[[Site Management ]], MATCH(tblPiNHistorical[[#This Row],[ID]], tblPiNAnalysis[ID], 0)), "")</f>
        <v>0</v>
      </c>
      <c r="V61" s="52">
        <f>IFERROR(INDEX(tblPiNAnalysis[Education], MATCH(tblPiNHistorical[[#This Row],[ID]], tblPiNAnalysis[ID], 0)), "")</f>
        <v>0</v>
      </c>
      <c r="W61" s="28">
        <f>IFERROR(INDEX(tblPiNAnalysis[Food Security and Livlihoods], MATCH(tblPiNHistorical[[#This Row],[ID]], tblPiNAnalysis[ID], 0)), "")</f>
        <v>0</v>
      </c>
      <c r="X61" s="28">
        <f>IFERROR(INDEX(tblPiNAnalysis[[Health ]], MATCH(tblPiNHistorical[[#This Row],[ID]], tblPiNAnalysis[ID], 0)), "")</f>
        <v>0</v>
      </c>
      <c r="Y61" s="28">
        <f>IFERROR(INDEX(tblPiNAnalysis[Nutrition], MATCH(tblPiNHistorical[[#This Row],[ID]], tblPiNAnalysis[ID], 0)), "")</f>
        <v>0</v>
      </c>
      <c r="Z61" s="28">
        <f>IFERROR(INDEX(tblPiNAnalysis[Protection], MATCH(tblPiNHistorical[[#This Row],[ID]], tblPiNAnalysis[ID], 0)), "")</f>
        <v>0</v>
      </c>
      <c r="AA61" s="28">
        <f>IFERROR(INDEX(tblPiNAnalysis[CP], MATCH(tblPiNHistorical[[#This Row],[ID]], tblPiNAnalysis[ID], 0)), "")</f>
        <v>0</v>
      </c>
      <c r="AB61" s="83">
        <f>IFERROR(INDEX(tblPiNAnalysis[GBV], MATCH(tblPiNHistorical[[#This Row],[ID]], tblPiNAnalysis[ID], 0)), "")</f>
        <v>0</v>
      </c>
      <c r="AC61" s="28">
        <f>IFERROR(INDEX(tblPiNAnalysis[Mine Action], MATCH(tblPiNHistorical[[#This Row],[ID]], tblPiNAnalysis[ID], 0)), "")</f>
        <v>0</v>
      </c>
      <c r="AD61" s="83">
        <f>IFERROR(INDEX(tblPiNAnalysis[[Shelter NFI ]], MATCH(tblPiNHistorical[[#This Row],[ID]], tblPiNAnalysis[ID], 0)), "")</f>
        <v>6083</v>
      </c>
      <c r="AE61" s="35">
        <f>IFERROR(INDEX(tblPiNAnalysis[WASH], MATCH(tblPiNHistorical[[#This Row],[ID]], tblPiNAnalysis[ID], 0)), "")</f>
        <v>0</v>
      </c>
      <c r="AF61" s="6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61" s="67" t="str">
        <f>IF(OR(tblPiNHistorical[[#This Row],[Education Old]]="", tblPiNHistorical[[#This Row],[Education Old]]=0, tblPiNHistorical[[#This Row],[Education New]]="", tblPiNHistorical[[#This Row],[Education New]]=0), "", tblPiNHistorical[[#This Row],[Education New]]-tblPiNHistorical[[#This Row],[Education Old]])</f>
        <v/>
      </c>
      <c r="AH61" s="67"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61" s="67" t="str">
        <f>IF(OR(tblPiNHistorical[[#This Row],[Health Old]]="", tblPiNHistorical[[#This Row],[Health Old]]=0, tblPiNHistorical[[#This Row],[Health New]]="", tblPiNHistorical[[#This Row],[Health New]]=0), "", tblPiNHistorical[[#This Row],[Health New]]-tblPiNHistorical[[#This Row],[Health Old]])</f>
        <v/>
      </c>
      <c r="AJ61" s="67" t="str">
        <f>IF(OR(tblPiNHistorical[[#This Row],[Nutrition Old]]="", tblPiNHistorical[[#This Row],[Nutrition Old]]=0, tblPiNHistorical[[#This Row],[Nutrition New]]="", tblPiNHistorical[[#This Row],[Nutrition New]]=0), "", tblPiNHistorical[[#This Row],[Nutrition New]]-tblPiNHistorical[[#This Row],[Nutrition Old]])</f>
        <v/>
      </c>
      <c r="AK61" s="67" t="str">
        <f>IF(OR(tblPiNHistorical[[#This Row],[Protection Old]]="", tblPiNHistorical[[#This Row],[Protection Old]]=0, tblPiNHistorical[[#This Row],[Protection New]]="", tblPiNHistorical[[#This Row],[Protection New]]=0), "", tblPiNHistorical[[#This Row],[Protection New]]-tblPiNHistorical[[#This Row],[Protection Old]])</f>
        <v/>
      </c>
      <c r="AL61" s="67" t="str">
        <f>IF(OR(tblPiNHistorical[[#This Row],[CP Old ]]="", tblPiNHistorical[[#This Row],[CP Old ]]=0, tblPiNHistorical[[#This Row],[CP New]]="", tblPiNHistorical[[#This Row],[CP New]]=0), "", tblPiNHistorical[[#This Row],[CP New]]-tblPiNHistorical[[#This Row],[CP Old ]])</f>
        <v/>
      </c>
      <c r="AM61" s="83" t="str">
        <f>IF(OR(tblPiNHistorical[[#This Row],[GBV Old]]="", tblPiNHistorical[[#This Row],[GBV Old]]=0, tblPiNHistorical[[#This Row],[GBV New]]="", tblPiNHistorical[[#This Row],[GBV New]]=0), "", tblPiNHistorical[[#This Row],[GBV New]]-tblPiNHistorical[[#This Row],[GBV Old]])</f>
        <v/>
      </c>
      <c r="AN61" s="83" t="str">
        <f>IF(OR(tblPiNHistorical[[#This Row],[Mine Action Old]]="", tblPiNHistorical[[#This Row],[Mine Action Old]]=0, tblPiNHistorical[[#This Row],[Mine Action New]]="", tblPiNHistorical[[#This Row],[Mine Action New]]=0), "", tblPiNHistorical[[#This Row],[Mine Action New]]-tblPiNHistorical[[#This Row],[Mine Action Old]])</f>
        <v/>
      </c>
      <c r="AO61" s="67">
        <f>IF(OR(tblPiNHistorical[[#This Row],[Shelter NFI Old]]="", tblPiNHistorical[[#This Row],[Shelter NFI Old]]=0, tblPiNHistorical[[#This Row],[Shelter NFI New]]="", tblPiNHistorical[[#This Row],[Shelter NFI New]]=0), "", tblPiNHistorical[[#This Row],[Shelter NFI New]]-tblPiNHistorical[[#This Row],[Shelter NFI Old]])</f>
        <v>2523</v>
      </c>
      <c r="AP61" s="111" t="str">
        <f>IF(OR(tblPiNHistorical[[#This Row],[WASH Old]]="", tblPiNHistorical[[#This Row],[WASH Old]]=0, tblPiNHistorical[[#This Row],[WASH New]]="", tblPiNHistorical[[#This Row],[WASH New]]=0), "", tblPiNHistorical[[#This Row],[WASH New]]-tblPiNHistorical[[#This Row],[WASH Old]])</f>
        <v/>
      </c>
      <c r="AQ61" s="110" t="str">
        <f>IFERROR(ROUND((tblPiNHistorical[[#This Row],[Site Management - New]] - tblPiNHistorical[[#This Row],[Site Management - Old]])/tblPiNHistorical[[#This Row],[Site Management - Old]], 1), "")</f>
        <v/>
      </c>
      <c r="AR61" s="66">
        <f>IFERROR(ROUND((tblPiNHistorical[[#This Row],[Education New]]-tblPiNHistorical[[#This Row],[Education Old]])/tblPiNHistorical[[#This Row],[Education Old]], 1), "")</f>
        <v>-1</v>
      </c>
      <c r="AS61" s="66">
        <f>IFERROR(ROUND((tblPiNHistorical[[#This Row],[Food Security and Livlihoods New]]-tblPiNHistorical[[#This Row],[Food Security and Livlihoods Old]])/tblPiNHistorical[[#This Row],[Food Security and Livlihoods Old]], 1), "")</f>
        <v>-1</v>
      </c>
      <c r="AT61" s="66">
        <f>IFERROR(ROUND((tblPiNHistorical[[#This Row],[Health New]]-tblPiNHistorical[[#This Row],[Health Old]])/tblPiNHistorical[[#This Row],[Health Old]], 1), "")</f>
        <v>-1</v>
      </c>
      <c r="AU61" s="66">
        <f>IFERROR(ROUND((tblPiNHistorical[[#This Row],[Nutrition New]]-tblPiNHistorical[[#This Row],[Nutrition Old]])/tblPiNHistorical[[#This Row],[Nutrition Old]], 1), "")</f>
        <v>-1</v>
      </c>
      <c r="AV61" s="66">
        <f>IFERROR(ROUND((tblPiNHistorical[[#This Row],[Protection New]]-tblPiNHistorical[[#This Row],[Protection Old]])/tblPiNHistorical[[#This Row],[Protection Old]], 1), "")</f>
        <v>-1</v>
      </c>
      <c r="AW61" s="84">
        <f>IFERROR(ROUND((tblPiNHistorical[[#This Row],[CP New]]-tblPiNHistorical[[#This Row],[CP Old ]])/tblPiNHistorical[[#This Row],[CP Old ]], 1), "")</f>
        <v>-1</v>
      </c>
      <c r="AX61" s="84">
        <f>IFERROR(ROUND((tblPiNHistorical[[#This Row],[GBV New]]-tblPiNHistorical[[#This Row],[GBV Old]])/tblPiNHistorical[[#This Row],[GBV Old]], 1), "")</f>
        <v>-1</v>
      </c>
      <c r="AY61" s="84">
        <f>IFERROR(ROUND((tblPiNHistorical[[#This Row],[Mine Action New]]-tblPiNHistorical[[#This Row],[Mine Action Old]])/tblPiNHistorical[[#This Row],[Mine Action Old]], 1), "")</f>
        <v>-1</v>
      </c>
      <c r="AZ61" s="66">
        <f>IFERROR(ROUND((tblPiNHistorical[[#This Row],[Shelter NFI New]]-tblPiNHistorical[[#This Row],[Shelter NFI Old]])/tblPiNHistorical[[#This Row],[Shelter NFI Old]], 1), "")</f>
        <v>0.7</v>
      </c>
      <c r="BA61" s="36">
        <f>IFERROR(ROUND((tblPiNHistorical[[#This Row],[WASH New]]-tblPiNHistorical[[#This Row],[WASH Old]])/tblPiNHistorical[[#This Row],[WASH Old]], 1), "")</f>
        <v>-1</v>
      </c>
      <c r="BB61"/>
      <c r="BC61"/>
      <c r="BD61"/>
      <c r="BE61"/>
      <c r="BF61"/>
      <c r="BG61"/>
      <c r="BH61"/>
      <c r="BI61"/>
      <c r="BL61"/>
      <c r="BN61"/>
      <c r="BO61"/>
      <c r="BP61"/>
    </row>
    <row r="62" spans="1:68" x14ac:dyDescent="0.25">
      <c r="A62"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IDPsSD01001</v>
      </c>
      <c r="B62" s="127" t="s">
        <v>164</v>
      </c>
      <c r="C62" s="60" t="s">
        <v>118</v>
      </c>
      <c r="D62" s="60" t="s">
        <v>323</v>
      </c>
      <c r="E62" s="60" t="s">
        <v>324</v>
      </c>
      <c r="F62" s="54"/>
      <c r="G62" s="30"/>
      <c r="H62" s="56">
        <v>7380</v>
      </c>
      <c r="I62" s="37" t="s">
        <v>88</v>
      </c>
      <c r="J62" s="34">
        <v>0</v>
      </c>
      <c r="K62" s="116">
        <v>2861.2260000000001</v>
      </c>
      <c r="L62" s="114">
        <v>7380</v>
      </c>
      <c r="M62" s="114">
        <v>7380</v>
      </c>
      <c r="N62" s="114">
        <v>761</v>
      </c>
      <c r="O62" s="114">
        <v>7380</v>
      </c>
      <c r="P62" s="114">
        <v>4059</v>
      </c>
      <c r="Q62" s="114">
        <v>3505</v>
      </c>
      <c r="R62" s="114">
        <v>5166</v>
      </c>
      <c r="S62" s="114">
        <v>5904</v>
      </c>
      <c r="T62" s="196">
        <v>6015.880799999999</v>
      </c>
      <c r="U62" s="52">
        <f>IFERROR(INDEX(tblPiNAnalysis[[Site Management ]], MATCH(tblPiNHistorical[[#This Row],[ID]], tblPiNAnalysis[ID], 0)), "")</f>
        <v>0</v>
      </c>
      <c r="V62" s="52">
        <f>IFERROR(INDEX(tblPiNAnalysis[Education], MATCH(tblPiNHistorical[[#This Row],[ID]], tblPiNAnalysis[ID], 0)), "")</f>
        <v>0</v>
      </c>
      <c r="W62" s="28">
        <f>IFERROR(INDEX(tblPiNAnalysis[Food Security and Livlihoods], MATCH(tblPiNHistorical[[#This Row],[ID]], tblPiNAnalysis[ID], 0)), "")</f>
        <v>0</v>
      </c>
      <c r="X62" s="28">
        <f>IFERROR(INDEX(tblPiNAnalysis[[Health ]], MATCH(tblPiNHistorical[[#This Row],[ID]], tblPiNAnalysis[ID], 0)), "")</f>
        <v>0</v>
      </c>
      <c r="Y62" s="28">
        <f>IFERROR(INDEX(tblPiNAnalysis[Nutrition], MATCH(tblPiNHistorical[[#This Row],[ID]], tblPiNAnalysis[ID], 0)), "")</f>
        <v>0</v>
      </c>
      <c r="Z62" s="28">
        <f>IFERROR(INDEX(tblPiNAnalysis[Protection], MATCH(tblPiNHistorical[[#This Row],[ID]], tblPiNAnalysis[ID], 0)), "")</f>
        <v>0</v>
      </c>
      <c r="AA62" s="28">
        <f>IFERROR(INDEX(tblPiNAnalysis[CP], MATCH(tblPiNHistorical[[#This Row],[ID]], tblPiNAnalysis[ID], 0)), "")</f>
        <v>0</v>
      </c>
      <c r="AB62" s="83">
        <f>IFERROR(INDEX(tblPiNAnalysis[GBV], MATCH(tblPiNHistorical[[#This Row],[ID]], tblPiNAnalysis[ID], 0)), "")</f>
        <v>0</v>
      </c>
      <c r="AC62" s="28">
        <f>IFERROR(INDEX(tblPiNAnalysis[Mine Action], MATCH(tblPiNHistorical[[#This Row],[ID]], tblPiNAnalysis[ID], 0)), "")</f>
        <v>0</v>
      </c>
      <c r="AD62" s="83">
        <f>IFERROR(INDEX(tblPiNAnalysis[[Shelter NFI ]], MATCH(tblPiNHistorical[[#This Row],[ID]], tblPiNAnalysis[ID], 0)), "")</f>
        <v>960</v>
      </c>
      <c r="AE62" s="35">
        <f>IFERROR(INDEX(tblPiNAnalysis[WASH], MATCH(tblPiNHistorical[[#This Row],[ID]], tblPiNAnalysis[ID], 0)), "")</f>
        <v>0</v>
      </c>
      <c r="AF62" s="6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62" s="67" t="str">
        <f>IF(OR(tblPiNHistorical[[#This Row],[Education Old]]="", tblPiNHistorical[[#This Row],[Education Old]]=0, tblPiNHistorical[[#This Row],[Education New]]="", tblPiNHistorical[[#This Row],[Education New]]=0), "", tblPiNHistorical[[#This Row],[Education New]]-tblPiNHistorical[[#This Row],[Education Old]])</f>
        <v/>
      </c>
      <c r="AH62" s="67"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62" s="67" t="str">
        <f>IF(OR(tblPiNHistorical[[#This Row],[Health Old]]="", tblPiNHistorical[[#This Row],[Health Old]]=0, tblPiNHistorical[[#This Row],[Health New]]="", tblPiNHistorical[[#This Row],[Health New]]=0), "", tblPiNHistorical[[#This Row],[Health New]]-tblPiNHistorical[[#This Row],[Health Old]])</f>
        <v/>
      </c>
      <c r="AJ62" s="67" t="str">
        <f>IF(OR(tblPiNHistorical[[#This Row],[Nutrition Old]]="", tblPiNHistorical[[#This Row],[Nutrition Old]]=0, tblPiNHistorical[[#This Row],[Nutrition New]]="", tblPiNHistorical[[#This Row],[Nutrition New]]=0), "", tblPiNHistorical[[#This Row],[Nutrition New]]-tblPiNHistorical[[#This Row],[Nutrition Old]])</f>
        <v/>
      </c>
      <c r="AK62" s="67" t="str">
        <f>IF(OR(tblPiNHistorical[[#This Row],[Protection Old]]="", tblPiNHistorical[[#This Row],[Protection Old]]=0, tblPiNHistorical[[#This Row],[Protection New]]="", tblPiNHistorical[[#This Row],[Protection New]]=0), "", tblPiNHistorical[[#This Row],[Protection New]]-tblPiNHistorical[[#This Row],[Protection Old]])</f>
        <v/>
      </c>
      <c r="AL62" s="67" t="str">
        <f>IF(OR(tblPiNHistorical[[#This Row],[CP Old ]]="", tblPiNHistorical[[#This Row],[CP Old ]]=0, tblPiNHistorical[[#This Row],[CP New]]="", tblPiNHistorical[[#This Row],[CP New]]=0), "", tblPiNHistorical[[#This Row],[CP New]]-tblPiNHistorical[[#This Row],[CP Old ]])</f>
        <v/>
      </c>
      <c r="AM62" s="83" t="str">
        <f>IF(OR(tblPiNHistorical[[#This Row],[GBV Old]]="", tblPiNHistorical[[#This Row],[GBV Old]]=0, tblPiNHistorical[[#This Row],[GBV New]]="", tblPiNHistorical[[#This Row],[GBV New]]=0), "", tblPiNHistorical[[#This Row],[GBV New]]-tblPiNHistorical[[#This Row],[GBV Old]])</f>
        <v/>
      </c>
      <c r="AN62" s="83" t="str">
        <f>IF(OR(tblPiNHistorical[[#This Row],[Mine Action Old]]="", tblPiNHistorical[[#This Row],[Mine Action Old]]=0, tblPiNHistorical[[#This Row],[Mine Action New]]="", tblPiNHistorical[[#This Row],[Mine Action New]]=0), "", tblPiNHistorical[[#This Row],[Mine Action New]]-tblPiNHistorical[[#This Row],[Mine Action Old]])</f>
        <v/>
      </c>
      <c r="AO62" s="67">
        <f>IF(OR(tblPiNHistorical[[#This Row],[Shelter NFI Old]]="", tblPiNHistorical[[#This Row],[Shelter NFI Old]]=0, tblPiNHistorical[[#This Row],[Shelter NFI New]]="", tblPiNHistorical[[#This Row],[Shelter NFI New]]=0), "", tblPiNHistorical[[#This Row],[Shelter NFI New]]-tblPiNHistorical[[#This Row],[Shelter NFI Old]])</f>
        <v>-4944</v>
      </c>
      <c r="AP62" s="111" t="str">
        <f>IF(OR(tblPiNHistorical[[#This Row],[WASH Old]]="", tblPiNHistorical[[#This Row],[WASH Old]]=0, tblPiNHistorical[[#This Row],[WASH New]]="", tblPiNHistorical[[#This Row],[WASH New]]=0), "", tblPiNHistorical[[#This Row],[WASH New]]-tblPiNHistorical[[#This Row],[WASH Old]])</f>
        <v/>
      </c>
      <c r="AQ62" s="110" t="str">
        <f>IFERROR(ROUND((tblPiNHistorical[[#This Row],[Site Management - New]] - tblPiNHistorical[[#This Row],[Site Management - Old]])/tblPiNHistorical[[#This Row],[Site Management - Old]], 1), "")</f>
        <v/>
      </c>
      <c r="AR62" s="66">
        <f>IFERROR(ROUND((tblPiNHistorical[[#This Row],[Education New]]-tblPiNHistorical[[#This Row],[Education Old]])/tblPiNHistorical[[#This Row],[Education Old]], 1), "")</f>
        <v>-1</v>
      </c>
      <c r="AS62" s="66">
        <f>IFERROR(ROUND((tblPiNHistorical[[#This Row],[Food Security and Livlihoods New]]-tblPiNHistorical[[#This Row],[Food Security and Livlihoods Old]])/tblPiNHistorical[[#This Row],[Food Security and Livlihoods Old]], 1), "")</f>
        <v>-1</v>
      </c>
      <c r="AT62" s="66">
        <f>IFERROR(ROUND((tblPiNHistorical[[#This Row],[Health New]]-tblPiNHistorical[[#This Row],[Health Old]])/tblPiNHistorical[[#This Row],[Health Old]], 1), "")</f>
        <v>-1</v>
      </c>
      <c r="AU62" s="66">
        <f>IFERROR(ROUND((tblPiNHistorical[[#This Row],[Nutrition New]]-tblPiNHistorical[[#This Row],[Nutrition Old]])/tblPiNHistorical[[#This Row],[Nutrition Old]], 1), "")</f>
        <v>-1</v>
      </c>
      <c r="AV62" s="66">
        <f>IFERROR(ROUND((tblPiNHistorical[[#This Row],[Protection New]]-tblPiNHistorical[[#This Row],[Protection Old]])/tblPiNHistorical[[#This Row],[Protection Old]], 1), "")</f>
        <v>-1</v>
      </c>
      <c r="AW62" s="84">
        <f>IFERROR(ROUND((tblPiNHistorical[[#This Row],[CP New]]-tblPiNHistorical[[#This Row],[CP Old ]])/tblPiNHistorical[[#This Row],[CP Old ]], 1), "")</f>
        <v>-1</v>
      </c>
      <c r="AX62" s="84">
        <f>IFERROR(ROUND((tblPiNHistorical[[#This Row],[GBV New]]-tblPiNHistorical[[#This Row],[GBV Old]])/tblPiNHistorical[[#This Row],[GBV Old]], 1), "")</f>
        <v>-1</v>
      </c>
      <c r="AY62" s="84">
        <f>IFERROR(ROUND((tblPiNHistorical[[#This Row],[Mine Action New]]-tblPiNHistorical[[#This Row],[Mine Action Old]])/tblPiNHistorical[[#This Row],[Mine Action Old]], 1), "")</f>
        <v>-1</v>
      </c>
      <c r="AZ62" s="66">
        <f>IFERROR(ROUND((tblPiNHistorical[[#This Row],[Shelter NFI New]]-tblPiNHistorical[[#This Row],[Shelter NFI Old]])/tblPiNHistorical[[#This Row],[Shelter NFI Old]], 1), "")</f>
        <v>-0.8</v>
      </c>
      <c r="BA62" s="36">
        <f>IFERROR(ROUND((tblPiNHistorical[[#This Row],[WASH New]]-tblPiNHistorical[[#This Row],[WASH Old]])/tblPiNHistorical[[#This Row],[WASH Old]], 1), "")</f>
        <v>-1</v>
      </c>
      <c r="BB62"/>
      <c r="BC62"/>
      <c r="BD62"/>
      <c r="BE62"/>
      <c r="BF62"/>
      <c r="BG62"/>
      <c r="BH62"/>
      <c r="BI62"/>
      <c r="BL62"/>
      <c r="BN62"/>
      <c r="BO62"/>
      <c r="BP62"/>
    </row>
    <row r="63" spans="1:68" x14ac:dyDescent="0.25">
      <c r="A63"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IDPsSD01005</v>
      </c>
      <c r="B63" s="127" t="s">
        <v>164</v>
      </c>
      <c r="C63" s="60" t="s">
        <v>118</v>
      </c>
      <c r="D63" s="60" t="s">
        <v>331</v>
      </c>
      <c r="E63" s="60" t="s">
        <v>332</v>
      </c>
      <c r="F63" s="54"/>
      <c r="G63" s="30"/>
      <c r="H63" s="56">
        <v>9365</v>
      </c>
      <c r="I63" s="37" t="s">
        <v>88</v>
      </c>
      <c r="J63" s="34">
        <v>0</v>
      </c>
      <c r="K63" s="116">
        <v>3630.8105</v>
      </c>
      <c r="L63" s="114">
        <v>9365</v>
      </c>
      <c r="M63" s="114">
        <v>9365</v>
      </c>
      <c r="N63" s="114">
        <v>393</v>
      </c>
      <c r="O63" s="114">
        <v>9365</v>
      </c>
      <c r="P63" s="114">
        <v>5151</v>
      </c>
      <c r="Q63" s="114">
        <v>3708</v>
      </c>
      <c r="R63" s="114">
        <v>6555.5</v>
      </c>
      <c r="S63" s="114">
        <v>7492</v>
      </c>
      <c r="T63" s="196">
        <v>5060.4714000000004</v>
      </c>
      <c r="U63" s="52">
        <f>IFERROR(INDEX(tblPiNAnalysis[[Site Management ]], MATCH(tblPiNHistorical[[#This Row],[ID]], tblPiNAnalysis[ID], 0)), "")</f>
        <v>0</v>
      </c>
      <c r="V63" s="52">
        <f>IFERROR(INDEX(tblPiNAnalysis[Education], MATCH(tblPiNHistorical[[#This Row],[ID]], tblPiNAnalysis[ID], 0)), "")</f>
        <v>0</v>
      </c>
      <c r="W63" s="28">
        <f>IFERROR(INDEX(tblPiNAnalysis[Food Security and Livlihoods], MATCH(tblPiNHistorical[[#This Row],[ID]], tblPiNAnalysis[ID], 0)), "")</f>
        <v>0</v>
      </c>
      <c r="X63" s="28">
        <f>IFERROR(INDEX(tblPiNAnalysis[[Health ]], MATCH(tblPiNHistorical[[#This Row],[ID]], tblPiNAnalysis[ID], 0)), "")</f>
        <v>0</v>
      </c>
      <c r="Y63" s="28">
        <f>IFERROR(INDEX(tblPiNAnalysis[Nutrition], MATCH(tblPiNHistorical[[#This Row],[ID]], tblPiNAnalysis[ID], 0)), "")</f>
        <v>0</v>
      </c>
      <c r="Z63" s="28">
        <f>IFERROR(INDEX(tblPiNAnalysis[Protection], MATCH(tblPiNHistorical[[#This Row],[ID]], tblPiNAnalysis[ID], 0)), "")</f>
        <v>0</v>
      </c>
      <c r="AA63" s="28">
        <f>IFERROR(INDEX(tblPiNAnalysis[CP], MATCH(tblPiNHistorical[[#This Row],[ID]], tblPiNAnalysis[ID], 0)), "")</f>
        <v>0</v>
      </c>
      <c r="AB63" s="83">
        <f>IFERROR(INDEX(tblPiNAnalysis[GBV], MATCH(tblPiNHistorical[[#This Row],[ID]], tblPiNAnalysis[ID], 0)), "")</f>
        <v>0</v>
      </c>
      <c r="AC63" s="28">
        <f>IFERROR(INDEX(tblPiNAnalysis[Mine Action], MATCH(tblPiNHistorical[[#This Row],[ID]], tblPiNAnalysis[ID], 0)), "")</f>
        <v>0</v>
      </c>
      <c r="AD63" s="83">
        <f>IFERROR(INDEX(tblPiNAnalysis[[Shelter NFI ]], MATCH(tblPiNHistorical[[#This Row],[ID]], tblPiNAnalysis[ID], 0)), "")</f>
        <v>1714</v>
      </c>
      <c r="AE63" s="35">
        <f>IFERROR(INDEX(tblPiNAnalysis[WASH], MATCH(tblPiNHistorical[[#This Row],[ID]], tblPiNAnalysis[ID], 0)), "")</f>
        <v>0</v>
      </c>
      <c r="AF63" s="6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63" s="67" t="str">
        <f>IF(OR(tblPiNHistorical[[#This Row],[Education Old]]="", tblPiNHistorical[[#This Row],[Education Old]]=0, tblPiNHistorical[[#This Row],[Education New]]="", tblPiNHistorical[[#This Row],[Education New]]=0), "", tblPiNHistorical[[#This Row],[Education New]]-tblPiNHistorical[[#This Row],[Education Old]])</f>
        <v/>
      </c>
      <c r="AH63" s="67"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63" s="67" t="str">
        <f>IF(OR(tblPiNHistorical[[#This Row],[Health Old]]="", tblPiNHistorical[[#This Row],[Health Old]]=0, tblPiNHistorical[[#This Row],[Health New]]="", tblPiNHistorical[[#This Row],[Health New]]=0), "", tblPiNHistorical[[#This Row],[Health New]]-tblPiNHistorical[[#This Row],[Health Old]])</f>
        <v/>
      </c>
      <c r="AJ63" s="67" t="str">
        <f>IF(OR(tblPiNHistorical[[#This Row],[Nutrition Old]]="", tblPiNHistorical[[#This Row],[Nutrition Old]]=0, tblPiNHistorical[[#This Row],[Nutrition New]]="", tblPiNHistorical[[#This Row],[Nutrition New]]=0), "", tblPiNHistorical[[#This Row],[Nutrition New]]-tblPiNHistorical[[#This Row],[Nutrition Old]])</f>
        <v/>
      </c>
      <c r="AK63" s="67" t="str">
        <f>IF(OR(tblPiNHistorical[[#This Row],[Protection Old]]="", tblPiNHistorical[[#This Row],[Protection Old]]=0, tblPiNHistorical[[#This Row],[Protection New]]="", tblPiNHistorical[[#This Row],[Protection New]]=0), "", tblPiNHistorical[[#This Row],[Protection New]]-tblPiNHistorical[[#This Row],[Protection Old]])</f>
        <v/>
      </c>
      <c r="AL63" s="67" t="str">
        <f>IF(OR(tblPiNHistorical[[#This Row],[CP Old ]]="", tblPiNHistorical[[#This Row],[CP Old ]]=0, tblPiNHistorical[[#This Row],[CP New]]="", tblPiNHistorical[[#This Row],[CP New]]=0), "", tblPiNHistorical[[#This Row],[CP New]]-tblPiNHistorical[[#This Row],[CP Old ]])</f>
        <v/>
      </c>
      <c r="AM63" s="83" t="str">
        <f>IF(OR(tblPiNHistorical[[#This Row],[GBV Old]]="", tblPiNHistorical[[#This Row],[GBV Old]]=0, tblPiNHistorical[[#This Row],[GBV New]]="", tblPiNHistorical[[#This Row],[GBV New]]=0), "", tblPiNHistorical[[#This Row],[GBV New]]-tblPiNHistorical[[#This Row],[GBV Old]])</f>
        <v/>
      </c>
      <c r="AN63" s="83" t="str">
        <f>IF(OR(tblPiNHistorical[[#This Row],[Mine Action Old]]="", tblPiNHistorical[[#This Row],[Mine Action Old]]=0, tblPiNHistorical[[#This Row],[Mine Action New]]="", tblPiNHistorical[[#This Row],[Mine Action New]]=0), "", tblPiNHistorical[[#This Row],[Mine Action New]]-tblPiNHistorical[[#This Row],[Mine Action Old]])</f>
        <v/>
      </c>
      <c r="AO63" s="67">
        <f>IF(OR(tblPiNHistorical[[#This Row],[Shelter NFI Old]]="", tblPiNHistorical[[#This Row],[Shelter NFI Old]]=0, tblPiNHistorical[[#This Row],[Shelter NFI New]]="", tblPiNHistorical[[#This Row],[Shelter NFI New]]=0), "", tblPiNHistorical[[#This Row],[Shelter NFI New]]-tblPiNHistorical[[#This Row],[Shelter NFI Old]])</f>
        <v>-5778</v>
      </c>
      <c r="AP63" s="111" t="str">
        <f>IF(OR(tblPiNHistorical[[#This Row],[WASH Old]]="", tblPiNHistorical[[#This Row],[WASH Old]]=0, tblPiNHistorical[[#This Row],[WASH New]]="", tblPiNHistorical[[#This Row],[WASH New]]=0), "", tblPiNHistorical[[#This Row],[WASH New]]-tblPiNHistorical[[#This Row],[WASH Old]])</f>
        <v/>
      </c>
      <c r="AQ63" s="110" t="str">
        <f>IFERROR(ROUND((tblPiNHistorical[[#This Row],[Site Management - New]] - tblPiNHistorical[[#This Row],[Site Management - Old]])/tblPiNHistorical[[#This Row],[Site Management - Old]], 1), "")</f>
        <v/>
      </c>
      <c r="AR63" s="66">
        <f>IFERROR(ROUND((tblPiNHistorical[[#This Row],[Education New]]-tblPiNHistorical[[#This Row],[Education Old]])/tblPiNHistorical[[#This Row],[Education Old]], 1), "")</f>
        <v>-1</v>
      </c>
      <c r="AS63" s="66">
        <f>IFERROR(ROUND((tblPiNHistorical[[#This Row],[Food Security and Livlihoods New]]-tblPiNHistorical[[#This Row],[Food Security and Livlihoods Old]])/tblPiNHistorical[[#This Row],[Food Security and Livlihoods Old]], 1), "")</f>
        <v>-1</v>
      </c>
      <c r="AT63" s="66">
        <f>IFERROR(ROUND((tblPiNHistorical[[#This Row],[Health New]]-tblPiNHistorical[[#This Row],[Health Old]])/tblPiNHistorical[[#This Row],[Health Old]], 1), "")</f>
        <v>-1</v>
      </c>
      <c r="AU63" s="66">
        <f>IFERROR(ROUND((tblPiNHistorical[[#This Row],[Nutrition New]]-tblPiNHistorical[[#This Row],[Nutrition Old]])/tblPiNHistorical[[#This Row],[Nutrition Old]], 1), "")</f>
        <v>-1</v>
      </c>
      <c r="AV63" s="66">
        <f>IFERROR(ROUND((tblPiNHistorical[[#This Row],[Protection New]]-tblPiNHistorical[[#This Row],[Protection Old]])/tblPiNHistorical[[#This Row],[Protection Old]], 1), "")</f>
        <v>-1</v>
      </c>
      <c r="AW63" s="84">
        <f>IFERROR(ROUND((tblPiNHistorical[[#This Row],[CP New]]-tblPiNHistorical[[#This Row],[CP Old ]])/tblPiNHistorical[[#This Row],[CP Old ]], 1), "")</f>
        <v>-1</v>
      </c>
      <c r="AX63" s="84">
        <f>IFERROR(ROUND((tblPiNHistorical[[#This Row],[GBV New]]-tblPiNHistorical[[#This Row],[GBV Old]])/tblPiNHistorical[[#This Row],[GBV Old]], 1), "")</f>
        <v>-1</v>
      </c>
      <c r="AY63" s="84">
        <f>IFERROR(ROUND((tblPiNHistorical[[#This Row],[Mine Action New]]-tblPiNHistorical[[#This Row],[Mine Action Old]])/tblPiNHistorical[[#This Row],[Mine Action Old]], 1), "")</f>
        <v>-1</v>
      </c>
      <c r="AZ63" s="66">
        <f>IFERROR(ROUND((tblPiNHistorical[[#This Row],[Shelter NFI New]]-tblPiNHistorical[[#This Row],[Shelter NFI Old]])/tblPiNHistorical[[#This Row],[Shelter NFI Old]], 1), "")</f>
        <v>-0.8</v>
      </c>
      <c r="BA63" s="36">
        <f>IFERROR(ROUND((tblPiNHistorical[[#This Row],[WASH New]]-tblPiNHistorical[[#This Row],[WASH Old]])/tblPiNHistorical[[#This Row],[WASH Old]], 1), "")</f>
        <v>-1</v>
      </c>
      <c r="BB63"/>
      <c r="BC63"/>
      <c r="BD63"/>
      <c r="BE63"/>
      <c r="BF63"/>
      <c r="BG63"/>
      <c r="BH63"/>
      <c r="BI63"/>
      <c r="BL63"/>
      <c r="BN63"/>
      <c r="BO63"/>
      <c r="BP63"/>
    </row>
    <row r="64" spans="1:68" x14ac:dyDescent="0.25">
      <c r="A64"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IDPsSD01007</v>
      </c>
      <c r="B64" s="127" t="s">
        <v>164</v>
      </c>
      <c r="C64" s="60" t="s">
        <v>118</v>
      </c>
      <c r="D64" s="60" t="s">
        <v>164</v>
      </c>
      <c r="E64" s="60" t="s">
        <v>335</v>
      </c>
      <c r="F64" s="54"/>
      <c r="G64" s="30"/>
      <c r="H64" s="56">
        <v>3205</v>
      </c>
      <c r="I64" s="37" t="s">
        <v>88</v>
      </c>
      <c r="J64" s="34">
        <v>0</v>
      </c>
      <c r="K64" s="116">
        <v>1242.5785000000001</v>
      </c>
      <c r="L64" s="114">
        <v>3205</v>
      </c>
      <c r="M64" s="114">
        <v>3205</v>
      </c>
      <c r="N64" s="114">
        <v>223</v>
      </c>
      <c r="O64" s="114">
        <v>3205</v>
      </c>
      <c r="P64" s="114">
        <v>1763</v>
      </c>
      <c r="Q64" s="114">
        <v>1522</v>
      </c>
      <c r="R64" s="114">
        <v>2243.5</v>
      </c>
      <c r="S64" s="114">
        <v>2564</v>
      </c>
      <c r="T64" s="196">
        <v>1350.7151999999996</v>
      </c>
      <c r="U64" s="52">
        <f>IFERROR(INDEX(tblPiNAnalysis[[Site Management ]], MATCH(tblPiNHistorical[[#This Row],[ID]], tblPiNAnalysis[ID], 0)), "")</f>
        <v>0</v>
      </c>
      <c r="V64" s="52">
        <f>IFERROR(INDEX(tblPiNAnalysis[Education], MATCH(tblPiNHistorical[[#This Row],[ID]], tblPiNAnalysis[ID], 0)), "")</f>
        <v>0</v>
      </c>
      <c r="W64" s="28">
        <f>IFERROR(INDEX(tblPiNAnalysis[Food Security and Livlihoods], MATCH(tblPiNHistorical[[#This Row],[ID]], tblPiNAnalysis[ID], 0)), "")</f>
        <v>0</v>
      </c>
      <c r="X64" s="28">
        <f>IFERROR(INDEX(tblPiNAnalysis[[Health ]], MATCH(tblPiNHistorical[[#This Row],[ID]], tblPiNAnalysis[ID], 0)), "")</f>
        <v>0</v>
      </c>
      <c r="Y64" s="28">
        <f>IFERROR(INDEX(tblPiNAnalysis[Nutrition], MATCH(tblPiNHistorical[[#This Row],[ID]], tblPiNAnalysis[ID], 0)), "")</f>
        <v>0</v>
      </c>
      <c r="Z64" s="28">
        <f>IFERROR(INDEX(tblPiNAnalysis[Protection], MATCH(tblPiNHistorical[[#This Row],[ID]], tblPiNAnalysis[ID], 0)), "")</f>
        <v>0</v>
      </c>
      <c r="AA64" s="28">
        <f>IFERROR(INDEX(tblPiNAnalysis[CP], MATCH(tblPiNHistorical[[#This Row],[ID]], tblPiNAnalysis[ID], 0)), "")</f>
        <v>0</v>
      </c>
      <c r="AB64" s="83">
        <f>IFERROR(INDEX(tblPiNAnalysis[GBV], MATCH(tblPiNHistorical[[#This Row],[ID]], tblPiNAnalysis[ID], 0)), "")</f>
        <v>0</v>
      </c>
      <c r="AC64" s="28">
        <f>IFERROR(INDEX(tblPiNAnalysis[Mine Action], MATCH(tblPiNHistorical[[#This Row],[ID]], tblPiNAnalysis[ID], 0)), "")</f>
        <v>0</v>
      </c>
      <c r="AD64" s="83">
        <f>IFERROR(INDEX(tblPiNAnalysis[[Shelter NFI ]], MATCH(tblPiNHistorical[[#This Row],[ID]], tblPiNAnalysis[ID], 0)), "")</f>
        <v>1549</v>
      </c>
      <c r="AE64" s="35">
        <f>IFERROR(INDEX(tblPiNAnalysis[WASH], MATCH(tblPiNHistorical[[#This Row],[ID]], tblPiNAnalysis[ID], 0)), "")</f>
        <v>0</v>
      </c>
      <c r="AF64" s="6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64" s="67" t="str">
        <f>IF(OR(tblPiNHistorical[[#This Row],[Education Old]]="", tblPiNHistorical[[#This Row],[Education Old]]=0, tblPiNHistorical[[#This Row],[Education New]]="", tblPiNHistorical[[#This Row],[Education New]]=0), "", tblPiNHistorical[[#This Row],[Education New]]-tblPiNHistorical[[#This Row],[Education Old]])</f>
        <v/>
      </c>
      <c r="AH64" s="67"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64" s="67" t="str">
        <f>IF(OR(tblPiNHistorical[[#This Row],[Health Old]]="", tblPiNHistorical[[#This Row],[Health Old]]=0, tblPiNHistorical[[#This Row],[Health New]]="", tblPiNHistorical[[#This Row],[Health New]]=0), "", tblPiNHistorical[[#This Row],[Health New]]-tblPiNHistorical[[#This Row],[Health Old]])</f>
        <v/>
      </c>
      <c r="AJ64" s="67" t="str">
        <f>IF(OR(tblPiNHistorical[[#This Row],[Nutrition Old]]="", tblPiNHistorical[[#This Row],[Nutrition Old]]=0, tblPiNHistorical[[#This Row],[Nutrition New]]="", tblPiNHistorical[[#This Row],[Nutrition New]]=0), "", tblPiNHistorical[[#This Row],[Nutrition New]]-tblPiNHistorical[[#This Row],[Nutrition Old]])</f>
        <v/>
      </c>
      <c r="AK64" s="67" t="str">
        <f>IF(OR(tblPiNHistorical[[#This Row],[Protection Old]]="", tblPiNHistorical[[#This Row],[Protection Old]]=0, tblPiNHistorical[[#This Row],[Protection New]]="", tblPiNHistorical[[#This Row],[Protection New]]=0), "", tblPiNHistorical[[#This Row],[Protection New]]-tblPiNHistorical[[#This Row],[Protection Old]])</f>
        <v/>
      </c>
      <c r="AL64" s="67" t="str">
        <f>IF(OR(tblPiNHistorical[[#This Row],[CP Old ]]="", tblPiNHistorical[[#This Row],[CP Old ]]=0, tblPiNHistorical[[#This Row],[CP New]]="", tblPiNHistorical[[#This Row],[CP New]]=0), "", tblPiNHistorical[[#This Row],[CP New]]-tblPiNHistorical[[#This Row],[CP Old ]])</f>
        <v/>
      </c>
      <c r="AM64" s="83" t="str">
        <f>IF(OR(tblPiNHistorical[[#This Row],[GBV Old]]="", tblPiNHistorical[[#This Row],[GBV Old]]=0, tblPiNHistorical[[#This Row],[GBV New]]="", tblPiNHistorical[[#This Row],[GBV New]]=0), "", tblPiNHistorical[[#This Row],[GBV New]]-tblPiNHistorical[[#This Row],[GBV Old]])</f>
        <v/>
      </c>
      <c r="AN64" s="83" t="str">
        <f>IF(OR(tblPiNHistorical[[#This Row],[Mine Action Old]]="", tblPiNHistorical[[#This Row],[Mine Action Old]]=0, tblPiNHistorical[[#This Row],[Mine Action New]]="", tblPiNHistorical[[#This Row],[Mine Action New]]=0), "", tblPiNHistorical[[#This Row],[Mine Action New]]-tblPiNHistorical[[#This Row],[Mine Action Old]])</f>
        <v/>
      </c>
      <c r="AO64" s="67">
        <f>IF(OR(tblPiNHistorical[[#This Row],[Shelter NFI Old]]="", tblPiNHistorical[[#This Row],[Shelter NFI Old]]=0, tblPiNHistorical[[#This Row],[Shelter NFI New]]="", tblPiNHistorical[[#This Row],[Shelter NFI New]]=0), "", tblPiNHistorical[[#This Row],[Shelter NFI New]]-tblPiNHistorical[[#This Row],[Shelter NFI Old]])</f>
        <v>-1015</v>
      </c>
      <c r="AP64" s="111" t="str">
        <f>IF(OR(tblPiNHistorical[[#This Row],[WASH Old]]="", tblPiNHistorical[[#This Row],[WASH Old]]=0, tblPiNHistorical[[#This Row],[WASH New]]="", tblPiNHistorical[[#This Row],[WASH New]]=0), "", tblPiNHistorical[[#This Row],[WASH New]]-tblPiNHistorical[[#This Row],[WASH Old]])</f>
        <v/>
      </c>
      <c r="AQ64" s="110" t="str">
        <f>IFERROR(ROUND((tblPiNHistorical[[#This Row],[Site Management - New]] - tblPiNHistorical[[#This Row],[Site Management - Old]])/tblPiNHistorical[[#This Row],[Site Management - Old]], 1), "")</f>
        <v/>
      </c>
      <c r="AR64" s="66">
        <f>IFERROR(ROUND((tblPiNHistorical[[#This Row],[Education New]]-tblPiNHistorical[[#This Row],[Education Old]])/tblPiNHistorical[[#This Row],[Education Old]], 1), "")</f>
        <v>-1</v>
      </c>
      <c r="AS64" s="66">
        <f>IFERROR(ROUND((tblPiNHistorical[[#This Row],[Food Security and Livlihoods New]]-tblPiNHistorical[[#This Row],[Food Security and Livlihoods Old]])/tblPiNHistorical[[#This Row],[Food Security and Livlihoods Old]], 1), "")</f>
        <v>-1</v>
      </c>
      <c r="AT64" s="66">
        <f>IFERROR(ROUND((tblPiNHistorical[[#This Row],[Health New]]-tblPiNHistorical[[#This Row],[Health Old]])/tblPiNHistorical[[#This Row],[Health Old]], 1), "")</f>
        <v>-1</v>
      </c>
      <c r="AU64" s="66">
        <f>IFERROR(ROUND((tblPiNHistorical[[#This Row],[Nutrition New]]-tblPiNHistorical[[#This Row],[Nutrition Old]])/tblPiNHistorical[[#This Row],[Nutrition Old]], 1), "")</f>
        <v>-1</v>
      </c>
      <c r="AV64" s="66">
        <f>IFERROR(ROUND((tblPiNHistorical[[#This Row],[Protection New]]-tblPiNHistorical[[#This Row],[Protection Old]])/tblPiNHistorical[[#This Row],[Protection Old]], 1), "")</f>
        <v>-1</v>
      </c>
      <c r="AW64" s="84">
        <f>IFERROR(ROUND((tblPiNHistorical[[#This Row],[CP New]]-tblPiNHistorical[[#This Row],[CP Old ]])/tblPiNHistorical[[#This Row],[CP Old ]], 1), "")</f>
        <v>-1</v>
      </c>
      <c r="AX64" s="84">
        <f>IFERROR(ROUND((tblPiNHistorical[[#This Row],[GBV New]]-tblPiNHistorical[[#This Row],[GBV Old]])/tblPiNHistorical[[#This Row],[GBV Old]], 1), "")</f>
        <v>-1</v>
      </c>
      <c r="AY64" s="84">
        <f>IFERROR(ROUND((tblPiNHistorical[[#This Row],[Mine Action New]]-tblPiNHistorical[[#This Row],[Mine Action Old]])/tblPiNHistorical[[#This Row],[Mine Action Old]], 1), "")</f>
        <v>-1</v>
      </c>
      <c r="AZ64" s="66">
        <f>IFERROR(ROUND((tblPiNHistorical[[#This Row],[Shelter NFI New]]-tblPiNHistorical[[#This Row],[Shelter NFI Old]])/tblPiNHistorical[[#This Row],[Shelter NFI Old]], 1), "")</f>
        <v>-0.4</v>
      </c>
      <c r="BA64" s="36">
        <f>IFERROR(ROUND((tblPiNHistorical[[#This Row],[WASH New]]-tblPiNHistorical[[#This Row],[WASH Old]])/tblPiNHistorical[[#This Row],[WASH Old]], 1), "")</f>
        <v>-1</v>
      </c>
      <c r="BB64"/>
      <c r="BC64"/>
      <c r="BD64"/>
      <c r="BE64"/>
      <c r="BF64"/>
      <c r="BG64"/>
      <c r="BH64"/>
      <c r="BI64"/>
      <c r="BL64"/>
      <c r="BN64"/>
      <c r="BO64"/>
      <c r="BP64"/>
    </row>
    <row r="65" spans="1:68" x14ac:dyDescent="0.25">
      <c r="A65"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IDPsSD01004</v>
      </c>
      <c r="B65" s="127" t="s">
        <v>164</v>
      </c>
      <c r="C65" s="60" t="s">
        <v>118</v>
      </c>
      <c r="D65" s="60" t="s">
        <v>329</v>
      </c>
      <c r="E65" s="60" t="s">
        <v>330</v>
      </c>
      <c r="F65" s="54"/>
      <c r="G65" s="30"/>
      <c r="H65" s="56">
        <v>9250</v>
      </c>
      <c r="I65" s="37" t="s">
        <v>88</v>
      </c>
      <c r="J65" s="34">
        <v>0</v>
      </c>
      <c r="K65" s="116">
        <v>3586.2249999999999</v>
      </c>
      <c r="L65" s="114">
        <v>9250</v>
      </c>
      <c r="M65" s="114">
        <v>9250</v>
      </c>
      <c r="N65" s="114">
        <v>467</v>
      </c>
      <c r="O65" s="114">
        <v>9250</v>
      </c>
      <c r="P65" s="114">
        <v>5088</v>
      </c>
      <c r="Q65" s="114">
        <v>3662</v>
      </c>
      <c r="R65" s="114">
        <v>6475</v>
      </c>
      <c r="S65" s="114">
        <v>7400</v>
      </c>
      <c r="T65" s="196">
        <v>4685.3100000000004</v>
      </c>
      <c r="U65" s="52">
        <f>IFERROR(INDEX(tblPiNAnalysis[[Site Management ]], MATCH(tblPiNHistorical[[#This Row],[ID]], tblPiNAnalysis[ID], 0)), "")</f>
        <v>0</v>
      </c>
      <c r="V65" s="52">
        <f>IFERROR(INDEX(tblPiNAnalysis[Education], MATCH(tblPiNHistorical[[#This Row],[ID]], tblPiNAnalysis[ID], 0)), "")</f>
        <v>0</v>
      </c>
      <c r="W65" s="28">
        <f>IFERROR(INDEX(tblPiNAnalysis[Food Security and Livlihoods], MATCH(tblPiNHistorical[[#This Row],[ID]], tblPiNAnalysis[ID], 0)), "")</f>
        <v>0</v>
      </c>
      <c r="X65" s="28">
        <f>IFERROR(INDEX(tblPiNAnalysis[[Health ]], MATCH(tblPiNHistorical[[#This Row],[ID]], tblPiNAnalysis[ID], 0)), "")</f>
        <v>0</v>
      </c>
      <c r="Y65" s="28">
        <f>IFERROR(INDEX(tblPiNAnalysis[Nutrition], MATCH(tblPiNHistorical[[#This Row],[ID]], tblPiNAnalysis[ID], 0)), "")</f>
        <v>0</v>
      </c>
      <c r="Z65" s="28">
        <f>IFERROR(INDEX(tblPiNAnalysis[Protection], MATCH(tblPiNHistorical[[#This Row],[ID]], tblPiNAnalysis[ID], 0)), "")</f>
        <v>0</v>
      </c>
      <c r="AA65" s="28">
        <f>IFERROR(INDEX(tblPiNAnalysis[CP], MATCH(tblPiNHistorical[[#This Row],[ID]], tblPiNAnalysis[ID], 0)), "")</f>
        <v>0</v>
      </c>
      <c r="AB65" s="83">
        <f>IFERROR(INDEX(tblPiNAnalysis[GBV], MATCH(tblPiNHistorical[[#This Row],[ID]], tblPiNAnalysis[ID], 0)), "")</f>
        <v>0</v>
      </c>
      <c r="AC65" s="28">
        <f>IFERROR(INDEX(tblPiNAnalysis[Mine Action], MATCH(tblPiNHistorical[[#This Row],[ID]], tblPiNAnalysis[ID], 0)), "")</f>
        <v>0</v>
      </c>
      <c r="AD65" s="83">
        <f>IFERROR(INDEX(tblPiNAnalysis[[Shelter NFI ]], MATCH(tblPiNHistorical[[#This Row],[ID]], tblPiNAnalysis[ID], 0)), "")</f>
        <v>4592</v>
      </c>
      <c r="AE65" s="35">
        <f>IFERROR(INDEX(tblPiNAnalysis[WASH], MATCH(tblPiNHistorical[[#This Row],[ID]], tblPiNAnalysis[ID], 0)), "")</f>
        <v>0</v>
      </c>
      <c r="AF65" s="6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65" s="67" t="str">
        <f>IF(OR(tblPiNHistorical[[#This Row],[Education Old]]="", tblPiNHistorical[[#This Row],[Education Old]]=0, tblPiNHistorical[[#This Row],[Education New]]="", tblPiNHistorical[[#This Row],[Education New]]=0), "", tblPiNHistorical[[#This Row],[Education New]]-tblPiNHistorical[[#This Row],[Education Old]])</f>
        <v/>
      </c>
      <c r="AH65" s="67"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65" s="67" t="str">
        <f>IF(OR(tblPiNHistorical[[#This Row],[Health Old]]="", tblPiNHistorical[[#This Row],[Health Old]]=0, tblPiNHistorical[[#This Row],[Health New]]="", tblPiNHistorical[[#This Row],[Health New]]=0), "", tblPiNHistorical[[#This Row],[Health New]]-tblPiNHistorical[[#This Row],[Health Old]])</f>
        <v/>
      </c>
      <c r="AJ65" s="67" t="str">
        <f>IF(OR(tblPiNHistorical[[#This Row],[Nutrition Old]]="", tblPiNHistorical[[#This Row],[Nutrition Old]]=0, tblPiNHistorical[[#This Row],[Nutrition New]]="", tblPiNHistorical[[#This Row],[Nutrition New]]=0), "", tblPiNHistorical[[#This Row],[Nutrition New]]-tblPiNHistorical[[#This Row],[Nutrition Old]])</f>
        <v/>
      </c>
      <c r="AK65" s="67" t="str">
        <f>IF(OR(tblPiNHistorical[[#This Row],[Protection Old]]="", tblPiNHistorical[[#This Row],[Protection Old]]=0, tblPiNHistorical[[#This Row],[Protection New]]="", tblPiNHistorical[[#This Row],[Protection New]]=0), "", tblPiNHistorical[[#This Row],[Protection New]]-tblPiNHistorical[[#This Row],[Protection Old]])</f>
        <v/>
      </c>
      <c r="AL65" s="67" t="str">
        <f>IF(OR(tblPiNHistorical[[#This Row],[CP Old ]]="", tblPiNHistorical[[#This Row],[CP Old ]]=0, tblPiNHistorical[[#This Row],[CP New]]="", tblPiNHistorical[[#This Row],[CP New]]=0), "", tblPiNHistorical[[#This Row],[CP New]]-tblPiNHistorical[[#This Row],[CP Old ]])</f>
        <v/>
      </c>
      <c r="AM65" s="83" t="str">
        <f>IF(OR(tblPiNHistorical[[#This Row],[GBV Old]]="", tblPiNHistorical[[#This Row],[GBV Old]]=0, tblPiNHistorical[[#This Row],[GBV New]]="", tblPiNHistorical[[#This Row],[GBV New]]=0), "", tblPiNHistorical[[#This Row],[GBV New]]-tblPiNHistorical[[#This Row],[GBV Old]])</f>
        <v/>
      </c>
      <c r="AN65" s="83" t="str">
        <f>IF(OR(tblPiNHistorical[[#This Row],[Mine Action Old]]="", tblPiNHistorical[[#This Row],[Mine Action Old]]=0, tblPiNHistorical[[#This Row],[Mine Action New]]="", tblPiNHistorical[[#This Row],[Mine Action New]]=0), "", tblPiNHistorical[[#This Row],[Mine Action New]]-tblPiNHistorical[[#This Row],[Mine Action Old]])</f>
        <v/>
      </c>
      <c r="AO65" s="67">
        <f>IF(OR(tblPiNHistorical[[#This Row],[Shelter NFI Old]]="", tblPiNHistorical[[#This Row],[Shelter NFI Old]]=0, tblPiNHistorical[[#This Row],[Shelter NFI New]]="", tblPiNHistorical[[#This Row],[Shelter NFI New]]=0), "", tblPiNHistorical[[#This Row],[Shelter NFI New]]-tblPiNHistorical[[#This Row],[Shelter NFI Old]])</f>
        <v>-2808</v>
      </c>
      <c r="AP65" s="111" t="str">
        <f>IF(OR(tblPiNHistorical[[#This Row],[WASH Old]]="", tblPiNHistorical[[#This Row],[WASH Old]]=0, tblPiNHistorical[[#This Row],[WASH New]]="", tblPiNHistorical[[#This Row],[WASH New]]=0), "", tblPiNHistorical[[#This Row],[WASH New]]-tblPiNHistorical[[#This Row],[WASH Old]])</f>
        <v/>
      </c>
      <c r="AQ65" s="110" t="str">
        <f>IFERROR(ROUND((tblPiNHistorical[[#This Row],[Site Management - New]] - tblPiNHistorical[[#This Row],[Site Management - Old]])/tblPiNHistorical[[#This Row],[Site Management - Old]], 1), "")</f>
        <v/>
      </c>
      <c r="AR65" s="66">
        <f>IFERROR(ROUND((tblPiNHistorical[[#This Row],[Education New]]-tblPiNHistorical[[#This Row],[Education Old]])/tblPiNHistorical[[#This Row],[Education Old]], 1), "")</f>
        <v>-1</v>
      </c>
      <c r="AS65" s="66">
        <f>IFERROR(ROUND((tblPiNHistorical[[#This Row],[Food Security and Livlihoods New]]-tblPiNHistorical[[#This Row],[Food Security and Livlihoods Old]])/tblPiNHistorical[[#This Row],[Food Security and Livlihoods Old]], 1), "")</f>
        <v>-1</v>
      </c>
      <c r="AT65" s="66">
        <f>IFERROR(ROUND((tblPiNHistorical[[#This Row],[Health New]]-tblPiNHistorical[[#This Row],[Health Old]])/tblPiNHistorical[[#This Row],[Health Old]], 1), "")</f>
        <v>-1</v>
      </c>
      <c r="AU65" s="66">
        <f>IFERROR(ROUND((tblPiNHistorical[[#This Row],[Nutrition New]]-tblPiNHistorical[[#This Row],[Nutrition Old]])/tblPiNHistorical[[#This Row],[Nutrition Old]], 1), "")</f>
        <v>-1</v>
      </c>
      <c r="AV65" s="66">
        <f>IFERROR(ROUND((tblPiNHistorical[[#This Row],[Protection New]]-tblPiNHistorical[[#This Row],[Protection Old]])/tblPiNHistorical[[#This Row],[Protection Old]], 1), "")</f>
        <v>-1</v>
      </c>
      <c r="AW65" s="84">
        <f>IFERROR(ROUND((tblPiNHistorical[[#This Row],[CP New]]-tblPiNHistorical[[#This Row],[CP Old ]])/tblPiNHistorical[[#This Row],[CP Old ]], 1), "")</f>
        <v>-1</v>
      </c>
      <c r="AX65" s="84">
        <f>IFERROR(ROUND((tblPiNHistorical[[#This Row],[GBV New]]-tblPiNHistorical[[#This Row],[GBV Old]])/tblPiNHistorical[[#This Row],[GBV Old]], 1), "")</f>
        <v>-1</v>
      </c>
      <c r="AY65" s="84">
        <f>IFERROR(ROUND((tblPiNHistorical[[#This Row],[Mine Action New]]-tblPiNHistorical[[#This Row],[Mine Action Old]])/tblPiNHistorical[[#This Row],[Mine Action Old]], 1), "")</f>
        <v>-1</v>
      </c>
      <c r="AZ65" s="66">
        <f>IFERROR(ROUND((tblPiNHistorical[[#This Row],[Shelter NFI New]]-tblPiNHistorical[[#This Row],[Shelter NFI Old]])/tblPiNHistorical[[#This Row],[Shelter NFI Old]], 1), "")</f>
        <v>-0.4</v>
      </c>
      <c r="BA65" s="36">
        <f>IFERROR(ROUND((tblPiNHistorical[[#This Row],[WASH New]]-tblPiNHistorical[[#This Row],[WASH Old]])/tblPiNHistorical[[#This Row],[WASH Old]], 1), "")</f>
        <v>-1</v>
      </c>
      <c r="BB65"/>
      <c r="BC65"/>
      <c r="BD65"/>
      <c r="BE65"/>
      <c r="BF65"/>
      <c r="BG65"/>
      <c r="BH65"/>
      <c r="BI65"/>
      <c r="BL65"/>
      <c r="BN65"/>
      <c r="BO65"/>
      <c r="BP65"/>
    </row>
    <row r="66" spans="1:68" x14ac:dyDescent="0.25">
      <c r="A66"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IDPsSD01002</v>
      </c>
      <c r="B66" s="127" t="s">
        <v>164</v>
      </c>
      <c r="C66" s="60" t="s">
        <v>118</v>
      </c>
      <c r="D66" s="60" t="s">
        <v>325</v>
      </c>
      <c r="E66" s="60" t="s">
        <v>326</v>
      </c>
      <c r="F66" s="54"/>
      <c r="G66" s="30"/>
      <c r="H66" s="56">
        <v>3170</v>
      </c>
      <c r="I66" s="37" t="s">
        <v>88</v>
      </c>
      <c r="J66" s="34">
        <v>0</v>
      </c>
      <c r="K66" s="116">
        <v>1229.009</v>
      </c>
      <c r="L66" s="114">
        <v>3170</v>
      </c>
      <c r="M66" s="114">
        <v>3170</v>
      </c>
      <c r="N66" s="114">
        <v>304</v>
      </c>
      <c r="O66" s="114">
        <v>3170</v>
      </c>
      <c r="P66" s="114">
        <v>1744</v>
      </c>
      <c r="Q66" s="114">
        <v>1505</v>
      </c>
      <c r="R66" s="114">
        <v>2219</v>
      </c>
      <c r="S66" s="114">
        <v>2536</v>
      </c>
      <c r="T66" s="196">
        <v>1827.8219999999999</v>
      </c>
      <c r="U66" s="52">
        <f>IFERROR(INDEX(tblPiNAnalysis[[Site Management ]], MATCH(tblPiNHistorical[[#This Row],[ID]], tblPiNAnalysis[ID], 0)), "")</f>
        <v>0</v>
      </c>
      <c r="V66" s="52">
        <f>IFERROR(INDEX(tblPiNAnalysis[Education], MATCH(tblPiNHistorical[[#This Row],[ID]], tblPiNAnalysis[ID], 0)), "")</f>
        <v>0</v>
      </c>
      <c r="W66" s="28">
        <f>IFERROR(INDEX(tblPiNAnalysis[Food Security and Livlihoods], MATCH(tblPiNHistorical[[#This Row],[ID]], tblPiNAnalysis[ID], 0)), "")</f>
        <v>0</v>
      </c>
      <c r="X66" s="28">
        <f>IFERROR(INDEX(tblPiNAnalysis[[Health ]], MATCH(tblPiNHistorical[[#This Row],[ID]], tblPiNAnalysis[ID], 0)), "")</f>
        <v>0</v>
      </c>
      <c r="Y66" s="28">
        <f>IFERROR(INDEX(tblPiNAnalysis[Nutrition], MATCH(tblPiNHistorical[[#This Row],[ID]], tblPiNAnalysis[ID], 0)), "")</f>
        <v>0</v>
      </c>
      <c r="Z66" s="28">
        <f>IFERROR(INDEX(tblPiNAnalysis[Protection], MATCH(tblPiNHistorical[[#This Row],[ID]], tblPiNAnalysis[ID], 0)), "")</f>
        <v>0</v>
      </c>
      <c r="AA66" s="28">
        <f>IFERROR(INDEX(tblPiNAnalysis[CP], MATCH(tblPiNHistorical[[#This Row],[ID]], tblPiNAnalysis[ID], 0)), "")</f>
        <v>0</v>
      </c>
      <c r="AB66" s="83">
        <f>IFERROR(INDEX(tblPiNAnalysis[GBV], MATCH(tblPiNHistorical[[#This Row],[ID]], tblPiNAnalysis[ID], 0)), "")</f>
        <v>0</v>
      </c>
      <c r="AC66" s="28">
        <f>IFERROR(INDEX(tblPiNAnalysis[Mine Action], MATCH(tblPiNHistorical[[#This Row],[ID]], tblPiNAnalysis[ID], 0)), "")</f>
        <v>0</v>
      </c>
      <c r="AD66" s="83">
        <f>IFERROR(INDEX(tblPiNAnalysis[[Shelter NFI ]], MATCH(tblPiNHistorical[[#This Row],[ID]], tblPiNAnalysis[ID], 0)), "")</f>
        <v>2287</v>
      </c>
      <c r="AE66" s="35">
        <f>IFERROR(INDEX(tblPiNAnalysis[WASH], MATCH(tblPiNHistorical[[#This Row],[ID]], tblPiNAnalysis[ID], 0)), "")</f>
        <v>0</v>
      </c>
      <c r="AF66" s="6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66" s="67" t="str">
        <f>IF(OR(tblPiNHistorical[[#This Row],[Education Old]]="", tblPiNHistorical[[#This Row],[Education Old]]=0, tblPiNHistorical[[#This Row],[Education New]]="", tblPiNHistorical[[#This Row],[Education New]]=0), "", tblPiNHistorical[[#This Row],[Education New]]-tblPiNHistorical[[#This Row],[Education Old]])</f>
        <v/>
      </c>
      <c r="AH66" s="67"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66" s="67" t="str">
        <f>IF(OR(tblPiNHistorical[[#This Row],[Health Old]]="", tblPiNHistorical[[#This Row],[Health Old]]=0, tblPiNHistorical[[#This Row],[Health New]]="", tblPiNHistorical[[#This Row],[Health New]]=0), "", tblPiNHistorical[[#This Row],[Health New]]-tblPiNHistorical[[#This Row],[Health Old]])</f>
        <v/>
      </c>
      <c r="AJ66" s="67" t="str">
        <f>IF(OR(tblPiNHistorical[[#This Row],[Nutrition Old]]="", tblPiNHistorical[[#This Row],[Nutrition Old]]=0, tblPiNHistorical[[#This Row],[Nutrition New]]="", tblPiNHistorical[[#This Row],[Nutrition New]]=0), "", tblPiNHistorical[[#This Row],[Nutrition New]]-tblPiNHistorical[[#This Row],[Nutrition Old]])</f>
        <v/>
      </c>
      <c r="AK66" s="67" t="str">
        <f>IF(OR(tblPiNHistorical[[#This Row],[Protection Old]]="", tblPiNHistorical[[#This Row],[Protection Old]]=0, tblPiNHistorical[[#This Row],[Protection New]]="", tblPiNHistorical[[#This Row],[Protection New]]=0), "", tblPiNHistorical[[#This Row],[Protection New]]-tblPiNHistorical[[#This Row],[Protection Old]])</f>
        <v/>
      </c>
      <c r="AL66" s="67" t="str">
        <f>IF(OR(tblPiNHistorical[[#This Row],[CP Old ]]="", tblPiNHistorical[[#This Row],[CP Old ]]=0, tblPiNHistorical[[#This Row],[CP New]]="", tblPiNHistorical[[#This Row],[CP New]]=0), "", tblPiNHistorical[[#This Row],[CP New]]-tblPiNHistorical[[#This Row],[CP Old ]])</f>
        <v/>
      </c>
      <c r="AM66" s="83" t="str">
        <f>IF(OR(tblPiNHistorical[[#This Row],[GBV Old]]="", tblPiNHistorical[[#This Row],[GBV Old]]=0, tblPiNHistorical[[#This Row],[GBV New]]="", tblPiNHistorical[[#This Row],[GBV New]]=0), "", tblPiNHistorical[[#This Row],[GBV New]]-tblPiNHistorical[[#This Row],[GBV Old]])</f>
        <v/>
      </c>
      <c r="AN66" s="83" t="str">
        <f>IF(OR(tblPiNHistorical[[#This Row],[Mine Action Old]]="", tblPiNHistorical[[#This Row],[Mine Action Old]]=0, tblPiNHistorical[[#This Row],[Mine Action New]]="", tblPiNHistorical[[#This Row],[Mine Action New]]=0), "", tblPiNHistorical[[#This Row],[Mine Action New]]-tblPiNHistorical[[#This Row],[Mine Action Old]])</f>
        <v/>
      </c>
      <c r="AO66" s="67">
        <f>IF(OR(tblPiNHistorical[[#This Row],[Shelter NFI Old]]="", tblPiNHistorical[[#This Row],[Shelter NFI Old]]=0, tblPiNHistorical[[#This Row],[Shelter NFI New]]="", tblPiNHistorical[[#This Row],[Shelter NFI New]]=0), "", tblPiNHistorical[[#This Row],[Shelter NFI New]]-tblPiNHistorical[[#This Row],[Shelter NFI Old]])</f>
        <v>-249</v>
      </c>
      <c r="AP66" s="111" t="str">
        <f>IF(OR(tblPiNHistorical[[#This Row],[WASH Old]]="", tblPiNHistorical[[#This Row],[WASH Old]]=0, tblPiNHistorical[[#This Row],[WASH New]]="", tblPiNHistorical[[#This Row],[WASH New]]=0), "", tblPiNHistorical[[#This Row],[WASH New]]-tblPiNHistorical[[#This Row],[WASH Old]])</f>
        <v/>
      </c>
      <c r="AQ66" s="110" t="str">
        <f>IFERROR(ROUND((tblPiNHistorical[[#This Row],[Site Management - New]] - tblPiNHistorical[[#This Row],[Site Management - Old]])/tblPiNHistorical[[#This Row],[Site Management - Old]], 1), "")</f>
        <v/>
      </c>
      <c r="AR66" s="66">
        <f>IFERROR(ROUND((tblPiNHistorical[[#This Row],[Education New]]-tblPiNHistorical[[#This Row],[Education Old]])/tblPiNHistorical[[#This Row],[Education Old]], 1), "")</f>
        <v>-1</v>
      </c>
      <c r="AS66" s="66">
        <f>IFERROR(ROUND((tblPiNHistorical[[#This Row],[Food Security and Livlihoods New]]-tblPiNHistorical[[#This Row],[Food Security and Livlihoods Old]])/tblPiNHistorical[[#This Row],[Food Security and Livlihoods Old]], 1), "")</f>
        <v>-1</v>
      </c>
      <c r="AT66" s="66">
        <f>IFERROR(ROUND((tblPiNHistorical[[#This Row],[Health New]]-tblPiNHistorical[[#This Row],[Health Old]])/tblPiNHistorical[[#This Row],[Health Old]], 1), "")</f>
        <v>-1</v>
      </c>
      <c r="AU66" s="66">
        <f>IFERROR(ROUND((tblPiNHistorical[[#This Row],[Nutrition New]]-tblPiNHistorical[[#This Row],[Nutrition Old]])/tblPiNHistorical[[#This Row],[Nutrition Old]], 1), "")</f>
        <v>-1</v>
      </c>
      <c r="AV66" s="66">
        <f>IFERROR(ROUND((tblPiNHistorical[[#This Row],[Protection New]]-tblPiNHistorical[[#This Row],[Protection Old]])/tblPiNHistorical[[#This Row],[Protection Old]], 1), "")</f>
        <v>-1</v>
      </c>
      <c r="AW66" s="84">
        <f>IFERROR(ROUND((tblPiNHistorical[[#This Row],[CP New]]-tblPiNHistorical[[#This Row],[CP Old ]])/tblPiNHistorical[[#This Row],[CP Old ]], 1), "")</f>
        <v>-1</v>
      </c>
      <c r="AX66" s="84">
        <f>IFERROR(ROUND((tblPiNHistorical[[#This Row],[GBV New]]-tblPiNHistorical[[#This Row],[GBV Old]])/tblPiNHistorical[[#This Row],[GBV Old]], 1), "")</f>
        <v>-1</v>
      </c>
      <c r="AY66" s="84">
        <f>IFERROR(ROUND((tblPiNHistorical[[#This Row],[Mine Action New]]-tblPiNHistorical[[#This Row],[Mine Action Old]])/tblPiNHistorical[[#This Row],[Mine Action Old]], 1), "")</f>
        <v>-1</v>
      </c>
      <c r="AZ66" s="66">
        <f>IFERROR(ROUND((tblPiNHistorical[[#This Row],[Shelter NFI New]]-tblPiNHistorical[[#This Row],[Shelter NFI Old]])/tblPiNHistorical[[#This Row],[Shelter NFI Old]], 1), "")</f>
        <v>-0.1</v>
      </c>
      <c r="BA66" s="36">
        <f>IFERROR(ROUND((tblPiNHistorical[[#This Row],[WASH New]]-tblPiNHistorical[[#This Row],[WASH Old]])/tblPiNHistorical[[#This Row],[WASH Old]], 1), "")</f>
        <v>-1</v>
      </c>
      <c r="BB66"/>
      <c r="BC66"/>
      <c r="BD66"/>
      <c r="BE66"/>
      <c r="BF66"/>
      <c r="BG66"/>
      <c r="BH66"/>
      <c r="BI66"/>
      <c r="BL66"/>
      <c r="BN66"/>
      <c r="BO66"/>
      <c r="BP66"/>
    </row>
    <row r="67" spans="1:68" x14ac:dyDescent="0.25">
      <c r="A67"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IDPsSD01006</v>
      </c>
      <c r="B67" s="127" t="s">
        <v>164</v>
      </c>
      <c r="C67" s="60" t="s">
        <v>118</v>
      </c>
      <c r="D67" s="60" t="s">
        <v>333</v>
      </c>
      <c r="E67" s="60" t="s">
        <v>334</v>
      </c>
      <c r="F67" s="54"/>
      <c r="G67" s="30"/>
      <c r="H67" s="56">
        <v>3980</v>
      </c>
      <c r="I67" s="37" t="s">
        <v>88</v>
      </c>
      <c r="J67" s="34">
        <v>0</v>
      </c>
      <c r="K67" s="116">
        <v>1543.046</v>
      </c>
      <c r="L67" s="114">
        <v>3980</v>
      </c>
      <c r="M67" s="114">
        <v>3980</v>
      </c>
      <c r="N67" s="114">
        <v>362</v>
      </c>
      <c r="O67" s="114">
        <v>3980</v>
      </c>
      <c r="P67" s="114">
        <v>2189</v>
      </c>
      <c r="Q67" s="114">
        <v>1891</v>
      </c>
      <c r="R67" s="114">
        <v>2786</v>
      </c>
      <c r="S67" s="114">
        <v>3184</v>
      </c>
      <c r="T67" s="196">
        <v>2210.3328000000001</v>
      </c>
      <c r="U67" s="52">
        <f>IFERROR(INDEX(tblPiNAnalysis[[Site Management ]], MATCH(tblPiNHistorical[[#This Row],[ID]], tblPiNAnalysis[ID], 0)), "")</f>
        <v>0</v>
      </c>
      <c r="V67" s="52">
        <f>IFERROR(INDEX(tblPiNAnalysis[Education], MATCH(tblPiNHistorical[[#This Row],[ID]], tblPiNAnalysis[ID], 0)), "")</f>
        <v>0</v>
      </c>
      <c r="W67" s="28">
        <f>IFERROR(INDEX(tblPiNAnalysis[Food Security and Livlihoods], MATCH(tblPiNHistorical[[#This Row],[ID]], tblPiNAnalysis[ID], 0)), "")</f>
        <v>0</v>
      </c>
      <c r="X67" s="28">
        <f>IFERROR(INDEX(tblPiNAnalysis[[Health ]], MATCH(tblPiNHistorical[[#This Row],[ID]], tblPiNAnalysis[ID], 0)), "")</f>
        <v>0</v>
      </c>
      <c r="Y67" s="28">
        <f>IFERROR(INDEX(tblPiNAnalysis[Nutrition], MATCH(tblPiNHistorical[[#This Row],[ID]], tblPiNAnalysis[ID], 0)), "")</f>
        <v>0</v>
      </c>
      <c r="Z67" s="28">
        <f>IFERROR(INDEX(tblPiNAnalysis[Protection], MATCH(tblPiNHistorical[[#This Row],[ID]], tblPiNAnalysis[ID], 0)), "")</f>
        <v>0</v>
      </c>
      <c r="AA67" s="28">
        <f>IFERROR(INDEX(tblPiNAnalysis[CP], MATCH(tblPiNHistorical[[#This Row],[ID]], tblPiNAnalysis[ID], 0)), "")</f>
        <v>0</v>
      </c>
      <c r="AB67" s="83">
        <f>IFERROR(INDEX(tblPiNAnalysis[GBV], MATCH(tblPiNHistorical[[#This Row],[ID]], tblPiNAnalysis[ID], 0)), "")</f>
        <v>0</v>
      </c>
      <c r="AC67" s="28">
        <f>IFERROR(INDEX(tblPiNAnalysis[Mine Action], MATCH(tblPiNHistorical[[#This Row],[ID]], tblPiNAnalysis[ID], 0)), "")</f>
        <v>0</v>
      </c>
      <c r="AD67" s="83">
        <f>IFERROR(INDEX(tblPiNAnalysis[[Shelter NFI ]], MATCH(tblPiNHistorical[[#This Row],[ID]], tblPiNAnalysis[ID], 0)), "")</f>
        <v>2930</v>
      </c>
      <c r="AE67" s="35">
        <f>IFERROR(INDEX(tblPiNAnalysis[WASH], MATCH(tblPiNHistorical[[#This Row],[ID]], tblPiNAnalysis[ID], 0)), "")</f>
        <v>0</v>
      </c>
      <c r="AF67" s="6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67" s="67" t="str">
        <f>IF(OR(tblPiNHistorical[[#This Row],[Education Old]]="", tblPiNHistorical[[#This Row],[Education Old]]=0, tblPiNHistorical[[#This Row],[Education New]]="", tblPiNHistorical[[#This Row],[Education New]]=0), "", tblPiNHistorical[[#This Row],[Education New]]-tblPiNHistorical[[#This Row],[Education Old]])</f>
        <v/>
      </c>
      <c r="AH67" s="67"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67" s="67" t="str">
        <f>IF(OR(tblPiNHistorical[[#This Row],[Health Old]]="", tblPiNHistorical[[#This Row],[Health Old]]=0, tblPiNHistorical[[#This Row],[Health New]]="", tblPiNHistorical[[#This Row],[Health New]]=0), "", tblPiNHistorical[[#This Row],[Health New]]-tblPiNHistorical[[#This Row],[Health Old]])</f>
        <v/>
      </c>
      <c r="AJ67" s="67" t="str">
        <f>IF(OR(tblPiNHistorical[[#This Row],[Nutrition Old]]="", tblPiNHistorical[[#This Row],[Nutrition Old]]=0, tblPiNHistorical[[#This Row],[Nutrition New]]="", tblPiNHistorical[[#This Row],[Nutrition New]]=0), "", tblPiNHistorical[[#This Row],[Nutrition New]]-tblPiNHistorical[[#This Row],[Nutrition Old]])</f>
        <v/>
      </c>
      <c r="AK67" s="67" t="str">
        <f>IF(OR(tblPiNHistorical[[#This Row],[Protection Old]]="", tblPiNHistorical[[#This Row],[Protection Old]]=0, tblPiNHistorical[[#This Row],[Protection New]]="", tblPiNHistorical[[#This Row],[Protection New]]=0), "", tblPiNHistorical[[#This Row],[Protection New]]-tblPiNHistorical[[#This Row],[Protection Old]])</f>
        <v/>
      </c>
      <c r="AL67" s="67" t="str">
        <f>IF(OR(tblPiNHistorical[[#This Row],[CP Old ]]="", tblPiNHistorical[[#This Row],[CP Old ]]=0, tblPiNHistorical[[#This Row],[CP New]]="", tblPiNHistorical[[#This Row],[CP New]]=0), "", tblPiNHistorical[[#This Row],[CP New]]-tblPiNHistorical[[#This Row],[CP Old ]])</f>
        <v/>
      </c>
      <c r="AM67" s="83" t="str">
        <f>IF(OR(tblPiNHistorical[[#This Row],[GBV Old]]="", tblPiNHistorical[[#This Row],[GBV Old]]=0, tblPiNHistorical[[#This Row],[GBV New]]="", tblPiNHistorical[[#This Row],[GBV New]]=0), "", tblPiNHistorical[[#This Row],[GBV New]]-tblPiNHistorical[[#This Row],[GBV Old]])</f>
        <v/>
      </c>
      <c r="AN67" s="83" t="str">
        <f>IF(OR(tblPiNHistorical[[#This Row],[Mine Action Old]]="", tblPiNHistorical[[#This Row],[Mine Action Old]]=0, tblPiNHistorical[[#This Row],[Mine Action New]]="", tblPiNHistorical[[#This Row],[Mine Action New]]=0), "", tblPiNHistorical[[#This Row],[Mine Action New]]-tblPiNHistorical[[#This Row],[Mine Action Old]])</f>
        <v/>
      </c>
      <c r="AO67" s="67">
        <f>IF(OR(tblPiNHistorical[[#This Row],[Shelter NFI Old]]="", tblPiNHistorical[[#This Row],[Shelter NFI Old]]=0, tblPiNHistorical[[#This Row],[Shelter NFI New]]="", tblPiNHistorical[[#This Row],[Shelter NFI New]]=0), "", tblPiNHistorical[[#This Row],[Shelter NFI New]]-tblPiNHistorical[[#This Row],[Shelter NFI Old]])</f>
        <v>-254</v>
      </c>
      <c r="AP67" s="111" t="str">
        <f>IF(OR(tblPiNHistorical[[#This Row],[WASH Old]]="", tblPiNHistorical[[#This Row],[WASH Old]]=0, tblPiNHistorical[[#This Row],[WASH New]]="", tblPiNHistorical[[#This Row],[WASH New]]=0), "", tblPiNHistorical[[#This Row],[WASH New]]-tblPiNHistorical[[#This Row],[WASH Old]])</f>
        <v/>
      </c>
      <c r="AQ67" s="110" t="str">
        <f>IFERROR(ROUND((tblPiNHistorical[[#This Row],[Site Management - New]] - tblPiNHistorical[[#This Row],[Site Management - Old]])/tblPiNHistorical[[#This Row],[Site Management - Old]], 1), "")</f>
        <v/>
      </c>
      <c r="AR67" s="66">
        <f>IFERROR(ROUND((tblPiNHistorical[[#This Row],[Education New]]-tblPiNHistorical[[#This Row],[Education Old]])/tblPiNHistorical[[#This Row],[Education Old]], 1), "")</f>
        <v>-1</v>
      </c>
      <c r="AS67" s="66">
        <f>IFERROR(ROUND((tblPiNHistorical[[#This Row],[Food Security and Livlihoods New]]-tblPiNHistorical[[#This Row],[Food Security and Livlihoods Old]])/tblPiNHistorical[[#This Row],[Food Security and Livlihoods Old]], 1), "")</f>
        <v>-1</v>
      </c>
      <c r="AT67" s="66">
        <f>IFERROR(ROUND((tblPiNHistorical[[#This Row],[Health New]]-tblPiNHistorical[[#This Row],[Health Old]])/tblPiNHistorical[[#This Row],[Health Old]], 1), "")</f>
        <v>-1</v>
      </c>
      <c r="AU67" s="66">
        <f>IFERROR(ROUND((tblPiNHistorical[[#This Row],[Nutrition New]]-tblPiNHistorical[[#This Row],[Nutrition Old]])/tblPiNHistorical[[#This Row],[Nutrition Old]], 1), "")</f>
        <v>-1</v>
      </c>
      <c r="AV67" s="66">
        <f>IFERROR(ROUND((tblPiNHistorical[[#This Row],[Protection New]]-tblPiNHistorical[[#This Row],[Protection Old]])/tblPiNHistorical[[#This Row],[Protection Old]], 1), "")</f>
        <v>-1</v>
      </c>
      <c r="AW67" s="84">
        <f>IFERROR(ROUND((tblPiNHistorical[[#This Row],[CP New]]-tblPiNHistorical[[#This Row],[CP Old ]])/tblPiNHistorical[[#This Row],[CP Old ]], 1), "")</f>
        <v>-1</v>
      </c>
      <c r="AX67" s="84">
        <f>IFERROR(ROUND((tblPiNHistorical[[#This Row],[GBV New]]-tblPiNHistorical[[#This Row],[GBV Old]])/tblPiNHistorical[[#This Row],[GBV Old]], 1), "")</f>
        <v>-1</v>
      </c>
      <c r="AY67" s="84">
        <f>IFERROR(ROUND((tblPiNHistorical[[#This Row],[Mine Action New]]-tblPiNHistorical[[#This Row],[Mine Action Old]])/tblPiNHistorical[[#This Row],[Mine Action Old]], 1), "")</f>
        <v>-1</v>
      </c>
      <c r="AZ67" s="66">
        <f>IFERROR(ROUND((tblPiNHistorical[[#This Row],[Shelter NFI New]]-tblPiNHistorical[[#This Row],[Shelter NFI Old]])/tblPiNHistorical[[#This Row],[Shelter NFI Old]], 1), "")</f>
        <v>-0.1</v>
      </c>
      <c r="BA67" s="36">
        <f>IFERROR(ROUND((tblPiNHistorical[[#This Row],[WASH New]]-tblPiNHistorical[[#This Row],[WASH Old]])/tblPiNHistorical[[#This Row],[WASH Old]], 1), "")</f>
        <v>-1</v>
      </c>
      <c r="BB67"/>
      <c r="BC67"/>
      <c r="BD67"/>
      <c r="BE67"/>
      <c r="BF67"/>
      <c r="BG67"/>
      <c r="BH67"/>
      <c r="BI67"/>
      <c r="BL67"/>
      <c r="BN67"/>
      <c r="BO67"/>
      <c r="BP67"/>
    </row>
    <row r="68" spans="1:68" x14ac:dyDescent="0.25">
      <c r="A68"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IDPsSD02114</v>
      </c>
      <c r="B68" s="127" t="s">
        <v>167</v>
      </c>
      <c r="C68" s="60" t="s">
        <v>119</v>
      </c>
      <c r="D68" s="60" t="s">
        <v>199</v>
      </c>
      <c r="E68" s="60" t="s">
        <v>198</v>
      </c>
      <c r="F68" s="54"/>
      <c r="G68" s="30"/>
      <c r="H68" s="56">
        <v>555749</v>
      </c>
      <c r="I68" s="37" t="s">
        <v>88</v>
      </c>
      <c r="J68" s="34">
        <v>535902</v>
      </c>
      <c r="K68" s="116">
        <v>215463.8873</v>
      </c>
      <c r="L68" s="114">
        <v>555749</v>
      </c>
      <c r="M68" s="114">
        <v>555749</v>
      </c>
      <c r="N68" s="114">
        <v>92305</v>
      </c>
      <c r="O68" s="114">
        <v>555749</v>
      </c>
      <c r="P68" s="114">
        <v>305662</v>
      </c>
      <c r="Q68" s="114">
        <v>263962</v>
      </c>
      <c r="R68" s="114">
        <v>389024.3</v>
      </c>
      <c r="S68" s="114">
        <v>444599</v>
      </c>
      <c r="T68" s="196">
        <v>379865.55648000003</v>
      </c>
      <c r="U68" s="52">
        <f>IFERROR(INDEX(tblPiNAnalysis[[Site Management ]], MATCH(tblPiNHistorical[[#This Row],[ID]], tblPiNAnalysis[ID], 0)), "")</f>
        <v>0</v>
      </c>
      <c r="V68" s="52">
        <f>IFERROR(INDEX(tblPiNAnalysis[Education], MATCH(tblPiNHistorical[[#This Row],[ID]], tblPiNAnalysis[ID], 0)), "")</f>
        <v>0</v>
      </c>
      <c r="W68" s="28">
        <f>IFERROR(INDEX(tblPiNAnalysis[Food Security and Livlihoods], MATCH(tblPiNHistorical[[#This Row],[ID]], tblPiNAnalysis[ID], 0)), "")</f>
        <v>0</v>
      </c>
      <c r="X68" s="28">
        <f>IFERROR(INDEX(tblPiNAnalysis[[Health ]], MATCH(tblPiNHistorical[[#This Row],[ID]], tblPiNAnalysis[ID], 0)), "")</f>
        <v>0</v>
      </c>
      <c r="Y68" s="28">
        <f>IFERROR(INDEX(tblPiNAnalysis[Nutrition], MATCH(tblPiNHistorical[[#This Row],[ID]], tblPiNAnalysis[ID], 0)), "")</f>
        <v>0</v>
      </c>
      <c r="Z68" s="28">
        <f>IFERROR(INDEX(tblPiNAnalysis[Protection], MATCH(tblPiNHistorical[[#This Row],[ID]], tblPiNAnalysis[ID], 0)), "")</f>
        <v>0</v>
      </c>
      <c r="AA68" s="28">
        <f>IFERROR(INDEX(tblPiNAnalysis[CP], MATCH(tblPiNHistorical[[#This Row],[ID]], tblPiNAnalysis[ID], 0)), "")</f>
        <v>0</v>
      </c>
      <c r="AB68" s="83">
        <f>IFERROR(INDEX(tblPiNAnalysis[GBV], MATCH(tblPiNHistorical[[#This Row],[ID]], tblPiNAnalysis[ID], 0)), "")</f>
        <v>0</v>
      </c>
      <c r="AC68" s="28">
        <f>IFERROR(INDEX(tblPiNAnalysis[Mine Action], MATCH(tblPiNHistorical[[#This Row],[ID]], tblPiNAnalysis[ID], 0)), "")</f>
        <v>0</v>
      </c>
      <c r="AD68" s="83">
        <f>IFERROR(INDEX(tblPiNAnalysis[[Shelter NFI ]], MATCH(tblPiNHistorical[[#This Row],[ID]], tblPiNAnalysis[ID], 0)), "")</f>
        <v>324560</v>
      </c>
      <c r="AE68" s="35">
        <f>IFERROR(INDEX(tblPiNAnalysis[WASH], MATCH(tblPiNHistorical[[#This Row],[ID]], tblPiNAnalysis[ID], 0)), "")</f>
        <v>0</v>
      </c>
      <c r="AF68" s="6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68" s="67" t="str">
        <f>IF(OR(tblPiNHistorical[[#This Row],[Education Old]]="", tblPiNHistorical[[#This Row],[Education Old]]=0, tblPiNHistorical[[#This Row],[Education New]]="", tblPiNHistorical[[#This Row],[Education New]]=0), "", tblPiNHistorical[[#This Row],[Education New]]-tblPiNHistorical[[#This Row],[Education Old]])</f>
        <v/>
      </c>
      <c r="AH68" s="67"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68" s="67" t="str">
        <f>IF(OR(tblPiNHistorical[[#This Row],[Health Old]]="", tblPiNHistorical[[#This Row],[Health Old]]=0, tblPiNHistorical[[#This Row],[Health New]]="", tblPiNHistorical[[#This Row],[Health New]]=0), "", tblPiNHistorical[[#This Row],[Health New]]-tblPiNHistorical[[#This Row],[Health Old]])</f>
        <v/>
      </c>
      <c r="AJ68" s="67" t="str">
        <f>IF(OR(tblPiNHistorical[[#This Row],[Nutrition Old]]="", tblPiNHistorical[[#This Row],[Nutrition Old]]=0, tblPiNHistorical[[#This Row],[Nutrition New]]="", tblPiNHistorical[[#This Row],[Nutrition New]]=0), "", tblPiNHistorical[[#This Row],[Nutrition New]]-tblPiNHistorical[[#This Row],[Nutrition Old]])</f>
        <v/>
      </c>
      <c r="AK68" s="67" t="str">
        <f>IF(OR(tblPiNHistorical[[#This Row],[Protection Old]]="", tblPiNHistorical[[#This Row],[Protection Old]]=0, tblPiNHistorical[[#This Row],[Protection New]]="", tblPiNHistorical[[#This Row],[Protection New]]=0), "", tblPiNHistorical[[#This Row],[Protection New]]-tblPiNHistorical[[#This Row],[Protection Old]])</f>
        <v/>
      </c>
      <c r="AL68" s="67" t="str">
        <f>IF(OR(tblPiNHistorical[[#This Row],[CP Old ]]="", tblPiNHistorical[[#This Row],[CP Old ]]=0, tblPiNHistorical[[#This Row],[CP New]]="", tblPiNHistorical[[#This Row],[CP New]]=0), "", tblPiNHistorical[[#This Row],[CP New]]-tblPiNHistorical[[#This Row],[CP Old ]])</f>
        <v/>
      </c>
      <c r="AM68" s="83" t="str">
        <f>IF(OR(tblPiNHistorical[[#This Row],[GBV Old]]="", tblPiNHistorical[[#This Row],[GBV Old]]=0, tblPiNHistorical[[#This Row],[GBV New]]="", tblPiNHistorical[[#This Row],[GBV New]]=0), "", tblPiNHistorical[[#This Row],[GBV New]]-tblPiNHistorical[[#This Row],[GBV Old]])</f>
        <v/>
      </c>
      <c r="AN68" s="83" t="str">
        <f>IF(OR(tblPiNHistorical[[#This Row],[Mine Action Old]]="", tblPiNHistorical[[#This Row],[Mine Action Old]]=0, tblPiNHistorical[[#This Row],[Mine Action New]]="", tblPiNHistorical[[#This Row],[Mine Action New]]=0), "", tblPiNHistorical[[#This Row],[Mine Action New]]-tblPiNHistorical[[#This Row],[Mine Action Old]])</f>
        <v/>
      </c>
      <c r="AO68" s="67">
        <f>IF(OR(tblPiNHistorical[[#This Row],[Shelter NFI Old]]="", tblPiNHistorical[[#This Row],[Shelter NFI Old]]=0, tblPiNHistorical[[#This Row],[Shelter NFI New]]="", tblPiNHistorical[[#This Row],[Shelter NFI New]]=0), "", tblPiNHistorical[[#This Row],[Shelter NFI New]]-tblPiNHistorical[[#This Row],[Shelter NFI Old]])</f>
        <v>-120039</v>
      </c>
      <c r="AP68" s="111" t="str">
        <f>IF(OR(tblPiNHistorical[[#This Row],[WASH Old]]="", tblPiNHistorical[[#This Row],[WASH Old]]=0, tblPiNHistorical[[#This Row],[WASH New]]="", tblPiNHistorical[[#This Row],[WASH New]]=0), "", tblPiNHistorical[[#This Row],[WASH New]]-tblPiNHistorical[[#This Row],[WASH Old]])</f>
        <v/>
      </c>
      <c r="AQ68" s="110">
        <f>IFERROR(ROUND((tblPiNHistorical[[#This Row],[Site Management - New]] - tblPiNHistorical[[#This Row],[Site Management - Old]])/tblPiNHistorical[[#This Row],[Site Management - Old]], 1), "")</f>
        <v>-1</v>
      </c>
      <c r="AR68" s="66">
        <f>IFERROR(ROUND((tblPiNHistorical[[#This Row],[Education New]]-tblPiNHistorical[[#This Row],[Education Old]])/tblPiNHistorical[[#This Row],[Education Old]], 1), "")</f>
        <v>-1</v>
      </c>
      <c r="AS68" s="66">
        <f>IFERROR(ROUND((tblPiNHistorical[[#This Row],[Food Security and Livlihoods New]]-tblPiNHistorical[[#This Row],[Food Security and Livlihoods Old]])/tblPiNHistorical[[#This Row],[Food Security and Livlihoods Old]], 1), "")</f>
        <v>-1</v>
      </c>
      <c r="AT68" s="66">
        <f>IFERROR(ROUND((tblPiNHistorical[[#This Row],[Health New]]-tblPiNHistorical[[#This Row],[Health Old]])/tblPiNHistorical[[#This Row],[Health Old]], 1), "")</f>
        <v>-1</v>
      </c>
      <c r="AU68" s="66">
        <f>IFERROR(ROUND((tblPiNHistorical[[#This Row],[Nutrition New]]-tblPiNHistorical[[#This Row],[Nutrition Old]])/tblPiNHistorical[[#This Row],[Nutrition Old]], 1), "")</f>
        <v>-1</v>
      </c>
      <c r="AV68" s="66">
        <f>IFERROR(ROUND((tblPiNHistorical[[#This Row],[Protection New]]-tblPiNHistorical[[#This Row],[Protection Old]])/tblPiNHistorical[[#This Row],[Protection Old]], 1), "")</f>
        <v>-1</v>
      </c>
      <c r="AW68" s="84">
        <f>IFERROR(ROUND((tblPiNHistorical[[#This Row],[CP New]]-tblPiNHistorical[[#This Row],[CP Old ]])/tblPiNHistorical[[#This Row],[CP Old ]], 1), "")</f>
        <v>-1</v>
      </c>
      <c r="AX68" s="84">
        <f>IFERROR(ROUND((tblPiNHistorical[[#This Row],[GBV New]]-tblPiNHistorical[[#This Row],[GBV Old]])/tblPiNHistorical[[#This Row],[GBV Old]], 1), "")</f>
        <v>-1</v>
      </c>
      <c r="AY68" s="84">
        <f>IFERROR(ROUND((tblPiNHistorical[[#This Row],[Mine Action New]]-tblPiNHistorical[[#This Row],[Mine Action Old]])/tblPiNHistorical[[#This Row],[Mine Action Old]], 1), "")</f>
        <v>-1</v>
      </c>
      <c r="AZ68" s="66">
        <f>IFERROR(ROUND((tblPiNHistorical[[#This Row],[Shelter NFI New]]-tblPiNHistorical[[#This Row],[Shelter NFI Old]])/tblPiNHistorical[[#This Row],[Shelter NFI Old]], 1), "")</f>
        <v>-0.3</v>
      </c>
      <c r="BA68" s="36">
        <f>IFERROR(ROUND((tblPiNHistorical[[#This Row],[WASH New]]-tblPiNHistorical[[#This Row],[WASH Old]])/tblPiNHistorical[[#This Row],[WASH Old]], 1), "")</f>
        <v>-1</v>
      </c>
      <c r="BB68"/>
      <c r="BC68"/>
      <c r="BD68"/>
      <c r="BE68"/>
      <c r="BF68"/>
      <c r="BG68"/>
      <c r="BH68"/>
      <c r="BI68"/>
      <c r="BL68"/>
      <c r="BN68"/>
      <c r="BO68"/>
      <c r="BP68"/>
    </row>
    <row r="69" spans="1:68" x14ac:dyDescent="0.25">
      <c r="A69"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IDPsSD02116</v>
      </c>
      <c r="B69" s="127" t="s">
        <v>167</v>
      </c>
      <c r="C69" s="60" t="s">
        <v>119</v>
      </c>
      <c r="D69" s="60" t="s">
        <v>201</v>
      </c>
      <c r="E69" s="60" t="s">
        <v>200</v>
      </c>
      <c r="F69" s="54"/>
      <c r="G69" s="30"/>
      <c r="H69" s="56">
        <v>1750</v>
      </c>
      <c r="I69" s="37" t="s">
        <v>88</v>
      </c>
      <c r="J69" s="34">
        <v>0</v>
      </c>
      <c r="K69" s="116">
        <v>678.47500000000002</v>
      </c>
      <c r="L69" s="114">
        <v>1750</v>
      </c>
      <c r="M69" s="114">
        <v>1750</v>
      </c>
      <c r="N69" s="114">
        <v>271</v>
      </c>
      <c r="O69" s="114">
        <v>1750</v>
      </c>
      <c r="P69" s="114">
        <v>963</v>
      </c>
      <c r="Q69" s="114">
        <v>694</v>
      </c>
      <c r="R69" s="114">
        <v>0</v>
      </c>
      <c r="S69" s="114">
        <v>0</v>
      </c>
      <c r="T69" s="196">
        <v>0</v>
      </c>
      <c r="U69" s="52">
        <f>IFERROR(INDEX(tblPiNAnalysis[[Site Management ]], MATCH(tblPiNHistorical[[#This Row],[ID]], tblPiNAnalysis[ID], 0)), "")</f>
        <v>0</v>
      </c>
      <c r="V69" s="52">
        <f>IFERROR(INDEX(tblPiNAnalysis[Education], MATCH(tblPiNHistorical[[#This Row],[ID]], tblPiNAnalysis[ID], 0)), "")</f>
        <v>0</v>
      </c>
      <c r="W69" s="28">
        <f>IFERROR(INDEX(tblPiNAnalysis[Food Security and Livlihoods], MATCH(tblPiNHistorical[[#This Row],[ID]], tblPiNAnalysis[ID], 0)), "")</f>
        <v>0</v>
      </c>
      <c r="X69" s="28">
        <f>IFERROR(INDEX(tblPiNAnalysis[[Health ]], MATCH(tblPiNHistorical[[#This Row],[ID]], tblPiNAnalysis[ID], 0)), "")</f>
        <v>0</v>
      </c>
      <c r="Y69" s="28">
        <f>IFERROR(INDEX(tblPiNAnalysis[Nutrition], MATCH(tblPiNHistorical[[#This Row],[ID]], tblPiNAnalysis[ID], 0)), "")</f>
        <v>0</v>
      </c>
      <c r="Z69" s="28">
        <f>IFERROR(INDEX(tblPiNAnalysis[Protection], MATCH(tblPiNHistorical[[#This Row],[ID]], tblPiNAnalysis[ID], 0)), "")</f>
        <v>0</v>
      </c>
      <c r="AA69" s="28">
        <f>IFERROR(INDEX(tblPiNAnalysis[CP], MATCH(tblPiNHistorical[[#This Row],[ID]], tblPiNAnalysis[ID], 0)), "")</f>
        <v>0</v>
      </c>
      <c r="AB69" s="83">
        <f>IFERROR(INDEX(tblPiNAnalysis[GBV], MATCH(tblPiNHistorical[[#This Row],[ID]], tblPiNAnalysis[ID], 0)), "")</f>
        <v>0</v>
      </c>
      <c r="AC69" s="28">
        <f>IFERROR(INDEX(tblPiNAnalysis[Mine Action], MATCH(tblPiNHistorical[[#This Row],[ID]], tblPiNAnalysis[ID], 0)), "")</f>
        <v>0</v>
      </c>
      <c r="AD69" s="83">
        <f>IFERROR(INDEX(tblPiNAnalysis[[Shelter NFI ]], MATCH(tblPiNHistorical[[#This Row],[ID]], tblPiNAnalysis[ID], 0)), "")</f>
        <v>9077</v>
      </c>
      <c r="AE69" s="35">
        <f>IFERROR(INDEX(tblPiNAnalysis[WASH], MATCH(tblPiNHistorical[[#This Row],[ID]], tblPiNAnalysis[ID], 0)), "")</f>
        <v>0</v>
      </c>
      <c r="AF69" s="6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69" s="67" t="str">
        <f>IF(OR(tblPiNHistorical[[#This Row],[Education Old]]="", tblPiNHistorical[[#This Row],[Education Old]]=0, tblPiNHistorical[[#This Row],[Education New]]="", tblPiNHistorical[[#This Row],[Education New]]=0), "", tblPiNHistorical[[#This Row],[Education New]]-tblPiNHistorical[[#This Row],[Education Old]])</f>
        <v/>
      </c>
      <c r="AH69" s="67"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69" s="67" t="str">
        <f>IF(OR(tblPiNHistorical[[#This Row],[Health Old]]="", tblPiNHistorical[[#This Row],[Health Old]]=0, tblPiNHistorical[[#This Row],[Health New]]="", tblPiNHistorical[[#This Row],[Health New]]=0), "", tblPiNHistorical[[#This Row],[Health New]]-tblPiNHistorical[[#This Row],[Health Old]])</f>
        <v/>
      </c>
      <c r="AJ69" s="67" t="str">
        <f>IF(OR(tblPiNHistorical[[#This Row],[Nutrition Old]]="", tblPiNHistorical[[#This Row],[Nutrition Old]]=0, tblPiNHistorical[[#This Row],[Nutrition New]]="", tblPiNHistorical[[#This Row],[Nutrition New]]=0), "", tblPiNHistorical[[#This Row],[Nutrition New]]-tblPiNHistorical[[#This Row],[Nutrition Old]])</f>
        <v/>
      </c>
      <c r="AK69" s="67" t="str">
        <f>IF(OR(tblPiNHistorical[[#This Row],[Protection Old]]="", tblPiNHistorical[[#This Row],[Protection Old]]=0, tblPiNHistorical[[#This Row],[Protection New]]="", tblPiNHistorical[[#This Row],[Protection New]]=0), "", tblPiNHistorical[[#This Row],[Protection New]]-tblPiNHistorical[[#This Row],[Protection Old]])</f>
        <v/>
      </c>
      <c r="AL69" s="67" t="str">
        <f>IF(OR(tblPiNHistorical[[#This Row],[CP Old ]]="", tblPiNHistorical[[#This Row],[CP Old ]]=0, tblPiNHistorical[[#This Row],[CP New]]="", tblPiNHistorical[[#This Row],[CP New]]=0), "", tblPiNHistorical[[#This Row],[CP New]]-tblPiNHistorical[[#This Row],[CP Old ]])</f>
        <v/>
      </c>
      <c r="AM69" s="83" t="str">
        <f>IF(OR(tblPiNHistorical[[#This Row],[GBV Old]]="", tblPiNHistorical[[#This Row],[GBV Old]]=0, tblPiNHistorical[[#This Row],[GBV New]]="", tblPiNHistorical[[#This Row],[GBV New]]=0), "", tblPiNHistorical[[#This Row],[GBV New]]-tblPiNHistorical[[#This Row],[GBV Old]])</f>
        <v/>
      </c>
      <c r="AN69" s="83" t="str">
        <f>IF(OR(tblPiNHistorical[[#This Row],[Mine Action Old]]="", tblPiNHistorical[[#This Row],[Mine Action Old]]=0, tblPiNHistorical[[#This Row],[Mine Action New]]="", tblPiNHistorical[[#This Row],[Mine Action New]]=0), "", tblPiNHistorical[[#This Row],[Mine Action New]]-tblPiNHistorical[[#This Row],[Mine Action Old]])</f>
        <v/>
      </c>
      <c r="AO69" s="67" t="str">
        <f>IF(OR(tblPiNHistorical[[#This Row],[Shelter NFI Old]]="", tblPiNHistorical[[#This Row],[Shelter NFI Old]]=0, tblPiNHistorical[[#This Row],[Shelter NFI New]]="", tblPiNHistorical[[#This Row],[Shelter NFI New]]=0), "", tblPiNHistorical[[#This Row],[Shelter NFI New]]-tblPiNHistorical[[#This Row],[Shelter NFI Old]])</f>
        <v/>
      </c>
      <c r="AP69" s="111" t="str">
        <f>IF(OR(tblPiNHistorical[[#This Row],[WASH Old]]="", tblPiNHistorical[[#This Row],[WASH Old]]=0, tblPiNHistorical[[#This Row],[WASH New]]="", tblPiNHistorical[[#This Row],[WASH New]]=0), "", tblPiNHistorical[[#This Row],[WASH New]]-tblPiNHistorical[[#This Row],[WASH Old]])</f>
        <v/>
      </c>
      <c r="AQ69" s="110" t="str">
        <f>IFERROR(ROUND((tblPiNHistorical[[#This Row],[Site Management - New]] - tblPiNHistorical[[#This Row],[Site Management - Old]])/tblPiNHistorical[[#This Row],[Site Management - Old]], 1), "")</f>
        <v/>
      </c>
      <c r="AR69" s="66">
        <f>IFERROR(ROUND((tblPiNHistorical[[#This Row],[Education New]]-tblPiNHistorical[[#This Row],[Education Old]])/tblPiNHistorical[[#This Row],[Education Old]], 1), "")</f>
        <v>-1</v>
      </c>
      <c r="AS69" s="66">
        <f>IFERROR(ROUND((tblPiNHistorical[[#This Row],[Food Security and Livlihoods New]]-tblPiNHistorical[[#This Row],[Food Security and Livlihoods Old]])/tblPiNHistorical[[#This Row],[Food Security and Livlihoods Old]], 1), "")</f>
        <v>-1</v>
      </c>
      <c r="AT69" s="66">
        <f>IFERROR(ROUND((tblPiNHistorical[[#This Row],[Health New]]-tblPiNHistorical[[#This Row],[Health Old]])/tblPiNHistorical[[#This Row],[Health Old]], 1), "")</f>
        <v>-1</v>
      </c>
      <c r="AU69" s="66">
        <f>IFERROR(ROUND((tblPiNHistorical[[#This Row],[Nutrition New]]-tblPiNHistorical[[#This Row],[Nutrition Old]])/tblPiNHistorical[[#This Row],[Nutrition Old]], 1), "")</f>
        <v>-1</v>
      </c>
      <c r="AV69" s="66">
        <f>IFERROR(ROUND((tblPiNHistorical[[#This Row],[Protection New]]-tblPiNHistorical[[#This Row],[Protection Old]])/tblPiNHistorical[[#This Row],[Protection Old]], 1), "")</f>
        <v>-1</v>
      </c>
      <c r="AW69" s="84">
        <f>IFERROR(ROUND((tblPiNHistorical[[#This Row],[CP New]]-tblPiNHistorical[[#This Row],[CP Old ]])/tblPiNHistorical[[#This Row],[CP Old ]], 1), "")</f>
        <v>-1</v>
      </c>
      <c r="AX69" s="84">
        <f>IFERROR(ROUND((tblPiNHistorical[[#This Row],[GBV New]]-tblPiNHistorical[[#This Row],[GBV Old]])/tblPiNHistorical[[#This Row],[GBV Old]], 1), "")</f>
        <v>-1</v>
      </c>
      <c r="AY69" s="84" t="str">
        <f>IFERROR(ROUND((tblPiNHistorical[[#This Row],[Mine Action New]]-tblPiNHistorical[[#This Row],[Mine Action Old]])/tblPiNHistorical[[#This Row],[Mine Action Old]], 1), "")</f>
        <v/>
      </c>
      <c r="AZ69" s="66" t="str">
        <f>IFERROR(ROUND((tblPiNHistorical[[#This Row],[Shelter NFI New]]-tblPiNHistorical[[#This Row],[Shelter NFI Old]])/tblPiNHistorical[[#This Row],[Shelter NFI Old]], 1), "")</f>
        <v/>
      </c>
      <c r="BA69" s="36" t="str">
        <f>IFERROR(ROUND((tblPiNHistorical[[#This Row],[WASH New]]-tblPiNHistorical[[#This Row],[WASH Old]])/tblPiNHistorical[[#This Row],[WASH Old]], 1), "")</f>
        <v/>
      </c>
      <c r="BB69"/>
      <c r="BC69"/>
      <c r="BD69"/>
      <c r="BE69"/>
      <c r="BF69"/>
      <c r="BG69"/>
      <c r="BH69"/>
      <c r="BI69"/>
      <c r="BL69"/>
      <c r="BN69"/>
      <c r="BO69"/>
      <c r="BP69"/>
    </row>
    <row r="70" spans="1:68" x14ac:dyDescent="0.25">
      <c r="A70"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IDPsSD02169</v>
      </c>
      <c r="B70" s="127" t="s">
        <v>167</v>
      </c>
      <c r="C70" s="60" t="s">
        <v>119</v>
      </c>
      <c r="D70" s="60" t="s">
        <v>225</v>
      </c>
      <c r="E70" s="60" t="s">
        <v>224</v>
      </c>
      <c r="F70" s="54"/>
      <c r="G70" s="30"/>
      <c r="H70" s="56">
        <v>10152</v>
      </c>
      <c r="I70" s="37" t="s">
        <v>88</v>
      </c>
      <c r="J70" s="34">
        <v>0</v>
      </c>
      <c r="K70" s="116">
        <v>3935.9303999999997</v>
      </c>
      <c r="L70" s="114">
        <v>10152</v>
      </c>
      <c r="M70" s="114">
        <v>10152</v>
      </c>
      <c r="N70" s="114">
        <v>1254</v>
      </c>
      <c r="O70" s="114">
        <v>10152</v>
      </c>
      <c r="P70" s="114">
        <v>5584</v>
      </c>
      <c r="Q70" s="114">
        <v>4018</v>
      </c>
      <c r="R70" s="114">
        <v>3045.6</v>
      </c>
      <c r="S70" s="114">
        <v>0</v>
      </c>
      <c r="T70" s="196">
        <v>5419.9497600000004</v>
      </c>
      <c r="U70" s="52">
        <f>IFERROR(INDEX(tblPiNAnalysis[[Site Management ]], MATCH(tblPiNHistorical[[#This Row],[ID]], tblPiNAnalysis[ID], 0)), "")</f>
        <v>0</v>
      </c>
      <c r="V70" s="52">
        <f>IFERROR(INDEX(tblPiNAnalysis[Education], MATCH(tblPiNHistorical[[#This Row],[ID]], tblPiNAnalysis[ID], 0)), "")</f>
        <v>0</v>
      </c>
      <c r="W70" s="28">
        <f>IFERROR(INDEX(tblPiNAnalysis[Food Security and Livlihoods], MATCH(tblPiNHistorical[[#This Row],[ID]], tblPiNAnalysis[ID], 0)), "")</f>
        <v>0</v>
      </c>
      <c r="X70" s="28">
        <f>IFERROR(INDEX(tblPiNAnalysis[[Health ]], MATCH(tblPiNHistorical[[#This Row],[ID]], tblPiNAnalysis[ID], 0)), "")</f>
        <v>0</v>
      </c>
      <c r="Y70" s="28">
        <f>IFERROR(INDEX(tblPiNAnalysis[Nutrition], MATCH(tblPiNHistorical[[#This Row],[ID]], tblPiNAnalysis[ID], 0)), "")</f>
        <v>0</v>
      </c>
      <c r="Z70" s="28">
        <f>IFERROR(INDEX(tblPiNAnalysis[Protection], MATCH(tblPiNHistorical[[#This Row],[ID]], tblPiNAnalysis[ID], 0)), "")</f>
        <v>0</v>
      </c>
      <c r="AA70" s="28">
        <f>IFERROR(INDEX(tblPiNAnalysis[CP], MATCH(tblPiNHistorical[[#This Row],[ID]], tblPiNAnalysis[ID], 0)), "")</f>
        <v>0</v>
      </c>
      <c r="AB70" s="83">
        <f>IFERROR(INDEX(tblPiNAnalysis[GBV], MATCH(tblPiNHistorical[[#This Row],[ID]], tblPiNAnalysis[ID], 0)), "")</f>
        <v>0</v>
      </c>
      <c r="AC70" s="28">
        <f>IFERROR(INDEX(tblPiNAnalysis[Mine Action], MATCH(tblPiNHistorical[[#This Row],[ID]], tblPiNAnalysis[ID], 0)), "")</f>
        <v>0</v>
      </c>
      <c r="AD70" s="83">
        <f>IFERROR(INDEX(tblPiNAnalysis[[Shelter NFI ]], MATCH(tblPiNHistorical[[#This Row],[ID]], tblPiNAnalysis[ID], 0)), "")</f>
        <v>8544</v>
      </c>
      <c r="AE70" s="35">
        <f>IFERROR(INDEX(tblPiNAnalysis[WASH], MATCH(tblPiNHistorical[[#This Row],[ID]], tblPiNAnalysis[ID], 0)), "")</f>
        <v>0</v>
      </c>
      <c r="AF70" s="6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70" s="67" t="str">
        <f>IF(OR(tblPiNHistorical[[#This Row],[Education Old]]="", tblPiNHistorical[[#This Row],[Education Old]]=0, tblPiNHistorical[[#This Row],[Education New]]="", tblPiNHistorical[[#This Row],[Education New]]=0), "", tblPiNHistorical[[#This Row],[Education New]]-tblPiNHistorical[[#This Row],[Education Old]])</f>
        <v/>
      </c>
      <c r="AH70" s="67"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70" s="67" t="str">
        <f>IF(OR(tblPiNHistorical[[#This Row],[Health Old]]="", tblPiNHistorical[[#This Row],[Health Old]]=0, tblPiNHistorical[[#This Row],[Health New]]="", tblPiNHistorical[[#This Row],[Health New]]=0), "", tblPiNHistorical[[#This Row],[Health New]]-tblPiNHistorical[[#This Row],[Health Old]])</f>
        <v/>
      </c>
      <c r="AJ70" s="67" t="str">
        <f>IF(OR(tblPiNHistorical[[#This Row],[Nutrition Old]]="", tblPiNHistorical[[#This Row],[Nutrition Old]]=0, tblPiNHistorical[[#This Row],[Nutrition New]]="", tblPiNHistorical[[#This Row],[Nutrition New]]=0), "", tblPiNHistorical[[#This Row],[Nutrition New]]-tblPiNHistorical[[#This Row],[Nutrition Old]])</f>
        <v/>
      </c>
      <c r="AK70" s="67" t="str">
        <f>IF(OR(tblPiNHistorical[[#This Row],[Protection Old]]="", tblPiNHistorical[[#This Row],[Protection Old]]=0, tblPiNHistorical[[#This Row],[Protection New]]="", tblPiNHistorical[[#This Row],[Protection New]]=0), "", tblPiNHistorical[[#This Row],[Protection New]]-tblPiNHistorical[[#This Row],[Protection Old]])</f>
        <v/>
      </c>
      <c r="AL70" s="67" t="str">
        <f>IF(OR(tblPiNHistorical[[#This Row],[CP Old ]]="", tblPiNHistorical[[#This Row],[CP Old ]]=0, tblPiNHistorical[[#This Row],[CP New]]="", tblPiNHistorical[[#This Row],[CP New]]=0), "", tblPiNHistorical[[#This Row],[CP New]]-tblPiNHistorical[[#This Row],[CP Old ]])</f>
        <v/>
      </c>
      <c r="AM70" s="83" t="str">
        <f>IF(OR(tblPiNHistorical[[#This Row],[GBV Old]]="", tblPiNHistorical[[#This Row],[GBV Old]]=0, tblPiNHistorical[[#This Row],[GBV New]]="", tblPiNHistorical[[#This Row],[GBV New]]=0), "", tblPiNHistorical[[#This Row],[GBV New]]-tblPiNHistorical[[#This Row],[GBV Old]])</f>
        <v/>
      </c>
      <c r="AN70" s="83" t="str">
        <f>IF(OR(tblPiNHistorical[[#This Row],[Mine Action Old]]="", tblPiNHistorical[[#This Row],[Mine Action Old]]=0, tblPiNHistorical[[#This Row],[Mine Action New]]="", tblPiNHistorical[[#This Row],[Mine Action New]]=0), "", tblPiNHistorical[[#This Row],[Mine Action New]]-tblPiNHistorical[[#This Row],[Mine Action Old]])</f>
        <v/>
      </c>
      <c r="AO70" s="67" t="str">
        <f>IF(OR(tblPiNHistorical[[#This Row],[Shelter NFI Old]]="", tblPiNHistorical[[#This Row],[Shelter NFI Old]]=0, tblPiNHistorical[[#This Row],[Shelter NFI New]]="", tblPiNHistorical[[#This Row],[Shelter NFI New]]=0), "", tblPiNHistorical[[#This Row],[Shelter NFI New]]-tblPiNHistorical[[#This Row],[Shelter NFI Old]])</f>
        <v/>
      </c>
      <c r="AP70" s="111" t="str">
        <f>IF(OR(tblPiNHistorical[[#This Row],[WASH Old]]="", tblPiNHistorical[[#This Row],[WASH Old]]=0, tblPiNHistorical[[#This Row],[WASH New]]="", tblPiNHistorical[[#This Row],[WASH New]]=0), "", tblPiNHistorical[[#This Row],[WASH New]]-tblPiNHistorical[[#This Row],[WASH Old]])</f>
        <v/>
      </c>
      <c r="AQ70" s="110" t="str">
        <f>IFERROR(ROUND((tblPiNHistorical[[#This Row],[Site Management - New]] - tblPiNHistorical[[#This Row],[Site Management - Old]])/tblPiNHistorical[[#This Row],[Site Management - Old]], 1), "")</f>
        <v/>
      </c>
      <c r="AR70" s="66">
        <f>IFERROR(ROUND((tblPiNHistorical[[#This Row],[Education New]]-tblPiNHistorical[[#This Row],[Education Old]])/tblPiNHistorical[[#This Row],[Education Old]], 1), "")</f>
        <v>-1</v>
      </c>
      <c r="AS70" s="66">
        <f>IFERROR(ROUND((tblPiNHistorical[[#This Row],[Food Security and Livlihoods New]]-tblPiNHistorical[[#This Row],[Food Security and Livlihoods Old]])/tblPiNHistorical[[#This Row],[Food Security and Livlihoods Old]], 1), "")</f>
        <v>-1</v>
      </c>
      <c r="AT70" s="66">
        <f>IFERROR(ROUND((tblPiNHistorical[[#This Row],[Health New]]-tblPiNHistorical[[#This Row],[Health Old]])/tblPiNHistorical[[#This Row],[Health Old]], 1), "")</f>
        <v>-1</v>
      </c>
      <c r="AU70" s="66">
        <f>IFERROR(ROUND((tblPiNHistorical[[#This Row],[Nutrition New]]-tblPiNHistorical[[#This Row],[Nutrition Old]])/tblPiNHistorical[[#This Row],[Nutrition Old]], 1), "")</f>
        <v>-1</v>
      </c>
      <c r="AV70" s="66">
        <f>IFERROR(ROUND((tblPiNHistorical[[#This Row],[Protection New]]-tblPiNHistorical[[#This Row],[Protection Old]])/tblPiNHistorical[[#This Row],[Protection Old]], 1), "")</f>
        <v>-1</v>
      </c>
      <c r="AW70" s="84">
        <f>IFERROR(ROUND((tblPiNHistorical[[#This Row],[CP New]]-tblPiNHistorical[[#This Row],[CP Old ]])/tblPiNHistorical[[#This Row],[CP Old ]], 1), "")</f>
        <v>-1</v>
      </c>
      <c r="AX70" s="84">
        <f>IFERROR(ROUND((tblPiNHistorical[[#This Row],[GBV New]]-tblPiNHistorical[[#This Row],[GBV Old]])/tblPiNHistorical[[#This Row],[GBV Old]], 1), "")</f>
        <v>-1</v>
      </c>
      <c r="AY70" s="84">
        <f>IFERROR(ROUND((tblPiNHistorical[[#This Row],[Mine Action New]]-tblPiNHistorical[[#This Row],[Mine Action Old]])/tblPiNHistorical[[#This Row],[Mine Action Old]], 1), "")</f>
        <v>-1</v>
      </c>
      <c r="AZ70" s="66" t="str">
        <f>IFERROR(ROUND((tblPiNHistorical[[#This Row],[Shelter NFI New]]-tblPiNHistorical[[#This Row],[Shelter NFI Old]])/tblPiNHistorical[[#This Row],[Shelter NFI Old]], 1), "")</f>
        <v/>
      </c>
      <c r="BA70" s="36">
        <f>IFERROR(ROUND((tblPiNHistorical[[#This Row],[WASH New]]-tblPiNHistorical[[#This Row],[WASH Old]])/tblPiNHistorical[[#This Row],[WASH Old]], 1), "")</f>
        <v>-1</v>
      </c>
      <c r="BB70"/>
      <c r="BC70"/>
      <c r="BD70"/>
      <c r="BE70"/>
      <c r="BF70"/>
      <c r="BG70"/>
      <c r="BH70"/>
      <c r="BI70"/>
      <c r="BL70"/>
      <c r="BN70"/>
      <c r="BO70"/>
      <c r="BP70"/>
    </row>
    <row r="71" spans="1:68" x14ac:dyDescent="0.25">
      <c r="A71"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IDPsSD02117</v>
      </c>
      <c r="B71" s="127" t="s">
        <v>167</v>
      </c>
      <c r="C71" s="60" t="s">
        <v>119</v>
      </c>
      <c r="D71" s="60" t="s">
        <v>203</v>
      </c>
      <c r="E71" s="60" t="s">
        <v>202</v>
      </c>
      <c r="F71" s="54"/>
      <c r="G71" s="30"/>
      <c r="H71" s="56">
        <v>3990</v>
      </c>
      <c r="I71" s="37" t="s">
        <v>88</v>
      </c>
      <c r="J71" s="34">
        <v>0</v>
      </c>
      <c r="K71" s="116">
        <v>1546.923</v>
      </c>
      <c r="L71" s="114">
        <v>3990</v>
      </c>
      <c r="M71" s="114">
        <v>3990</v>
      </c>
      <c r="N71" s="114">
        <v>583</v>
      </c>
      <c r="O71" s="114">
        <v>3990</v>
      </c>
      <c r="P71" s="114">
        <v>2195</v>
      </c>
      <c r="Q71" s="114">
        <v>1579</v>
      </c>
      <c r="R71" s="114">
        <v>0</v>
      </c>
      <c r="S71" s="114">
        <v>1596</v>
      </c>
      <c r="T71" s="196">
        <v>0</v>
      </c>
      <c r="U71" s="52">
        <f>IFERROR(INDEX(tblPiNAnalysis[[Site Management ]], MATCH(tblPiNHistorical[[#This Row],[ID]], tblPiNAnalysis[ID], 0)), "")</f>
        <v>0</v>
      </c>
      <c r="V71" s="52">
        <f>IFERROR(INDEX(tblPiNAnalysis[Education], MATCH(tblPiNHistorical[[#This Row],[ID]], tblPiNAnalysis[ID], 0)), "")</f>
        <v>0</v>
      </c>
      <c r="W71" s="28">
        <f>IFERROR(INDEX(tblPiNAnalysis[Food Security and Livlihoods], MATCH(tblPiNHistorical[[#This Row],[ID]], tblPiNAnalysis[ID], 0)), "")</f>
        <v>0</v>
      </c>
      <c r="X71" s="28">
        <f>IFERROR(INDEX(tblPiNAnalysis[[Health ]], MATCH(tblPiNHistorical[[#This Row],[ID]], tblPiNAnalysis[ID], 0)), "")</f>
        <v>0</v>
      </c>
      <c r="Y71" s="28">
        <f>IFERROR(INDEX(tblPiNAnalysis[Nutrition], MATCH(tblPiNHistorical[[#This Row],[ID]], tblPiNAnalysis[ID], 0)), "")</f>
        <v>0</v>
      </c>
      <c r="Z71" s="28">
        <f>IFERROR(INDEX(tblPiNAnalysis[Protection], MATCH(tblPiNHistorical[[#This Row],[ID]], tblPiNAnalysis[ID], 0)), "")</f>
        <v>0</v>
      </c>
      <c r="AA71" s="28">
        <f>IFERROR(INDEX(tblPiNAnalysis[CP], MATCH(tblPiNHistorical[[#This Row],[ID]], tblPiNAnalysis[ID], 0)), "")</f>
        <v>0</v>
      </c>
      <c r="AB71" s="83">
        <f>IFERROR(INDEX(tblPiNAnalysis[GBV], MATCH(tblPiNHistorical[[#This Row],[ID]], tblPiNAnalysis[ID], 0)), "")</f>
        <v>0</v>
      </c>
      <c r="AC71" s="28">
        <f>IFERROR(INDEX(tblPiNAnalysis[Mine Action], MATCH(tblPiNHistorical[[#This Row],[ID]], tblPiNAnalysis[ID], 0)), "")</f>
        <v>0</v>
      </c>
      <c r="AD71" s="83">
        <f>IFERROR(INDEX(tblPiNAnalysis[[Shelter NFI ]], MATCH(tblPiNHistorical[[#This Row],[ID]], tblPiNAnalysis[ID], 0)), "")</f>
        <v>1246</v>
      </c>
      <c r="AE71" s="35">
        <f>IFERROR(INDEX(tblPiNAnalysis[WASH], MATCH(tblPiNHistorical[[#This Row],[ID]], tblPiNAnalysis[ID], 0)), "")</f>
        <v>0</v>
      </c>
      <c r="AF71" s="6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71" s="67" t="str">
        <f>IF(OR(tblPiNHistorical[[#This Row],[Education Old]]="", tblPiNHistorical[[#This Row],[Education Old]]=0, tblPiNHistorical[[#This Row],[Education New]]="", tblPiNHistorical[[#This Row],[Education New]]=0), "", tblPiNHistorical[[#This Row],[Education New]]-tblPiNHistorical[[#This Row],[Education Old]])</f>
        <v/>
      </c>
      <c r="AH71" s="67"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71" s="67" t="str">
        <f>IF(OR(tblPiNHistorical[[#This Row],[Health Old]]="", tblPiNHistorical[[#This Row],[Health Old]]=0, tblPiNHistorical[[#This Row],[Health New]]="", tblPiNHistorical[[#This Row],[Health New]]=0), "", tblPiNHistorical[[#This Row],[Health New]]-tblPiNHistorical[[#This Row],[Health Old]])</f>
        <v/>
      </c>
      <c r="AJ71" s="67" t="str">
        <f>IF(OR(tblPiNHistorical[[#This Row],[Nutrition Old]]="", tblPiNHistorical[[#This Row],[Nutrition Old]]=0, tblPiNHistorical[[#This Row],[Nutrition New]]="", tblPiNHistorical[[#This Row],[Nutrition New]]=0), "", tblPiNHistorical[[#This Row],[Nutrition New]]-tblPiNHistorical[[#This Row],[Nutrition Old]])</f>
        <v/>
      </c>
      <c r="AK71" s="67" t="str">
        <f>IF(OR(tblPiNHistorical[[#This Row],[Protection Old]]="", tblPiNHistorical[[#This Row],[Protection Old]]=0, tblPiNHistorical[[#This Row],[Protection New]]="", tblPiNHistorical[[#This Row],[Protection New]]=0), "", tblPiNHistorical[[#This Row],[Protection New]]-tblPiNHistorical[[#This Row],[Protection Old]])</f>
        <v/>
      </c>
      <c r="AL71" s="67" t="str">
        <f>IF(OR(tblPiNHistorical[[#This Row],[CP Old ]]="", tblPiNHistorical[[#This Row],[CP Old ]]=0, tblPiNHistorical[[#This Row],[CP New]]="", tblPiNHistorical[[#This Row],[CP New]]=0), "", tblPiNHistorical[[#This Row],[CP New]]-tblPiNHistorical[[#This Row],[CP Old ]])</f>
        <v/>
      </c>
      <c r="AM71" s="83" t="str">
        <f>IF(OR(tblPiNHistorical[[#This Row],[GBV Old]]="", tblPiNHistorical[[#This Row],[GBV Old]]=0, tblPiNHistorical[[#This Row],[GBV New]]="", tblPiNHistorical[[#This Row],[GBV New]]=0), "", tblPiNHistorical[[#This Row],[GBV New]]-tblPiNHistorical[[#This Row],[GBV Old]])</f>
        <v/>
      </c>
      <c r="AN71" s="83" t="str">
        <f>IF(OR(tblPiNHistorical[[#This Row],[Mine Action Old]]="", tblPiNHistorical[[#This Row],[Mine Action Old]]=0, tblPiNHistorical[[#This Row],[Mine Action New]]="", tblPiNHistorical[[#This Row],[Mine Action New]]=0), "", tblPiNHistorical[[#This Row],[Mine Action New]]-tblPiNHistorical[[#This Row],[Mine Action Old]])</f>
        <v/>
      </c>
      <c r="AO71" s="67">
        <f>IF(OR(tblPiNHistorical[[#This Row],[Shelter NFI Old]]="", tblPiNHistorical[[#This Row],[Shelter NFI Old]]=0, tblPiNHistorical[[#This Row],[Shelter NFI New]]="", tblPiNHistorical[[#This Row],[Shelter NFI New]]=0), "", tblPiNHistorical[[#This Row],[Shelter NFI New]]-tblPiNHistorical[[#This Row],[Shelter NFI Old]])</f>
        <v>-350</v>
      </c>
      <c r="AP71" s="111" t="str">
        <f>IF(OR(tblPiNHistorical[[#This Row],[WASH Old]]="", tblPiNHistorical[[#This Row],[WASH Old]]=0, tblPiNHistorical[[#This Row],[WASH New]]="", tblPiNHistorical[[#This Row],[WASH New]]=0), "", tblPiNHistorical[[#This Row],[WASH New]]-tblPiNHistorical[[#This Row],[WASH Old]])</f>
        <v/>
      </c>
      <c r="AQ71" s="110" t="str">
        <f>IFERROR(ROUND((tblPiNHistorical[[#This Row],[Site Management - New]] - tblPiNHistorical[[#This Row],[Site Management - Old]])/tblPiNHistorical[[#This Row],[Site Management - Old]], 1), "")</f>
        <v/>
      </c>
      <c r="AR71" s="66">
        <f>IFERROR(ROUND((tblPiNHistorical[[#This Row],[Education New]]-tblPiNHistorical[[#This Row],[Education Old]])/tblPiNHistorical[[#This Row],[Education Old]], 1), "")</f>
        <v>-1</v>
      </c>
      <c r="AS71" s="66">
        <f>IFERROR(ROUND((tblPiNHistorical[[#This Row],[Food Security and Livlihoods New]]-tblPiNHistorical[[#This Row],[Food Security and Livlihoods Old]])/tblPiNHistorical[[#This Row],[Food Security and Livlihoods Old]], 1), "")</f>
        <v>-1</v>
      </c>
      <c r="AT71" s="66">
        <f>IFERROR(ROUND((tblPiNHistorical[[#This Row],[Health New]]-tblPiNHistorical[[#This Row],[Health Old]])/tblPiNHistorical[[#This Row],[Health Old]], 1), "")</f>
        <v>-1</v>
      </c>
      <c r="AU71" s="66">
        <f>IFERROR(ROUND((tblPiNHistorical[[#This Row],[Nutrition New]]-tblPiNHistorical[[#This Row],[Nutrition Old]])/tblPiNHistorical[[#This Row],[Nutrition Old]], 1), "")</f>
        <v>-1</v>
      </c>
      <c r="AV71" s="66">
        <f>IFERROR(ROUND((tblPiNHistorical[[#This Row],[Protection New]]-tblPiNHistorical[[#This Row],[Protection Old]])/tblPiNHistorical[[#This Row],[Protection Old]], 1), "")</f>
        <v>-1</v>
      </c>
      <c r="AW71" s="84">
        <f>IFERROR(ROUND((tblPiNHistorical[[#This Row],[CP New]]-tblPiNHistorical[[#This Row],[CP Old ]])/tblPiNHistorical[[#This Row],[CP Old ]], 1), "")</f>
        <v>-1</v>
      </c>
      <c r="AX71" s="84">
        <f>IFERROR(ROUND((tblPiNHistorical[[#This Row],[GBV New]]-tblPiNHistorical[[#This Row],[GBV Old]])/tblPiNHistorical[[#This Row],[GBV Old]], 1), "")</f>
        <v>-1</v>
      </c>
      <c r="AY71" s="84" t="str">
        <f>IFERROR(ROUND((tblPiNHistorical[[#This Row],[Mine Action New]]-tblPiNHistorical[[#This Row],[Mine Action Old]])/tblPiNHistorical[[#This Row],[Mine Action Old]], 1), "")</f>
        <v/>
      </c>
      <c r="AZ71" s="66">
        <f>IFERROR(ROUND((tblPiNHistorical[[#This Row],[Shelter NFI New]]-tblPiNHistorical[[#This Row],[Shelter NFI Old]])/tblPiNHistorical[[#This Row],[Shelter NFI Old]], 1), "")</f>
        <v>-0.2</v>
      </c>
      <c r="BA71" s="36" t="str">
        <f>IFERROR(ROUND((tblPiNHistorical[[#This Row],[WASH New]]-tblPiNHistorical[[#This Row],[WASH Old]])/tblPiNHistorical[[#This Row],[WASH Old]], 1), "")</f>
        <v/>
      </c>
      <c r="BB71"/>
      <c r="BC71"/>
      <c r="BD71"/>
      <c r="BE71"/>
      <c r="BF71"/>
      <c r="BG71"/>
      <c r="BH71"/>
      <c r="BI71"/>
      <c r="BL71"/>
      <c r="BN71"/>
      <c r="BO71"/>
      <c r="BP71"/>
    </row>
    <row r="72" spans="1:68" x14ac:dyDescent="0.25">
      <c r="A72"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IDPsSD02118</v>
      </c>
      <c r="B72" s="127" t="s">
        <v>167</v>
      </c>
      <c r="C72" s="60" t="s">
        <v>119</v>
      </c>
      <c r="D72" s="60" t="s">
        <v>205</v>
      </c>
      <c r="E72" s="60" t="s">
        <v>204</v>
      </c>
      <c r="F72" s="54"/>
      <c r="G72" s="30"/>
      <c r="H72" s="56">
        <v>11546</v>
      </c>
      <c r="I72" s="37" t="s">
        <v>88</v>
      </c>
      <c r="J72" s="34">
        <v>9307</v>
      </c>
      <c r="K72" s="116">
        <v>4476.3841999999995</v>
      </c>
      <c r="L72" s="114">
        <v>11546</v>
      </c>
      <c r="M72" s="114">
        <v>11546</v>
      </c>
      <c r="N72" s="114">
        <v>1537</v>
      </c>
      <c r="O72" s="114">
        <v>11546</v>
      </c>
      <c r="P72" s="114">
        <v>6350</v>
      </c>
      <c r="Q72" s="114">
        <v>4570</v>
      </c>
      <c r="R72" s="114">
        <v>4618.4000000000005</v>
      </c>
      <c r="S72" s="114">
        <v>4618</v>
      </c>
      <c r="T72" s="196">
        <v>12606.846479999998</v>
      </c>
      <c r="U72" s="52">
        <f>IFERROR(INDEX(tblPiNAnalysis[[Site Management ]], MATCH(tblPiNHistorical[[#This Row],[ID]], tblPiNAnalysis[ID], 0)), "")</f>
        <v>0</v>
      </c>
      <c r="V72" s="52">
        <f>IFERROR(INDEX(tblPiNAnalysis[Education], MATCH(tblPiNHistorical[[#This Row],[ID]], tblPiNAnalysis[ID], 0)), "")</f>
        <v>0</v>
      </c>
      <c r="W72" s="28">
        <f>IFERROR(INDEX(tblPiNAnalysis[Food Security and Livlihoods], MATCH(tblPiNHistorical[[#This Row],[ID]], tblPiNAnalysis[ID], 0)), "")</f>
        <v>0</v>
      </c>
      <c r="X72" s="28">
        <f>IFERROR(INDEX(tblPiNAnalysis[[Health ]], MATCH(tblPiNHistorical[[#This Row],[ID]], tblPiNAnalysis[ID], 0)), "")</f>
        <v>0</v>
      </c>
      <c r="Y72" s="28">
        <f>IFERROR(INDEX(tblPiNAnalysis[Nutrition], MATCH(tblPiNHistorical[[#This Row],[ID]], tblPiNAnalysis[ID], 0)), "")</f>
        <v>0</v>
      </c>
      <c r="Z72" s="28">
        <f>IFERROR(INDEX(tblPiNAnalysis[Protection], MATCH(tblPiNHistorical[[#This Row],[ID]], tblPiNAnalysis[ID], 0)), "")</f>
        <v>0</v>
      </c>
      <c r="AA72" s="28">
        <f>IFERROR(INDEX(tblPiNAnalysis[CP], MATCH(tblPiNHistorical[[#This Row],[ID]], tblPiNAnalysis[ID], 0)), "")</f>
        <v>0</v>
      </c>
      <c r="AB72" s="83">
        <f>IFERROR(INDEX(tblPiNAnalysis[GBV], MATCH(tblPiNHistorical[[#This Row],[ID]], tblPiNAnalysis[ID], 0)), "")</f>
        <v>0</v>
      </c>
      <c r="AC72" s="28">
        <f>IFERROR(INDEX(tblPiNAnalysis[Mine Action], MATCH(tblPiNHistorical[[#This Row],[ID]], tblPiNAnalysis[ID], 0)), "")</f>
        <v>0</v>
      </c>
      <c r="AD72" s="83">
        <f>IFERROR(INDEX(tblPiNAnalysis[[Shelter NFI ]], MATCH(tblPiNHistorical[[#This Row],[ID]], tblPiNAnalysis[ID], 0)), "")</f>
        <v>9042</v>
      </c>
      <c r="AE72" s="35">
        <f>IFERROR(INDEX(tblPiNAnalysis[WASH], MATCH(tblPiNHistorical[[#This Row],[ID]], tblPiNAnalysis[ID], 0)), "")</f>
        <v>0</v>
      </c>
      <c r="AF72" s="6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72" s="67" t="str">
        <f>IF(OR(tblPiNHistorical[[#This Row],[Education Old]]="", tblPiNHistorical[[#This Row],[Education Old]]=0, tblPiNHistorical[[#This Row],[Education New]]="", tblPiNHistorical[[#This Row],[Education New]]=0), "", tblPiNHistorical[[#This Row],[Education New]]-tblPiNHistorical[[#This Row],[Education Old]])</f>
        <v/>
      </c>
      <c r="AH72" s="67"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72" s="67" t="str">
        <f>IF(OR(tblPiNHistorical[[#This Row],[Health Old]]="", tblPiNHistorical[[#This Row],[Health Old]]=0, tblPiNHistorical[[#This Row],[Health New]]="", tblPiNHistorical[[#This Row],[Health New]]=0), "", tblPiNHistorical[[#This Row],[Health New]]-tblPiNHistorical[[#This Row],[Health Old]])</f>
        <v/>
      </c>
      <c r="AJ72" s="67" t="str">
        <f>IF(OR(tblPiNHistorical[[#This Row],[Nutrition Old]]="", tblPiNHistorical[[#This Row],[Nutrition Old]]=0, tblPiNHistorical[[#This Row],[Nutrition New]]="", tblPiNHistorical[[#This Row],[Nutrition New]]=0), "", tblPiNHistorical[[#This Row],[Nutrition New]]-tblPiNHistorical[[#This Row],[Nutrition Old]])</f>
        <v/>
      </c>
      <c r="AK72" s="67" t="str">
        <f>IF(OR(tblPiNHistorical[[#This Row],[Protection Old]]="", tblPiNHistorical[[#This Row],[Protection Old]]=0, tblPiNHistorical[[#This Row],[Protection New]]="", tblPiNHistorical[[#This Row],[Protection New]]=0), "", tblPiNHistorical[[#This Row],[Protection New]]-tblPiNHistorical[[#This Row],[Protection Old]])</f>
        <v/>
      </c>
      <c r="AL72" s="67" t="str">
        <f>IF(OR(tblPiNHistorical[[#This Row],[CP Old ]]="", tblPiNHistorical[[#This Row],[CP Old ]]=0, tblPiNHistorical[[#This Row],[CP New]]="", tblPiNHistorical[[#This Row],[CP New]]=0), "", tblPiNHistorical[[#This Row],[CP New]]-tblPiNHistorical[[#This Row],[CP Old ]])</f>
        <v/>
      </c>
      <c r="AM72" s="83" t="str">
        <f>IF(OR(tblPiNHistorical[[#This Row],[GBV Old]]="", tblPiNHistorical[[#This Row],[GBV Old]]=0, tblPiNHistorical[[#This Row],[GBV New]]="", tblPiNHistorical[[#This Row],[GBV New]]=0), "", tblPiNHistorical[[#This Row],[GBV New]]-tblPiNHistorical[[#This Row],[GBV Old]])</f>
        <v/>
      </c>
      <c r="AN72" s="83" t="str">
        <f>IF(OR(tblPiNHistorical[[#This Row],[Mine Action Old]]="", tblPiNHistorical[[#This Row],[Mine Action Old]]=0, tblPiNHistorical[[#This Row],[Mine Action New]]="", tblPiNHistorical[[#This Row],[Mine Action New]]=0), "", tblPiNHistorical[[#This Row],[Mine Action New]]-tblPiNHistorical[[#This Row],[Mine Action Old]])</f>
        <v/>
      </c>
      <c r="AO72" s="67">
        <f>IF(OR(tblPiNHistorical[[#This Row],[Shelter NFI Old]]="", tblPiNHistorical[[#This Row],[Shelter NFI Old]]=0, tblPiNHistorical[[#This Row],[Shelter NFI New]]="", tblPiNHistorical[[#This Row],[Shelter NFI New]]=0), "", tblPiNHistorical[[#This Row],[Shelter NFI New]]-tblPiNHistorical[[#This Row],[Shelter NFI Old]])</f>
        <v>4424</v>
      </c>
      <c r="AP72" s="111" t="str">
        <f>IF(OR(tblPiNHistorical[[#This Row],[WASH Old]]="", tblPiNHistorical[[#This Row],[WASH Old]]=0, tblPiNHistorical[[#This Row],[WASH New]]="", tblPiNHistorical[[#This Row],[WASH New]]=0), "", tblPiNHistorical[[#This Row],[WASH New]]-tblPiNHistorical[[#This Row],[WASH Old]])</f>
        <v/>
      </c>
      <c r="AQ72" s="110">
        <f>IFERROR(ROUND((tblPiNHistorical[[#This Row],[Site Management - New]] - tblPiNHistorical[[#This Row],[Site Management - Old]])/tblPiNHistorical[[#This Row],[Site Management - Old]], 1), "")</f>
        <v>-1</v>
      </c>
      <c r="AR72" s="66">
        <f>IFERROR(ROUND((tblPiNHistorical[[#This Row],[Education New]]-tblPiNHistorical[[#This Row],[Education Old]])/tblPiNHistorical[[#This Row],[Education Old]], 1), "")</f>
        <v>-1</v>
      </c>
      <c r="AS72" s="66">
        <f>IFERROR(ROUND((tblPiNHistorical[[#This Row],[Food Security and Livlihoods New]]-tblPiNHistorical[[#This Row],[Food Security and Livlihoods Old]])/tblPiNHistorical[[#This Row],[Food Security and Livlihoods Old]], 1), "")</f>
        <v>-1</v>
      </c>
      <c r="AT72" s="66">
        <f>IFERROR(ROUND((tblPiNHistorical[[#This Row],[Health New]]-tblPiNHistorical[[#This Row],[Health Old]])/tblPiNHistorical[[#This Row],[Health Old]], 1), "")</f>
        <v>-1</v>
      </c>
      <c r="AU72" s="66">
        <f>IFERROR(ROUND((tblPiNHistorical[[#This Row],[Nutrition New]]-tblPiNHistorical[[#This Row],[Nutrition Old]])/tblPiNHistorical[[#This Row],[Nutrition Old]], 1), "")</f>
        <v>-1</v>
      </c>
      <c r="AV72" s="66">
        <f>IFERROR(ROUND((tblPiNHistorical[[#This Row],[Protection New]]-tblPiNHistorical[[#This Row],[Protection Old]])/tblPiNHistorical[[#This Row],[Protection Old]], 1), "")</f>
        <v>-1</v>
      </c>
      <c r="AW72" s="84">
        <f>IFERROR(ROUND((tblPiNHistorical[[#This Row],[CP New]]-tblPiNHistorical[[#This Row],[CP Old ]])/tblPiNHistorical[[#This Row],[CP Old ]], 1), "")</f>
        <v>-1</v>
      </c>
      <c r="AX72" s="84">
        <f>IFERROR(ROUND((tblPiNHistorical[[#This Row],[GBV New]]-tblPiNHistorical[[#This Row],[GBV Old]])/tblPiNHistorical[[#This Row],[GBV Old]], 1), "")</f>
        <v>-1</v>
      </c>
      <c r="AY72" s="84">
        <f>IFERROR(ROUND((tblPiNHistorical[[#This Row],[Mine Action New]]-tblPiNHistorical[[#This Row],[Mine Action Old]])/tblPiNHistorical[[#This Row],[Mine Action Old]], 1), "")</f>
        <v>-1</v>
      </c>
      <c r="AZ72" s="66">
        <f>IFERROR(ROUND((tblPiNHistorical[[#This Row],[Shelter NFI New]]-tblPiNHistorical[[#This Row],[Shelter NFI Old]])/tblPiNHistorical[[#This Row],[Shelter NFI Old]], 1), "")</f>
        <v>1</v>
      </c>
      <c r="BA72" s="36">
        <f>IFERROR(ROUND((tblPiNHistorical[[#This Row],[WASH New]]-tblPiNHistorical[[#This Row],[WASH Old]])/tblPiNHistorical[[#This Row],[WASH Old]], 1), "")</f>
        <v>-1</v>
      </c>
      <c r="BB72"/>
      <c r="BC72"/>
      <c r="BD72"/>
      <c r="BE72"/>
      <c r="BF72"/>
      <c r="BG72"/>
      <c r="BH72"/>
      <c r="BI72"/>
      <c r="BL72"/>
      <c r="BN72"/>
      <c r="BO72"/>
      <c r="BP72"/>
    </row>
    <row r="73" spans="1:68" x14ac:dyDescent="0.25">
      <c r="A73"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IDPsSD02119</v>
      </c>
      <c r="B73" s="127" t="s">
        <v>167</v>
      </c>
      <c r="C73" s="60" t="s">
        <v>119</v>
      </c>
      <c r="D73" s="60" t="s">
        <v>207</v>
      </c>
      <c r="E73" s="60" t="s">
        <v>206</v>
      </c>
      <c r="F73" s="54"/>
      <c r="G73" s="30"/>
      <c r="H73" s="56">
        <v>350</v>
      </c>
      <c r="I73" s="37" t="s">
        <v>88</v>
      </c>
      <c r="J73" s="34">
        <v>0</v>
      </c>
      <c r="K73" s="116">
        <v>135.69499999999999</v>
      </c>
      <c r="L73" s="114">
        <v>350</v>
      </c>
      <c r="M73" s="114">
        <v>350</v>
      </c>
      <c r="N73" s="114">
        <v>50</v>
      </c>
      <c r="O73" s="114">
        <v>350</v>
      </c>
      <c r="P73" s="114">
        <v>193</v>
      </c>
      <c r="Q73" s="114">
        <v>138</v>
      </c>
      <c r="R73" s="114">
        <v>0</v>
      </c>
      <c r="S73" s="114">
        <v>140</v>
      </c>
      <c r="T73" s="196">
        <v>0</v>
      </c>
      <c r="U73" s="52">
        <f>IFERROR(INDEX(tblPiNAnalysis[[Site Management ]], MATCH(tblPiNHistorical[[#This Row],[ID]], tblPiNAnalysis[ID], 0)), "")</f>
        <v>0</v>
      </c>
      <c r="V73" s="52">
        <f>IFERROR(INDEX(tblPiNAnalysis[Education], MATCH(tblPiNHistorical[[#This Row],[ID]], tblPiNAnalysis[ID], 0)), "")</f>
        <v>0</v>
      </c>
      <c r="W73" s="28">
        <f>IFERROR(INDEX(tblPiNAnalysis[Food Security and Livlihoods], MATCH(tblPiNHistorical[[#This Row],[ID]], tblPiNAnalysis[ID], 0)), "")</f>
        <v>0</v>
      </c>
      <c r="X73" s="28">
        <f>IFERROR(INDEX(tblPiNAnalysis[[Health ]], MATCH(tblPiNHistorical[[#This Row],[ID]], tblPiNAnalysis[ID], 0)), "")</f>
        <v>0</v>
      </c>
      <c r="Y73" s="28">
        <f>IFERROR(INDEX(tblPiNAnalysis[Nutrition], MATCH(tblPiNHistorical[[#This Row],[ID]], tblPiNAnalysis[ID], 0)), "")</f>
        <v>0</v>
      </c>
      <c r="Z73" s="28">
        <f>IFERROR(INDEX(tblPiNAnalysis[Protection], MATCH(tblPiNHistorical[[#This Row],[ID]], tblPiNAnalysis[ID], 0)), "")</f>
        <v>0</v>
      </c>
      <c r="AA73" s="28">
        <f>IFERROR(INDEX(tblPiNAnalysis[CP], MATCH(tblPiNHistorical[[#This Row],[ID]], tblPiNAnalysis[ID], 0)), "")</f>
        <v>0</v>
      </c>
      <c r="AB73" s="83">
        <f>IFERROR(INDEX(tblPiNAnalysis[GBV], MATCH(tblPiNHistorical[[#This Row],[ID]], tblPiNAnalysis[ID], 0)), "")</f>
        <v>0</v>
      </c>
      <c r="AC73" s="28">
        <f>IFERROR(INDEX(tblPiNAnalysis[Mine Action], MATCH(tblPiNHistorical[[#This Row],[ID]], tblPiNAnalysis[ID], 0)), "")</f>
        <v>0</v>
      </c>
      <c r="AD73" s="83">
        <f>IFERROR(INDEX(tblPiNAnalysis[[Shelter NFI ]], MATCH(tblPiNHistorical[[#This Row],[ID]], tblPiNAnalysis[ID], 0)), "")</f>
        <v>700</v>
      </c>
      <c r="AE73" s="35">
        <f>IFERROR(INDEX(tblPiNAnalysis[WASH], MATCH(tblPiNHistorical[[#This Row],[ID]], tblPiNAnalysis[ID], 0)), "")</f>
        <v>0</v>
      </c>
      <c r="AF73" s="6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73" s="67" t="str">
        <f>IF(OR(tblPiNHistorical[[#This Row],[Education Old]]="", tblPiNHistorical[[#This Row],[Education Old]]=0, tblPiNHistorical[[#This Row],[Education New]]="", tblPiNHistorical[[#This Row],[Education New]]=0), "", tblPiNHistorical[[#This Row],[Education New]]-tblPiNHistorical[[#This Row],[Education Old]])</f>
        <v/>
      </c>
      <c r="AH73" s="67"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73" s="67" t="str">
        <f>IF(OR(tblPiNHistorical[[#This Row],[Health Old]]="", tblPiNHistorical[[#This Row],[Health Old]]=0, tblPiNHistorical[[#This Row],[Health New]]="", tblPiNHistorical[[#This Row],[Health New]]=0), "", tblPiNHistorical[[#This Row],[Health New]]-tblPiNHistorical[[#This Row],[Health Old]])</f>
        <v/>
      </c>
      <c r="AJ73" s="67" t="str">
        <f>IF(OR(tblPiNHistorical[[#This Row],[Nutrition Old]]="", tblPiNHistorical[[#This Row],[Nutrition Old]]=0, tblPiNHistorical[[#This Row],[Nutrition New]]="", tblPiNHistorical[[#This Row],[Nutrition New]]=0), "", tblPiNHistorical[[#This Row],[Nutrition New]]-tblPiNHistorical[[#This Row],[Nutrition Old]])</f>
        <v/>
      </c>
      <c r="AK73" s="67" t="str">
        <f>IF(OR(tblPiNHistorical[[#This Row],[Protection Old]]="", tblPiNHistorical[[#This Row],[Protection Old]]=0, tblPiNHistorical[[#This Row],[Protection New]]="", tblPiNHistorical[[#This Row],[Protection New]]=0), "", tblPiNHistorical[[#This Row],[Protection New]]-tblPiNHistorical[[#This Row],[Protection Old]])</f>
        <v/>
      </c>
      <c r="AL73" s="67" t="str">
        <f>IF(OR(tblPiNHistorical[[#This Row],[CP Old ]]="", tblPiNHistorical[[#This Row],[CP Old ]]=0, tblPiNHistorical[[#This Row],[CP New]]="", tblPiNHistorical[[#This Row],[CP New]]=0), "", tblPiNHistorical[[#This Row],[CP New]]-tblPiNHistorical[[#This Row],[CP Old ]])</f>
        <v/>
      </c>
      <c r="AM73" s="83" t="str">
        <f>IF(OR(tblPiNHistorical[[#This Row],[GBV Old]]="", tblPiNHistorical[[#This Row],[GBV Old]]=0, tblPiNHistorical[[#This Row],[GBV New]]="", tblPiNHistorical[[#This Row],[GBV New]]=0), "", tblPiNHistorical[[#This Row],[GBV New]]-tblPiNHistorical[[#This Row],[GBV Old]])</f>
        <v/>
      </c>
      <c r="AN73" s="83" t="str">
        <f>IF(OR(tblPiNHistorical[[#This Row],[Mine Action Old]]="", tblPiNHistorical[[#This Row],[Mine Action Old]]=0, tblPiNHistorical[[#This Row],[Mine Action New]]="", tblPiNHistorical[[#This Row],[Mine Action New]]=0), "", tblPiNHistorical[[#This Row],[Mine Action New]]-tblPiNHistorical[[#This Row],[Mine Action Old]])</f>
        <v/>
      </c>
      <c r="AO73" s="67">
        <f>IF(OR(tblPiNHistorical[[#This Row],[Shelter NFI Old]]="", tblPiNHistorical[[#This Row],[Shelter NFI Old]]=0, tblPiNHistorical[[#This Row],[Shelter NFI New]]="", tblPiNHistorical[[#This Row],[Shelter NFI New]]=0), "", tblPiNHistorical[[#This Row],[Shelter NFI New]]-tblPiNHistorical[[#This Row],[Shelter NFI Old]])</f>
        <v>560</v>
      </c>
      <c r="AP73" s="111" t="str">
        <f>IF(OR(tblPiNHistorical[[#This Row],[WASH Old]]="", tblPiNHistorical[[#This Row],[WASH Old]]=0, tblPiNHistorical[[#This Row],[WASH New]]="", tblPiNHistorical[[#This Row],[WASH New]]=0), "", tblPiNHistorical[[#This Row],[WASH New]]-tblPiNHistorical[[#This Row],[WASH Old]])</f>
        <v/>
      </c>
      <c r="AQ73" s="110" t="str">
        <f>IFERROR(ROUND((tblPiNHistorical[[#This Row],[Site Management - New]] - tblPiNHistorical[[#This Row],[Site Management - Old]])/tblPiNHistorical[[#This Row],[Site Management - Old]], 1), "")</f>
        <v/>
      </c>
      <c r="AR73" s="66">
        <f>IFERROR(ROUND((tblPiNHistorical[[#This Row],[Education New]]-tblPiNHistorical[[#This Row],[Education Old]])/tblPiNHistorical[[#This Row],[Education Old]], 1), "")</f>
        <v>-1</v>
      </c>
      <c r="AS73" s="66">
        <f>IFERROR(ROUND((tblPiNHistorical[[#This Row],[Food Security and Livlihoods New]]-tblPiNHistorical[[#This Row],[Food Security and Livlihoods Old]])/tblPiNHistorical[[#This Row],[Food Security and Livlihoods Old]], 1), "")</f>
        <v>-1</v>
      </c>
      <c r="AT73" s="66">
        <f>IFERROR(ROUND((tblPiNHistorical[[#This Row],[Health New]]-tblPiNHistorical[[#This Row],[Health Old]])/tblPiNHistorical[[#This Row],[Health Old]], 1), "")</f>
        <v>-1</v>
      </c>
      <c r="AU73" s="66">
        <f>IFERROR(ROUND((tblPiNHistorical[[#This Row],[Nutrition New]]-tblPiNHistorical[[#This Row],[Nutrition Old]])/tblPiNHistorical[[#This Row],[Nutrition Old]], 1), "")</f>
        <v>-1</v>
      </c>
      <c r="AV73" s="66">
        <f>IFERROR(ROUND((tblPiNHistorical[[#This Row],[Protection New]]-tblPiNHistorical[[#This Row],[Protection Old]])/tblPiNHistorical[[#This Row],[Protection Old]], 1), "")</f>
        <v>-1</v>
      </c>
      <c r="AW73" s="84">
        <f>IFERROR(ROUND((tblPiNHistorical[[#This Row],[CP New]]-tblPiNHistorical[[#This Row],[CP Old ]])/tblPiNHistorical[[#This Row],[CP Old ]], 1), "")</f>
        <v>-1</v>
      </c>
      <c r="AX73" s="84">
        <f>IFERROR(ROUND((tblPiNHistorical[[#This Row],[GBV New]]-tblPiNHistorical[[#This Row],[GBV Old]])/tblPiNHistorical[[#This Row],[GBV Old]], 1), "")</f>
        <v>-1</v>
      </c>
      <c r="AY73" s="84" t="str">
        <f>IFERROR(ROUND((tblPiNHistorical[[#This Row],[Mine Action New]]-tblPiNHistorical[[#This Row],[Mine Action Old]])/tblPiNHistorical[[#This Row],[Mine Action Old]], 1), "")</f>
        <v/>
      </c>
      <c r="AZ73" s="66">
        <f>IFERROR(ROUND((tblPiNHistorical[[#This Row],[Shelter NFI New]]-tblPiNHistorical[[#This Row],[Shelter NFI Old]])/tblPiNHistorical[[#This Row],[Shelter NFI Old]], 1), "")</f>
        <v>4</v>
      </c>
      <c r="BA73" s="36" t="str">
        <f>IFERROR(ROUND((tblPiNHistorical[[#This Row],[WASH New]]-tblPiNHistorical[[#This Row],[WASH Old]])/tblPiNHistorical[[#This Row],[WASH Old]], 1), "")</f>
        <v/>
      </c>
      <c r="BB73"/>
      <c r="BC73"/>
      <c r="BD73"/>
      <c r="BE73"/>
      <c r="BF73"/>
      <c r="BG73"/>
      <c r="BH73"/>
      <c r="BI73"/>
      <c r="BL73"/>
      <c r="BN73"/>
      <c r="BO73"/>
      <c r="BP73"/>
    </row>
    <row r="74" spans="1:68" x14ac:dyDescent="0.25">
      <c r="A74"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IDPsSD02171</v>
      </c>
      <c r="B74" s="127" t="s">
        <v>167</v>
      </c>
      <c r="C74" s="60" t="s">
        <v>119</v>
      </c>
      <c r="D74" s="60" t="s">
        <v>229</v>
      </c>
      <c r="E74" s="60" t="s">
        <v>228</v>
      </c>
      <c r="F74" s="54"/>
      <c r="G74" s="30"/>
      <c r="H74" s="56">
        <v>4815</v>
      </c>
      <c r="I74" s="37" t="s">
        <v>88</v>
      </c>
      <c r="J74" s="34">
        <v>4815</v>
      </c>
      <c r="K74" s="116">
        <v>1866.7755</v>
      </c>
      <c r="L74" s="114">
        <v>4815</v>
      </c>
      <c r="M74" s="114">
        <v>4815</v>
      </c>
      <c r="N74" s="114">
        <v>654</v>
      </c>
      <c r="O74" s="114">
        <v>4815</v>
      </c>
      <c r="P74" s="114">
        <v>2648</v>
      </c>
      <c r="Q74" s="114">
        <v>1905</v>
      </c>
      <c r="R74" s="114">
        <v>1444.5</v>
      </c>
      <c r="S74" s="114">
        <v>0</v>
      </c>
      <c r="T74" s="196">
        <v>0</v>
      </c>
      <c r="U74" s="52">
        <f>IFERROR(INDEX(tblPiNAnalysis[[Site Management ]], MATCH(tblPiNHistorical[[#This Row],[ID]], tblPiNAnalysis[ID], 0)), "")</f>
        <v>0</v>
      </c>
      <c r="V74" s="52">
        <f>IFERROR(INDEX(tblPiNAnalysis[Education], MATCH(tblPiNHistorical[[#This Row],[ID]], tblPiNAnalysis[ID], 0)), "")</f>
        <v>0</v>
      </c>
      <c r="W74" s="28">
        <f>IFERROR(INDEX(tblPiNAnalysis[Food Security and Livlihoods], MATCH(tblPiNHistorical[[#This Row],[ID]], tblPiNAnalysis[ID], 0)), "")</f>
        <v>0</v>
      </c>
      <c r="X74" s="28">
        <f>IFERROR(INDEX(tblPiNAnalysis[[Health ]], MATCH(tblPiNHistorical[[#This Row],[ID]], tblPiNAnalysis[ID], 0)), "")</f>
        <v>0</v>
      </c>
      <c r="Y74" s="28">
        <f>IFERROR(INDEX(tblPiNAnalysis[Nutrition], MATCH(tblPiNHistorical[[#This Row],[ID]], tblPiNAnalysis[ID], 0)), "")</f>
        <v>0</v>
      </c>
      <c r="Z74" s="28">
        <f>IFERROR(INDEX(tblPiNAnalysis[Protection], MATCH(tblPiNHistorical[[#This Row],[ID]], tblPiNAnalysis[ID], 0)), "")</f>
        <v>0</v>
      </c>
      <c r="AA74" s="28">
        <f>IFERROR(INDEX(tblPiNAnalysis[CP], MATCH(tblPiNHistorical[[#This Row],[ID]], tblPiNAnalysis[ID], 0)), "")</f>
        <v>0</v>
      </c>
      <c r="AB74" s="83">
        <f>IFERROR(INDEX(tblPiNAnalysis[GBV], MATCH(tblPiNHistorical[[#This Row],[ID]], tblPiNAnalysis[ID], 0)), "")</f>
        <v>0</v>
      </c>
      <c r="AC74" s="28">
        <f>IFERROR(INDEX(tblPiNAnalysis[Mine Action], MATCH(tblPiNHistorical[[#This Row],[ID]], tblPiNAnalysis[ID], 0)), "")</f>
        <v>0</v>
      </c>
      <c r="AD74" s="83">
        <f>IFERROR(INDEX(tblPiNAnalysis[[Shelter NFI ]], MATCH(tblPiNHistorical[[#This Row],[ID]], tblPiNAnalysis[ID], 0)), "")</f>
        <v>4559</v>
      </c>
      <c r="AE74" s="35">
        <f>IFERROR(INDEX(tblPiNAnalysis[WASH], MATCH(tblPiNHistorical[[#This Row],[ID]], tblPiNAnalysis[ID], 0)), "")</f>
        <v>0</v>
      </c>
      <c r="AF74" s="6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74" s="67" t="str">
        <f>IF(OR(tblPiNHistorical[[#This Row],[Education Old]]="", tblPiNHistorical[[#This Row],[Education Old]]=0, tblPiNHistorical[[#This Row],[Education New]]="", tblPiNHistorical[[#This Row],[Education New]]=0), "", tblPiNHistorical[[#This Row],[Education New]]-tblPiNHistorical[[#This Row],[Education Old]])</f>
        <v/>
      </c>
      <c r="AH74" s="67"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74" s="67" t="str">
        <f>IF(OR(tblPiNHistorical[[#This Row],[Health Old]]="", tblPiNHistorical[[#This Row],[Health Old]]=0, tblPiNHistorical[[#This Row],[Health New]]="", tblPiNHistorical[[#This Row],[Health New]]=0), "", tblPiNHistorical[[#This Row],[Health New]]-tblPiNHistorical[[#This Row],[Health Old]])</f>
        <v/>
      </c>
      <c r="AJ74" s="67" t="str">
        <f>IF(OR(tblPiNHistorical[[#This Row],[Nutrition Old]]="", tblPiNHistorical[[#This Row],[Nutrition Old]]=0, tblPiNHistorical[[#This Row],[Nutrition New]]="", tblPiNHistorical[[#This Row],[Nutrition New]]=0), "", tblPiNHistorical[[#This Row],[Nutrition New]]-tblPiNHistorical[[#This Row],[Nutrition Old]])</f>
        <v/>
      </c>
      <c r="AK74" s="67" t="str">
        <f>IF(OR(tblPiNHistorical[[#This Row],[Protection Old]]="", tblPiNHistorical[[#This Row],[Protection Old]]=0, tblPiNHistorical[[#This Row],[Protection New]]="", tblPiNHistorical[[#This Row],[Protection New]]=0), "", tblPiNHistorical[[#This Row],[Protection New]]-tblPiNHistorical[[#This Row],[Protection Old]])</f>
        <v/>
      </c>
      <c r="AL74" s="67" t="str">
        <f>IF(OR(tblPiNHistorical[[#This Row],[CP Old ]]="", tblPiNHistorical[[#This Row],[CP Old ]]=0, tblPiNHistorical[[#This Row],[CP New]]="", tblPiNHistorical[[#This Row],[CP New]]=0), "", tblPiNHistorical[[#This Row],[CP New]]-tblPiNHistorical[[#This Row],[CP Old ]])</f>
        <v/>
      </c>
      <c r="AM74" s="83" t="str">
        <f>IF(OR(tblPiNHistorical[[#This Row],[GBV Old]]="", tblPiNHistorical[[#This Row],[GBV Old]]=0, tblPiNHistorical[[#This Row],[GBV New]]="", tblPiNHistorical[[#This Row],[GBV New]]=0), "", tblPiNHistorical[[#This Row],[GBV New]]-tblPiNHistorical[[#This Row],[GBV Old]])</f>
        <v/>
      </c>
      <c r="AN74" s="83" t="str">
        <f>IF(OR(tblPiNHistorical[[#This Row],[Mine Action Old]]="", tblPiNHistorical[[#This Row],[Mine Action Old]]=0, tblPiNHistorical[[#This Row],[Mine Action New]]="", tblPiNHistorical[[#This Row],[Mine Action New]]=0), "", tblPiNHistorical[[#This Row],[Mine Action New]]-tblPiNHistorical[[#This Row],[Mine Action Old]])</f>
        <v/>
      </c>
      <c r="AO74" s="67" t="str">
        <f>IF(OR(tblPiNHistorical[[#This Row],[Shelter NFI Old]]="", tblPiNHistorical[[#This Row],[Shelter NFI Old]]=0, tblPiNHistorical[[#This Row],[Shelter NFI New]]="", tblPiNHistorical[[#This Row],[Shelter NFI New]]=0), "", tblPiNHistorical[[#This Row],[Shelter NFI New]]-tblPiNHistorical[[#This Row],[Shelter NFI Old]])</f>
        <v/>
      </c>
      <c r="AP74" s="111" t="str">
        <f>IF(OR(tblPiNHistorical[[#This Row],[WASH Old]]="", tblPiNHistorical[[#This Row],[WASH Old]]=0, tblPiNHistorical[[#This Row],[WASH New]]="", tblPiNHistorical[[#This Row],[WASH New]]=0), "", tblPiNHistorical[[#This Row],[WASH New]]-tblPiNHistorical[[#This Row],[WASH Old]])</f>
        <v/>
      </c>
      <c r="AQ74" s="110">
        <f>IFERROR(ROUND((tblPiNHistorical[[#This Row],[Site Management - New]] - tblPiNHistorical[[#This Row],[Site Management - Old]])/tblPiNHistorical[[#This Row],[Site Management - Old]], 1), "")</f>
        <v>-1</v>
      </c>
      <c r="AR74" s="66">
        <f>IFERROR(ROUND((tblPiNHistorical[[#This Row],[Education New]]-tblPiNHistorical[[#This Row],[Education Old]])/tblPiNHistorical[[#This Row],[Education Old]], 1), "")</f>
        <v>-1</v>
      </c>
      <c r="AS74" s="66">
        <f>IFERROR(ROUND((tblPiNHistorical[[#This Row],[Food Security and Livlihoods New]]-tblPiNHistorical[[#This Row],[Food Security and Livlihoods Old]])/tblPiNHistorical[[#This Row],[Food Security and Livlihoods Old]], 1), "")</f>
        <v>-1</v>
      </c>
      <c r="AT74" s="66">
        <f>IFERROR(ROUND((tblPiNHistorical[[#This Row],[Health New]]-tblPiNHistorical[[#This Row],[Health Old]])/tblPiNHistorical[[#This Row],[Health Old]], 1), "")</f>
        <v>-1</v>
      </c>
      <c r="AU74" s="66">
        <f>IFERROR(ROUND((tblPiNHistorical[[#This Row],[Nutrition New]]-tblPiNHistorical[[#This Row],[Nutrition Old]])/tblPiNHistorical[[#This Row],[Nutrition Old]], 1), "")</f>
        <v>-1</v>
      </c>
      <c r="AV74" s="66">
        <f>IFERROR(ROUND((tblPiNHistorical[[#This Row],[Protection New]]-tblPiNHistorical[[#This Row],[Protection Old]])/tblPiNHistorical[[#This Row],[Protection Old]], 1), "")</f>
        <v>-1</v>
      </c>
      <c r="AW74" s="84">
        <f>IFERROR(ROUND((tblPiNHistorical[[#This Row],[CP New]]-tblPiNHistorical[[#This Row],[CP Old ]])/tblPiNHistorical[[#This Row],[CP Old ]], 1), "")</f>
        <v>-1</v>
      </c>
      <c r="AX74" s="84">
        <f>IFERROR(ROUND((tblPiNHistorical[[#This Row],[GBV New]]-tblPiNHistorical[[#This Row],[GBV Old]])/tblPiNHistorical[[#This Row],[GBV Old]], 1), "")</f>
        <v>-1</v>
      </c>
      <c r="AY74" s="84">
        <f>IFERROR(ROUND((tblPiNHistorical[[#This Row],[Mine Action New]]-tblPiNHistorical[[#This Row],[Mine Action Old]])/tblPiNHistorical[[#This Row],[Mine Action Old]], 1), "")</f>
        <v>-1</v>
      </c>
      <c r="AZ74" s="66" t="str">
        <f>IFERROR(ROUND((tblPiNHistorical[[#This Row],[Shelter NFI New]]-tblPiNHistorical[[#This Row],[Shelter NFI Old]])/tblPiNHistorical[[#This Row],[Shelter NFI Old]], 1), "")</f>
        <v/>
      </c>
      <c r="BA74" s="36" t="str">
        <f>IFERROR(ROUND((tblPiNHistorical[[#This Row],[WASH New]]-tblPiNHistorical[[#This Row],[WASH Old]])/tblPiNHistorical[[#This Row],[WASH Old]], 1), "")</f>
        <v/>
      </c>
      <c r="BB74"/>
      <c r="BC74"/>
      <c r="BD74"/>
      <c r="BE74"/>
      <c r="BF74"/>
      <c r="BG74"/>
      <c r="BH74"/>
      <c r="BI74"/>
      <c r="BL74"/>
      <c r="BN74"/>
      <c r="BO74"/>
      <c r="BP74"/>
    </row>
    <row r="75" spans="1:68" x14ac:dyDescent="0.25">
      <c r="A75"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IDPsSD02113</v>
      </c>
      <c r="B75" s="127" t="s">
        <v>167</v>
      </c>
      <c r="C75" s="60" t="s">
        <v>119</v>
      </c>
      <c r="D75" s="60" t="s">
        <v>196</v>
      </c>
      <c r="E75" s="60" t="s">
        <v>195</v>
      </c>
      <c r="F75" s="54"/>
      <c r="G75" s="30"/>
      <c r="H75" s="56">
        <v>55166</v>
      </c>
      <c r="I75" s="37" t="s">
        <v>88</v>
      </c>
      <c r="J75" s="34">
        <v>44216</v>
      </c>
      <c r="K75" s="116">
        <v>21387.858199999999</v>
      </c>
      <c r="L75" s="114">
        <v>55166</v>
      </c>
      <c r="M75" s="114">
        <v>55166</v>
      </c>
      <c r="N75" s="114">
        <v>7698</v>
      </c>
      <c r="O75" s="114">
        <v>55166</v>
      </c>
      <c r="P75" s="114">
        <v>30341</v>
      </c>
      <c r="Q75" s="114">
        <v>21835</v>
      </c>
      <c r="R75" s="114">
        <v>22066.400000000001</v>
      </c>
      <c r="S75" s="114">
        <v>33100</v>
      </c>
      <c r="T75" s="196">
        <v>40341.792479999989</v>
      </c>
      <c r="U75" s="52">
        <f>IFERROR(INDEX(tblPiNAnalysis[[Site Management ]], MATCH(tblPiNHistorical[[#This Row],[ID]], tblPiNAnalysis[ID], 0)), "")</f>
        <v>0</v>
      </c>
      <c r="V75" s="52">
        <f>IFERROR(INDEX(tblPiNAnalysis[Education], MATCH(tblPiNHistorical[[#This Row],[ID]], tblPiNAnalysis[ID], 0)), "")</f>
        <v>0</v>
      </c>
      <c r="W75" s="28">
        <f>IFERROR(INDEX(tblPiNAnalysis[Food Security and Livlihoods], MATCH(tblPiNHistorical[[#This Row],[ID]], tblPiNAnalysis[ID], 0)), "")</f>
        <v>0</v>
      </c>
      <c r="X75" s="28">
        <f>IFERROR(INDEX(tblPiNAnalysis[[Health ]], MATCH(tblPiNHistorical[[#This Row],[ID]], tblPiNAnalysis[ID], 0)), "")</f>
        <v>0</v>
      </c>
      <c r="Y75" s="28">
        <f>IFERROR(INDEX(tblPiNAnalysis[Nutrition], MATCH(tblPiNHistorical[[#This Row],[ID]], tblPiNAnalysis[ID], 0)), "")</f>
        <v>0</v>
      </c>
      <c r="Z75" s="28">
        <f>IFERROR(INDEX(tblPiNAnalysis[Protection], MATCH(tblPiNHistorical[[#This Row],[ID]], tblPiNAnalysis[ID], 0)), "")</f>
        <v>0</v>
      </c>
      <c r="AA75" s="28">
        <f>IFERROR(INDEX(tblPiNAnalysis[CP], MATCH(tblPiNHistorical[[#This Row],[ID]], tblPiNAnalysis[ID], 0)), "")</f>
        <v>0</v>
      </c>
      <c r="AB75" s="83">
        <f>IFERROR(INDEX(tblPiNAnalysis[GBV], MATCH(tblPiNHistorical[[#This Row],[ID]], tblPiNAnalysis[ID], 0)), "")</f>
        <v>0</v>
      </c>
      <c r="AC75" s="28">
        <f>IFERROR(INDEX(tblPiNAnalysis[Mine Action], MATCH(tblPiNHistorical[[#This Row],[ID]], tblPiNAnalysis[ID], 0)), "")</f>
        <v>0</v>
      </c>
      <c r="AD75" s="83">
        <f>IFERROR(INDEX(tblPiNAnalysis[[Shelter NFI ]], MATCH(tblPiNHistorical[[#This Row],[ID]], tblPiNAnalysis[ID], 0)), "")</f>
        <v>81577</v>
      </c>
      <c r="AE75" s="35">
        <f>IFERROR(INDEX(tblPiNAnalysis[WASH], MATCH(tblPiNHistorical[[#This Row],[ID]], tblPiNAnalysis[ID], 0)), "")</f>
        <v>0</v>
      </c>
      <c r="AF75" s="6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75" s="67" t="str">
        <f>IF(OR(tblPiNHistorical[[#This Row],[Education Old]]="", tblPiNHistorical[[#This Row],[Education Old]]=0, tblPiNHistorical[[#This Row],[Education New]]="", tblPiNHistorical[[#This Row],[Education New]]=0), "", tblPiNHistorical[[#This Row],[Education New]]-tblPiNHistorical[[#This Row],[Education Old]])</f>
        <v/>
      </c>
      <c r="AH75" s="67"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75" s="67" t="str">
        <f>IF(OR(tblPiNHistorical[[#This Row],[Health Old]]="", tblPiNHistorical[[#This Row],[Health Old]]=0, tblPiNHistorical[[#This Row],[Health New]]="", tblPiNHistorical[[#This Row],[Health New]]=0), "", tblPiNHistorical[[#This Row],[Health New]]-tblPiNHistorical[[#This Row],[Health Old]])</f>
        <v/>
      </c>
      <c r="AJ75" s="67" t="str">
        <f>IF(OR(tblPiNHistorical[[#This Row],[Nutrition Old]]="", tblPiNHistorical[[#This Row],[Nutrition Old]]=0, tblPiNHistorical[[#This Row],[Nutrition New]]="", tblPiNHistorical[[#This Row],[Nutrition New]]=0), "", tblPiNHistorical[[#This Row],[Nutrition New]]-tblPiNHistorical[[#This Row],[Nutrition Old]])</f>
        <v/>
      </c>
      <c r="AK75" s="67" t="str">
        <f>IF(OR(tblPiNHistorical[[#This Row],[Protection Old]]="", tblPiNHistorical[[#This Row],[Protection Old]]=0, tblPiNHistorical[[#This Row],[Protection New]]="", tblPiNHistorical[[#This Row],[Protection New]]=0), "", tblPiNHistorical[[#This Row],[Protection New]]-tblPiNHistorical[[#This Row],[Protection Old]])</f>
        <v/>
      </c>
      <c r="AL75" s="67" t="str">
        <f>IF(OR(tblPiNHistorical[[#This Row],[CP Old ]]="", tblPiNHistorical[[#This Row],[CP Old ]]=0, tblPiNHistorical[[#This Row],[CP New]]="", tblPiNHistorical[[#This Row],[CP New]]=0), "", tblPiNHistorical[[#This Row],[CP New]]-tblPiNHistorical[[#This Row],[CP Old ]])</f>
        <v/>
      </c>
      <c r="AM75" s="83" t="str">
        <f>IF(OR(tblPiNHistorical[[#This Row],[GBV Old]]="", tblPiNHistorical[[#This Row],[GBV Old]]=0, tblPiNHistorical[[#This Row],[GBV New]]="", tblPiNHistorical[[#This Row],[GBV New]]=0), "", tblPiNHistorical[[#This Row],[GBV New]]-tblPiNHistorical[[#This Row],[GBV Old]])</f>
        <v/>
      </c>
      <c r="AN75" s="83" t="str">
        <f>IF(OR(tblPiNHistorical[[#This Row],[Mine Action Old]]="", tblPiNHistorical[[#This Row],[Mine Action Old]]=0, tblPiNHistorical[[#This Row],[Mine Action New]]="", tblPiNHistorical[[#This Row],[Mine Action New]]=0), "", tblPiNHistorical[[#This Row],[Mine Action New]]-tblPiNHistorical[[#This Row],[Mine Action Old]])</f>
        <v/>
      </c>
      <c r="AO75" s="67">
        <f>IF(OR(tblPiNHistorical[[#This Row],[Shelter NFI Old]]="", tblPiNHistorical[[#This Row],[Shelter NFI Old]]=0, tblPiNHistorical[[#This Row],[Shelter NFI New]]="", tblPiNHistorical[[#This Row],[Shelter NFI New]]=0), "", tblPiNHistorical[[#This Row],[Shelter NFI New]]-tblPiNHistorical[[#This Row],[Shelter NFI Old]])</f>
        <v>48477</v>
      </c>
      <c r="AP75" s="111" t="str">
        <f>IF(OR(tblPiNHistorical[[#This Row],[WASH Old]]="", tblPiNHistorical[[#This Row],[WASH Old]]=0, tblPiNHistorical[[#This Row],[WASH New]]="", tblPiNHistorical[[#This Row],[WASH New]]=0), "", tblPiNHistorical[[#This Row],[WASH New]]-tblPiNHistorical[[#This Row],[WASH Old]])</f>
        <v/>
      </c>
      <c r="AQ75" s="110">
        <f>IFERROR(ROUND((tblPiNHistorical[[#This Row],[Site Management - New]] - tblPiNHistorical[[#This Row],[Site Management - Old]])/tblPiNHistorical[[#This Row],[Site Management - Old]], 1), "")</f>
        <v>-1</v>
      </c>
      <c r="AR75" s="66">
        <f>IFERROR(ROUND((tblPiNHistorical[[#This Row],[Education New]]-tblPiNHistorical[[#This Row],[Education Old]])/tblPiNHistorical[[#This Row],[Education Old]], 1), "")</f>
        <v>-1</v>
      </c>
      <c r="AS75" s="66">
        <f>IFERROR(ROUND((tblPiNHistorical[[#This Row],[Food Security and Livlihoods New]]-tblPiNHistorical[[#This Row],[Food Security and Livlihoods Old]])/tblPiNHistorical[[#This Row],[Food Security and Livlihoods Old]], 1), "")</f>
        <v>-1</v>
      </c>
      <c r="AT75" s="66">
        <f>IFERROR(ROUND((tblPiNHistorical[[#This Row],[Health New]]-tblPiNHistorical[[#This Row],[Health Old]])/tblPiNHistorical[[#This Row],[Health Old]], 1), "")</f>
        <v>-1</v>
      </c>
      <c r="AU75" s="66">
        <f>IFERROR(ROUND((tblPiNHistorical[[#This Row],[Nutrition New]]-tblPiNHistorical[[#This Row],[Nutrition Old]])/tblPiNHistorical[[#This Row],[Nutrition Old]], 1), "")</f>
        <v>-1</v>
      </c>
      <c r="AV75" s="66">
        <f>IFERROR(ROUND((tblPiNHistorical[[#This Row],[Protection New]]-tblPiNHistorical[[#This Row],[Protection Old]])/tblPiNHistorical[[#This Row],[Protection Old]], 1), "")</f>
        <v>-1</v>
      </c>
      <c r="AW75" s="84">
        <f>IFERROR(ROUND((tblPiNHistorical[[#This Row],[CP New]]-tblPiNHistorical[[#This Row],[CP Old ]])/tblPiNHistorical[[#This Row],[CP Old ]], 1), "")</f>
        <v>-1</v>
      </c>
      <c r="AX75" s="84">
        <f>IFERROR(ROUND((tblPiNHistorical[[#This Row],[GBV New]]-tblPiNHistorical[[#This Row],[GBV Old]])/tblPiNHistorical[[#This Row],[GBV Old]], 1), "")</f>
        <v>-1</v>
      </c>
      <c r="AY75" s="84">
        <f>IFERROR(ROUND((tblPiNHistorical[[#This Row],[Mine Action New]]-tblPiNHistorical[[#This Row],[Mine Action Old]])/tblPiNHistorical[[#This Row],[Mine Action Old]], 1), "")</f>
        <v>-1</v>
      </c>
      <c r="AZ75" s="66">
        <f>IFERROR(ROUND((tblPiNHistorical[[#This Row],[Shelter NFI New]]-tblPiNHistorical[[#This Row],[Shelter NFI Old]])/tblPiNHistorical[[#This Row],[Shelter NFI Old]], 1), "")</f>
        <v>1.5</v>
      </c>
      <c r="BA75" s="36">
        <f>IFERROR(ROUND((tblPiNHistorical[[#This Row],[WASH New]]-tblPiNHistorical[[#This Row],[WASH Old]])/tblPiNHistorical[[#This Row],[WASH Old]], 1), "")</f>
        <v>-1</v>
      </c>
      <c r="BB75"/>
      <c r="BC75"/>
      <c r="BD75"/>
      <c r="BE75"/>
      <c r="BF75"/>
      <c r="BG75"/>
      <c r="BH75"/>
      <c r="BI75"/>
      <c r="BL75"/>
      <c r="BN75"/>
      <c r="BO75"/>
      <c r="BP75"/>
    </row>
    <row r="76" spans="1:68" x14ac:dyDescent="0.25">
      <c r="A76"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IDPsSD02124</v>
      </c>
      <c r="B76" s="127" t="s">
        <v>167</v>
      </c>
      <c r="C76" s="60" t="s">
        <v>119</v>
      </c>
      <c r="D76" s="60" t="s">
        <v>211</v>
      </c>
      <c r="E76" s="60" t="s">
        <v>210</v>
      </c>
      <c r="F76" s="54"/>
      <c r="G76" s="30"/>
      <c r="H76" s="56">
        <v>82445</v>
      </c>
      <c r="I76" s="37" t="s">
        <v>88</v>
      </c>
      <c r="J76" s="34">
        <v>44839</v>
      </c>
      <c r="K76" s="116">
        <v>31963.926499999998</v>
      </c>
      <c r="L76" s="114">
        <v>82445</v>
      </c>
      <c r="M76" s="114">
        <v>82445</v>
      </c>
      <c r="N76" s="114">
        <v>9497</v>
      </c>
      <c r="O76" s="114">
        <v>82445</v>
      </c>
      <c r="P76" s="114">
        <v>45345</v>
      </c>
      <c r="Q76" s="114">
        <v>32632</v>
      </c>
      <c r="R76" s="114">
        <v>24733.5</v>
      </c>
      <c r="S76" s="114">
        <v>49467</v>
      </c>
      <c r="T76" s="196">
        <v>77297.134199999986</v>
      </c>
      <c r="U76" s="52">
        <f>IFERROR(INDEX(tblPiNAnalysis[[Site Management ]], MATCH(tblPiNHistorical[[#This Row],[ID]], tblPiNAnalysis[ID], 0)), "")</f>
        <v>0</v>
      </c>
      <c r="V76" s="52">
        <f>IFERROR(INDEX(tblPiNAnalysis[Education], MATCH(tblPiNHistorical[[#This Row],[ID]], tblPiNAnalysis[ID], 0)), "")</f>
        <v>0</v>
      </c>
      <c r="W76" s="28">
        <f>IFERROR(INDEX(tblPiNAnalysis[Food Security and Livlihoods], MATCH(tblPiNHistorical[[#This Row],[ID]], tblPiNAnalysis[ID], 0)), "")</f>
        <v>0</v>
      </c>
      <c r="X76" s="28">
        <f>IFERROR(INDEX(tblPiNAnalysis[[Health ]], MATCH(tblPiNHistorical[[#This Row],[ID]], tblPiNAnalysis[ID], 0)), "")</f>
        <v>0</v>
      </c>
      <c r="Y76" s="28">
        <f>IFERROR(INDEX(tblPiNAnalysis[Nutrition], MATCH(tblPiNHistorical[[#This Row],[ID]], tblPiNAnalysis[ID], 0)), "")</f>
        <v>0</v>
      </c>
      <c r="Z76" s="28">
        <f>IFERROR(INDEX(tblPiNAnalysis[Protection], MATCH(tblPiNHistorical[[#This Row],[ID]], tblPiNAnalysis[ID], 0)), "")</f>
        <v>0</v>
      </c>
      <c r="AA76" s="28">
        <f>IFERROR(INDEX(tblPiNAnalysis[CP], MATCH(tblPiNHistorical[[#This Row],[ID]], tblPiNAnalysis[ID], 0)), "")</f>
        <v>0</v>
      </c>
      <c r="AB76" s="83">
        <f>IFERROR(INDEX(tblPiNAnalysis[GBV], MATCH(tblPiNHistorical[[#This Row],[ID]], tblPiNAnalysis[ID], 0)), "")</f>
        <v>0</v>
      </c>
      <c r="AC76" s="28">
        <f>IFERROR(INDEX(tblPiNAnalysis[Mine Action], MATCH(tblPiNHistorical[[#This Row],[ID]], tblPiNAnalysis[ID], 0)), "")</f>
        <v>0</v>
      </c>
      <c r="AD76" s="83">
        <f>IFERROR(INDEX(tblPiNAnalysis[[Shelter NFI ]], MATCH(tblPiNHistorical[[#This Row],[ID]], tblPiNAnalysis[ID], 0)), "")</f>
        <v>61047</v>
      </c>
      <c r="AE76" s="35">
        <f>IFERROR(INDEX(tblPiNAnalysis[WASH], MATCH(tblPiNHistorical[[#This Row],[ID]], tblPiNAnalysis[ID], 0)), "")</f>
        <v>0</v>
      </c>
      <c r="AF76" s="6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76" s="67" t="str">
        <f>IF(OR(tblPiNHistorical[[#This Row],[Education Old]]="", tblPiNHistorical[[#This Row],[Education Old]]=0, tblPiNHistorical[[#This Row],[Education New]]="", tblPiNHistorical[[#This Row],[Education New]]=0), "", tblPiNHistorical[[#This Row],[Education New]]-tblPiNHistorical[[#This Row],[Education Old]])</f>
        <v/>
      </c>
      <c r="AH76" s="67"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76" s="67" t="str">
        <f>IF(OR(tblPiNHistorical[[#This Row],[Health Old]]="", tblPiNHistorical[[#This Row],[Health Old]]=0, tblPiNHistorical[[#This Row],[Health New]]="", tblPiNHistorical[[#This Row],[Health New]]=0), "", tblPiNHistorical[[#This Row],[Health New]]-tblPiNHistorical[[#This Row],[Health Old]])</f>
        <v/>
      </c>
      <c r="AJ76" s="67" t="str">
        <f>IF(OR(tblPiNHistorical[[#This Row],[Nutrition Old]]="", tblPiNHistorical[[#This Row],[Nutrition Old]]=0, tblPiNHistorical[[#This Row],[Nutrition New]]="", tblPiNHistorical[[#This Row],[Nutrition New]]=0), "", tblPiNHistorical[[#This Row],[Nutrition New]]-tblPiNHistorical[[#This Row],[Nutrition Old]])</f>
        <v/>
      </c>
      <c r="AK76" s="67" t="str">
        <f>IF(OR(tblPiNHistorical[[#This Row],[Protection Old]]="", tblPiNHistorical[[#This Row],[Protection Old]]=0, tblPiNHistorical[[#This Row],[Protection New]]="", tblPiNHistorical[[#This Row],[Protection New]]=0), "", tblPiNHistorical[[#This Row],[Protection New]]-tblPiNHistorical[[#This Row],[Protection Old]])</f>
        <v/>
      </c>
      <c r="AL76" s="67" t="str">
        <f>IF(OR(tblPiNHistorical[[#This Row],[CP Old ]]="", tblPiNHistorical[[#This Row],[CP Old ]]=0, tblPiNHistorical[[#This Row],[CP New]]="", tblPiNHistorical[[#This Row],[CP New]]=0), "", tblPiNHistorical[[#This Row],[CP New]]-tblPiNHistorical[[#This Row],[CP Old ]])</f>
        <v/>
      </c>
      <c r="AM76" s="83" t="str">
        <f>IF(OR(tblPiNHistorical[[#This Row],[GBV Old]]="", tblPiNHistorical[[#This Row],[GBV Old]]=0, tblPiNHistorical[[#This Row],[GBV New]]="", tblPiNHistorical[[#This Row],[GBV New]]=0), "", tblPiNHistorical[[#This Row],[GBV New]]-tblPiNHistorical[[#This Row],[GBV Old]])</f>
        <v/>
      </c>
      <c r="AN76" s="83" t="str">
        <f>IF(OR(tblPiNHistorical[[#This Row],[Mine Action Old]]="", tblPiNHistorical[[#This Row],[Mine Action Old]]=0, tblPiNHistorical[[#This Row],[Mine Action New]]="", tblPiNHistorical[[#This Row],[Mine Action New]]=0), "", tblPiNHistorical[[#This Row],[Mine Action New]]-tblPiNHistorical[[#This Row],[Mine Action Old]])</f>
        <v/>
      </c>
      <c r="AO76" s="67">
        <f>IF(OR(tblPiNHistorical[[#This Row],[Shelter NFI Old]]="", tblPiNHistorical[[#This Row],[Shelter NFI Old]]=0, tblPiNHistorical[[#This Row],[Shelter NFI New]]="", tblPiNHistorical[[#This Row],[Shelter NFI New]]=0), "", tblPiNHistorical[[#This Row],[Shelter NFI New]]-tblPiNHistorical[[#This Row],[Shelter NFI Old]])</f>
        <v>11580</v>
      </c>
      <c r="AP76" s="111" t="str">
        <f>IF(OR(tblPiNHistorical[[#This Row],[WASH Old]]="", tblPiNHistorical[[#This Row],[WASH Old]]=0, tblPiNHistorical[[#This Row],[WASH New]]="", tblPiNHistorical[[#This Row],[WASH New]]=0), "", tblPiNHistorical[[#This Row],[WASH New]]-tblPiNHistorical[[#This Row],[WASH Old]])</f>
        <v/>
      </c>
      <c r="AQ76" s="110">
        <f>IFERROR(ROUND((tblPiNHistorical[[#This Row],[Site Management - New]] - tblPiNHistorical[[#This Row],[Site Management - Old]])/tblPiNHistorical[[#This Row],[Site Management - Old]], 1), "")</f>
        <v>-1</v>
      </c>
      <c r="AR76" s="66">
        <f>IFERROR(ROUND((tblPiNHistorical[[#This Row],[Education New]]-tblPiNHistorical[[#This Row],[Education Old]])/tblPiNHistorical[[#This Row],[Education Old]], 1), "")</f>
        <v>-1</v>
      </c>
      <c r="AS76" s="66">
        <f>IFERROR(ROUND((tblPiNHistorical[[#This Row],[Food Security and Livlihoods New]]-tblPiNHistorical[[#This Row],[Food Security and Livlihoods Old]])/tblPiNHistorical[[#This Row],[Food Security and Livlihoods Old]], 1), "")</f>
        <v>-1</v>
      </c>
      <c r="AT76" s="66">
        <f>IFERROR(ROUND((tblPiNHistorical[[#This Row],[Health New]]-tblPiNHistorical[[#This Row],[Health Old]])/tblPiNHistorical[[#This Row],[Health Old]], 1), "")</f>
        <v>-1</v>
      </c>
      <c r="AU76" s="66">
        <f>IFERROR(ROUND((tblPiNHistorical[[#This Row],[Nutrition New]]-tblPiNHistorical[[#This Row],[Nutrition Old]])/tblPiNHistorical[[#This Row],[Nutrition Old]], 1), "")</f>
        <v>-1</v>
      </c>
      <c r="AV76" s="66">
        <f>IFERROR(ROUND((tblPiNHistorical[[#This Row],[Protection New]]-tblPiNHistorical[[#This Row],[Protection Old]])/tblPiNHistorical[[#This Row],[Protection Old]], 1), "")</f>
        <v>-1</v>
      </c>
      <c r="AW76" s="84">
        <f>IFERROR(ROUND((tblPiNHistorical[[#This Row],[CP New]]-tblPiNHistorical[[#This Row],[CP Old ]])/tblPiNHistorical[[#This Row],[CP Old ]], 1), "")</f>
        <v>-1</v>
      </c>
      <c r="AX76" s="84">
        <f>IFERROR(ROUND((tblPiNHistorical[[#This Row],[GBV New]]-tblPiNHistorical[[#This Row],[GBV Old]])/tblPiNHistorical[[#This Row],[GBV Old]], 1), "")</f>
        <v>-1</v>
      </c>
      <c r="AY76" s="84">
        <f>IFERROR(ROUND((tblPiNHistorical[[#This Row],[Mine Action New]]-tblPiNHistorical[[#This Row],[Mine Action Old]])/tblPiNHistorical[[#This Row],[Mine Action Old]], 1), "")</f>
        <v>-1</v>
      </c>
      <c r="AZ76" s="66">
        <f>IFERROR(ROUND((tblPiNHistorical[[#This Row],[Shelter NFI New]]-tblPiNHistorical[[#This Row],[Shelter NFI Old]])/tblPiNHistorical[[#This Row],[Shelter NFI Old]], 1), "")</f>
        <v>0.2</v>
      </c>
      <c r="BA76" s="36">
        <f>IFERROR(ROUND((tblPiNHistorical[[#This Row],[WASH New]]-tblPiNHistorical[[#This Row],[WASH Old]])/tblPiNHistorical[[#This Row],[WASH Old]], 1), "")</f>
        <v>-1</v>
      </c>
      <c r="BB76"/>
      <c r="BC76"/>
      <c r="BD76"/>
      <c r="BE76"/>
      <c r="BF76"/>
      <c r="BG76"/>
      <c r="BH76"/>
      <c r="BI76"/>
      <c r="BL76"/>
      <c r="BN76"/>
      <c r="BO76"/>
      <c r="BP76"/>
    </row>
    <row r="77" spans="1:68" x14ac:dyDescent="0.25">
      <c r="A77"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IDPsSD02126</v>
      </c>
      <c r="B77" s="127" t="s">
        <v>167</v>
      </c>
      <c r="C77" s="60" t="s">
        <v>119</v>
      </c>
      <c r="D77" s="60" t="s">
        <v>213</v>
      </c>
      <c r="E77" s="60" t="s">
        <v>212</v>
      </c>
      <c r="F77" s="54"/>
      <c r="G77" s="30"/>
      <c r="H77" s="56">
        <v>7818</v>
      </c>
      <c r="I77" s="37" t="s">
        <v>88</v>
      </c>
      <c r="J77" s="34">
        <v>1073</v>
      </c>
      <c r="K77" s="116">
        <v>3031.0385999999999</v>
      </c>
      <c r="L77" s="114">
        <v>7818</v>
      </c>
      <c r="M77" s="114">
        <v>7818</v>
      </c>
      <c r="N77" s="114">
        <v>1108</v>
      </c>
      <c r="O77" s="114">
        <v>7818</v>
      </c>
      <c r="P77" s="114">
        <v>4300</v>
      </c>
      <c r="Q77" s="114">
        <v>3095</v>
      </c>
      <c r="R77" s="114">
        <v>0</v>
      </c>
      <c r="S77" s="114">
        <v>3127</v>
      </c>
      <c r="T77" s="196">
        <v>0</v>
      </c>
      <c r="U77" s="52">
        <f>IFERROR(INDEX(tblPiNAnalysis[[Site Management ]], MATCH(tblPiNHistorical[[#This Row],[ID]], tblPiNAnalysis[ID], 0)), "")</f>
        <v>0</v>
      </c>
      <c r="V77" s="52">
        <f>IFERROR(INDEX(tblPiNAnalysis[Education], MATCH(tblPiNHistorical[[#This Row],[ID]], tblPiNAnalysis[ID], 0)), "")</f>
        <v>0</v>
      </c>
      <c r="W77" s="28">
        <f>IFERROR(INDEX(tblPiNAnalysis[Food Security and Livlihoods], MATCH(tblPiNHistorical[[#This Row],[ID]], tblPiNAnalysis[ID], 0)), "")</f>
        <v>0</v>
      </c>
      <c r="X77" s="28">
        <f>IFERROR(INDEX(tblPiNAnalysis[[Health ]], MATCH(tblPiNHistorical[[#This Row],[ID]], tblPiNAnalysis[ID], 0)), "")</f>
        <v>0</v>
      </c>
      <c r="Y77" s="28">
        <f>IFERROR(INDEX(tblPiNAnalysis[Nutrition], MATCH(tblPiNHistorical[[#This Row],[ID]], tblPiNAnalysis[ID], 0)), "")</f>
        <v>0</v>
      </c>
      <c r="Z77" s="28">
        <f>IFERROR(INDEX(tblPiNAnalysis[Protection], MATCH(tblPiNHistorical[[#This Row],[ID]], tblPiNAnalysis[ID], 0)), "")</f>
        <v>0</v>
      </c>
      <c r="AA77" s="28">
        <f>IFERROR(INDEX(tblPiNAnalysis[CP], MATCH(tblPiNHistorical[[#This Row],[ID]], tblPiNAnalysis[ID], 0)), "")</f>
        <v>0</v>
      </c>
      <c r="AB77" s="83">
        <f>IFERROR(INDEX(tblPiNAnalysis[GBV], MATCH(tblPiNHistorical[[#This Row],[ID]], tblPiNAnalysis[ID], 0)), "")</f>
        <v>0</v>
      </c>
      <c r="AC77" s="28">
        <f>IFERROR(INDEX(tblPiNAnalysis[Mine Action], MATCH(tblPiNHistorical[[#This Row],[ID]], tblPiNAnalysis[ID], 0)), "")</f>
        <v>0</v>
      </c>
      <c r="AD77" s="83">
        <f>IFERROR(INDEX(tblPiNAnalysis[[Shelter NFI ]], MATCH(tblPiNHistorical[[#This Row],[ID]], tblPiNAnalysis[ID], 0)), "")</f>
        <v>3734</v>
      </c>
      <c r="AE77" s="35">
        <f>IFERROR(INDEX(tblPiNAnalysis[WASH], MATCH(tblPiNHistorical[[#This Row],[ID]], tblPiNAnalysis[ID], 0)), "")</f>
        <v>0</v>
      </c>
      <c r="AF77" s="6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77" s="67" t="str">
        <f>IF(OR(tblPiNHistorical[[#This Row],[Education Old]]="", tblPiNHistorical[[#This Row],[Education Old]]=0, tblPiNHistorical[[#This Row],[Education New]]="", tblPiNHistorical[[#This Row],[Education New]]=0), "", tblPiNHistorical[[#This Row],[Education New]]-tblPiNHistorical[[#This Row],[Education Old]])</f>
        <v/>
      </c>
      <c r="AH77" s="67"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77" s="67" t="str">
        <f>IF(OR(tblPiNHistorical[[#This Row],[Health Old]]="", tblPiNHistorical[[#This Row],[Health Old]]=0, tblPiNHistorical[[#This Row],[Health New]]="", tblPiNHistorical[[#This Row],[Health New]]=0), "", tblPiNHistorical[[#This Row],[Health New]]-tblPiNHistorical[[#This Row],[Health Old]])</f>
        <v/>
      </c>
      <c r="AJ77" s="67" t="str">
        <f>IF(OR(tblPiNHistorical[[#This Row],[Nutrition Old]]="", tblPiNHistorical[[#This Row],[Nutrition Old]]=0, tblPiNHistorical[[#This Row],[Nutrition New]]="", tblPiNHistorical[[#This Row],[Nutrition New]]=0), "", tblPiNHistorical[[#This Row],[Nutrition New]]-tblPiNHistorical[[#This Row],[Nutrition Old]])</f>
        <v/>
      </c>
      <c r="AK77" s="67" t="str">
        <f>IF(OR(tblPiNHistorical[[#This Row],[Protection Old]]="", tblPiNHistorical[[#This Row],[Protection Old]]=0, tblPiNHistorical[[#This Row],[Protection New]]="", tblPiNHistorical[[#This Row],[Protection New]]=0), "", tblPiNHistorical[[#This Row],[Protection New]]-tblPiNHistorical[[#This Row],[Protection Old]])</f>
        <v/>
      </c>
      <c r="AL77" s="67" t="str">
        <f>IF(OR(tblPiNHistorical[[#This Row],[CP Old ]]="", tblPiNHistorical[[#This Row],[CP Old ]]=0, tblPiNHistorical[[#This Row],[CP New]]="", tblPiNHistorical[[#This Row],[CP New]]=0), "", tblPiNHistorical[[#This Row],[CP New]]-tblPiNHistorical[[#This Row],[CP Old ]])</f>
        <v/>
      </c>
      <c r="AM77" s="83" t="str">
        <f>IF(OR(tblPiNHistorical[[#This Row],[GBV Old]]="", tblPiNHistorical[[#This Row],[GBV Old]]=0, tblPiNHistorical[[#This Row],[GBV New]]="", tblPiNHistorical[[#This Row],[GBV New]]=0), "", tblPiNHistorical[[#This Row],[GBV New]]-tblPiNHistorical[[#This Row],[GBV Old]])</f>
        <v/>
      </c>
      <c r="AN77" s="83" t="str">
        <f>IF(OR(tblPiNHistorical[[#This Row],[Mine Action Old]]="", tblPiNHistorical[[#This Row],[Mine Action Old]]=0, tblPiNHistorical[[#This Row],[Mine Action New]]="", tblPiNHistorical[[#This Row],[Mine Action New]]=0), "", tblPiNHistorical[[#This Row],[Mine Action New]]-tblPiNHistorical[[#This Row],[Mine Action Old]])</f>
        <v/>
      </c>
      <c r="AO77" s="67">
        <f>IF(OR(tblPiNHistorical[[#This Row],[Shelter NFI Old]]="", tblPiNHistorical[[#This Row],[Shelter NFI Old]]=0, tblPiNHistorical[[#This Row],[Shelter NFI New]]="", tblPiNHistorical[[#This Row],[Shelter NFI New]]=0), "", tblPiNHistorical[[#This Row],[Shelter NFI New]]-tblPiNHistorical[[#This Row],[Shelter NFI Old]])</f>
        <v>607</v>
      </c>
      <c r="AP77" s="111" t="str">
        <f>IF(OR(tblPiNHistorical[[#This Row],[WASH Old]]="", tblPiNHistorical[[#This Row],[WASH Old]]=0, tblPiNHistorical[[#This Row],[WASH New]]="", tblPiNHistorical[[#This Row],[WASH New]]=0), "", tblPiNHistorical[[#This Row],[WASH New]]-tblPiNHistorical[[#This Row],[WASH Old]])</f>
        <v/>
      </c>
      <c r="AQ77" s="110">
        <f>IFERROR(ROUND((tblPiNHistorical[[#This Row],[Site Management - New]] - tblPiNHistorical[[#This Row],[Site Management - Old]])/tblPiNHistorical[[#This Row],[Site Management - Old]], 1), "")</f>
        <v>-1</v>
      </c>
      <c r="AR77" s="66">
        <f>IFERROR(ROUND((tblPiNHistorical[[#This Row],[Education New]]-tblPiNHistorical[[#This Row],[Education Old]])/tblPiNHistorical[[#This Row],[Education Old]], 1), "")</f>
        <v>-1</v>
      </c>
      <c r="AS77" s="66">
        <f>IFERROR(ROUND((tblPiNHistorical[[#This Row],[Food Security and Livlihoods New]]-tblPiNHistorical[[#This Row],[Food Security and Livlihoods Old]])/tblPiNHistorical[[#This Row],[Food Security and Livlihoods Old]], 1), "")</f>
        <v>-1</v>
      </c>
      <c r="AT77" s="66">
        <f>IFERROR(ROUND((tblPiNHistorical[[#This Row],[Health New]]-tblPiNHistorical[[#This Row],[Health Old]])/tblPiNHistorical[[#This Row],[Health Old]], 1), "")</f>
        <v>-1</v>
      </c>
      <c r="AU77" s="66">
        <f>IFERROR(ROUND((tblPiNHistorical[[#This Row],[Nutrition New]]-tblPiNHistorical[[#This Row],[Nutrition Old]])/tblPiNHistorical[[#This Row],[Nutrition Old]], 1), "")</f>
        <v>-1</v>
      </c>
      <c r="AV77" s="66">
        <f>IFERROR(ROUND((tblPiNHistorical[[#This Row],[Protection New]]-tblPiNHistorical[[#This Row],[Protection Old]])/tblPiNHistorical[[#This Row],[Protection Old]], 1), "")</f>
        <v>-1</v>
      </c>
      <c r="AW77" s="84">
        <f>IFERROR(ROUND((tblPiNHistorical[[#This Row],[CP New]]-tblPiNHistorical[[#This Row],[CP Old ]])/tblPiNHistorical[[#This Row],[CP Old ]], 1), "")</f>
        <v>-1</v>
      </c>
      <c r="AX77" s="84">
        <f>IFERROR(ROUND((tblPiNHistorical[[#This Row],[GBV New]]-tblPiNHistorical[[#This Row],[GBV Old]])/tblPiNHistorical[[#This Row],[GBV Old]], 1), "")</f>
        <v>-1</v>
      </c>
      <c r="AY77" s="84" t="str">
        <f>IFERROR(ROUND((tblPiNHistorical[[#This Row],[Mine Action New]]-tblPiNHistorical[[#This Row],[Mine Action Old]])/tblPiNHistorical[[#This Row],[Mine Action Old]], 1), "")</f>
        <v/>
      </c>
      <c r="AZ77" s="66">
        <f>IFERROR(ROUND((tblPiNHistorical[[#This Row],[Shelter NFI New]]-tblPiNHistorical[[#This Row],[Shelter NFI Old]])/tblPiNHistorical[[#This Row],[Shelter NFI Old]], 1), "")</f>
        <v>0.2</v>
      </c>
      <c r="BA77" s="36" t="str">
        <f>IFERROR(ROUND((tblPiNHistorical[[#This Row],[WASH New]]-tblPiNHistorical[[#This Row],[WASH Old]])/tblPiNHistorical[[#This Row],[WASH Old]], 1), "")</f>
        <v/>
      </c>
      <c r="BB77"/>
      <c r="BC77"/>
      <c r="BD77"/>
      <c r="BE77"/>
      <c r="BF77"/>
      <c r="BG77"/>
      <c r="BH77"/>
      <c r="BI77"/>
      <c r="BL77"/>
      <c r="BN77"/>
      <c r="BO77"/>
      <c r="BP77"/>
    </row>
    <row r="78" spans="1:68" x14ac:dyDescent="0.25">
      <c r="A78"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IDPsSD02168</v>
      </c>
      <c r="B78" s="127" t="s">
        <v>167</v>
      </c>
      <c r="C78" s="60" t="s">
        <v>119</v>
      </c>
      <c r="D78" s="60" t="s">
        <v>223</v>
      </c>
      <c r="E78" s="60" t="s">
        <v>222</v>
      </c>
      <c r="F78" s="54"/>
      <c r="G78" s="30"/>
      <c r="H78" s="56">
        <v>255</v>
      </c>
      <c r="I78" s="37" t="s">
        <v>88</v>
      </c>
      <c r="J78" s="34">
        <v>0</v>
      </c>
      <c r="K78" s="116">
        <v>98.863500000000002</v>
      </c>
      <c r="L78" s="114">
        <v>255</v>
      </c>
      <c r="M78" s="114">
        <v>255</v>
      </c>
      <c r="N78" s="114">
        <v>42</v>
      </c>
      <c r="O78" s="114">
        <v>255</v>
      </c>
      <c r="P78" s="114">
        <v>140</v>
      </c>
      <c r="Q78" s="114">
        <v>101</v>
      </c>
      <c r="R78" s="114">
        <v>76.5</v>
      </c>
      <c r="S78" s="114">
        <v>0</v>
      </c>
      <c r="T78" s="196">
        <v>0</v>
      </c>
      <c r="U78" s="52">
        <f>IFERROR(INDEX(tblPiNAnalysis[[Site Management ]], MATCH(tblPiNHistorical[[#This Row],[ID]], tblPiNAnalysis[ID], 0)), "")</f>
        <v>0</v>
      </c>
      <c r="V78" s="52">
        <f>IFERROR(INDEX(tblPiNAnalysis[Education], MATCH(tblPiNHistorical[[#This Row],[ID]], tblPiNAnalysis[ID], 0)), "")</f>
        <v>0</v>
      </c>
      <c r="W78" s="28">
        <f>IFERROR(INDEX(tblPiNAnalysis[Food Security and Livlihoods], MATCH(tblPiNHistorical[[#This Row],[ID]], tblPiNAnalysis[ID], 0)), "")</f>
        <v>0</v>
      </c>
      <c r="X78" s="28">
        <f>IFERROR(INDEX(tblPiNAnalysis[[Health ]], MATCH(tblPiNHistorical[[#This Row],[ID]], tblPiNAnalysis[ID], 0)), "")</f>
        <v>0</v>
      </c>
      <c r="Y78" s="28">
        <f>IFERROR(INDEX(tblPiNAnalysis[Nutrition], MATCH(tblPiNHistorical[[#This Row],[ID]], tblPiNAnalysis[ID], 0)), "")</f>
        <v>0</v>
      </c>
      <c r="Z78" s="28">
        <f>IFERROR(INDEX(tblPiNAnalysis[Protection], MATCH(tblPiNHistorical[[#This Row],[ID]], tblPiNAnalysis[ID], 0)), "")</f>
        <v>0</v>
      </c>
      <c r="AA78" s="28">
        <f>IFERROR(INDEX(tblPiNAnalysis[CP], MATCH(tblPiNHistorical[[#This Row],[ID]], tblPiNAnalysis[ID], 0)), "")</f>
        <v>0</v>
      </c>
      <c r="AB78" s="83">
        <f>IFERROR(INDEX(tblPiNAnalysis[GBV], MATCH(tblPiNHistorical[[#This Row],[ID]], tblPiNAnalysis[ID], 0)), "")</f>
        <v>0</v>
      </c>
      <c r="AC78" s="28">
        <f>IFERROR(INDEX(tblPiNAnalysis[Mine Action], MATCH(tblPiNHistorical[[#This Row],[ID]], tblPiNAnalysis[ID], 0)), "")</f>
        <v>0</v>
      </c>
      <c r="AD78" s="83">
        <f>IFERROR(INDEX(tblPiNAnalysis[[Shelter NFI ]], MATCH(tblPiNHistorical[[#This Row],[ID]], tblPiNAnalysis[ID], 0)), "")</f>
        <v>436</v>
      </c>
      <c r="AE78" s="35">
        <f>IFERROR(INDEX(tblPiNAnalysis[WASH], MATCH(tblPiNHistorical[[#This Row],[ID]], tblPiNAnalysis[ID], 0)), "")</f>
        <v>0</v>
      </c>
      <c r="AF78" s="6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78" s="67" t="str">
        <f>IF(OR(tblPiNHistorical[[#This Row],[Education Old]]="", tblPiNHistorical[[#This Row],[Education Old]]=0, tblPiNHistorical[[#This Row],[Education New]]="", tblPiNHistorical[[#This Row],[Education New]]=0), "", tblPiNHistorical[[#This Row],[Education New]]-tblPiNHistorical[[#This Row],[Education Old]])</f>
        <v/>
      </c>
      <c r="AH78" s="67"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78" s="67" t="str">
        <f>IF(OR(tblPiNHistorical[[#This Row],[Health Old]]="", tblPiNHistorical[[#This Row],[Health Old]]=0, tblPiNHistorical[[#This Row],[Health New]]="", tblPiNHistorical[[#This Row],[Health New]]=0), "", tblPiNHistorical[[#This Row],[Health New]]-tblPiNHistorical[[#This Row],[Health Old]])</f>
        <v/>
      </c>
      <c r="AJ78" s="67" t="str">
        <f>IF(OR(tblPiNHistorical[[#This Row],[Nutrition Old]]="", tblPiNHistorical[[#This Row],[Nutrition Old]]=0, tblPiNHistorical[[#This Row],[Nutrition New]]="", tblPiNHistorical[[#This Row],[Nutrition New]]=0), "", tblPiNHistorical[[#This Row],[Nutrition New]]-tblPiNHistorical[[#This Row],[Nutrition Old]])</f>
        <v/>
      </c>
      <c r="AK78" s="67" t="str">
        <f>IF(OR(tblPiNHistorical[[#This Row],[Protection Old]]="", tblPiNHistorical[[#This Row],[Protection Old]]=0, tblPiNHistorical[[#This Row],[Protection New]]="", tblPiNHistorical[[#This Row],[Protection New]]=0), "", tblPiNHistorical[[#This Row],[Protection New]]-tblPiNHistorical[[#This Row],[Protection Old]])</f>
        <v/>
      </c>
      <c r="AL78" s="67" t="str">
        <f>IF(OR(tblPiNHistorical[[#This Row],[CP Old ]]="", tblPiNHistorical[[#This Row],[CP Old ]]=0, tblPiNHistorical[[#This Row],[CP New]]="", tblPiNHistorical[[#This Row],[CP New]]=0), "", tblPiNHistorical[[#This Row],[CP New]]-tblPiNHistorical[[#This Row],[CP Old ]])</f>
        <v/>
      </c>
      <c r="AM78" s="83" t="str">
        <f>IF(OR(tblPiNHistorical[[#This Row],[GBV Old]]="", tblPiNHistorical[[#This Row],[GBV Old]]=0, tblPiNHistorical[[#This Row],[GBV New]]="", tblPiNHistorical[[#This Row],[GBV New]]=0), "", tblPiNHistorical[[#This Row],[GBV New]]-tblPiNHistorical[[#This Row],[GBV Old]])</f>
        <v/>
      </c>
      <c r="AN78" s="83" t="str">
        <f>IF(OR(tblPiNHistorical[[#This Row],[Mine Action Old]]="", tblPiNHistorical[[#This Row],[Mine Action Old]]=0, tblPiNHistorical[[#This Row],[Mine Action New]]="", tblPiNHistorical[[#This Row],[Mine Action New]]=0), "", tblPiNHistorical[[#This Row],[Mine Action New]]-tblPiNHistorical[[#This Row],[Mine Action Old]])</f>
        <v/>
      </c>
      <c r="AO78" s="67" t="str">
        <f>IF(OR(tblPiNHistorical[[#This Row],[Shelter NFI Old]]="", tblPiNHistorical[[#This Row],[Shelter NFI Old]]=0, tblPiNHistorical[[#This Row],[Shelter NFI New]]="", tblPiNHistorical[[#This Row],[Shelter NFI New]]=0), "", tblPiNHistorical[[#This Row],[Shelter NFI New]]-tblPiNHistorical[[#This Row],[Shelter NFI Old]])</f>
        <v/>
      </c>
      <c r="AP78" s="111" t="str">
        <f>IF(OR(tblPiNHistorical[[#This Row],[WASH Old]]="", tblPiNHistorical[[#This Row],[WASH Old]]=0, tblPiNHistorical[[#This Row],[WASH New]]="", tblPiNHistorical[[#This Row],[WASH New]]=0), "", tblPiNHistorical[[#This Row],[WASH New]]-tblPiNHistorical[[#This Row],[WASH Old]])</f>
        <v/>
      </c>
      <c r="AQ78" s="110" t="str">
        <f>IFERROR(ROUND((tblPiNHistorical[[#This Row],[Site Management - New]] - tblPiNHistorical[[#This Row],[Site Management - Old]])/tblPiNHistorical[[#This Row],[Site Management - Old]], 1), "")</f>
        <v/>
      </c>
      <c r="AR78" s="66">
        <f>IFERROR(ROUND((tblPiNHistorical[[#This Row],[Education New]]-tblPiNHistorical[[#This Row],[Education Old]])/tblPiNHistorical[[#This Row],[Education Old]], 1), "")</f>
        <v>-1</v>
      </c>
      <c r="AS78" s="66">
        <f>IFERROR(ROUND((tblPiNHistorical[[#This Row],[Food Security and Livlihoods New]]-tblPiNHistorical[[#This Row],[Food Security and Livlihoods Old]])/tblPiNHistorical[[#This Row],[Food Security and Livlihoods Old]], 1), "")</f>
        <v>-1</v>
      </c>
      <c r="AT78" s="66">
        <f>IFERROR(ROUND((tblPiNHistorical[[#This Row],[Health New]]-tblPiNHistorical[[#This Row],[Health Old]])/tblPiNHistorical[[#This Row],[Health Old]], 1), "")</f>
        <v>-1</v>
      </c>
      <c r="AU78" s="66">
        <f>IFERROR(ROUND((tblPiNHistorical[[#This Row],[Nutrition New]]-tblPiNHistorical[[#This Row],[Nutrition Old]])/tblPiNHistorical[[#This Row],[Nutrition Old]], 1), "")</f>
        <v>-1</v>
      </c>
      <c r="AV78" s="66">
        <f>IFERROR(ROUND((tblPiNHistorical[[#This Row],[Protection New]]-tblPiNHistorical[[#This Row],[Protection Old]])/tblPiNHistorical[[#This Row],[Protection Old]], 1), "")</f>
        <v>-1</v>
      </c>
      <c r="AW78" s="84">
        <f>IFERROR(ROUND((tblPiNHistorical[[#This Row],[CP New]]-tblPiNHistorical[[#This Row],[CP Old ]])/tblPiNHistorical[[#This Row],[CP Old ]], 1), "")</f>
        <v>-1</v>
      </c>
      <c r="AX78" s="84">
        <f>IFERROR(ROUND((tblPiNHistorical[[#This Row],[GBV New]]-tblPiNHistorical[[#This Row],[GBV Old]])/tblPiNHistorical[[#This Row],[GBV Old]], 1), "")</f>
        <v>-1</v>
      </c>
      <c r="AY78" s="84">
        <f>IFERROR(ROUND((tblPiNHistorical[[#This Row],[Mine Action New]]-tblPiNHistorical[[#This Row],[Mine Action Old]])/tblPiNHistorical[[#This Row],[Mine Action Old]], 1), "")</f>
        <v>-1</v>
      </c>
      <c r="AZ78" s="66" t="str">
        <f>IFERROR(ROUND((tblPiNHistorical[[#This Row],[Shelter NFI New]]-tblPiNHistorical[[#This Row],[Shelter NFI Old]])/tblPiNHistorical[[#This Row],[Shelter NFI Old]], 1), "")</f>
        <v/>
      </c>
      <c r="BA78" s="36" t="str">
        <f>IFERROR(ROUND((tblPiNHistorical[[#This Row],[WASH New]]-tblPiNHistorical[[#This Row],[WASH Old]])/tblPiNHistorical[[#This Row],[WASH Old]], 1), "")</f>
        <v/>
      </c>
      <c r="BB78"/>
      <c r="BC78"/>
      <c r="BD78"/>
      <c r="BE78"/>
      <c r="BF78"/>
      <c r="BG78"/>
      <c r="BH78"/>
      <c r="BI78"/>
      <c r="BL78"/>
      <c r="BN78"/>
      <c r="BO78"/>
      <c r="BP78"/>
    </row>
    <row r="79" spans="1:68" x14ac:dyDescent="0.25">
      <c r="A79"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IDPsSD02128</v>
      </c>
      <c r="B79" s="127" t="s">
        <v>167</v>
      </c>
      <c r="C79" s="60" t="s">
        <v>119</v>
      </c>
      <c r="D79" s="60" t="s">
        <v>215</v>
      </c>
      <c r="E79" s="60" t="s">
        <v>214</v>
      </c>
      <c r="F79" s="54"/>
      <c r="G79" s="30"/>
      <c r="H79" s="56">
        <v>114582.2</v>
      </c>
      <c r="I79" s="37" t="s">
        <v>88</v>
      </c>
      <c r="J79" s="34">
        <v>53225</v>
      </c>
      <c r="K79" s="116">
        <v>44423.518939999994</v>
      </c>
      <c r="L79" s="114">
        <v>114582</v>
      </c>
      <c r="M79" s="114">
        <v>114582</v>
      </c>
      <c r="N79" s="114">
        <v>16746</v>
      </c>
      <c r="O79" s="114">
        <v>114582</v>
      </c>
      <c r="P79" s="114">
        <v>63020</v>
      </c>
      <c r="Q79" s="114">
        <v>54423</v>
      </c>
      <c r="R79" s="114">
        <v>45832.880000000005</v>
      </c>
      <c r="S79" s="114">
        <v>68749</v>
      </c>
      <c r="T79" s="196">
        <v>83667.922439999995</v>
      </c>
      <c r="U79" s="52">
        <f>IFERROR(INDEX(tblPiNAnalysis[[Site Management ]], MATCH(tblPiNHistorical[[#This Row],[ID]], tblPiNAnalysis[ID], 0)), "")</f>
        <v>0</v>
      </c>
      <c r="V79" s="52">
        <f>IFERROR(INDEX(tblPiNAnalysis[Education], MATCH(tblPiNHistorical[[#This Row],[ID]], tblPiNAnalysis[ID], 0)), "")</f>
        <v>0</v>
      </c>
      <c r="W79" s="28">
        <f>IFERROR(INDEX(tblPiNAnalysis[Food Security and Livlihoods], MATCH(tblPiNHistorical[[#This Row],[ID]], tblPiNAnalysis[ID], 0)), "")</f>
        <v>0</v>
      </c>
      <c r="X79" s="28">
        <f>IFERROR(INDEX(tblPiNAnalysis[[Health ]], MATCH(tblPiNHistorical[[#This Row],[ID]], tblPiNAnalysis[ID], 0)), "")</f>
        <v>0</v>
      </c>
      <c r="Y79" s="28">
        <f>IFERROR(INDEX(tblPiNAnalysis[Nutrition], MATCH(tblPiNHistorical[[#This Row],[ID]], tblPiNAnalysis[ID], 0)), "")</f>
        <v>0</v>
      </c>
      <c r="Z79" s="28">
        <f>IFERROR(INDEX(tblPiNAnalysis[Protection], MATCH(tblPiNHistorical[[#This Row],[ID]], tblPiNAnalysis[ID], 0)), "")</f>
        <v>0</v>
      </c>
      <c r="AA79" s="28">
        <f>IFERROR(INDEX(tblPiNAnalysis[CP], MATCH(tblPiNHistorical[[#This Row],[ID]], tblPiNAnalysis[ID], 0)), "")</f>
        <v>0</v>
      </c>
      <c r="AB79" s="83">
        <f>IFERROR(INDEX(tblPiNAnalysis[GBV], MATCH(tblPiNHistorical[[#This Row],[ID]], tblPiNAnalysis[ID], 0)), "")</f>
        <v>0</v>
      </c>
      <c r="AC79" s="28">
        <f>IFERROR(INDEX(tblPiNAnalysis[Mine Action], MATCH(tblPiNHistorical[[#This Row],[ID]], tblPiNAnalysis[ID], 0)), "")</f>
        <v>0</v>
      </c>
      <c r="AD79" s="83">
        <f>IFERROR(INDEX(tblPiNAnalysis[[Shelter NFI ]], MATCH(tblPiNHistorical[[#This Row],[ID]], tblPiNAnalysis[ID], 0)), "")</f>
        <v>137738</v>
      </c>
      <c r="AE79" s="35">
        <f>IFERROR(INDEX(tblPiNAnalysis[WASH], MATCH(tblPiNHistorical[[#This Row],[ID]], tblPiNAnalysis[ID], 0)), "")</f>
        <v>0</v>
      </c>
      <c r="AF79" s="6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79" s="67" t="str">
        <f>IF(OR(tblPiNHistorical[[#This Row],[Education Old]]="", tblPiNHistorical[[#This Row],[Education Old]]=0, tblPiNHistorical[[#This Row],[Education New]]="", tblPiNHistorical[[#This Row],[Education New]]=0), "", tblPiNHistorical[[#This Row],[Education New]]-tblPiNHistorical[[#This Row],[Education Old]])</f>
        <v/>
      </c>
      <c r="AH79" s="67"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79" s="67" t="str">
        <f>IF(OR(tblPiNHistorical[[#This Row],[Health Old]]="", tblPiNHistorical[[#This Row],[Health Old]]=0, tblPiNHistorical[[#This Row],[Health New]]="", tblPiNHistorical[[#This Row],[Health New]]=0), "", tblPiNHistorical[[#This Row],[Health New]]-tblPiNHistorical[[#This Row],[Health Old]])</f>
        <v/>
      </c>
      <c r="AJ79" s="67" t="str">
        <f>IF(OR(tblPiNHistorical[[#This Row],[Nutrition Old]]="", tblPiNHistorical[[#This Row],[Nutrition Old]]=0, tblPiNHistorical[[#This Row],[Nutrition New]]="", tblPiNHistorical[[#This Row],[Nutrition New]]=0), "", tblPiNHistorical[[#This Row],[Nutrition New]]-tblPiNHistorical[[#This Row],[Nutrition Old]])</f>
        <v/>
      </c>
      <c r="AK79" s="67" t="str">
        <f>IF(OR(tblPiNHistorical[[#This Row],[Protection Old]]="", tblPiNHistorical[[#This Row],[Protection Old]]=0, tblPiNHistorical[[#This Row],[Protection New]]="", tblPiNHistorical[[#This Row],[Protection New]]=0), "", tblPiNHistorical[[#This Row],[Protection New]]-tblPiNHistorical[[#This Row],[Protection Old]])</f>
        <v/>
      </c>
      <c r="AL79" s="67" t="str">
        <f>IF(OR(tblPiNHistorical[[#This Row],[CP Old ]]="", tblPiNHistorical[[#This Row],[CP Old ]]=0, tblPiNHistorical[[#This Row],[CP New]]="", tblPiNHistorical[[#This Row],[CP New]]=0), "", tblPiNHistorical[[#This Row],[CP New]]-tblPiNHistorical[[#This Row],[CP Old ]])</f>
        <v/>
      </c>
      <c r="AM79" s="83" t="str">
        <f>IF(OR(tblPiNHistorical[[#This Row],[GBV Old]]="", tblPiNHistorical[[#This Row],[GBV Old]]=0, tblPiNHistorical[[#This Row],[GBV New]]="", tblPiNHistorical[[#This Row],[GBV New]]=0), "", tblPiNHistorical[[#This Row],[GBV New]]-tblPiNHistorical[[#This Row],[GBV Old]])</f>
        <v/>
      </c>
      <c r="AN79" s="83" t="str">
        <f>IF(OR(tblPiNHistorical[[#This Row],[Mine Action Old]]="", tblPiNHistorical[[#This Row],[Mine Action Old]]=0, tblPiNHistorical[[#This Row],[Mine Action New]]="", tblPiNHistorical[[#This Row],[Mine Action New]]=0), "", tblPiNHistorical[[#This Row],[Mine Action New]]-tblPiNHistorical[[#This Row],[Mine Action Old]])</f>
        <v/>
      </c>
      <c r="AO79" s="67">
        <f>IF(OR(tblPiNHistorical[[#This Row],[Shelter NFI Old]]="", tblPiNHistorical[[#This Row],[Shelter NFI Old]]=0, tblPiNHistorical[[#This Row],[Shelter NFI New]]="", tblPiNHistorical[[#This Row],[Shelter NFI New]]=0), "", tblPiNHistorical[[#This Row],[Shelter NFI New]]-tblPiNHistorical[[#This Row],[Shelter NFI Old]])</f>
        <v>68989</v>
      </c>
      <c r="AP79" s="111" t="str">
        <f>IF(OR(tblPiNHistorical[[#This Row],[WASH Old]]="", tblPiNHistorical[[#This Row],[WASH Old]]=0, tblPiNHistorical[[#This Row],[WASH New]]="", tblPiNHistorical[[#This Row],[WASH New]]=0), "", tblPiNHistorical[[#This Row],[WASH New]]-tblPiNHistorical[[#This Row],[WASH Old]])</f>
        <v/>
      </c>
      <c r="AQ79" s="110">
        <f>IFERROR(ROUND((tblPiNHistorical[[#This Row],[Site Management - New]] - tblPiNHistorical[[#This Row],[Site Management - Old]])/tblPiNHistorical[[#This Row],[Site Management - Old]], 1), "")</f>
        <v>-1</v>
      </c>
      <c r="AR79" s="66">
        <f>IFERROR(ROUND((tblPiNHistorical[[#This Row],[Education New]]-tblPiNHistorical[[#This Row],[Education Old]])/tblPiNHistorical[[#This Row],[Education Old]], 1), "")</f>
        <v>-1</v>
      </c>
      <c r="AS79" s="66">
        <f>IFERROR(ROUND((tblPiNHistorical[[#This Row],[Food Security and Livlihoods New]]-tblPiNHistorical[[#This Row],[Food Security and Livlihoods Old]])/tblPiNHistorical[[#This Row],[Food Security and Livlihoods Old]], 1), "")</f>
        <v>-1</v>
      </c>
      <c r="AT79" s="66">
        <f>IFERROR(ROUND((tblPiNHistorical[[#This Row],[Health New]]-tblPiNHistorical[[#This Row],[Health Old]])/tblPiNHistorical[[#This Row],[Health Old]], 1), "")</f>
        <v>-1</v>
      </c>
      <c r="AU79" s="66">
        <f>IFERROR(ROUND((tblPiNHistorical[[#This Row],[Nutrition New]]-tblPiNHistorical[[#This Row],[Nutrition Old]])/tblPiNHistorical[[#This Row],[Nutrition Old]], 1), "")</f>
        <v>-1</v>
      </c>
      <c r="AV79" s="66">
        <f>IFERROR(ROUND((tblPiNHistorical[[#This Row],[Protection New]]-tblPiNHistorical[[#This Row],[Protection Old]])/tblPiNHistorical[[#This Row],[Protection Old]], 1), "")</f>
        <v>-1</v>
      </c>
      <c r="AW79" s="84">
        <f>IFERROR(ROUND((tblPiNHistorical[[#This Row],[CP New]]-tblPiNHistorical[[#This Row],[CP Old ]])/tblPiNHistorical[[#This Row],[CP Old ]], 1), "")</f>
        <v>-1</v>
      </c>
      <c r="AX79" s="84">
        <f>IFERROR(ROUND((tblPiNHistorical[[#This Row],[GBV New]]-tblPiNHistorical[[#This Row],[GBV Old]])/tblPiNHistorical[[#This Row],[GBV Old]], 1), "")</f>
        <v>-1</v>
      </c>
      <c r="AY79" s="84">
        <f>IFERROR(ROUND((tblPiNHistorical[[#This Row],[Mine Action New]]-tblPiNHistorical[[#This Row],[Mine Action Old]])/tblPiNHistorical[[#This Row],[Mine Action Old]], 1), "")</f>
        <v>-1</v>
      </c>
      <c r="AZ79" s="66">
        <f>IFERROR(ROUND((tblPiNHistorical[[#This Row],[Shelter NFI New]]-tblPiNHistorical[[#This Row],[Shelter NFI Old]])/tblPiNHistorical[[#This Row],[Shelter NFI Old]], 1), "")</f>
        <v>1</v>
      </c>
      <c r="BA79" s="36">
        <f>IFERROR(ROUND((tblPiNHistorical[[#This Row],[WASH New]]-tblPiNHistorical[[#This Row],[WASH Old]])/tblPiNHistorical[[#This Row],[WASH Old]], 1), "")</f>
        <v>-1</v>
      </c>
      <c r="BB79"/>
      <c r="BC79"/>
      <c r="BD79"/>
      <c r="BE79"/>
      <c r="BF79"/>
      <c r="BG79"/>
      <c r="BH79"/>
      <c r="BI79"/>
      <c r="BL79"/>
      <c r="BN79"/>
      <c r="BO79"/>
      <c r="BP79"/>
    </row>
    <row r="80" spans="1:68" x14ac:dyDescent="0.25">
      <c r="A80"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IDPsSD02129</v>
      </c>
      <c r="B80" s="127" t="s">
        <v>167</v>
      </c>
      <c r="C80" s="60" t="s">
        <v>119</v>
      </c>
      <c r="D80" s="60" t="s">
        <v>217</v>
      </c>
      <c r="E80" s="60" t="s">
        <v>216</v>
      </c>
      <c r="F80" s="54"/>
      <c r="G80" s="30"/>
      <c r="H80" s="56">
        <v>21554</v>
      </c>
      <c r="I80" s="37" t="s">
        <v>88</v>
      </c>
      <c r="J80" s="34">
        <v>11529</v>
      </c>
      <c r="K80" s="116">
        <v>8356.4858000000004</v>
      </c>
      <c r="L80" s="114">
        <v>21554</v>
      </c>
      <c r="M80" s="114">
        <v>21554</v>
      </c>
      <c r="N80" s="114">
        <v>3713</v>
      </c>
      <c r="O80" s="114">
        <v>21554</v>
      </c>
      <c r="P80" s="114">
        <v>11855</v>
      </c>
      <c r="Q80" s="114">
        <v>8531</v>
      </c>
      <c r="R80" s="114">
        <v>10777</v>
      </c>
      <c r="S80" s="114">
        <v>8622</v>
      </c>
      <c r="T80" s="196">
        <v>19181.33568</v>
      </c>
      <c r="U80" s="52">
        <f>IFERROR(INDEX(tblPiNAnalysis[[Site Management ]], MATCH(tblPiNHistorical[[#This Row],[ID]], tblPiNAnalysis[ID], 0)), "")</f>
        <v>0</v>
      </c>
      <c r="V80" s="52">
        <f>IFERROR(INDEX(tblPiNAnalysis[Education], MATCH(tblPiNHistorical[[#This Row],[ID]], tblPiNAnalysis[ID], 0)), "")</f>
        <v>0</v>
      </c>
      <c r="W80" s="28">
        <f>IFERROR(INDEX(tblPiNAnalysis[Food Security and Livlihoods], MATCH(tblPiNHistorical[[#This Row],[ID]], tblPiNAnalysis[ID], 0)), "")</f>
        <v>0</v>
      </c>
      <c r="X80" s="28">
        <f>IFERROR(INDEX(tblPiNAnalysis[[Health ]], MATCH(tblPiNHistorical[[#This Row],[ID]], tblPiNAnalysis[ID], 0)), "")</f>
        <v>0</v>
      </c>
      <c r="Y80" s="28">
        <f>IFERROR(INDEX(tblPiNAnalysis[Nutrition], MATCH(tblPiNHistorical[[#This Row],[ID]], tblPiNAnalysis[ID], 0)), "")</f>
        <v>0</v>
      </c>
      <c r="Z80" s="28">
        <f>IFERROR(INDEX(tblPiNAnalysis[Protection], MATCH(tblPiNHistorical[[#This Row],[ID]], tblPiNAnalysis[ID], 0)), "")</f>
        <v>0</v>
      </c>
      <c r="AA80" s="28">
        <f>IFERROR(INDEX(tblPiNAnalysis[CP], MATCH(tblPiNHistorical[[#This Row],[ID]], tblPiNAnalysis[ID], 0)), "")</f>
        <v>0</v>
      </c>
      <c r="AB80" s="83">
        <f>IFERROR(INDEX(tblPiNAnalysis[GBV], MATCH(tblPiNHistorical[[#This Row],[ID]], tblPiNAnalysis[ID], 0)), "")</f>
        <v>0</v>
      </c>
      <c r="AC80" s="28">
        <f>IFERROR(INDEX(tblPiNAnalysis[Mine Action], MATCH(tblPiNHistorical[[#This Row],[ID]], tblPiNAnalysis[ID], 0)), "")</f>
        <v>0</v>
      </c>
      <c r="AD80" s="83">
        <f>IFERROR(INDEX(tblPiNAnalysis[[Shelter NFI ]], MATCH(tblPiNHistorical[[#This Row],[ID]], tblPiNAnalysis[ID], 0)), "")</f>
        <v>23827</v>
      </c>
      <c r="AE80" s="35">
        <f>IFERROR(INDEX(tblPiNAnalysis[WASH], MATCH(tblPiNHistorical[[#This Row],[ID]], tblPiNAnalysis[ID], 0)), "")</f>
        <v>0</v>
      </c>
      <c r="AF80" s="6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80" s="67" t="str">
        <f>IF(OR(tblPiNHistorical[[#This Row],[Education Old]]="", tblPiNHistorical[[#This Row],[Education Old]]=0, tblPiNHistorical[[#This Row],[Education New]]="", tblPiNHistorical[[#This Row],[Education New]]=0), "", tblPiNHistorical[[#This Row],[Education New]]-tblPiNHistorical[[#This Row],[Education Old]])</f>
        <v/>
      </c>
      <c r="AH80" s="67"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80" s="67" t="str">
        <f>IF(OR(tblPiNHistorical[[#This Row],[Health Old]]="", tblPiNHistorical[[#This Row],[Health Old]]=0, tblPiNHistorical[[#This Row],[Health New]]="", tblPiNHistorical[[#This Row],[Health New]]=0), "", tblPiNHistorical[[#This Row],[Health New]]-tblPiNHistorical[[#This Row],[Health Old]])</f>
        <v/>
      </c>
      <c r="AJ80" s="67" t="str">
        <f>IF(OR(tblPiNHistorical[[#This Row],[Nutrition Old]]="", tblPiNHistorical[[#This Row],[Nutrition Old]]=0, tblPiNHistorical[[#This Row],[Nutrition New]]="", tblPiNHistorical[[#This Row],[Nutrition New]]=0), "", tblPiNHistorical[[#This Row],[Nutrition New]]-tblPiNHistorical[[#This Row],[Nutrition Old]])</f>
        <v/>
      </c>
      <c r="AK80" s="67" t="str">
        <f>IF(OR(tblPiNHistorical[[#This Row],[Protection Old]]="", tblPiNHistorical[[#This Row],[Protection Old]]=0, tblPiNHistorical[[#This Row],[Protection New]]="", tblPiNHistorical[[#This Row],[Protection New]]=0), "", tblPiNHistorical[[#This Row],[Protection New]]-tblPiNHistorical[[#This Row],[Protection Old]])</f>
        <v/>
      </c>
      <c r="AL80" s="67" t="str">
        <f>IF(OR(tblPiNHistorical[[#This Row],[CP Old ]]="", tblPiNHistorical[[#This Row],[CP Old ]]=0, tblPiNHistorical[[#This Row],[CP New]]="", tblPiNHistorical[[#This Row],[CP New]]=0), "", tblPiNHistorical[[#This Row],[CP New]]-tblPiNHistorical[[#This Row],[CP Old ]])</f>
        <v/>
      </c>
      <c r="AM80" s="83" t="str">
        <f>IF(OR(tblPiNHistorical[[#This Row],[GBV Old]]="", tblPiNHistorical[[#This Row],[GBV Old]]=0, tblPiNHistorical[[#This Row],[GBV New]]="", tblPiNHistorical[[#This Row],[GBV New]]=0), "", tblPiNHistorical[[#This Row],[GBV New]]-tblPiNHistorical[[#This Row],[GBV Old]])</f>
        <v/>
      </c>
      <c r="AN80" s="83" t="str">
        <f>IF(OR(tblPiNHistorical[[#This Row],[Mine Action Old]]="", tblPiNHistorical[[#This Row],[Mine Action Old]]=0, tblPiNHistorical[[#This Row],[Mine Action New]]="", tblPiNHistorical[[#This Row],[Mine Action New]]=0), "", tblPiNHistorical[[#This Row],[Mine Action New]]-tblPiNHistorical[[#This Row],[Mine Action Old]])</f>
        <v/>
      </c>
      <c r="AO80" s="67">
        <f>IF(OR(tblPiNHistorical[[#This Row],[Shelter NFI Old]]="", tblPiNHistorical[[#This Row],[Shelter NFI Old]]=0, tblPiNHistorical[[#This Row],[Shelter NFI New]]="", tblPiNHistorical[[#This Row],[Shelter NFI New]]=0), "", tblPiNHistorical[[#This Row],[Shelter NFI New]]-tblPiNHistorical[[#This Row],[Shelter NFI Old]])</f>
        <v>15205</v>
      </c>
      <c r="AP80" s="111" t="str">
        <f>IF(OR(tblPiNHistorical[[#This Row],[WASH Old]]="", tblPiNHistorical[[#This Row],[WASH Old]]=0, tblPiNHistorical[[#This Row],[WASH New]]="", tblPiNHistorical[[#This Row],[WASH New]]=0), "", tblPiNHistorical[[#This Row],[WASH New]]-tblPiNHistorical[[#This Row],[WASH Old]])</f>
        <v/>
      </c>
      <c r="AQ80" s="110">
        <f>IFERROR(ROUND((tblPiNHistorical[[#This Row],[Site Management - New]] - tblPiNHistorical[[#This Row],[Site Management - Old]])/tblPiNHistorical[[#This Row],[Site Management - Old]], 1), "")</f>
        <v>-1</v>
      </c>
      <c r="AR80" s="66">
        <f>IFERROR(ROUND((tblPiNHistorical[[#This Row],[Education New]]-tblPiNHistorical[[#This Row],[Education Old]])/tblPiNHistorical[[#This Row],[Education Old]], 1), "")</f>
        <v>-1</v>
      </c>
      <c r="AS80" s="66">
        <f>IFERROR(ROUND((tblPiNHistorical[[#This Row],[Food Security and Livlihoods New]]-tblPiNHistorical[[#This Row],[Food Security and Livlihoods Old]])/tblPiNHistorical[[#This Row],[Food Security and Livlihoods Old]], 1), "")</f>
        <v>-1</v>
      </c>
      <c r="AT80" s="66">
        <f>IFERROR(ROUND((tblPiNHistorical[[#This Row],[Health New]]-tblPiNHistorical[[#This Row],[Health Old]])/tblPiNHistorical[[#This Row],[Health Old]], 1), "")</f>
        <v>-1</v>
      </c>
      <c r="AU80" s="66">
        <f>IFERROR(ROUND((tblPiNHistorical[[#This Row],[Nutrition New]]-tblPiNHistorical[[#This Row],[Nutrition Old]])/tblPiNHistorical[[#This Row],[Nutrition Old]], 1), "")</f>
        <v>-1</v>
      </c>
      <c r="AV80" s="66">
        <f>IFERROR(ROUND((tblPiNHistorical[[#This Row],[Protection New]]-tblPiNHistorical[[#This Row],[Protection Old]])/tblPiNHistorical[[#This Row],[Protection Old]], 1), "")</f>
        <v>-1</v>
      </c>
      <c r="AW80" s="84">
        <f>IFERROR(ROUND((tblPiNHistorical[[#This Row],[CP New]]-tblPiNHistorical[[#This Row],[CP Old ]])/tblPiNHistorical[[#This Row],[CP Old ]], 1), "")</f>
        <v>-1</v>
      </c>
      <c r="AX80" s="84">
        <f>IFERROR(ROUND((tblPiNHistorical[[#This Row],[GBV New]]-tblPiNHistorical[[#This Row],[GBV Old]])/tblPiNHistorical[[#This Row],[GBV Old]], 1), "")</f>
        <v>-1</v>
      </c>
      <c r="AY80" s="84">
        <f>IFERROR(ROUND((tblPiNHistorical[[#This Row],[Mine Action New]]-tblPiNHistorical[[#This Row],[Mine Action Old]])/tblPiNHistorical[[#This Row],[Mine Action Old]], 1), "")</f>
        <v>-1</v>
      </c>
      <c r="AZ80" s="66">
        <f>IFERROR(ROUND((tblPiNHistorical[[#This Row],[Shelter NFI New]]-tblPiNHistorical[[#This Row],[Shelter NFI Old]])/tblPiNHistorical[[#This Row],[Shelter NFI Old]], 1), "")</f>
        <v>1.8</v>
      </c>
      <c r="BA80" s="36">
        <f>IFERROR(ROUND((tblPiNHistorical[[#This Row],[WASH New]]-tblPiNHistorical[[#This Row],[WASH Old]])/tblPiNHistorical[[#This Row],[WASH Old]], 1), "")</f>
        <v>-1</v>
      </c>
      <c r="BB80"/>
      <c r="BC80"/>
      <c r="BD80"/>
      <c r="BE80"/>
      <c r="BF80"/>
      <c r="BG80"/>
      <c r="BH80"/>
      <c r="BI80"/>
      <c r="BL80"/>
      <c r="BN80"/>
      <c r="BO80"/>
      <c r="BP80"/>
    </row>
    <row r="81" spans="1:68" x14ac:dyDescent="0.25">
      <c r="A81"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IDPsSD02133</v>
      </c>
      <c r="B81" s="127" t="s">
        <v>167</v>
      </c>
      <c r="C81" s="60" t="s">
        <v>119</v>
      </c>
      <c r="D81" s="60" t="s">
        <v>219</v>
      </c>
      <c r="E81" s="60" t="s">
        <v>218</v>
      </c>
      <c r="F81" s="54"/>
      <c r="G81" s="30"/>
      <c r="H81" s="56">
        <v>78644</v>
      </c>
      <c r="I81" s="37" t="s">
        <v>88</v>
      </c>
      <c r="J81" s="34">
        <v>0</v>
      </c>
      <c r="K81" s="116">
        <v>30490.2788</v>
      </c>
      <c r="L81" s="114">
        <v>78644</v>
      </c>
      <c r="M81" s="114">
        <v>78644</v>
      </c>
      <c r="N81" s="114">
        <v>9980</v>
      </c>
      <c r="O81" s="114">
        <v>78644</v>
      </c>
      <c r="P81" s="114">
        <v>43254</v>
      </c>
      <c r="Q81" s="114">
        <v>31128</v>
      </c>
      <c r="R81" s="114">
        <v>23593.200000000001</v>
      </c>
      <c r="S81" s="114">
        <v>47186</v>
      </c>
      <c r="T81" s="196">
        <v>72487.747679999986</v>
      </c>
      <c r="U81" s="52">
        <f>IFERROR(INDEX(tblPiNAnalysis[[Site Management ]], MATCH(tblPiNHistorical[[#This Row],[ID]], tblPiNAnalysis[ID], 0)), "")</f>
        <v>0</v>
      </c>
      <c r="V81" s="52">
        <f>IFERROR(INDEX(tblPiNAnalysis[Education], MATCH(tblPiNHistorical[[#This Row],[ID]], tblPiNAnalysis[ID], 0)), "")</f>
        <v>0</v>
      </c>
      <c r="W81" s="28">
        <f>IFERROR(INDEX(tblPiNAnalysis[Food Security and Livlihoods], MATCH(tblPiNHistorical[[#This Row],[ID]], tblPiNAnalysis[ID], 0)), "")</f>
        <v>0</v>
      </c>
      <c r="X81" s="28">
        <f>IFERROR(INDEX(tblPiNAnalysis[[Health ]], MATCH(tblPiNHistorical[[#This Row],[ID]], tblPiNAnalysis[ID], 0)), "")</f>
        <v>0</v>
      </c>
      <c r="Y81" s="28">
        <f>IFERROR(INDEX(tblPiNAnalysis[Nutrition], MATCH(tblPiNHistorical[[#This Row],[ID]], tblPiNAnalysis[ID], 0)), "")</f>
        <v>0</v>
      </c>
      <c r="Z81" s="28">
        <f>IFERROR(INDEX(tblPiNAnalysis[Protection], MATCH(tblPiNHistorical[[#This Row],[ID]], tblPiNAnalysis[ID], 0)), "")</f>
        <v>0</v>
      </c>
      <c r="AA81" s="28">
        <f>IFERROR(INDEX(tblPiNAnalysis[CP], MATCH(tblPiNHistorical[[#This Row],[ID]], tblPiNAnalysis[ID], 0)), "")</f>
        <v>0</v>
      </c>
      <c r="AB81" s="83">
        <f>IFERROR(INDEX(tblPiNAnalysis[GBV], MATCH(tblPiNHistorical[[#This Row],[ID]], tblPiNAnalysis[ID], 0)), "")</f>
        <v>0</v>
      </c>
      <c r="AC81" s="28">
        <f>IFERROR(INDEX(tblPiNAnalysis[Mine Action], MATCH(tblPiNHistorical[[#This Row],[ID]], tblPiNAnalysis[ID], 0)), "")</f>
        <v>0</v>
      </c>
      <c r="AD81" s="83">
        <f>IFERROR(INDEX(tblPiNAnalysis[[Shelter NFI ]], MATCH(tblPiNHistorical[[#This Row],[ID]], tblPiNAnalysis[ID], 0)), "")</f>
        <v>52519</v>
      </c>
      <c r="AE81" s="35">
        <f>IFERROR(INDEX(tblPiNAnalysis[WASH], MATCH(tblPiNHistorical[[#This Row],[ID]], tblPiNAnalysis[ID], 0)), "")</f>
        <v>0</v>
      </c>
      <c r="AF81" s="6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81" s="67" t="str">
        <f>IF(OR(tblPiNHistorical[[#This Row],[Education Old]]="", tblPiNHistorical[[#This Row],[Education Old]]=0, tblPiNHistorical[[#This Row],[Education New]]="", tblPiNHistorical[[#This Row],[Education New]]=0), "", tblPiNHistorical[[#This Row],[Education New]]-tblPiNHistorical[[#This Row],[Education Old]])</f>
        <v/>
      </c>
      <c r="AH81" s="67"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81" s="67" t="str">
        <f>IF(OR(tblPiNHistorical[[#This Row],[Health Old]]="", tblPiNHistorical[[#This Row],[Health Old]]=0, tblPiNHistorical[[#This Row],[Health New]]="", tblPiNHistorical[[#This Row],[Health New]]=0), "", tblPiNHistorical[[#This Row],[Health New]]-tblPiNHistorical[[#This Row],[Health Old]])</f>
        <v/>
      </c>
      <c r="AJ81" s="67" t="str">
        <f>IF(OR(tblPiNHistorical[[#This Row],[Nutrition Old]]="", tblPiNHistorical[[#This Row],[Nutrition Old]]=0, tblPiNHistorical[[#This Row],[Nutrition New]]="", tblPiNHistorical[[#This Row],[Nutrition New]]=0), "", tblPiNHistorical[[#This Row],[Nutrition New]]-tblPiNHistorical[[#This Row],[Nutrition Old]])</f>
        <v/>
      </c>
      <c r="AK81" s="67" t="str">
        <f>IF(OR(tblPiNHistorical[[#This Row],[Protection Old]]="", tblPiNHistorical[[#This Row],[Protection Old]]=0, tblPiNHistorical[[#This Row],[Protection New]]="", tblPiNHistorical[[#This Row],[Protection New]]=0), "", tblPiNHistorical[[#This Row],[Protection New]]-tblPiNHistorical[[#This Row],[Protection Old]])</f>
        <v/>
      </c>
      <c r="AL81" s="67" t="str">
        <f>IF(OR(tblPiNHistorical[[#This Row],[CP Old ]]="", tblPiNHistorical[[#This Row],[CP Old ]]=0, tblPiNHistorical[[#This Row],[CP New]]="", tblPiNHistorical[[#This Row],[CP New]]=0), "", tblPiNHistorical[[#This Row],[CP New]]-tblPiNHistorical[[#This Row],[CP Old ]])</f>
        <v/>
      </c>
      <c r="AM81" s="83" t="str">
        <f>IF(OR(tblPiNHistorical[[#This Row],[GBV Old]]="", tblPiNHistorical[[#This Row],[GBV Old]]=0, tblPiNHistorical[[#This Row],[GBV New]]="", tblPiNHistorical[[#This Row],[GBV New]]=0), "", tblPiNHistorical[[#This Row],[GBV New]]-tblPiNHistorical[[#This Row],[GBV Old]])</f>
        <v/>
      </c>
      <c r="AN81" s="83" t="str">
        <f>IF(OR(tblPiNHistorical[[#This Row],[Mine Action Old]]="", tblPiNHistorical[[#This Row],[Mine Action Old]]=0, tblPiNHistorical[[#This Row],[Mine Action New]]="", tblPiNHistorical[[#This Row],[Mine Action New]]=0), "", tblPiNHistorical[[#This Row],[Mine Action New]]-tblPiNHistorical[[#This Row],[Mine Action Old]])</f>
        <v/>
      </c>
      <c r="AO81" s="67">
        <f>IF(OR(tblPiNHistorical[[#This Row],[Shelter NFI Old]]="", tblPiNHistorical[[#This Row],[Shelter NFI Old]]=0, tblPiNHistorical[[#This Row],[Shelter NFI New]]="", tblPiNHistorical[[#This Row],[Shelter NFI New]]=0), "", tblPiNHistorical[[#This Row],[Shelter NFI New]]-tblPiNHistorical[[#This Row],[Shelter NFI Old]])</f>
        <v>5333</v>
      </c>
      <c r="AP81" s="111" t="str">
        <f>IF(OR(tblPiNHistorical[[#This Row],[WASH Old]]="", tblPiNHistorical[[#This Row],[WASH Old]]=0, tblPiNHistorical[[#This Row],[WASH New]]="", tblPiNHistorical[[#This Row],[WASH New]]=0), "", tblPiNHistorical[[#This Row],[WASH New]]-tblPiNHistorical[[#This Row],[WASH Old]])</f>
        <v/>
      </c>
      <c r="AQ81" s="110" t="str">
        <f>IFERROR(ROUND((tblPiNHistorical[[#This Row],[Site Management - New]] - tblPiNHistorical[[#This Row],[Site Management - Old]])/tblPiNHistorical[[#This Row],[Site Management - Old]], 1), "")</f>
        <v/>
      </c>
      <c r="AR81" s="66">
        <f>IFERROR(ROUND((tblPiNHistorical[[#This Row],[Education New]]-tblPiNHistorical[[#This Row],[Education Old]])/tblPiNHistorical[[#This Row],[Education Old]], 1), "")</f>
        <v>-1</v>
      </c>
      <c r="AS81" s="66">
        <f>IFERROR(ROUND((tblPiNHistorical[[#This Row],[Food Security and Livlihoods New]]-tblPiNHistorical[[#This Row],[Food Security and Livlihoods Old]])/tblPiNHistorical[[#This Row],[Food Security and Livlihoods Old]], 1), "")</f>
        <v>-1</v>
      </c>
      <c r="AT81" s="66">
        <f>IFERROR(ROUND((tblPiNHistorical[[#This Row],[Health New]]-tblPiNHistorical[[#This Row],[Health Old]])/tblPiNHistorical[[#This Row],[Health Old]], 1), "")</f>
        <v>-1</v>
      </c>
      <c r="AU81" s="66">
        <f>IFERROR(ROUND((tblPiNHistorical[[#This Row],[Nutrition New]]-tblPiNHistorical[[#This Row],[Nutrition Old]])/tblPiNHistorical[[#This Row],[Nutrition Old]], 1), "")</f>
        <v>-1</v>
      </c>
      <c r="AV81" s="66">
        <f>IFERROR(ROUND((tblPiNHistorical[[#This Row],[Protection New]]-tblPiNHistorical[[#This Row],[Protection Old]])/tblPiNHistorical[[#This Row],[Protection Old]], 1), "")</f>
        <v>-1</v>
      </c>
      <c r="AW81" s="84">
        <f>IFERROR(ROUND((tblPiNHistorical[[#This Row],[CP New]]-tblPiNHistorical[[#This Row],[CP Old ]])/tblPiNHistorical[[#This Row],[CP Old ]], 1), "")</f>
        <v>-1</v>
      </c>
      <c r="AX81" s="84">
        <f>IFERROR(ROUND((tblPiNHistorical[[#This Row],[GBV New]]-tblPiNHistorical[[#This Row],[GBV Old]])/tblPiNHistorical[[#This Row],[GBV Old]], 1), "")</f>
        <v>-1</v>
      </c>
      <c r="AY81" s="84">
        <f>IFERROR(ROUND((tblPiNHistorical[[#This Row],[Mine Action New]]-tblPiNHistorical[[#This Row],[Mine Action Old]])/tblPiNHistorical[[#This Row],[Mine Action Old]], 1), "")</f>
        <v>-1</v>
      </c>
      <c r="AZ81" s="66">
        <f>IFERROR(ROUND((tblPiNHistorical[[#This Row],[Shelter NFI New]]-tblPiNHistorical[[#This Row],[Shelter NFI Old]])/tblPiNHistorical[[#This Row],[Shelter NFI Old]], 1), "")</f>
        <v>0.1</v>
      </c>
      <c r="BA81" s="36">
        <f>IFERROR(ROUND((tblPiNHistorical[[#This Row],[WASH New]]-tblPiNHistorical[[#This Row],[WASH Old]])/tblPiNHistorical[[#This Row],[WASH Old]], 1), "")</f>
        <v>-1</v>
      </c>
      <c r="BB81"/>
      <c r="BC81"/>
      <c r="BD81"/>
      <c r="BE81"/>
      <c r="BF81"/>
      <c r="BG81"/>
      <c r="BH81"/>
      <c r="BI81"/>
      <c r="BL81"/>
      <c r="BN81"/>
      <c r="BO81"/>
      <c r="BP81"/>
    </row>
    <row r="82" spans="1:68" x14ac:dyDescent="0.25">
      <c r="A82"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IDPsSD02170</v>
      </c>
      <c r="B82" s="127" t="s">
        <v>167</v>
      </c>
      <c r="C82" s="60" t="s">
        <v>119</v>
      </c>
      <c r="D82" s="60" t="s">
        <v>227</v>
      </c>
      <c r="E82" s="60" t="s">
        <v>226</v>
      </c>
      <c r="F82" s="54"/>
      <c r="G82" s="30"/>
      <c r="H82" s="56">
        <v>107407.8</v>
      </c>
      <c r="I82" s="37" t="s">
        <v>88</v>
      </c>
      <c r="J82" s="34">
        <v>91662</v>
      </c>
      <c r="K82" s="116">
        <v>41642.004059999999</v>
      </c>
      <c r="L82" s="114">
        <v>107407.8</v>
      </c>
      <c r="M82" s="114">
        <v>107407.8</v>
      </c>
      <c r="N82" s="114">
        <v>7879</v>
      </c>
      <c r="O82" s="114">
        <v>107408</v>
      </c>
      <c r="P82" s="114">
        <v>59074</v>
      </c>
      <c r="Q82" s="114">
        <v>42512</v>
      </c>
      <c r="R82" s="114">
        <v>32222.34</v>
      </c>
      <c r="S82" s="114">
        <v>64445</v>
      </c>
      <c r="T82" s="196">
        <v>108151.061976</v>
      </c>
      <c r="U82" s="52">
        <f>IFERROR(INDEX(tblPiNAnalysis[[Site Management ]], MATCH(tblPiNHistorical[[#This Row],[ID]], tblPiNAnalysis[ID], 0)), "")</f>
        <v>0</v>
      </c>
      <c r="V82" s="52">
        <f>IFERROR(INDEX(tblPiNAnalysis[Education], MATCH(tblPiNHistorical[[#This Row],[ID]], tblPiNAnalysis[ID], 0)), "")</f>
        <v>0</v>
      </c>
      <c r="W82" s="28">
        <f>IFERROR(INDEX(tblPiNAnalysis[Food Security and Livlihoods], MATCH(tblPiNHistorical[[#This Row],[ID]], tblPiNAnalysis[ID], 0)), "")</f>
        <v>0</v>
      </c>
      <c r="X82" s="28">
        <f>IFERROR(INDEX(tblPiNAnalysis[[Health ]], MATCH(tblPiNHistorical[[#This Row],[ID]], tblPiNAnalysis[ID], 0)), "")</f>
        <v>0</v>
      </c>
      <c r="Y82" s="28">
        <f>IFERROR(INDEX(tblPiNAnalysis[Nutrition], MATCH(tblPiNHistorical[[#This Row],[ID]], tblPiNAnalysis[ID], 0)), "")</f>
        <v>0</v>
      </c>
      <c r="Z82" s="28">
        <f>IFERROR(INDEX(tblPiNAnalysis[Protection], MATCH(tblPiNHistorical[[#This Row],[ID]], tblPiNAnalysis[ID], 0)), "")</f>
        <v>0</v>
      </c>
      <c r="AA82" s="28">
        <f>IFERROR(INDEX(tblPiNAnalysis[CP], MATCH(tblPiNHistorical[[#This Row],[ID]], tblPiNAnalysis[ID], 0)), "")</f>
        <v>0</v>
      </c>
      <c r="AB82" s="83">
        <f>IFERROR(INDEX(tblPiNAnalysis[GBV], MATCH(tblPiNHistorical[[#This Row],[ID]], tblPiNAnalysis[ID], 0)), "")</f>
        <v>0</v>
      </c>
      <c r="AC82" s="28">
        <f>IFERROR(INDEX(tblPiNAnalysis[Mine Action], MATCH(tblPiNHistorical[[#This Row],[ID]], tblPiNAnalysis[ID], 0)), "")</f>
        <v>0</v>
      </c>
      <c r="AD82" s="83">
        <f>IFERROR(INDEX(tblPiNAnalysis[[Shelter NFI ]], MATCH(tblPiNHistorical[[#This Row],[ID]], tblPiNAnalysis[ID], 0)), "")</f>
        <v>160932</v>
      </c>
      <c r="AE82" s="35">
        <f>IFERROR(INDEX(tblPiNAnalysis[WASH], MATCH(tblPiNHistorical[[#This Row],[ID]], tblPiNAnalysis[ID], 0)), "")</f>
        <v>0</v>
      </c>
      <c r="AF82" s="6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82" s="67" t="str">
        <f>IF(OR(tblPiNHistorical[[#This Row],[Education Old]]="", tblPiNHistorical[[#This Row],[Education Old]]=0, tblPiNHistorical[[#This Row],[Education New]]="", tblPiNHistorical[[#This Row],[Education New]]=0), "", tblPiNHistorical[[#This Row],[Education New]]-tblPiNHistorical[[#This Row],[Education Old]])</f>
        <v/>
      </c>
      <c r="AH82" s="67"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82" s="67" t="str">
        <f>IF(OR(tblPiNHistorical[[#This Row],[Health Old]]="", tblPiNHistorical[[#This Row],[Health Old]]=0, tblPiNHistorical[[#This Row],[Health New]]="", tblPiNHistorical[[#This Row],[Health New]]=0), "", tblPiNHistorical[[#This Row],[Health New]]-tblPiNHistorical[[#This Row],[Health Old]])</f>
        <v/>
      </c>
      <c r="AJ82" s="67" t="str">
        <f>IF(OR(tblPiNHistorical[[#This Row],[Nutrition Old]]="", tblPiNHistorical[[#This Row],[Nutrition Old]]=0, tblPiNHistorical[[#This Row],[Nutrition New]]="", tblPiNHistorical[[#This Row],[Nutrition New]]=0), "", tblPiNHistorical[[#This Row],[Nutrition New]]-tblPiNHistorical[[#This Row],[Nutrition Old]])</f>
        <v/>
      </c>
      <c r="AK82" s="67" t="str">
        <f>IF(OR(tblPiNHistorical[[#This Row],[Protection Old]]="", tblPiNHistorical[[#This Row],[Protection Old]]=0, tblPiNHistorical[[#This Row],[Protection New]]="", tblPiNHistorical[[#This Row],[Protection New]]=0), "", tblPiNHistorical[[#This Row],[Protection New]]-tblPiNHistorical[[#This Row],[Protection Old]])</f>
        <v/>
      </c>
      <c r="AL82" s="67" t="str">
        <f>IF(OR(tblPiNHistorical[[#This Row],[CP Old ]]="", tblPiNHistorical[[#This Row],[CP Old ]]=0, tblPiNHistorical[[#This Row],[CP New]]="", tblPiNHistorical[[#This Row],[CP New]]=0), "", tblPiNHistorical[[#This Row],[CP New]]-tblPiNHistorical[[#This Row],[CP Old ]])</f>
        <v/>
      </c>
      <c r="AM82" s="83" t="str">
        <f>IF(OR(tblPiNHistorical[[#This Row],[GBV Old]]="", tblPiNHistorical[[#This Row],[GBV Old]]=0, tblPiNHistorical[[#This Row],[GBV New]]="", tblPiNHistorical[[#This Row],[GBV New]]=0), "", tblPiNHistorical[[#This Row],[GBV New]]-tblPiNHistorical[[#This Row],[GBV Old]])</f>
        <v/>
      </c>
      <c r="AN82" s="83" t="str">
        <f>IF(OR(tblPiNHistorical[[#This Row],[Mine Action Old]]="", tblPiNHistorical[[#This Row],[Mine Action Old]]=0, tblPiNHistorical[[#This Row],[Mine Action New]]="", tblPiNHistorical[[#This Row],[Mine Action New]]=0), "", tblPiNHistorical[[#This Row],[Mine Action New]]-tblPiNHistorical[[#This Row],[Mine Action Old]])</f>
        <v/>
      </c>
      <c r="AO82" s="67">
        <f>IF(OR(tblPiNHistorical[[#This Row],[Shelter NFI Old]]="", tblPiNHistorical[[#This Row],[Shelter NFI Old]]=0, tblPiNHistorical[[#This Row],[Shelter NFI New]]="", tblPiNHistorical[[#This Row],[Shelter NFI New]]=0), "", tblPiNHistorical[[#This Row],[Shelter NFI New]]-tblPiNHistorical[[#This Row],[Shelter NFI Old]])</f>
        <v>96487</v>
      </c>
      <c r="AP82" s="111" t="str">
        <f>IF(OR(tblPiNHistorical[[#This Row],[WASH Old]]="", tblPiNHistorical[[#This Row],[WASH Old]]=0, tblPiNHistorical[[#This Row],[WASH New]]="", tblPiNHistorical[[#This Row],[WASH New]]=0), "", tblPiNHistorical[[#This Row],[WASH New]]-tblPiNHistorical[[#This Row],[WASH Old]])</f>
        <v/>
      </c>
      <c r="AQ82" s="110">
        <f>IFERROR(ROUND((tblPiNHistorical[[#This Row],[Site Management - New]] - tblPiNHistorical[[#This Row],[Site Management - Old]])/tblPiNHistorical[[#This Row],[Site Management - Old]], 1), "")</f>
        <v>-1</v>
      </c>
      <c r="AR82" s="66">
        <f>IFERROR(ROUND((tblPiNHistorical[[#This Row],[Education New]]-tblPiNHistorical[[#This Row],[Education Old]])/tblPiNHistorical[[#This Row],[Education Old]], 1), "")</f>
        <v>-1</v>
      </c>
      <c r="AS82" s="66">
        <f>IFERROR(ROUND((tblPiNHistorical[[#This Row],[Food Security and Livlihoods New]]-tblPiNHistorical[[#This Row],[Food Security and Livlihoods Old]])/tblPiNHistorical[[#This Row],[Food Security and Livlihoods Old]], 1), "")</f>
        <v>-1</v>
      </c>
      <c r="AT82" s="66">
        <f>IFERROR(ROUND((tblPiNHistorical[[#This Row],[Health New]]-tblPiNHistorical[[#This Row],[Health Old]])/tblPiNHistorical[[#This Row],[Health Old]], 1), "")</f>
        <v>-1</v>
      </c>
      <c r="AU82" s="66">
        <f>IFERROR(ROUND((tblPiNHistorical[[#This Row],[Nutrition New]]-tblPiNHistorical[[#This Row],[Nutrition Old]])/tblPiNHistorical[[#This Row],[Nutrition Old]], 1), "")</f>
        <v>-1</v>
      </c>
      <c r="AV82" s="66">
        <f>IFERROR(ROUND((tblPiNHistorical[[#This Row],[Protection New]]-tblPiNHistorical[[#This Row],[Protection Old]])/tblPiNHistorical[[#This Row],[Protection Old]], 1), "")</f>
        <v>-1</v>
      </c>
      <c r="AW82" s="84">
        <f>IFERROR(ROUND((tblPiNHistorical[[#This Row],[CP New]]-tblPiNHistorical[[#This Row],[CP Old ]])/tblPiNHistorical[[#This Row],[CP Old ]], 1), "")</f>
        <v>-1</v>
      </c>
      <c r="AX82" s="84">
        <f>IFERROR(ROUND((tblPiNHistorical[[#This Row],[GBV New]]-tblPiNHistorical[[#This Row],[GBV Old]])/tblPiNHistorical[[#This Row],[GBV Old]], 1), "")</f>
        <v>-1</v>
      </c>
      <c r="AY82" s="84">
        <f>IFERROR(ROUND((tblPiNHistorical[[#This Row],[Mine Action New]]-tblPiNHistorical[[#This Row],[Mine Action Old]])/tblPiNHistorical[[#This Row],[Mine Action Old]], 1), "")</f>
        <v>-1</v>
      </c>
      <c r="AZ82" s="66">
        <f>IFERROR(ROUND((tblPiNHistorical[[#This Row],[Shelter NFI New]]-tblPiNHistorical[[#This Row],[Shelter NFI Old]])/tblPiNHistorical[[#This Row],[Shelter NFI Old]], 1), "")</f>
        <v>1.5</v>
      </c>
      <c r="BA82" s="36">
        <f>IFERROR(ROUND((tblPiNHistorical[[#This Row],[WASH New]]-tblPiNHistorical[[#This Row],[WASH Old]])/tblPiNHistorical[[#This Row],[WASH Old]], 1), "")</f>
        <v>-1</v>
      </c>
      <c r="BB82"/>
      <c r="BC82"/>
      <c r="BD82"/>
      <c r="BE82"/>
      <c r="BF82"/>
      <c r="BG82"/>
      <c r="BH82"/>
      <c r="BI82"/>
      <c r="BL82"/>
      <c r="BN82"/>
      <c r="BO82"/>
      <c r="BP82"/>
    </row>
    <row r="83" spans="1:68" x14ac:dyDescent="0.25">
      <c r="A83"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IDPsSD02120</v>
      </c>
      <c r="B83" s="127" t="s">
        <v>167</v>
      </c>
      <c r="C83" s="60" t="s">
        <v>119</v>
      </c>
      <c r="D83" s="60" t="s">
        <v>209</v>
      </c>
      <c r="E83" s="60" t="s">
        <v>208</v>
      </c>
      <c r="F83" s="54"/>
      <c r="G83" s="30"/>
      <c r="H83" s="56">
        <v>827</v>
      </c>
      <c r="I83" s="37" t="s">
        <v>88</v>
      </c>
      <c r="J83" s="34">
        <v>277</v>
      </c>
      <c r="K83" s="116">
        <v>320.62790000000001</v>
      </c>
      <c r="L83" s="114">
        <v>827</v>
      </c>
      <c r="M83" s="114">
        <v>827</v>
      </c>
      <c r="N83" s="114">
        <v>58</v>
      </c>
      <c r="O83" s="114">
        <v>827</v>
      </c>
      <c r="P83" s="114">
        <v>455</v>
      </c>
      <c r="Q83" s="114">
        <v>327</v>
      </c>
      <c r="R83" s="114">
        <v>330.8</v>
      </c>
      <c r="S83" s="114">
        <v>0</v>
      </c>
      <c r="T83" s="196">
        <v>0</v>
      </c>
      <c r="U83" s="52">
        <f>IFERROR(INDEX(tblPiNAnalysis[[Site Management ]], MATCH(tblPiNHistorical[[#This Row],[ID]], tblPiNAnalysis[ID], 0)), "")</f>
        <v>0</v>
      </c>
      <c r="V83" s="52">
        <f>IFERROR(INDEX(tblPiNAnalysis[Education], MATCH(tblPiNHistorical[[#This Row],[ID]], tblPiNAnalysis[ID], 0)), "")</f>
        <v>0</v>
      </c>
      <c r="W83" s="28">
        <f>IFERROR(INDEX(tblPiNAnalysis[Food Security and Livlihoods], MATCH(tblPiNHistorical[[#This Row],[ID]], tblPiNAnalysis[ID], 0)), "")</f>
        <v>0</v>
      </c>
      <c r="X83" s="28">
        <f>IFERROR(INDEX(tblPiNAnalysis[[Health ]], MATCH(tblPiNHistorical[[#This Row],[ID]], tblPiNAnalysis[ID], 0)), "")</f>
        <v>0</v>
      </c>
      <c r="Y83" s="28">
        <f>IFERROR(INDEX(tblPiNAnalysis[Nutrition], MATCH(tblPiNHistorical[[#This Row],[ID]], tblPiNAnalysis[ID], 0)), "")</f>
        <v>0</v>
      </c>
      <c r="Z83" s="28">
        <f>IFERROR(INDEX(tblPiNAnalysis[Protection], MATCH(tblPiNHistorical[[#This Row],[ID]], tblPiNAnalysis[ID], 0)), "")</f>
        <v>0</v>
      </c>
      <c r="AA83" s="28">
        <f>IFERROR(INDEX(tblPiNAnalysis[CP], MATCH(tblPiNHistorical[[#This Row],[ID]], tblPiNAnalysis[ID], 0)), "")</f>
        <v>0</v>
      </c>
      <c r="AB83" s="83">
        <f>IFERROR(INDEX(tblPiNAnalysis[GBV], MATCH(tblPiNHistorical[[#This Row],[ID]], tblPiNAnalysis[ID], 0)), "")</f>
        <v>0</v>
      </c>
      <c r="AC83" s="28">
        <f>IFERROR(INDEX(tblPiNAnalysis[Mine Action], MATCH(tblPiNHistorical[[#This Row],[ID]], tblPiNAnalysis[ID], 0)), "")</f>
        <v>0</v>
      </c>
      <c r="AD83" s="83">
        <f>IFERROR(INDEX(tblPiNAnalysis[[Shelter NFI ]], MATCH(tblPiNHistorical[[#This Row],[ID]], tblPiNAnalysis[ID], 0)), "")</f>
        <v>231</v>
      </c>
      <c r="AE83" s="35">
        <f>IFERROR(INDEX(tblPiNAnalysis[WASH], MATCH(tblPiNHistorical[[#This Row],[ID]], tblPiNAnalysis[ID], 0)), "")</f>
        <v>0</v>
      </c>
      <c r="AF83" s="6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83" s="67" t="str">
        <f>IF(OR(tblPiNHistorical[[#This Row],[Education Old]]="", tblPiNHistorical[[#This Row],[Education Old]]=0, tblPiNHistorical[[#This Row],[Education New]]="", tblPiNHistorical[[#This Row],[Education New]]=0), "", tblPiNHistorical[[#This Row],[Education New]]-tblPiNHistorical[[#This Row],[Education Old]])</f>
        <v/>
      </c>
      <c r="AH83" s="67"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83" s="67" t="str">
        <f>IF(OR(tblPiNHistorical[[#This Row],[Health Old]]="", tblPiNHistorical[[#This Row],[Health Old]]=0, tblPiNHistorical[[#This Row],[Health New]]="", tblPiNHistorical[[#This Row],[Health New]]=0), "", tblPiNHistorical[[#This Row],[Health New]]-tblPiNHistorical[[#This Row],[Health Old]])</f>
        <v/>
      </c>
      <c r="AJ83" s="67" t="str">
        <f>IF(OR(tblPiNHistorical[[#This Row],[Nutrition Old]]="", tblPiNHistorical[[#This Row],[Nutrition Old]]=0, tblPiNHistorical[[#This Row],[Nutrition New]]="", tblPiNHistorical[[#This Row],[Nutrition New]]=0), "", tblPiNHistorical[[#This Row],[Nutrition New]]-tblPiNHistorical[[#This Row],[Nutrition Old]])</f>
        <v/>
      </c>
      <c r="AK83" s="67" t="str">
        <f>IF(OR(tblPiNHistorical[[#This Row],[Protection Old]]="", tblPiNHistorical[[#This Row],[Protection Old]]=0, tblPiNHistorical[[#This Row],[Protection New]]="", tblPiNHistorical[[#This Row],[Protection New]]=0), "", tblPiNHistorical[[#This Row],[Protection New]]-tblPiNHistorical[[#This Row],[Protection Old]])</f>
        <v/>
      </c>
      <c r="AL83" s="67" t="str">
        <f>IF(OR(tblPiNHistorical[[#This Row],[CP Old ]]="", tblPiNHistorical[[#This Row],[CP Old ]]=0, tblPiNHistorical[[#This Row],[CP New]]="", tblPiNHistorical[[#This Row],[CP New]]=0), "", tblPiNHistorical[[#This Row],[CP New]]-tblPiNHistorical[[#This Row],[CP Old ]])</f>
        <v/>
      </c>
      <c r="AM83" s="83" t="str">
        <f>IF(OR(tblPiNHistorical[[#This Row],[GBV Old]]="", tblPiNHistorical[[#This Row],[GBV Old]]=0, tblPiNHistorical[[#This Row],[GBV New]]="", tblPiNHistorical[[#This Row],[GBV New]]=0), "", tblPiNHistorical[[#This Row],[GBV New]]-tblPiNHistorical[[#This Row],[GBV Old]])</f>
        <v/>
      </c>
      <c r="AN83" s="83" t="str">
        <f>IF(OR(tblPiNHistorical[[#This Row],[Mine Action Old]]="", tblPiNHistorical[[#This Row],[Mine Action Old]]=0, tblPiNHistorical[[#This Row],[Mine Action New]]="", tblPiNHistorical[[#This Row],[Mine Action New]]=0), "", tblPiNHistorical[[#This Row],[Mine Action New]]-tblPiNHistorical[[#This Row],[Mine Action Old]])</f>
        <v/>
      </c>
      <c r="AO83" s="67" t="str">
        <f>IF(OR(tblPiNHistorical[[#This Row],[Shelter NFI Old]]="", tblPiNHistorical[[#This Row],[Shelter NFI Old]]=0, tblPiNHistorical[[#This Row],[Shelter NFI New]]="", tblPiNHistorical[[#This Row],[Shelter NFI New]]=0), "", tblPiNHistorical[[#This Row],[Shelter NFI New]]-tblPiNHistorical[[#This Row],[Shelter NFI Old]])</f>
        <v/>
      </c>
      <c r="AP83" s="111" t="str">
        <f>IF(OR(tblPiNHistorical[[#This Row],[WASH Old]]="", tblPiNHistorical[[#This Row],[WASH Old]]=0, tblPiNHistorical[[#This Row],[WASH New]]="", tblPiNHistorical[[#This Row],[WASH New]]=0), "", tblPiNHistorical[[#This Row],[WASH New]]-tblPiNHistorical[[#This Row],[WASH Old]])</f>
        <v/>
      </c>
      <c r="AQ83" s="110">
        <f>IFERROR(ROUND((tblPiNHistorical[[#This Row],[Site Management - New]] - tblPiNHistorical[[#This Row],[Site Management - Old]])/tblPiNHistorical[[#This Row],[Site Management - Old]], 1), "")</f>
        <v>-1</v>
      </c>
      <c r="AR83" s="66">
        <f>IFERROR(ROUND((tblPiNHistorical[[#This Row],[Education New]]-tblPiNHistorical[[#This Row],[Education Old]])/tblPiNHistorical[[#This Row],[Education Old]], 1), "")</f>
        <v>-1</v>
      </c>
      <c r="AS83" s="66">
        <f>IFERROR(ROUND((tblPiNHistorical[[#This Row],[Food Security and Livlihoods New]]-tblPiNHistorical[[#This Row],[Food Security and Livlihoods Old]])/tblPiNHistorical[[#This Row],[Food Security and Livlihoods Old]], 1), "")</f>
        <v>-1</v>
      </c>
      <c r="AT83" s="66">
        <f>IFERROR(ROUND((tblPiNHistorical[[#This Row],[Health New]]-tblPiNHistorical[[#This Row],[Health Old]])/tblPiNHistorical[[#This Row],[Health Old]], 1), "")</f>
        <v>-1</v>
      </c>
      <c r="AU83" s="66">
        <f>IFERROR(ROUND((tblPiNHistorical[[#This Row],[Nutrition New]]-tblPiNHistorical[[#This Row],[Nutrition Old]])/tblPiNHistorical[[#This Row],[Nutrition Old]], 1), "")</f>
        <v>-1</v>
      </c>
      <c r="AV83" s="66">
        <f>IFERROR(ROUND((tblPiNHistorical[[#This Row],[Protection New]]-tblPiNHistorical[[#This Row],[Protection Old]])/tblPiNHistorical[[#This Row],[Protection Old]], 1), "")</f>
        <v>-1</v>
      </c>
      <c r="AW83" s="84">
        <f>IFERROR(ROUND((tblPiNHistorical[[#This Row],[CP New]]-tblPiNHistorical[[#This Row],[CP Old ]])/tblPiNHistorical[[#This Row],[CP Old ]], 1), "")</f>
        <v>-1</v>
      </c>
      <c r="AX83" s="84">
        <f>IFERROR(ROUND((tblPiNHistorical[[#This Row],[GBV New]]-tblPiNHistorical[[#This Row],[GBV Old]])/tblPiNHistorical[[#This Row],[GBV Old]], 1), "")</f>
        <v>-1</v>
      </c>
      <c r="AY83" s="84">
        <f>IFERROR(ROUND((tblPiNHistorical[[#This Row],[Mine Action New]]-tblPiNHistorical[[#This Row],[Mine Action Old]])/tblPiNHistorical[[#This Row],[Mine Action Old]], 1), "")</f>
        <v>-1</v>
      </c>
      <c r="AZ83" s="66" t="str">
        <f>IFERROR(ROUND((tblPiNHistorical[[#This Row],[Shelter NFI New]]-tblPiNHistorical[[#This Row],[Shelter NFI Old]])/tblPiNHistorical[[#This Row],[Shelter NFI Old]], 1), "")</f>
        <v/>
      </c>
      <c r="BA83" s="36" t="str">
        <f>IFERROR(ROUND((tblPiNHistorical[[#This Row],[WASH New]]-tblPiNHistorical[[#This Row],[WASH Old]])/tblPiNHistorical[[#This Row],[WASH Old]], 1), "")</f>
        <v/>
      </c>
      <c r="BB83"/>
      <c r="BC83"/>
      <c r="BD83"/>
      <c r="BE83"/>
      <c r="BF83"/>
      <c r="BG83"/>
      <c r="BH83"/>
      <c r="BI83"/>
      <c r="BL83"/>
      <c r="BN83"/>
      <c r="BO83"/>
      <c r="BP83"/>
    </row>
    <row r="84" spans="1:68" x14ac:dyDescent="0.25">
      <c r="A84"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IDPsSD02136</v>
      </c>
      <c r="B84" s="127" t="s">
        <v>167</v>
      </c>
      <c r="C84" s="60" t="s">
        <v>119</v>
      </c>
      <c r="D84" s="60" t="s">
        <v>221</v>
      </c>
      <c r="E84" s="60" t="s">
        <v>220</v>
      </c>
      <c r="F84" s="54"/>
      <c r="G84" s="30"/>
      <c r="H84" s="56">
        <v>750</v>
      </c>
      <c r="I84" s="37" t="s">
        <v>88</v>
      </c>
      <c r="J84" s="34">
        <v>0</v>
      </c>
      <c r="K84" s="116">
        <v>290.77499999999998</v>
      </c>
      <c r="L84" s="114">
        <v>750</v>
      </c>
      <c r="M84" s="114">
        <v>750</v>
      </c>
      <c r="N84" s="114">
        <v>117</v>
      </c>
      <c r="O84" s="114">
        <v>750</v>
      </c>
      <c r="P84" s="114">
        <v>413</v>
      </c>
      <c r="Q84" s="114">
        <v>297</v>
      </c>
      <c r="R84" s="114">
        <v>225</v>
      </c>
      <c r="S84" s="114">
        <v>0</v>
      </c>
      <c r="T84" s="196">
        <v>0</v>
      </c>
      <c r="U84" s="52">
        <f>IFERROR(INDEX(tblPiNAnalysis[[Site Management ]], MATCH(tblPiNHistorical[[#This Row],[ID]], tblPiNAnalysis[ID], 0)), "")</f>
        <v>0</v>
      </c>
      <c r="V84" s="52">
        <f>IFERROR(INDEX(tblPiNAnalysis[Education], MATCH(tblPiNHistorical[[#This Row],[ID]], tblPiNAnalysis[ID], 0)), "")</f>
        <v>0</v>
      </c>
      <c r="W84" s="28">
        <f>IFERROR(INDEX(tblPiNAnalysis[Food Security and Livlihoods], MATCH(tblPiNHistorical[[#This Row],[ID]], tblPiNAnalysis[ID], 0)), "")</f>
        <v>0</v>
      </c>
      <c r="X84" s="28">
        <f>IFERROR(INDEX(tblPiNAnalysis[[Health ]], MATCH(tblPiNHistorical[[#This Row],[ID]], tblPiNAnalysis[ID], 0)), "")</f>
        <v>0</v>
      </c>
      <c r="Y84" s="28">
        <f>IFERROR(INDEX(tblPiNAnalysis[Nutrition], MATCH(tblPiNHistorical[[#This Row],[ID]], tblPiNAnalysis[ID], 0)), "")</f>
        <v>0</v>
      </c>
      <c r="Z84" s="28">
        <f>IFERROR(INDEX(tblPiNAnalysis[Protection], MATCH(tblPiNHistorical[[#This Row],[ID]], tblPiNAnalysis[ID], 0)), "")</f>
        <v>0</v>
      </c>
      <c r="AA84" s="28">
        <f>IFERROR(INDEX(tblPiNAnalysis[CP], MATCH(tblPiNHistorical[[#This Row],[ID]], tblPiNAnalysis[ID], 0)), "")</f>
        <v>0</v>
      </c>
      <c r="AB84" s="83">
        <f>IFERROR(INDEX(tblPiNAnalysis[GBV], MATCH(tblPiNHistorical[[#This Row],[ID]], tblPiNAnalysis[ID], 0)), "")</f>
        <v>0</v>
      </c>
      <c r="AC84" s="28">
        <f>IFERROR(INDEX(tblPiNAnalysis[Mine Action], MATCH(tblPiNHistorical[[#This Row],[ID]], tblPiNAnalysis[ID], 0)), "")</f>
        <v>0</v>
      </c>
      <c r="AD84" s="83">
        <f>IFERROR(INDEX(tblPiNAnalysis[[Shelter NFI ]], MATCH(tblPiNHistorical[[#This Row],[ID]], tblPiNAnalysis[ID], 0)), "")</f>
        <v>19288</v>
      </c>
      <c r="AE84" s="35">
        <f>IFERROR(INDEX(tblPiNAnalysis[WASH], MATCH(tblPiNHistorical[[#This Row],[ID]], tblPiNAnalysis[ID], 0)), "")</f>
        <v>0</v>
      </c>
      <c r="AF84" s="6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84" s="67" t="str">
        <f>IF(OR(tblPiNHistorical[[#This Row],[Education Old]]="", tblPiNHistorical[[#This Row],[Education Old]]=0, tblPiNHistorical[[#This Row],[Education New]]="", tblPiNHistorical[[#This Row],[Education New]]=0), "", tblPiNHistorical[[#This Row],[Education New]]-tblPiNHistorical[[#This Row],[Education Old]])</f>
        <v/>
      </c>
      <c r="AH84" s="67"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84" s="67" t="str">
        <f>IF(OR(tblPiNHistorical[[#This Row],[Health Old]]="", tblPiNHistorical[[#This Row],[Health Old]]=0, tblPiNHistorical[[#This Row],[Health New]]="", tblPiNHistorical[[#This Row],[Health New]]=0), "", tblPiNHistorical[[#This Row],[Health New]]-tblPiNHistorical[[#This Row],[Health Old]])</f>
        <v/>
      </c>
      <c r="AJ84" s="67" t="str">
        <f>IF(OR(tblPiNHistorical[[#This Row],[Nutrition Old]]="", tblPiNHistorical[[#This Row],[Nutrition Old]]=0, tblPiNHistorical[[#This Row],[Nutrition New]]="", tblPiNHistorical[[#This Row],[Nutrition New]]=0), "", tblPiNHistorical[[#This Row],[Nutrition New]]-tblPiNHistorical[[#This Row],[Nutrition Old]])</f>
        <v/>
      </c>
      <c r="AK84" s="67" t="str">
        <f>IF(OR(tblPiNHistorical[[#This Row],[Protection Old]]="", tblPiNHistorical[[#This Row],[Protection Old]]=0, tblPiNHistorical[[#This Row],[Protection New]]="", tblPiNHistorical[[#This Row],[Protection New]]=0), "", tblPiNHistorical[[#This Row],[Protection New]]-tblPiNHistorical[[#This Row],[Protection Old]])</f>
        <v/>
      </c>
      <c r="AL84" s="67" t="str">
        <f>IF(OR(tblPiNHistorical[[#This Row],[CP Old ]]="", tblPiNHistorical[[#This Row],[CP Old ]]=0, tblPiNHistorical[[#This Row],[CP New]]="", tblPiNHistorical[[#This Row],[CP New]]=0), "", tblPiNHistorical[[#This Row],[CP New]]-tblPiNHistorical[[#This Row],[CP Old ]])</f>
        <v/>
      </c>
      <c r="AM84" s="83" t="str">
        <f>IF(OR(tblPiNHistorical[[#This Row],[GBV Old]]="", tblPiNHistorical[[#This Row],[GBV Old]]=0, tblPiNHistorical[[#This Row],[GBV New]]="", tblPiNHistorical[[#This Row],[GBV New]]=0), "", tblPiNHistorical[[#This Row],[GBV New]]-tblPiNHistorical[[#This Row],[GBV Old]])</f>
        <v/>
      </c>
      <c r="AN84" s="83" t="str">
        <f>IF(OR(tblPiNHistorical[[#This Row],[Mine Action Old]]="", tblPiNHistorical[[#This Row],[Mine Action Old]]=0, tblPiNHistorical[[#This Row],[Mine Action New]]="", tblPiNHistorical[[#This Row],[Mine Action New]]=0), "", tblPiNHistorical[[#This Row],[Mine Action New]]-tblPiNHistorical[[#This Row],[Mine Action Old]])</f>
        <v/>
      </c>
      <c r="AO84" s="67" t="str">
        <f>IF(OR(tblPiNHistorical[[#This Row],[Shelter NFI Old]]="", tblPiNHistorical[[#This Row],[Shelter NFI Old]]=0, tblPiNHistorical[[#This Row],[Shelter NFI New]]="", tblPiNHistorical[[#This Row],[Shelter NFI New]]=0), "", tblPiNHistorical[[#This Row],[Shelter NFI New]]-tblPiNHistorical[[#This Row],[Shelter NFI Old]])</f>
        <v/>
      </c>
      <c r="AP84" s="111" t="str">
        <f>IF(OR(tblPiNHistorical[[#This Row],[WASH Old]]="", tblPiNHistorical[[#This Row],[WASH Old]]=0, tblPiNHistorical[[#This Row],[WASH New]]="", tblPiNHistorical[[#This Row],[WASH New]]=0), "", tblPiNHistorical[[#This Row],[WASH New]]-tblPiNHistorical[[#This Row],[WASH Old]])</f>
        <v/>
      </c>
      <c r="AQ84" s="110" t="str">
        <f>IFERROR(ROUND((tblPiNHistorical[[#This Row],[Site Management - New]] - tblPiNHistorical[[#This Row],[Site Management - Old]])/tblPiNHistorical[[#This Row],[Site Management - Old]], 1), "")</f>
        <v/>
      </c>
      <c r="AR84" s="66">
        <f>IFERROR(ROUND((tblPiNHistorical[[#This Row],[Education New]]-tblPiNHistorical[[#This Row],[Education Old]])/tblPiNHistorical[[#This Row],[Education Old]], 1), "")</f>
        <v>-1</v>
      </c>
      <c r="AS84" s="66">
        <f>IFERROR(ROUND((tblPiNHistorical[[#This Row],[Food Security and Livlihoods New]]-tblPiNHistorical[[#This Row],[Food Security and Livlihoods Old]])/tblPiNHistorical[[#This Row],[Food Security and Livlihoods Old]], 1), "")</f>
        <v>-1</v>
      </c>
      <c r="AT84" s="66">
        <f>IFERROR(ROUND((tblPiNHistorical[[#This Row],[Health New]]-tblPiNHistorical[[#This Row],[Health Old]])/tblPiNHistorical[[#This Row],[Health Old]], 1), "")</f>
        <v>-1</v>
      </c>
      <c r="AU84" s="66">
        <f>IFERROR(ROUND((tblPiNHistorical[[#This Row],[Nutrition New]]-tblPiNHistorical[[#This Row],[Nutrition Old]])/tblPiNHistorical[[#This Row],[Nutrition Old]], 1), "")</f>
        <v>-1</v>
      </c>
      <c r="AV84" s="66">
        <f>IFERROR(ROUND((tblPiNHistorical[[#This Row],[Protection New]]-tblPiNHistorical[[#This Row],[Protection Old]])/tblPiNHistorical[[#This Row],[Protection Old]], 1), "")</f>
        <v>-1</v>
      </c>
      <c r="AW84" s="84">
        <f>IFERROR(ROUND((tblPiNHistorical[[#This Row],[CP New]]-tblPiNHistorical[[#This Row],[CP Old ]])/tblPiNHistorical[[#This Row],[CP Old ]], 1), "")</f>
        <v>-1</v>
      </c>
      <c r="AX84" s="84">
        <f>IFERROR(ROUND((tblPiNHistorical[[#This Row],[GBV New]]-tblPiNHistorical[[#This Row],[GBV Old]])/tblPiNHistorical[[#This Row],[GBV Old]], 1), "")</f>
        <v>-1</v>
      </c>
      <c r="AY84" s="84">
        <f>IFERROR(ROUND((tblPiNHistorical[[#This Row],[Mine Action New]]-tblPiNHistorical[[#This Row],[Mine Action Old]])/tblPiNHistorical[[#This Row],[Mine Action Old]], 1), "")</f>
        <v>-1</v>
      </c>
      <c r="AZ84" s="66" t="str">
        <f>IFERROR(ROUND((tblPiNHistorical[[#This Row],[Shelter NFI New]]-tblPiNHistorical[[#This Row],[Shelter NFI Old]])/tblPiNHistorical[[#This Row],[Shelter NFI Old]], 1), "")</f>
        <v/>
      </c>
      <c r="BA84" s="36" t="str">
        <f>IFERROR(ROUND((tblPiNHistorical[[#This Row],[WASH New]]-tblPiNHistorical[[#This Row],[WASH Old]])/tblPiNHistorical[[#This Row],[WASH Old]], 1), "")</f>
        <v/>
      </c>
      <c r="BB84"/>
      <c r="BC84"/>
      <c r="BD84"/>
      <c r="BE84"/>
      <c r="BF84"/>
      <c r="BG84"/>
      <c r="BH84"/>
      <c r="BI84"/>
      <c r="BL84"/>
      <c r="BN84"/>
      <c r="BO84"/>
      <c r="BP84"/>
    </row>
    <row r="85" spans="1:68" x14ac:dyDescent="0.25">
      <c r="A85"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IDPsSDTEMP</v>
      </c>
      <c r="B85" s="127" t="s">
        <v>167</v>
      </c>
      <c r="C85" s="60" t="s">
        <v>119</v>
      </c>
      <c r="D85" s="60" t="s">
        <v>231</v>
      </c>
      <c r="E85" s="60" t="s">
        <v>230</v>
      </c>
      <c r="F85" s="54"/>
      <c r="G85" s="30"/>
      <c r="H85" s="56">
        <v>0</v>
      </c>
      <c r="I85" s="37" t="s">
        <v>88</v>
      </c>
      <c r="J85" s="34">
        <v>0</v>
      </c>
      <c r="K85" s="116">
        <v>0</v>
      </c>
      <c r="L85" s="114">
        <v>0</v>
      </c>
      <c r="M85" s="114">
        <v>0</v>
      </c>
      <c r="N85" s="114">
        <v>0</v>
      </c>
      <c r="O85" s="114">
        <v>0</v>
      </c>
      <c r="P85" s="114">
        <v>0</v>
      </c>
      <c r="Q85" s="114">
        <v>0</v>
      </c>
      <c r="R85" s="114">
        <v>0</v>
      </c>
      <c r="S85" s="114">
        <v>0</v>
      </c>
      <c r="T85" s="196">
        <v>0</v>
      </c>
      <c r="U85" s="52" t="str">
        <f>IFERROR(INDEX(tblPiNAnalysis[[Site Management ]], MATCH(tblPiNHistorical[[#This Row],[ID]], tblPiNAnalysis[ID], 0)), "")</f>
        <v/>
      </c>
      <c r="V85" s="52" t="str">
        <f>IFERROR(INDEX(tblPiNAnalysis[Education], MATCH(tblPiNHistorical[[#This Row],[ID]], tblPiNAnalysis[ID], 0)), "")</f>
        <v/>
      </c>
      <c r="W85" s="28" t="str">
        <f>IFERROR(INDEX(tblPiNAnalysis[Food Security and Livlihoods], MATCH(tblPiNHistorical[[#This Row],[ID]], tblPiNAnalysis[ID], 0)), "")</f>
        <v/>
      </c>
      <c r="X85" s="28" t="str">
        <f>IFERROR(INDEX(tblPiNAnalysis[[Health ]], MATCH(tblPiNHistorical[[#This Row],[ID]], tblPiNAnalysis[ID], 0)), "")</f>
        <v/>
      </c>
      <c r="Y85" s="28" t="str">
        <f>IFERROR(INDEX(tblPiNAnalysis[Nutrition], MATCH(tblPiNHistorical[[#This Row],[ID]], tblPiNAnalysis[ID], 0)), "")</f>
        <v/>
      </c>
      <c r="Z85" s="28" t="str">
        <f>IFERROR(INDEX(tblPiNAnalysis[Protection], MATCH(tblPiNHistorical[[#This Row],[ID]], tblPiNAnalysis[ID], 0)), "")</f>
        <v/>
      </c>
      <c r="AA85" s="28" t="str">
        <f>IFERROR(INDEX(tblPiNAnalysis[CP], MATCH(tblPiNHistorical[[#This Row],[ID]], tblPiNAnalysis[ID], 0)), "")</f>
        <v/>
      </c>
      <c r="AB85" s="83" t="str">
        <f>IFERROR(INDEX(tblPiNAnalysis[GBV], MATCH(tblPiNHistorical[[#This Row],[ID]], tblPiNAnalysis[ID], 0)), "")</f>
        <v/>
      </c>
      <c r="AC85" s="28" t="str">
        <f>IFERROR(INDEX(tblPiNAnalysis[Mine Action], MATCH(tblPiNHistorical[[#This Row],[ID]], tblPiNAnalysis[ID], 0)), "")</f>
        <v/>
      </c>
      <c r="AD85" s="83" t="str">
        <f>IFERROR(INDEX(tblPiNAnalysis[[Shelter NFI ]], MATCH(tblPiNHistorical[[#This Row],[ID]], tblPiNAnalysis[ID], 0)), "")</f>
        <v/>
      </c>
      <c r="AE85" s="35" t="str">
        <f>IFERROR(INDEX(tblPiNAnalysis[WASH], MATCH(tblPiNHistorical[[#This Row],[ID]], tblPiNAnalysis[ID], 0)), "")</f>
        <v/>
      </c>
      <c r="AF85" s="6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85" s="67" t="str">
        <f>IF(OR(tblPiNHistorical[[#This Row],[Education Old]]="", tblPiNHistorical[[#This Row],[Education Old]]=0, tblPiNHistorical[[#This Row],[Education New]]="", tblPiNHistorical[[#This Row],[Education New]]=0), "", tblPiNHistorical[[#This Row],[Education New]]-tblPiNHistorical[[#This Row],[Education Old]])</f>
        <v/>
      </c>
      <c r="AH85" s="67"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85" s="67" t="str">
        <f>IF(OR(tblPiNHistorical[[#This Row],[Health Old]]="", tblPiNHistorical[[#This Row],[Health Old]]=0, tblPiNHistorical[[#This Row],[Health New]]="", tblPiNHistorical[[#This Row],[Health New]]=0), "", tblPiNHistorical[[#This Row],[Health New]]-tblPiNHistorical[[#This Row],[Health Old]])</f>
        <v/>
      </c>
      <c r="AJ85" s="67" t="str">
        <f>IF(OR(tblPiNHistorical[[#This Row],[Nutrition Old]]="", tblPiNHistorical[[#This Row],[Nutrition Old]]=0, tblPiNHistorical[[#This Row],[Nutrition New]]="", tblPiNHistorical[[#This Row],[Nutrition New]]=0), "", tblPiNHistorical[[#This Row],[Nutrition New]]-tblPiNHistorical[[#This Row],[Nutrition Old]])</f>
        <v/>
      </c>
      <c r="AK85" s="67" t="str">
        <f>IF(OR(tblPiNHistorical[[#This Row],[Protection Old]]="", tblPiNHistorical[[#This Row],[Protection Old]]=0, tblPiNHistorical[[#This Row],[Protection New]]="", tblPiNHistorical[[#This Row],[Protection New]]=0), "", tblPiNHistorical[[#This Row],[Protection New]]-tblPiNHistorical[[#This Row],[Protection Old]])</f>
        <v/>
      </c>
      <c r="AL85" s="67" t="str">
        <f>IF(OR(tblPiNHistorical[[#This Row],[CP Old ]]="", tblPiNHistorical[[#This Row],[CP Old ]]=0, tblPiNHistorical[[#This Row],[CP New]]="", tblPiNHistorical[[#This Row],[CP New]]=0), "", tblPiNHistorical[[#This Row],[CP New]]-tblPiNHistorical[[#This Row],[CP Old ]])</f>
        <v/>
      </c>
      <c r="AM85" s="83" t="str">
        <f>IF(OR(tblPiNHistorical[[#This Row],[GBV Old]]="", tblPiNHistorical[[#This Row],[GBV Old]]=0, tblPiNHistorical[[#This Row],[GBV New]]="", tblPiNHistorical[[#This Row],[GBV New]]=0), "", tblPiNHistorical[[#This Row],[GBV New]]-tblPiNHistorical[[#This Row],[GBV Old]])</f>
        <v/>
      </c>
      <c r="AN85" s="83" t="str">
        <f>IF(OR(tblPiNHistorical[[#This Row],[Mine Action Old]]="", tblPiNHistorical[[#This Row],[Mine Action Old]]=0, tblPiNHistorical[[#This Row],[Mine Action New]]="", tblPiNHistorical[[#This Row],[Mine Action New]]=0), "", tblPiNHistorical[[#This Row],[Mine Action New]]-tblPiNHistorical[[#This Row],[Mine Action Old]])</f>
        <v/>
      </c>
      <c r="AO85" s="67" t="str">
        <f>IF(OR(tblPiNHistorical[[#This Row],[Shelter NFI Old]]="", tblPiNHistorical[[#This Row],[Shelter NFI Old]]=0, tblPiNHistorical[[#This Row],[Shelter NFI New]]="", tblPiNHistorical[[#This Row],[Shelter NFI New]]=0), "", tblPiNHistorical[[#This Row],[Shelter NFI New]]-tblPiNHistorical[[#This Row],[Shelter NFI Old]])</f>
        <v/>
      </c>
      <c r="AP85" s="111" t="str">
        <f>IF(OR(tblPiNHistorical[[#This Row],[WASH Old]]="", tblPiNHistorical[[#This Row],[WASH Old]]=0, tblPiNHistorical[[#This Row],[WASH New]]="", tblPiNHistorical[[#This Row],[WASH New]]=0), "", tblPiNHistorical[[#This Row],[WASH New]]-tblPiNHistorical[[#This Row],[WASH Old]])</f>
        <v/>
      </c>
      <c r="AQ85" s="110" t="str">
        <f>IFERROR(ROUND((tblPiNHistorical[[#This Row],[Site Management - New]] - tblPiNHistorical[[#This Row],[Site Management - Old]])/tblPiNHistorical[[#This Row],[Site Management - Old]], 1), "")</f>
        <v/>
      </c>
      <c r="AR85" s="66" t="str">
        <f>IFERROR(ROUND((tblPiNHistorical[[#This Row],[Education New]]-tblPiNHistorical[[#This Row],[Education Old]])/tblPiNHistorical[[#This Row],[Education Old]], 1), "")</f>
        <v/>
      </c>
      <c r="AS85" s="66" t="str">
        <f>IFERROR(ROUND((tblPiNHistorical[[#This Row],[Food Security and Livlihoods New]]-tblPiNHistorical[[#This Row],[Food Security and Livlihoods Old]])/tblPiNHistorical[[#This Row],[Food Security and Livlihoods Old]], 1), "")</f>
        <v/>
      </c>
      <c r="AT85" s="66" t="str">
        <f>IFERROR(ROUND((tblPiNHistorical[[#This Row],[Health New]]-tblPiNHistorical[[#This Row],[Health Old]])/tblPiNHistorical[[#This Row],[Health Old]], 1), "")</f>
        <v/>
      </c>
      <c r="AU85" s="66" t="str">
        <f>IFERROR(ROUND((tblPiNHistorical[[#This Row],[Nutrition New]]-tblPiNHistorical[[#This Row],[Nutrition Old]])/tblPiNHistorical[[#This Row],[Nutrition Old]], 1), "")</f>
        <v/>
      </c>
      <c r="AV85" s="66" t="str">
        <f>IFERROR(ROUND((tblPiNHistorical[[#This Row],[Protection New]]-tblPiNHistorical[[#This Row],[Protection Old]])/tblPiNHistorical[[#This Row],[Protection Old]], 1), "")</f>
        <v/>
      </c>
      <c r="AW85" s="84" t="str">
        <f>IFERROR(ROUND((tblPiNHistorical[[#This Row],[CP New]]-tblPiNHistorical[[#This Row],[CP Old ]])/tblPiNHistorical[[#This Row],[CP Old ]], 1), "")</f>
        <v/>
      </c>
      <c r="AX85" s="84" t="str">
        <f>IFERROR(ROUND((tblPiNHistorical[[#This Row],[GBV New]]-tblPiNHistorical[[#This Row],[GBV Old]])/tblPiNHistorical[[#This Row],[GBV Old]], 1), "")</f>
        <v/>
      </c>
      <c r="AY85" s="84" t="str">
        <f>IFERROR(ROUND((tblPiNHistorical[[#This Row],[Mine Action New]]-tblPiNHistorical[[#This Row],[Mine Action Old]])/tblPiNHistorical[[#This Row],[Mine Action Old]], 1), "")</f>
        <v/>
      </c>
      <c r="AZ85" s="66" t="str">
        <f>IFERROR(ROUND((tblPiNHistorical[[#This Row],[Shelter NFI New]]-tblPiNHistorical[[#This Row],[Shelter NFI Old]])/tblPiNHistorical[[#This Row],[Shelter NFI Old]], 1), "")</f>
        <v/>
      </c>
      <c r="BA85" s="36" t="str">
        <f>IFERROR(ROUND((tblPiNHistorical[[#This Row],[WASH New]]-tblPiNHistorical[[#This Row],[WASH Old]])/tblPiNHistorical[[#This Row],[WASH Old]], 1), "")</f>
        <v/>
      </c>
      <c r="BB85"/>
      <c r="BC85"/>
      <c r="BD85"/>
      <c r="BE85"/>
      <c r="BF85"/>
      <c r="BG85"/>
      <c r="BH85"/>
      <c r="BI85"/>
      <c r="BL85"/>
      <c r="BN85"/>
      <c r="BO85"/>
      <c r="BP85"/>
    </row>
    <row r="86" spans="1:68" x14ac:dyDescent="0.25">
      <c r="A86"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IDPsSD13030</v>
      </c>
      <c r="B86" s="127" t="s">
        <v>170</v>
      </c>
      <c r="C86" s="60" t="s">
        <v>130</v>
      </c>
      <c r="D86" s="60" t="s">
        <v>466</v>
      </c>
      <c r="E86" s="60" t="s">
        <v>482</v>
      </c>
      <c r="F86" s="54"/>
      <c r="G86" s="30"/>
      <c r="H86" s="56">
        <v>30589</v>
      </c>
      <c r="I86" s="37" t="s">
        <v>88</v>
      </c>
      <c r="J86" s="34">
        <v>2162</v>
      </c>
      <c r="K86" s="116">
        <v>11859.355299999999</v>
      </c>
      <c r="L86" s="114">
        <v>30589</v>
      </c>
      <c r="M86" s="114">
        <v>30589</v>
      </c>
      <c r="N86" s="114">
        <v>2533</v>
      </c>
      <c r="O86" s="114">
        <v>30589</v>
      </c>
      <c r="P86" s="114">
        <v>16824</v>
      </c>
      <c r="Q86" s="114">
        <v>12109</v>
      </c>
      <c r="R86" s="114">
        <v>9176.6999999999989</v>
      </c>
      <c r="S86" s="114">
        <v>12236</v>
      </c>
      <c r="T86" s="196">
        <v>29949.078119999998</v>
      </c>
      <c r="U86" s="52">
        <f>IFERROR(INDEX(tblPiNAnalysis[[Site Management ]], MATCH(tblPiNHistorical[[#This Row],[ID]], tblPiNAnalysis[ID], 0)), "")</f>
        <v>0</v>
      </c>
      <c r="V86" s="52">
        <f>IFERROR(INDEX(tblPiNAnalysis[Education], MATCH(tblPiNHistorical[[#This Row],[ID]], tblPiNAnalysis[ID], 0)), "")</f>
        <v>0</v>
      </c>
      <c r="W86" s="28">
        <f>IFERROR(INDEX(tblPiNAnalysis[Food Security and Livlihoods], MATCH(tblPiNHistorical[[#This Row],[ID]], tblPiNAnalysis[ID], 0)), "")</f>
        <v>0</v>
      </c>
      <c r="X86" s="28">
        <f>IFERROR(INDEX(tblPiNAnalysis[[Health ]], MATCH(tblPiNHistorical[[#This Row],[ID]], tblPiNAnalysis[ID], 0)), "")</f>
        <v>0</v>
      </c>
      <c r="Y86" s="28">
        <f>IFERROR(INDEX(tblPiNAnalysis[Nutrition], MATCH(tblPiNHistorical[[#This Row],[ID]], tblPiNAnalysis[ID], 0)), "")</f>
        <v>0</v>
      </c>
      <c r="Z86" s="28">
        <f>IFERROR(INDEX(tblPiNAnalysis[Protection], MATCH(tblPiNHistorical[[#This Row],[ID]], tblPiNAnalysis[ID], 0)), "")</f>
        <v>0</v>
      </c>
      <c r="AA86" s="28">
        <f>IFERROR(INDEX(tblPiNAnalysis[CP], MATCH(tblPiNHistorical[[#This Row],[ID]], tblPiNAnalysis[ID], 0)), "")</f>
        <v>0</v>
      </c>
      <c r="AB86" s="83">
        <f>IFERROR(INDEX(tblPiNAnalysis[GBV], MATCH(tblPiNHistorical[[#This Row],[ID]], tblPiNAnalysis[ID], 0)), "")</f>
        <v>0</v>
      </c>
      <c r="AC86" s="28">
        <f>IFERROR(INDEX(tblPiNAnalysis[Mine Action], MATCH(tblPiNHistorical[[#This Row],[ID]], tblPiNAnalysis[ID], 0)), "")</f>
        <v>0</v>
      </c>
      <c r="AD86" s="83">
        <f>IFERROR(INDEX(tblPiNAnalysis[[Shelter NFI ]], MATCH(tblPiNHistorical[[#This Row],[ID]], tblPiNAnalysis[ID], 0)), "")</f>
        <v>17668</v>
      </c>
      <c r="AE86" s="35">
        <f>IFERROR(INDEX(tblPiNAnalysis[WASH], MATCH(tblPiNHistorical[[#This Row],[ID]], tblPiNAnalysis[ID], 0)), "")</f>
        <v>0</v>
      </c>
      <c r="AF86" s="6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86" s="67" t="str">
        <f>IF(OR(tblPiNHistorical[[#This Row],[Education Old]]="", tblPiNHistorical[[#This Row],[Education Old]]=0, tblPiNHistorical[[#This Row],[Education New]]="", tblPiNHistorical[[#This Row],[Education New]]=0), "", tblPiNHistorical[[#This Row],[Education New]]-tblPiNHistorical[[#This Row],[Education Old]])</f>
        <v/>
      </c>
      <c r="AH86" s="67"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86" s="67" t="str">
        <f>IF(OR(tblPiNHistorical[[#This Row],[Health Old]]="", tblPiNHistorical[[#This Row],[Health Old]]=0, tblPiNHistorical[[#This Row],[Health New]]="", tblPiNHistorical[[#This Row],[Health New]]=0), "", tblPiNHistorical[[#This Row],[Health New]]-tblPiNHistorical[[#This Row],[Health Old]])</f>
        <v/>
      </c>
      <c r="AJ86" s="67" t="str">
        <f>IF(OR(tblPiNHistorical[[#This Row],[Nutrition Old]]="", tblPiNHistorical[[#This Row],[Nutrition Old]]=0, tblPiNHistorical[[#This Row],[Nutrition New]]="", tblPiNHistorical[[#This Row],[Nutrition New]]=0), "", tblPiNHistorical[[#This Row],[Nutrition New]]-tblPiNHistorical[[#This Row],[Nutrition Old]])</f>
        <v/>
      </c>
      <c r="AK86" s="67" t="str">
        <f>IF(OR(tblPiNHistorical[[#This Row],[Protection Old]]="", tblPiNHistorical[[#This Row],[Protection Old]]=0, tblPiNHistorical[[#This Row],[Protection New]]="", tblPiNHistorical[[#This Row],[Protection New]]=0), "", tblPiNHistorical[[#This Row],[Protection New]]-tblPiNHistorical[[#This Row],[Protection Old]])</f>
        <v/>
      </c>
      <c r="AL86" s="67" t="str">
        <f>IF(OR(tblPiNHistorical[[#This Row],[CP Old ]]="", tblPiNHistorical[[#This Row],[CP Old ]]=0, tblPiNHistorical[[#This Row],[CP New]]="", tblPiNHistorical[[#This Row],[CP New]]=0), "", tblPiNHistorical[[#This Row],[CP New]]-tblPiNHistorical[[#This Row],[CP Old ]])</f>
        <v/>
      </c>
      <c r="AM86" s="83" t="str">
        <f>IF(OR(tblPiNHistorical[[#This Row],[GBV Old]]="", tblPiNHistorical[[#This Row],[GBV Old]]=0, tblPiNHistorical[[#This Row],[GBV New]]="", tblPiNHistorical[[#This Row],[GBV New]]=0), "", tblPiNHistorical[[#This Row],[GBV New]]-tblPiNHistorical[[#This Row],[GBV Old]])</f>
        <v/>
      </c>
      <c r="AN86" s="83" t="str">
        <f>IF(OR(tblPiNHistorical[[#This Row],[Mine Action Old]]="", tblPiNHistorical[[#This Row],[Mine Action Old]]=0, tblPiNHistorical[[#This Row],[Mine Action New]]="", tblPiNHistorical[[#This Row],[Mine Action New]]=0), "", tblPiNHistorical[[#This Row],[Mine Action New]]-tblPiNHistorical[[#This Row],[Mine Action Old]])</f>
        <v/>
      </c>
      <c r="AO86" s="67">
        <f>IF(OR(tblPiNHistorical[[#This Row],[Shelter NFI Old]]="", tblPiNHistorical[[#This Row],[Shelter NFI Old]]=0, tblPiNHistorical[[#This Row],[Shelter NFI New]]="", tblPiNHistorical[[#This Row],[Shelter NFI New]]=0), "", tblPiNHistorical[[#This Row],[Shelter NFI New]]-tblPiNHistorical[[#This Row],[Shelter NFI Old]])</f>
        <v>5432</v>
      </c>
      <c r="AP86" s="111" t="str">
        <f>IF(OR(tblPiNHistorical[[#This Row],[WASH Old]]="", tblPiNHistorical[[#This Row],[WASH Old]]=0, tblPiNHistorical[[#This Row],[WASH New]]="", tblPiNHistorical[[#This Row],[WASH New]]=0), "", tblPiNHistorical[[#This Row],[WASH New]]-tblPiNHistorical[[#This Row],[WASH Old]])</f>
        <v/>
      </c>
      <c r="AQ86" s="110">
        <f>IFERROR(ROUND((tblPiNHistorical[[#This Row],[Site Management - New]] - tblPiNHistorical[[#This Row],[Site Management - Old]])/tblPiNHistorical[[#This Row],[Site Management - Old]], 1), "")</f>
        <v>-1</v>
      </c>
      <c r="AR86" s="66">
        <f>IFERROR(ROUND((tblPiNHistorical[[#This Row],[Education New]]-tblPiNHistorical[[#This Row],[Education Old]])/tblPiNHistorical[[#This Row],[Education Old]], 1), "")</f>
        <v>-1</v>
      </c>
      <c r="AS86" s="66">
        <f>IFERROR(ROUND((tblPiNHistorical[[#This Row],[Food Security and Livlihoods New]]-tblPiNHistorical[[#This Row],[Food Security and Livlihoods Old]])/tblPiNHistorical[[#This Row],[Food Security and Livlihoods Old]], 1), "")</f>
        <v>-1</v>
      </c>
      <c r="AT86" s="66">
        <f>IFERROR(ROUND((tblPiNHistorical[[#This Row],[Health New]]-tblPiNHistorical[[#This Row],[Health Old]])/tblPiNHistorical[[#This Row],[Health Old]], 1), "")</f>
        <v>-1</v>
      </c>
      <c r="AU86" s="66">
        <f>IFERROR(ROUND((tblPiNHistorical[[#This Row],[Nutrition New]]-tblPiNHistorical[[#This Row],[Nutrition Old]])/tblPiNHistorical[[#This Row],[Nutrition Old]], 1), "")</f>
        <v>-1</v>
      </c>
      <c r="AV86" s="66">
        <f>IFERROR(ROUND((tblPiNHistorical[[#This Row],[Protection New]]-tblPiNHistorical[[#This Row],[Protection Old]])/tblPiNHistorical[[#This Row],[Protection Old]], 1), "")</f>
        <v>-1</v>
      </c>
      <c r="AW86" s="84">
        <f>IFERROR(ROUND((tblPiNHistorical[[#This Row],[CP New]]-tblPiNHistorical[[#This Row],[CP Old ]])/tblPiNHistorical[[#This Row],[CP Old ]], 1), "")</f>
        <v>-1</v>
      </c>
      <c r="AX86" s="84">
        <f>IFERROR(ROUND((tblPiNHistorical[[#This Row],[GBV New]]-tblPiNHistorical[[#This Row],[GBV Old]])/tblPiNHistorical[[#This Row],[GBV Old]], 1), "")</f>
        <v>-1</v>
      </c>
      <c r="AY86" s="84">
        <f>IFERROR(ROUND((tblPiNHistorical[[#This Row],[Mine Action New]]-tblPiNHistorical[[#This Row],[Mine Action Old]])/tblPiNHistorical[[#This Row],[Mine Action Old]], 1), "")</f>
        <v>-1</v>
      </c>
      <c r="AZ86" s="66">
        <f>IFERROR(ROUND((tblPiNHistorical[[#This Row],[Shelter NFI New]]-tblPiNHistorical[[#This Row],[Shelter NFI Old]])/tblPiNHistorical[[#This Row],[Shelter NFI Old]], 1), "")</f>
        <v>0.4</v>
      </c>
      <c r="BA86" s="36">
        <f>IFERROR(ROUND((tblPiNHistorical[[#This Row],[WASH New]]-tblPiNHistorical[[#This Row],[WASH Old]])/tblPiNHistorical[[#This Row],[WASH Old]], 1), "")</f>
        <v>-1</v>
      </c>
      <c r="BB86"/>
      <c r="BC86"/>
      <c r="BD86"/>
      <c r="BE86"/>
      <c r="BF86"/>
      <c r="BG86"/>
      <c r="BH86"/>
      <c r="BI86"/>
      <c r="BL86"/>
      <c r="BN86"/>
      <c r="BO86"/>
      <c r="BP86"/>
    </row>
    <row r="87" spans="1:68" x14ac:dyDescent="0.25">
      <c r="A87"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IDPsSD13026</v>
      </c>
      <c r="B87" s="127" t="s">
        <v>170</v>
      </c>
      <c r="C87" s="60" t="s">
        <v>130</v>
      </c>
      <c r="D87" s="60" t="s">
        <v>474</v>
      </c>
      <c r="E87" s="60" t="s">
        <v>475</v>
      </c>
      <c r="F87" s="54"/>
      <c r="G87" s="30"/>
      <c r="H87" s="56">
        <v>7868</v>
      </c>
      <c r="I87" s="37" t="s">
        <v>88</v>
      </c>
      <c r="J87" s="34">
        <v>0</v>
      </c>
      <c r="K87" s="116">
        <v>0</v>
      </c>
      <c r="L87" s="114">
        <v>7868</v>
      </c>
      <c r="M87" s="114">
        <v>7868</v>
      </c>
      <c r="N87" s="114">
        <v>717</v>
      </c>
      <c r="O87" s="114">
        <v>7868</v>
      </c>
      <c r="P87" s="114">
        <v>4327</v>
      </c>
      <c r="Q87" s="114">
        <v>2699</v>
      </c>
      <c r="R87" s="114">
        <v>0</v>
      </c>
      <c r="S87" s="114">
        <v>0</v>
      </c>
      <c r="T87" s="196">
        <v>0</v>
      </c>
      <c r="U87" s="52">
        <f>IFERROR(INDEX(tblPiNAnalysis[[Site Management ]], MATCH(tblPiNHistorical[[#This Row],[ID]], tblPiNAnalysis[ID], 0)), "")</f>
        <v>0</v>
      </c>
      <c r="V87" s="52">
        <f>IFERROR(INDEX(tblPiNAnalysis[Education], MATCH(tblPiNHistorical[[#This Row],[ID]], tblPiNAnalysis[ID], 0)), "")</f>
        <v>0</v>
      </c>
      <c r="W87" s="28">
        <f>IFERROR(INDEX(tblPiNAnalysis[Food Security and Livlihoods], MATCH(tblPiNHistorical[[#This Row],[ID]], tblPiNAnalysis[ID], 0)), "")</f>
        <v>0</v>
      </c>
      <c r="X87" s="28">
        <f>IFERROR(INDEX(tblPiNAnalysis[[Health ]], MATCH(tblPiNHistorical[[#This Row],[ID]], tblPiNAnalysis[ID], 0)), "")</f>
        <v>0</v>
      </c>
      <c r="Y87" s="28">
        <f>IFERROR(INDEX(tblPiNAnalysis[Nutrition], MATCH(tblPiNHistorical[[#This Row],[ID]], tblPiNAnalysis[ID], 0)), "")</f>
        <v>0</v>
      </c>
      <c r="Z87" s="28">
        <f>IFERROR(INDEX(tblPiNAnalysis[Protection], MATCH(tblPiNHistorical[[#This Row],[ID]], tblPiNAnalysis[ID], 0)), "")</f>
        <v>0</v>
      </c>
      <c r="AA87" s="28">
        <f>IFERROR(INDEX(tblPiNAnalysis[CP], MATCH(tblPiNHistorical[[#This Row],[ID]], tblPiNAnalysis[ID], 0)), "")</f>
        <v>0</v>
      </c>
      <c r="AB87" s="83">
        <f>IFERROR(INDEX(tblPiNAnalysis[GBV], MATCH(tblPiNHistorical[[#This Row],[ID]], tblPiNAnalysis[ID], 0)), "")</f>
        <v>0</v>
      </c>
      <c r="AC87" s="28">
        <f>IFERROR(INDEX(tblPiNAnalysis[Mine Action], MATCH(tblPiNHistorical[[#This Row],[ID]], tblPiNAnalysis[ID], 0)), "")</f>
        <v>0</v>
      </c>
      <c r="AD87" s="83">
        <f>IFERROR(INDEX(tblPiNAnalysis[[Shelter NFI ]], MATCH(tblPiNHistorical[[#This Row],[ID]], tblPiNAnalysis[ID], 0)), "")</f>
        <v>15093</v>
      </c>
      <c r="AE87" s="35">
        <f>IFERROR(INDEX(tblPiNAnalysis[WASH], MATCH(tblPiNHistorical[[#This Row],[ID]], tblPiNAnalysis[ID], 0)), "")</f>
        <v>0</v>
      </c>
      <c r="AF87" s="6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87" s="67" t="str">
        <f>IF(OR(tblPiNHistorical[[#This Row],[Education Old]]="", tblPiNHistorical[[#This Row],[Education Old]]=0, tblPiNHistorical[[#This Row],[Education New]]="", tblPiNHistorical[[#This Row],[Education New]]=0), "", tblPiNHistorical[[#This Row],[Education New]]-tblPiNHistorical[[#This Row],[Education Old]])</f>
        <v/>
      </c>
      <c r="AH87" s="67"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87" s="67" t="str">
        <f>IF(OR(tblPiNHistorical[[#This Row],[Health Old]]="", tblPiNHistorical[[#This Row],[Health Old]]=0, tblPiNHistorical[[#This Row],[Health New]]="", tblPiNHistorical[[#This Row],[Health New]]=0), "", tblPiNHistorical[[#This Row],[Health New]]-tblPiNHistorical[[#This Row],[Health Old]])</f>
        <v/>
      </c>
      <c r="AJ87" s="67" t="str">
        <f>IF(OR(tblPiNHistorical[[#This Row],[Nutrition Old]]="", tblPiNHistorical[[#This Row],[Nutrition Old]]=0, tblPiNHistorical[[#This Row],[Nutrition New]]="", tblPiNHistorical[[#This Row],[Nutrition New]]=0), "", tblPiNHistorical[[#This Row],[Nutrition New]]-tblPiNHistorical[[#This Row],[Nutrition Old]])</f>
        <v/>
      </c>
      <c r="AK87" s="67" t="str">
        <f>IF(OR(tblPiNHistorical[[#This Row],[Protection Old]]="", tblPiNHistorical[[#This Row],[Protection Old]]=0, tblPiNHistorical[[#This Row],[Protection New]]="", tblPiNHistorical[[#This Row],[Protection New]]=0), "", tblPiNHistorical[[#This Row],[Protection New]]-tblPiNHistorical[[#This Row],[Protection Old]])</f>
        <v/>
      </c>
      <c r="AL87" s="67" t="str">
        <f>IF(OR(tblPiNHistorical[[#This Row],[CP Old ]]="", tblPiNHistorical[[#This Row],[CP Old ]]=0, tblPiNHistorical[[#This Row],[CP New]]="", tblPiNHistorical[[#This Row],[CP New]]=0), "", tblPiNHistorical[[#This Row],[CP New]]-tblPiNHistorical[[#This Row],[CP Old ]])</f>
        <v/>
      </c>
      <c r="AM87" s="83" t="str">
        <f>IF(OR(tblPiNHistorical[[#This Row],[GBV Old]]="", tblPiNHistorical[[#This Row],[GBV Old]]=0, tblPiNHistorical[[#This Row],[GBV New]]="", tblPiNHistorical[[#This Row],[GBV New]]=0), "", tblPiNHistorical[[#This Row],[GBV New]]-tblPiNHistorical[[#This Row],[GBV Old]])</f>
        <v/>
      </c>
      <c r="AN87" s="83" t="str">
        <f>IF(OR(tblPiNHistorical[[#This Row],[Mine Action Old]]="", tblPiNHistorical[[#This Row],[Mine Action Old]]=0, tblPiNHistorical[[#This Row],[Mine Action New]]="", tblPiNHistorical[[#This Row],[Mine Action New]]=0), "", tblPiNHistorical[[#This Row],[Mine Action New]]-tblPiNHistorical[[#This Row],[Mine Action Old]])</f>
        <v/>
      </c>
      <c r="AO87" s="67" t="str">
        <f>IF(OR(tblPiNHistorical[[#This Row],[Shelter NFI Old]]="", tblPiNHistorical[[#This Row],[Shelter NFI Old]]=0, tblPiNHistorical[[#This Row],[Shelter NFI New]]="", tblPiNHistorical[[#This Row],[Shelter NFI New]]=0), "", tblPiNHistorical[[#This Row],[Shelter NFI New]]-tblPiNHistorical[[#This Row],[Shelter NFI Old]])</f>
        <v/>
      </c>
      <c r="AP87" s="111" t="str">
        <f>IF(OR(tblPiNHistorical[[#This Row],[WASH Old]]="", tblPiNHistorical[[#This Row],[WASH Old]]=0, tblPiNHistorical[[#This Row],[WASH New]]="", tblPiNHistorical[[#This Row],[WASH New]]=0), "", tblPiNHistorical[[#This Row],[WASH New]]-tblPiNHistorical[[#This Row],[WASH Old]])</f>
        <v/>
      </c>
      <c r="AQ87" s="110" t="str">
        <f>IFERROR(ROUND((tblPiNHistorical[[#This Row],[Site Management - New]] - tblPiNHistorical[[#This Row],[Site Management - Old]])/tblPiNHistorical[[#This Row],[Site Management - Old]], 1), "")</f>
        <v/>
      </c>
      <c r="AR87" s="66" t="str">
        <f>IFERROR(ROUND((tblPiNHistorical[[#This Row],[Education New]]-tblPiNHistorical[[#This Row],[Education Old]])/tblPiNHistorical[[#This Row],[Education Old]], 1), "")</f>
        <v/>
      </c>
      <c r="AS87" s="66">
        <f>IFERROR(ROUND((tblPiNHistorical[[#This Row],[Food Security and Livlihoods New]]-tblPiNHistorical[[#This Row],[Food Security and Livlihoods Old]])/tblPiNHistorical[[#This Row],[Food Security and Livlihoods Old]], 1), "")</f>
        <v>-1</v>
      </c>
      <c r="AT87" s="66">
        <f>IFERROR(ROUND((tblPiNHistorical[[#This Row],[Health New]]-tblPiNHistorical[[#This Row],[Health Old]])/tblPiNHistorical[[#This Row],[Health Old]], 1), "")</f>
        <v>-1</v>
      </c>
      <c r="AU87" s="66">
        <f>IFERROR(ROUND((tblPiNHistorical[[#This Row],[Nutrition New]]-tblPiNHistorical[[#This Row],[Nutrition Old]])/tblPiNHistorical[[#This Row],[Nutrition Old]], 1), "")</f>
        <v>-1</v>
      </c>
      <c r="AV87" s="66">
        <f>IFERROR(ROUND((tblPiNHistorical[[#This Row],[Protection New]]-tblPiNHistorical[[#This Row],[Protection Old]])/tblPiNHistorical[[#This Row],[Protection Old]], 1), "")</f>
        <v>-1</v>
      </c>
      <c r="AW87" s="84">
        <f>IFERROR(ROUND((tblPiNHistorical[[#This Row],[CP New]]-tblPiNHistorical[[#This Row],[CP Old ]])/tblPiNHistorical[[#This Row],[CP Old ]], 1), "")</f>
        <v>-1</v>
      </c>
      <c r="AX87" s="84">
        <f>IFERROR(ROUND((tblPiNHistorical[[#This Row],[GBV New]]-tblPiNHistorical[[#This Row],[GBV Old]])/tblPiNHistorical[[#This Row],[GBV Old]], 1), "")</f>
        <v>-1</v>
      </c>
      <c r="AY87" s="84" t="str">
        <f>IFERROR(ROUND((tblPiNHistorical[[#This Row],[Mine Action New]]-tblPiNHistorical[[#This Row],[Mine Action Old]])/tblPiNHistorical[[#This Row],[Mine Action Old]], 1), "")</f>
        <v/>
      </c>
      <c r="AZ87" s="66" t="str">
        <f>IFERROR(ROUND((tblPiNHistorical[[#This Row],[Shelter NFI New]]-tblPiNHistorical[[#This Row],[Shelter NFI Old]])/tblPiNHistorical[[#This Row],[Shelter NFI Old]], 1), "")</f>
        <v/>
      </c>
      <c r="BA87" s="36" t="str">
        <f>IFERROR(ROUND((tblPiNHistorical[[#This Row],[WASH New]]-tblPiNHistorical[[#This Row],[WASH Old]])/tblPiNHistorical[[#This Row],[WASH Old]], 1), "")</f>
        <v/>
      </c>
      <c r="BB87"/>
      <c r="BC87"/>
      <c r="BD87"/>
      <c r="BE87"/>
      <c r="BF87"/>
      <c r="BG87"/>
      <c r="BH87"/>
      <c r="BI87"/>
      <c r="BL87"/>
      <c r="BN87"/>
      <c r="BO87"/>
      <c r="BP87"/>
    </row>
    <row r="88" spans="1:68" ht="30" x14ac:dyDescent="0.25">
      <c r="A88"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IDPsSD13027</v>
      </c>
      <c r="B88" s="127" t="s">
        <v>170</v>
      </c>
      <c r="C88" s="60" t="s">
        <v>130</v>
      </c>
      <c r="D88" s="60" t="s">
        <v>476</v>
      </c>
      <c r="E88" s="60" t="s">
        <v>477</v>
      </c>
      <c r="F88" s="54"/>
      <c r="G88" s="30"/>
      <c r="H88" s="56">
        <v>3518</v>
      </c>
      <c r="I88" s="37" t="s">
        <v>88</v>
      </c>
      <c r="J88" s="34">
        <v>145</v>
      </c>
      <c r="K88" s="116">
        <v>1363.9286</v>
      </c>
      <c r="L88" s="114">
        <v>3518</v>
      </c>
      <c r="M88" s="114">
        <v>3518</v>
      </c>
      <c r="N88" s="114">
        <v>301</v>
      </c>
      <c r="O88" s="114">
        <v>3518</v>
      </c>
      <c r="P88" s="114">
        <v>1935</v>
      </c>
      <c r="Q88" s="114">
        <v>1206</v>
      </c>
      <c r="R88" s="114">
        <v>0</v>
      </c>
      <c r="S88" s="114">
        <v>0</v>
      </c>
      <c r="T88" s="196">
        <v>0</v>
      </c>
      <c r="U88" s="52">
        <f>IFERROR(INDEX(tblPiNAnalysis[[Site Management ]], MATCH(tblPiNHistorical[[#This Row],[ID]], tblPiNAnalysis[ID], 0)), "")</f>
        <v>0</v>
      </c>
      <c r="V88" s="52">
        <f>IFERROR(INDEX(tblPiNAnalysis[Education], MATCH(tblPiNHistorical[[#This Row],[ID]], tblPiNAnalysis[ID], 0)), "")</f>
        <v>0</v>
      </c>
      <c r="W88" s="28">
        <f>IFERROR(INDEX(tblPiNAnalysis[Food Security and Livlihoods], MATCH(tblPiNHistorical[[#This Row],[ID]], tblPiNAnalysis[ID], 0)), "")</f>
        <v>0</v>
      </c>
      <c r="X88" s="28">
        <f>IFERROR(INDEX(tblPiNAnalysis[[Health ]], MATCH(tblPiNHistorical[[#This Row],[ID]], tblPiNAnalysis[ID], 0)), "")</f>
        <v>0</v>
      </c>
      <c r="Y88" s="28">
        <f>IFERROR(INDEX(tblPiNAnalysis[Nutrition], MATCH(tblPiNHistorical[[#This Row],[ID]], tblPiNAnalysis[ID], 0)), "")</f>
        <v>0</v>
      </c>
      <c r="Z88" s="28">
        <f>IFERROR(INDEX(tblPiNAnalysis[Protection], MATCH(tblPiNHistorical[[#This Row],[ID]], tblPiNAnalysis[ID], 0)), "")</f>
        <v>0</v>
      </c>
      <c r="AA88" s="28">
        <f>IFERROR(INDEX(tblPiNAnalysis[CP], MATCH(tblPiNHistorical[[#This Row],[ID]], tblPiNAnalysis[ID], 0)), "")</f>
        <v>0</v>
      </c>
      <c r="AB88" s="83">
        <f>IFERROR(INDEX(tblPiNAnalysis[GBV], MATCH(tblPiNHistorical[[#This Row],[ID]], tblPiNAnalysis[ID], 0)), "")</f>
        <v>0</v>
      </c>
      <c r="AC88" s="28">
        <f>IFERROR(INDEX(tblPiNAnalysis[Mine Action], MATCH(tblPiNHistorical[[#This Row],[ID]], tblPiNAnalysis[ID], 0)), "")</f>
        <v>0</v>
      </c>
      <c r="AD88" s="83">
        <f>IFERROR(INDEX(tblPiNAnalysis[[Shelter NFI ]], MATCH(tblPiNHistorical[[#This Row],[ID]], tblPiNAnalysis[ID], 0)), "")</f>
        <v>4567</v>
      </c>
      <c r="AE88" s="35">
        <f>IFERROR(INDEX(tblPiNAnalysis[WASH], MATCH(tblPiNHistorical[[#This Row],[ID]], tblPiNAnalysis[ID], 0)), "")</f>
        <v>0</v>
      </c>
      <c r="AF88" s="6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88" s="67" t="str">
        <f>IF(OR(tblPiNHistorical[[#This Row],[Education Old]]="", tblPiNHistorical[[#This Row],[Education Old]]=0, tblPiNHistorical[[#This Row],[Education New]]="", tblPiNHistorical[[#This Row],[Education New]]=0), "", tblPiNHistorical[[#This Row],[Education New]]-tblPiNHistorical[[#This Row],[Education Old]])</f>
        <v/>
      </c>
      <c r="AH88" s="67"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88" s="67" t="str">
        <f>IF(OR(tblPiNHistorical[[#This Row],[Health Old]]="", tblPiNHistorical[[#This Row],[Health Old]]=0, tblPiNHistorical[[#This Row],[Health New]]="", tblPiNHistorical[[#This Row],[Health New]]=0), "", tblPiNHistorical[[#This Row],[Health New]]-tblPiNHistorical[[#This Row],[Health Old]])</f>
        <v/>
      </c>
      <c r="AJ88" s="67" t="str">
        <f>IF(OR(tblPiNHistorical[[#This Row],[Nutrition Old]]="", tblPiNHistorical[[#This Row],[Nutrition Old]]=0, tblPiNHistorical[[#This Row],[Nutrition New]]="", tblPiNHistorical[[#This Row],[Nutrition New]]=0), "", tblPiNHistorical[[#This Row],[Nutrition New]]-tblPiNHistorical[[#This Row],[Nutrition Old]])</f>
        <v/>
      </c>
      <c r="AK88" s="67" t="str">
        <f>IF(OR(tblPiNHistorical[[#This Row],[Protection Old]]="", tblPiNHistorical[[#This Row],[Protection Old]]=0, tblPiNHistorical[[#This Row],[Protection New]]="", tblPiNHistorical[[#This Row],[Protection New]]=0), "", tblPiNHistorical[[#This Row],[Protection New]]-tblPiNHistorical[[#This Row],[Protection Old]])</f>
        <v/>
      </c>
      <c r="AL88" s="67" t="str">
        <f>IF(OR(tblPiNHistorical[[#This Row],[CP Old ]]="", tblPiNHistorical[[#This Row],[CP Old ]]=0, tblPiNHistorical[[#This Row],[CP New]]="", tblPiNHistorical[[#This Row],[CP New]]=0), "", tblPiNHistorical[[#This Row],[CP New]]-tblPiNHistorical[[#This Row],[CP Old ]])</f>
        <v/>
      </c>
      <c r="AM88" s="83" t="str">
        <f>IF(OR(tblPiNHistorical[[#This Row],[GBV Old]]="", tblPiNHistorical[[#This Row],[GBV Old]]=0, tblPiNHistorical[[#This Row],[GBV New]]="", tblPiNHistorical[[#This Row],[GBV New]]=0), "", tblPiNHistorical[[#This Row],[GBV New]]-tblPiNHistorical[[#This Row],[GBV Old]])</f>
        <v/>
      </c>
      <c r="AN88" s="83" t="str">
        <f>IF(OR(tblPiNHistorical[[#This Row],[Mine Action Old]]="", tblPiNHistorical[[#This Row],[Mine Action Old]]=0, tblPiNHistorical[[#This Row],[Mine Action New]]="", tblPiNHistorical[[#This Row],[Mine Action New]]=0), "", tblPiNHistorical[[#This Row],[Mine Action New]]-tblPiNHistorical[[#This Row],[Mine Action Old]])</f>
        <v/>
      </c>
      <c r="AO88" s="67" t="str">
        <f>IF(OR(tblPiNHistorical[[#This Row],[Shelter NFI Old]]="", tblPiNHistorical[[#This Row],[Shelter NFI Old]]=0, tblPiNHistorical[[#This Row],[Shelter NFI New]]="", tblPiNHistorical[[#This Row],[Shelter NFI New]]=0), "", tblPiNHistorical[[#This Row],[Shelter NFI New]]-tblPiNHistorical[[#This Row],[Shelter NFI Old]])</f>
        <v/>
      </c>
      <c r="AP88" s="111" t="str">
        <f>IF(OR(tblPiNHistorical[[#This Row],[WASH Old]]="", tblPiNHistorical[[#This Row],[WASH Old]]=0, tblPiNHistorical[[#This Row],[WASH New]]="", tblPiNHistorical[[#This Row],[WASH New]]=0), "", tblPiNHistorical[[#This Row],[WASH New]]-tblPiNHistorical[[#This Row],[WASH Old]])</f>
        <v/>
      </c>
      <c r="AQ88" s="110">
        <f>IFERROR(ROUND((tblPiNHistorical[[#This Row],[Site Management - New]] - tblPiNHistorical[[#This Row],[Site Management - Old]])/tblPiNHistorical[[#This Row],[Site Management - Old]], 1), "")</f>
        <v>-1</v>
      </c>
      <c r="AR88" s="66">
        <f>IFERROR(ROUND((tblPiNHistorical[[#This Row],[Education New]]-tblPiNHistorical[[#This Row],[Education Old]])/tblPiNHistorical[[#This Row],[Education Old]], 1), "")</f>
        <v>-1</v>
      </c>
      <c r="AS88" s="66">
        <f>IFERROR(ROUND((tblPiNHistorical[[#This Row],[Food Security and Livlihoods New]]-tblPiNHistorical[[#This Row],[Food Security and Livlihoods Old]])/tblPiNHistorical[[#This Row],[Food Security and Livlihoods Old]], 1), "")</f>
        <v>-1</v>
      </c>
      <c r="AT88" s="66">
        <f>IFERROR(ROUND((tblPiNHistorical[[#This Row],[Health New]]-tblPiNHistorical[[#This Row],[Health Old]])/tblPiNHistorical[[#This Row],[Health Old]], 1), "")</f>
        <v>-1</v>
      </c>
      <c r="AU88" s="66">
        <f>IFERROR(ROUND((tblPiNHistorical[[#This Row],[Nutrition New]]-tblPiNHistorical[[#This Row],[Nutrition Old]])/tblPiNHistorical[[#This Row],[Nutrition Old]], 1), "")</f>
        <v>-1</v>
      </c>
      <c r="AV88" s="66">
        <f>IFERROR(ROUND((tblPiNHistorical[[#This Row],[Protection New]]-tblPiNHistorical[[#This Row],[Protection Old]])/tblPiNHistorical[[#This Row],[Protection Old]], 1), "")</f>
        <v>-1</v>
      </c>
      <c r="AW88" s="84">
        <f>IFERROR(ROUND((tblPiNHistorical[[#This Row],[CP New]]-tblPiNHistorical[[#This Row],[CP Old ]])/tblPiNHistorical[[#This Row],[CP Old ]], 1), "")</f>
        <v>-1</v>
      </c>
      <c r="AX88" s="84">
        <f>IFERROR(ROUND((tblPiNHistorical[[#This Row],[GBV New]]-tblPiNHistorical[[#This Row],[GBV Old]])/tblPiNHistorical[[#This Row],[GBV Old]], 1), "")</f>
        <v>-1</v>
      </c>
      <c r="AY88" s="84" t="str">
        <f>IFERROR(ROUND((tblPiNHistorical[[#This Row],[Mine Action New]]-tblPiNHistorical[[#This Row],[Mine Action Old]])/tblPiNHistorical[[#This Row],[Mine Action Old]], 1), "")</f>
        <v/>
      </c>
      <c r="AZ88" s="66" t="str">
        <f>IFERROR(ROUND((tblPiNHistorical[[#This Row],[Shelter NFI New]]-tblPiNHistorical[[#This Row],[Shelter NFI Old]])/tblPiNHistorical[[#This Row],[Shelter NFI Old]], 1), "")</f>
        <v/>
      </c>
      <c r="BA88" s="36" t="str">
        <f>IFERROR(ROUND((tblPiNHistorical[[#This Row],[WASH New]]-tblPiNHistorical[[#This Row],[WASH Old]])/tblPiNHistorical[[#This Row],[WASH Old]], 1), "")</f>
        <v/>
      </c>
      <c r="BB88"/>
      <c r="BC88"/>
      <c r="BD88"/>
      <c r="BE88"/>
      <c r="BF88"/>
      <c r="BG88"/>
      <c r="BH88"/>
      <c r="BI88"/>
      <c r="BL88"/>
      <c r="BN88"/>
      <c r="BO88"/>
      <c r="BP88"/>
    </row>
    <row r="89" spans="1:68" x14ac:dyDescent="0.25">
      <c r="A89"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IDPsSD13029</v>
      </c>
      <c r="B89" s="127" t="s">
        <v>170</v>
      </c>
      <c r="C89" s="60" t="s">
        <v>130</v>
      </c>
      <c r="D89" s="60" t="s">
        <v>480</v>
      </c>
      <c r="E89" s="60" t="s">
        <v>481</v>
      </c>
      <c r="F89" s="54"/>
      <c r="G89" s="30"/>
      <c r="H89" s="56">
        <v>5613</v>
      </c>
      <c r="I89" s="37" t="s">
        <v>88</v>
      </c>
      <c r="J89" s="34">
        <v>0</v>
      </c>
      <c r="K89" s="116">
        <v>0</v>
      </c>
      <c r="L89" s="114">
        <v>5613</v>
      </c>
      <c r="M89" s="114">
        <v>5613</v>
      </c>
      <c r="N89" s="114">
        <v>721</v>
      </c>
      <c r="O89" s="114">
        <v>5613</v>
      </c>
      <c r="P89" s="114">
        <v>3087</v>
      </c>
      <c r="Q89" s="114">
        <v>1926</v>
      </c>
      <c r="R89" s="114">
        <v>0</v>
      </c>
      <c r="S89" s="114">
        <v>2245</v>
      </c>
      <c r="T89" s="196">
        <v>0</v>
      </c>
      <c r="U89" s="52">
        <f>IFERROR(INDEX(tblPiNAnalysis[[Site Management ]], MATCH(tblPiNHistorical[[#This Row],[ID]], tblPiNAnalysis[ID], 0)), "")</f>
        <v>0</v>
      </c>
      <c r="V89" s="52">
        <f>IFERROR(INDEX(tblPiNAnalysis[Education], MATCH(tblPiNHistorical[[#This Row],[ID]], tblPiNAnalysis[ID], 0)), "")</f>
        <v>0</v>
      </c>
      <c r="W89" s="28">
        <f>IFERROR(INDEX(tblPiNAnalysis[Food Security and Livlihoods], MATCH(tblPiNHistorical[[#This Row],[ID]], tblPiNAnalysis[ID], 0)), "")</f>
        <v>0</v>
      </c>
      <c r="X89" s="28">
        <f>IFERROR(INDEX(tblPiNAnalysis[[Health ]], MATCH(tblPiNHistorical[[#This Row],[ID]], tblPiNAnalysis[ID], 0)), "")</f>
        <v>0</v>
      </c>
      <c r="Y89" s="28">
        <f>IFERROR(INDEX(tblPiNAnalysis[Nutrition], MATCH(tblPiNHistorical[[#This Row],[ID]], tblPiNAnalysis[ID], 0)), "")</f>
        <v>0</v>
      </c>
      <c r="Z89" s="28">
        <f>IFERROR(INDEX(tblPiNAnalysis[Protection], MATCH(tblPiNHistorical[[#This Row],[ID]], tblPiNAnalysis[ID], 0)), "")</f>
        <v>0</v>
      </c>
      <c r="AA89" s="28">
        <f>IFERROR(INDEX(tblPiNAnalysis[CP], MATCH(tblPiNHistorical[[#This Row],[ID]], tblPiNAnalysis[ID], 0)), "")</f>
        <v>0</v>
      </c>
      <c r="AB89" s="83">
        <f>IFERROR(INDEX(tblPiNAnalysis[GBV], MATCH(tblPiNHistorical[[#This Row],[ID]], tblPiNAnalysis[ID], 0)), "")</f>
        <v>0</v>
      </c>
      <c r="AC89" s="28">
        <f>IFERROR(INDEX(tblPiNAnalysis[Mine Action], MATCH(tblPiNHistorical[[#This Row],[ID]], tblPiNAnalysis[ID], 0)), "")</f>
        <v>0</v>
      </c>
      <c r="AD89" s="83">
        <f>IFERROR(INDEX(tblPiNAnalysis[[Shelter NFI ]], MATCH(tblPiNHistorical[[#This Row],[ID]], tblPiNAnalysis[ID], 0)), "")</f>
        <v>2508</v>
      </c>
      <c r="AE89" s="35">
        <f>IFERROR(INDEX(tblPiNAnalysis[WASH], MATCH(tblPiNHistorical[[#This Row],[ID]], tblPiNAnalysis[ID], 0)), "")</f>
        <v>0</v>
      </c>
      <c r="AF89" s="6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89" s="67" t="str">
        <f>IF(OR(tblPiNHistorical[[#This Row],[Education Old]]="", tblPiNHistorical[[#This Row],[Education Old]]=0, tblPiNHistorical[[#This Row],[Education New]]="", tblPiNHistorical[[#This Row],[Education New]]=0), "", tblPiNHistorical[[#This Row],[Education New]]-tblPiNHistorical[[#This Row],[Education Old]])</f>
        <v/>
      </c>
      <c r="AH89" s="67"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89" s="67" t="str">
        <f>IF(OR(tblPiNHistorical[[#This Row],[Health Old]]="", tblPiNHistorical[[#This Row],[Health Old]]=0, tblPiNHistorical[[#This Row],[Health New]]="", tblPiNHistorical[[#This Row],[Health New]]=0), "", tblPiNHistorical[[#This Row],[Health New]]-tblPiNHistorical[[#This Row],[Health Old]])</f>
        <v/>
      </c>
      <c r="AJ89" s="67" t="str">
        <f>IF(OR(tblPiNHistorical[[#This Row],[Nutrition Old]]="", tblPiNHistorical[[#This Row],[Nutrition Old]]=0, tblPiNHistorical[[#This Row],[Nutrition New]]="", tblPiNHistorical[[#This Row],[Nutrition New]]=0), "", tblPiNHistorical[[#This Row],[Nutrition New]]-tblPiNHistorical[[#This Row],[Nutrition Old]])</f>
        <v/>
      </c>
      <c r="AK89" s="67" t="str">
        <f>IF(OR(tblPiNHistorical[[#This Row],[Protection Old]]="", tblPiNHistorical[[#This Row],[Protection Old]]=0, tblPiNHistorical[[#This Row],[Protection New]]="", tblPiNHistorical[[#This Row],[Protection New]]=0), "", tblPiNHistorical[[#This Row],[Protection New]]-tblPiNHistorical[[#This Row],[Protection Old]])</f>
        <v/>
      </c>
      <c r="AL89" s="67" t="str">
        <f>IF(OR(tblPiNHistorical[[#This Row],[CP Old ]]="", tblPiNHistorical[[#This Row],[CP Old ]]=0, tblPiNHistorical[[#This Row],[CP New]]="", tblPiNHistorical[[#This Row],[CP New]]=0), "", tblPiNHistorical[[#This Row],[CP New]]-tblPiNHistorical[[#This Row],[CP Old ]])</f>
        <v/>
      </c>
      <c r="AM89" s="83" t="str">
        <f>IF(OR(tblPiNHistorical[[#This Row],[GBV Old]]="", tblPiNHistorical[[#This Row],[GBV Old]]=0, tblPiNHistorical[[#This Row],[GBV New]]="", tblPiNHistorical[[#This Row],[GBV New]]=0), "", tblPiNHistorical[[#This Row],[GBV New]]-tblPiNHistorical[[#This Row],[GBV Old]])</f>
        <v/>
      </c>
      <c r="AN89" s="83" t="str">
        <f>IF(OR(tblPiNHistorical[[#This Row],[Mine Action Old]]="", tblPiNHistorical[[#This Row],[Mine Action Old]]=0, tblPiNHistorical[[#This Row],[Mine Action New]]="", tblPiNHistorical[[#This Row],[Mine Action New]]=0), "", tblPiNHistorical[[#This Row],[Mine Action New]]-tblPiNHistorical[[#This Row],[Mine Action Old]])</f>
        <v/>
      </c>
      <c r="AO89" s="67">
        <f>IF(OR(tblPiNHistorical[[#This Row],[Shelter NFI Old]]="", tblPiNHistorical[[#This Row],[Shelter NFI Old]]=0, tblPiNHistorical[[#This Row],[Shelter NFI New]]="", tblPiNHistorical[[#This Row],[Shelter NFI New]]=0), "", tblPiNHistorical[[#This Row],[Shelter NFI New]]-tblPiNHistorical[[#This Row],[Shelter NFI Old]])</f>
        <v>263</v>
      </c>
      <c r="AP89" s="111" t="str">
        <f>IF(OR(tblPiNHistorical[[#This Row],[WASH Old]]="", tblPiNHistorical[[#This Row],[WASH Old]]=0, tblPiNHistorical[[#This Row],[WASH New]]="", tblPiNHistorical[[#This Row],[WASH New]]=0), "", tblPiNHistorical[[#This Row],[WASH New]]-tblPiNHistorical[[#This Row],[WASH Old]])</f>
        <v/>
      </c>
      <c r="AQ89" s="110" t="str">
        <f>IFERROR(ROUND((tblPiNHistorical[[#This Row],[Site Management - New]] - tblPiNHistorical[[#This Row],[Site Management - Old]])/tblPiNHistorical[[#This Row],[Site Management - Old]], 1), "")</f>
        <v/>
      </c>
      <c r="AR89" s="66" t="str">
        <f>IFERROR(ROUND((tblPiNHistorical[[#This Row],[Education New]]-tblPiNHistorical[[#This Row],[Education Old]])/tblPiNHistorical[[#This Row],[Education Old]], 1), "")</f>
        <v/>
      </c>
      <c r="AS89" s="66">
        <f>IFERROR(ROUND((tblPiNHistorical[[#This Row],[Food Security and Livlihoods New]]-tblPiNHistorical[[#This Row],[Food Security and Livlihoods Old]])/tblPiNHistorical[[#This Row],[Food Security and Livlihoods Old]], 1), "")</f>
        <v>-1</v>
      </c>
      <c r="AT89" s="66">
        <f>IFERROR(ROUND((tblPiNHistorical[[#This Row],[Health New]]-tblPiNHistorical[[#This Row],[Health Old]])/tblPiNHistorical[[#This Row],[Health Old]], 1), "")</f>
        <v>-1</v>
      </c>
      <c r="AU89" s="66">
        <f>IFERROR(ROUND((tblPiNHistorical[[#This Row],[Nutrition New]]-tblPiNHistorical[[#This Row],[Nutrition Old]])/tblPiNHistorical[[#This Row],[Nutrition Old]], 1), "")</f>
        <v>-1</v>
      </c>
      <c r="AV89" s="66">
        <f>IFERROR(ROUND((tblPiNHistorical[[#This Row],[Protection New]]-tblPiNHistorical[[#This Row],[Protection Old]])/tblPiNHistorical[[#This Row],[Protection Old]], 1), "")</f>
        <v>-1</v>
      </c>
      <c r="AW89" s="84">
        <f>IFERROR(ROUND((tblPiNHistorical[[#This Row],[CP New]]-tblPiNHistorical[[#This Row],[CP Old ]])/tblPiNHistorical[[#This Row],[CP Old ]], 1), "")</f>
        <v>-1</v>
      </c>
      <c r="AX89" s="84">
        <f>IFERROR(ROUND((tblPiNHistorical[[#This Row],[GBV New]]-tblPiNHistorical[[#This Row],[GBV Old]])/tblPiNHistorical[[#This Row],[GBV Old]], 1), "")</f>
        <v>-1</v>
      </c>
      <c r="AY89" s="84" t="str">
        <f>IFERROR(ROUND((tblPiNHistorical[[#This Row],[Mine Action New]]-tblPiNHistorical[[#This Row],[Mine Action Old]])/tblPiNHistorical[[#This Row],[Mine Action Old]], 1), "")</f>
        <v/>
      </c>
      <c r="AZ89" s="66">
        <f>IFERROR(ROUND((tblPiNHistorical[[#This Row],[Shelter NFI New]]-tblPiNHistorical[[#This Row],[Shelter NFI Old]])/tblPiNHistorical[[#This Row],[Shelter NFI Old]], 1), "")</f>
        <v>0.1</v>
      </c>
      <c r="BA89" s="36" t="str">
        <f>IFERROR(ROUND((tblPiNHistorical[[#This Row],[WASH New]]-tblPiNHistorical[[#This Row],[WASH Old]])/tblPiNHistorical[[#This Row],[WASH Old]], 1), "")</f>
        <v/>
      </c>
      <c r="BB89"/>
      <c r="BC89"/>
      <c r="BD89"/>
      <c r="BE89"/>
      <c r="BF89"/>
      <c r="BG89"/>
      <c r="BH89"/>
      <c r="BI89"/>
      <c r="BL89"/>
      <c r="BN89"/>
      <c r="BO89"/>
      <c r="BP89"/>
    </row>
    <row r="90" spans="1:68" x14ac:dyDescent="0.25">
      <c r="A90"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IDPsSD13024</v>
      </c>
      <c r="B90" s="127" t="s">
        <v>170</v>
      </c>
      <c r="C90" s="60" t="s">
        <v>130</v>
      </c>
      <c r="D90" s="60" t="s">
        <v>470</v>
      </c>
      <c r="E90" s="60" t="s">
        <v>471</v>
      </c>
      <c r="F90" s="54"/>
      <c r="G90" s="30"/>
      <c r="H90" s="56">
        <v>21299.200000000001</v>
      </c>
      <c r="I90" s="37" t="s">
        <v>88</v>
      </c>
      <c r="J90" s="34">
        <v>5894</v>
      </c>
      <c r="K90" s="116">
        <v>8257.6998399999993</v>
      </c>
      <c r="L90" s="114">
        <v>21299</v>
      </c>
      <c r="M90" s="114">
        <v>21299</v>
      </c>
      <c r="N90" s="114">
        <v>2088</v>
      </c>
      <c r="O90" s="114">
        <v>21299</v>
      </c>
      <c r="P90" s="114">
        <v>11715</v>
      </c>
      <c r="Q90" s="114">
        <v>10116</v>
      </c>
      <c r="R90" s="114">
        <v>6389.76</v>
      </c>
      <c r="S90" s="114">
        <v>17039</v>
      </c>
      <c r="T90" s="196">
        <v>13735.428096</v>
      </c>
      <c r="U90" s="52">
        <f>IFERROR(INDEX(tblPiNAnalysis[[Site Management ]], MATCH(tblPiNHistorical[[#This Row],[ID]], tblPiNAnalysis[ID], 0)), "")</f>
        <v>0</v>
      </c>
      <c r="V90" s="52">
        <f>IFERROR(INDEX(tblPiNAnalysis[Education], MATCH(tblPiNHistorical[[#This Row],[ID]], tblPiNAnalysis[ID], 0)), "")</f>
        <v>0</v>
      </c>
      <c r="W90" s="28">
        <f>IFERROR(INDEX(tblPiNAnalysis[Food Security and Livlihoods], MATCH(tblPiNHistorical[[#This Row],[ID]], tblPiNAnalysis[ID], 0)), "")</f>
        <v>0</v>
      </c>
      <c r="X90" s="28">
        <f>IFERROR(INDEX(tblPiNAnalysis[[Health ]], MATCH(tblPiNHistorical[[#This Row],[ID]], tblPiNAnalysis[ID], 0)), "")</f>
        <v>0</v>
      </c>
      <c r="Y90" s="28">
        <f>IFERROR(INDEX(tblPiNAnalysis[Nutrition], MATCH(tblPiNHistorical[[#This Row],[ID]], tblPiNAnalysis[ID], 0)), "")</f>
        <v>0</v>
      </c>
      <c r="Z90" s="28">
        <f>IFERROR(INDEX(tblPiNAnalysis[Protection], MATCH(tblPiNHistorical[[#This Row],[ID]], tblPiNAnalysis[ID], 0)), "")</f>
        <v>0</v>
      </c>
      <c r="AA90" s="28">
        <f>IFERROR(INDEX(tblPiNAnalysis[CP], MATCH(tblPiNHistorical[[#This Row],[ID]], tblPiNAnalysis[ID], 0)), "")</f>
        <v>0</v>
      </c>
      <c r="AB90" s="83">
        <f>IFERROR(INDEX(tblPiNAnalysis[GBV], MATCH(tblPiNHistorical[[#This Row],[ID]], tblPiNAnalysis[ID], 0)), "")</f>
        <v>0</v>
      </c>
      <c r="AC90" s="28">
        <f>IFERROR(INDEX(tblPiNAnalysis[Mine Action], MATCH(tblPiNHistorical[[#This Row],[ID]], tblPiNAnalysis[ID], 0)), "")</f>
        <v>0</v>
      </c>
      <c r="AD90" s="83">
        <f>IFERROR(INDEX(tblPiNAnalysis[[Shelter NFI ]], MATCH(tblPiNHistorical[[#This Row],[ID]], tblPiNAnalysis[ID], 0)), "")</f>
        <v>20879</v>
      </c>
      <c r="AE90" s="35">
        <f>IFERROR(INDEX(tblPiNAnalysis[WASH], MATCH(tblPiNHistorical[[#This Row],[ID]], tblPiNAnalysis[ID], 0)), "")</f>
        <v>0</v>
      </c>
      <c r="AF90" s="6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90" s="67" t="str">
        <f>IF(OR(tblPiNHistorical[[#This Row],[Education Old]]="", tblPiNHistorical[[#This Row],[Education Old]]=0, tblPiNHistorical[[#This Row],[Education New]]="", tblPiNHistorical[[#This Row],[Education New]]=0), "", tblPiNHistorical[[#This Row],[Education New]]-tblPiNHistorical[[#This Row],[Education Old]])</f>
        <v/>
      </c>
      <c r="AH90" s="67"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90" s="67" t="str">
        <f>IF(OR(tblPiNHistorical[[#This Row],[Health Old]]="", tblPiNHistorical[[#This Row],[Health Old]]=0, tblPiNHistorical[[#This Row],[Health New]]="", tblPiNHistorical[[#This Row],[Health New]]=0), "", tblPiNHistorical[[#This Row],[Health New]]-tblPiNHistorical[[#This Row],[Health Old]])</f>
        <v/>
      </c>
      <c r="AJ90" s="67" t="str">
        <f>IF(OR(tblPiNHistorical[[#This Row],[Nutrition Old]]="", tblPiNHistorical[[#This Row],[Nutrition Old]]=0, tblPiNHistorical[[#This Row],[Nutrition New]]="", tblPiNHistorical[[#This Row],[Nutrition New]]=0), "", tblPiNHistorical[[#This Row],[Nutrition New]]-tblPiNHistorical[[#This Row],[Nutrition Old]])</f>
        <v/>
      </c>
      <c r="AK90" s="67" t="str">
        <f>IF(OR(tblPiNHistorical[[#This Row],[Protection Old]]="", tblPiNHistorical[[#This Row],[Protection Old]]=0, tblPiNHistorical[[#This Row],[Protection New]]="", tblPiNHistorical[[#This Row],[Protection New]]=0), "", tblPiNHistorical[[#This Row],[Protection New]]-tblPiNHistorical[[#This Row],[Protection Old]])</f>
        <v/>
      </c>
      <c r="AL90" s="67" t="str">
        <f>IF(OR(tblPiNHistorical[[#This Row],[CP Old ]]="", tblPiNHistorical[[#This Row],[CP Old ]]=0, tblPiNHistorical[[#This Row],[CP New]]="", tblPiNHistorical[[#This Row],[CP New]]=0), "", tblPiNHistorical[[#This Row],[CP New]]-tblPiNHistorical[[#This Row],[CP Old ]])</f>
        <v/>
      </c>
      <c r="AM90" s="83" t="str">
        <f>IF(OR(tblPiNHistorical[[#This Row],[GBV Old]]="", tblPiNHistorical[[#This Row],[GBV Old]]=0, tblPiNHistorical[[#This Row],[GBV New]]="", tblPiNHistorical[[#This Row],[GBV New]]=0), "", tblPiNHistorical[[#This Row],[GBV New]]-tblPiNHistorical[[#This Row],[GBV Old]])</f>
        <v/>
      </c>
      <c r="AN90" s="83" t="str">
        <f>IF(OR(tblPiNHistorical[[#This Row],[Mine Action Old]]="", tblPiNHistorical[[#This Row],[Mine Action Old]]=0, tblPiNHistorical[[#This Row],[Mine Action New]]="", tblPiNHistorical[[#This Row],[Mine Action New]]=0), "", tblPiNHistorical[[#This Row],[Mine Action New]]-tblPiNHistorical[[#This Row],[Mine Action Old]])</f>
        <v/>
      </c>
      <c r="AO90" s="67">
        <f>IF(OR(tblPiNHistorical[[#This Row],[Shelter NFI Old]]="", tblPiNHistorical[[#This Row],[Shelter NFI Old]]=0, tblPiNHistorical[[#This Row],[Shelter NFI New]]="", tblPiNHistorical[[#This Row],[Shelter NFI New]]=0), "", tblPiNHistorical[[#This Row],[Shelter NFI New]]-tblPiNHistorical[[#This Row],[Shelter NFI Old]])</f>
        <v>3840</v>
      </c>
      <c r="AP90" s="111" t="str">
        <f>IF(OR(tblPiNHistorical[[#This Row],[WASH Old]]="", tblPiNHistorical[[#This Row],[WASH Old]]=0, tblPiNHistorical[[#This Row],[WASH New]]="", tblPiNHistorical[[#This Row],[WASH New]]=0), "", tblPiNHistorical[[#This Row],[WASH New]]-tblPiNHistorical[[#This Row],[WASH Old]])</f>
        <v/>
      </c>
      <c r="AQ90" s="110">
        <f>IFERROR(ROUND((tblPiNHistorical[[#This Row],[Site Management - New]] - tblPiNHistorical[[#This Row],[Site Management - Old]])/tblPiNHistorical[[#This Row],[Site Management - Old]], 1), "")</f>
        <v>-1</v>
      </c>
      <c r="AR90" s="66">
        <f>IFERROR(ROUND((tblPiNHistorical[[#This Row],[Education New]]-tblPiNHistorical[[#This Row],[Education Old]])/tblPiNHistorical[[#This Row],[Education Old]], 1), "")</f>
        <v>-1</v>
      </c>
      <c r="AS90" s="66">
        <f>IFERROR(ROUND((tblPiNHistorical[[#This Row],[Food Security and Livlihoods New]]-tblPiNHistorical[[#This Row],[Food Security and Livlihoods Old]])/tblPiNHistorical[[#This Row],[Food Security and Livlihoods Old]], 1), "")</f>
        <v>-1</v>
      </c>
      <c r="AT90" s="66">
        <f>IFERROR(ROUND((tblPiNHistorical[[#This Row],[Health New]]-tblPiNHistorical[[#This Row],[Health Old]])/tblPiNHistorical[[#This Row],[Health Old]], 1), "")</f>
        <v>-1</v>
      </c>
      <c r="AU90" s="66">
        <f>IFERROR(ROUND((tblPiNHistorical[[#This Row],[Nutrition New]]-tblPiNHistorical[[#This Row],[Nutrition Old]])/tblPiNHistorical[[#This Row],[Nutrition Old]], 1), "")</f>
        <v>-1</v>
      </c>
      <c r="AV90" s="66">
        <f>IFERROR(ROUND((tblPiNHistorical[[#This Row],[Protection New]]-tblPiNHistorical[[#This Row],[Protection Old]])/tblPiNHistorical[[#This Row],[Protection Old]], 1), "")</f>
        <v>-1</v>
      </c>
      <c r="AW90" s="84">
        <f>IFERROR(ROUND((tblPiNHistorical[[#This Row],[CP New]]-tblPiNHistorical[[#This Row],[CP Old ]])/tblPiNHistorical[[#This Row],[CP Old ]], 1), "")</f>
        <v>-1</v>
      </c>
      <c r="AX90" s="84">
        <f>IFERROR(ROUND((tblPiNHistorical[[#This Row],[GBV New]]-tblPiNHistorical[[#This Row],[GBV Old]])/tblPiNHistorical[[#This Row],[GBV Old]], 1), "")</f>
        <v>-1</v>
      </c>
      <c r="AY90" s="84">
        <f>IFERROR(ROUND((tblPiNHistorical[[#This Row],[Mine Action New]]-tblPiNHistorical[[#This Row],[Mine Action Old]])/tblPiNHistorical[[#This Row],[Mine Action Old]], 1), "")</f>
        <v>-1</v>
      </c>
      <c r="AZ90" s="66">
        <f>IFERROR(ROUND((tblPiNHistorical[[#This Row],[Shelter NFI New]]-tblPiNHistorical[[#This Row],[Shelter NFI Old]])/tblPiNHistorical[[#This Row],[Shelter NFI Old]], 1), "")</f>
        <v>0.2</v>
      </c>
      <c r="BA90" s="36">
        <f>IFERROR(ROUND((tblPiNHistorical[[#This Row],[WASH New]]-tblPiNHistorical[[#This Row],[WASH Old]])/tblPiNHistorical[[#This Row],[WASH Old]], 1), "")</f>
        <v>-1</v>
      </c>
      <c r="BB90"/>
      <c r="BC90"/>
      <c r="BD90"/>
      <c r="BE90"/>
      <c r="BF90"/>
      <c r="BG90"/>
      <c r="BH90"/>
      <c r="BI90"/>
      <c r="BL90"/>
      <c r="BN90"/>
      <c r="BO90"/>
      <c r="BP90"/>
    </row>
    <row r="91" spans="1:68" x14ac:dyDescent="0.25">
      <c r="A91"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IDPsSD13025</v>
      </c>
      <c r="B91" s="127" t="s">
        <v>170</v>
      </c>
      <c r="C91" s="60" t="s">
        <v>130</v>
      </c>
      <c r="D91" s="60" t="s">
        <v>472</v>
      </c>
      <c r="E91" s="60" t="s">
        <v>473</v>
      </c>
      <c r="F91" s="54"/>
      <c r="G91" s="30"/>
      <c r="H91" s="56">
        <v>3630</v>
      </c>
      <c r="I91" s="37" t="s">
        <v>88</v>
      </c>
      <c r="J91" s="34">
        <v>0</v>
      </c>
      <c r="K91" s="116">
        <v>1407.3509999999999</v>
      </c>
      <c r="L91" s="114">
        <v>3630</v>
      </c>
      <c r="M91" s="114">
        <v>3630</v>
      </c>
      <c r="N91" s="114">
        <v>294</v>
      </c>
      <c r="O91" s="114">
        <v>3630</v>
      </c>
      <c r="P91" s="114">
        <v>1997</v>
      </c>
      <c r="Q91" s="114">
        <v>1245</v>
      </c>
      <c r="R91" s="114">
        <v>0</v>
      </c>
      <c r="S91" s="114">
        <v>1452</v>
      </c>
      <c r="T91" s="196">
        <v>0</v>
      </c>
      <c r="U91" s="52">
        <f>IFERROR(INDEX(tblPiNAnalysis[[Site Management ]], MATCH(tblPiNHistorical[[#This Row],[ID]], tblPiNAnalysis[ID], 0)), "")</f>
        <v>0</v>
      </c>
      <c r="V91" s="52">
        <f>IFERROR(INDEX(tblPiNAnalysis[Education], MATCH(tblPiNHistorical[[#This Row],[ID]], tblPiNAnalysis[ID], 0)), "")</f>
        <v>0</v>
      </c>
      <c r="W91" s="28">
        <f>IFERROR(INDEX(tblPiNAnalysis[Food Security and Livlihoods], MATCH(tblPiNHistorical[[#This Row],[ID]], tblPiNAnalysis[ID], 0)), "")</f>
        <v>0</v>
      </c>
      <c r="X91" s="28">
        <f>IFERROR(INDEX(tblPiNAnalysis[[Health ]], MATCH(tblPiNHistorical[[#This Row],[ID]], tblPiNAnalysis[ID], 0)), "")</f>
        <v>0</v>
      </c>
      <c r="Y91" s="28">
        <f>IFERROR(INDEX(tblPiNAnalysis[Nutrition], MATCH(tblPiNHistorical[[#This Row],[ID]], tblPiNAnalysis[ID], 0)), "")</f>
        <v>0</v>
      </c>
      <c r="Z91" s="28">
        <f>IFERROR(INDEX(tblPiNAnalysis[Protection], MATCH(tblPiNHistorical[[#This Row],[ID]], tblPiNAnalysis[ID], 0)), "")</f>
        <v>0</v>
      </c>
      <c r="AA91" s="28">
        <f>IFERROR(INDEX(tblPiNAnalysis[CP], MATCH(tblPiNHistorical[[#This Row],[ID]], tblPiNAnalysis[ID], 0)), "")</f>
        <v>0</v>
      </c>
      <c r="AB91" s="83">
        <f>IFERROR(INDEX(tblPiNAnalysis[GBV], MATCH(tblPiNHistorical[[#This Row],[ID]], tblPiNAnalysis[ID], 0)), "")</f>
        <v>0</v>
      </c>
      <c r="AC91" s="28">
        <f>IFERROR(INDEX(tblPiNAnalysis[Mine Action], MATCH(tblPiNHistorical[[#This Row],[ID]], tblPiNAnalysis[ID], 0)), "")</f>
        <v>0</v>
      </c>
      <c r="AD91" s="83">
        <f>IFERROR(INDEX(tblPiNAnalysis[[Shelter NFI ]], MATCH(tblPiNHistorical[[#This Row],[ID]], tblPiNAnalysis[ID], 0)), "")</f>
        <v>1615</v>
      </c>
      <c r="AE91" s="35">
        <f>IFERROR(INDEX(tblPiNAnalysis[WASH], MATCH(tblPiNHistorical[[#This Row],[ID]], tblPiNAnalysis[ID], 0)), "")</f>
        <v>0</v>
      </c>
      <c r="AF91" s="6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91" s="67" t="str">
        <f>IF(OR(tblPiNHistorical[[#This Row],[Education Old]]="", tblPiNHistorical[[#This Row],[Education Old]]=0, tblPiNHistorical[[#This Row],[Education New]]="", tblPiNHistorical[[#This Row],[Education New]]=0), "", tblPiNHistorical[[#This Row],[Education New]]-tblPiNHistorical[[#This Row],[Education Old]])</f>
        <v/>
      </c>
      <c r="AH91" s="67"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91" s="67" t="str">
        <f>IF(OR(tblPiNHistorical[[#This Row],[Health Old]]="", tblPiNHistorical[[#This Row],[Health Old]]=0, tblPiNHistorical[[#This Row],[Health New]]="", tblPiNHistorical[[#This Row],[Health New]]=0), "", tblPiNHistorical[[#This Row],[Health New]]-tblPiNHistorical[[#This Row],[Health Old]])</f>
        <v/>
      </c>
      <c r="AJ91" s="67" t="str">
        <f>IF(OR(tblPiNHistorical[[#This Row],[Nutrition Old]]="", tblPiNHistorical[[#This Row],[Nutrition Old]]=0, tblPiNHistorical[[#This Row],[Nutrition New]]="", tblPiNHistorical[[#This Row],[Nutrition New]]=0), "", tblPiNHistorical[[#This Row],[Nutrition New]]-tblPiNHistorical[[#This Row],[Nutrition Old]])</f>
        <v/>
      </c>
      <c r="AK91" s="67" t="str">
        <f>IF(OR(tblPiNHistorical[[#This Row],[Protection Old]]="", tblPiNHistorical[[#This Row],[Protection Old]]=0, tblPiNHistorical[[#This Row],[Protection New]]="", tblPiNHistorical[[#This Row],[Protection New]]=0), "", tblPiNHistorical[[#This Row],[Protection New]]-tblPiNHistorical[[#This Row],[Protection Old]])</f>
        <v/>
      </c>
      <c r="AL91" s="67" t="str">
        <f>IF(OR(tblPiNHistorical[[#This Row],[CP Old ]]="", tblPiNHistorical[[#This Row],[CP Old ]]=0, tblPiNHistorical[[#This Row],[CP New]]="", tblPiNHistorical[[#This Row],[CP New]]=0), "", tblPiNHistorical[[#This Row],[CP New]]-tblPiNHistorical[[#This Row],[CP Old ]])</f>
        <v/>
      </c>
      <c r="AM91" s="83" t="str">
        <f>IF(OR(tblPiNHistorical[[#This Row],[GBV Old]]="", tblPiNHistorical[[#This Row],[GBV Old]]=0, tblPiNHistorical[[#This Row],[GBV New]]="", tblPiNHistorical[[#This Row],[GBV New]]=0), "", tblPiNHistorical[[#This Row],[GBV New]]-tblPiNHistorical[[#This Row],[GBV Old]])</f>
        <v/>
      </c>
      <c r="AN91" s="83" t="str">
        <f>IF(OR(tblPiNHistorical[[#This Row],[Mine Action Old]]="", tblPiNHistorical[[#This Row],[Mine Action Old]]=0, tblPiNHistorical[[#This Row],[Mine Action New]]="", tblPiNHistorical[[#This Row],[Mine Action New]]=0), "", tblPiNHistorical[[#This Row],[Mine Action New]]-tblPiNHistorical[[#This Row],[Mine Action Old]])</f>
        <v/>
      </c>
      <c r="AO91" s="67">
        <f>IF(OR(tblPiNHistorical[[#This Row],[Shelter NFI Old]]="", tblPiNHistorical[[#This Row],[Shelter NFI Old]]=0, tblPiNHistorical[[#This Row],[Shelter NFI New]]="", tblPiNHistorical[[#This Row],[Shelter NFI New]]=0), "", tblPiNHistorical[[#This Row],[Shelter NFI New]]-tblPiNHistorical[[#This Row],[Shelter NFI Old]])</f>
        <v>163</v>
      </c>
      <c r="AP91" s="111" t="str">
        <f>IF(OR(tblPiNHistorical[[#This Row],[WASH Old]]="", tblPiNHistorical[[#This Row],[WASH Old]]=0, tblPiNHistorical[[#This Row],[WASH New]]="", tblPiNHistorical[[#This Row],[WASH New]]=0), "", tblPiNHistorical[[#This Row],[WASH New]]-tblPiNHistorical[[#This Row],[WASH Old]])</f>
        <v/>
      </c>
      <c r="AQ91" s="110" t="str">
        <f>IFERROR(ROUND((tblPiNHistorical[[#This Row],[Site Management - New]] - tblPiNHistorical[[#This Row],[Site Management - Old]])/tblPiNHistorical[[#This Row],[Site Management - Old]], 1), "")</f>
        <v/>
      </c>
      <c r="AR91" s="66">
        <f>IFERROR(ROUND((tblPiNHistorical[[#This Row],[Education New]]-tblPiNHistorical[[#This Row],[Education Old]])/tblPiNHistorical[[#This Row],[Education Old]], 1), "")</f>
        <v>-1</v>
      </c>
      <c r="AS91" s="66">
        <f>IFERROR(ROUND((tblPiNHistorical[[#This Row],[Food Security and Livlihoods New]]-tblPiNHistorical[[#This Row],[Food Security and Livlihoods Old]])/tblPiNHistorical[[#This Row],[Food Security and Livlihoods Old]], 1), "")</f>
        <v>-1</v>
      </c>
      <c r="AT91" s="66">
        <f>IFERROR(ROUND((tblPiNHistorical[[#This Row],[Health New]]-tblPiNHistorical[[#This Row],[Health Old]])/tblPiNHistorical[[#This Row],[Health Old]], 1), "")</f>
        <v>-1</v>
      </c>
      <c r="AU91" s="66">
        <f>IFERROR(ROUND((tblPiNHistorical[[#This Row],[Nutrition New]]-tblPiNHistorical[[#This Row],[Nutrition Old]])/tblPiNHistorical[[#This Row],[Nutrition Old]], 1), "")</f>
        <v>-1</v>
      </c>
      <c r="AV91" s="66">
        <f>IFERROR(ROUND((tblPiNHistorical[[#This Row],[Protection New]]-tblPiNHistorical[[#This Row],[Protection Old]])/tblPiNHistorical[[#This Row],[Protection Old]], 1), "")</f>
        <v>-1</v>
      </c>
      <c r="AW91" s="84">
        <f>IFERROR(ROUND((tblPiNHistorical[[#This Row],[CP New]]-tblPiNHistorical[[#This Row],[CP Old ]])/tblPiNHistorical[[#This Row],[CP Old ]], 1), "")</f>
        <v>-1</v>
      </c>
      <c r="AX91" s="84">
        <f>IFERROR(ROUND((tblPiNHistorical[[#This Row],[GBV New]]-tblPiNHistorical[[#This Row],[GBV Old]])/tblPiNHistorical[[#This Row],[GBV Old]], 1), "")</f>
        <v>-1</v>
      </c>
      <c r="AY91" s="84" t="str">
        <f>IFERROR(ROUND((tblPiNHistorical[[#This Row],[Mine Action New]]-tblPiNHistorical[[#This Row],[Mine Action Old]])/tblPiNHistorical[[#This Row],[Mine Action Old]], 1), "")</f>
        <v/>
      </c>
      <c r="AZ91" s="66">
        <f>IFERROR(ROUND((tblPiNHistorical[[#This Row],[Shelter NFI New]]-tblPiNHistorical[[#This Row],[Shelter NFI Old]])/tblPiNHistorical[[#This Row],[Shelter NFI Old]], 1), "")</f>
        <v>0.1</v>
      </c>
      <c r="BA91" s="36" t="str">
        <f>IFERROR(ROUND((tblPiNHistorical[[#This Row],[WASH New]]-tblPiNHistorical[[#This Row],[WASH Old]])/tblPiNHistorical[[#This Row],[WASH Old]], 1), "")</f>
        <v/>
      </c>
      <c r="BB91"/>
      <c r="BC91"/>
      <c r="BD91"/>
      <c r="BE91"/>
      <c r="BF91"/>
      <c r="BG91"/>
      <c r="BH91"/>
      <c r="BI91"/>
      <c r="BL91"/>
      <c r="BN91"/>
      <c r="BO91"/>
      <c r="BP91"/>
    </row>
    <row r="92" spans="1:68" ht="30" x14ac:dyDescent="0.25">
      <c r="A92"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IDPsSD13028</v>
      </c>
      <c r="B92" s="127" t="s">
        <v>170</v>
      </c>
      <c r="C92" s="60" t="s">
        <v>130</v>
      </c>
      <c r="D92" s="60" t="s">
        <v>478</v>
      </c>
      <c r="E92" s="60" t="s">
        <v>479</v>
      </c>
      <c r="F92" s="54"/>
      <c r="G92" s="30"/>
      <c r="H92" s="56">
        <v>7955</v>
      </c>
      <c r="I92" s="37" t="s">
        <v>88</v>
      </c>
      <c r="J92" s="34">
        <v>0</v>
      </c>
      <c r="K92" s="116">
        <v>0</v>
      </c>
      <c r="L92" s="114">
        <v>7955</v>
      </c>
      <c r="M92" s="114">
        <v>7955</v>
      </c>
      <c r="N92" s="114">
        <v>810</v>
      </c>
      <c r="O92" s="114">
        <v>7955</v>
      </c>
      <c r="P92" s="114">
        <v>4375</v>
      </c>
      <c r="Q92" s="114">
        <v>2730</v>
      </c>
      <c r="R92" s="114">
        <v>0</v>
      </c>
      <c r="S92" s="114">
        <v>0</v>
      </c>
      <c r="T92" s="196">
        <v>0</v>
      </c>
      <c r="U92" s="52">
        <f>IFERROR(INDEX(tblPiNAnalysis[[Site Management ]], MATCH(tblPiNHistorical[[#This Row],[ID]], tblPiNAnalysis[ID], 0)), "")</f>
        <v>0</v>
      </c>
      <c r="V92" s="52">
        <f>IFERROR(INDEX(tblPiNAnalysis[Education], MATCH(tblPiNHistorical[[#This Row],[ID]], tblPiNAnalysis[ID], 0)), "")</f>
        <v>0</v>
      </c>
      <c r="W92" s="28">
        <f>IFERROR(INDEX(tblPiNAnalysis[Food Security and Livlihoods], MATCH(tblPiNHistorical[[#This Row],[ID]], tblPiNAnalysis[ID], 0)), "")</f>
        <v>0</v>
      </c>
      <c r="X92" s="28">
        <f>IFERROR(INDEX(tblPiNAnalysis[[Health ]], MATCH(tblPiNHistorical[[#This Row],[ID]], tblPiNAnalysis[ID], 0)), "")</f>
        <v>0</v>
      </c>
      <c r="Y92" s="28">
        <f>IFERROR(INDEX(tblPiNAnalysis[Nutrition], MATCH(tblPiNHistorical[[#This Row],[ID]], tblPiNAnalysis[ID], 0)), "")</f>
        <v>0</v>
      </c>
      <c r="Z92" s="28">
        <f>IFERROR(INDEX(tblPiNAnalysis[Protection], MATCH(tblPiNHistorical[[#This Row],[ID]], tblPiNAnalysis[ID], 0)), "")</f>
        <v>0</v>
      </c>
      <c r="AA92" s="28">
        <f>IFERROR(INDEX(tblPiNAnalysis[CP], MATCH(tblPiNHistorical[[#This Row],[ID]], tblPiNAnalysis[ID], 0)), "")</f>
        <v>0</v>
      </c>
      <c r="AB92" s="83">
        <f>IFERROR(INDEX(tblPiNAnalysis[GBV], MATCH(tblPiNHistorical[[#This Row],[ID]], tblPiNAnalysis[ID], 0)), "")</f>
        <v>0</v>
      </c>
      <c r="AC92" s="28">
        <f>IFERROR(INDEX(tblPiNAnalysis[Mine Action], MATCH(tblPiNHistorical[[#This Row],[ID]], tblPiNAnalysis[ID], 0)), "")</f>
        <v>0</v>
      </c>
      <c r="AD92" s="83">
        <f>IFERROR(INDEX(tblPiNAnalysis[[Shelter NFI ]], MATCH(tblPiNHistorical[[#This Row],[ID]], tblPiNAnalysis[ID], 0)), "")</f>
        <v>4374</v>
      </c>
      <c r="AE92" s="35">
        <f>IFERROR(INDEX(tblPiNAnalysis[WASH], MATCH(tblPiNHistorical[[#This Row],[ID]], tblPiNAnalysis[ID], 0)), "")</f>
        <v>0</v>
      </c>
      <c r="AF92" s="6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92" s="67" t="str">
        <f>IF(OR(tblPiNHistorical[[#This Row],[Education Old]]="", tblPiNHistorical[[#This Row],[Education Old]]=0, tblPiNHistorical[[#This Row],[Education New]]="", tblPiNHistorical[[#This Row],[Education New]]=0), "", tblPiNHistorical[[#This Row],[Education New]]-tblPiNHistorical[[#This Row],[Education Old]])</f>
        <v/>
      </c>
      <c r="AH92" s="67"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92" s="67" t="str">
        <f>IF(OR(tblPiNHistorical[[#This Row],[Health Old]]="", tblPiNHistorical[[#This Row],[Health Old]]=0, tblPiNHistorical[[#This Row],[Health New]]="", tblPiNHistorical[[#This Row],[Health New]]=0), "", tblPiNHistorical[[#This Row],[Health New]]-tblPiNHistorical[[#This Row],[Health Old]])</f>
        <v/>
      </c>
      <c r="AJ92" s="67" t="str">
        <f>IF(OR(tblPiNHistorical[[#This Row],[Nutrition Old]]="", tblPiNHistorical[[#This Row],[Nutrition Old]]=0, tblPiNHistorical[[#This Row],[Nutrition New]]="", tblPiNHistorical[[#This Row],[Nutrition New]]=0), "", tblPiNHistorical[[#This Row],[Nutrition New]]-tblPiNHistorical[[#This Row],[Nutrition Old]])</f>
        <v/>
      </c>
      <c r="AK92" s="67" t="str">
        <f>IF(OR(tblPiNHistorical[[#This Row],[Protection Old]]="", tblPiNHistorical[[#This Row],[Protection Old]]=0, tblPiNHistorical[[#This Row],[Protection New]]="", tblPiNHistorical[[#This Row],[Protection New]]=0), "", tblPiNHistorical[[#This Row],[Protection New]]-tblPiNHistorical[[#This Row],[Protection Old]])</f>
        <v/>
      </c>
      <c r="AL92" s="67" t="str">
        <f>IF(OR(tblPiNHistorical[[#This Row],[CP Old ]]="", tblPiNHistorical[[#This Row],[CP Old ]]=0, tblPiNHistorical[[#This Row],[CP New]]="", tblPiNHistorical[[#This Row],[CP New]]=0), "", tblPiNHistorical[[#This Row],[CP New]]-tblPiNHistorical[[#This Row],[CP Old ]])</f>
        <v/>
      </c>
      <c r="AM92" s="83" t="str">
        <f>IF(OR(tblPiNHistorical[[#This Row],[GBV Old]]="", tblPiNHistorical[[#This Row],[GBV Old]]=0, tblPiNHistorical[[#This Row],[GBV New]]="", tblPiNHistorical[[#This Row],[GBV New]]=0), "", tblPiNHistorical[[#This Row],[GBV New]]-tblPiNHistorical[[#This Row],[GBV Old]])</f>
        <v/>
      </c>
      <c r="AN92" s="83" t="str">
        <f>IF(OR(tblPiNHistorical[[#This Row],[Mine Action Old]]="", tblPiNHistorical[[#This Row],[Mine Action Old]]=0, tblPiNHistorical[[#This Row],[Mine Action New]]="", tblPiNHistorical[[#This Row],[Mine Action New]]=0), "", tblPiNHistorical[[#This Row],[Mine Action New]]-tblPiNHistorical[[#This Row],[Mine Action Old]])</f>
        <v/>
      </c>
      <c r="AO92" s="67" t="str">
        <f>IF(OR(tblPiNHistorical[[#This Row],[Shelter NFI Old]]="", tblPiNHistorical[[#This Row],[Shelter NFI Old]]=0, tblPiNHistorical[[#This Row],[Shelter NFI New]]="", tblPiNHistorical[[#This Row],[Shelter NFI New]]=0), "", tblPiNHistorical[[#This Row],[Shelter NFI New]]-tblPiNHistorical[[#This Row],[Shelter NFI Old]])</f>
        <v/>
      </c>
      <c r="AP92" s="111" t="str">
        <f>IF(OR(tblPiNHistorical[[#This Row],[WASH Old]]="", tblPiNHistorical[[#This Row],[WASH Old]]=0, tblPiNHistorical[[#This Row],[WASH New]]="", tblPiNHistorical[[#This Row],[WASH New]]=0), "", tblPiNHistorical[[#This Row],[WASH New]]-tblPiNHistorical[[#This Row],[WASH Old]])</f>
        <v/>
      </c>
      <c r="AQ92" s="110" t="str">
        <f>IFERROR(ROUND((tblPiNHistorical[[#This Row],[Site Management - New]] - tblPiNHistorical[[#This Row],[Site Management - Old]])/tblPiNHistorical[[#This Row],[Site Management - Old]], 1), "")</f>
        <v/>
      </c>
      <c r="AR92" s="66" t="str">
        <f>IFERROR(ROUND((tblPiNHistorical[[#This Row],[Education New]]-tblPiNHistorical[[#This Row],[Education Old]])/tblPiNHistorical[[#This Row],[Education Old]], 1), "")</f>
        <v/>
      </c>
      <c r="AS92" s="66">
        <f>IFERROR(ROUND((tblPiNHistorical[[#This Row],[Food Security and Livlihoods New]]-tblPiNHistorical[[#This Row],[Food Security and Livlihoods Old]])/tblPiNHistorical[[#This Row],[Food Security and Livlihoods Old]], 1), "")</f>
        <v>-1</v>
      </c>
      <c r="AT92" s="66">
        <f>IFERROR(ROUND((tblPiNHistorical[[#This Row],[Health New]]-tblPiNHistorical[[#This Row],[Health Old]])/tblPiNHistorical[[#This Row],[Health Old]], 1), "")</f>
        <v>-1</v>
      </c>
      <c r="AU92" s="66">
        <f>IFERROR(ROUND((tblPiNHistorical[[#This Row],[Nutrition New]]-tblPiNHistorical[[#This Row],[Nutrition Old]])/tblPiNHistorical[[#This Row],[Nutrition Old]], 1), "")</f>
        <v>-1</v>
      </c>
      <c r="AV92" s="66">
        <f>IFERROR(ROUND((tblPiNHistorical[[#This Row],[Protection New]]-tblPiNHistorical[[#This Row],[Protection Old]])/tblPiNHistorical[[#This Row],[Protection Old]], 1), "")</f>
        <v>-1</v>
      </c>
      <c r="AW92" s="84">
        <f>IFERROR(ROUND((tblPiNHistorical[[#This Row],[CP New]]-tblPiNHistorical[[#This Row],[CP Old ]])/tblPiNHistorical[[#This Row],[CP Old ]], 1), "")</f>
        <v>-1</v>
      </c>
      <c r="AX92" s="84">
        <f>IFERROR(ROUND((tblPiNHistorical[[#This Row],[GBV New]]-tblPiNHistorical[[#This Row],[GBV Old]])/tblPiNHistorical[[#This Row],[GBV Old]], 1), "")</f>
        <v>-1</v>
      </c>
      <c r="AY92" s="84" t="str">
        <f>IFERROR(ROUND((tblPiNHistorical[[#This Row],[Mine Action New]]-tblPiNHistorical[[#This Row],[Mine Action Old]])/tblPiNHistorical[[#This Row],[Mine Action Old]], 1), "")</f>
        <v/>
      </c>
      <c r="AZ92" s="66" t="str">
        <f>IFERROR(ROUND((tblPiNHistorical[[#This Row],[Shelter NFI New]]-tblPiNHistorical[[#This Row],[Shelter NFI Old]])/tblPiNHistorical[[#This Row],[Shelter NFI Old]], 1), "")</f>
        <v/>
      </c>
      <c r="BA92" s="36" t="str">
        <f>IFERROR(ROUND((tblPiNHistorical[[#This Row],[WASH New]]-tblPiNHistorical[[#This Row],[WASH Old]])/tblPiNHistorical[[#This Row],[WASH Old]], 1), "")</f>
        <v/>
      </c>
      <c r="BB92"/>
      <c r="BC92"/>
      <c r="BD92"/>
      <c r="BE92"/>
      <c r="BF92"/>
      <c r="BG92"/>
      <c r="BH92"/>
      <c r="BI92"/>
      <c r="BL92"/>
      <c r="BN92"/>
      <c r="BO92"/>
      <c r="BP92"/>
    </row>
    <row r="93" spans="1:68" x14ac:dyDescent="0.25">
      <c r="A93"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IDPsSD13023</v>
      </c>
      <c r="B93" s="127" t="s">
        <v>170</v>
      </c>
      <c r="C93" s="60" t="s">
        <v>130</v>
      </c>
      <c r="D93" s="60" t="s">
        <v>468</v>
      </c>
      <c r="E93" s="60" t="s">
        <v>469</v>
      </c>
      <c r="F93" s="54"/>
      <c r="G93" s="30"/>
      <c r="H93" s="56">
        <v>31628</v>
      </c>
      <c r="I93" s="37" t="s">
        <v>88</v>
      </c>
      <c r="J93" s="34">
        <v>5675</v>
      </c>
      <c r="K93" s="116">
        <v>12262.1756</v>
      </c>
      <c r="L93" s="114">
        <v>31628</v>
      </c>
      <c r="M93" s="114">
        <v>31628</v>
      </c>
      <c r="N93" s="114">
        <v>2567</v>
      </c>
      <c r="O93" s="114">
        <v>31628</v>
      </c>
      <c r="P93" s="114">
        <v>17395</v>
      </c>
      <c r="Q93" s="114">
        <v>15023</v>
      </c>
      <c r="R93" s="114">
        <v>9488.4</v>
      </c>
      <c r="S93" s="114">
        <v>12651</v>
      </c>
      <c r="T93" s="196">
        <v>32226.401760000001</v>
      </c>
      <c r="U93" s="52">
        <f>IFERROR(INDEX(tblPiNAnalysis[[Site Management ]], MATCH(tblPiNHistorical[[#This Row],[ID]], tblPiNAnalysis[ID], 0)), "")</f>
        <v>0</v>
      </c>
      <c r="V93" s="52">
        <f>IFERROR(INDEX(tblPiNAnalysis[Education], MATCH(tblPiNHistorical[[#This Row],[ID]], tblPiNAnalysis[ID], 0)), "")</f>
        <v>0</v>
      </c>
      <c r="W93" s="28">
        <f>IFERROR(INDEX(tblPiNAnalysis[Food Security and Livlihoods], MATCH(tblPiNHistorical[[#This Row],[ID]], tblPiNAnalysis[ID], 0)), "")</f>
        <v>0</v>
      </c>
      <c r="X93" s="28">
        <f>IFERROR(INDEX(tblPiNAnalysis[[Health ]], MATCH(tblPiNHistorical[[#This Row],[ID]], tblPiNAnalysis[ID], 0)), "")</f>
        <v>0</v>
      </c>
      <c r="Y93" s="28">
        <f>IFERROR(INDEX(tblPiNAnalysis[Nutrition], MATCH(tblPiNHistorical[[#This Row],[ID]], tblPiNAnalysis[ID], 0)), "")</f>
        <v>0</v>
      </c>
      <c r="Z93" s="28">
        <f>IFERROR(INDEX(tblPiNAnalysis[Protection], MATCH(tblPiNHistorical[[#This Row],[ID]], tblPiNAnalysis[ID], 0)), "")</f>
        <v>0</v>
      </c>
      <c r="AA93" s="28">
        <f>IFERROR(INDEX(tblPiNAnalysis[CP], MATCH(tblPiNHistorical[[#This Row],[ID]], tblPiNAnalysis[ID], 0)), "")</f>
        <v>0</v>
      </c>
      <c r="AB93" s="83">
        <f>IFERROR(INDEX(tblPiNAnalysis[GBV], MATCH(tblPiNHistorical[[#This Row],[ID]], tblPiNAnalysis[ID], 0)), "")</f>
        <v>0</v>
      </c>
      <c r="AC93" s="28">
        <f>IFERROR(INDEX(tblPiNAnalysis[Mine Action], MATCH(tblPiNHistorical[[#This Row],[ID]], tblPiNAnalysis[ID], 0)), "")</f>
        <v>0</v>
      </c>
      <c r="AD93" s="83">
        <f>IFERROR(INDEX(tblPiNAnalysis[[Shelter NFI ]], MATCH(tblPiNHistorical[[#This Row],[ID]], tblPiNAnalysis[ID], 0)), "")</f>
        <v>22085</v>
      </c>
      <c r="AE93" s="35">
        <f>IFERROR(INDEX(tblPiNAnalysis[WASH], MATCH(tblPiNHistorical[[#This Row],[ID]], tblPiNAnalysis[ID], 0)), "")</f>
        <v>0</v>
      </c>
      <c r="AF93" s="6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93" s="67" t="str">
        <f>IF(OR(tblPiNHistorical[[#This Row],[Education Old]]="", tblPiNHistorical[[#This Row],[Education Old]]=0, tblPiNHistorical[[#This Row],[Education New]]="", tblPiNHistorical[[#This Row],[Education New]]=0), "", tblPiNHistorical[[#This Row],[Education New]]-tblPiNHistorical[[#This Row],[Education Old]])</f>
        <v/>
      </c>
      <c r="AH93" s="67"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93" s="67" t="str">
        <f>IF(OR(tblPiNHistorical[[#This Row],[Health Old]]="", tblPiNHistorical[[#This Row],[Health Old]]=0, tblPiNHistorical[[#This Row],[Health New]]="", tblPiNHistorical[[#This Row],[Health New]]=0), "", tblPiNHistorical[[#This Row],[Health New]]-tblPiNHistorical[[#This Row],[Health Old]])</f>
        <v/>
      </c>
      <c r="AJ93" s="67" t="str">
        <f>IF(OR(tblPiNHistorical[[#This Row],[Nutrition Old]]="", tblPiNHistorical[[#This Row],[Nutrition Old]]=0, tblPiNHistorical[[#This Row],[Nutrition New]]="", tblPiNHistorical[[#This Row],[Nutrition New]]=0), "", tblPiNHistorical[[#This Row],[Nutrition New]]-tblPiNHistorical[[#This Row],[Nutrition Old]])</f>
        <v/>
      </c>
      <c r="AK93" s="67" t="str">
        <f>IF(OR(tblPiNHistorical[[#This Row],[Protection Old]]="", tblPiNHistorical[[#This Row],[Protection Old]]=0, tblPiNHistorical[[#This Row],[Protection New]]="", tblPiNHistorical[[#This Row],[Protection New]]=0), "", tblPiNHistorical[[#This Row],[Protection New]]-tblPiNHistorical[[#This Row],[Protection Old]])</f>
        <v/>
      </c>
      <c r="AL93" s="67" t="str">
        <f>IF(OR(tblPiNHistorical[[#This Row],[CP Old ]]="", tblPiNHistorical[[#This Row],[CP Old ]]=0, tblPiNHistorical[[#This Row],[CP New]]="", tblPiNHistorical[[#This Row],[CP New]]=0), "", tblPiNHistorical[[#This Row],[CP New]]-tblPiNHistorical[[#This Row],[CP Old ]])</f>
        <v/>
      </c>
      <c r="AM93" s="83" t="str">
        <f>IF(OR(tblPiNHistorical[[#This Row],[GBV Old]]="", tblPiNHistorical[[#This Row],[GBV Old]]=0, tblPiNHistorical[[#This Row],[GBV New]]="", tblPiNHistorical[[#This Row],[GBV New]]=0), "", tblPiNHistorical[[#This Row],[GBV New]]-tblPiNHistorical[[#This Row],[GBV Old]])</f>
        <v/>
      </c>
      <c r="AN93" s="83" t="str">
        <f>IF(OR(tblPiNHistorical[[#This Row],[Mine Action Old]]="", tblPiNHistorical[[#This Row],[Mine Action Old]]=0, tblPiNHistorical[[#This Row],[Mine Action New]]="", tblPiNHistorical[[#This Row],[Mine Action New]]=0), "", tblPiNHistorical[[#This Row],[Mine Action New]]-tblPiNHistorical[[#This Row],[Mine Action Old]])</f>
        <v/>
      </c>
      <c r="AO93" s="67">
        <f>IF(OR(tblPiNHistorical[[#This Row],[Shelter NFI Old]]="", tblPiNHistorical[[#This Row],[Shelter NFI Old]]=0, tblPiNHistorical[[#This Row],[Shelter NFI New]]="", tblPiNHistorical[[#This Row],[Shelter NFI New]]=0), "", tblPiNHistorical[[#This Row],[Shelter NFI New]]-tblPiNHistorical[[#This Row],[Shelter NFI Old]])</f>
        <v>9434</v>
      </c>
      <c r="AP93" s="111" t="str">
        <f>IF(OR(tblPiNHistorical[[#This Row],[WASH Old]]="", tblPiNHistorical[[#This Row],[WASH Old]]=0, tblPiNHistorical[[#This Row],[WASH New]]="", tblPiNHistorical[[#This Row],[WASH New]]=0), "", tblPiNHistorical[[#This Row],[WASH New]]-tblPiNHistorical[[#This Row],[WASH Old]])</f>
        <v/>
      </c>
      <c r="AQ93" s="110">
        <f>IFERROR(ROUND((tblPiNHistorical[[#This Row],[Site Management - New]] - tblPiNHistorical[[#This Row],[Site Management - Old]])/tblPiNHistorical[[#This Row],[Site Management - Old]], 1), "")</f>
        <v>-1</v>
      </c>
      <c r="AR93" s="66">
        <f>IFERROR(ROUND((tblPiNHistorical[[#This Row],[Education New]]-tblPiNHistorical[[#This Row],[Education Old]])/tblPiNHistorical[[#This Row],[Education Old]], 1), "")</f>
        <v>-1</v>
      </c>
      <c r="AS93" s="66">
        <f>IFERROR(ROUND((tblPiNHistorical[[#This Row],[Food Security and Livlihoods New]]-tblPiNHistorical[[#This Row],[Food Security and Livlihoods Old]])/tblPiNHistorical[[#This Row],[Food Security and Livlihoods Old]], 1), "")</f>
        <v>-1</v>
      </c>
      <c r="AT93" s="66">
        <f>IFERROR(ROUND((tblPiNHistorical[[#This Row],[Health New]]-tblPiNHistorical[[#This Row],[Health Old]])/tblPiNHistorical[[#This Row],[Health Old]], 1), "")</f>
        <v>-1</v>
      </c>
      <c r="AU93" s="66">
        <f>IFERROR(ROUND((tblPiNHistorical[[#This Row],[Nutrition New]]-tblPiNHistorical[[#This Row],[Nutrition Old]])/tblPiNHistorical[[#This Row],[Nutrition Old]], 1), "")</f>
        <v>-1</v>
      </c>
      <c r="AV93" s="66">
        <f>IFERROR(ROUND((tblPiNHistorical[[#This Row],[Protection New]]-tblPiNHistorical[[#This Row],[Protection Old]])/tblPiNHistorical[[#This Row],[Protection Old]], 1), "")</f>
        <v>-1</v>
      </c>
      <c r="AW93" s="84">
        <f>IFERROR(ROUND((tblPiNHistorical[[#This Row],[CP New]]-tblPiNHistorical[[#This Row],[CP Old ]])/tblPiNHistorical[[#This Row],[CP Old ]], 1), "")</f>
        <v>-1</v>
      </c>
      <c r="AX93" s="84">
        <f>IFERROR(ROUND((tblPiNHistorical[[#This Row],[GBV New]]-tblPiNHistorical[[#This Row],[GBV Old]])/tblPiNHistorical[[#This Row],[GBV Old]], 1), "")</f>
        <v>-1</v>
      </c>
      <c r="AY93" s="84">
        <f>IFERROR(ROUND((tblPiNHistorical[[#This Row],[Mine Action New]]-tblPiNHistorical[[#This Row],[Mine Action Old]])/tblPiNHistorical[[#This Row],[Mine Action Old]], 1), "")</f>
        <v>-1</v>
      </c>
      <c r="AZ93" s="66">
        <f>IFERROR(ROUND((tblPiNHistorical[[#This Row],[Shelter NFI New]]-tblPiNHistorical[[#This Row],[Shelter NFI Old]])/tblPiNHistorical[[#This Row],[Shelter NFI Old]], 1), "")</f>
        <v>0.7</v>
      </c>
      <c r="BA93" s="36">
        <f>IFERROR(ROUND((tblPiNHistorical[[#This Row],[WASH New]]-tblPiNHistorical[[#This Row],[WASH Old]])/tblPiNHistorical[[#This Row],[WASH Old]], 1), "")</f>
        <v>-1</v>
      </c>
      <c r="BB93"/>
      <c r="BC93"/>
      <c r="BD93"/>
      <c r="BE93"/>
      <c r="BF93"/>
      <c r="BG93"/>
      <c r="BH93"/>
      <c r="BI93"/>
      <c r="BL93"/>
      <c r="BN93"/>
      <c r="BO93"/>
      <c r="BP93"/>
    </row>
    <row r="94" spans="1:68" x14ac:dyDescent="0.25">
      <c r="A94"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IDPsSD17019</v>
      </c>
      <c r="B94" s="127" t="s">
        <v>173</v>
      </c>
      <c r="C94" s="60" t="s">
        <v>134</v>
      </c>
      <c r="D94" s="60" t="s">
        <v>536</v>
      </c>
      <c r="E94" s="60" t="s">
        <v>537</v>
      </c>
      <c r="F94" s="54"/>
      <c r="G94" s="30"/>
      <c r="H94" s="56">
        <v>69600</v>
      </c>
      <c r="I94" s="37" t="s">
        <v>88</v>
      </c>
      <c r="J94" s="34">
        <v>0</v>
      </c>
      <c r="K94" s="116">
        <v>26983.919999999998</v>
      </c>
      <c r="L94" s="114">
        <v>69600</v>
      </c>
      <c r="M94" s="114">
        <v>69600</v>
      </c>
      <c r="N94" s="114">
        <v>5585</v>
      </c>
      <c r="O94" s="114">
        <v>38280</v>
      </c>
      <c r="P94" s="114">
        <v>38280</v>
      </c>
      <c r="Q94" s="114">
        <v>27549</v>
      </c>
      <c r="R94" s="114">
        <v>0</v>
      </c>
      <c r="S94" s="114">
        <v>41760</v>
      </c>
      <c r="T94" s="196">
        <v>18892.224000000002</v>
      </c>
      <c r="U94" s="52">
        <f>IFERROR(INDEX(tblPiNAnalysis[[Site Management ]], MATCH(tblPiNHistorical[[#This Row],[ID]], tblPiNAnalysis[ID], 0)), "")</f>
        <v>0</v>
      </c>
      <c r="V94" s="52">
        <f>IFERROR(INDEX(tblPiNAnalysis[Education], MATCH(tblPiNHistorical[[#This Row],[ID]], tblPiNAnalysis[ID], 0)), "")</f>
        <v>0</v>
      </c>
      <c r="W94" s="28">
        <f>IFERROR(INDEX(tblPiNAnalysis[Food Security and Livlihoods], MATCH(tblPiNHistorical[[#This Row],[ID]], tblPiNAnalysis[ID], 0)), "")</f>
        <v>0</v>
      </c>
      <c r="X94" s="28">
        <f>IFERROR(INDEX(tblPiNAnalysis[[Health ]], MATCH(tblPiNHistorical[[#This Row],[ID]], tblPiNAnalysis[ID], 0)), "")</f>
        <v>0</v>
      </c>
      <c r="Y94" s="28">
        <f>IFERROR(INDEX(tblPiNAnalysis[Nutrition], MATCH(tblPiNHistorical[[#This Row],[ID]], tblPiNAnalysis[ID], 0)), "")</f>
        <v>0</v>
      </c>
      <c r="Z94" s="28">
        <f>IFERROR(INDEX(tblPiNAnalysis[Protection], MATCH(tblPiNHistorical[[#This Row],[ID]], tblPiNAnalysis[ID], 0)), "")</f>
        <v>0</v>
      </c>
      <c r="AA94" s="28">
        <f>IFERROR(INDEX(tblPiNAnalysis[CP], MATCH(tblPiNHistorical[[#This Row],[ID]], tblPiNAnalysis[ID], 0)), "")</f>
        <v>0</v>
      </c>
      <c r="AB94" s="83">
        <f>IFERROR(INDEX(tblPiNAnalysis[GBV], MATCH(tblPiNHistorical[[#This Row],[ID]], tblPiNAnalysis[ID], 0)), "")</f>
        <v>0</v>
      </c>
      <c r="AC94" s="28">
        <f>IFERROR(INDEX(tblPiNAnalysis[Mine Action], MATCH(tblPiNHistorical[[#This Row],[ID]], tblPiNAnalysis[ID], 0)), "")</f>
        <v>0</v>
      </c>
      <c r="AD94" s="83">
        <f>IFERROR(INDEX(tblPiNAnalysis[[Shelter NFI ]], MATCH(tblPiNHistorical[[#This Row],[ID]], tblPiNAnalysis[ID], 0)), "")</f>
        <v>17728</v>
      </c>
      <c r="AE94" s="35">
        <f>IFERROR(INDEX(tblPiNAnalysis[WASH], MATCH(tblPiNHistorical[[#This Row],[ID]], tblPiNAnalysis[ID], 0)), "")</f>
        <v>0</v>
      </c>
      <c r="AF94" s="6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94" s="67" t="str">
        <f>IF(OR(tblPiNHistorical[[#This Row],[Education Old]]="", tblPiNHistorical[[#This Row],[Education Old]]=0, tblPiNHistorical[[#This Row],[Education New]]="", tblPiNHistorical[[#This Row],[Education New]]=0), "", tblPiNHistorical[[#This Row],[Education New]]-tblPiNHistorical[[#This Row],[Education Old]])</f>
        <v/>
      </c>
      <c r="AH94" s="67"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94" s="67" t="str">
        <f>IF(OR(tblPiNHistorical[[#This Row],[Health Old]]="", tblPiNHistorical[[#This Row],[Health Old]]=0, tblPiNHistorical[[#This Row],[Health New]]="", tblPiNHistorical[[#This Row],[Health New]]=0), "", tblPiNHistorical[[#This Row],[Health New]]-tblPiNHistorical[[#This Row],[Health Old]])</f>
        <v/>
      </c>
      <c r="AJ94" s="67" t="str">
        <f>IF(OR(tblPiNHistorical[[#This Row],[Nutrition Old]]="", tblPiNHistorical[[#This Row],[Nutrition Old]]=0, tblPiNHistorical[[#This Row],[Nutrition New]]="", tblPiNHistorical[[#This Row],[Nutrition New]]=0), "", tblPiNHistorical[[#This Row],[Nutrition New]]-tblPiNHistorical[[#This Row],[Nutrition Old]])</f>
        <v/>
      </c>
      <c r="AK94" s="67" t="str">
        <f>IF(OR(tblPiNHistorical[[#This Row],[Protection Old]]="", tblPiNHistorical[[#This Row],[Protection Old]]=0, tblPiNHistorical[[#This Row],[Protection New]]="", tblPiNHistorical[[#This Row],[Protection New]]=0), "", tblPiNHistorical[[#This Row],[Protection New]]-tblPiNHistorical[[#This Row],[Protection Old]])</f>
        <v/>
      </c>
      <c r="AL94" s="67" t="str">
        <f>IF(OR(tblPiNHistorical[[#This Row],[CP Old ]]="", tblPiNHistorical[[#This Row],[CP Old ]]=0, tblPiNHistorical[[#This Row],[CP New]]="", tblPiNHistorical[[#This Row],[CP New]]=0), "", tblPiNHistorical[[#This Row],[CP New]]-tblPiNHistorical[[#This Row],[CP Old ]])</f>
        <v/>
      </c>
      <c r="AM94" s="83" t="str">
        <f>IF(OR(tblPiNHistorical[[#This Row],[GBV Old]]="", tblPiNHistorical[[#This Row],[GBV Old]]=0, tblPiNHistorical[[#This Row],[GBV New]]="", tblPiNHistorical[[#This Row],[GBV New]]=0), "", tblPiNHistorical[[#This Row],[GBV New]]-tblPiNHistorical[[#This Row],[GBV Old]])</f>
        <v/>
      </c>
      <c r="AN94" s="83" t="str">
        <f>IF(OR(tblPiNHistorical[[#This Row],[Mine Action Old]]="", tblPiNHistorical[[#This Row],[Mine Action Old]]=0, tblPiNHistorical[[#This Row],[Mine Action New]]="", tblPiNHistorical[[#This Row],[Mine Action New]]=0), "", tblPiNHistorical[[#This Row],[Mine Action New]]-tblPiNHistorical[[#This Row],[Mine Action Old]])</f>
        <v/>
      </c>
      <c r="AO94" s="67">
        <f>IF(OR(tblPiNHistorical[[#This Row],[Shelter NFI Old]]="", tblPiNHistorical[[#This Row],[Shelter NFI Old]]=0, tblPiNHistorical[[#This Row],[Shelter NFI New]]="", tblPiNHistorical[[#This Row],[Shelter NFI New]]=0), "", tblPiNHistorical[[#This Row],[Shelter NFI New]]-tblPiNHistorical[[#This Row],[Shelter NFI Old]])</f>
        <v>-24032</v>
      </c>
      <c r="AP94" s="111" t="str">
        <f>IF(OR(tblPiNHistorical[[#This Row],[WASH Old]]="", tblPiNHistorical[[#This Row],[WASH Old]]=0, tblPiNHistorical[[#This Row],[WASH New]]="", tblPiNHistorical[[#This Row],[WASH New]]=0), "", tblPiNHistorical[[#This Row],[WASH New]]-tblPiNHistorical[[#This Row],[WASH Old]])</f>
        <v/>
      </c>
      <c r="AQ94" s="110" t="str">
        <f>IFERROR(ROUND((tblPiNHistorical[[#This Row],[Site Management - New]] - tblPiNHistorical[[#This Row],[Site Management - Old]])/tblPiNHistorical[[#This Row],[Site Management - Old]], 1), "")</f>
        <v/>
      </c>
      <c r="AR94" s="66">
        <f>IFERROR(ROUND((tblPiNHistorical[[#This Row],[Education New]]-tblPiNHistorical[[#This Row],[Education Old]])/tblPiNHistorical[[#This Row],[Education Old]], 1), "")</f>
        <v>-1</v>
      </c>
      <c r="AS94" s="66">
        <f>IFERROR(ROUND((tblPiNHistorical[[#This Row],[Food Security and Livlihoods New]]-tblPiNHistorical[[#This Row],[Food Security and Livlihoods Old]])/tblPiNHistorical[[#This Row],[Food Security and Livlihoods Old]], 1), "")</f>
        <v>-1</v>
      </c>
      <c r="AT94" s="66">
        <f>IFERROR(ROUND((tblPiNHistorical[[#This Row],[Health New]]-tblPiNHistorical[[#This Row],[Health Old]])/tblPiNHistorical[[#This Row],[Health Old]], 1), "")</f>
        <v>-1</v>
      </c>
      <c r="AU94" s="66">
        <f>IFERROR(ROUND((tblPiNHistorical[[#This Row],[Nutrition New]]-tblPiNHistorical[[#This Row],[Nutrition Old]])/tblPiNHistorical[[#This Row],[Nutrition Old]], 1), "")</f>
        <v>-1</v>
      </c>
      <c r="AV94" s="66">
        <f>IFERROR(ROUND((tblPiNHistorical[[#This Row],[Protection New]]-tblPiNHistorical[[#This Row],[Protection Old]])/tblPiNHistorical[[#This Row],[Protection Old]], 1), "")</f>
        <v>-1</v>
      </c>
      <c r="AW94" s="84">
        <f>IFERROR(ROUND((tblPiNHistorical[[#This Row],[CP New]]-tblPiNHistorical[[#This Row],[CP Old ]])/tblPiNHistorical[[#This Row],[CP Old ]], 1), "")</f>
        <v>-1</v>
      </c>
      <c r="AX94" s="84">
        <f>IFERROR(ROUND((tblPiNHistorical[[#This Row],[GBV New]]-tblPiNHistorical[[#This Row],[GBV Old]])/tblPiNHistorical[[#This Row],[GBV Old]], 1), "")</f>
        <v>-1</v>
      </c>
      <c r="AY94" s="84" t="str">
        <f>IFERROR(ROUND((tblPiNHistorical[[#This Row],[Mine Action New]]-tblPiNHistorical[[#This Row],[Mine Action Old]])/tblPiNHistorical[[#This Row],[Mine Action Old]], 1), "")</f>
        <v/>
      </c>
      <c r="AZ94" s="66">
        <f>IFERROR(ROUND((tblPiNHistorical[[#This Row],[Shelter NFI New]]-tblPiNHistorical[[#This Row],[Shelter NFI Old]])/tblPiNHistorical[[#This Row],[Shelter NFI Old]], 1), "")</f>
        <v>-0.6</v>
      </c>
      <c r="BA94" s="36">
        <f>IFERROR(ROUND((tblPiNHistorical[[#This Row],[WASH New]]-tblPiNHistorical[[#This Row],[WASH Old]])/tblPiNHistorical[[#This Row],[WASH Old]], 1), "")</f>
        <v>-1</v>
      </c>
      <c r="BB94"/>
      <c r="BC94"/>
      <c r="BD94"/>
      <c r="BE94"/>
      <c r="BF94"/>
      <c r="BG94"/>
      <c r="BH94"/>
      <c r="BI94"/>
      <c r="BL94"/>
      <c r="BN94"/>
      <c r="BO94"/>
      <c r="BP94"/>
    </row>
    <row r="95" spans="1:68" x14ac:dyDescent="0.25">
      <c r="A95"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IDPsSD17016</v>
      </c>
      <c r="B95" s="127" t="s">
        <v>173</v>
      </c>
      <c r="C95" s="60" t="s">
        <v>134</v>
      </c>
      <c r="D95" s="60" t="s">
        <v>530</v>
      </c>
      <c r="E95" s="60" t="s">
        <v>531</v>
      </c>
      <c r="F95" s="54"/>
      <c r="G95" s="30"/>
      <c r="H95" s="56">
        <v>44302</v>
      </c>
      <c r="I95" s="37" t="s">
        <v>88</v>
      </c>
      <c r="J95" s="34">
        <v>1347</v>
      </c>
      <c r="K95" s="116">
        <v>17175.885399999999</v>
      </c>
      <c r="L95" s="114">
        <v>44302</v>
      </c>
      <c r="M95" s="114">
        <v>44302</v>
      </c>
      <c r="N95" s="114">
        <v>3727</v>
      </c>
      <c r="O95" s="114">
        <v>24366.100000000002</v>
      </c>
      <c r="P95" s="114">
        <v>24366</v>
      </c>
      <c r="Q95" s="114">
        <v>17535</v>
      </c>
      <c r="R95" s="114">
        <v>0</v>
      </c>
      <c r="S95" s="114">
        <v>17721</v>
      </c>
      <c r="T95" s="196">
        <v>13503.249600000005</v>
      </c>
      <c r="U95" s="52">
        <f>IFERROR(INDEX(tblPiNAnalysis[[Site Management ]], MATCH(tblPiNHistorical[[#This Row],[ID]], tblPiNAnalysis[ID], 0)), "")</f>
        <v>0</v>
      </c>
      <c r="V95" s="52">
        <f>IFERROR(INDEX(tblPiNAnalysis[Education], MATCH(tblPiNHistorical[[#This Row],[ID]], tblPiNAnalysis[ID], 0)), "")</f>
        <v>0</v>
      </c>
      <c r="W95" s="28">
        <f>IFERROR(INDEX(tblPiNAnalysis[Food Security and Livlihoods], MATCH(tblPiNHistorical[[#This Row],[ID]], tblPiNAnalysis[ID], 0)), "")</f>
        <v>0</v>
      </c>
      <c r="X95" s="28">
        <f>IFERROR(INDEX(tblPiNAnalysis[[Health ]], MATCH(tblPiNHistorical[[#This Row],[ID]], tblPiNAnalysis[ID], 0)), "")</f>
        <v>0</v>
      </c>
      <c r="Y95" s="28">
        <f>IFERROR(INDEX(tblPiNAnalysis[Nutrition], MATCH(tblPiNHistorical[[#This Row],[ID]], tblPiNAnalysis[ID], 0)), "")</f>
        <v>0</v>
      </c>
      <c r="Z95" s="28">
        <f>IFERROR(INDEX(tblPiNAnalysis[Protection], MATCH(tblPiNHistorical[[#This Row],[ID]], tblPiNAnalysis[ID], 0)), "")</f>
        <v>0</v>
      </c>
      <c r="AA95" s="28">
        <f>IFERROR(INDEX(tblPiNAnalysis[CP], MATCH(tblPiNHistorical[[#This Row],[ID]], tblPiNAnalysis[ID], 0)), "")</f>
        <v>0</v>
      </c>
      <c r="AB95" s="83">
        <f>IFERROR(INDEX(tblPiNAnalysis[GBV], MATCH(tblPiNHistorical[[#This Row],[ID]], tblPiNAnalysis[ID], 0)), "")</f>
        <v>0</v>
      </c>
      <c r="AC95" s="28">
        <f>IFERROR(INDEX(tblPiNAnalysis[Mine Action], MATCH(tblPiNHistorical[[#This Row],[ID]], tblPiNAnalysis[ID], 0)), "")</f>
        <v>0</v>
      </c>
      <c r="AD95" s="83">
        <f>IFERROR(INDEX(tblPiNAnalysis[[Shelter NFI ]], MATCH(tblPiNHistorical[[#This Row],[ID]], tblPiNAnalysis[ID], 0)), "")</f>
        <v>14547</v>
      </c>
      <c r="AE95" s="35">
        <f>IFERROR(INDEX(tblPiNAnalysis[WASH], MATCH(tblPiNHistorical[[#This Row],[ID]], tblPiNAnalysis[ID], 0)), "")</f>
        <v>0</v>
      </c>
      <c r="AF95" s="6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95" s="67" t="str">
        <f>IF(OR(tblPiNHistorical[[#This Row],[Education Old]]="", tblPiNHistorical[[#This Row],[Education Old]]=0, tblPiNHistorical[[#This Row],[Education New]]="", tblPiNHistorical[[#This Row],[Education New]]=0), "", tblPiNHistorical[[#This Row],[Education New]]-tblPiNHistorical[[#This Row],[Education Old]])</f>
        <v/>
      </c>
      <c r="AH95" s="67"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95" s="67" t="str">
        <f>IF(OR(tblPiNHistorical[[#This Row],[Health Old]]="", tblPiNHistorical[[#This Row],[Health Old]]=0, tblPiNHistorical[[#This Row],[Health New]]="", tblPiNHistorical[[#This Row],[Health New]]=0), "", tblPiNHistorical[[#This Row],[Health New]]-tblPiNHistorical[[#This Row],[Health Old]])</f>
        <v/>
      </c>
      <c r="AJ95" s="67" t="str">
        <f>IF(OR(tblPiNHistorical[[#This Row],[Nutrition Old]]="", tblPiNHistorical[[#This Row],[Nutrition Old]]=0, tblPiNHistorical[[#This Row],[Nutrition New]]="", tblPiNHistorical[[#This Row],[Nutrition New]]=0), "", tblPiNHistorical[[#This Row],[Nutrition New]]-tblPiNHistorical[[#This Row],[Nutrition Old]])</f>
        <v/>
      </c>
      <c r="AK95" s="67" t="str">
        <f>IF(OR(tblPiNHistorical[[#This Row],[Protection Old]]="", tblPiNHistorical[[#This Row],[Protection Old]]=0, tblPiNHistorical[[#This Row],[Protection New]]="", tblPiNHistorical[[#This Row],[Protection New]]=0), "", tblPiNHistorical[[#This Row],[Protection New]]-tblPiNHistorical[[#This Row],[Protection Old]])</f>
        <v/>
      </c>
      <c r="AL95" s="67" t="str">
        <f>IF(OR(tblPiNHistorical[[#This Row],[CP Old ]]="", tblPiNHistorical[[#This Row],[CP Old ]]=0, tblPiNHistorical[[#This Row],[CP New]]="", tblPiNHistorical[[#This Row],[CP New]]=0), "", tblPiNHistorical[[#This Row],[CP New]]-tblPiNHistorical[[#This Row],[CP Old ]])</f>
        <v/>
      </c>
      <c r="AM95" s="83" t="str">
        <f>IF(OR(tblPiNHistorical[[#This Row],[GBV Old]]="", tblPiNHistorical[[#This Row],[GBV Old]]=0, tblPiNHistorical[[#This Row],[GBV New]]="", tblPiNHistorical[[#This Row],[GBV New]]=0), "", tblPiNHistorical[[#This Row],[GBV New]]-tblPiNHistorical[[#This Row],[GBV Old]])</f>
        <v/>
      </c>
      <c r="AN95" s="83" t="str">
        <f>IF(OR(tblPiNHistorical[[#This Row],[Mine Action Old]]="", tblPiNHistorical[[#This Row],[Mine Action Old]]=0, tblPiNHistorical[[#This Row],[Mine Action New]]="", tblPiNHistorical[[#This Row],[Mine Action New]]=0), "", tblPiNHistorical[[#This Row],[Mine Action New]]-tblPiNHistorical[[#This Row],[Mine Action Old]])</f>
        <v/>
      </c>
      <c r="AO95" s="67">
        <f>IF(OR(tblPiNHistorical[[#This Row],[Shelter NFI Old]]="", tblPiNHistorical[[#This Row],[Shelter NFI Old]]=0, tblPiNHistorical[[#This Row],[Shelter NFI New]]="", tblPiNHistorical[[#This Row],[Shelter NFI New]]=0), "", tblPiNHistorical[[#This Row],[Shelter NFI New]]-tblPiNHistorical[[#This Row],[Shelter NFI Old]])</f>
        <v>-3174</v>
      </c>
      <c r="AP95" s="111" t="str">
        <f>IF(OR(tblPiNHistorical[[#This Row],[WASH Old]]="", tblPiNHistorical[[#This Row],[WASH Old]]=0, tblPiNHistorical[[#This Row],[WASH New]]="", tblPiNHistorical[[#This Row],[WASH New]]=0), "", tblPiNHistorical[[#This Row],[WASH New]]-tblPiNHistorical[[#This Row],[WASH Old]])</f>
        <v/>
      </c>
      <c r="AQ95" s="110">
        <f>IFERROR(ROUND((tblPiNHistorical[[#This Row],[Site Management - New]] - tblPiNHistorical[[#This Row],[Site Management - Old]])/tblPiNHistorical[[#This Row],[Site Management - Old]], 1), "")</f>
        <v>-1</v>
      </c>
      <c r="AR95" s="66">
        <f>IFERROR(ROUND((tblPiNHistorical[[#This Row],[Education New]]-tblPiNHistorical[[#This Row],[Education Old]])/tblPiNHistorical[[#This Row],[Education Old]], 1), "")</f>
        <v>-1</v>
      </c>
      <c r="AS95" s="66">
        <f>IFERROR(ROUND((tblPiNHistorical[[#This Row],[Food Security and Livlihoods New]]-tblPiNHistorical[[#This Row],[Food Security and Livlihoods Old]])/tblPiNHistorical[[#This Row],[Food Security and Livlihoods Old]], 1), "")</f>
        <v>-1</v>
      </c>
      <c r="AT95" s="66">
        <f>IFERROR(ROUND((tblPiNHistorical[[#This Row],[Health New]]-tblPiNHistorical[[#This Row],[Health Old]])/tblPiNHistorical[[#This Row],[Health Old]], 1), "")</f>
        <v>-1</v>
      </c>
      <c r="AU95" s="66">
        <f>IFERROR(ROUND((tblPiNHistorical[[#This Row],[Nutrition New]]-tblPiNHistorical[[#This Row],[Nutrition Old]])/tblPiNHistorical[[#This Row],[Nutrition Old]], 1), "")</f>
        <v>-1</v>
      </c>
      <c r="AV95" s="66">
        <f>IFERROR(ROUND((tblPiNHistorical[[#This Row],[Protection New]]-tblPiNHistorical[[#This Row],[Protection Old]])/tblPiNHistorical[[#This Row],[Protection Old]], 1), "")</f>
        <v>-1</v>
      </c>
      <c r="AW95" s="84">
        <f>IFERROR(ROUND((tblPiNHistorical[[#This Row],[CP New]]-tblPiNHistorical[[#This Row],[CP Old ]])/tblPiNHistorical[[#This Row],[CP Old ]], 1), "")</f>
        <v>-1</v>
      </c>
      <c r="AX95" s="84">
        <f>IFERROR(ROUND((tblPiNHistorical[[#This Row],[GBV New]]-tblPiNHistorical[[#This Row],[GBV Old]])/tblPiNHistorical[[#This Row],[GBV Old]], 1), "")</f>
        <v>-1</v>
      </c>
      <c r="AY95" s="84" t="str">
        <f>IFERROR(ROUND((tblPiNHistorical[[#This Row],[Mine Action New]]-tblPiNHistorical[[#This Row],[Mine Action Old]])/tblPiNHistorical[[#This Row],[Mine Action Old]], 1), "")</f>
        <v/>
      </c>
      <c r="AZ95" s="66">
        <f>IFERROR(ROUND((tblPiNHistorical[[#This Row],[Shelter NFI New]]-tblPiNHistorical[[#This Row],[Shelter NFI Old]])/tblPiNHistorical[[#This Row],[Shelter NFI Old]], 1), "")</f>
        <v>-0.2</v>
      </c>
      <c r="BA95" s="36">
        <f>IFERROR(ROUND((tblPiNHistorical[[#This Row],[WASH New]]-tblPiNHistorical[[#This Row],[WASH Old]])/tblPiNHistorical[[#This Row],[WASH Old]], 1), "")</f>
        <v>-1</v>
      </c>
      <c r="BB95"/>
      <c r="BC95"/>
      <c r="BD95"/>
      <c r="BE95"/>
      <c r="BF95"/>
      <c r="BG95"/>
      <c r="BH95"/>
      <c r="BI95"/>
      <c r="BL95"/>
      <c r="BN95"/>
      <c r="BO95"/>
      <c r="BP95"/>
    </row>
    <row r="96" spans="1:68" x14ac:dyDescent="0.25">
      <c r="A96"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IDPsSD17018</v>
      </c>
      <c r="B96" s="127" t="s">
        <v>173</v>
      </c>
      <c r="C96" s="60" t="s">
        <v>134</v>
      </c>
      <c r="D96" s="60" t="s">
        <v>534</v>
      </c>
      <c r="E96" s="60" t="s">
        <v>535</v>
      </c>
      <c r="F96" s="54"/>
      <c r="G96" s="30"/>
      <c r="H96" s="56">
        <v>40310</v>
      </c>
      <c r="I96" s="37" t="s">
        <v>88</v>
      </c>
      <c r="J96" s="34">
        <v>0</v>
      </c>
      <c r="K96" s="116">
        <v>15628.187</v>
      </c>
      <c r="L96" s="114">
        <v>40310</v>
      </c>
      <c r="M96" s="114">
        <v>40310</v>
      </c>
      <c r="N96" s="114">
        <v>3291</v>
      </c>
      <c r="O96" s="114">
        <v>22170.5</v>
      </c>
      <c r="P96" s="114">
        <v>22171</v>
      </c>
      <c r="Q96" s="114">
        <v>15954</v>
      </c>
      <c r="R96" s="114">
        <v>0</v>
      </c>
      <c r="S96" s="114">
        <v>16124</v>
      </c>
      <c r="T96" s="196">
        <v>15242.017200000002</v>
      </c>
      <c r="U96" s="52">
        <f>IFERROR(INDEX(tblPiNAnalysis[[Site Management ]], MATCH(tblPiNHistorical[[#This Row],[ID]], tblPiNAnalysis[ID], 0)), "")</f>
        <v>0</v>
      </c>
      <c r="V96" s="52">
        <f>IFERROR(INDEX(tblPiNAnalysis[Education], MATCH(tblPiNHistorical[[#This Row],[ID]], tblPiNAnalysis[ID], 0)), "")</f>
        <v>0</v>
      </c>
      <c r="W96" s="28">
        <f>IFERROR(INDEX(tblPiNAnalysis[Food Security and Livlihoods], MATCH(tblPiNHistorical[[#This Row],[ID]], tblPiNAnalysis[ID], 0)), "")</f>
        <v>0</v>
      </c>
      <c r="X96" s="28">
        <f>IFERROR(INDEX(tblPiNAnalysis[[Health ]], MATCH(tblPiNHistorical[[#This Row],[ID]], tblPiNAnalysis[ID], 0)), "")</f>
        <v>0</v>
      </c>
      <c r="Y96" s="28">
        <f>IFERROR(INDEX(tblPiNAnalysis[Nutrition], MATCH(tblPiNHistorical[[#This Row],[ID]], tblPiNAnalysis[ID], 0)), "")</f>
        <v>0</v>
      </c>
      <c r="Z96" s="28">
        <f>IFERROR(INDEX(tblPiNAnalysis[Protection], MATCH(tblPiNHistorical[[#This Row],[ID]], tblPiNAnalysis[ID], 0)), "")</f>
        <v>0</v>
      </c>
      <c r="AA96" s="28">
        <f>IFERROR(INDEX(tblPiNAnalysis[CP], MATCH(tblPiNHistorical[[#This Row],[ID]], tblPiNAnalysis[ID], 0)), "")</f>
        <v>0</v>
      </c>
      <c r="AB96" s="83">
        <f>IFERROR(INDEX(tblPiNAnalysis[GBV], MATCH(tblPiNHistorical[[#This Row],[ID]], tblPiNAnalysis[ID], 0)), "")</f>
        <v>0</v>
      </c>
      <c r="AC96" s="28">
        <f>IFERROR(INDEX(tblPiNAnalysis[Mine Action], MATCH(tblPiNHistorical[[#This Row],[ID]], tblPiNAnalysis[ID], 0)), "")</f>
        <v>0</v>
      </c>
      <c r="AD96" s="83">
        <f>IFERROR(INDEX(tblPiNAnalysis[[Shelter NFI ]], MATCH(tblPiNHistorical[[#This Row],[ID]], tblPiNAnalysis[ID], 0)), "")</f>
        <v>14597</v>
      </c>
      <c r="AE96" s="35">
        <f>IFERROR(INDEX(tblPiNAnalysis[WASH], MATCH(tblPiNHistorical[[#This Row],[ID]], tblPiNAnalysis[ID], 0)), "")</f>
        <v>0</v>
      </c>
      <c r="AF96" s="6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96" s="67" t="str">
        <f>IF(OR(tblPiNHistorical[[#This Row],[Education Old]]="", tblPiNHistorical[[#This Row],[Education Old]]=0, tblPiNHistorical[[#This Row],[Education New]]="", tblPiNHistorical[[#This Row],[Education New]]=0), "", tblPiNHistorical[[#This Row],[Education New]]-tblPiNHistorical[[#This Row],[Education Old]])</f>
        <v/>
      </c>
      <c r="AH96" s="67"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96" s="67" t="str">
        <f>IF(OR(tblPiNHistorical[[#This Row],[Health Old]]="", tblPiNHistorical[[#This Row],[Health Old]]=0, tblPiNHistorical[[#This Row],[Health New]]="", tblPiNHistorical[[#This Row],[Health New]]=0), "", tblPiNHistorical[[#This Row],[Health New]]-tblPiNHistorical[[#This Row],[Health Old]])</f>
        <v/>
      </c>
      <c r="AJ96" s="67" t="str">
        <f>IF(OR(tblPiNHistorical[[#This Row],[Nutrition Old]]="", tblPiNHistorical[[#This Row],[Nutrition Old]]=0, tblPiNHistorical[[#This Row],[Nutrition New]]="", tblPiNHistorical[[#This Row],[Nutrition New]]=0), "", tblPiNHistorical[[#This Row],[Nutrition New]]-tblPiNHistorical[[#This Row],[Nutrition Old]])</f>
        <v/>
      </c>
      <c r="AK96" s="67" t="str">
        <f>IF(OR(tblPiNHistorical[[#This Row],[Protection Old]]="", tblPiNHistorical[[#This Row],[Protection Old]]=0, tblPiNHistorical[[#This Row],[Protection New]]="", tblPiNHistorical[[#This Row],[Protection New]]=0), "", tblPiNHistorical[[#This Row],[Protection New]]-tblPiNHistorical[[#This Row],[Protection Old]])</f>
        <v/>
      </c>
      <c r="AL96" s="67" t="str">
        <f>IF(OR(tblPiNHistorical[[#This Row],[CP Old ]]="", tblPiNHistorical[[#This Row],[CP Old ]]=0, tblPiNHistorical[[#This Row],[CP New]]="", tblPiNHistorical[[#This Row],[CP New]]=0), "", tblPiNHistorical[[#This Row],[CP New]]-tblPiNHistorical[[#This Row],[CP Old ]])</f>
        <v/>
      </c>
      <c r="AM96" s="83" t="str">
        <f>IF(OR(tblPiNHistorical[[#This Row],[GBV Old]]="", tblPiNHistorical[[#This Row],[GBV Old]]=0, tblPiNHistorical[[#This Row],[GBV New]]="", tblPiNHistorical[[#This Row],[GBV New]]=0), "", tblPiNHistorical[[#This Row],[GBV New]]-tblPiNHistorical[[#This Row],[GBV Old]])</f>
        <v/>
      </c>
      <c r="AN96" s="83" t="str">
        <f>IF(OR(tblPiNHistorical[[#This Row],[Mine Action Old]]="", tblPiNHistorical[[#This Row],[Mine Action Old]]=0, tblPiNHistorical[[#This Row],[Mine Action New]]="", tblPiNHistorical[[#This Row],[Mine Action New]]=0), "", tblPiNHistorical[[#This Row],[Mine Action New]]-tblPiNHistorical[[#This Row],[Mine Action Old]])</f>
        <v/>
      </c>
      <c r="AO96" s="67">
        <f>IF(OR(tblPiNHistorical[[#This Row],[Shelter NFI Old]]="", tblPiNHistorical[[#This Row],[Shelter NFI Old]]=0, tblPiNHistorical[[#This Row],[Shelter NFI New]]="", tblPiNHistorical[[#This Row],[Shelter NFI New]]=0), "", tblPiNHistorical[[#This Row],[Shelter NFI New]]-tblPiNHistorical[[#This Row],[Shelter NFI Old]])</f>
        <v>-1527</v>
      </c>
      <c r="AP96" s="111" t="str">
        <f>IF(OR(tblPiNHistorical[[#This Row],[WASH Old]]="", tblPiNHistorical[[#This Row],[WASH Old]]=0, tblPiNHistorical[[#This Row],[WASH New]]="", tblPiNHistorical[[#This Row],[WASH New]]=0), "", tblPiNHistorical[[#This Row],[WASH New]]-tblPiNHistorical[[#This Row],[WASH Old]])</f>
        <v/>
      </c>
      <c r="AQ96" s="110" t="str">
        <f>IFERROR(ROUND((tblPiNHistorical[[#This Row],[Site Management - New]] - tblPiNHistorical[[#This Row],[Site Management - Old]])/tblPiNHistorical[[#This Row],[Site Management - Old]], 1), "")</f>
        <v/>
      </c>
      <c r="AR96" s="66">
        <f>IFERROR(ROUND((tblPiNHistorical[[#This Row],[Education New]]-tblPiNHistorical[[#This Row],[Education Old]])/tblPiNHistorical[[#This Row],[Education Old]], 1), "")</f>
        <v>-1</v>
      </c>
      <c r="AS96" s="66">
        <f>IFERROR(ROUND((tblPiNHistorical[[#This Row],[Food Security and Livlihoods New]]-tblPiNHistorical[[#This Row],[Food Security and Livlihoods Old]])/tblPiNHistorical[[#This Row],[Food Security and Livlihoods Old]], 1), "")</f>
        <v>-1</v>
      </c>
      <c r="AT96" s="66">
        <f>IFERROR(ROUND((tblPiNHistorical[[#This Row],[Health New]]-tblPiNHistorical[[#This Row],[Health Old]])/tblPiNHistorical[[#This Row],[Health Old]], 1), "")</f>
        <v>-1</v>
      </c>
      <c r="AU96" s="66">
        <f>IFERROR(ROUND((tblPiNHistorical[[#This Row],[Nutrition New]]-tblPiNHistorical[[#This Row],[Nutrition Old]])/tblPiNHistorical[[#This Row],[Nutrition Old]], 1), "")</f>
        <v>-1</v>
      </c>
      <c r="AV96" s="66">
        <f>IFERROR(ROUND((tblPiNHistorical[[#This Row],[Protection New]]-tblPiNHistorical[[#This Row],[Protection Old]])/tblPiNHistorical[[#This Row],[Protection Old]], 1), "")</f>
        <v>-1</v>
      </c>
      <c r="AW96" s="84">
        <f>IFERROR(ROUND((tblPiNHistorical[[#This Row],[CP New]]-tblPiNHistorical[[#This Row],[CP Old ]])/tblPiNHistorical[[#This Row],[CP Old ]], 1), "")</f>
        <v>-1</v>
      </c>
      <c r="AX96" s="84">
        <f>IFERROR(ROUND((tblPiNHistorical[[#This Row],[GBV New]]-tblPiNHistorical[[#This Row],[GBV Old]])/tblPiNHistorical[[#This Row],[GBV Old]], 1), "")</f>
        <v>-1</v>
      </c>
      <c r="AY96" s="84" t="str">
        <f>IFERROR(ROUND((tblPiNHistorical[[#This Row],[Mine Action New]]-tblPiNHistorical[[#This Row],[Mine Action Old]])/tblPiNHistorical[[#This Row],[Mine Action Old]], 1), "")</f>
        <v/>
      </c>
      <c r="AZ96" s="66">
        <f>IFERROR(ROUND((tblPiNHistorical[[#This Row],[Shelter NFI New]]-tblPiNHistorical[[#This Row],[Shelter NFI Old]])/tblPiNHistorical[[#This Row],[Shelter NFI Old]], 1), "")</f>
        <v>-0.1</v>
      </c>
      <c r="BA96" s="36">
        <f>IFERROR(ROUND((tblPiNHistorical[[#This Row],[WASH New]]-tblPiNHistorical[[#This Row],[WASH Old]])/tblPiNHistorical[[#This Row],[WASH Old]], 1), "")</f>
        <v>-1</v>
      </c>
      <c r="BB96"/>
      <c r="BC96"/>
      <c r="BD96"/>
      <c r="BE96"/>
      <c r="BF96"/>
      <c r="BG96"/>
      <c r="BH96"/>
      <c r="BI96"/>
      <c r="BL96"/>
      <c r="BN96"/>
      <c r="BO96"/>
      <c r="BP96"/>
    </row>
    <row r="97" spans="1:68" x14ac:dyDescent="0.25">
      <c r="A97"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IDPsSD17015</v>
      </c>
      <c r="B97" s="127" t="s">
        <v>173</v>
      </c>
      <c r="C97" s="60" t="s">
        <v>134</v>
      </c>
      <c r="D97" s="60" t="s">
        <v>528</v>
      </c>
      <c r="E97" s="60" t="s">
        <v>529</v>
      </c>
      <c r="F97" s="54"/>
      <c r="G97" s="30"/>
      <c r="H97" s="56">
        <v>44760</v>
      </c>
      <c r="I97" s="37" t="s">
        <v>88</v>
      </c>
      <c r="J97" s="34">
        <v>0</v>
      </c>
      <c r="K97" s="116">
        <v>17353.452000000001</v>
      </c>
      <c r="L97" s="114">
        <v>44760</v>
      </c>
      <c r="M97" s="114">
        <v>44760</v>
      </c>
      <c r="N97" s="114">
        <v>4635</v>
      </c>
      <c r="O97" s="114">
        <v>24618.000000000004</v>
      </c>
      <c r="P97" s="114">
        <v>24618</v>
      </c>
      <c r="Q97" s="114">
        <v>17717</v>
      </c>
      <c r="R97" s="114">
        <v>0</v>
      </c>
      <c r="S97" s="114">
        <v>17904</v>
      </c>
      <c r="T97" s="196">
        <v>15662.419199999997</v>
      </c>
      <c r="U97" s="52">
        <f>IFERROR(INDEX(tblPiNAnalysis[[Site Management ]], MATCH(tblPiNHistorical[[#This Row],[ID]], tblPiNAnalysis[ID], 0)), "")</f>
        <v>0</v>
      </c>
      <c r="V97" s="52">
        <f>IFERROR(INDEX(tblPiNAnalysis[Education], MATCH(tblPiNHistorical[[#This Row],[ID]], tblPiNAnalysis[ID], 0)), "")</f>
        <v>0</v>
      </c>
      <c r="W97" s="28">
        <f>IFERROR(INDEX(tblPiNAnalysis[Food Security and Livlihoods], MATCH(tblPiNHistorical[[#This Row],[ID]], tblPiNAnalysis[ID], 0)), "")</f>
        <v>0</v>
      </c>
      <c r="X97" s="28">
        <f>IFERROR(INDEX(tblPiNAnalysis[[Health ]], MATCH(tblPiNHistorical[[#This Row],[ID]], tblPiNAnalysis[ID], 0)), "")</f>
        <v>0</v>
      </c>
      <c r="Y97" s="28">
        <f>IFERROR(INDEX(tblPiNAnalysis[Nutrition], MATCH(tblPiNHistorical[[#This Row],[ID]], tblPiNAnalysis[ID], 0)), "")</f>
        <v>0</v>
      </c>
      <c r="Z97" s="28">
        <f>IFERROR(INDEX(tblPiNAnalysis[Protection], MATCH(tblPiNHistorical[[#This Row],[ID]], tblPiNAnalysis[ID], 0)), "")</f>
        <v>0</v>
      </c>
      <c r="AA97" s="28">
        <f>IFERROR(INDEX(tblPiNAnalysis[CP], MATCH(tblPiNHistorical[[#This Row],[ID]], tblPiNAnalysis[ID], 0)), "")</f>
        <v>0</v>
      </c>
      <c r="AB97" s="83">
        <f>IFERROR(INDEX(tblPiNAnalysis[GBV], MATCH(tblPiNHistorical[[#This Row],[ID]], tblPiNAnalysis[ID], 0)), "")</f>
        <v>0</v>
      </c>
      <c r="AC97" s="28">
        <f>IFERROR(INDEX(tblPiNAnalysis[Mine Action], MATCH(tblPiNHistorical[[#This Row],[ID]], tblPiNAnalysis[ID], 0)), "")</f>
        <v>0</v>
      </c>
      <c r="AD97" s="83">
        <f>IFERROR(INDEX(tblPiNAnalysis[[Shelter NFI ]], MATCH(tblPiNHistorical[[#This Row],[ID]], tblPiNAnalysis[ID], 0)), "")</f>
        <v>17464</v>
      </c>
      <c r="AE97" s="35">
        <f>IFERROR(INDEX(tblPiNAnalysis[WASH], MATCH(tblPiNHistorical[[#This Row],[ID]], tblPiNAnalysis[ID], 0)), "")</f>
        <v>0</v>
      </c>
      <c r="AF97" s="6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97" s="67" t="str">
        <f>IF(OR(tblPiNHistorical[[#This Row],[Education Old]]="", tblPiNHistorical[[#This Row],[Education Old]]=0, tblPiNHistorical[[#This Row],[Education New]]="", tblPiNHistorical[[#This Row],[Education New]]=0), "", tblPiNHistorical[[#This Row],[Education New]]-tblPiNHistorical[[#This Row],[Education Old]])</f>
        <v/>
      </c>
      <c r="AH97" s="67"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97" s="67" t="str">
        <f>IF(OR(tblPiNHistorical[[#This Row],[Health Old]]="", tblPiNHistorical[[#This Row],[Health Old]]=0, tblPiNHistorical[[#This Row],[Health New]]="", tblPiNHistorical[[#This Row],[Health New]]=0), "", tblPiNHistorical[[#This Row],[Health New]]-tblPiNHistorical[[#This Row],[Health Old]])</f>
        <v/>
      </c>
      <c r="AJ97" s="67" t="str">
        <f>IF(OR(tblPiNHistorical[[#This Row],[Nutrition Old]]="", tblPiNHistorical[[#This Row],[Nutrition Old]]=0, tblPiNHistorical[[#This Row],[Nutrition New]]="", tblPiNHistorical[[#This Row],[Nutrition New]]=0), "", tblPiNHistorical[[#This Row],[Nutrition New]]-tblPiNHistorical[[#This Row],[Nutrition Old]])</f>
        <v/>
      </c>
      <c r="AK97" s="67" t="str">
        <f>IF(OR(tblPiNHistorical[[#This Row],[Protection Old]]="", tblPiNHistorical[[#This Row],[Protection Old]]=0, tblPiNHistorical[[#This Row],[Protection New]]="", tblPiNHistorical[[#This Row],[Protection New]]=0), "", tblPiNHistorical[[#This Row],[Protection New]]-tblPiNHistorical[[#This Row],[Protection Old]])</f>
        <v/>
      </c>
      <c r="AL97" s="67" t="str">
        <f>IF(OR(tblPiNHistorical[[#This Row],[CP Old ]]="", tblPiNHistorical[[#This Row],[CP Old ]]=0, tblPiNHistorical[[#This Row],[CP New]]="", tblPiNHistorical[[#This Row],[CP New]]=0), "", tblPiNHistorical[[#This Row],[CP New]]-tblPiNHistorical[[#This Row],[CP Old ]])</f>
        <v/>
      </c>
      <c r="AM97" s="83" t="str">
        <f>IF(OR(tblPiNHistorical[[#This Row],[GBV Old]]="", tblPiNHistorical[[#This Row],[GBV Old]]=0, tblPiNHistorical[[#This Row],[GBV New]]="", tblPiNHistorical[[#This Row],[GBV New]]=0), "", tblPiNHistorical[[#This Row],[GBV New]]-tblPiNHistorical[[#This Row],[GBV Old]])</f>
        <v/>
      </c>
      <c r="AN97" s="83" t="str">
        <f>IF(OR(tblPiNHistorical[[#This Row],[Mine Action Old]]="", tblPiNHistorical[[#This Row],[Mine Action Old]]=0, tblPiNHistorical[[#This Row],[Mine Action New]]="", tblPiNHistorical[[#This Row],[Mine Action New]]=0), "", tblPiNHistorical[[#This Row],[Mine Action New]]-tblPiNHistorical[[#This Row],[Mine Action Old]])</f>
        <v/>
      </c>
      <c r="AO97" s="67">
        <f>IF(OR(tblPiNHistorical[[#This Row],[Shelter NFI Old]]="", tblPiNHistorical[[#This Row],[Shelter NFI Old]]=0, tblPiNHistorical[[#This Row],[Shelter NFI New]]="", tblPiNHistorical[[#This Row],[Shelter NFI New]]=0), "", tblPiNHistorical[[#This Row],[Shelter NFI New]]-tblPiNHistorical[[#This Row],[Shelter NFI Old]])</f>
        <v>-440</v>
      </c>
      <c r="AP97" s="111" t="str">
        <f>IF(OR(tblPiNHistorical[[#This Row],[WASH Old]]="", tblPiNHistorical[[#This Row],[WASH Old]]=0, tblPiNHistorical[[#This Row],[WASH New]]="", tblPiNHistorical[[#This Row],[WASH New]]=0), "", tblPiNHistorical[[#This Row],[WASH New]]-tblPiNHistorical[[#This Row],[WASH Old]])</f>
        <v/>
      </c>
      <c r="AQ97" s="110" t="str">
        <f>IFERROR(ROUND((tblPiNHistorical[[#This Row],[Site Management - New]] - tblPiNHistorical[[#This Row],[Site Management - Old]])/tblPiNHistorical[[#This Row],[Site Management - Old]], 1), "")</f>
        <v/>
      </c>
      <c r="AR97" s="66">
        <f>IFERROR(ROUND((tblPiNHistorical[[#This Row],[Education New]]-tblPiNHistorical[[#This Row],[Education Old]])/tblPiNHistorical[[#This Row],[Education Old]], 1), "")</f>
        <v>-1</v>
      </c>
      <c r="AS97" s="66">
        <f>IFERROR(ROUND((tblPiNHistorical[[#This Row],[Food Security and Livlihoods New]]-tblPiNHistorical[[#This Row],[Food Security and Livlihoods Old]])/tblPiNHistorical[[#This Row],[Food Security and Livlihoods Old]], 1), "")</f>
        <v>-1</v>
      </c>
      <c r="AT97" s="66">
        <f>IFERROR(ROUND((tblPiNHistorical[[#This Row],[Health New]]-tblPiNHistorical[[#This Row],[Health Old]])/tblPiNHistorical[[#This Row],[Health Old]], 1), "")</f>
        <v>-1</v>
      </c>
      <c r="AU97" s="66">
        <f>IFERROR(ROUND((tblPiNHistorical[[#This Row],[Nutrition New]]-tblPiNHistorical[[#This Row],[Nutrition Old]])/tblPiNHistorical[[#This Row],[Nutrition Old]], 1), "")</f>
        <v>-1</v>
      </c>
      <c r="AV97" s="66">
        <f>IFERROR(ROUND((tblPiNHistorical[[#This Row],[Protection New]]-tblPiNHistorical[[#This Row],[Protection Old]])/tblPiNHistorical[[#This Row],[Protection Old]], 1), "")</f>
        <v>-1</v>
      </c>
      <c r="AW97" s="84">
        <f>IFERROR(ROUND((tblPiNHistorical[[#This Row],[CP New]]-tblPiNHistorical[[#This Row],[CP Old ]])/tblPiNHistorical[[#This Row],[CP Old ]], 1), "")</f>
        <v>-1</v>
      </c>
      <c r="AX97" s="84">
        <f>IFERROR(ROUND((tblPiNHistorical[[#This Row],[GBV New]]-tblPiNHistorical[[#This Row],[GBV Old]])/tblPiNHistorical[[#This Row],[GBV Old]], 1), "")</f>
        <v>-1</v>
      </c>
      <c r="AY97" s="84" t="str">
        <f>IFERROR(ROUND((tblPiNHistorical[[#This Row],[Mine Action New]]-tblPiNHistorical[[#This Row],[Mine Action Old]])/tblPiNHistorical[[#This Row],[Mine Action Old]], 1), "")</f>
        <v/>
      </c>
      <c r="AZ97" s="66">
        <f>IFERROR(ROUND((tblPiNHistorical[[#This Row],[Shelter NFI New]]-tblPiNHistorical[[#This Row],[Shelter NFI Old]])/tblPiNHistorical[[#This Row],[Shelter NFI Old]], 1), "")</f>
        <v>0</v>
      </c>
      <c r="BA97" s="36">
        <f>IFERROR(ROUND((tblPiNHistorical[[#This Row],[WASH New]]-tblPiNHistorical[[#This Row],[WASH Old]])/tblPiNHistorical[[#This Row],[WASH Old]], 1), "")</f>
        <v>-1</v>
      </c>
      <c r="BB97"/>
      <c r="BC97"/>
      <c r="BD97"/>
      <c r="BE97"/>
      <c r="BF97"/>
      <c r="BG97"/>
      <c r="BH97"/>
      <c r="BI97"/>
      <c r="BL97"/>
      <c r="BN97"/>
      <c r="BO97"/>
      <c r="BP97"/>
    </row>
    <row r="98" spans="1:68" x14ac:dyDescent="0.25">
      <c r="A98"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IDPsSD17017</v>
      </c>
      <c r="B98" s="127" t="s">
        <v>173</v>
      </c>
      <c r="C98" s="60" t="s">
        <v>134</v>
      </c>
      <c r="D98" s="60" t="s">
        <v>532</v>
      </c>
      <c r="E98" s="60" t="s">
        <v>533</v>
      </c>
      <c r="F98" s="54"/>
      <c r="G98" s="30"/>
      <c r="H98" s="56">
        <v>50051</v>
      </c>
      <c r="I98" s="37" t="s">
        <v>88</v>
      </c>
      <c r="J98" s="34">
        <v>0</v>
      </c>
      <c r="K98" s="116">
        <v>19404.772699999998</v>
      </c>
      <c r="L98" s="114">
        <v>50051</v>
      </c>
      <c r="M98" s="114">
        <v>50051</v>
      </c>
      <c r="N98" s="114">
        <v>6070</v>
      </c>
      <c r="O98" s="114">
        <v>27528.050000000003</v>
      </c>
      <c r="P98" s="114">
        <v>27528</v>
      </c>
      <c r="Q98" s="114">
        <v>19811</v>
      </c>
      <c r="R98" s="114">
        <v>0</v>
      </c>
      <c r="S98" s="114">
        <v>30031</v>
      </c>
      <c r="T98" s="196">
        <v>25934.426160000003</v>
      </c>
      <c r="U98" s="52">
        <f>IFERROR(INDEX(tblPiNAnalysis[[Site Management ]], MATCH(tblPiNHistorical[[#This Row],[ID]], tblPiNAnalysis[ID], 0)), "")</f>
        <v>0</v>
      </c>
      <c r="V98" s="52">
        <f>IFERROR(INDEX(tblPiNAnalysis[Education], MATCH(tblPiNHistorical[[#This Row],[ID]], tblPiNAnalysis[ID], 0)), "")</f>
        <v>0</v>
      </c>
      <c r="W98" s="28">
        <f>IFERROR(INDEX(tblPiNAnalysis[Food Security and Livlihoods], MATCH(tblPiNHistorical[[#This Row],[ID]], tblPiNAnalysis[ID], 0)), "")</f>
        <v>0</v>
      </c>
      <c r="X98" s="28">
        <f>IFERROR(INDEX(tblPiNAnalysis[[Health ]], MATCH(tblPiNHistorical[[#This Row],[ID]], tblPiNAnalysis[ID], 0)), "")</f>
        <v>0</v>
      </c>
      <c r="Y98" s="28">
        <f>IFERROR(INDEX(tblPiNAnalysis[Nutrition], MATCH(tblPiNHistorical[[#This Row],[ID]], tblPiNAnalysis[ID], 0)), "")</f>
        <v>0</v>
      </c>
      <c r="Z98" s="28">
        <f>IFERROR(INDEX(tblPiNAnalysis[Protection], MATCH(tblPiNHistorical[[#This Row],[ID]], tblPiNAnalysis[ID], 0)), "")</f>
        <v>0</v>
      </c>
      <c r="AA98" s="28">
        <f>IFERROR(INDEX(tblPiNAnalysis[CP], MATCH(tblPiNHistorical[[#This Row],[ID]], tblPiNAnalysis[ID], 0)), "")</f>
        <v>0</v>
      </c>
      <c r="AB98" s="83">
        <f>IFERROR(INDEX(tblPiNAnalysis[GBV], MATCH(tblPiNHistorical[[#This Row],[ID]], tblPiNAnalysis[ID], 0)), "")</f>
        <v>0</v>
      </c>
      <c r="AC98" s="28">
        <f>IFERROR(INDEX(tblPiNAnalysis[Mine Action], MATCH(tblPiNHistorical[[#This Row],[ID]], tblPiNAnalysis[ID], 0)), "")</f>
        <v>0</v>
      </c>
      <c r="AD98" s="83">
        <f>IFERROR(INDEX(tblPiNAnalysis[[Shelter NFI ]], MATCH(tblPiNHistorical[[#This Row],[ID]], tblPiNAnalysis[ID], 0)), "")</f>
        <v>27577</v>
      </c>
      <c r="AE98" s="35">
        <f>IFERROR(INDEX(tblPiNAnalysis[WASH], MATCH(tblPiNHistorical[[#This Row],[ID]], tblPiNAnalysis[ID], 0)), "")</f>
        <v>0</v>
      </c>
      <c r="AF98" s="6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98" s="67" t="str">
        <f>IF(OR(tblPiNHistorical[[#This Row],[Education Old]]="", tblPiNHistorical[[#This Row],[Education Old]]=0, tblPiNHistorical[[#This Row],[Education New]]="", tblPiNHistorical[[#This Row],[Education New]]=0), "", tblPiNHistorical[[#This Row],[Education New]]-tblPiNHistorical[[#This Row],[Education Old]])</f>
        <v/>
      </c>
      <c r="AH98" s="67"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98" s="67" t="str">
        <f>IF(OR(tblPiNHistorical[[#This Row],[Health Old]]="", tblPiNHistorical[[#This Row],[Health Old]]=0, tblPiNHistorical[[#This Row],[Health New]]="", tblPiNHistorical[[#This Row],[Health New]]=0), "", tblPiNHistorical[[#This Row],[Health New]]-tblPiNHistorical[[#This Row],[Health Old]])</f>
        <v/>
      </c>
      <c r="AJ98" s="67" t="str">
        <f>IF(OR(tblPiNHistorical[[#This Row],[Nutrition Old]]="", tblPiNHistorical[[#This Row],[Nutrition Old]]=0, tblPiNHistorical[[#This Row],[Nutrition New]]="", tblPiNHistorical[[#This Row],[Nutrition New]]=0), "", tblPiNHistorical[[#This Row],[Nutrition New]]-tblPiNHistorical[[#This Row],[Nutrition Old]])</f>
        <v/>
      </c>
      <c r="AK98" s="67" t="str">
        <f>IF(OR(tblPiNHistorical[[#This Row],[Protection Old]]="", tblPiNHistorical[[#This Row],[Protection Old]]=0, tblPiNHistorical[[#This Row],[Protection New]]="", tblPiNHistorical[[#This Row],[Protection New]]=0), "", tblPiNHistorical[[#This Row],[Protection New]]-tblPiNHistorical[[#This Row],[Protection Old]])</f>
        <v/>
      </c>
      <c r="AL98" s="67" t="str">
        <f>IF(OR(tblPiNHistorical[[#This Row],[CP Old ]]="", tblPiNHistorical[[#This Row],[CP Old ]]=0, tblPiNHistorical[[#This Row],[CP New]]="", tblPiNHistorical[[#This Row],[CP New]]=0), "", tblPiNHistorical[[#This Row],[CP New]]-tblPiNHistorical[[#This Row],[CP Old ]])</f>
        <v/>
      </c>
      <c r="AM98" s="83" t="str">
        <f>IF(OR(tblPiNHistorical[[#This Row],[GBV Old]]="", tblPiNHistorical[[#This Row],[GBV Old]]=0, tblPiNHistorical[[#This Row],[GBV New]]="", tblPiNHistorical[[#This Row],[GBV New]]=0), "", tblPiNHistorical[[#This Row],[GBV New]]-tblPiNHistorical[[#This Row],[GBV Old]])</f>
        <v/>
      </c>
      <c r="AN98" s="83" t="str">
        <f>IF(OR(tblPiNHistorical[[#This Row],[Mine Action Old]]="", tblPiNHistorical[[#This Row],[Mine Action Old]]=0, tblPiNHistorical[[#This Row],[Mine Action New]]="", tblPiNHistorical[[#This Row],[Mine Action New]]=0), "", tblPiNHistorical[[#This Row],[Mine Action New]]-tblPiNHistorical[[#This Row],[Mine Action Old]])</f>
        <v/>
      </c>
      <c r="AO98" s="67">
        <f>IF(OR(tblPiNHistorical[[#This Row],[Shelter NFI Old]]="", tblPiNHistorical[[#This Row],[Shelter NFI Old]]=0, tblPiNHistorical[[#This Row],[Shelter NFI New]]="", tblPiNHistorical[[#This Row],[Shelter NFI New]]=0), "", tblPiNHistorical[[#This Row],[Shelter NFI New]]-tblPiNHistorical[[#This Row],[Shelter NFI Old]])</f>
        <v>-2454</v>
      </c>
      <c r="AP98" s="111" t="str">
        <f>IF(OR(tblPiNHistorical[[#This Row],[WASH Old]]="", tblPiNHistorical[[#This Row],[WASH Old]]=0, tblPiNHistorical[[#This Row],[WASH New]]="", tblPiNHistorical[[#This Row],[WASH New]]=0), "", tblPiNHistorical[[#This Row],[WASH New]]-tblPiNHistorical[[#This Row],[WASH Old]])</f>
        <v/>
      </c>
      <c r="AQ98" s="110" t="str">
        <f>IFERROR(ROUND((tblPiNHistorical[[#This Row],[Site Management - New]] - tblPiNHistorical[[#This Row],[Site Management - Old]])/tblPiNHistorical[[#This Row],[Site Management - Old]], 1), "")</f>
        <v/>
      </c>
      <c r="AR98" s="66">
        <f>IFERROR(ROUND((tblPiNHistorical[[#This Row],[Education New]]-tblPiNHistorical[[#This Row],[Education Old]])/tblPiNHistorical[[#This Row],[Education Old]], 1), "")</f>
        <v>-1</v>
      </c>
      <c r="AS98" s="66">
        <f>IFERROR(ROUND((tblPiNHistorical[[#This Row],[Food Security and Livlihoods New]]-tblPiNHistorical[[#This Row],[Food Security and Livlihoods Old]])/tblPiNHistorical[[#This Row],[Food Security and Livlihoods Old]], 1), "")</f>
        <v>-1</v>
      </c>
      <c r="AT98" s="66">
        <f>IFERROR(ROUND((tblPiNHistorical[[#This Row],[Health New]]-tblPiNHistorical[[#This Row],[Health Old]])/tblPiNHistorical[[#This Row],[Health Old]], 1), "")</f>
        <v>-1</v>
      </c>
      <c r="AU98" s="66">
        <f>IFERROR(ROUND((tblPiNHistorical[[#This Row],[Nutrition New]]-tblPiNHistorical[[#This Row],[Nutrition Old]])/tblPiNHistorical[[#This Row],[Nutrition Old]], 1), "")</f>
        <v>-1</v>
      </c>
      <c r="AV98" s="66">
        <f>IFERROR(ROUND((tblPiNHistorical[[#This Row],[Protection New]]-tblPiNHistorical[[#This Row],[Protection Old]])/tblPiNHistorical[[#This Row],[Protection Old]], 1), "")</f>
        <v>-1</v>
      </c>
      <c r="AW98" s="84">
        <f>IFERROR(ROUND((tblPiNHistorical[[#This Row],[CP New]]-tblPiNHistorical[[#This Row],[CP Old ]])/tblPiNHistorical[[#This Row],[CP Old ]], 1), "")</f>
        <v>-1</v>
      </c>
      <c r="AX98" s="84">
        <f>IFERROR(ROUND((tblPiNHistorical[[#This Row],[GBV New]]-tblPiNHistorical[[#This Row],[GBV Old]])/tblPiNHistorical[[#This Row],[GBV Old]], 1), "")</f>
        <v>-1</v>
      </c>
      <c r="AY98" s="84" t="str">
        <f>IFERROR(ROUND((tblPiNHistorical[[#This Row],[Mine Action New]]-tblPiNHistorical[[#This Row],[Mine Action Old]])/tblPiNHistorical[[#This Row],[Mine Action Old]], 1), "")</f>
        <v/>
      </c>
      <c r="AZ98" s="66">
        <f>IFERROR(ROUND((tblPiNHistorical[[#This Row],[Shelter NFI New]]-tblPiNHistorical[[#This Row],[Shelter NFI Old]])/tblPiNHistorical[[#This Row],[Shelter NFI Old]], 1), "")</f>
        <v>-0.1</v>
      </c>
      <c r="BA98" s="36">
        <f>IFERROR(ROUND((tblPiNHistorical[[#This Row],[WASH New]]-tblPiNHistorical[[#This Row],[WASH Old]])/tblPiNHistorical[[#This Row],[WASH Old]], 1), "")</f>
        <v>-1</v>
      </c>
      <c r="BB98"/>
      <c r="BC98"/>
      <c r="BD98"/>
      <c r="BE98"/>
      <c r="BF98"/>
      <c r="BG98"/>
      <c r="BH98"/>
      <c r="BI98"/>
      <c r="BL98"/>
      <c r="BN98"/>
      <c r="BO98"/>
      <c r="BP98"/>
    </row>
    <row r="99" spans="1:68" x14ac:dyDescent="0.25">
      <c r="A99"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IDPsSD17014</v>
      </c>
      <c r="B99" s="127" t="s">
        <v>173</v>
      </c>
      <c r="C99" s="60" t="s">
        <v>134</v>
      </c>
      <c r="D99" s="60" t="s">
        <v>526</v>
      </c>
      <c r="E99" s="60" t="s">
        <v>527</v>
      </c>
      <c r="F99" s="54"/>
      <c r="G99" s="30"/>
      <c r="H99" s="56">
        <v>52205</v>
      </c>
      <c r="I99" s="37" t="s">
        <v>88</v>
      </c>
      <c r="J99" s="34">
        <v>0</v>
      </c>
      <c r="K99" s="116">
        <v>20239.878499999999</v>
      </c>
      <c r="L99" s="114">
        <v>52205</v>
      </c>
      <c r="M99" s="114">
        <v>52205</v>
      </c>
      <c r="N99" s="114">
        <v>2208</v>
      </c>
      <c r="O99" s="114">
        <v>52205</v>
      </c>
      <c r="P99" s="114">
        <v>28713</v>
      </c>
      <c r="Q99" s="114">
        <v>20663</v>
      </c>
      <c r="R99" s="114">
        <v>0</v>
      </c>
      <c r="S99" s="114">
        <v>31323</v>
      </c>
      <c r="T99" s="196">
        <v>29474.942999999999</v>
      </c>
      <c r="U99" s="52">
        <f>IFERROR(INDEX(tblPiNAnalysis[[Site Management ]], MATCH(tblPiNHistorical[[#This Row],[ID]], tblPiNAnalysis[ID], 0)), "")</f>
        <v>0</v>
      </c>
      <c r="V99" s="52">
        <f>IFERROR(INDEX(tblPiNAnalysis[Education], MATCH(tblPiNHistorical[[#This Row],[ID]], tblPiNAnalysis[ID], 0)), "")</f>
        <v>0</v>
      </c>
      <c r="W99" s="28">
        <f>IFERROR(INDEX(tblPiNAnalysis[Food Security and Livlihoods], MATCH(tblPiNHistorical[[#This Row],[ID]], tblPiNAnalysis[ID], 0)), "")</f>
        <v>0</v>
      </c>
      <c r="X99" s="28">
        <f>IFERROR(INDEX(tblPiNAnalysis[[Health ]], MATCH(tblPiNHistorical[[#This Row],[ID]], tblPiNAnalysis[ID], 0)), "")</f>
        <v>0</v>
      </c>
      <c r="Y99" s="28">
        <f>IFERROR(INDEX(tblPiNAnalysis[Nutrition], MATCH(tblPiNHistorical[[#This Row],[ID]], tblPiNAnalysis[ID], 0)), "")</f>
        <v>0</v>
      </c>
      <c r="Z99" s="28">
        <f>IFERROR(INDEX(tblPiNAnalysis[Protection], MATCH(tblPiNHistorical[[#This Row],[ID]], tblPiNAnalysis[ID], 0)), "")</f>
        <v>0</v>
      </c>
      <c r="AA99" s="28">
        <f>IFERROR(INDEX(tblPiNAnalysis[CP], MATCH(tblPiNHistorical[[#This Row],[ID]], tblPiNAnalysis[ID], 0)), "")</f>
        <v>0</v>
      </c>
      <c r="AB99" s="83">
        <f>IFERROR(INDEX(tblPiNAnalysis[GBV], MATCH(tblPiNHistorical[[#This Row],[ID]], tblPiNAnalysis[ID], 0)), "")</f>
        <v>0</v>
      </c>
      <c r="AC99" s="28">
        <f>IFERROR(INDEX(tblPiNAnalysis[Mine Action], MATCH(tblPiNHistorical[[#This Row],[ID]], tblPiNAnalysis[ID], 0)), "")</f>
        <v>0</v>
      </c>
      <c r="AD99" s="83">
        <f>IFERROR(INDEX(tblPiNAnalysis[[Shelter NFI ]], MATCH(tblPiNHistorical[[#This Row],[ID]], tblPiNAnalysis[ID], 0)), "")</f>
        <v>11917</v>
      </c>
      <c r="AE99" s="35">
        <f>IFERROR(INDEX(tblPiNAnalysis[WASH], MATCH(tblPiNHistorical[[#This Row],[ID]], tblPiNAnalysis[ID], 0)), "")</f>
        <v>0</v>
      </c>
      <c r="AF99" s="6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99" s="67" t="str">
        <f>IF(OR(tblPiNHistorical[[#This Row],[Education Old]]="", tblPiNHistorical[[#This Row],[Education Old]]=0, tblPiNHistorical[[#This Row],[Education New]]="", tblPiNHistorical[[#This Row],[Education New]]=0), "", tblPiNHistorical[[#This Row],[Education New]]-tblPiNHistorical[[#This Row],[Education Old]])</f>
        <v/>
      </c>
      <c r="AH99" s="67"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99" s="67" t="str">
        <f>IF(OR(tblPiNHistorical[[#This Row],[Health Old]]="", tblPiNHistorical[[#This Row],[Health Old]]=0, tblPiNHistorical[[#This Row],[Health New]]="", tblPiNHistorical[[#This Row],[Health New]]=0), "", tblPiNHistorical[[#This Row],[Health New]]-tblPiNHistorical[[#This Row],[Health Old]])</f>
        <v/>
      </c>
      <c r="AJ99" s="67" t="str">
        <f>IF(OR(tblPiNHistorical[[#This Row],[Nutrition Old]]="", tblPiNHistorical[[#This Row],[Nutrition Old]]=0, tblPiNHistorical[[#This Row],[Nutrition New]]="", tblPiNHistorical[[#This Row],[Nutrition New]]=0), "", tblPiNHistorical[[#This Row],[Nutrition New]]-tblPiNHistorical[[#This Row],[Nutrition Old]])</f>
        <v/>
      </c>
      <c r="AK99" s="67" t="str">
        <f>IF(OR(tblPiNHistorical[[#This Row],[Protection Old]]="", tblPiNHistorical[[#This Row],[Protection Old]]=0, tblPiNHistorical[[#This Row],[Protection New]]="", tblPiNHistorical[[#This Row],[Protection New]]=0), "", tblPiNHistorical[[#This Row],[Protection New]]-tblPiNHistorical[[#This Row],[Protection Old]])</f>
        <v/>
      </c>
      <c r="AL99" s="67" t="str">
        <f>IF(OR(tblPiNHistorical[[#This Row],[CP Old ]]="", tblPiNHistorical[[#This Row],[CP Old ]]=0, tblPiNHistorical[[#This Row],[CP New]]="", tblPiNHistorical[[#This Row],[CP New]]=0), "", tblPiNHistorical[[#This Row],[CP New]]-tblPiNHistorical[[#This Row],[CP Old ]])</f>
        <v/>
      </c>
      <c r="AM99" s="83" t="str">
        <f>IF(OR(tblPiNHistorical[[#This Row],[GBV Old]]="", tblPiNHistorical[[#This Row],[GBV Old]]=0, tblPiNHistorical[[#This Row],[GBV New]]="", tblPiNHistorical[[#This Row],[GBV New]]=0), "", tblPiNHistorical[[#This Row],[GBV New]]-tblPiNHistorical[[#This Row],[GBV Old]])</f>
        <v/>
      </c>
      <c r="AN99" s="83" t="str">
        <f>IF(OR(tblPiNHistorical[[#This Row],[Mine Action Old]]="", tblPiNHistorical[[#This Row],[Mine Action Old]]=0, tblPiNHistorical[[#This Row],[Mine Action New]]="", tblPiNHistorical[[#This Row],[Mine Action New]]=0), "", tblPiNHistorical[[#This Row],[Mine Action New]]-tblPiNHistorical[[#This Row],[Mine Action Old]])</f>
        <v/>
      </c>
      <c r="AO99" s="67">
        <f>IF(OR(tblPiNHistorical[[#This Row],[Shelter NFI Old]]="", tblPiNHistorical[[#This Row],[Shelter NFI Old]]=0, tblPiNHistorical[[#This Row],[Shelter NFI New]]="", tblPiNHistorical[[#This Row],[Shelter NFI New]]=0), "", tblPiNHistorical[[#This Row],[Shelter NFI New]]-tblPiNHistorical[[#This Row],[Shelter NFI Old]])</f>
        <v>-19406</v>
      </c>
      <c r="AP99" s="111" t="str">
        <f>IF(OR(tblPiNHistorical[[#This Row],[WASH Old]]="", tblPiNHistorical[[#This Row],[WASH Old]]=0, tblPiNHistorical[[#This Row],[WASH New]]="", tblPiNHistorical[[#This Row],[WASH New]]=0), "", tblPiNHistorical[[#This Row],[WASH New]]-tblPiNHistorical[[#This Row],[WASH Old]])</f>
        <v/>
      </c>
      <c r="AQ99" s="110" t="str">
        <f>IFERROR(ROUND((tblPiNHistorical[[#This Row],[Site Management - New]] - tblPiNHistorical[[#This Row],[Site Management - Old]])/tblPiNHistorical[[#This Row],[Site Management - Old]], 1), "")</f>
        <v/>
      </c>
      <c r="AR99" s="66">
        <f>IFERROR(ROUND((tblPiNHistorical[[#This Row],[Education New]]-tblPiNHistorical[[#This Row],[Education Old]])/tblPiNHistorical[[#This Row],[Education Old]], 1), "")</f>
        <v>-1</v>
      </c>
      <c r="AS99" s="66">
        <f>IFERROR(ROUND((tblPiNHistorical[[#This Row],[Food Security and Livlihoods New]]-tblPiNHistorical[[#This Row],[Food Security and Livlihoods Old]])/tblPiNHistorical[[#This Row],[Food Security and Livlihoods Old]], 1), "")</f>
        <v>-1</v>
      </c>
      <c r="AT99" s="66">
        <f>IFERROR(ROUND((tblPiNHistorical[[#This Row],[Health New]]-tblPiNHistorical[[#This Row],[Health Old]])/tblPiNHistorical[[#This Row],[Health Old]], 1), "")</f>
        <v>-1</v>
      </c>
      <c r="AU99" s="66">
        <f>IFERROR(ROUND((tblPiNHistorical[[#This Row],[Nutrition New]]-tblPiNHistorical[[#This Row],[Nutrition Old]])/tblPiNHistorical[[#This Row],[Nutrition Old]], 1), "")</f>
        <v>-1</v>
      </c>
      <c r="AV99" s="66">
        <f>IFERROR(ROUND((tblPiNHistorical[[#This Row],[Protection New]]-tblPiNHistorical[[#This Row],[Protection Old]])/tblPiNHistorical[[#This Row],[Protection Old]], 1), "")</f>
        <v>-1</v>
      </c>
      <c r="AW99" s="84">
        <f>IFERROR(ROUND((tblPiNHistorical[[#This Row],[CP New]]-tblPiNHistorical[[#This Row],[CP Old ]])/tblPiNHistorical[[#This Row],[CP Old ]], 1), "")</f>
        <v>-1</v>
      </c>
      <c r="AX99" s="84">
        <f>IFERROR(ROUND((tblPiNHistorical[[#This Row],[GBV New]]-tblPiNHistorical[[#This Row],[GBV Old]])/tblPiNHistorical[[#This Row],[GBV Old]], 1), "")</f>
        <v>-1</v>
      </c>
      <c r="AY99" s="84" t="str">
        <f>IFERROR(ROUND((tblPiNHistorical[[#This Row],[Mine Action New]]-tblPiNHistorical[[#This Row],[Mine Action Old]])/tblPiNHistorical[[#This Row],[Mine Action Old]], 1), "")</f>
        <v/>
      </c>
      <c r="AZ99" s="66">
        <f>IFERROR(ROUND((tblPiNHistorical[[#This Row],[Shelter NFI New]]-tblPiNHistorical[[#This Row],[Shelter NFI Old]])/tblPiNHistorical[[#This Row],[Shelter NFI Old]], 1), "")</f>
        <v>-0.6</v>
      </c>
      <c r="BA99" s="36">
        <f>IFERROR(ROUND((tblPiNHistorical[[#This Row],[WASH New]]-tblPiNHistorical[[#This Row],[WASH Old]])/tblPiNHistorical[[#This Row],[WASH Old]], 1), "")</f>
        <v>-1</v>
      </c>
      <c r="BB99"/>
      <c r="BC99"/>
      <c r="BD99"/>
      <c r="BE99"/>
      <c r="BF99"/>
      <c r="BG99"/>
      <c r="BH99"/>
      <c r="BI99"/>
      <c r="BL99"/>
      <c r="BN99"/>
      <c r="BO99"/>
      <c r="BP99"/>
    </row>
    <row r="100" spans="1:68" x14ac:dyDescent="0.25">
      <c r="A100"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IDPsSD17020</v>
      </c>
      <c r="B100" s="127" t="s">
        <v>173</v>
      </c>
      <c r="C100" s="60" t="s">
        <v>134</v>
      </c>
      <c r="D100" s="60" t="s">
        <v>538</v>
      </c>
      <c r="E100" s="60" t="s">
        <v>539</v>
      </c>
      <c r="F100" s="54"/>
      <c r="G100" s="30"/>
      <c r="H100" s="56">
        <v>67443</v>
      </c>
      <c r="I100" s="37" t="s">
        <v>88</v>
      </c>
      <c r="J100" s="34">
        <v>0</v>
      </c>
      <c r="K100" s="116">
        <v>26147.651099999999</v>
      </c>
      <c r="L100" s="114">
        <v>67443</v>
      </c>
      <c r="M100" s="114">
        <v>67443</v>
      </c>
      <c r="N100" s="114">
        <v>5406</v>
      </c>
      <c r="O100" s="114">
        <v>37093.65</v>
      </c>
      <c r="P100" s="114">
        <v>37094</v>
      </c>
      <c r="Q100" s="114">
        <v>26695</v>
      </c>
      <c r="R100" s="114">
        <v>0</v>
      </c>
      <c r="S100" s="114">
        <v>40466</v>
      </c>
      <c r="T100" s="196">
        <v>35860.791960000002</v>
      </c>
      <c r="U100" s="52">
        <f>IFERROR(INDEX(tblPiNAnalysis[[Site Management ]], MATCH(tblPiNHistorical[[#This Row],[ID]], tblPiNAnalysis[ID], 0)), "")</f>
        <v>0</v>
      </c>
      <c r="V100" s="52">
        <f>IFERROR(INDEX(tblPiNAnalysis[Education], MATCH(tblPiNHistorical[[#This Row],[ID]], tblPiNAnalysis[ID], 0)), "")</f>
        <v>0</v>
      </c>
      <c r="W100" s="28">
        <f>IFERROR(INDEX(tblPiNAnalysis[Food Security and Livlihoods], MATCH(tblPiNHistorical[[#This Row],[ID]], tblPiNAnalysis[ID], 0)), "")</f>
        <v>0</v>
      </c>
      <c r="X100" s="28">
        <f>IFERROR(INDEX(tblPiNAnalysis[[Health ]], MATCH(tblPiNHistorical[[#This Row],[ID]], tblPiNAnalysis[ID], 0)), "")</f>
        <v>0</v>
      </c>
      <c r="Y100" s="28">
        <f>IFERROR(INDEX(tblPiNAnalysis[Nutrition], MATCH(tblPiNHistorical[[#This Row],[ID]], tblPiNAnalysis[ID], 0)), "")</f>
        <v>0</v>
      </c>
      <c r="Z100" s="28">
        <f>IFERROR(INDEX(tblPiNAnalysis[Protection], MATCH(tblPiNHistorical[[#This Row],[ID]], tblPiNAnalysis[ID], 0)), "")</f>
        <v>0</v>
      </c>
      <c r="AA100" s="28">
        <f>IFERROR(INDEX(tblPiNAnalysis[CP], MATCH(tblPiNHistorical[[#This Row],[ID]], tblPiNAnalysis[ID], 0)), "")</f>
        <v>0</v>
      </c>
      <c r="AB100" s="83">
        <f>IFERROR(INDEX(tblPiNAnalysis[GBV], MATCH(tblPiNHistorical[[#This Row],[ID]], tblPiNAnalysis[ID], 0)), "")</f>
        <v>0</v>
      </c>
      <c r="AC100" s="28">
        <f>IFERROR(INDEX(tblPiNAnalysis[Mine Action], MATCH(tblPiNHistorical[[#This Row],[ID]], tblPiNAnalysis[ID], 0)), "")</f>
        <v>0</v>
      </c>
      <c r="AD100" s="83">
        <f>IFERROR(INDEX(tblPiNAnalysis[[Shelter NFI ]], MATCH(tblPiNHistorical[[#This Row],[ID]], tblPiNAnalysis[ID], 0)), "")</f>
        <v>21108</v>
      </c>
      <c r="AE100" s="35">
        <f>IFERROR(INDEX(tblPiNAnalysis[WASH], MATCH(tblPiNHistorical[[#This Row],[ID]], tblPiNAnalysis[ID], 0)), "")</f>
        <v>0</v>
      </c>
      <c r="AF100" s="6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100" s="67" t="str">
        <f>IF(OR(tblPiNHistorical[[#This Row],[Education Old]]="", tblPiNHistorical[[#This Row],[Education Old]]=0, tblPiNHistorical[[#This Row],[Education New]]="", tblPiNHistorical[[#This Row],[Education New]]=0), "", tblPiNHistorical[[#This Row],[Education New]]-tblPiNHistorical[[#This Row],[Education Old]])</f>
        <v/>
      </c>
      <c r="AH100" s="67"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100" s="67" t="str">
        <f>IF(OR(tblPiNHistorical[[#This Row],[Health Old]]="", tblPiNHistorical[[#This Row],[Health Old]]=0, tblPiNHistorical[[#This Row],[Health New]]="", tblPiNHistorical[[#This Row],[Health New]]=0), "", tblPiNHistorical[[#This Row],[Health New]]-tblPiNHistorical[[#This Row],[Health Old]])</f>
        <v/>
      </c>
      <c r="AJ100" s="67" t="str">
        <f>IF(OR(tblPiNHistorical[[#This Row],[Nutrition Old]]="", tblPiNHistorical[[#This Row],[Nutrition Old]]=0, tblPiNHistorical[[#This Row],[Nutrition New]]="", tblPiNHistorical[[#This Row],[Nutrition New]]=0), "", tblPiNHistorical[[#This Row],[Nutrition New]]-tblPiNHistorical[[#This Row],[Nutrition Old]])</f>
        <v/>
      </c>
      <c r="AK100" s="67" t="str">
        <f>IF(OR(tblPiNHistorical[[#This Row],[Protection Old]]="", tblPiNHistorical[[#This Row],[Protection Old]]=0, tblPiNHistorical[[#This Row],[Protection New]]="", tblPiNHistorical[[#This Row],[Protection New]]=0), "", tblPiNHistorical[[#This Row],[Protection New]]-tblPiNHistorical[[#This Row],[Protection Old]])</f>
        <v/>
      </c>
      <c r="AL100" s="67" t="str">
        <f>IF(OR(tblPiNHistorical[[#This Row],[CP Old ]]="", tblPiNHistorical[[#This Row],[CP Old ]]=0, tblPiNHistorical[[#This Row],[CP New]]="", tblPiNHistorical[[#This Row],[CP New]]=0), "", tblPiNHistorical[[#This Row],[CP New]]-tblPiNHistorical[[#This Row],[CP Old ]])</f>
        <v/>
      </c>
      <c r="AM100" s="83" t="str">
        <f>IF(OR(tblPiNHistorical[[#This Row],[GBV Old]]="", tblPiNHistorical[[#This Row],[GBV Old]]=0, tblPiNHistorical[[#This Row],[GBV New]]="", tblPiNHistorical[[#This Row],[GBV New]]=0), "", tblPiNHistorical[[#This Row],[GBV New]]-tblPiNHistorical[[#This Row],[GBV Old]])</f>
        <v/>
      </c>
      <c r="AN100" s="83" t="str">
        <f>IF(OR(tblPiNHistorical[[#This Row],[Mine Action Old]]="", tblPiNHistorical[[#This Row],[Mine Action Old]]=0, tblPiNHistorical[[#This Row],[Mine Action New]]="", tblPiNHistorical[[#This Row],[Mine Action New]]=0), "", tblPiNHistorical[[#This Row],[Mine Action New]]-tblPiNHistorical[[#This Row],[Mine Action Old]])</f>
        <v/>
      </c>
      <c r="AO100" s="67">
        <f>IF(OR(tblPiNHistorical[[#This Row],[Shelter NFI Old]]="", tblPiNHistorical[[#This Row],[Shelter NFI Old]]=0, tblPiNHistorical[[#This Row],[Shelter NFI New]]="", tblPiNHistorical[[#This Row],[Shelter NFI New]]=0), "", tblPiNHistorical[[#This Row],[Shelter NFI New]]-tblPiNHistorical[[#This Row],[Shelter NFI Old]])</f>
        <v>-19358</v>
      </c>
      <c r="AP100" s="111" t="str">
        <f>IF(OR(tblPiNHistorical[[#This Row],[WASH Old]]="", tblPiNHistorical[[#This Row],[WASH Old]]=0, tblPiNHistorical[[#This Row],[WASH New]]="", tblPiNHistorical[[#This Row],[WASH New]]=0), "", tblPiNHistorical[[#This Row],[WASH New]]-tblPiNHistorical[[#This Row],[WASH Old]])</f>
        <v/>
      </c>
      <c r="AQ100" s="110" t="str">
        <f>IFERROR(ROUND((tblPiNHistorical[[#This Row],[Site Management - New]] - tblPiNHistorical[[#This Row],[Site Management - Old]])/tblPiNHistorical[[#This Row],[Site Management - Old]], 1), "")</f>
        <v/>
      </c>
      <c r="AR100" s="66">
        <f>IFERROR(ROUND((tblPiNHistorical[[#This Row],[Education New]]-tblPiNHistorical[[#This Row],[Education Old]])/tblPiNHistorical[[#This Row],[Education Old]], 1), "")</f>
        <v>-1</v>
      </c>
      <c r="AS100" s="66">
        <f>IFERROR(ROUND((tblPiNHistorical[[#This Row],[Food Security and Livlihoods New]]-tblPiNHistorical[[#This Row],[Food Security and Livlihoods Old]])/tblPiNHistorical[[#This Row],[Food Security and Livlihoods Old]], 1), "")</f>
        <v>-1</v>
      </c>
      <c r="AT100" s="66">
        <f>IFERROR(ROUND((tblPiNHistorical[[#This Row],[Health New]]-tblPiNHistorical[[#This Row],[Health Old]])/tblPiNHistorical[[#This Row],[Health Old]], 1), "")</f>
        <v>-1</v>
      </c>
      <c r="AU100" s="66">
        <f>IFERROR(ROUND((tblPiNHistorical[[#This Row],[Nutrition New]]-tblPiNHistorical[[#This Row],[Nutrition Old]])/tblPiNHistorical[[#This Row],[Nutrition Old]], 1), "")</f>
        <v>-1</v>
      </c>
      <c r="AV100" s="66">
        <f>IFERROR(ROUND((tblPiNHistorical[[#This Row],[Protection New]]-tblPiNHistorical[[#This Row],[Protection Old]])/tblPiNHistorical[[#This Row],[Protection Old]], 1), "")</f>
        <v>-1</v>
      </c>
      <c r="AW100" s="84">
        <f>IFERROR(ROUND((tblPiNHistorical[[#This Row],[CP New]]-tblPiNHistorical[[#This Row],[CP Old ]])/tblPiNHistorical[[#This Row],[CP Old ]], 1), "")</f>
        <v>-1</v>
      </c>
      <c r="AX100" s="84">
        <f>IFERROR(ROUND((tblPiNHistorical[[#This Row],[GBV New]]-tblPiNHistorical[[#This Row],[GBV Old]])/tblPiNHistorical[[#This Row],[GBV Old]], 1), "")</f>
        <v>-1</v>
      </c>
      <c r="AY100" s="84" t="str">
        <f>IFERROR(ROUND((tblPiNHistorical[[#This Row],[Mine Action New]]-tblPiNHistorical[[#This Row],[Mine Action Old]])/tblPiNHistorical[[#This Row],[Mine Action Old]], 1), "")</f>
        <v/>
      </c>
      <c r="AZ100" s="66">
        <f>IFERROR(ROUND((tblPiNHistorical[[#This Row],[Shelter NFI New]]-tblPiNHistorical[[#This Row],[Shelter NFI Old]])/tblPiNHistorical[[#This Row],[Shelter NFI Old]], 1), "")</f>
        <v>-0.5</v>
      </c>
      <c r="BA100" s="36">
        <f>IFERROR(ROUND((tblPiNHistorical[[#This Row],[WASH New]]-tblPiNHistorical[[#This Row],[WASH Old]])/tblPiNHistorical[[#This Row],[WASH Old]], 1), "")</f>
        <v>-1</v>
      </c>
      <c r="BB100"/>
      <c r="BC100"/>
      <c r="BD100"/>
      <c r="BE100"/>
      <c r="BF100"/>
      <c r="BG100"/>
      <c r="BH100"/>
      <c r="BI100"/>
      <c r="BL100"/>
      <c r="BN100"/>
      <c r="BO100"/>
      <c r="BP100"/>
    </row>
    <row r="101" spans="1:68" x14ac:dyDescent="0.25">
      <c r="A101"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IDPsSD10072</v>
      </c>
      <c r="B101" s="127" t="s">
        <v>176</v>
      </c>
      <c r="C101" s="60" t="s">
        <v>127</v>
      </c>
      <c r="D101" s="60" t="s">
        <v>420</v>
      </c>
      <c r="E101" s="60" t="s">
        <v>421</v>
      </c>
      <c r="F101" s="54"/>
      <c r="G101" s="30"/>
      <c r="H101" s="56">
        <v>0</v>
      </c>
      <c r="I101" s="37" t="s">
        <v>88</v>
      </c>
      <c r="J101" s="34">
        <v>0</v>
      </c>
      <c r="K101" s="116">
        <v>0</v>
      </c>
      <c r="L101" s="114">
        <v>0</v>
      </c>
      <c r="M101" s="114">
        <v>0</v>
      </c>
      <c r="N101" s="114">
        <v>0</v>
      </c>
      <c r="O101" s="114">
        <v>0</v>
      </c>
      <c r="P101" s="114">
        <v>0</v>
      </c>
      <c r="Q101" s="114">
        <v>0</v>
      </c>
      <c r="R101" s="114">
        <v>0</v>
      </c>
      <c r="S101" s="114">
        <v>0</v>
      </c>
      <c r="T101" s="196">
        <v>0</v>
      </c>
      <c r="U101" s="52">
        <f>IFERROR(INDEX(tblPiNAnalysis[[Site Management ]], MATCH(tblPiNHistorical[[#This Row],[ID]], tblPiNAnalysis[ID], 0)), "")</f>
        <v>0</v>
      </c>
      <c r="V101" s="52">
        <f>IFERROR(INDEX(tblPiNAnalysis[Education], MATCH(tblPiNHistorical[[#This Row],[ID]], tblPiNAnalysis[ID], 0)), "")</f>
        <v>0</v>
      </c>
      <c r="W101" s="28">
        <f>IFERROR(INDEX(tblPiNAnalysis[Food Security and Livlihoods], MATCH(tblPiNHistorical[[#This Row],[ID]], tblPiNAnalysis[ID], 0)), "")</f>
        <v>0</v>
      </c>
      <c r="X101" s="28">
        <f>IFERROR(INDEX(tblPiNAnalysis[[Health ]], MATCH(tblPiNHistorical[[#This Row],[ID]], tblPiNAnalysis[ID], 0)), "")</f>
        <v>0</v>
      </c>
      <c r="Y101" s="28">
        <f>IFERROR(INDEX(tblPiNAnalysis[Nutrition], MATCH(tblPiNHistorical[[#This Row],[ID]], tblPiNAnalysis[ID], 0)), "")</f>
        <v>0</v>
      </c>
      <c r="Z101" s="28">
        <f>IFERROR(INDEX(tblPiNAnalysis[Protection], MATCH(tblPiNHistorical[[#This Row],[ID]], tblPiNAnalysis[ID], 0)), "")</f>
        <v>0</v>
      </c>
      <c r="AA101" s="28">
        <f>IFERROR(INDEX(tblPiNAnalysis[CP], MATCH(tblPiNHistorical[[#This Row],[ID]], tblPiNAnalysis[ID], 0)), "")</f>
        <v>0</v>
      </c>
      <c r="AB101" s="83">
        <f>IFERROR(INDEX(tblPiNAnalysis[GBV], MATCH(tblPiNHistorical[[#This Row],[ID]], tblPiNAnalysis[ID], 0)), "")</f>
        <v>0</v>
      </c>
      <c r="AC101" s="28">
        <f>IFERROR(INDEX(tblPiNAnalysis[Mine Action], MATCH(tblPiNHistorical[[#This Row],[ID]], tblPiNAnalysis[ID], 0)), "")</f>
        <v>0</v>
      </c>
      <c r="AD101" s="83">
        <f>IFERROR(INDEX(tblPiNAnalysis[[Shelter NFI ]], MATCH(tblPiNHistorical[[#This Row],[ID]], tblPiNAnalysis[ID], 0)), "")</f>
        <v>229</v>
      </c>
      <c r="AE101" s="35">
        <f>IFERROR(INDEX(tblPiNAnalysis[WASH], MATCH(tblPiNHistorical[[#This Row],[ID]], tblPiNAnalysis[ID], 0)), "")</f>
        <v>0</v>
      </c>
      <c r="AF101" s="6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101" s="67" t="str">
        <f>IF(OR(tblPiNHistorical[[#This Row],[Education Old]]="", tblPiNHistorical[[#This Row],[Education Old]]=0, tblPiNHistorical[[#This Row],[Education New]]="", tblPiNHistorical[[#This Row],[Education New]]=0), "", tblPiNHistorical[[#This Row],[Education New]]-tblPiNHistorical[[#This Row],[Education Old]])</f>
        <v/>
      </c>
      <c r="AH101" s="67"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101" s="67" t="str">
        <f>IF(OR(tblPiNHistorical[[#This Row],[Health Old]]="", tblPiNHistorical[[#This Row],[Health Old]]=0, tblPiNHistorical[[#This Row],[Health New]]="", tblPiNHistorical[[#This Row],[Health New]]=0), "", tblPiNHistorical[[#This Row],[Health New]]-tblPiNHistorical[[#This Row],[Health Old]])</f>
        <v/>
      </c>
      <c r="AJ101" s="67" t="str">
        <f>IF(OR(tblPiNHistorical[[#This Row],[Nutrition Old]]="", tblPiNHistorical[[#This Row],[Nutrition Old]]=0, tblPiNHistorical[[#This Row],[Nutrition New]]="", tblPiNHistorical[[#This Row],[Nutrition New]]=0), "", tblPiNHistorical[[#This Row],[Nutrition New]]-tblPiNHistorical[[#This Row],[Nutrition Old]])</f>
        <v/>
      </c>
      <c r="AK101" s="67" t="str">
        <f>IF(OR(tblPiNHistorical[[#This Row],[Protection Old]]="", tblPiNHistorical[[#This Row],[Protection Old]]=0, tblPiNHistorical[[#This Row],[Protection New]]="", tblPiNHistorical[[#This Row],[Protection New]]=0), "", tblPiNHistorical[[#This Row],[Protection New]]-tblPiNHistorical[[#This Row],[Protection Old]])</f>
        <v/>
      </c>
      <c r="AL101" s="67" t="str">
        <f>IF(OR(tblPiNHistorical[[#This Row],[CP Old ]]="", tblPiNHistorical[[#This Row],[CP Old ]]=0, tblPiNHistorical[[#This Row],[CP New]]="", tblPiNHistorical[[#This Row],[CP New]]=0), "", tblPiNHistorical[[#This Row],[CP New]]-tblPiNHistorical[[#This Row],[CP Old ]])</f>
        <v/>
      </c>
      <c r="AM101" s="83" t="str">
        <f>IF(OR(tblPiNHistorical[[#This Row],[GBV Old]]="", tblPiNHistorical[[#This Row],[GBV Old]]=0, tblPiNHistorical[[#This Row],[GBV New]]="", tblPiNHistorical[[#This Row],[GBV New]]=0), "", tblPiNHistorical[[#This Row],[GBV New]]-tblPiNHistorical[[#This Row],[GBV Old]])</f>
        <v/>
      </c>
      <c r="AN101" s="83" t="str">
        <f>IF(OR(tblPiNHistorical[[#This Row],[Mine Action Old]]="", tblPiNHistorical[[#This Row],[Mine Action Old]]=0, tblPiNHistorical[[#This Row],[Mine Action New]]="", tblPiNHistorical[[#This Row],[Mine Action New]]=0), "", tblPiNHistorical[[#This Row],[Mine Action New]]-tblPiNHistorical[[#This Row],[Mine Action Old]])</f>
        <v/>
      </c>
      <c r="AO101" s="67" t="str">
        <f>IF(OR(tblPiNHistorical[[#This Row],[Shelter NFI Old]]="", tblPiNHistorical[[#This Row],[Shelter NFI Old]]=0, tblPiNHistorical[[#This Row],[Shelter NFI New]]="", tblPiNHistorical[[#This Row],[Shelter NFI New]]=0), "", tblPiNHistorical[[#This Row],[Shelter NFI New]]-tblPiNHistorical[[#This Row],[Shelter NFI Old]])</f>
        <v/>
      </c>
      <c r="AP101" s="111" t="str">
        <f>IF(OR(tblPiNHistorical[[#This Row],[WASH Old]]="", tblPiNHistorical[[#This Row],[WASH Old]]=0, tblPiNHistorical[[#This Row],[WASH New]]="", tblPiNHistorical[[#This Row],[WASH New]]=0), "", tblPiNHistorical[[#This Row],[WASH New]]-tblPiNHistorical[[#This Row],[WASH Old]])</f>
        <v/>
      </c>
      <c r="AQ101" s="110" t="str">
        <f>IFERROR(ROUND((tblPiNHistorical[[#This Row],[Site Management - New]] - tblPiNHistorical[[#This Row],[Site Management - Old]])/tblPiNHistorical[[#This Row],[Site Management - Old]], 1), "")</f>
        <v/>
      </c>
      <c r="AR101" s="66" t="str">
        <f>IFERROR(ROUND((tblPiNHistorical[[#This Row],[Education New]]-tblPiNHistorical[[#This Row],[Education Old]])/tblPiNHistorical[[#This Row],[Education Old]], 1), "")</f>
        <v/>
      </c>
      <c r="AS101" s="66" t="str">
        <f>IFERROR(ROUND((tblPiNHistorical[[#This Row],[Food Security and Livlihoods New]]-tblPiNHistorical[[#This Row],[Food Security and Livlihoods Old]])/tblPiNHistorical[[#This Row],[Food Security and Livlihoods Old]], 1), "")</f>
        <v/>
      </c>
      <c r="AT101" s="66" t="str">
        <f>IFERROR(ROUND((tblPiNHistorical[[#This Row],[Health New]]-tblPiNHistorical[[#This Row],[Health Old]])/tblPiNHistorical[[#This Row],[Health Old]], 1), "")</f>
        <v/>
      </c>
      <c r="AU101" s="66" t="str">
        <f>IFERROR(ROUND((tblPiNHistorical[[#This Row],[Nutrition New]]-tblPiNHistorical[[#This Row],[Nutrition Old]])/tblPiNHistorical[[#This Row],[Nutrition Old]], 1), "")</f>
        <v/>
      </c>
      <c r="AV101" s="66" t="str">
        <f>IFERROR(ROUND((tblPiNHistorical[[#This Row],[Protection New]]-tblPiNHistorical[[#This Row],[Protection Old]])/tblPiNHistorical[[#This Row],[Protection Old]], 1), "")</f>
        <v/>
      </c>
      <c r="AW101" s="84" t="str">
        <f>IFERROR(ROUND((tblPiNHistorical[[#This Row],[CP New]]-tblPiNHistorical[[#This Row],[CP Old ]])/tblPiNHistorical[[#This Row],[CP Old ]], 1), "")</f>
        <v/>
      </c>
      <c r="AX101" s="84" t="str">
        <f>IFERROR(ROUND((tblPiNHistorical[[#This Row],[GBV New]]-tblPiNHistorical[[#This Row],[GBV Old]])/tblPiNHistorical[[#This Row],[GBV Old]], 1), "")</f>
        <v/>
      </c>
      <c r="AY101" s="84" t="str">
        <f>IFERROR(ROUND((tblPiNHistorical[[#This Row],[Mine Action New]]-tblPiNHistorical[[#This Row],[Mine Action Old]])/tblPiNHistorical[[#This Row],[Mine Action Old]], 1), "")</f>
        <v/>
      </c>
      <c r="AZ101" s="66" t="str">
        <f>IFERROR(ROUND((tblPiNHistorical[[#This Row],[Shelter NFI New]]-tblPiNHistorical[[#This Row],[Shelter NFI Old]])/tblPiNHistorical[[#This Row],[Shelter NFI Old]], 1), "")</f>
        <v/>
      </c>
      <c r="BA101" s="36" t="str">
        <f>IFERROR(ROUND((tblPiNHistorical[[#This Row],[WASH New]]-tblPiNHistorical[[#This Row],[WASH Old]])/tblPiNHistorical[[#This Row],[WASH Old]], 1), "")</f>
        <v/>
      </c>
      <c r="BB101"/>
      <c r="BC101"/>
      <c r="BD101"/>
      <c r="BE101"/>
      <c r="BF101"/>
      <c r="BG101"/>
      <c r="BH101"/>
      <c r="BI101"/>
      <c r="BL101"/>
      <c r="BN101"/>
      <c r="BO101"/>
      <c r="BP101"/>
    </row>
    <row r="102" spans="1:68" x14ac:dyDescent="0.25">
      <c r="A102"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IDPsSD10069</v>
      </c>
      <c r="B102" s="127" t="s">
        <v>176</v>
      </c>
      <c r="C102" s="60" t="s">
        <v>127</v>
      </c>
      <c r="D102" s="60" t="s">
        <v>414</v>
      </c>
      <c r="E102" s="60" t="s">
        <v>415</v>
      </c>
      <c r="F102" s="54"/>
      <c r="G102" s="30"/>
      <c r="H102" s="56">
        <v>0</v>
      </c>
      <c r="I102" s="37" t="s">
        <v>88</v>
      </c>
      <c r="J102" s="34">
        <v>0</v>
      </c>
      <c r="K102" s="116">
        <v>0</v>
      </c>
      <c r="L102" s="114">
        <v>0</v>
      </c>
      <c r="M102" s="114">
        <v>0</v>
      </c>
      <c r="N102" s="114">
        <v>0</v>
      </c>
      <c r="O102" s="114">
        <v>0</v>
      </c>
      <c r="P102" s="114">
        <v>0</v>
      </c>
      <c r="Q102" s="114">
        <v>0</v>
      </c>
      <c r="R102" s="114">
        <v>0</v>
      </c>
      <c r="S102" s="114">
        <v>0</v>
      </c>
      <c r="T102" s="196">
        <v>0</v>
      </c>
      <c r="U102" s="52">
        <f>IFERROR(INDEX(tblPiNAnalysis[[Site Management ]], MATCH(tblPiNHistorical[[#This Row],[ID]], tblPiNAnalysis[ID], 0)), "")</f>
        <v>0</v>
      </c>
      <c r="V102" s="52">
        <f>IFERROR(INDEX(tblPiNAnalysis[Education], MATCH(tblPiNHistorical[[#This Row],[ID]], tblPiNAnalysis[ID], 0)), "")</f>
        <v>0</v>
      </c>
      <c r="W102" s="28">
        <f>IFERROR(INDEX(tblPiNAnalysis[Food Security and Livlihoods], MATCH(tblPiNHistorical[[#This Row],[ID]], tblPiNAnalysis[ID], 0)), "")</f>
        <v>0</v>
      </c>
      <c r="X102" s="28">
        <f>IFERROR(INDEX(tblPiNAnalysis[[Health ]], MATCH(tblPiNHistorical[[#This Row],[ID]], tblPiNAnalysis[ID], 0)), "")</f>
        <v>0</v>
      </c>
      <c r="Y102" s="28">
        <f>IFERROR(INDEX(tblPiNAnalysis[Nutrition], MATCH(tblPiNHistorical[[#This Row],[ID]], tblPiNAnalysis[ID], 0)), "")</f>
        <v>0</v>
      </c>
      <c r="Z102" s="28">
        <f>IFERROR(INDEX(tblPiNAnalysis[Protection], MATCH(tblPiNHistorical[[#This Row],[ID]], tblPiNAnalysis[ID], 0)), "")</f>
        <v>0</v>
      </c>
      <c r="AA102" s="28">
        <f>IFERROR(INDEX(tblPiNAnalysis[CP], MATCH(tblPiNHistorical[[#This Row],[ID]], tblPiNAnalysis[ID], 0)), "")</f>
        <v>0</v>
      </c>
      <c r="AB102" s="83">
        <f>IFERROR(INDEX(tblPiNAnalysis[GBV], MATCH(tblPiNHistorical[[#This Row],[ID]], tblPiNAnalysis[ID], 0)), "")</f>
        <v>0</v>
      </c>
      <c r="AC102" s="28">
        <f>IFERROR(INDEX(tblPiNAnalysis[Mine Action], MATCH(tblPiNHistorical[[#This Row],[ID]], tblPiNAnalysis[ID], 0)), "")</f>
        <v>0</v>
      </c>
      <c r="AD102" s="83">
        <f>IFERROR(INDEX(tblPiNAnalysis[[Shelter NFI ]], MATCH(tblPiNHistorical[[#This Row],[ID]], tblPiNAnalysis[ID], 0)), "")</f>
        <v>212</v>
      </c>
      <c r="AE102" s="35">
        <f>IFERROR(INDEX(tblPiNAnalysis[WASH], MATCH(tblPiNHistorical[[#This Row],[ID]], tblPiNAnalysis[ID], 0)), "")</f>
        <v>0</v>
      </c>
      <c r="AF102" s="6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102" s="67" t="str">
        <f>IF(OR(tblPiNHistorical[[#This Row],[Education Old]]="", tblPiNHistorical[[#This Row],[Education Old]]=0, tblPiNHistorical[[#This Row],[Education New]]="", tblPiNHistorical[[#This Row],[Education New]]=0), "", tblPiNHistorical[[#This Row],[Education New]]-tblPiNHistorical[[#This Row],[Education Old]])</f>
        <v/>
      </c>
      <c r="AH102" s="67"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102" s="67" t="str">
        <f>IF(OR(tblPiNHistorical[[#This Row],[Health Old]]="", tblPiNHistorical[[#This Row],[Health Old]]=0, tblPiNHistorical[[#This Row],[Health New]]="", tblPiNHistorical[[#This Row],[Health New]]=0), "", tblPiNHistorical[[#This Row],[Health New]]-tblPiNHistorical[[#This Row],[Health Old]])</f>
        <v/>
      </c>
      <c r="AJ102" s="67" t="str">
        <f>IF(OR(tblPiNHistorical[[#This Row],[Nutrition Old]]="", tblPiNHistorical[[#This Row],[Nutrition Old]]=0, tblPiNHistorical[[#This Row],[Nutrition New]]="", tblPiNHistorical[[#This Row],[Nutrition New]]=0), "", tblPiNHistorical[[#This Row],[Nutrition New]]-tblPiNHistorical[[#This Row],[Nutrition Old]])</f>
        <v/>
      </c>
      <c r="AK102" s="67" t="str">
        <f>IF(OR(tblPiNHistorical[[#This Row],[Protection Old]]="", tblPiNHistorical[[#This Row],[Protection Old]]=0, tblPiNHistorical[[#This Row],[Protection New]]="", tblPiNHistorical[[#This Row],[Protection New]]=0), "", tblPiNHistorical[[#This Row],[Protection New]]-tblPiNHistorical[[#This Row],[Protection Old]])</f>
        <v/>
      </c>
      <c r="AL102" s="67" t="str">
        <f>IF(OR(tblPiNHistorical[[#This Row],[CP Old ]]="", tblPiNHistorical[[#This Row],[CP Old ]]=0, tblPiNHistorical[[#This Row],[CP New]]="", tblPiNHistorical[[#This Row],[CP New]]=0), "", tblPiNHistorical[[#This Row],[CP New]]-tblPiNHistorical[[#This Row],[CP Old ]])</f>
        <v/>
      </c>
      <c r="AM102" s="83" t="str">
        <f>IF(OR(tblPiNHistorical[[#This Row],[GBV Old]]="", tblPiNHistorical[[#This Row],[GBV Old]]=0, tblPiNHistorical[[#This Row],[GBV New]]="", tblPiNHistorical[[#This Row],[GBV New]]=0), "", tblPiNHistorical[[#This Row],[GBV New]]-tblPiNHistorical[[#This Row],[GBV Old]])</f>
        <v/>
      </c>
      <c r="AN102" s="83" t="str">
        <f>IF(OR(tblPiNHistorical[[#This Row],[Mine Action Old]]="", tblPiNHistorical[[#This Row],[Mine Action Old]]=0, tblPiNHistorical[[#This Row],[Mine Action New]]="", tblPiNHistorical[[#This Row],[Mine Action New]]=0), "", tblPiNHistorical[[#This Row],[Mine Action New]]-tblPiNHistorical[[#This Row],[Mine Action Old]])</f>
        <v/>
      </c>
      <c r="AO102" s="67" t="str">
        <f>IF(OR(tblPiNHistorical[[#This Row],[Shelter NFI Old]]="", tblPiNHistorical[[#This Row],[Shelter NFI Old]]=0, tblPiNHistorical[[#This Row],[Shelter NFI New]]="", tblPiNHistorical[[#This Row],[Shelter NFI New]]=0), "", tblPiNHistorical[[#This Row],[Shelter NFI New]]-tblPiNHistorical[[#This Row],[Shelter NFI Old]])</f>
        <v/>
      </c>
      <c r="AP102" s="111" t="str">
        <f>IF(OR(tblPiNHistorical[[#This Row],[WASH Old]]="", tblPiNHistorical[[#This Row],[WASH Old]]=0, tblPiNHistorical[[#This Row],[WASH New]]="", tblPiNHistorical[[#This Row],[WASH New]]=0), "", tblPiNHistorical[[#This Row],[WASH New]]-tblPiNHistorical[[#This Row],[WASH Old]])</f>
        <v/>
      </c>
      <c r="AQ102" s="110" t="str">
        <f>IFERROR(ROUND((tblPiNHistorical[[#This Row],[Site Management - New]] - tblPiNHistorical[[#This Row],[Site Management - Old]])/tblPiNHistorical[[#This Row],[Site Management - Old]], 1), "")</f>
        <v/>
      </c>
      <c r="AR102" s="66" t="str">
        <f>IFERROR(ROUND((tblPiNHistorical[[#This Row],[Education New]]-tblPiNHistorical[[#This Row],[Education Old]])/tblPiNHistorical[[#This Row],[Education Old]], 1), "")</f>
        <v/>
      </c>
      <c r="AS102" s="66" t="str">
        <f>IFERROR(ROUND((tblPiNHistorical[[#This Row],[Food Security and Livlihoods New]]-tblPiNHistorical[[#This Row],[Food Security and Livlihoods Old]])/tblPiNHistorical[[#This Row],[Food Security and Livlihoods Old]], 1), "")</f>
        <v/>
      </c>
      <c r="AT102" s="66" t="str">
        <f>IFERROR(ROUND((tblPiNHistorical[[#This Row],[Health New]]-tblPiNHistorical[[#This Row],[Health Old]])/tblPiNHistorical[[#This Row],[Health Old]], 1), "")</f>
        <v/>
      </c>
      <c r="AU102" s="66" t="str">
        <f>IFERROR(ROUND((tblPiNHistorical[[#This Row],[Nutrition New]]-tblPiNHistorical[[#This Row],[Nutrition Old]])/tblPiNHistorical[[#This Row],[Nutrition Old]], 1), "")</f>
        <v/>
      </c>
      <c r="AV102" s="66" t="str">
        <f>IFERROR(ROUND((tblPiNHistorical[[#This Row],[Protection New]]-tblPiNHistorical[[#This Row],[Protection Old]])/tblPiNHistorical[[#This Row],[Protection Old]], 1), "")</f>
        <v/>
      </c>
      <c r="AW102" s="84" t="str">
        <f>IFERROR(ROUND((tblPiNHistorical[[#This Row],[CP New]]-tblPiNHistorical[[#This Row],[CP Old ]])/tblPiNHistorical[[#This Row],[CP Old ]], 1), "")</f>
        <v/>
      </c>
      <c r="AX102" s="84" t="str">
        <f>IFERROR(ROUND((tblPiNHistorical[[#This Row],[GBV New]]-tblPiNHistorical[[#This Row],[GBV Old]])/tblPiNHistorical[[#This Row],[GBV Old]], 1), "")</f>
        <v/>
      </c>
      <c r="AY102" s="84" t="str">
        <f>IFERROR(ROUND((tblPiNHistorical[[#This Row],[Mine Action New]]-tblPiNHistorical[[#This Row],[Mine Action Old]])/tblPiNHistorical[[#This Row],[Mine Action Old]], 1), "")</f>
        <v/>
      </c>
      <c r="AZ102" s="66" t="str">
        <f>IFERROR(ROUND((tblPiNHistorical[[#This Row],[Shelter NFI New]]-tblPiNHistorical[[#This Row],[Shelter NFI Old]])/tblPiNHistorical[[#This Row],[Shelter NFI Old]], 1), "")</f>
        <v/>
      </c>
      <c r="BA102" s="36" t="str">
        <f>IFERROR(ROUND((tblPiNHistorical[[#This Row],[WASH New]]-tblPiNHistorical[[#This Row],[WASH Old]])/tblPiNHistorical[[#This Row],[WASH Old]], 1), "")</f>
        <v/>
      </c>
      <c r="BB102"/>
      <c r="BC102"/>
      <c r="BD102"/>
      <c r="BE102"/>
      <c r="BF102"/>
      <c r="BG102"/>
      <c r="BH102"/>
      <c r="BI102"/>
      <c r="BL102"/>
      <c r="BN102"/>
      <c r="BO102"/>
      <c r="BP102"/>
    </row>
    <row r="103" spans="1:68" x14ac:dyDescent="0.25">
      <c r="A103"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IDPsSD10063</v>
      </c>
      <c r="B103" s="127" t="s">
        <v>176</v>
      </c>
      <c r="C103" s="60" t="s">
        <v>127</v>
      </c>
      <c r="D103" s="60" t="s">
        <v>402</v>
      </c>
      <c r="E103" s="60" t="s">
        <v>403</v>
      </c>
      <c r="F103" s="54"/>
      <c r="G103" s="30"/>
      <c r="H103" s="56">
        <v>325</v>
      </c>
      <c r="I103" s="37" t="s">
        <v>88</v>
      </c>
      <c r="J103" s="34">
        <v>150</v>
      </c>
      <c r="K103" s="116">
        <v>126.0025</v>
      </c>
      <c r="L103" s="114">
        <v>325</v>
      </c>
      <c r="M103" s="114">
        <v>325</v>
      </c>
      <c r="N103" s="114">
        <v>56</v>
      </c>
      <c r="O103" s="114">
        <v>325</v>
      </c>
      <c r="P103" s="114">
        <v>179</v>
      </c>
      <c r="Q103" s="114">
        <v>0</v>
      </c>
      <c r="R103" s="114">
        <v>0</v>
      </c>
      <c r="S103" s="114">
        <v>0</v>
      </c>
      <c r="T103" s="196">
        <v>0</v>
      </c>
      <c r="U103" s="52">
        <f>IFERROR(INDEX(tblPiNAnalysis[[Site Management ]], MATCH(tblPiNHistorical[[#This Row],[ID]], tblPiNAnalysis[ID], 0)), "")</f>
        <v>0</v>
      </c>
      <c r="V103" s="52">
        <f>IFERROR(INDEX(tblPiNAnalysis[Education], MATCH(tblPiNHistorical[[#This Row],[ID]], tblPiNAnalysis[ID], 0)), "")</f>
        <v>0</v>
      </c>
      <c r="W103" s="28">
        <f>IFERROR(INDEX(tblPiNAnalysis[Food Security and Livlihoods], MATCH(tblPiNHistorical[[#This Row],[ID]], tblPiNAnalysis[ID], 0)), "")</f>
        <v>0</v>
      </c>
      <c r="X103" s="28">
        <f>IFERROR(INDEX(tblPiNAnalysis[[Health ]], MATCH(tblPiNHistorical[[#This Row],[ID]], tblPiNAnalysis[ID], 0)), "")</f>
        <v>0</v>
      </c>
      <c r="Y103" s="28">
        <f>IFERROR(INDEX(tblPiNAnalysis[Nutrition], MATCH(tblPiNHistorical[[#This Row],[ID]], tblPiNAnalysis[ID], 0)), "")</f>
        <v>0</v>
      </c>
      <c r="Z103" s="28">
        <f>IFERROR(INDEX(tblPiNAnalysis[Protection], MATCH(tblPiNHistorical[[#This Row],[ID]], tblPiNAnalysis[ID], 0)), "")</f>
        <v>0</v>
      </c>
      <c r="AA103" s="28">
        <f>IFERROR(INDEX(tblPiNAnalysis[CP], MATCH(tblPiNHistorical[[#This Row],[ID]], tblPiNAnalysis[ID], 0)), "")</f>
        <v>0</v>
      </c>
      <c r="AB103" s="83">
        <f>IFERROR(INDEX(tblPiNAnalysis[GBV], MATCH(tblPiNHistorical[[#This Row],[ID]], tblPiNAnalysis[ID], 0)), "")</f>
        <v>0</v>
      </c>
      <c r="AC103" s="28">
        <f>IFERROR(INDEX(tblPiNAnalysis[Mine Action], MATCH(tblPiNHistorical[[#This Row],[ID]], tblPiNAnalysis[ID], 0)), "")</f>
        <v>0</v>
      </c>
      <c r="AD103" s="83">
        <f>IFERROR(INDEX(tblPiNAnalysis[[Shelter NFI ]], MATCH(tblPiNHistorical[[#This Row],[ID]], tblPiNAnalysis[ID], 0)), "")</f>
        <v>1068</v>
      </c>
      <c r="AE103" s="35">
        <f>IFERROR(INDEX(tblPiNAnalysis[WASH], MATCH(tblPiNHistorical[[#This Row],[ID]], tblPiNAnalysis[ID], 0)), "")</f>
        <v>0</v>
      </c>
      <c r="AF103" s="6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103" s="67" t="str">
        <f>IF(OR(tblPiNHistorical[[#This Row],[Education Old]]="", tblPiNHistorical[[#This Row],[Education Old]]=0, tblPiNHistorical[[#This Row],[Education New]]="", tblPiNHistorical[[#This Row],[Education New]]=0), "", tblPiNHistorical[[#This Row],[Education New]]-tblPiNHistorical[[#This Row],[Education Old]])</f>
        <v/>
      </c>
      <c r="AH103" s="67"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103" s="67" t="str">
        <f>IF(OR(tblPiNHistorical[[#This Row],[Health Old]]="", tblPiNHistorical[[#This Row],[Health Old]]=0, tblPiNHistorical[[#This Row],[Health New]]="", tblPiNHistorical[[#This Row],[Health New]]=0), "", tblPiNHistorical[[#This Row],[Health New]]-tblPiNHistorical[[#This Row],[Health Old]])</f>
        <v/>
      </c>
      <c r="AJ103" s="67" t="str">
        <f>IF(OR(tblPiNHistorical[[#This Row],[Nutrition Old]]="", tblPiNHistorical[[#This Row],[Nutrition Old]]=0, tblPiNHistorical[[#This Row],[Nutrition New]]="", tblPiNHistorical[[#This Row],[Nutrition New]]=0), "", tblPiNHistorical[[#This Row],[Nutrition New]]-tblPiNHistorical[[#This Row],[Nutrition Old]])</f>
        <v/>
      </c>
      <c r="AK103" s="67" t="str">
        <f>IF(OR(tblPiNHistorical[[#This Row],[Protection Old]]="", tblPiNHistorical[[#This Row],[Protection Old]]=0, tblPiNHistorical[[#This Row],[Protection New]]="", tblPiNHistorical[[#This Row],[Protection New]]=0), "", tblPiNHistorical[[#This Row],[Protection New]]-tblPiNHistorical[[#This Row],[Protection Old]])</f>
        <v/>
      </c>
      <c r="AL103" s="67" t="str">
        <f>IF(OR(tblPiNHistorical[[#This Row],[CP Old ]]="", tblPiNHistorical[[#This Row],[CP Old ]]=0, tblPiNHistorical[[#This Row],[CP New]]="", tblPiNHistorical[[#This Row],[CP New]]=0), "", tblPiNHistorical[[#This Row],[CP New]]-tblPiNHistorical[[#This Row],[CP Old ]])</f>
        <v/>
      </c>
      <c r="AM103" s="83" t="str">
        <f>IF(OR(tblPiNHistorical[[#This Row],[GBV Old]]="", tblPiNHistorical[[#This Row],[GBV Old]]=0, tblPiNHistorical[[#This Row],[GBV New]]="", tblPiNHistorical[[#This Row],[GBV New]]=0), "", tblPiNHistorical[[#This Row],[GBV New]]-tblPiNHistorical[[#This Row],[GBV Old]])</f>
        <v/>
      </c>
      <c r="AN103" s="83" t="str">
        <f>IF(OR(tblPiNHistorical[[#This Row],[Mine Action Old]]="", tblPiNHistorical[[#This Row],[Mine Action Old]]=0, tblPiNHistorical[[#This Row],[Mine Action New]]="", tblPiNHistorical[[#This Row],[Mine Action New]]=0), "", tblPiNHistorical[[#This Row],[Mine Action New]]-tblPiNHistorical[[#This Row],[Mine Action Old]])</f>
        <v/>
      </c>
      <c r="AO103" s="67" t="str">
        <f>IF(OR(tblPiNHistorical[[#This Row],[Shelter NFI Old]]="", tblPiNHistorical[[#This Row],[Shelter NFI Old]]=0, tblPiNHistorical[[#This Row],[Shelter NFI New]]="", tblPiNHistorical[[#This Row],[Shelter NFI New]]=0), "", tblPiNHistorical[[#This Row],[Shelter NFI New]]-tblPiNHistorical[[#This Row],[Shelter NFI Old]])</f>
        <v/>
      </c>
      <c r="AP103" s="111" t="str">
        <f>IF(OR(tblPiNHistorical[[#This Row],[WASH Old]]="", tblPiNHistorical[[#This Row],[WASH Old]]=0, tblPiNHistorical[[#This Row],[WASH New]]="", tblPiNHistorical[[#This Row],[WASH New]]=0), "", tblPiNHistorical[[#This Row],[WASH New]]-tblPiNHistorical[[#This Row],[WASH Old]])</f>
        <v/>
      </c>
      <c r="AQ103" s="110">
        <f>IFERROR(ROUND((tblPiNHistorical[[#This Row],[Site Management - New]] - tblPiNHistorical[[#This Row],[Site Management - Old]])/tblPiNHistorical[[#This Row],[Site Management - Old]], 1), "")</f>
        <v>-1</v>
      </c>
      <c r="AR103" s="66">
        <f>IFERROR(ROUND((tblPiNHistorical[[#This Row],[Education New]]-tblPiNHistorical[[#This Row],[Education Old]])/tblPiNHistorical[[#This Row],[Education Old]], 1), "")</f>
        <v>-1</v>
      </c>
      <c r="AS103" s="66">
        <f>IFERROR(ROUND((tblPiNHistorical[[#This Row],[Food Security and Livlihoods New]]-tblPiNHistorical[[#This Row],[Food Security and Livlihoods Old]])/tblPiNHistorical[[#This Row],[Food Security and Livlihoods Old]], 1), "")</f>
        <v>-1</v>
      </c>
      <c r="AT103" s="66">
        <f>IFERROR(ROUND((tblPiNHistorical[[#This Row],[Health New]]-tblPiNHistorical[[#This Row],[Health Old]])/tblPiNHistorical[[#This Row],[Health Old]], 1), "")</f>
        <v>-1</v>
      </c>
      <c r="AU103" s="66">
        <f>IFERROR(ROUND((tblPiNHistorical[[#This Row],[Nutrition New]]-tblPiNHistorical[[#This Row],[Nutrition Old]])/tblPiNHistorical[[#This Row],[Nutrition Old]], 1), "")</f>
        <v>-1</v>
      </c>
      <c r="AV103" s="66">
        <f>IFERROR(ROUND((tblPiNHistorical[[#This Row],[Protection New]]-tblPiNHistorical[[#This Row],[Protection Old]])/tblPiNHistorical[[#This Row],[Protection Old]], 1), "")</f>
        <v>-1</v>
      </c>
      <c r="AW103" s="84">
        <f>IFERROR(ROUND((tblPiNHistorical[[#This Row],[CP New]]-tblPiNHistorical[[#This Row],[CP Old ]])/tblPiNHistorical[[#This Row],[CP Old ]], 1), "")</f>
        <v>-1</v>
      </c>
      <c r="AX103" s="84" t="str">
        <f>IFERROR(ROUND((tblPiNHistorical[[#This Row],[GBV New]]-tblPiNHistorical[[#This Row],[GBV Old]])/tblPiNHistorical[[#This Row],[GBV Old]], 1), "")</f>
        <v/>
      </c>
      <c r="AY103" s="84" t="str">
        <f>IFERROR(ROUND((tblPiNHistorical[[#This Row],[Mine Action New]]-tblPiNHistorical[[#This Row],[Mine Action Old]])/tblPiNHistorical[[#This Row],[Mine Action Old]], 1), "")</f>
        <v/>
      </c>
      <c r="AZ103" s="66" t="str">
        <f>IFERROR(ROUND((tblPiNHistorical[[#This Row],[Shelter NFI New]]-tblPiNHistorical[[#This Row],[Shelter NFI Old]])/tblPiNHistorical[[#This Row],[Shelter NFI Old]], 1), "")</f>
        <v/>
      </c>
      <c r="BA103" s="36" t="str">
        <f>IFERROR(ROUND((tblPiNHistorical[[#This Row],[WASH New]]-tblPiNHistorical[[#This Row],[WASH Old]])/tblPiNHistorical[[#This Row],[WASH Old]], 1), "")</f>
        <v/>
      </c>
      <c r="BB103"/>
      <c r="BC103"/>
      <c r="BD103"/>
      <c r="BE103"/>
      <c r="BF103"/>
      <c r="BG103"/>
      <c r="BH103"/>
      <c r="BI103"/>
      <c r="BL103"/>
      <c r="BN103"/>
      <c r="BO103"/>
      <c r="BP103"/>
    </row>
    <row r="104" spans="1:68" x14ac:dyDescent="0.25">
      <c r="A104"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IDPsSD10066</v>
      </c>
      <c r="B104" s="127" t="s">
        <v>176</v>
      </c>
      <c r="C104" s="60" t="s">
        <v>127</v>
      </c>
      <c r="D104" s="60" t="s">
        <v>408</v>
      </c>
      <c r="E104" s="60" t="s">
        <v>409</v>
      </c>
      <c r="F104" s="54"/>
      <c r="G104" s="30"/>
      <c r="H104" s="56">
        <v>0</v>
      </c>
      <c r="I104" s="37" t="s">
        <v>88</v>
      </c>
      <c r="J104" s="34">
        <v>0</v>
      </c>
      <c r="K104" s="116">
        <v>0</v>
      </c>
      <c r="L104" s="114">
        <v>0</v>
      </c>
      <c r="M104" s="114">
        <v>0</v>
      </c>
      <c r="N104" s="114">
        <v>0</v>
      </c>
      <c r="O104" s="114">
        <v>0</v>
      </c>
      <c r="P104" s="114">
        <v>0</v>
      </c>
      <c r="Q104" s="114">
        <v>0</v>
      </c>
      <c r="R104" s="114">
        <v>0</v>
      </c>
      <c r="S104" s="114">
        <v>0</v>
      </c>
      <c r="T104" s="196">
        <v>0</v>
      </c>
      <c r="U104" s="52">
        <f>IFERROR(INDEX(tblPiNAnalysis[[Site Management ]], MATCH(tblPiNHistorical[[#This Row],[ID]], tblPiNAnalysis[ID], 0)), "")</f>
        <v>0</v>
      </c>
      <c r="V104" s="52">
        <f>IFERROR(INDEX(tblPiNAnalysis[Education], MATCH(tblPiNHistorical[[#This Row],[ID]], tblPiNAnalysis[ID], 0)), "")</f>
        <v>0</v>
      </c>
      <c r="W104" s="28">
        <f>IFERROR(INDEX(tblPiNAnalysis[Food Security and Livlihoods], MATCH(tblPiNHistorical[[#This Row],[ID]], tblPiNAnalysis[ID], 0)), "")</f>
        <v>0</v>
      </c>
      <c r="X104" s="28">
        <f>IFERROR(INDEX(tblPiNAnalysis[[Health ]], MATCH(tblPiNHistorical[[#This Row],[ID]], tblPiNAnalysis[ID], 0)), "")</f>
        <v>0</v>
      </c>
      <c r="Y104" s="28">
        <f>IFERROR(INDEX(tblPiNAnalysis[Nutrition], MATCH(tblPiNHistorical[[#This Row],[ID]], tblPiNAnalysis[ID], 0)), "")</f>
        <v>0</v>
      </c>
      <c r="Z104" s="28">
        <f>IFERROR(INDEX(tblPiNAnalysis[Protection], MATCH(tblPiNHistorical[[#This Row],[ID]], tblPiNAnalysis[ID], 0)), "")</f>
        <v>0</v>
      </c>
      <c r="AA104" s="28">
        <f>IFERROR(INDEX(tblPiNAnalysis[CP], MATCH(tblPiNHistorical[[#This Row],[ID]], tblPiNAnalysis[ID], 0)), "")</f>
        <v>0</v>
      </c>
      <c r="AB104" s="83">
        <f>IFERROR(INDEX(tblPiNAnalysis[GBV], MATCH(tblPiNHistorical[[#This Row],[ID]], tblPiNAnalysis[ID], 0)), "")</f>
        <v>0</v>
      </c>
      <c r="AC104" s="28">
        <f>IFERROR(INDEX(tblPiNAnalysis[Mine Action], MATCH(tblPiNHistorical[[#This Row],[ID]], tblPiNAnalysis[ID], 0)), "")</f>
        <v>0</v>
      </c>
      <c r="AD104" s="83">
        <f>IFERROR(INDEX(tblPiNAnalysis[[Shelter NFI ]], MATCH(tblPiNHistorical[[#This Row],[ID]], tblPiNAnalysis[ID], 0)), "")</f>
        <v>107</v>
      </c>
      <c r="AE104" s="35">
        <f>IFERROR(INDEX(tblPiNAnalysis[WASH], MATCH(tblPiNHistorical[[#This Row],[ID]], tblPiNAnalysis[ID], 0)), "")</f>
        <v>0</v>
      </c>
      <c r="AF104" s="6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104" s="67" t="str">
        <f>IF(OR(tblPiNHistorical[[#This Row],[Education Old]]="", tblPiNHistorical[[#This Row],[Education Old]]=0, tblPiNHistorical[[#This Row],[Education New]]="", tblPiNHistorical[[#This Row],[Education New]]=0), "", tblPiNHistorical[[#This Row],[Education New]]-tblPiNHistorical[[#This Row],[Education Old]])</f>
        <v/>
      </c>
      <c r="AH104" s="67"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104" s="67" t="str">
        <f>IF(OR(tblPiNHistorical[[#This Row],[Health Old]]="", tblPiNHistorical[[#This Row],[Health Old]]=0, tblPiNHistorical[[#This Row],[Health New]]="", tblPiNHistorical[[#This Row],[Health New]]=0), "", tblPiNHistorical[[#This Row],[Health New]]-tblPiNHistorical[[#This Row],[Health Old]])</f>
        <v/>
      </c>
      <c r="AJ104" s="67" t="str">
        <f>IF(OR(tblPiNHistorical[[#This Row],[Nutrition Old]]="", tblPiNHistorical[[#This Row],[Nutrition Old]]=0, tblPiNHistorical[[#This Row],[Nutrition New]]="", tblPiNHistorical[[#This Row],[Nutrition New]]=0), "", tblPiNHistorical[[#This Row],[Nutrition New]]-tblPiNHistorical[[#This Row],[Nutrition Old]])</f>
        <v/>
      </c>
      <c r="AK104" s="67" t="str">
        <f>IF(OR(tblPiNHistorical[[#This Row],[Protection Old]]="", tblPiNHistorical[[#This Row],[Protection Old]]=0, tblPiNHistorical[[#This Row],[Protection New]]="", tblPiNHistorical[[#This Row],[Protection New]]=0), "", tblPiNHistorical[[#This Row],[Protection New]]-tblPiNHistorical[[#This Row],[Protection Old]])</f>
        <v/>
      </c>
      <c r="AL104" s="67" t="str">
        <f>IF(OR(tblPiNHistorical[[#This Row],[CP Old ]]="", tblPiNHistorical[[#This Row],[CP Old ]]=0, tblPiNHistorical[[#This Row],[CP New]]="", tblPiNHistorical[[#This Row],[CP New]]=0), "", tblPiNHistorical[[#This Row],[CP New]]-tblPiNHistorical[[#This Row],[CP Old ]])</f>
        <v/>
      </c>
      <c r="AM104" s="83" t="str">
        <f>IF(OR(tblPiNHistorical[[#This Row],[GBV Old]]="", tblPiNHistorical[[#This Row],[GBV Old]]=0, tblPiNHistorical[[#This Row],[GBV New]]="", tblPiNHistorical[[#This Row],[GBV New]]=0), "", tblPiNHistorical[[#This Row],[GBV New]]-tblPiNHistorical[[#This Row],[GBV Old]])</f>
        <v/>
      </c>
      <c r="AN104" s="83" t="str">
        <f>IF(OR(tblPiNHistorical[[#This Row],[Mine Action Old]]="", tblPiNHistorical[[#This Row],[Mine Action Old]]=0, tblPiNHistorical[[#This Row],[Mine Action New]]="", tblPiNHistorical[[#This Row],[Mine Action New]]=0), "", tblPiNHistorical[[#This Row],[Mine Action New]]-tblPiNHistorical[[#This Row],[Mine Action Old]])</f>
        <v/>
      </c>
      <c r="AO104" s="67" t="str">
        <f>IF(OR(tblPiNHistorical[[#This Row],[Shelter NFI Old]]="", tblPiNHistorical[[#This Row],[Shelter NFI Old]]=0, tblPiNHistorical[[#This Row],[Shelter NFI New]]="", tblPiNHistorical[[#This Row],[Shelter NFI New]]=0), "", tblPiNHistorical[[#This Row],[Shelter NFI New]]-tblPiNHistorical[[#This Row],[Shelter NFI Old]])</f>
        <v/>
      </c>
      <c r="AP104" s="111" t="str">
        <f>IF(OR(tblPiNHistorical[[#This Row],[WASH Old]]="", tblPiNHistorical[[#This Row],[WASH Old]]=0, tblPiNHistorical[[#This Row],[WASH New]]="", tblPiNHistorical[[#This Row],[WASH New]]=0), "", tblPiNHistorical[[#This Row],[WASH New]]-tblPiNHistorical[[#This Row],[WASH Old]])</f>
        <v/>
      </c>
      <c r="AQ104" s="110" t="str">
        <f>IFERROR(ROUND((tblPiNHistorical[[#This Row],[Site Management - New]] - tblPiNHistorical[[#This Row],[Site Management - Old]])/tblPiNHistorical[[#This Row],[Site Management - Old]], 1), "")</f>
        <v/>
      </c>
      <c r="AR104" s="66" t="str">
        <f>IFERROR(ROUND((tblPiNHistorical[[#This Row],[Education New]]-tblPiNHistorical[[#This Row],[Education Old]])/tblPiNHistorical[[#This Row],[Education Old]], 1), "")</f>
        <v/>
      </c>
      <c r="AS104" s="66" t="str">
        <f>IFERROR(ROUND((tblPiNHistorical[[#This Row],[Food Security and Livlihoods New]]-tblPiNHistorical[[#This Row],[Food Security and Livlihoods Old]])/tblPiNHistorical[[#This Row],[Food Security and Livlihoods Old]], 1), "")</f>
        <v/>
      </c>
      <c r="AT104" s="66" t="str">
        <f>IFERROR(ROUND((tblPiNHistorical[[#This Row],[Health New]]-tblPiNHistorical[[#This Row],[Health Old]])/tblPiNHistorical[[#This Row],[Health Old]], 1), "")</f>
        <v/>
      </c>
      <c r="AU104" s="66" t="str">
        <f>IFERROR(ROUND((tblPiNHistorical[[#This Row],[Nutrition New]]-tblPiNHistorical[[#This Row],[Nutrition Old]])/tblPiNHistorical[[#This Row],[Nutrition Old]], 1), "")</f>
        <v/>
      </c>
      <c r="AV104" s="66" t="str">
        <f>IFERROR(ROUND((tblPiNHistorical[[#This Row],[Protection New]]-tblPiNHistorical[[#This Row],[Protection Old]])/tblPiNHistorical[[#This Row],[Protection Old]], 1), "")</f>
        <v/>
      </c>
      <c r="AW104" s="84" t="str">
        <f>IFERROR(ROUND((tblPiNHistorical[[#This Row],[CP New]]-tblPiNHistorical[[#This Row],[CP Old ]])/tblPiNHistorical[[#This Row],[CP Old ]], 1), "")</f>
        <v/>
      </c>
      <c r="AX104" s="84" t="str">
        <f>IFERROR(ROUND((tblPiNHistorical[[#This Row],[GBV New]]-tblPiNHistorical[[#This Row],[GBV Old]])/tblPiNHistorical[[#This Row],[GBV Old]], 1), "")</f>
        <v/>
      </c>
      <c r="AY104" s="84" t="str">
        <f>IFERROR(ROUND((tblPiNHistorical[[#This Row],[Mine Action New]]-tblPiNHistorical[[#This Row],[Mine Action Old]])/tblPiNHistorical[[#This Row],[Mine Action Old]], 1), "")</f>
        <v/>
      </c>
      <c r="AZ104" s="66" t="str">
        <f>IFERROR(ROUND((tblPiNHistorical[[#This Row],[Shelter NFI New]]-tblPiNHistorical[[#This Row],[Shelter NFI Old]])/tblPiNHistorical[[#This Row],[Shelter NFI Old]], 1), "")</f>
        <v/>
      </c>
      <c r="BA104" s="36" t="str">
        <f>IFERROR(ROUND((tblPiNHistorical[[#This Row],[WASH New]]-tblPiNHistorical[[#This Row],[WASH Old]])/tblPiNHistorical[[#This Row],[WASH Old]], 1), "")</f>
        <v/>
      </c>
      <c r="BB104"/>
      <c r="BC104"/>
      <c r="BD104"/>
      <c r="BE104"/>
      <c r="BF104"/>
      <c r="BG104"/>
      <c r="BH104"/>
      <c r="BI104"/>
      <c r="BL104"/>
      <c r="BN104"/>
      <c r="BO104"/>
      <c r="BP104"/>
    </row>
    <row r="105" spans="1:68" x14ac:dyDescent="0.25">
      <c r="A105"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IDPsSD10070</v>
      </c>
      <c r="B105" s="127" t="s">
        <v>176</v>
      </c>
      <c r="C105" s="60" t="s">
        <v>127</v>
      </c>
      <c r="D105" s="60" t="s">
        <v>416</v>
      </c>
      <c r="E105" s="60" t="s">
        <v>417</v>
      </c>
      <c r="F105" s="54"/>
      <c r="G105" s="30"/>
      <c r="H105" s="56">
        <v>2075</v>
      </c>
      <c r="I105" s="37" t="s">
        <v>88</v>
      </c>
      <c r="J105" s="34">
        <v>351</v>
      </c>
      <c r="K105" s="116">
        <v>0</v>
      </c>
      <c r="L105" s="114">
        <v>2075</v>
      </c>
      <c r="M105" s="114">
        <v>2075</v>
      </c>
      <c r="N105" s="114">
        <v>467</v>
      </c>
      <c r="O105" s="114">
        <v>2075</v>
      </c>
      <c r="P105" s="114">
        <v>1141</v>
      </c>
      <c r="Q105" s="114">
        <v>711</v>
      </c>
      <c r="R105" s="114">
        <v>0</v>
      </c>
      <c r="S105" s="114">
        <v>0</v>
      </c>
      <c r="T105" s="196">
        <v>0</v>
      </c>
      <c r="U105" s="52">
        <f>IFERROR(INDEX(tblPiNAnalysis[[Site Management ]], MATCH(tblPiNHistorical[[#This Row],[ID]], tblPiNAnalysis[ID], 0)), "")</f>
        <v>0</v>
      </c>
      <c r="V105" s="52">
        <f>IFERROR(INDEX(tblPiNAnalysis[Education], MATCH(tblPiNHistorical[[#This Row],[ID]], tblPiNAnalysis[ID], 0)), "")</f>
        <v>0</v>
      </c>
      <c r="W105" s="28">
        <f>IFERROR(INDEX(tblPiNAnalysis[Food Security and Livlihoods], MATCH(tblPiNHistorical[[#This Row],[ID]], tblPiNAnalysis[ID], 0)), "")</f>
        <v>0</v>
      </c>
      <c r="X105" s="28">
        <f>IFERROR(INDEX(tblPiNAnalysis[[Health ]], MATCH(tblPiNHistorical[[#This Row],[ID]], tblPiNAnalysis[ID], 0)), "")</f>
        <v>0</v>
      </c>
      <c r="Y105" s="28">
        <f>IFERROR(INDEX(tblPiNAnalysis[Nutrition], MATCH(tblPiNHistorical[[#This Row],[ID]], tblPiNAnalysis[ID], 0)), "")</f>
        <v>0</v>
      </c>
      <c r="Z105" s="28">
        <f>IFERROR(INDEX(tblPiNAnalysis[Protection], MATCH(tblPiNHistorical[[#This Row],[ID]], tblPiNAnalysis[ID], 0)), "")</f>
        <v>0</v>
      </c>
      <c r="AA105" s="28">
        <f>IFERROR(INDEX(tblPiNAnalysis[CP], MATCH(tblPiNHistorical[[#This Row],[ID]], tblPiNAnalysis[ID], 0)), "")</f>
        <v>0</v>
      </c>
      <c r="AB105" s="83">
        <f>IFERROR(INDEX(tblPiNAnalysis[GBV], MATCH(tblPiNHistorical[[#This Row],[ID]], tblPiNAnalysis[ID], 0)), "")</f>
        <v>0</v>
      </c>
      <c r="AC105" s="28">
        <f>IFERROR(INDEX(tblPiNAnalysis[Mine Action], MATCH(tblPiNHistorical[[#This Row],[ID]], tblPiNAnalysis[ID], 0)), "")</f>
        <v>0</v>
      </c>
      <c r="AD105" s="83">
        <f>IFERROR(INDEX(tblPiNAnalysis[[Shelter NFI ]], MATCH(tblPiNHistorical[[#This Row],[ID]], tblPiNAnalysis[ID], 0)), "")</f>
        <v>1630</v>
      </c>
      <c r="AE105" s="35">
        <f>IFERROR(INDEX(tblPiNAnalysis[WASH], MATCH(tblPiNHistorical[[#This Row],[ID]], tblPiNAnalysis[ID], 0)), "")</f>
        <v>0</v>
      </c>
      <c r="AF105" s="6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105" s="67" t="str">
        <f>IF(OR(tblPiNHistorical[[#This Row],[Education Old]]="", tblPiNHistorical[[#This Row],[Education Old]]=0, tblPiNHistorical[[#This Row],[Education New]]="", tblPiNHistorical[[#This Row],[Education New]]=0), "", tblPiNHistorical[[#This Row],[Education New]]-tblPiNHistorical[[#This Row],[Education Old]])</f>
        <v/>
      </c>
      <c r="AH105" s="67"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105" s="67" t="str">
        <f>IF(OR(tblPiNHistorical[[#This Row],[Health Old]]="", tblPiNHistorical[[#This Row],[Health Old]]=0, tblPiNHistorical[[#This Row],[Health New]]="", tblPiNHistorical[[#This Row],[Health New]]=0), "", tblPiNHistorical[[#This Row],[Health New]]-tblPiNHistorical[[#This Row],[Health Old]])</f>
        <v/>
      </c>
      <c r="AJ105" s="67" t="str">
        <f>IF(OR(tblPiNHistorical[[#This Row],[Nutrition Old]]="", tblPiNHistorical[[#This Row],[Nutrition Old]]=0, tblPiNHistorical[[#This Row],[Nutrition New]]="", tblPiNHistorical[[#This Row],[Nutrition New]]=0), "", tblPiNHistorical[[#This Row],[Nutrition New]]-tblPiNHistorical[[#This Row],[Nutrition Old]])</f>
        <v/>
      </c>
      <c r="AK105" s="67" t="str">
        <f>IF(OR(tblPiNHistorical[[#This Row],[Protection Old]]="", tblPiNHistorical[[#This Row],[Protection Old]]=0, tblPiNHistorical[[#This Row],[Protection New]]="", tblPiNHistorical[[#This Row],[Protection New]]=0), "", tblPiNHistorical[[#This Row],[Protection New]]-tblPiNHistorical[[#This Row],[Protection Old]])</f>
        <v/>
      </c>
      <c r="AL105" s="67" t="str">
        <f>IF(OR(tblPiNHistorical[[#This Row],[CP Old ]]="", tblPiNHistorical[[#This Row],[CP Old ]]=0, tblPiNHistorical[[#This Row],[CP New]]="", tblPiNHistorical[[#This Row],[CP New]]=0), "", tblPiNHistorical[[#This Row],[CP New]]-tblPiNHistorical[[#This Row],[CP Old ]])</f>
        <v/>
      </c>
      <c r="AM105" s="83" t="str">
        <f>IF(OR(tblPiNHistorical[[#This Row],[GBV Old]]="", tblPiNHistorical[[#This Row],[GBV Old]]=0, tblPiNHistorical[[#This Row],[GBV New]]="", tblPiNHistorical[[#This Row],[GBV New]]=0), "", tblPiNHistorical[[#This Row],[GBV New]]-tblPiNHistorical[[#This Row],[GBV Old]])</f>
        <v/>
      </c>
      <c r="AN105" s="83" t="str">
        <f>IF(OR(tblPiNHistorical[[#This Row],[Mine Action Old]]="", tblPiNHistorical[[#This Row],[Mine Action Old]]=0, tblPiNHistorical[[#This Row],[Mine Action New]]="", tblPiNHistorical[[#This Row],[Mine Action New]]=0), "", tblPiNHistorical[[#This Row],[Mine Action New]]-tblPiNHistorical[[#This Row],[Mine Action Old]])</f>
        <v/>
      </c>
      <c r="AO105" s="67" t="str">
        <f>IF(OR(tblPiNHistorical[[#This Row],[Shelter NFI Old]]="", tblPiNHistorical[[#This Row],[Shelter NFI Old]]=0, tblPiNHistorical[[#This Row],[Shelter NFI New]]="", tblPiNHistorical[[#This Row],[Shelter NFI New]]=0), "", tblPiNHistorical[[#This Row],[Shelter NFI New]]-tblPiNHistorical[[#This Row],[Shelter NFI Old]])</f>
        <v/>
      </c>
      <c r="AP105" s="111" t="str">
        <f>IF(OR(tblPiNHistorical[[#This Row],[WASH Old]]="", tblPiNHistorical[[#This Row],[WASH Old]]=0, tblPiNHistorical[[#This Row],[WASH New]]="", tblPiNHistorical[[#This Row],[WASH New]]=0), "", tblPiNHistorical[[#This Row],[WASH New]]-tblPiNHistorical[[#This Row],[WASH Old]])</f>
        <v/>
      </c>
      <c r="AQ105" s="110">
        <f>IFERROR(ROUND((tblPiNHistorical[[#This Row],[Site Management - New]] - tblPiNHistorical[[#This Row],[Site Management - Old]])/tblPiNHistorical[[#This Row],[Site Management - Old]], 1), "")</f>
        <v>-1</v>
      </c>
      <c r="AR105" s="66" t="str">
        <f>IFERROR(ROUND((tblPiNHistorical[[#This Row],[Education New]]-tblPiNHistorical[[#This Row],[Education Old]])/tblPiNHistorical[[#This Row],[Education Old]], 1), "")</f>
        <v/>
      </c>
      <c r="AS105" s="66">
        <f>IFERROR(ROUND((tblPiNHistorical[[#This Row],[Food Security and Livlihoods New]]-tblPiNHistorical[[#This Row],[Food Security and Livlihoods Old]])/tblPiNHistorical[[#This Row],[Food Security and Livlihoods Old]], 1), "")</f>
        <v>-1</v>
      </c>
      <c r="AT105" s="66">
        <f>IFERROR(ROUND((tblPiNHistorical[[#This Row],[Health New]]-tblPiNHistorical[[#This Row],[Health Old]])/tblPiNHistorical[[#This Row],[Health Old]], 1), "")</f>
        <v>-1</v>
      </c>
      <c r="AU105" s="66">
        <f>IFERROR(ROUND((tblPiNHistorical[[#This Row],[Nutrition New]]-tblPiNHistorical[[#This Row],[Nutrition Old]])/tblPiNHistorical[[#This Row],[Nutrition Old]], 1), "")</f>
        <v>-1</v>
      </c>
      <c r="AV105" s="66">
        <f>IFERROR(ROUND((tblPiNHistorical[[#This Row],[Protection New]]-tblPiNHistorical[[#This Row],[Protection Old]])/tblPiNHistorical[[#This Row],[Protection Old]], 1), "")</f>
        <v>-1</v>
      </c>
      <c r="AW105" s="84">
        <f>IFERROR(ROUND((tblPiNHistorical[[#This Row],[CP New]]-tblPiNHistorical[[#This Row],[CP Old ]])/tblPiNHistorical[[#This Row],[CP Old ]], 1), "")</f>
        <v>-1</v>
      </c>
      <c r="AX105" s="84">
        <f>IFERROR(ROUND((tblPiNHistorical[[#This Row],[GBV New]]-tblPiNHistorical[[#This Row],[GBV Old]])/tblPiNHistorical[[#This Row],[GBV Old]], 1), "")</f>
        <v>-1</v>
      </c>
      <c r="AY105" s="84" t="str">
        <f>IFERROR(ROUND((tblPiNHistorical[[#This Row],[Mine Action New]]-tblPiNHistorical[[#This Row],[Mine Action Old]])/tblPiNHistorical[[#This Row],[Mine Action Old]], 1), "")</f>
        <v/>
      </c>
      <c r="AZ105" s="66" t="str">
        <f>IFERROR(ROUND((tblPiNHistorical[[#This Row],[Shelter NFI New]]-tblPiNHistorical[[#This Row],[Shelter NFI Old]])/tblPiNHistorical[[#This Row],[Shelter NFI Old]], 1), "")</f>
        <v/>
      </c>
      <c r="BA105" s="36" t="str">
        <f>IFERROR(ROUND((tblPiNHistorical[[#This Row],[WASH New]]-tblPiNHistorical[[#This Row],[WASH Old]])/tblPiNHistorical[[#This Row],[WASH Old]], 1), "")</f>
        <v/>
      </c>
      <c r="BB105"/>
      <c r="BC105"/>
      <c r="BD105"/>
      <c r="BE105"/>
      <c r="BF105"/>
      <c r="BG105"/>
      <c r="BH105"/>
      <c r="BI105"/>
      <c r="BL105"/>
      <c r="BN105"/>
      <c r="BO105"/>
      <c r="BP105"/>
    </row>
    <row r="106" spans="1:68" ht="30" x14ac:dyDescent="0.25">
      <c r="A106"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IDPsSD10067</v>
      </c>
      <c r="B106" s="127" t="s">
        <v>176</v>
      </c>
      <c r="C106" s="60" t="s">
        <v>127</v>
      </c>
      <c r="D106" s="60" t="s">
        <v>410</v>
      </c>
      <c r="E106" s="60" t="s">
        <v>411</v>
      </c>
      <c r="F106" s="54"/>
      <c r="G106" s="30"/>
      <c r="H106" s="56">
        <v>100</v>
      </c>
      <c r="I106" s="37" t="s">
        <v>88</v>
      </c>
      <c r="J106" s="34">
        <v>0</v>
      </c>
      <c r="K106" s="116">
        <v>0</v>
      </c>
      <c r="L106" s="114">
        <v>100</v>
      </c>
      <c r="M106" s="114">
        <v>100</v>
      </c>
      <c r="N106" s="114">
        <v>16</v>
      </c>
      <c r="O106" s="114">
        <v>100</v>
      </c>
      <c r="P106" s="114">
        <v>55</v>
      </c>
      <c r="Q106" s="114">
        <v>0</v>
      </c>
      <c r="R106" s="114">
        <v>0</v>
      </c>
      <c r="S106" s="114">
        <v>0</v>
      </c>
      <c r="T106" s="196">
        <v>0</v>
      </c>
      <c r="U106" s="52">
        <f>IFERROR(INDEX(tblPiNAnalysis[[Site Management ]], MATCH(tblPiNHistorical[[#This Row],[ID]], tblPiNAnalysis[ID], 0)), "")</f>
        <v>0</v>
      </c>
      <c r="V106" s="52">
        <f>IFERROR(INDEX(tblPiNAnalysis[Education], MATCH(tblPiNHistorical[[#This Row],[ID]], tblPiNAnalysis[ID], 0)), "")</f>
        <v>0</v>
      </c>
      <c r="W106" s="28">
        <f>IFERROR(INDEX(tblPiNAnalysis[Food Security and Livlihoods], MATCH(tblPiNHistorical[[#This Row],[ID]], tblPiNAnalysis[ID], 0)), "")</f>
        <v>0</v>
      </c>
      <c r="X106" s="28">
        <f>IFERROR(INDEX(tblPiNAnalysis[[Health ]], MATCH(tblPiNHistorical[[#This Row],[ID]], tblPiNAnalysis[ID], 0)), "")</f>
        <v>0</v>
      </c>
      <c r="Y106" s="28">
        <f>IFERROR(INDEX(tblPiNAnalysis[Nutrition], MATCH(tblPiNHistorical[[#This Row],[ID]], tblPiNAnalysis[ID], 0)), "")</f>
        <v>0</v>
      </c>
      <c r="Z106" s="28">
        <f>IFERROR(INDEX(tblPiNAnalysis[Protection], MATCH(tblPiNHistorical[[#This Row],[ID]], tblPiNAnalysis[ID], 0)), "")</f>
        <v>0</v>
      </c>
      <c r="AA106" s="28">
        <f>IFERROR(INDEX(tblPiNAnalysis[CP], MATCH(tblPiNHistorical[[#This Row],[ID]], tblPiNAnalysis[ID], 0)), "")</f>
        <v>0</v>
      </c>
      <c r="AB106" s="83">
        <f>IFERROR(INDEX(tblPiNAnalysis[GBV], MATCH(tblPiNHistorical[[#This Row],[ID]], tblPiNAnalysis[ID], 0)), "")</f>
        <v>0</v>
      </c>
      <c r="AC106" s="28">
        <f>IFERROR(INDEX(tblPiNAnalysis[Mine Action], MATCH(tblPiNHistorical[[#This Row],[ID]], tblPiNAnalysis[ID], 0)), "")</f>
        <v>0</v>
      </c>
      <c r="AD106" s="83">
        <f>IFERROR(INDEX(tblPiNAnalysis[[Shelter NFI ]], MATCH(tblPiNHistorical[[#This Row],[ID]], tblPiNAnalysis[ID], 0)), "")</f>
        <v>180</v>
      </c>
      <c r="AE106" s="35">
        <f>IFERROR(INDEX(tblPiNAnalysis[WASH], MATCH(tblPiNHistorical[[#This Row],[ID]], tblPiNAnalysis[ID], 0)), "")</f>
        <v>0</v>
      </c>
      <c r="AF106" s="6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106" s="67" t="str">
        <f>IF(OR(tblPiNHistorical[[#This Row],[Education Old]]="", tblPiNHistorical[[#This Row],[Education Old]]=0, tblPiNHistorical[[#This Row],[Education New]]="", tblPiNHistorical[[#This Row],[Education New]]=0), "", tblPiNHistorical[[#This Row],[Education New]]-tblPiNHistorical[[#This Row],[Education Old]])</f>
        <v/>
      </c>
      <c r="AH106" s="67"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106" s="67" t="str">
        <f>IF(OR(tblPiNHistorical[[#This Row],[Health Old]]="", tblPiNHistorical[[#This Row],[Health Old]]=0, tblPiNHistorical[[#This Row],[Health New]]="", tblPiNHistorical[[#This Row],[Health New]]=0), "", tblPiNHistorical[[#This Row],[Health New]]-tblPiNHistorical[[#This Row],[Health Old]])</f>
        <v/>
      </c>
      <c r="AJ106" s="67" t="str">
        <f>IF(OR(tblPiNHistorical[[#This Row],[Nutrition Old]]="", tblPiNHistorical[[#This Row],[Nutrition Old]]=0, tblPiNHistorical[[#This Row],[Nutrition New]]="", tblPiNHistorical[[#This Row],[Nutrition New]]=0), "", tblPiNHistorical[[#This Row],[Nutrition New]]-tblPiNHistorical[[#This Row],[Nutrition Old]])</f>
        <v/>
      </c>
      <c r="AK106" s="67" t="str">
        <f>IF(OR(tblPiNHistorical[[#This Row],[Protection Old]]="", tblPiNHistorical[[#This Row],[Protection Old]]=0, tblPiNHistorical[[#This Row],[Protection New]]="", tblPiNHistorical[[#This Row],[Protection New]]=0), "", tblPiNHistorical[[#This Row],[Protection New]]-tblPiNHistorical[[#This Row],[Protection Old]])</f>
        <v/>
      </c>
      <c r="AL106" s="67" t="str">
        <f>IF(OR(tblPiNHistorical[[#This Row],[CP Old ]]="", tblPiNHistorical[[#This Row],[CP Old ]]=0, tblPiNHistorical[[#This Row],[CP New]]="", tblPiNHistorical[[#This Row],[CP New]]=0), "", tblPiNHistorical[[#This Row],[CP New]]-tblPiNHistorical[[#This Row],[CP Old ]])</f>
        <v/>
      </c>
      <c r="AM106" s="83" t="str">
        <f>IF(OR(tblPiNHistorical[[#This Row],[GBV Old]]="", tblPiNHistorical[[#This Row],[GBV Old]]=0, tblPiNHistorical[[#This Row],[GBV New]]="", tblPiNHistorical[[#This Row],[GBV New]]=0), "", tblPiNHistorical[[#This Row],[GBV New]]-tblPiNHistorical[[#This Row],[GBV Old]])</f>
        <v/>
      </c>
      <c r="AN106" s="83" t="str">
        <f>IF(OR(tblPiNHistorical[[#This Row],[Mine Action Old]]="", tblPiNHistorical[[#This Row],[Mine Action Old]]=0, tblPiNHistorical[[#This Row],[Mine Action New]]="", tblPiNHistorical[[#This Row],[Mine Action New]]=0), "", tblPiNHistorical[[#This Row],[Mine Action New]]-tblPiNHistorical[[#This Row],[Mine Action Old]])</f>
        <v/>
      </c>
      <c r="AO106" s="67" t="str">
        <f>IF(OR(tblPiNHistorical[[#This Row],[Shelter NFI Old]]="", tblPiNHistorical[[#This Row],[Shelter NFI Old]]=0, tblPiNHistorical[[#This Row],[Shelter NFI New]]="", tblPiNHistorical[[#This Row],[Shelter NFI New]]=0), "", tblPiNHistorical[[#This Row],[Shelter NFI New]]-tblPiNHistorical[[#This Row],[Shelter NFI Old]])</f>
        <v/>
      </c>
      <c r="AP106" s="111" t="str">
        <f>IF(OR(tblPiNHistorical[[#This Row],[WASH Old]]="", tblPiNHistorical[[#This Row],[WASH Old]]=0, tblPiNHistorical[[#This Row],[WASH New]]="", tblPiNHistorical[[#This Row],[WASH New]]=0), "", tblPiNHistorical[[#This Row],[WASH New]]-tblPiNHistorical[[#This Row],[WASH Old]])</f>
        <v/>
      </c>
      <c r="AQ106" s="110" t="str">
        <f>IFERROR(ROUND((tblPiNHistorical[[#This Row],[Site Management - New]] - tblPiNHistorical[[#This Row],[Site Management - Old]])/tblPiNHistorical[[#This Row],[Site Management - Old]], 1), "")</f>
        <v/>
      </c>
      <c r="AR106" s="66" t="str">
        <f>IFERROR(ROUND((tblPiNHistorical[[#This Row],[Education New]]-tblPiNHistorical[[#This Row],[Education Old]])/tblPiNHistorical[[#This Row],[Education Old]], 1), "")</f>
        <v/>
      </c>
      <c r="AS106" s="66">
        <f>IFERROR(ROUND((tblPiNHistorical[[#This Row],[Food Security and Livlihoods New]]-tblPiNHistorical[[#This Row],[Food Security and Livlihoods Old]])/tblPiNHistorical[[#This Row],[Food Security and Livlihoods Old]], 1), "")</f>
        <v>-1</v>
      </c>
      <c r="AT106" s="66">
        <f>IFERROR(ROUND((tblPiNHistorical[[#This Row],[Health New]]-tblPiNHistorical[[#This Row],[Health Old]])/tblPiNHistorical[[#This Row],[Health Old]], 1), "")</f>
        <v>-1</v>
      </c>
      <c r="AU106" s="66">
        <f>IFERROR(ROUND((tblPiNHistorical[[#This Row],[Nutrition New]]-tblPiNHistorical[[#This Row],[Nutrition Old]])/tblPiNHistorical[[#This Row],[Nutrition Old]], 1), "")</f>
        <v>-1</v>
      </c>
      <c r="AV106" s="66">
        <f>IFERROR(ROUND((tblPiNHistorical[[#This Row],[Protection New]]-tblPiNHistorical[[#This Row],[Protection Old]])/tblPiNHistorical[[#This Row],[Protection Old]], 1), "")</f>
        <v>-1</v>
      </c>
      <c r="AW106" s="84">
        <f>IFERROR(ROUND((tblPiNHistorical[[#This Row],[CP New]]-tblPiNHistorical[[#This Row],[CP Old ]])/tblPiNHistorical[[#This Row],[CP Old ]], 1), "")</f>
        <v>-1</v>
      </c>
      <c r="AX106" s="84" t="str">
        <f>IFERROR(ROUND((tblPiNHistorical[[#This Row],[GBV New]]-tblPiNHistorical[[#This Row],[GBV Old]])/tblPiNHistorical[[#This Row],[GBV Old]], 1), "")</f>
        <v/>
      </c>
      <c r="AY106" s="84" t="str">
        <f>IFERROR(ROUND((tblPiNHistorical[[#This Row],[Mine Action New]]-tblPiNHistorical[[#This Row],[Mine Action Old]])/tblPiNHistorical[[#This Row],[Mine Action Old]], 1), "")</f>
        <v/>
      </c>
      <c r="AZ106" s="66" t="str">
        <f>IFERROR(ROUND((tblPiNHistorical[[#This Row],[Shelter NFI New]]-tblPiNHistorical[[#This Row],[Shelter NFI Old]])/tblPiNHistorical[[#This Row],[Shelter NFI Old]], 1), "")</f>
        <v/>
      </c>
      <c r="BA106" s="36" t="str">
        <f>IFERROR(ROUND((tblPiNHistorical[[#This Row],[WASH New]]-tblPiNHistorical[[#This Row],[WASH Old]])/tblPiNHistorical[[#This Row],[WASH Old]], 1), "")</f>
        <v/>
      </c>
      <c r="BB106"/>
      <c r="BC106"/>
      <c r="BD106"/>
      <c r="BE106"/>
      <c r="BF106"/>
      <c r="BG106"/>
      <c r="BH106"/>
      <c r="BI106"/>
      <c r="BL106"/>
      <c r="BN106"/>
      <c r="BO106"/>
      <c r="BP106"/>
    </row>
    <row r="107" spans="1:68" x14ac:dyDescent="0.25">
      <c r="A107"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IDPsSD10064</v>
      </c>
      <c r="B107" s="127" t="s">
        <v>176</v>
      </c>
      <c r="C107" s="60" t="s">
        <v>127</v>
      </c>
      <c r="D107" s="60" t="s">
        <v>404</v>
      </c>
      <c r="E107" s="60" t="s">
        <v>405</v>
      </c>
      <c r="F107" s="54"/>
      <c r="G107" s="30"/>
      <c r="H107" s="56">
        <v>114235</v>
      </c>
      <c r="I107" s="37" t="s">
        <v>88</v>
      </c>
      <c r="J107" s="34">
        <v>4367</v>
      </c>
      <c r="K107" s="116">
        <v>44288.909500000002</v>
      </c>
      <c r="L107" s="114">
        <v>114235</v>
      </c>
      <c r="M107" s="114">
        <v>114235</v>
      </c>
      <c r="N107" s="114">
        <v>6637</v>
      </c>
      <c r="O107" s="114">
        <v>114235</v>
      </c>
      <c r="P107" s="114">
        <v>62829</v>
      </c>
      <c r="Q107" s="114">
        <v>45215</v>
      </c>
      <c r="R107" s="114">
        <v>0</v>
      </c>
      <c r="S107" s="114">
        <v>68541</v>
      </c>
      <c r="T107" s="196">
        <v>61810.273799999995</v>
      </c>
      <c r="U107" s="52">
        <f>IFERROR(INDEX(tblPiNAnalysis[[Site Management ]], MATCH(tblPiNHistorical[[#This Row],[ID]], tblPiNAnalysis[ID], 0)), "")</f>
        <v>0</v>
      </c>
      <c r="V107" s="52">
        <f>IFERROR(INDEX(tblPiNAnalysis[Education], MATCH(tblPiNHistorical[[#This Row],[ID]], tblPiNAnalysis[ID], 0)), "")</f>
        <v>0</v>
      </c>
      <c r="W107" s="28">
        <f>IFERROR(INDEX(tblPiNAnalysis[Food Security and Livlihoods], MATCH(tblPiNHistorical[[#This Row],[ID]], tblPiNAnalysis[ID], 0)), "")</f>
        <v>0</v>
      </c>
      <c r="X107" s="28">
        <f>IFERROR(INDEX(tblPiNAnalysis[[Health ]], MATCH(tblPiNHistorical[[#This Row],[ID]], tblPiNAnalysis[ID], 0)), "")</f>
        <v>0</v>
      </c>
      <c r="Y107" s="28">
        <f>IFERROR(INDEX(tblPiNAnalysis[Nutrition], MATCH(tblPiNHistorical[[#This Row],[ID]], tblPiNAnalysis[ID], 0)), "")</f>
        <v>0</v>
      </c>
      <c r="Z107" s="28">
        <f>IFERROR(INDEX(tblPiNAnalysis[Protection], MATCH(tblPiNHistorical[[#This Row],[ID]], tblPiNAnalysis[ID], 0)), "")</f>
        <v>0</v>
      </c>
      <c r="AA107" s="28">
        <f>IFERROR(INDEX(tblPiNAnalysis[CP], MATCH(tblPiNHistorical[[#This Row],[ID]], tblPiNAnalysis[ID], 0)), "")</f>
        <v>0</v>
      </c>
      <c r="AB107" s="83">
        <f>IFERROR(INDEX(tblPiNAnalysis[GBV], MATCH(tblPiNHistorical[[#This Row],[ID]], tblPiNAnalysis[ID], 0)), "")</f>
        <v>0</v>
      </c>
      <c r="AC107" s="28">
        <f>IFERROR(INDEX(tblPiNAnalysis[Mine Action], MATCH(tblPiNHistorical[[#This Row],[ID]], tblPiNAnalysis[ID], 0)), "")</f>
        <v>0</v>
      </c>
      <c r="AD107" s="83">
        <f>IFERROR(INDEX(tblPiNAnalysis[[Shelter NFI ]], MATCH(tblPiNHistorical[[#This Row],[ID]], tblPiNAnalysis[ID], 0)), "")</f>
        <v>153124</v>
      </c>
      <c r="AE107" s="35">
        <f>IFERROR(INDEX(tblPiNAnalysis[WASH], MATCH(tblPiNHistorical[[#This Row],[ID]], tblPiNAnalysis[ID], 0)), "")</f>
        <v>0</v>
      </c>
      <c r="AF107" s="6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107" s="67" t="str">
        <f>IF(OR(tblPiNHistorical[[#This Row],[Education Old]]="", tblPiNHistorical[[#This Row],[Education Old]]=0, tblPiNHistorical[[#This Row],[Education New]]="", tblPiNHistorical[[#This Row],[Education New]]=0), "", tblPiNHistorical[[#This Row],[Education New]]-tblPiNHistorical[[#This Row],[Education Old]])</f>
        <v/>
      </c>
      <c r="AH107" s="67"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107" s="67" t="str">
        <f>IF(OR(tblPiNHistorical[[#This Row],[Health Old]]="", tblPiNHistorical[[#This Row],[Health Old]]=0, tblPiNHistorical[[#This Row],[Health New]]="", tblPiNHistorical[[#This Row],[Health New]]=0), "", tblPiNHistorical[[#This Row],[Health New]]-tblPiNHistorical[[#This Row],[Health Old]])</f>
        <v/>
      </c>
      <c r="AJ107" s="67" t="str">
        <f>IF(OR(tblPiNHistorical[[#This Row],[Nutrition Old]]="", tblPiNHistorical[[#This Row],[Nutrition Old]]=0, tblPiNHistorical[[#This Row],[Nutrition New]]="", tblPiNHistorical[[#This Row],[Nutrition New]]=0), "", tblPiNHistorical[[#This Row],[Nutrition New]]-tblPiNHistorical[[#This Row],[Nutrition Old]])</f>
        <v/>
      </c>
      <c r="AK107" s="67" t="str">
        <f>IF(OR(tblPiNHistorical[[#This Row],[Protection Old]]="", tblPiNHistorical[[#This Row],[Protection Old]]=0, tblPiNHistorical[[#This Row],[Protection New]]="", tblPiNHistorical[[#This Row],[Protection New]]=0), "", tblPiNHistorical[[#This Row],[Protection New]]-tblPiNHistorical[[#This Row],[Protection Old]])</f>
        <v/>
      </c>
      <c r="AL107" s="67" t="str">
        <f>IF(OR(tblPiNHistorical[[#This Row],[CP Old ]]="", tblPiNHistorical[[#This Row],[CP Old ]]=0, tblPiNHistorical[[#This Row],[CP New]]="", tblPiNHistorical[[#This Row],[CP New]]=0), "", tblPiNHistorical[[#This Row],[CP New]]-tblPiNHistorical[[#This Row],[CP Old ]])</f>
        <v/>
      </c>
      <c r="AM107" s="83" t="str">
        <f>IF(OR(tblPiNHistorical[[#This Row],[GBV Old]]="", tblPiNHistorical[[#This Row],[GBV Old]]=0, tblPiNHistorical[[#This Row],[GBV New]]="", tblPiNHistorical[[#This Row],[GBV New]]=0), "", tblPiNHistorical[[#This Row],[GBV New]]-tblPiNHistorical[[#This Row],[GBV Old]])</f>
        <v/>
      </c>
      <c r="AN107" s="83" t="str">
        <f>IF(OR(tblPiNHistorical[[#This Row],[Mine Action Old]]="", tblPiNHistorical[[#This Row],[Mine Action Old]]=0, tblPiNHistorical[[#This Row],[Mine Action New]]="", tblPiNHistorical[[#This Row],[Mine Action New]]=0), "", tblPiNHistorical[[#This Row],[Mine Action New]]-tblPiNHistorical[[#This Row],[Mine Action Old]])</f>
        <v/>
      </c>
      <c r="AO107" s="67">
        <f>IF(OR(tblPiNHistorical[[#This Row],[Shelter NFI Old]]="", tblPiNHistorical[[#This Row],[Shelter NFI Old]]=0, tblPiNHistorical[[#This Row],[Shelter NFI New]]="", tblPiNHistorical[[#This Row],[Shelter NFI New]]=0), "", tblPiNHistorical[[#This Row],[Shelter NFI New]]-tblPiNHistorical[[#This Row],[Shelter NFI Old]])</f>
        <v>84583</v>
      </c>
      <c r="AP107" s="111" t="str">
        <f>IF(OR(tblPiNHistorical[[#This Row],[WASH Old]]="", tblPiNHistorical[[#This Row],[WASH Old]]=0, tblPiNHistorical[[#This Row],[WASH New]]="", tblPiNHistorical[[#This Row],[WASH New]]=0), "", tblPiNHistorical[[#This Row],[WASH New]]-tblPiNHistorical[[#This Row],[WASH Old]])</f>
        <v/>
      </c>
      <c r="AQ107" s="110">
        <f>IFERROR(ROUND((tblPiNHistorical[[#This Row],[Site Management - New]] - tblPiNHistorical[[#This Row],[Site Management - Old]])/tblPiNHistorical[[#This Row],[Site Management - Old]], 1), "")</f>
        <v>-1</v>
      </c>
      <c r="AR107" s="66">
        <f>IFERROR(ROUND((tblPiNHistorical[[#This Row],[Education New]]-tblPiNHistorical[[#This Row],[Education Old]])/tblPiNHistorical[[#This Row],[Education Old]], 1), "")</f>
        <v>-1</v>
      </c>
      <c r="AS107" s="66">
        <f>IFERROR(ROUND((tblPiNHistorical[[#This Row],[Food Security and Livlihoods New]]-tblPiNHistorical[[#This Row],[Food Security and Livlihoods Old]])/tblPiNHistorical[[#This Row],[Food Security and Livlihoods Old]], 1), "")</f>
        <v>-1</v>
      </c>
      <c r="AT107" s="66">
        <f>IFERROR(ROUND((tblPiNHistorical[[#This Row],[Health New]]-tblPiNHistorical[[#This Row],[Health Old]])/tblPiNHistorical[[#This Row],[Health Old]], 1), "")</f>
        <v>-1</v>
      </c>
      <c r="AU107" s="66">
        <f>IFERROR(ROUND((tblPiNHistorical[[#This Row],[Nutrition New]]-tblPiNHistorical[[#This Row],[Nutrition Old]])/tblPiNHistorical[[#This Row],[Nutrition Old]], 1), "")</f>
        <v>-1</v>
      </c>
      <c r="AV107" s="66">
        <f>IFERROR(ROUND((tblPiNHistorical[[#This Row],[Protection New]]-tblPiNHistorical[[#This Row],[Protection Old]])/tblPiNHistorical[[#This Row],[Protection Old]], 1), "")</f>
        <v>-1</v>
      </c>
      <c r="AW107" s="84">
        <f>IFERROR(ROUND((tblPiNHistorical[[#This Row],[CP New]]-tblPiNHistorical[[#This Row],[CP Old ]])/tblPiNHistorical[[#This Row],[CP Old ]], 1), "")</f>
        <v>-1</v>
      </c>
      <c r="AX107" s="84">
        <f>IFERROR(ROUND((tblPiNHistorical[[#This Row],[GBV New]]-tblPiNHistorical[[#This Row],[GBV Old]])/tblPiNHistorical[[#This Row],[GBV Old]], 1), "")</f>
        <v>-1</v>
      </c>
      <c r="AY107" s="84" t="str">
        <f>IFERROR(ROUND((tblPiNHistorical[[#This Row],[Mine Action New]]-tblPiNHistorical[[#This Row],[Mine Action Old]])/tblPiNHistorical[[#This Row],[Mine Action Old]], 1), "")</f>
        <v/>
      </c>
      <c r="AZ107" s="66">
        <f>IFERROR(ROUND((tblPiNHistorical[[#This Row],[Shelter NFI New]]-tblPiNHistorical[[#This Row],[Shelter NFI Old]])/tblPiNHistorical[[#This Row],[Shelter NFI Old]], 1), "")</f>
        <v>1.2</v>
      </c>
      <c r="BA107" s="36">
        <f>IFERROR(ROUND((tblPiNHistorical[[#This Row],[WASH New]]-tblPiNHistorical[[#This Row],[WASH Old]])/tblPiNHistorical[[#This Row],[WASH Old]], 1), "")</f>
        <v>-1</v>
      </c>
      <c r="BB107"/>
      <c r="BC107"/>
      <c r="BD107"/>
      <c r="BE107"/>
      <c r="BF107"/>
      <c r="BG107"/>
      <c r="BH107"/>
      <c r="BI107"/>
      <c r="BL107"/>
      <c r="BN107"/>
      <c r="BO107"/>
      <c r="BP107"/>
    </row>
    <row r="108" spans="1:68" x14ac:dyDescent="0.25">
      <c r="A108"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IDPsSD10068</v>
      </c>
      <c r="B108" s="127" t="s">
        <v>176</v>
      </c>
      <c r="C108" s="60" t="s">
        <v>127</v>
      </c>
      <c r="D108" s="60" t="s">
        <v>412</v>
      </c>
      <c r="E108" s="60" t="s">
        <v>413</v>
      </c>
      <c r="F108" s="54"/>
      <c r="G108" s="30"/>
      <c r="H108" s="56">
        <v>1790</v>
      </c>
      <c r="I108" s="37" t="s">
        <v>88</v>
      </c>
      <c r="J108" s="34">
        <v>415</v>
      </c>
      <c r="K108" s="116">
        <v>0</v>
      </c>
      <c r="L108" s="114">
        <v>1790</v>
      </c>
      <c r="M108" s="114">
        <v>1790</v>
      </c>
      <c r="N108" s="114">
        <v>276</v>
      </c>
      <c r="O108" s="114">
        <v>1790</v>
      </c>
      <c r="P108" s="114">
        <v>985</v>
      </c>
      <c r="Q108" s="114">
        <v>0</v>
      </c>
      <c r="R108" s="114">
        <v>0</v>
      </c>
      <c r="S108" s="114">
        <v>0</v>
      </c>
      <c r="T108" s="196">
        <v>0</v>
      </c>
      <c r="U108" s="52">
        <f>IFERROR(INDEX(tblPiNAnalysis[[Site Management ]], MATCH(tblPiNHistorical[[#This Row],[ID]], tblPiNAnalysis[ID], 0)), "")</f>
        <v>0</v>
      </c>
      <c r="V108" s="52">
        <f>IFERROR(INDEX(tblPiNAnalysis[Education], MATCH(tblPiNHistorical[[#This Row],[ID]], tblPiNAnalysis[ID], 0)), "")</f>
        <v>0</v>
      </c>
      <c r="W108" s="28">
        <f>IFERROR(INDEX(tblPiNAnalysis[Food Security and Livlihoods], MATCH(tblPiNHistorical[[#This Row],[ID]], tblPiNAnalysis[ID], 0)), "")</f>
        <v>0</v>
      </c>
      <c r="X108" s="28">
        <f>IFERROR(INDEX(tblPiNAnalysis[[Health ]], MATCH(tblPiNHistorical[[#This Row],[ID]], tblPiNAnalysis[ID], 0)), "")</f>
        <v>0</v>
      </c>
      <c r="Y108" s="28">
        <f>IFERROR(INDEX(tblPiNAnalysis[Nutrition], MATCH(tblPiNHistorical[[#This Row],[ID]], tblPiNAnalysis[ID], 0)), "")</f>
        <v>0</v>
      </c>
      <c r="Z108" s="28">
        <f>IFERROR(INDEX(tblPiNAnalysis[Protection], MATCH(tblPiNHistorical[[#This Row],[ID]], tblPiNAnalysis[ID], 0)), "")</f>
        <v>0</v>
      </c>
      <c r="AA108" s="28">
        <f>IFERROR(INDEX(tblPiNAnalysis[CP], MATCH(tblPiNHistorical[[#This Row],[ID]], tblPiNAnalysis[ID], 0)), "")</f>
        <v>0</v>
      </c>
      <c r="AB108" s="83">
        <f>IFERROR(INDEX(tblPiNAnalysis[GBV], MATCH(tblPiNHistorical[[#This Row],[ID]], tblPiNAnalysis[ID], 0)), "")</f>
        <v>0</v>
      </c>
      <c r="AC108" s="28">
        <f>IFERROR(INDEX(tblPiNAnalysis[Mine Action], MATCH(tblPiNHistorical[[#This Row],[ID]], tblPiNAnalysis[ID], 0)), "")</f>
        <v>0</v>
      </c>
      <c r="AD108" s="83">
        <f>IFERROR(INDEX(tblPiNAnalysis[[Shelter NFI ]], MATCH(tblPiNHistorical[[#This Row],[ID]], tblPiNAnalysis[ID], 0)), "")</f>
        <v>1591</v>
      </c>
      <c r="AE108" s="35">
        <f>IFERROR(INDEX(tblPiNAnalysis[WASH], MATCH(tblPiNHistorical[[#This Row],[ID]], tblPiNAnalysis[ID], 0)), "")</f>
        <v>0</v>
      </c>
      <c r="AF108" s="6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108" s="67" t="str">
        <f>IF(OR(tblPiNHistorical[[#This Row],[Education Old]]="", tblPiNHistorical[[#This Row],[Education Old]]=0, tblPiNHistorical[[#This Row],[Education New]]="", tblPiNHistorical[[#This Row],[Education New]]=0), "", tblPiNHistorical[[#This Row],[Education New]]-tblPiNHistorical[[#This Row],[Education Old]])</f>
        <v/>
      </c>
      <c r="AH108" s="67"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108" s="67" t="str">
        <f>IF(OR(tblPiNHistorical[[#This Row],[Health Old]]="", tblPiNHistorical[[#This Row],[Health Old]]=0, tblPiNHistorical[[#This Row],[Health New]]="", tblPiNHistorical[[#This Row],[Health New]]=0), "", tblPiNHistorical[[#This Row],[Health New]]-tblPiNHistorical[[#This Row],[Health Old]])</f>
        <v/>
      </c>
      <c r="AJ108" s="67" t="str">
        <f>IF(OR(tblPiNHistorical[[#This Row],[Nutrition Old]]="", tblPiNHistorical[[#This Row],[Nutrition Old]]=0, tblPiNHistorical[[#This Row],[Nutrition New]]="", tblPiNHistorical[[#This Row],[Nutrition New]]=0), "", tblPiNHistorical[[#This Row],[Nutrition New]]-tblPiNHistorical[[#This Row],[Nutrition Old]])</f>
        <v/>
      </c>
      <c r="AK108" s="67" t="str">
        <f>IF(OR(tblPiNHistorical[[#This Row],[Protection Old]]="", tblPiNHistorical[[#This Row],[Protection Old]]=0, tblPiNHistorical[[#This Row],[Protection New]]="", tblPiNHistorical[[#This Row],[Protection New]]=0), "", tblPiNHistorical[[#This Row],[Protection New]]-tblPiNHistorical[[#This Row],[Protection Old]])</f>
        <v/>
      </c>
      <c r="AL108" s="67" t="str">
        <f>IF(OR(tblPiNHistorical[[#This Row],[CP Old ]]="", tblPiNHistorical[[#This Row],[CP Old ]]=0, tblPiNHistorical[[#This Row],[CP New]]="", tblPiNHistorical[[#This Row],[CP New]]=0), "", tblPiNHistorical[[#This Row],[CP New]]-tblPiNHistorical[[#This Row],[CP Old ]])</f>
        <v/>
      </c>
      <c r="AM108" s="83" t="str">
        <f>IF(OR(tblPiNHistorical[[#This Row],[GBV Old]]="", tblPiNHistorical[[#This Row],[GBV Old]]=0, tblPiNHistorical[[#This Row],[GBV New]]="", tblPiNHistorical[[#This Row],[GBV New]]=0), "", tblPiNHistorical[[#This Row],[GBV New]]-tblPiNHistorical[[#This Row],[GBV Old]])</f>
        <v/>
      </c>
      <c r="AN108" s="83" t="str">
        <f>IF(OR(tblPiNHistorical[[#This Row],[Mine Action Old]]="", tblPiNHistorical[[#This Row],[Mine Action Old]]=0, tblPiNHistorical[[#This Row],[Mine Action New]]="", tblPiNHistorical[[#This Row],[Mine Action New]]=0), "", tblPiNHistorical[[#This Row],[Mine Action New]]-tblPiNHistorical[[#This Row],[Mine Action Old]])</f>
        <v/>
      </c>
      <c r="AO108" s="67" t="str">
        <f>IF(OR(tblPiNHistorical[[#This Row],[Shelter NFI Old]]="", tblPiNHistorical[[#This Row],[Shelter NFI Old]]=0, tblPiNHistorical[[#This Row],[Shelter NFI New]]="", tblPiNHistorical[[#This Row],[Shelter NFI New]]=0), "", tblPiNHistorical[[#This Row],[Shelter NFI New]]-tblPiNHistorical[[#This Row],[Shelter NFI Old]])</f>
        <v/>
      </c>
      <c r="AP108" s="111" t="str">
        <f>IF(OR(tblPiNHistorical[[#This Row],[WASH Old]]="", tblPiNHistorical[[#This Row],[WASH Old]]=0, tblPiNHistorical[[#This Row],[WASH New]]="", tblPiNHistorical[[#This Row],[WASH New]]=0), "", tblPiNHistorical[[#This Row],[WASH New]]-tblPiNHistorical[[#This Row],[WASH Old]])</f>
        <v/>
      </c>
      <c r="AQ108" s="110">
        <f>IFERROR(ROUND((tblPiNHistorical[[#This Row],[Site Management - New]] - tblPiNHistorical[[#This Row],[Site Management - Old]])/tblPiNHistorical[[#This Row],[Site Management - Old]], 1), "")</f>
        <v>-1</v>
      </c>
      <c r="AR108" s="66" t="str">
        <f>IFERROR(ROUND((tblPiNHistorical[[#This Row],[Education New]]-tblPiNHistorical[[#This Row],[Education Old]])/tblPiNHistorical[[#This Row],[Education Old]], 1), "")</f>
        <v/>
      </c>
      <c r="AS108" s="66">
        <f>IFERROR(ROUND((tblPiNHistorical[[#This Row],[Food Security and Livlihoods New]]-tblPiNHistorical[[#This Row],[Food Security and Livlihoods Old]])/tblPiNHistorical[[#This Row],[Food Security and Livlihoods Old]], 1), "")</f>
        <v>-1</v>
      </c>
      <c r="AT108" s="66">
        <f>IFERROR(ROUND((tblPiNHistorical[[#This Row],[Health New]]-tblPiNHistorical[[#This Row],[Health Old]])/tblPiNHistorical[[#This Row],[Health Old]], 1), "")</f>
        <v>-1</v>
      </c>
      <c r="AU108" s="66">
        <f>IFERROR(ROUND((tblPiNHistorical[[#This Row],[Nutrition New]]-tblPiNHistorical[[#This Row],[Nutrition Old]])/tblPiNHistorical[[#This Row],[Nutrition Old]], 1), "")</f>
        <v>-1</v>
      </c>
      <c r="AV108" s="66">
        <f>IFERROR(ROUND((tblPiNHistorical[[#This Row],[Protection New]]-tblPiNHistorical[[#This Row],[Protection Old]])/tblPiNHistorical[[#This Row],[Protection Old]], 1), "")</f>
        <v>-1</v>
      </c>
      <c r="AW108" s="84">
        <f>IFERROR(ROUND((tblPiNHistorical[[#This Row],[CP New]]-tblPiNHistorical[[#This Row],[CP Old ]])/tblPiNHistorical[[#This Row],[CP Old ]], 1), "")</f>
        <v>-1</v>
      </c>
      <c r="AX108" s="84" t="str">
        <f>IFERROR(ROUND((tblPiNHistorical[[#This Row],[GBV New]]-tblPiNHistorical[[#This Row],[GBV Old]])/tblPiNHistorical[[#This Row],[GBV Old]], 1), "")</f>
        <v/>
      </c>
      <c r="AY108" s="84" t="str">
        <f>IFERROR(ROUND((tblPiNHistorical[[#This Row],[Mine Action New]]-tblPiNHistorical[[#This Row],[Mine Action Old]])/tblPiNHistorical[[#This Row],[Mine Action Old]], 1), "")</f>
        <v/>
      </c>
      <c r="AZ108" s="66" t="str">
        <f>IFERROR(ROUND((tblPiNHistorical[[#This Row],[Shelter NFI New]]-tblPiNHistorical[[#This Row],[Shelter NFI Old]])/tblPiNHistorical[[#This Row],[Shelter NFI Old]], 1), "")</f>
        <v/>
      </c>
      <c r="BA108" s="36" t="str">
        <f>IFERROR(ROUND((tblPiNHistorical[[#This Row],[WASH New]]-tblPiNHistorical[[#This Row],[WASH Old]])/tblPiNHistorical[[#This Row],[WASH Old]], 1), "")</f>
        <v/>
      </c>
      <c r="BB108"/>
      <c r="BC108"/>
      <c r="BD108"/>
      <c r="BE108"/>
      <c r="BF108"/>
      <c r="BG108"/>
      <c r="BH108"/>
      <c r="BI108"/>
      <c r="BL108"/>
      <c r="BN108"/>
      <c r="BO108"/>
      <c r="BP108"/>
    </row>
    <row r="109" spans="1:68" x14ac:dyDescent="0.25">
      <c r="A109"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IDPsSD10071</v>
      </c>
      <c r="B109" s="127" t="s">
        <v>176</v>
      </c>
      <c r="C109" s="60" t="s">
        <v>127</v>
      </c>
      <c r="D109" s="60" t="s">
        <v>418</v>
      </c>
      <c r="E109" s="60" t="s">
        <v>419</v>
      </c>
      <c r="F109" s="54"/>
      <c r="G109" s="30"/>
      <c r="H109" s="56">
        <v>2687</v>
      </c>
      <c r="I109" s="37" t="s">
        <v>88</v>
      </c>
      <c r="J109" s="34">
        <v>291</v>
      </c>
      <c r="K109" s="116">
        <v>0</v>
      </c>
      <c r="L109" s="114">
        <v>2687</v>
      </c>
      <c r="M109" s="114">
        <v>2687</v>
      </c>
      <c r="N109" s="114">
        <v>278</v>
      </c>
      <c r="O109" s="114">
        <v>2687</v>
      </c>
      <c r="P109" s="114">
        <v>1478</v>
      </c>
      <c r="Q109" s="114">
        <v>922</v>
      </c>
      <c r="R109" s="114">
        <v>0</v>
      </c>
      <c r="S109" s="114">
        <v>0</v>
      </c>
      <c r="T109" s="196">
        <v>0</v>
      </c>
      <c r="U109" s="52">
        <f>IFERROR(INDEX(tblPiNAnalysis[[Site Management ]], MATCH(tblPiNHistorical[[#This Row],[ID]], tblPiNAnalysis[ID], 0)), "")</f>
        <v>0</v>
      </c>
      <c r="V109" s="52">
        <f>IFERROR(INDEX(tblPiNAnalysis[Education], MATCH(tblPiNHistorical[[#This Row],[ID]], tblPiNAnalysis[ID], 0)), "")</f>
        <v>0</v>
      </c>
      <c r="W109" s="28">
        <f>IFERROR(INDEX(tblPiNAnalysis[Food Security and Livlihoods], MATCH(tblPiNHistorical[[#This Row],[ID]], tblPiNAnalysis[ID], 0)), "")</f>
        <v>0</v>
      </c>
      <c r="X109" s="28">
        <f>IFERROR(INDEX(tblPiNAnalysis[[Health ]], MATCH(tblPiNHistorical[[#This Row],[ID]], tblPiNAnalysis[ID], 0)), "")</f>
        <v>0</v>
      </c>
      <c r="Y109" s="28">
        <f>IFERROR(INDEX(tblPiNAnalysis[Nutrition], MATCH(tblPiNHistorical[[#This Row],[ID]], tblPiNAnalysis[ID], 0)), "")</f>
        <v>0</v>
      </c>
      <c r="Z109" s="28">
        <f>IFERROR(INDEX(tblPiNAnalysis[Protection], MATCH(tblPiNHistorical[[#This Row],[ID]], tblPiNAnalysis[ID], 0)), "")</f>
        <v>0</v>
      </c>
      <c r="AA109" s="28">
        <f>IFERROR(INDEX(tblPiNAnalysis[CP], MATCH(tblPiNHistorical[[#This Row],[ID]], tblPiNAnalysis[ID], 0)), "")</f>
        <v>0</v>
      </c>
      <c r="AB109" s="83">
        <f>IFERROR(INDEX(tblPiNAnalysis[GBV], MATCH(tblPiNHistorical[[#This Row],[ID]], tblPiNAnalysis[ID], 0)), "")</f>
        <v>0</v>
      </c>
      <c r="AC109" s="28">
        <f>IFERROR(INDEX(tblPiNAnalysis[Mine Action], MATCH(tblPiNHistorical[[#This Row],[ID]], tblPiNAnalysis[ID], 0)), "")</f>
        <v>0</v>
      </c>
      <c r="AD109" s="83">
        <f>IFERROR(INDEX(tblPiNAnalysis[[Shelter NFI ]], MATCH(tblPiNHistorical[[#This Row],[ID]], tblPiNAnalysis[ID], 0)), "")</f>
        <v>2646</v>
      </c>
      <c r="AE109" s="35">
        <f>IFERROR(INDEX(tblPiNAnalysis[WASH], MATCH(tblPiNHistorical[[#This Row],[ID]], tblPiNAnalysis[ID], 0)), "")</f>
        <v>0</v>
      </c>
      <c r="AF109" s="6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109" s="67" t="str">
        <f>IF(OR(tblPiNHistorical[[#This Row],[Education Old]]="", tblPiNHistorical[[#This Row],[Education Old]]=0, tblPiNHistorical[[#This Row],[Education New]]="", tblPiNHistorical[[#This Row],[Education New]]=0), "", tblPiNHistorical[[#This Row],[Education New]]-tblPiNHistorical[[#This Row],[Education Old]])</f>
        <v/>
      </c>
      <c r="AH109" s="67"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109" s="67" t="str">
        <f>IF(OR(tblPiNHistorical[[#This Row],[Health Old]]="", tblPiNHistorical[[#This Row],[Health Old]]=0, tblPiNHistorical[[#This Row],[Health New]]="", tblPiNHistorical[[#This Row],[Health New]]=0), "", tblPiNHistorical[[#This Row],[Health New]]-tblPiNHistorical[[#This Row],[Health Old]])</f>
        <v/>
      </c>
      <c r="AJ109" s="67" t="str">
        <f>IF(OR(tblPiNHistorical[[#This Row],[Nutrition Old]]="", tblPiNHistorical[[#This Row],[Nutrition Old]]=0, tblPiNHistorical[[#This Row],[Nutrition New]]="", tblPiNHistorical[[#This Row],[Nutrition New]]=0), "", tblPiNHistorical[[#This Row],[Nutrition New]]-tblPiNHistorical[[#This Row],[Nutrition Old]])</f>
        <v/>
      </c>
      <c r="AK109" s="67" t="str">
        <f>IF(OR(tblPiNHistorical[[#This Row],[Protection Old]]="", tblPiNHistorical[[#This Row],[Protection Old]]=0, tblPiNHistorical[[#This Row],[Protection New]]="", tblPiNHistorical[[#This Row],[Protection New]]=0), "", tblPiNHistorical[[#This Row],[Protection New]]-tblPiNHistorical[[#This Row],[Protection Old]])</f>
        <v/>
      </c>
      <c r="AL109" s="67" t="str">
        <f>IF(OR(tblPiNHistorical[[#This Row],[CP Old ]]="", tblPiNHistorical[[#This Row],[CP Old ]]=0, tblPiNHistorical[[#This Row],[CP New]]="", tblPiNHistorical[[#This Row],[CP New]]=0), "", tblPiNHistorical[[#This Row],[CP New]]-tblPiNHistorical[[#This Row],[CP Old ]])</f>
        <v/>
      </c>
      <c r="AM109" s="83" t="str">
        <f>IF(OR(tblPiNHistorical[[#This Row],[GBV Old]]="", tblPiNHistorical[[#This Row],[GBV Old]]=0, tblPiNHistorical[[#This Row],[GBV New]]="", tblPiNHistorical[[#This Row],[GBV New]]=0), "", tblPiNHistorical[[#This Row],[GBV New]]-tblPiNHistorical[[#This Row],[GBV Old]])</f>
        <v/>
      </c>
      <c r="AN109" s="83" t="str">
        <f>IF(OR(tblPiNHistorical[[#This Row],[Mine Action Old]]="", tblPiNHistorical[[#This Row],[Mine Action Old]]=0, tblPiNHistorical[[#This Row],[Mine Action New]]="", tblPiNHistorical[[#This Row],[Mine Action New]]=0), "", tblPiNHistorical[[#This Row],[Mine Action New]]-tblPiNHistorical[[#This Row],[Mine Action Old]])</f>
        <v/>
      </c>
      <c r="AO109" s="67" t="str">
        <f>IF(OR(tblPiNHistorical[[#This Row],[Shelter NFI Old]]="", tblPiNHistorical[[#This Row],[Shelter NFI Old]]=0, tblPiNHistorical[[#This Row],[Shelter NFI New]]="", tblPiNHistorical[[#This Row],[Shelter NFI New]]=0), "", tblPiNHistorical[[#This Row],[Shelter NFI New]]-tblPiNHistorical[[#This Row],[Shelter NFI Old]])</f>
        <v/>
      </c>
      <c r="AP109" s="111" t="str">
        <f>IF(OR(tblPiNHistorical[[#This Row],[WASH Old]]="", tblPiNHistorical[[#This Row],[WASH Old]]=0, tblPiNHistorical[[#This Row],[WASH New]]="", tblPiNHistorical[[#This Row],[WASH New]]=0), "", tblPiNHistorical[[#This Row],[WASH New]]-tblPiNHistorical[[#This Row],[WASH Old]])</f>
        <v/>
      </c>
      <c r="AQ109" s="110">
        <f>IFERROR(ROUND((tblPiNHistorical[[#This Row],[Site Management - New]] - tblPiNHistorical[[#This Row],[Site Management - Old]])/tblPiNHistorical[[#This Row],[Site Management - Old]], 1), "")</f>
        <v>-1</v>
      </c>
      <c r="AR109" s="66" t="str">
        <f>IFERROR(ROUND((tblPiNHistorical[[#This Row],[Education New]]-tblPiNHistorical[[#This Row],[Education Old]])/tblPiNHistorical[[#This Row],[Education Old]], 1), "")</f>
        <v/>
      </c>
      <c r="AS109" s="66">
        <f>IFERROR(ROUND((tblPiNHistorical[[#This Row],[Food Security and Livlihoods New]]-tblPiNHistorical[[#This Row],[Food Security and Livlihoods Old]])/tblPiNHistorical[[#This Row],[Food Security and Livlihoods Old]], 1), "")</f>
        <v>-1</v>
      </c>
      <c r="AT109" s="66">
        <f>IFERROR(ROUND((tblPiNHistorical[[#This Row],[Health New]]-tblPiNHistorical[[#This Row],[Health Old]])/tblPiNHistorical[[#This Row],[Health Old]], 1), "")</f>
        <v>-1</v>
      </c>
      <c r="AU109" s="66">
        <f>IFERROR(ROUND((tblPiNHistorical[[#This Row],[Nutrition New]]-tblPiNHistorical[[#This Row],[Nutrition Old]])/tblPiNHistorical[[#This Row],[Nutrition Old]], 1), "")</f>
        <v>-1</v>
      </c>
      <c r="AV109" s="66">
        <f>IFERROR(ROUND((tblPiNHistorical[[#This Row],[Protection New]]-tblPiNHistorical[[#This Row],[Protection Old]])/tblPiNHistorical[[#This Row],[Protection Old]], 1), "")</f>
        <v>-1</v>
      </c>
      <c r="AW109" s="84">
        <f>IFERROR(ROUND((tblPiNHistorical[[#This Row],[CP New]]-tblPiNHistorical[[#This Row],[CP Old ]])/tblPiNHistorical[[#This Row],[CP Old ]], 1), "")</f>
        <v>-1</v>
      </c>
      <c r="AX109" s="84">
        <f>IFERROR(ROUND((tblPiNHistorical[[#This Row],[GBV New]]-tblPiNHistorical[[#This Row],[GBV Old]])/tblPiNHistorical[[#This Row],[GBV Old]], 1), "")</f>
        <v>-1</v>
      </c>
      <c r="AY109" s="84" t="str">
        <f>IFERROR(ROUND((tblPiNHistorical[[#This Row],[Mine Action New]]-tblPiNHistorical[[#This Row],[Mine Action Old]])/tblPiNHistorical[[#This Row],[Mine Action Old]], 1), "")</f>
        <v/>
      </c>
      <c r="AZ109" s="66" t="str">
        <f>IFERROR(ROUND((tblPiNHistorical[[#This Row],[Shelter NFI New]]-tblPiNHistorical[[#This Row],[Shelter NFI Old]])/tblPiNHistorical[[#This Row],[Shelter NFI Old]], 1), "")</f>
        <v/>
      </c>
      <c r="BA109" s="36" t="str">
        <f>IFERROR(ROUND((tblPiNHistorical[[#This Row],[WASH New]]-tblPiNHistorical[[#This Row],[WASH Old]])/tblPiNHistorical[[#This Row],[WASH Old]], 1), "")</f>
        <v/>
      </c>
      <c r="BB109"/>
      <c r="BC109"/>
      <c r="BD109"/>
      <c r="BE109"/>
      <c r="BF109"/>
      <c r="BG109"/>
      <c r="BH109"/>
      <c r="BI109"/>
      <c r="BL109"/>
      <c r="BN109"/>
      <c r="BO109"/>
      <c r="BP109"/>
    </row>
    <row r="110" spans="1:68" x14ac:dyDescent="0.25">
      <c r="A110"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IDPsSD10065</v>
      </c>
      <c r="B110" s="127" t="s">
        <v>176</v>
      </c>
      <c r="C110" s="60" t="s">
        <v>127</v>
      </c>
      <c r="D110" s="60" t="s">
        <v>406</v>
      </c>
      <c r="E110" s="60" t="s">
        <v>407</v>
      </c>
      <c r="F110" s="54"/>
      <c r="G110" s="30"/>
      <c r="H110" s="56">
        <v>2350</v>
      </c>
      <c r="I110" s="37" t="s">
        <v>88</v>
      </c>
      <c r="J110" s="34">
        <v>1000</v>
      </c>
      <c r="K110" s="116">
        <v>0</v>
      </c>
      <c r="L110" s="114">
        <v>2350</v>
      </c>
      <c r="M110" s="114">
        <v>2350</v>
      </c>
      <c r="N110" s="114">
        <v>453</v>
      </c>
      <c r="O110" s="114">
        <v>2350</v>
      </c>
      <c r="P110" s="114">
        <v>1293</v>
      </c>
      <c r="Q110" s="114">
        <v>0</v>
      </c>
      <c r="R110" s="114">
        <v>0</v>
      </c>
      <c r="S110" s="114">
        <v>0</v>
      </c>
      <c r="T110" s="196">
        <v>0</v>
      </c>
      <c r="U110" s="52">
        <f>IFERROR(INDEX(tblPiNAnalysis[[Site Management ]], MATCH(tblPiNHistorical[[#This Row],[ID]], tblPiNAnalysis[ID], 0)), "")</f>
        <v>0</v>
      </c>
      <c r="V110" s="52">
        <f>IFERROR(INDEX(tblPiNAnalysis[Education], MATCH(tblPiNHistorical[[#This Row],[ID]], tblPiNAnalysis[ID], 0)), "")</f>
        <v>0</v>
      </c>
      <c r="W110" s="28">
        <f>IFERROR(INDEX(tblPiNAnalysis[Food Security and Livlihoods], MATCH(tblPiNHistorical[[#This Row],[ID]], tblPiNAnalysis[ID], 0)), "")</f>
        <v>0</v>
      </c>
      <c r="X110" s="28">
        <f>IFERROR(INDEX(tblPiNAnalysis[[Health ]], MATCH(tblPiNHistorical[[#This Row],[ID]], tblPiNAnalysis[ID], 0)), "")</f>
        <v>0</v>
      </c>
      <c r="Y110" s="28">
        <f>IFERROR(INDEX(tblPiNAnalysis[Nutrition], MATCH(tblPiNHistorical[[#This Row],[ID]], tblPiNAnalysis[ID], 0)), "")</f>
        <v>0</v>
      </c>
      <c r="Z110" s="28">
        <f>IFERROR(INDEX(tblPiNAnalysis[Protection], MATCH(tblPiNHistorical[[#This Row],[ID]], tblPiNAnalysis[ID], 0)), "")</f>
        <v>0</v>
      </c>
      <c r="AA110" s="28">
        <f>IFERROR(INDEX(tblPiNAnalysis[CP], MATCH(tblPiNHistorical[[#This Row],[ID]], tblPiNAnalysis[ID], 0)), "")</f>
        <v>0</v>
      </c>
      <c r="AB110" s="83">
        <f>IFERROR(INDEX(tblPiNAnalysis[GBV], MATCH(tblPiNHistorical[[#This Row],[ID]], tblPiNAnalysis[ID], 0)), "")</f>
        <v>0</v>
      </c>
      <c r="AC110" s="28">
        <f>IFERROR(INDEX(tblPiNAnalysis[Mine Action], MATCH(tblPiNHistorical[[#This Row],[ID]], tblPiNAnalysis[ID], 0)), "")</f>
        <v>0</v>
      </c>
      <c r="AD110" s="83">
        <f>IFERROR(INDEX(tblPiNAnalysis[[Shelter NFI ]], MATCH(tblPiNHistorical[[#This Row],[ID]], tblPiNAnalysis[ID], 0)), "")</f>
        <v>1189</v>
      </c>
      <c r="AE110" s="35">
        <f>IFERROR(INDEX(tblPiNAnalysis[WASH], MATCH(tblPiNHistorical[[#This Row],[ID]], tblPiNAnalysis[ID], 0)), "")</f>
        <v>0</v>
      </c>
      <c r="AF110" s="6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110" s="67" t="str">
        <f>IF(OR(tblPiNHistorical[[#This Row],[Education Old]]="", tblPiNHistorical[[#This Row],[Education Old]]=0, tblPiNHistorical[[#This Row],[Education New]]="", tblPiNHistorical[[#This Row],[Education New]]=0), "", tblPiNHistorical[[#This Row],[Education New]]-tblPiNHistorical[[#This Row],[Education Old]])</f>
        <v/>
      </c>
      <c r="AH110" s="67"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110" s="67" t="str">
        <f>IF(OR(tblPiNHistorical[[#This Row],[Health Old]]="", tblPiNHistorical[[#This Row],[Health Old]]=0, tblPiNHistorical[[#This Row],[Health New]]="", tblPiNHistorical[[#This Row],[Health New]]=0), "", tblPiNHistorical[[#This Row],[Health New]]-tblPiNHistorical[[#This Row],[Health Old]])</f>
        <v/>
      </c>
      <c r="AJ110" s="67" t="str">
        <f>IF(OR(tblPiNHistorical[[#This Row],[Nutrition Old]]="", tblPiNHistorical[[#This Row],[Nutrition Old]]=0, tblPiNHistorical[[#This Row],[Nutrition New]]="", tblPiNHistorical[[#This Row],[Nutrition New]]=0), "", tblPiNHistorical[[#This Row],[Nutrition New]]-tblPiNHistorical[[#This Row],[Nutrition Old]])</f>
        <v/>
      </c>
      <c r="AK110" s="67" t="str">
        <f>IF(OR(tblPiNHistorical[[#This Row],[Protection Old]]="", tblPiNHistorical[[#This Row],[Protection Old]]=0, tblPiNHistorical[[#This Row],[Protection New]]="", tblPiNHistorical[[#This Row],[Protection New]]=0), "", tblPiNHistorical[[#This Row],[Protection New]]-tblPiNHistorical[[#This Row],[Protection Old]])</f>
        <v/>
      </c>
      <c r="AL110" s="67" t="str">
        <f>IF(OR(tblPiNHistorical[[#This Row],[CP Old ]]="", tblPiNHistorical[[#This Row],[CP Old ]]=0, tblPiNHistorical[[#This Row],[CP New]]="", tblPiNHistorical[[#This Row],[CP New]]=0), "", tblPiNHistorical[[#This Row],[CP New]]-tblPiNHistorical[[#This Row],[CP Old ]])</f>
        <v/>
      </c>
      <c r="AM110" s="83" t="str">
        <f>IF(OR(tblPiNHistorical[[#This Row],[GBV Old]]="", tblPiNHistorical[[#This Row],[GBV Old]]=0, tblPiNHistorical[[#This Row],[GBV New]]="", tblPiNHistorical[[#This Row],[GBV New]]=0), "", tblPiNHistorical[[#This Row],[GBV New]]-tblPiNHistorical[[#This Row],[GBV Old]])</f>
        <v/>
      </c>
      <c r="AN110" s="83" t="str">
        <f>IF(OR(tblPiNHistorical[[#This Row],[Mine Action Old]]="", tblPiNHistorical[[#This Row],[Mine Action Old]]=0, tblPiNHistorical[[#This Row],[Mine Action New]]="", tblPiNHistorical[[#This Row],[Mine Action New]]=0), "", tblPiNHistorical[[#This Row],[Mine Action New]]-tblPiNHistorical[[#This Row],[Mine Action Old]])</f>
        <v/>
      </c>
      <c r="AO110" s="67" t="str">
        <f>IF(OR(tblPiNHistorical[[#This Row],[Shelter NFI Old]]="", tblPiNHistorical[[#This Row],[Shelter NFI Old]]=0, tblPiNHistorical[[#This Row],[Shelter NFI New]]="", tblPiNHistorical[[#This Row],[Shelter NFI New]]=0), "", tblPiNHistorical[[#This Row],[Shelter NFI New]]-tblPiNHistorical[[#This Row],[Shelter NFI Old]])</f>
        <v/>
      </c>
      <c r="AP110" s="111" t="str">
        <f>IF(OR(tblPiNHistorical[[#This Row],[WASH Old]]="", tblPiNHistorical[[#This Row],[WASH Old]]=0, tblPiNHistorical[[#This Row],[WASH New]]="", tblPiNHistorical[[#This Row],[WASH New]]=0), "", tblPiNHistorical[[#This Row],[WASH New]]-tblPiNHistorical[[#This Row],[WASH Old]])</f>
        <v/>
      </c>
      <c r="AQ110" s="110">
        <f>IFERROR(ROUND((tblPiNHistorical[[#This Row],[Site Management - New]] - tblPiNHistorical[[#This Row],[Site Management - Old]])/tblPiNHistorical[[#This Row],[Site Management - Old]], 1), "")</f>
        <v>-1</v>
      </c>
      <c r="AR110" s="66" t="str">
        <f>IFERROR(ROUND((tblPiNHistorical[[#This Row],[Education New]]-tblPiNHistorical[[#This Row],[Education Old]])/tblPiNHistorical[[#This Row],[Education Old]], 1), "")</f>
        <v/>
      </c>
      <c r="AS110" s="66">
        <f>IFERROR(ROUND((tblPiNHistorical[[#This Row],[Food Security and Livlihoods New]]-tblPiNHistorical[[#This Row],[Food Security and Livlihoods Old]])/tblPiNHistorical[[#This Row],[Food Security and Livlihoods Old]], 1), "")</f>
        <v>-1</v>
      </c>
      <c r="AT110" s="66">
        <f>IFERROR(ROUND((tblPiNHistorical[[#This Row],[Health New]]-tblPiNHistorical[[#This Row],[Health Old]])/tblPiNHistorical[[#This Row],[Health Old]], 1), "")</f>
        <v>-1</v>
      </c>
      <c r="AU110" s="66">
        <f>IFERROR(ROUND((tblPiNHistorical[[#This Row],[Nutrition New]]-tblPiNHistorical[[#This Row],[Nutrition Old]])/tblPiNHistorical[[#This Row],[Nutrition Old]], 1), "")</f>
        <v>-1</v>
      </c>
      <c r="AV110" s="66">
        <f>IFERROR(ROUND((tblPiNHistorical[[#This Row],[Protection New]]-tblPiNHistorical[[#This Row],[Protection Old]])/tblPiNHistorical[[#This Row],[Protection Old]], 1), "")</f>
        <v>-1</v>
      </c>
      <c r="AW110" s="84">
        <f>IFERROR(ROUND((tblPiNHistorical[[#This Row],[CP New]]-tblPiNHistorical[[#This Row],[CP Old ]])/tblPiNHistorical[[#This Row],[CP Old ]], 1), "")</f>
        <v>-1</v>
      </c>
      <c r="AX110" s="84" t="str">
        <f>IFERROR(ROUND((tblPiNHistorical[[#This Row],[GBV New]]-tblPiNHistorical[[#This Row],[GBV Old]])/tblPiNHistorical[[#This Row],[GBV Old]], 1), "")</f>
        <v/>
      </c>
      <c r="AY110" s="84" t="str">
        <f>IFERROR(ROUND((tblPiNHistorical[[#This Row],[Mine Action New]]-tblPiNHistorical[[#This Row],[Mine Action Old]])/tblPiNHistorical[[#This Row],[Mine Action Old]], 1), "")</f>
        <v/>
      </c>
      <c r="AZ110" s="66" t="str">
        <f>IFERROR(ROUND((tblPiNHistorical[[#This Row],[Shelter NFI New]]-tblPiNHistorical[[#This Row],[Shelter NFI Old]])/tblPiNHistorical[[#This Row],[Shelter NFI Old]], 1), "")</f>
        <v/>
      </c>
      <c r="BA110" s="36" t="str">
        <f>IFERROR(ROUND((tblPiNHistorical[[#This Row],[WASH New]]-tblPiNHistorical[[#This Row],[WASH Old]])/tblPiNHistorical[[#This Row],[WASH Old]], 1), "")</f>
        <v/>
      </c>
      <c r="BB110"/>
      <c r="BC110"/>
      <c r="BD110"/>
      <c r="BE110"/>
      <c r="BF110"/>
      <c r="BG110"/>
      <c r="BH110"/>
      <c r="BI110"/>
      <c r="BL110"/>
      <c r="BN110"/>
      <c r="BO110"/>
      <c r="BP110"/>
    </row>
    <row r="111" spans="1:68" x14ac:dyDescent="0.25">
      <c r="A111"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IDPsSD16008</v>
      </c>
      <c r="B111" s="127" t="s">
        <v>179</v>
      </c>
      <c r="C111" s="60" t="s">
        <v>133</v>
      </c>
      <c r="D111" s="60" t="s">
        <v>512</v>
      </c>
      <c r="E111" s="60" t="s">
        <v>513</v>
      </c>
      <c r="F111" s="54"/>
      <c r="G111" s="30"/>
      <c r="H111" s="56">
        <v>28100</v>
      </c>
      <c r="I111" s="37" t="s">
        <v>88</v>
      </c>
      <c r="J111" s="34">
        <v>5</v>
      </c>
      <c r="K111" s="116">
        <v>0</v>
      </c>
      <c r="L111" s="114">
        <v>28100</v>
      </c>
      <c r="M111" s="114">
        <v>28100</v>
      </c>
      <c r="N111" s="114">
        <v>5622</v>
      </c>
      <c r="O111" s="114">
        <v>28100</v>
      </c>
      <c r="P111" s="114">
        <v>15455</v>
      </c>
      <c r="Q111" s="114">
        <v>11123</v>
      </c>
      <c r="R111" s="114">
        <v>0</v>
      </c>
      <c r="S111" s="114">
        <v>11240</v>
      </c>
      <c r="T111" s="196">
        <v>26561.243999999995</v>
      </c>
      <c r="U111" s="52">
        <f>IFERROR(INDEX(tblPiNAnalysis[[Site Management ]], MATCH(tblPiNHistorical[[#This Row],[ID]], tblPiNAnalysis[ID], 0)), "")</f>
        <v>0</v>
      </c>
      <c r="V111" s="52">
        <f>IFERROR(INDEX(tblPiNAnalysis[Education], MATCH(tblPiNHistorical[[#This Row],[ID]], tblPiNAnalysis[ID], 0)), "")</f>
        <v>0</v>
      </c>
      <c r="W111" s="28">
        <f>IFERROR(INDEX(tblPiNAnalysis[Food Security and Livlihoods], MATCH(tblPiNHistorical[[#This Row],[ID]], tblPiNAnalysis[ID], 0)), "")</f>
        <v>0</v>
      </c>
      <c r="X111" s="28">
        <f>IFERROR(INDEX(tblPiNAnalysis[[Health ]], MATCH(tblPiNHistorical[[#This Row],[ID]], tblPiNAnalysis[ID], 0)), "")</f>
        <v>0</v>
      </c>
      <c r="Y111" s="28">
        <f>IFERROR(INDEX(tblPiNAnalysis[Nutrition], MATCH(tblPiNHistorical[[#This Row],[ID]], tblPiNAnalysis[ID], 0)), "")</f>
        <v>0</v>
      </c>
      <c r="Z111" s="28">
        <f>IFERROR(INDEX(tblPiNAnalysis[Protection], MATCH(tblPiNHistorical[[#This Row],[ID]], tblPiNAnalysis[ID], 0)), "")</f>
        <v>0</v>
      </c>
      <c r="AA111" s="28">
        <f>IFERROR(INDEX(tblPiNAnalysis[CP], MATCH(tblPiNHistorical[[#This Row],[ID]], tblPiNAnalysis[ID], 0)), "")</f>
        <v>0</v>
      </c>
      <c r="AB111" s="83">
        <f>IFERROR(INDEX(tblPiNAnalysis[GBV], MATCH(tblPiNHistorical[[#This Row],[ID]], tblPiNAnalysis[ID], 0)), "")</f>
        <v>0</v>
      </c>
      <c r="AC111" s="28">
        <f>IFERROR(INDEX(tblPiNAnalysis[Mine Action], MATCH(tblPiNHistorical[[#This Row],[ID]], tblPiNAnalysis[ID], 0)), "")</f>
        <v>0</v>
      </c>
      <c r="AD111" s="83">
        <f>IFERROR(INDEX(tblPiNAnalysis[[Shelter NFI ]], MATCH(tblPiNHistorical[[#This Row],[ID]], tblPiNAnalysis[ID], 0)), "")</f>
        <v>5629</v>
      </c>
      <c r="AE111" s="35">
        <f>IFERROR(INDEX(tblPiNAnalysis[WASH], MATCH(tblPiNHistorical[[#This Row],[ID]], tblPiNAnalysis[ID], 0)), "")</f>
        <v>0</v>
      </c>
      <c r="AF111" s="6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111" s="67" t="str">
        <f>IF(OR(tblPiNHistorical[[#This Row],[Education Old]]="", tblPiNHistorical[[#This Row],[Education Old]]=0, tblPiNHistorical[[#This Row],[Education New]]="", tblPiNHistorical[[#This Row],[Education New]]=0), "", tblPiNHistorical[[#This Row],[Education New]]-tblPiNHistorical[[#This Row],[Education Old]])</f>
        <v/>
      </c>
      <c r="AH111" s="67"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111" s="67" t="str">
        <f>IF(OR(tblPiNHistorical[[#This Row],[Health Old]]="", tblPiNHistorical[[#This Row],[Health Old]]=0, tblPiNHistorical[[#This Row],[Health New]]="", tblPiNHistorical[[#This Row],[Health New]]=0), "", tblPiNHistorical[[#This Row],[Health New]]-tblPiNHistorical[[#This Row],[Health Old]])</f>
        <v/>
      </c>
      <c r="AJ111" s="67" t="str">
        <f>IF(OR(tblPiNHistorical[[#This Row],[Nutrition Old]]="", tblPiNHistorical[[#This Row],[Nutrition Old]]=0, tblPiNHistorical[[#This Row],[Nutrition New]]="", tblPiNHistorical[[#This Row],[Nutrition New]]=0), "", tblPiNHistorical[[#This Row],[Nutrition New]]-tblPiNHistorical[[#This Row],[Nutrition Old]])</f>
        <v/>
      </c>
      <c r="AK111" s="67" t="str">
        <f>IF(OR(tblPiNHistorical[[#This Row],[Protection Old]]="", tblPiNHistorical[[#This Row],[Protection Old]]=0, tblPiNHistorical[[#This Row],[Protection New]]="", tblPiNHistorical[[#This Row],[Protection New]]=0), "", tblPiNHistorical[[#This Row],[Protection New]]-tblPiNHistorical[[#This Row],[Protection Old]])</f>
        <v/>
      </c>
      <c r="AL111" s="67" t="str">
        <f>IF(OR(tblPiNHistorical[[#This Row],[CP Old ]]="", tblPiNHistorical[[#This Row],[CP Old ]]=0, tblPiNHistorical[[#This Row],[CP New]]="", tblPiNHistorical[[#This Row],[CP New]]=0), "", tblPiNHistorical[[#This Row],[CP New]]-tblPiNHistorical[[#This Row],[CP Old ]])</f>
        <v/>
      </c>
      <c r="AM111" s="83" t="str">
        <f>IF(OR(tblPiNHistorical[[#This Row],[GBV Old]]="", tblPiNHistorical[[#This Row],[GBV Old]]=0, tblPiNHistorical[[#This Row],[GBV New]]="", tblPiNHistorical[[#This Row],[GBV New]]=0), "", tblPiNHistorical[[#This Row],[GBV New]]-tblPiNHistorical[[#This Row],[GBV Old]])</f>
        <v/>
      </c>
      <c r="AN111" s="83" t="str">
        <f>IF(OR(tblPiNHistorical[[#This Row],[Mine Action Old]]="", tblPiNHistorical[[#This Row],[Mine Action Old]]=0, tblPiNHistorical[[#This Row],[Mine Action New]]="", tblPiNHistorical[[#This Row],[Mine Action New]]=0), "", tblPiNHistorical[[#This Row],[Mine Action New]]-tblPiNHistorical[[#This Row],[Mine Action Old]])</f>
        <v/>
      </c>
      <c r="AO111" s="67">
        <f>IF(OR(tblPiNHistorical[[#This Row],[Shelter NFI Old]]="", tblPiNHistorical[[#This Row],[Shelter NFI Old]]=0, tblPiNHistorical[[#This Row],[Shelter NFI New]]="", tblPiNHistorical[[#This Row],[Shelter NFI New]]=0), "", tblPiNHistorical[[#This Row],[Shelter NFI New]]-tblPiNHistorical[[#This Row],[Shelter NFI Old]])</f>
        <v>-5611</v>
      </c>
      <c r="AP111" s="111" t="str">
        <f>IF(OR(tblPiNHistorical[[#This Row],[WASH Old]]="", tblPiNHistorical[[#This Row],[WASH Old]]=0, tblPiNHistorical[[#This Row],[WASH New]]="", tblPiNHistorical[[#This Row],[WASH New]]=0), "", tblPiNHistorical[[#This Row],[WASH New]]-tblPiNHistorical[[#This Row],[WASH Old]])</f>
        <v/>
      </c>
      <c r="AQ111" s="110">
        <f>IFERROR(ROUND((tblPiNHistorical[[#This Row],[Site Management - New]] - tblPiNHistorical[[#This Row],[Site Management - Old]])/tblPiNHistorical[[#This Row],[Site Management - Old]], 1), "")</f>
        <v>-1</v>
      </c>
      <c r="AR111" s="66" t="str">
        <f>IFERROR(ROUND((tblPiNHistorical[[#This Row],[Education New]]-tblPiNHistorical[[#This Row],[Education Old]])/tblPiNHistorical[[#This Row],[Education Old]], 1), "")</f>
        <v/>
      </c>
      <c r="AS111" s="66">
        <f>IFERROR(ROUND((tblPiNHistorical[[#This Row],[Food Security and Livlihoods New]]-tblPiNHistorical[[#This Row],[Food Security and Livlihoods Old]])/tblPiNHistorical[[#This Row],[Food Security and Livlihoods Old]], 1), "")</f>
        <v>-1</v>
      </c>
      <c r="AT111" s="66">
        <f>IFERROR(ROUND((tblPiNHistorical[[#This Row],[Health New]]-tblPiNHistorical[[#This Row],[Health Old]])/tblPiNHistorical[[#This Row],[Health Old]], 1), "")</f>
        <v>-1</v>
      </c>
      <c r="AU111" s="66">
        <f>IFERROR(ROUND((tblPiNHistorical[[#This Row],[Nutrition New]]-tblPiNHistorical[[#This Row],[Nutrition Old]])/tblPiNHistorical[[#This Row],[Nutrition Old]], 1), "")</f>
        <v>-1</v>
      </c>
      <c r="AV111" s="66">
        <f>IFERROR(ROUND((tblPiNHistorical[[#This Row],[Protection New]]-tblPiNHistorical[[#This Row],[Protection Old]])/tblPiNHistorical[[#This Row],[Protection Old]], 1), "")</f>
        <v>-1</v>
      </c>
      <c r="AW111" s="84">
        <f>IFERROR(ROUND((tblPiNHistorical[[#This Row],[CP New]]-tblPiNHistorical[[#This Row],[CP Old ]])/tblPiNHistorical[[#This Row],[CP Old ]], 1), "")</f>
        <v>-1</v>
      </c>
      <c r="AX111" s="84">
        <f>IFERROR(ROUND((tblPiNHistorical[[#This Row],[GBV New]]-tblPiNHistorical[[#This Row],[GBV Old]])/tblPiNHistorical[[#This Row],[GBV Old]], 1), "")</f>
        <v>-1</v>
      </c>
      <c r="AY111" s="84" t="str">
        <f>IFERROR(ROUND((tblPiNHistorical[[#This Row],[Mine Action New]]-tblPiNHistorical[[#This Row],[Mine Action Old]])/tblPiNHistorical[[#This Row],[Mine Action Old]], 1), "")</f>
        <v/>
      </c>
      <c r="AZ111" s="66">
        <f>IFERROR(ROUND((tblPiNHistorical[[#This Row],[Shelter NFI New]]-tblPiNHistorical[[#This Row],[Shelter NFI Old]])/tblPiNHistorical[[#This Row],[Shelter NFI Old]], 1), "")</f>
        <v>-0.5</v>
      </c>
      <c r="BA111" s="36">
        <f>IFERROR(ROUND((tblPiNHistorical[[#This Row],[WASH New]]-tblPiNHistorical[[#This Row],[WASH Old]])/tblPiNHistorical[[#This Row],[WASH Old]], 1), "")</f>
        <v>-1</v>
      </c>
      <c r="BB111"/>
      <c r="BC111"/>
      <c r="BD111"/>
      <c r="BE111"/>
      <c r="BF111"/>
      <c r="BG111"/>
      <c r="BH111"/>
      <c r="BI111"/>
      <c r="BL111"/>
      <c r="BN111"/>
      <c r="BO111"/>
      <c r="BP111"/>
    </row>
    <row r="112" spans="1:68" x14ac:dyDescent="0.25">
      <c r="A112"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IDPsSD16011</v>
      </c>
      <c r="B112" s="127" t="s">
        <v>179</v>
      </c>
      <c r="C112" s="60" t="s">
        <v>133</v>
      </c>
      <c r="D112" s="60" t="s">
        <v>518</v>
      </c>
      <c r="E112" s="60" t="s">
        <v>519</v>
      </c>
      <c r="F112" s="54"/>
      <c r="G112" s="30"/>
      <c r="H112" s="56">
        <v>109903</v>
      </c>
      <c r="I112" s="37" t="s">
        <v>88</v>
      </c>
      <c r="J112" s="34">
        <v>2082</v>
      </c>
      <c r="K112" s="116">
        <v>42609.393100000001</v>
      </c>
      <c r="L112" s="114">
        <v>109903</v>
      </c>
      <c r="M112" s="114">
        <v>109903</v>
      </c>
      <c r="N112" s="114">
        <v>8438</v>
      </c>
      <c r="O112" s="114">
        <v>109903</v>
      </c>
      <c r="P112" s="114">
        <v>60447</v>
      </c>
      <c r="Q112" s="114">
        <v>43501</v>
      </c>
      <c r="R112" s="114">
        <v>0</v>
      </c>
      <c r="S112" s="114">
        <v>65942</v>
      </c>
      <c r="T112" s="196">
        <v>83640.579119999995</v>
      </c>
      <c r="U112" s="52">
        <f>IFERROR(INDEX(tblPiNAnalysis[[Site Management ]], MATCH(tblPiNHistorical[[#This Row],[ID]], tblPiNAnalysis[ID], 0)), "")</f>
        <v>0</v>
      </c>
      <c r="V112" s="52">
        <f>IFERROR(INDEX(tblPiNAnalysis[Education], MATCH(tblPiNHistorical[[#This Row],[ID]], tblPiNAnalysis[ID], 0)), "")</f>
        <v>0</v>
      </c>
      <c r="W112" s="28">
        <f>IFERROR(INDEX(tblPiNAnalysis[Food Security and Livlihoods], MATCH(tblPiNHistorical[[#This Row],[ID]], tblPiNAnalysis[ID], 0)), "")</f>
        <v>0</v>
      </c>
      <c r="X112" s="28">
        <f>IFERROR(INDEX(tblPiNAnalysis[[Health ]], MATCH(tblPiNHistorical[[#This Row],[ID]], tblPiNAnalysis[ID], 0)), "")</f>
        <v>0</v>
      </c>
      <c r="Y112" s="28">
        <f>IFERROR(INDEX(tblPiNAnalysis[Nutrition], MATCH(tblPiNHistorical[[#This Row],[ID]], tblPiNAnalysis[ID], 0)), "")</f>
        <v>0</v>
      </c>
      <c r="Z112" s="28">
        <f>IFERROR(INDEX(tblPiNAnalysis[Protection], MATCH(tblPiNHistorical[[#This Row],[ID]], tblPiNAnalysis[ID], 0)), "")</f>
        <v>0</v>
      </c>
      <c r="AA112" s="28">
        <f>IFERROR(INDEX(tblPiNAnalysis[CP], MATCH(tblPiNHistorical[[#This Row],[ID]], tblPiNAnalysis[ID], 0)), "")</f>
        <v>0</v>
      </c>
      <c r="AB112" s="83">
        <f>IFERROR(INDEX(tblPiNAnalysis[GBV], MATCH(tblPiNHistorical[[#This Row],[ID]], tblPiNAnalysis[ID], 0)), "")</f>
        <v>0</v>
      </c>
      <c r="AC112" s="28">
        <f>IFERROR(INDEX(tblPiNAnalysis[Mine Action], MATCH(tblPiNHistorical[[#This Row],[ID]], tblPiNAnalysis[ID], 0)), "")</f>
        <v>0</v>
      </c>
      <c r="AD112" s="83">
        <f>IFERROR(INDEX(tblPiNAnalysis[[Shelter NFI ]], MATCH(tblPiNHistorical[[#This Row],[ID]], tblPiNAnalysis[ID], 0)), "")</f>
        <v>64989</v>
      </c>
      <c r="AE112" s="35">
        <f>IFERROR(INDEX(tblPiNAnalysis[WASH], MATCH(tblPiNHistorical[[#This Row],[ID]], tblPiNAnalysis[ID], 0)), "")</f>
        <v>0</v>
      </c>
      <c r="AF112" s="6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112" s="67" t="str">
        <f>IF(OR(tblPiNHistorical[[#This Row],[Education Old]]="", tblPiNHistorical[[#This Row],[Education Old]]=0, tblPiNHistorical[[#This Row],[Education New]]="", tblPiNHistorical[[#This Row],[Education New]]=0), "", tblPiNHistorical[[#This Row],[Education New]]-tblPiNHistorical[[#This Row],[Education Old]])</f>
        <v/>
      </c>
      <c r="AH112" s="67"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112" s="67" t="str">
        <f>IF(OR(tblPiNHistorical[[#This Row],[Health Old]]="", tblPiNHistorical[[#This Row],[Health Old]]=0, tblPiNHistorical[[#This Row],[Health New]]="", tblPiNHistorical[[#This Row],[Health New]]=0), "", tblPiNHistorical[[#This Row],[Health New]]-tblPiNHistorical[[#This Row],[Health Old]])</f>
        <v/>
      </c>
      <c r="AJ112" s="67" t="str">
        <f>IF(OR(tblPiNHistorical[[#This Row],[Nutrition Old]]="", tblPiNHistorical[[#This Row],[Nutrition Old]]=0, tblPiNHistorical[[#This Row],[Nutrition New]]="", tblPiNHistorical[[#This Row],[Nutrition New]]=0), "", tblPiNHistorical[[#This Row],[Nutrition New]]-tblPiNHistorical[[#This Row],[Nutrition Old]])</f>
        <v/>
      </c>
      <c r="AK112" s="67" t="str">
        <f>IF(OR(tblPiNHistorical[[#This Row],[Protection Old]]="", tblPiNHistorical[[#This Row],[Protection Old]]=0, tblPiNHistorical[[#This Row],[Protection New]]="", tblPiNHistorical[[#This Row],[Protection New]]=0), "", tblPiNHistorical[[#This Row],[Protection New]]-tblPiNHistorical[[#This Row],[Protection Old]])</f>
        <v/>
      </c>
      <c r="AL112" s="67" t="str">
        <f>IF(OR(tblPiNHistorical[[#This Row],[CP Old ]]="", tblPiNHistorical[[#This Row],[CP Old ]]=0, tblPiNHistorical[[#This Row],[CP New]]="", tblPiNHistorical[[#This Row],[CP New]]=0), "", tblPiNHistorical[[#This Row],[CP New]]-tblPiNHistorical[[#This Row],[CP Old ]])</f>
        <v/>
      </c>
      <c r="AM112" s="83" t="str">
        <f>IF(OR(tblPiNHistorical[[#This Row],[GBV Old]]="", tblPiNHistorical[[#This Row],[GBV Old]]=0, tblPiNHistorical[[#This Row],[GBV New]]="", tblPiNHistorical[[#This Row],[GBV New]]=0), "", tblPiNHistorical[[#This Row],[GBV New]]-tblPiNHistorical[[#This Row],[GBV Old]])</f>
        <v/>
      </c>
      <c r="AN112" s="83" t="str">
        <f>IF(OR(tblPiNHistorical[[#This Row],[Mine Action Old]]="", tblPiNHistorical[[#This Row],[Mine Action Old]]=0, tblPiNHistorical[[#This Row],[Mine Action New]]="", tblPiNHistorical[[#This Row],[Mine Action New]]=0), "", tblPiNHistorical[[#This Row],[Mine Action New]]-tblPiNHistorical[[#This Row],[Mine Action Old]])</f>
        <v/>
      </c>
      <c r="AO112" s="67">
        <f>IF(OR(tblPiNHistorical[[#This Row],[Shelter NFI Old]]="", tblPiNHistorical[[#This Row],[Shelter NFI Old]]=0, tblPiNHistorical[[#This Row],[Shelter NFI New]]="", tblPiNHistorical[[#This Row],[Shelter NFI New]]=0), "", tblPiNHistorical[[#This Row],[Shelter NFI New]]-tblPiNHistorical[[#This Row],[Shelter NFI Old]])</f>
        <v>-953</v>
      </c>
      <c r="AP112" s="111" t="str">
        <f>IF(OR(tblPiNHistorical[[#This Row],[WASH Old]]="", tblPiNHistorical[[#This Row],[WASH Old]]=0, tblPiNHistorical[[#This Row],[WASH New]]="", tblPiNHistorical[[#This Row],[WASH New]]=0), "", tblPiNHistorical[[#This Row],[WASH New]]-tblPiNHistorical[[#This Row],[WASH Old]])</f>
        <v/>
      </c>
      <c r="AQ112" s="110">
        <f>IFERROR(ROUND((tblPiNHistorical[[#This Row],[Site Management - New]] - tblPiNHistorical[[#This Row],[Site Management - Old]])/tblPiNHistorical[[#This Row],[Site Management - Old]], 1), "")</f>
        <v>-1</v>
      </c>
      <c r="AR112" s="66">
        <f>IFERROR(ROUND((tblPiNHistorical[[#This Row],[Education New]]-tblPiNHistorical[[#This Row],[Education Old]])/tblPiNHistorical[[#This Row],[Education Old]], 1), "")</f>
        <v>-1</v>
      </c>
      <c r="AS112" s="66">
        <f>IFERROR(ROUND((tblPiNHistorical[[#This Row],[Food Security and Livlihoods New]]-tblPiNHistorical[[#This Row],[Food Security and Livlihoods Old]])/tblPiNHistorical[[#This Row],[Food Security and Livlihoods Old]], 1), "")</f>
        <v>-1</v>
      </c>
      <c r="AT112" s="66">
        <f>IFERROR(ROUND((tblPiNHistorical[[#This Row],[Health New]]-tblPiNHistorical[[#This Row],[Health Old]])/tblPiNHistorical[[#This Row],[Health Old]], 1), "")</f>
        <v>-1</v>
      </c>
      <c r="AU112" s="66">
        <f>IFERROR(ROUND((tblPiNHistorical[[#This Row],[Nutrition New]]-tblPiNHistorical[[#This Row],[Nutrition Old]])/tblPiNHistorical[[#This Row],[Nutrition Old]], 1), "")</f>
        <v>-1</v>
      </c>
      <c r="AV112" s="66">
        <f>IFERROR(ROUND((tblPiNHistorical[[#This Row],[Protection New]]-tblPiNHistorical[[#This Row],[Protection Old]])/tblPiNHistorical[[#This Row],[Protection Old]], 1), "")</f>
        <v>-1</v>
      </c>
      <c r="AW112" s="84">
        <f>IFERROR(ROUND((tblPiNHistorical[[#This Row],[CP New]]-tblPiNHistorical[[#This Row],[CP Old ]])/tblPiNHistorical[[#This Row],[CP Old ]], 1), "")</f>
        <v>-1</v>
      </c>
      <c r="AX112" s="84">
        <f>IFERROR(ROUND((tblPiNHistorical[[#This Row],[GBV New]]-tblPiNHistorical[[#This Row],[GBV Old]])/tblPiNHistorical[[#This Row],[GBV Old]], 1), "")</f>
        <v>-1</v>
      </c>
      <c r="AY112" s="84" t="str">
        <f>IFERROR(ROUND((tblPiNHistorical[[#This Row],[Mine Action New]]-tblPiNHistorical[[#This Row],[Mine Action Old]])/tblPiNHistorical[[#This Row],[Mine Action Old]], 1), "")</f>
        <v/>
      </c>
      <c r="AZ112" s="66">
        <f>IFERROR(ROUND((tblPiNHistorical[[#This Row],[Shelter NFI New]]-tblPiNHistorical[[#This Row],[Shelter NFI Old]])/tblPiNHistorical[[#This Row],[Shelter NFI Old]], 1), "")</f>
        <v>0</v>
      </c>
      <c r="BA112" s="36">
        <f>IFERROR(ROUND((tblPiNHistorical[[#This Row],[WASH New]]-tblPiNHistorical[[#This Row],[WASH Old]])/tblPiNHistorical[[#This Row],[WASH Old]], 1), "")</f>
        <v>-1</v>
      </c>
      <c r="BB112"/>
      <c r="BC112"/>
      <c r="BD112"/>
      <c r="BE112"/>
      <c r="BF112"/>
      <c r="BG112"/>
      <c r="BH112"/>
      <c r="BI112"/>
      <c r="BL112"/>
      <c r="BN112"/>
      <c r="BO112"/>
      <c r="BP112"/>
    </row>
    <row r="113" spans="1:68" x14ac:dyDescent="0.25">
      <c r="A113"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IDPsSD16014</v>
      </c>
      <c r="B113" s="127" t="s">
        <v>179</v>
      </c>
      <c r="C113" s="60" t="s">
        <v>133</v>
      </c>
      <c r="D113" s="60" t="s">
        <v>524</v>
      </c>
      <c r="E113" s="60" t="s">
        <v>525</v>
      </c>
      <c r="F113" s="54"/>
      <c r="G113" s="30"/>
      <c r="H113" s="56">
        <v>31152</v>
      </c>
      <c r="I113" s="37" t="s">
        <v>88</v>
      </c>
      <c r="J113" s="34">
        <v>0</v>
      </c>
      <c r="K113" s="116">
        <v>12077.6304</v>
      </c>
      <c r="L113" s="114">
        <v>31152</v>
      </c>
      <c r="M113" s="114">
        <v>31152</v>
      </c>
      <c r="N113" s="114">
        <v>5046</v>
      </c>
      <c r="O113" s="114">
        <v>31152</v>
      </c>
      <c r="P113" s="114">
        <v>17134</v>
      </c>
      <c r="Q113" s="114">
        <v>12330</v>
      </c>
      <c r="R113" s="114">
        <v>0</v>
      </c>
      <c r="S113" s="114">
        <v>12461</v>
      </c>
      <c r="T113" s="196">
        <v>27049.904639999997</v>
      </c>
      <c r="U113" s="52">
        <f>IFERROR(INDEX(tblPiNAnalysis[[Site Management ]], MATCH(tblPiNHistorical[[#This Row],[ID]], tblPiNAnalysis[ID], 0)), "")</f>
        <v>0</v>
      </c>
      <c r="V113" s="52">
        <f>IFERROR(INDEX(tblPiNAnalysis[Education], MATCH(tblPiNHistorical[[#This Row],[ID]], tblPiNAnalysis[ID], 0)), "")</f>
        <v>0</v>
      </c>
      <c r="W113" s="28">
        <f>IFERROR(INDEX(tblPiNAnalysis[Food Security and Livlihoods], MATCH(tblPiNHistorical[[#This Row],[ID]], tblPiNAnalysis[ID], 0)), "")</f>
        <v>0</v>
      </c>
      <c r="X113" s="28">
        <f>IFERROR(INDEX(tblPiNAnalysis[[Health ]], MATCH(tblPiNHistorical[[#This Row],[ID]], tblPiNAnalysis[ID], 0)), "")</f>
        <v>0</v>
      </c>
      <c r="Y113" s="28">
        <f>IFERROR(INDEX(tblPiNAnalysis[Nutrition], MATCH(tblPiNHistorical[[#This Row],[ID]], tblPiNAnalysis[ID], 0)), "")</f>
        <v>0</v>
      </c>
      <c r="Z113" s="28">
        <f>IFERROR(INDEX(tblPiNAnalysis[Protection], MATCH(tblPiNHistorical[[#This Row],[ID]], tblPiNAnalysis[ID], 0)), "")</f>
        <v>0</v>
      </c>
      <c r="AA113" s="28">
        <f>IFERROR(INDEX(tblPiNAnalysis[CP], MATCH(tblPiNHistorical[[#This Row],[ID]], tblPiNAnalysis[ID], 0)), "")</f>
        <v>0</v>
      </c>
      <c r="AB113" s="83">
        <f>IFERROR(INDEX(tblPiNAnalysis[GBV], MATCH(tblPiNHistorical[[#This Row],[ID]], tblPiNAnalysis[ID], 0)), "")</f>
        <v>0</v>
      </c>
      <c r="AC113" s="28">
        <f>IFERROR(INDEX(tblPiNAnalysis[Mine Action], MATCH(tblPiNHistorical[[#This Row],[ID]], tblPiNAnalysis[ID], 0)), "")</f>
        <v>0</v>
      </c>
      <c r="AD113" s="83">
        <f>IFERROR(INDEX(tblPiNAnalysis[[Shelter NFI ]], MATCH(tblPiNHistorical[[#This Row],[ID]], tblPiNAnalysis[ID], 0)), "")</f>
        <v>8617</v>
      </c>
      <c r="AE113" s="35">
        <f>IFERROR(INDEX(tblPiNAnalysis[WASH], MATCH(tblPiNHistorical[[#This Row],[ID]], tblPiNAnalysis[ID], 0)), "")</f>
        <v>0</v>
      </c>
      <c r="AF113" s="6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113" s="67" t="str">
        <f>IF(OR(tblPiNHistorical[[#This Row],[Education Old]]="", tblPiNHistorical[[#This Row],[Education Old]]=0, tblPiNHistorical[[#This Row],[Education New]]="", tblPiNHistorical[[#This Row],[Education New]]=0), "", tblPiNHistorical[[#This Row],[Education New]]-tblPiNHistorical[[#This Row],[Education Old]])</f>
        <v/>
      </c>
      <c r="AH113" s="67"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113" s="67" t="str">
        <f>IF(OR(tblPiNHistorical[[#This Row],[Health Old]]="", tblPiNHistorical[[#This Row],[Health Old]]=0, tblPiNHistorical[[#This Row],[Health New]]="", tblPiNHistorical[[#This Row],[Health New]]=0), "", tblPiNHistorical[[#This Row],[Health New]]-tblPiNHistorical[[#This Row],[Health Old]])</f>
        <v/>
      </c>
      <c r="AJ113" s="67" t="str">
        <f>IF(OR(tblPiNHistorical[[#This Row],[Nutrition Old]]="", tblPiNHistorical[[#This Row],[Nutrition Old]]=0, tblPiNHistorical[[#This Row],[Nutrition New]]="", tblPiNHistorical[[#This Row],[Nutrition New]]=0), "", tblPiNHistorical[[#This Row],[Nutrition New]]-tblPiNHistorical[[#This Row],[Nutrition Old]])</f>
        <v/>
      </c>
      <c r="AK113" s="67" t="str">
        <f>IF(OR(tblPiNHistorical[[#This Row],[Protection Old]]="", tblPiNHistorical[[#This Row],[Protection Old]]=0, tblPiNHistorical[[#This Row],[Protection New]]="", tblPiNHistorical[[#This Row],[Protection New]]=0), "", tblPiNHistorical[[#This Row],[Protection New]]-tblPiNHistorical[[#This Row],[Protection Old]])</f>
        <v/>
      </c>
      <c r="AL113" s="67" t="str">
        <f>IF(OR(tblPiNHistorical[[#This Row],[CP Old ]]="", tblPiNHistorical[[#This Row],[CP Old ]]=0, tblPiNHistorical[[#This Row],[CP New]]="", tblPiNHistorical[[#This Row],[CP New]]=0), "", tblPiNHistorical[[#This Row],[CP New]]-tblPiNHistorical[[#This Row],[CP Old ]])</f>
        <v/>
      </c>
      <c r="AM113" s="83" t="str">
        <f>IF(OR(tblPiNHistorical[[#This Row],[GBV Old]]="", tblPiNHistorical[[#This Row],[GBV Old]]=0, tblPiNHistorical[[#This Row],[GBV New]]="", tblPiNHistorical[[#This Row],[GBV New]]=0), "", tblPiNHistorical[[#This Row],[GBV New]]-tblPiNHistorical[[#This Row],[GBV Old]])</f>
        <v/>
      </c>
      <c r="AN113" s="83" t="str">
        <f>IF(OR(tblPiNHistorical[[#This Row],[Mine Action Old]]="", tblPiNHistorical[[#This Row],[Mine Action Old]]=0, tblPiNHistorical[[#This Row],[Mine Action New]]="", tblPiNHistorical[[#This Row],[Mine Action New]]=0), "", tblPiNHistorical[[#This Row],[Mine Action New]]-tblPiNHistorical[[#This Row],[Mine Action Old]])</f>
        <v/>
      </c>
      <c r="AO113" s="67">
        <f>IF(OR(tblPiNHistorical[[#This Row],[Shelter NFI Old]]="", tblPiNHistorical[[#This Row],[Shelter NFI Old]]=0, tblPiNHistorical[[#This Row],[Shelter NFI New]]="", tblPiNHistorical[[#This Row],[Shelter NFI New]]=0), "", tblPiNHistorical[[#This Row],[Shelter NFI New]]-tblPiNHistorical[[#This Row],[Shelter NFI Old]])</f>
        <v>-3844</v>
      </c>
      <c r="AP113" s="111" t="str">
        <f>IF(OR(tblPiNHistorical[[#This Row],[WASH Old]]="", tblPiNHistorical[[#This Row],[WASH Old]]=0, tblPiNHistorical[[#This Row],[WASH New]]="", tblPiNHistorical[[#This Row],[WASH New]]=0), "", tblPiNHistorical[[#This Row],[WASH New]]-tblPiNHistorical[[#This Row],[WASH Old]])</f>
        <v/>
      </c>
      <c r="AQ113" s="110" t="str">
        <f>IFERROR(ROUND((tblPiNHistorical[[#This Row],[Site Management - New]] - tblPiNHistorical[[#This Row],[Site Management - Old]])/tblPiNHistorical[[#This Row],[Site Management - Old]], 1), "")</f>
        <v/>
      </c>
      <c r="AR113" s="66">
        <f>IFERROR(ROUND((tblPiNHistorical[[#This Row],[Education New]]-tblPiNHistorical[[#This Row],[Education Old]])/tblPiNHistorical[[#This Row],[Education Old]], 1), "")</f>
        <v>-1</v>
      </c>
      <c r="AS113" s="66">
        <f>IFERROR(ROUND((tblPiNHistorical[[#This Row],[Food Security and Livlihoods New]]-tblPiNHistorical[[#This Row],[Food Security and Livlihoods Old]])/tblPiNHistorical[[#This Row],[Food Security and Livlihoods Old]], 1), "")</f>
        <v>-1</v>
      </c>
      <c r="AT113" s="66">
        <f>IFERROR(ROUND((tblPiNHistorical[[#This Row],[Health New]]-tblPiNHistorical[[#This Row],[Health Old]])/tblPiNHistorical[[#This Row],[Health Old]], 1), "")</f>
        <v>-1</v>
      </c>
      <c r="AU113" s="66">
        <f>IFERROR(ROUND((tblPiNHistorical[[#This Row],[Nutrition New]]-tblPiNHistorical[[#This Row],[Nutrition Old]])/tblPiNHistorical[[#This Row],[Nutrition Old]], 1), "")</f>
        <v>-1</v>
      </c>
      <c r="AV113" s="66">
        <f>IFERROR(ROUND((tblPiNHistorical[[#This Row],[Protection New]]-tblPiNHistorical[[#This Row],[Protection Old]])/tblPiNHistorical[[#This Row],[Protection Old]], 1), "")</f>
        <v>-1</v>
      </c>
      <c r="AW113" s="84">
        <f>IFERROR(ROUND((tblPiNHistorical[[#This Row],[CP New]]-tblPiNHistorical[[#This Row],[CP Old ]])/tblPiNHistorical[[#This Row],[CP Old ]], 1), "")</f>
        <v>-1</v>
      </c>
      <c r="AX113" s="84">
        <f>IFERROR(ROUND((tblPiNHistorical[[#This Row],[GBV New]]-tblPiNHistorical[[#This Row],[GBV Old]])/tblPiNHistorical[[#This Row],[GBV Old]], 1), "")</f>
        <v>-1</v>
      </c>
      <c r="AY113" s="84" t="str">
        <f>IFERROR(ROUND((tblPiNHistorical[[#This Row],[Mine Action New]]-tblPiNHistorical[[#This Row],[Mine Action Old]])/tblPiNHistorical[[#This Row],[Mine Action Old]], 1), "")</f>
        <v/>
      </c>
      <c r="AZ113" s="66">
        <f>IFERROR(ROUND((tblPiNHistorical[[#This Row],[Shelter NFI New]]-tblPiNHistorical[[#This Row],[Shelter NFI Old]])/tblPiNHistorical[[#This Row],[Shelter NFI Old]], 1), "")</f>
        <v>-0.3</v>
      </c>
      <c r="BA113" s="36">
        <f>IFERROR(ROUND((tblPiNHistorical[[#This Row],[WASH New]]-tblPiNHistorical[[#This Row],[WASH Old]])/tblPiNHistorical[[#This Row],[WASH Old]], 1), "")</f>
        <v>-1</v>
      </c>
      <c r="BB113"/>
      <c r="BC113"/>
      <c r="BD113"/>
      <c r="BE113"/>
      <c r="BF113"/>
      <c r="BG113"/>
      <c r="BH113"/>
      <c r="BI113"/>
      <c r="BL113"/>
      <c r="BN113"/>
      <c r="BO113"/>
      <c r="BP113"/>
    </row>
    <row r="114" spans="1:68" x14ac:dyDescent="0.25">
      <c r="A114"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IDPsSD16009</v>
      </c>
      <c r="B114" s="127" t="s">
        <v>179</v>
      </c>
      <c r="C114" s="60" t="s">
        <v>133</v>
      </c>
      <c r="D114" s="60" t="s">
        <v>514</v>
      </c>
      <c r="E114" s="60" t="s">
        <v>515</v>
      </c>
      <c r="F114" s="54"/>
      <c r="G114" s="30"/>
      <c r="H114" s="56">
        <v>95866</v>
      </c>
      <c r="I114" s="37" t="s">
        <v>88</v>
      </c>
      <c r="J114" s="34">
        <v>0</v>
      </c>
      <c r="K114" s="116">
        <v>37167.248200000002</v>
      </c>
      <c r="L114" s="114">
        <v>95866</v>
      </c>
      <c r="M114" s="114">
        <v>95866</v>
      </c>
      <c r="N114" s="114">
        <v>11374</v>
      </c>
      <c r="O114" s="114">
        <v>95866</v>
      </c>
      <c r="P114" s="114">
        <v>52726</v>
      </c>
      <c r="Q114" s="114">
        <v>37945</v>
      </c>
      <c r="R114" s="114">
        <v>0</v>
      </c>
      <c r="S114" s="114">
        <v>57520</v>
      </c>
      <c r="T114" s="196">
        <v>47856.30720000001</v>
      </c>
      <c r="U114" s="52">
        <f>IFERROR(INDEX(tblPiNAnalysis[[Site Management ]], MATCH(tblPiNHistorical[[#This Row],[ID]], tblPiNAnalysis[ID], 0)), "")</f>
        <v>0</v>
      </c>
      <c r="V114" s="52">
        <f>IFERROR(INDEX(tblPiNAnalysis[Education], MATCH(tblPiNHistorical[[#This Row],[ID]], tblPiNAnalysis[ID], 0)), "")</f>
        <v>0</v>
      </c>
      <c r="W114" s="28">
        <f>IFERROR(INDEX(tblPiNAnalysis[Food Security and Livlihoods], MATCH(tblPiNHistorical[[#This Row],[ID]], tblPiNAnalysis[ID], 0)), "")</f>
        <v>0</v>
      </c>
      <c r="X114" s="28">
        <f>IFERROR(INDEX(tblPiNAnalysis[[Health ]], MATCH(tblPiNHistorical[[#This Row],[ID]], tblPiNAnalysis[ID], 0)), "")</f>
        <v>0</v>
      </c>
      <c r="Y114" s="28">
        <f>IFERROR(INDEX(tblPiNAnalysis[Nutrition], MATCH(tblPiNHistorical[[#This Row],[ID]], tblPiNAnalysis[ID], 0)), "")</f>
        <v>0</v>
      </c>
      <c r="Z114" s="28">
        <f>IFERROR(INDEX(tblPiNAnalysis[Protection], MATCH(tblPiNHistorical[[#This Row],[ID]], tblPiNAnalysis[ID], 0)), "")</f>
        <v>0</v>
      </c>
      <c r="AA114" s="28">
        <f>IFERROR(INDEX(tblPiNAnalysis[CP], MATCH(tblPiNHistorical[[#This Row],[ID]], tblPiNAnalysis[ID], 0)), "")</f>
        <v>0</v>
      </c>
      <c r="AB114" s="83">
        <f>IFERROR(INDEX(tblPiNAnalysis[GBV], MATCH(tblPiNHistorical[[#This Row],[ID]], tblPiNAnalysis[ID], 0)), "")</f>
        <v>0</v>
      </c>
      <c r="AC114" s="28">
        <f>IFERROR(INDEX(tblPiNAnalysis[Mine Action], MATCH(tblPiNHistorical[[#This Row],[ID]], tblPiNAnalysis[ID], 0)), "")</f>
        <v>0</v>
      </c>
      <c r="AD114" s="83">
        <f>IFERROR(INDEX(tblPiNAnalysis[[Shelter NFI ]], MATCH(tblPiNHistorical[[#This Row],[ID]], tblPiNAnalysis[ID], 0)), "")</f>
        <v>32494</v>
      </c>
      <c r="AE114" s="35">
        <f>IFERROR(INDEX(tblPiNAnalysis[WASH], MATCH(tblPiNHistorical[[#This Row],[ID]], tblPiNAnalysis[ID], 0)), "")</f>
        <v>0</v>
      </c>
      <c r="AF114" s="6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114" s="67" t="str">
        <f>IF(OR(tblPiNHistorical[[#This Row],[Education Old]]="", tblPiNHistorical[[#This Row],[Education Old]]=0, tblPiNHistorical[[#This Row],[Education New]]="", tblPiNHistorical[[#This Row],[Education New]]=0), "", tblPiNHistorical[[#This Row],[Education New]]-tblPiNHistorical[[#This Row],[Education Old]])</f>
        <v/>
      </c>
      <c r="AH114" s="67"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114" s="67" t="str">
        <f>IF(OR(tblPiNHistorical[[#This Row],[Health Old]]="", tblPiNHistorical[[#This Row],[Health Old]]=0, tblPiNHistorical[[#This Row],[Health New]]="", tblPiNHistorical[[#This Row],[Health New]]=0), "", tblPiNHistorical[[#This Row],[Health New]]-tblPiNHistorical[[#This Row],[Health Old]])</f>
        <v/>
      </c>
      <c r="AJ114" s="67" t="str">
        <f>IF(OR(tblPiNHistorical[[#This Row],[Nutrition Old]]="", tblPiNHistorical[[#This Row],[Nutrition Old]]=0, tblPiNHistorical[[#This Row],[Nutrition New]]="", tblPiNHistorical[[#This Row],[Nutrition New]]=0), "", tblPiNHistorical[[#This Row],[Nutrition New]]-tblPiNHistorical[[#This Row],[Nutrition Old]])</f>
        <v/>
      </c>
      <c r="AK114" s="67" t="str">
        <f>IF(OR(tblPiNHistorical[[#This Row],[Protection Old]]="", tblPiNHistorical[[#This Row],[Protection Old]]=0, tblPiNHistorical[[#This Row],[Protection New]]="", tblPiNHistorical[[#This Row],[Protection New]]=0), "", tblPiNHistorical[[#This Row],[Protection New]]-tblPiNHistorical[[#This Row],[Protection Old]])</f>
        <v/>
      </c>
      <c r="AL114" s="67" t="str">
        <f>IF(OR(tblPiNHistorical[[#This Row],[CP Old ]]="", tblPiNHistorical[[#This Row],[CP Old ]]=0, tblPiNHistorical[[#This Row],[CP New]]="", tblPiNHistorical[[#This Row],[CP New]]=0), "", tblPiNHistorical[[#This Row],[CP New]]-tblPiNHistorical[[#This Row],[CP Old ]])</f>
        <v/>
      </c>
      <c r="AM114" s="83" t="str">
        <f>IF(OR(tblPiNHistorical[[#This Row],[GBV Old]]="", tblPiNHistorical[[#This Row],[GBV Old]]=0, tblPiNHistorical[[#This Row],[GBV New]]="", tblPiNHistorical[[#This Row],[GBV New]]=0), "", tblPiNHistorical[[#This Row],[GBV New]]-tblPiNHistorical[[#This Row],[GBV Old]])</f>
        <v/>
      </c>
      <c r="AN114" s="83" t="str">
        <f>IF(OR(tblPiNHistorical[[#This Row],[Mine Action Old]]="", tblPiNHistorical[[#This Row],[Mine Action Old]]=0, tblPiNHistorical[[#This Row],[Mine Action New]]="", tblPiNHistorical[[#This Row],[Mine Action New]]=0), "", tblPiNHistorical[[#This Row],[Mine Action New]]-tblPiNHistorical[[#This Row],[Mine Action Old]])</f>
        <v/>
      </c>
      <c r="AO114" s="67">
        <f>IF(OR(tblPiNHistorical[[#This Row],[Shelter NFI Old]]="", tblPiNHistorical[[#This Row],[Shelter NFI Old]]=0, tblPiNHistorical[[#This Row],[Shelter NFI New]]="", tblPiNHistorical[[#This Row],[Shelter NFI New]]=0), "", tblPiNHistorical[[#This Row],[Shelter NFI New]]-tblPiNHistorical[[#This Row],[Shelter NFI Old]])</f>
        <v>-25026</v>
      </c>
      <c r="AP114" s="111" t="str">
        <f>IF(OR(tblPiNHistorical[[#This Row],[WASH Old]]="", tblPiNHistorical[[#This Row],[WASH Old]]=0, tblPiNHistorical[[#This Row],[WASH New]]="", tblPiNHistorical[[#This Row],[WASH New]]=0), "", tblPiNHistorical[[#This Row],[WASH New]]-tblPiNHistorical[[#This Row],[WASH Old]])</f>
        <v/>
      </c>
      <c r="AQ114" s="110" t="str">
        <f>IFERROR(ROUND((tblPiNHistorical[[#This Row],[Site Management - New]] - tblPiNHistorical[[#This Row],[Site Management - Old]])/tblPiNHistorical[[#This Row],[Site Management - Old]], 1), "")</f>
        <v/>
      </c>
      <c r="AR114" s="66">
        <f>IFERROR(ROUND((tblPiNHistorical[[#This Row],[Education New]]-tblPiNHistorical[[#This Row],[Education Old]])/tblPiNHistorical[[#This Row],[Education Old]], 1), "")</f>
        <v>-1</v>
      </c>
      <c r="AS114" s="66">
        <f>IFERROR(ROUND((tblPiNHistorical[[#This Row],[Food Security and Livlihoods New]]-tblPiNHistorical[[#This Row],[Food Security and Livlihoods Old]])/tblPiNHistorical[[#This Row],[Food Security and Livlihoods Old]], 1), "")</f>
        <v>-1</v>
      </c>
      <c r="AT114" s="66">
        <f>IFERROR(ROUND((tblPiNHistorical[[#This Row],[Health New]]-tblPiNHistorical[[#This Row],[Health Old]])/tblPiNHistorical[[#This Row],[Health Old]], 1), "")</f>
        <v>-1</v>
      </c>
      <c r="AU114" s="66">
        <f>IFERROR(ROUND((tblPiNHistorical[[#This Row],[Nutrition New]]-tblPiNHistorical[[#This Row],[Nutrition Old]])/tblPiNHistorical[[#This Row],[Nutrition Old]], 1), "")</f>
        <v>-1</v>
      </c>
      <c r="AV114" s="66">
        <f>IFERROR(ROUND((tblPiNHistorical[[#This Row],[Protection New]]-tblPiNHistorical[[#This Row],[Protection Old]])/tblPiNHistorical[[#This Row],[Protection Old]], 1), "")</f>
        <v>-1</v>
      </c>
      <c r="AW114" s="84">
        <f>IFERROR(ROUND((tblPiNHistorical[[#This Row],[CP New]]-tblPiNHistorical[[#This Row],[CP Old ]])/tblPiNHistorical[[#This Row],[CP Old ]], 1), "")</f>
        <v>-1</v>
      </c>
      <c r="AX114" s="84">
        <f>IFERROR(ROUND((tblPiNHistorical[[#This Row],[GBV New]]-tblPiNHistorical[[#This Row],[GBV Old]])/tblPiNHistorical[[#This Row],[GBV Old]], 1), "")</f>
        <v>-1</v>
      </c>
      <c r="AY114" s="84" t="str">
        <f>IFERROR(ROUND((tblPiNHistorical[[#This Row],[Mine Action New]]-tblPiNHistorical[[#This Row],[Mine Action Old]])/tblPiNHistorical[[#This Row],[Mine Action Old]], 1), "")</f>
        <v/>
      </c>
      <c r="AZ114" s="66">
        <f>IFERROR(ROUND((tblPiNHistorical[[#This Row],[Shelter NFI New]]-tblPiNHistorical[[#This Row],[Shelter NFI Old]])/tblPiNHistorical[[#This Row],[Shelter NFI Old]], 1), "")</f>
        <v>-0.4</v>
      </c>
      <c r="BA114" s="36">
        <f>IFERROR(ROUND((tblPiNHistorical[[#This Row],[WASH New]]-tblPiNHistorical[[#This Row],[WASH Old]])/tblPiNHistorical[[#This Row],[WASH Old]], 1), "")</f>
        <v>-1</v>
      </c>
      <c r="BB114"/>
      <c r="BC114"/>
      <c r="BD114"/>
      <c r="BE114"/>
      <c r="BF114"/>
      <c r="BG114"/>
      <c r="BH114"/>
      <c r="BI114"/>
      <c r="BL114"/>
      <c r="BN114"/>
      <c r="BO114"/>
      <c r="BP114"/>
    </row>
    <row r="115" spans="1:68" x14ac:dyDescent="0.25">
      <c r="A115"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IDPsSD16012</v>
      </c>
      <c r="B115" s="127" t="s">
        <v>179</v>
      </c>
      <c r="C115" s="60" t="s">
        <v>133</v>
      </c>
      <c r="D115" s="60" t="s">
        <v>520</v>
      </c>
      <c r="E115" s="60" t="s">
        <v>521</v>
      </c>
      <c r="F115" s="54"/>
      <c r="G115" s="30"/>
      <c r="H115" s="56">
        <v>102115</v>
      </c>
      <c r="I115" s="37" t="s">
        <v>88</v>
      </c>
      <c r="J115" s="34">
        <v>0</v>
      </c>
      <c r="K115" s="116">
        <v>39589.985500000003</v>
      </c>
      <c r="L115" s="114">
        <v>102115</v>
      </c>
      <c r="M115" s="114">
        <v>102115</v>
      </c>
      <c r="N115" s="114">
        <v>7188</v>
      </c>
      <c r="O115" s="114">
        <v>102115</v>
      </c>
      <c r="P115" s="114">
        <v>56163</v>
      </c>
      <c r="Q115" s="114">
        <v>40418</v>
      </c>
      <c r="R115" s="114">
        <v>0</v>
      </c>
      <c r="S115" s="114">
        <v>61269</v>
      </c>
      <c r="T115" s="196">
        <v>51625.259399999988</v>
      </c>
      <c r="U115" s="52">
        <f>IFERROR(INDEX(tblPiNAnalysis[[Site Management ]], MATCH(tblPiNHistorical[[#This Row],[ID]], tblPiNAnalysis[ID], 0)), "")</f>
        <v>0</v>
      </c>
      <c r="V115" s="52">
        <f>IFERROR(INDEX(tblPiNAnalysis[Education], MATCH(tblPiNHistorical[[#This Row],[ID]], tblPiNAnalysis[ID], 0)), "")</f>
        <v>0</v>
      </c>
      <c r="W115" s="28">
        <f>IFERROR(INDEX(tblPiNAnalysis[Food Security and Livlihoods], MATCH(tblPiNHistorical[[#This Row],[ID]], tblPiNAnalysis[ID], 0)), "")</f>
        <v>0</v>
      </c>
      <c r="X115" s="28">
        <f>IFERROR(INDEX(tblPiNAnalysis[[Health ]], MATCH(tblPiNHistorical[[#This Row],[ID]], tblPiNAnalysis[ID], 0)), "")</f>
        <v>0</v>
      </c>
      <c r="Y115" s="28">
        <f>IFERROR(INDEX(tblPiNAnalysis[Nutrition], MATCH(tblPiNHistorical[[#This Row],[ID]], tblPiNAnalysis[ID], 0)), "")</f>
        <v>0</v>
      </c>
      <c r="Z115" s="28">
        <f>IFERROR(INDEX(tblPiNAnalysis[Protection], MATCH(tblPiNHistorical[[#This Row],[ID]], tblPiNAnalysis[ID], 0)), "")</f>
        <v>0</v>
      </c>
      <c r="AA115" s="28">
        <f>IFERROR(INDEX(tblPiNAnalysis[CP], MATCH(tblPiNHistorical[[#This Row],[ID]], tblPiNAnalysis[ID], 0)), "")</f>
        <v>0</v>
      </c>
      <c r="AB115" s="83">
        <f>IFERROR(INDEX(tblPiNAnalysis[GBV], MATCH(tblPiNHistorical[[#This Row],[ID]], tblPiNAnalysis[ID], 0)), "")</f>
        <v>0</v>
      </c>
      <c r="AC115" s="28">
        <f>IFERROR(INDEX(tblPiNAnalysis[Mine Action], MATCH(tblPiNHistorical[[#This Row],[ID]], tblPiNAnalysis[ID], 0)), "")</f>
        <v>0</v>
      </c>
      <c r="AD115" s="83">
        <f>IFERROR(INDEX(tblPiNAnalysis[[Shelter NFI ]], MATCH(tblPiNHistorical[[#This Row],[ID]], tblPiNAnalysis[ID], 0)), "")</f>
        <v>56125</v>
      </c>
      <c r="AE115" s="35">
        <f>IFERROR(INDEX(tblPiNAnalysis[WASH], MATCH(tblPiNHistorical[[#This Row],[ID]], tblPiNAnalysis[ID], 0)), "")</f>
        <v>0</v>
      </c>
      <c r="AF115" s="6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115" s="67" t="str">
        <f>IF(OR(tblPiNHistorical[[#This Row],[Education Old]]="", tblPiNHistorical[[#This Row],[Education Old]]=0, tblPiNHistorical[[#This Row],[Education New]]="", tblPiNHistorical[[#This Row],[Education New]]=0), "", tblPiNHistorical[[#This Row],[Education New]]-tblPiNHistorical[[#This Row],[Education Old]])</f>
        <v/>
      </c>
      <c r="AH115" s="67"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115" s="67" t="str">
        <f>IF(OR(tblPiNHistorical[[#This Row],[Health Old]]="", tblPiNHistorical[[#This Row],[Health Old]]=0, tblPiNHistorical[[#This Row],[Health New]]="", tblPiNHistorical[[#This Row],[Health New]]=0), "", tblPiNHistorical[[#This Row],[Health New]]-tblPiNHistorical[[#This Row],[Health Old]])</f>
        <v/>
      </c>
      <c r="AJ115" s="67" t="str">
        <f>IF(OR(tblPiNHistorical[[#This Row],[Nutrition Old]]="", tblPiNHistorical[[#This Row],[Nutrition Old]]=0, tblPiNHistorical[[#This Row],[Nutrition New]]="", tblPiNHistorical[[#This Row],[Nutrition New]]=0), "", tblPiNHistorical[[#This Row],[Nutrition New]]-tblPiNHistorical[[#This Row],[Nutrition Old]])</f>
        <v/>
      </c>
      <c r="AK115" s="67" t="str">
        <f>IF(OR(tblPiNHistorical[[#This Row],[Protection Old]]="", tblPiNHistorical[[#This Row],[Protection Old]]=0, tblPiNHistorical[[#This Row],[Protection New]]="", tblPiNHistorical[[#This Row],[Protection New]]=0), "", tblPiNHistorical[[#This Row],[Protection New]]-tblPiNHistorical[[#This Row],[Protection Old]])</f>
        <v/>
      </c>
      <c r="AL115" s="67" t="str">
        <f>IF(OR(tblPiNHistorical[[#This Row],[CP Old ]]="", tblPiNHistorical[[#This Row],[CP Old ]]=0, tblPiNHistorical[[#This Row],[CP New]]="", tblPiNHistorical[[#This Row],[CP New]]=0), "", tblPiNHistorical[[#This Row],[CP New]]-tblPiNHistorical[[#This Row],[CP Old ]])</f>
        <v/>
      </c>
      <c r="AM115" s="83" t="str">
        <f>IF(OR(tblPiNHistorical[[#This Row],[GBV Old]]="", tblPiNHistorical[[#This Row],[GBV Old]]=0, tblPiNHistorical[[#This Row],[GBV New]]="", tblPiNHistorical[[#This Row],[GBV New]]=0), "", tblPiNHistorical[[#This Row],[GBV New]]-tblPiNHistorical[[#This Row],[GBV Old]])</f>
        <v/>
      </c>
      <c r="AN115" s="83" t="str">
        <f>IF(OR(tblPiNHistorical[[#This Row],[Mine Action Old]]="", tblPiNHistorical[[#This Row],[Mine Action Old]]=0, tblPiNHistorical[[#This Row],[Mine Action New]]="", tblPiNHistorical[[#This Row],[Mine Action New]]=0), "", tblPiNHistorical[[#This Row],[Mine Action New]]-tblPiNHistorical[[#This Row],[Mine Action Old]])</f>
        <v/>
      </c>
      <c r="AO115" s="67">
        <f>IF(OR(tblPiNHistorical[[#This Row],[Shelter NFI Old]]="", tblPiNHistorical[[#This Row],[Shelter NFI Old]]=0, tblPiNHistorical[[#This Row],[Shelter NFI New]]="", tblPiNHistorical[[#This Row],[Shelter NFI New]]=0), "", tblPiNHistorical[[#This Row],[Shelter NFI New]]-tblPiNHistorical[[#This Row],[Shelter NFI Old]])</f>
        <v>-5144</v>
      </c>
      <c r="AP115" s="111" t="str">
        <f>IF(OR(tblPiNHistorical[[#This Row],[WASH Old]]="", tblPiNHistorical[[#This Row],[WASH Old]]=0, tblPiNHistorical[[#This Row],[WASH New]]="", tblPiNHistorical[[#This Row],[WASH New]]=0), "", tblPiNHistorical[[#This Row],[WASH New]]-tblPiNHistorical[[#This Row],[WASH Old]])</f>
        <v/>
      </c>
      <c r="AQ115" s="110" t="str">
        <f>IFERROR(ROUND((tblPiNHistorical[[#This Row],[Site Management - New]] - tblPiNHistorical[[#This Row],[Site Management - Old]])/tblPiNHistorical[[#This Row],[Site Management - Old]], 1), "")</f>
        <v/>
      </c>
      <c r="AR115" s="66">
        <f>IFERROR(ROUND((tblPiNHistorical[[#This Row],[Education New]]-tblPiNHistorical[[#This Row],[Education Old]])/tblPiNHistorical[[#This Row],[Education Old]], 1), "")</f>
        <v>-1</v>
      </c>
      <c r="AS115" s="66">
        <f>IFERROR(ROUND((tblPiNHistorical[[#This Row],[Food Security and Livlihoods New]]-tblPiNHistorical[[#This Row],[Food Security and Livlihoods Old]])/tblPiNHistorical[[#This Row],[Food Security and Livlihoods Old]], 1), "")</f>
        <v>-1</v>
      </c>
      <c r="AT115" s="66">
        <f>IFERROR(ROUND((tblPiNHistorical[[#This Row],[Health New]]-tblPiNHistorical[[#This Row],[Health Old]])/tblPiNHistorical[[#This Row],[Health Old]], 1), "")</f>
        <v>-1</v>
      </c>
      <c r="AU115" s="66">
        <f>IFERROR(ROUND((tblPiNHistorical[[#This Row],[Nutrition New]]-tblPiNHistorical[[#This Row],[Nutrition Old]])/tblPiNHistorical[[#This Row],[Nutrition Old]], 1), "")</f>
        <v>-1</v>
      </c>
      <c r="AV115" s="66">
        <f>IFERROR(ROUND((tblPiNHistorical[[#This Row],[Protection New]]-tblPiNHistorical[[#This Row],[Protection Old]])/tblPiNHistorical[[#This Row],[Protection Old]], 1), "")</f>
        <v>-1</v>
      </c>
      <c r="AW115" s="84">
        <f>IFERROR(ROUND((tblPiNHistorical[[#This Row],[CP New]]-tblPiNHistorical[[#This Row],[CP Old ]])/tblPiNHistorical[[#This Row],[CP Old ]], 1), "")</f>
        <v>-1</v>
      </c>
      <c r="AX115" s="84">
        <f>IFERROR(ROUND((tblPiNHistorical[[#This Row],[GBV New]]-tblPiNHistorical[[#This Row],[GBV Old]])/tblPiNHistorical[[#This Row],[GBV Old]], 1), "")</f>
        <v>-1</v>
      </c>
      <c r="AY115" s="84" t="str">
        <f>IFERROR(ROUND((tblPiNHistorical[[#This Row],[Mine Action New]]-tblPiNHistorical[[#This Row],[Mine Action Old]])/tblPiNHistorical[[#This Row],[Mine Action Old]], 1), "")</f>
        <v/>
      </c>
      <c r="AZ115" s="66">
        <f>IFERROR(ROUND((tblPiNHistorical[[#This Row],[Shelter NFI New]]-tblPiNHistorical[[#This Row],[Shelter NFI Old]])/tblPiNHistorical[[#This Row],[Shelter NFI Old]], 1), "")</f>
        <v>-0.1</v>
      </c>
      <c r="BA115" s="36">
        <f>IFERROR(ROUND((tblPiNHistorical[[#This Row],[WASH New]]-tblPiNHistorical[[#This Row],[WASH Old]])/tblPiNHistorical[[#This Row],[WASH Old]], 1), "")</f>
        <v>-1</v>
      </c>
      <c r="BB115"/>
      <c r="BC115"/>
      <c r="BD115"/>
      <c r="BE115"/>
      <c r="BF115"/>
      <c r="BG115"/>
      <c r="BH115"/>
      <c r="BI115"/>
      <c r="BL115"/>
      <c r="BN115"/>
      <c r="BO115"/>
      <c r="BP115"/>
    </row>
    <row r="116" spans="1:68" x14ac:dyDescent="0.25">
      <c r="A116"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IDPsSD16013</v>
      </c>
      <c r="B116" s="127" t="s">
        <v>179</v>
      </c>
      <c r="C116" s="60" t="s">
        <v>133</v>
      </c>
      <c r="D116" s="60" t="s">
        <v>522</v>
      </c>
      <c r="E116" s="60" t="s">
        <v>523</v>
      </c>
      <c r="F116" s="54"/>
      <c r="G116" s="30"/>
      <c r="H116" s="56">
        <v>48606</v>
      </c>
      <c r="I116" s="37" t="s">
        <v>88</v>
      </c>
      <c r="J116" s="34">
        <v>0</v>
      </c>
      <c r="K116" s="116">
        <v>18844.546200000001</v>
      </c>
      <c r="L116" s="114">
        <v>48606</v>
      </c>
      <c r="M116" s="114">
        <v>48606</v>
      </c>
      <c r="N116" s="114">
        <v>6684</v>
      </c>
      <c r="O116" s="114">
        <v>48606</v>
      </c>
      <c r="P116" s="114">
        <v>26733</v>
      </c>
      <c r="Q116" s="114">
        <v>19238</v>
      </c>
      <c r="R116" s="114">
        <v>0</v>
      </c>
      <c r="S116" s="114">
        <v>19442</v>
      </c>
      <c r="T116" s="196">
        <v>22986.749519999998</v>
      </c>
      <c r="U116" s="52">
        <f>IFERROR(INDEX(tblPiNAnalysis[[Site Management ]], MATCH(tblPiNHistorical[[#This Row],[ID]], tblPiNAnalysis[ID], 0)), "")</f>
        <v>0</v>
      </c>
      <c r="V116" s="52">
        <f>IFERROR(INDEX(tblPiNAnalysis[Education], MATCH(tblPiNHistorical[[#This Row],[ID]], tblPiNAnalysis[ID], 0)), "")</f>
        <v>0</v>
      </c>
      <c r="W116" s="28">
        <f>IFERROR(INDEX(tblPiNAnalysis[Food Security and Livlihoods], MATCH(tblPiNHistorical[[#This Row],[ID]], tblPiNAnalysis[ID], 0)), "")</f>
        <v>0</v>
      </c>
      <c r="X116" s="28">
        <f>IFERROR(INDEX(tblPiNAnalysis[[Health ]], MATCH(tblPiNHistorical[[#This Row],[ID]], tblPiNAnalysis[ID], 0)), "")</f>
        <v>0</v>
      </c>
      <c r="Y116" s="28">
        <f>IFERROR(INDEX(tblPiNAnalysis[Nutrition], MATCH(tblPiNHistorical[[#This Row],[ID]], tblPiNAnalysis[ID], 0)), "")</f>
        <v>0</v>
      </c>
      <c r="Z116" s="28">
        <f>IFERROR(INDEX(tblPiNAnalysis[Protection], MATCH(tblPiNHistorical[[#This Row],[ID]], tblPiNAnalysis[ID], 0)), "")</f>
        <v>0</v>
      </c>
      <c r="AA116" s="28">
        <f>IFERROR(INDEX(tblPiNAnalysis[CP], MATCH(tblPiNHistorical[[#This Row],[ID]], tblPiNAnalysis[ID], 0)), "")</f>
        <v>0</v>
      </c>
      <c r="AB116" s="83">
        <f>IFERROR(INDEX(tblPiNAnalysis[GBV], MATCH(tblPiNHistorical[[#This Row],[ID]], tblPiNAnalysis[ID], 0)), "")</f>
        <v>0</v>
      </c>
      <c r="AC116" s="28">
        <f>IFERROR(INDEX(tblPiNAnalysis[Mine Action], MATCH(tblPiNHistorical[[#This Row],[ID]], tblPiNAnalysis[ID], 0)), "")</f>
        <v>0</v>
      </c>
      <c r="AD116" s="83">
        <f>IFERROR(INDEX(tblPiNAnalysis[[Shelter NFI ]], MATCH(tblPiNHistorical[[#This Row],[ID]], tblPiNAnalysis[ID], 0)), "")</f>
        <v>12708</v>
      </c>
      <c r="AE116" s="35">
        <f>IFERROR(INDEX(tblPiNAnalysis[WASH], MATCH(tblPiNHistorical[[#This Row],[ID]], tblPiNAnalysis[ID], 0)), "")</f>
        <v>0</v>
      </c>
      <c r="AF116" s="6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116" s="67" t="str">
        <f>IF(OR(tblPiNHistorical[[#This Row],[Education Old]]="", tblPiNHistorical[[#This Row],[Education Old]]=0, tblPiNHistorical[[#This Row],[Education New]]="", tblPiNHistorical[[#This Row],[Education New]]=0), "", tblPiNHistorical[[#This Row],[Education New]]-tblPiNHistorical[[#This Row],[Education Old]])</f>
        <v/>
      </c>
      <c r="AH116" s="67"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116" s="67" t="str">
        <f>IF(OR(tblPiNHistorical[[#This Row],[Health Old]]="", tblPiNHistorical[[#This Row],[Health Old]]=0, tblPiNHistorical[[#This Row],[Health New]]="", tblPiNHistorical[[#This Row],[Health New]]=0), "", tblPiNHistorical[[#This Row],[Health New]]-tblPiNHistorical[[#This Row],[Health Old]])</f>
        <v/>
      </c>
      <c r="AJ116" s="67" t="str">
        <f>IF(OR(tblPiNHistorical[[#This Row],[Nutrition Old]]="", tblPiNHistorical[[#This Row],[Nutrition Old]]=0, tblPiNHistorical[[#This Row],[Nutrition New]]="", tblPiNHistorical[[#This Row],[Nutrition New]]=0), "", tblPiNHistorical[[#This Row],[Nutrition New]]-tblPiNHistorical[[#This Row],[Nutrition Old]])</f>
        <v/>
      </c>
      <c r="AK116" s="67" t="str">
        <f>IF(OR(tblPiNHistorical[[#This Row],[Protection Old]]="", tblPiNHistorical[[#This Row],[Protection Old]]=0, tblPiNHistorical[[#This Row],[Protection New]]="", tblPiNHistorical[[#This Row],[Protection New]]=0), "", tblPiNHistorical[[#This Row],[Protection New]]-tblPiNHistorical[[#This Row],[Protection Old]])</f>
        <v/>
      </c>
      <c r="AL116" s="67" t="str">
        <f>IF(OR(tblPiNHistorical[[#This Row],[CP Old ]]="", tblPiNHistorical[[#This Row],[CP Old ]]=0, tblPiNHistorical[[#This Row],[CP New]]="", tblPiNHistorical[[#This Row],[CP New]]=0), "", tblPiNHistorical[[#This Row],[CP New]]-tblPiNHistorical[[#This Row],[CP Old ]])</f>
        <v/>
      </c>
      <c r="AM116" s="83" t="str">
        <f>IF(OR(tblPiNHistorical[[#This Row],[GBV Old]]="", tblPiNHistorical[[#This Row],[GBV Old]]=0, tblPiNHistorical[[#This Row],[GBV New]]="", tblPiNHistorical[[#This Row],[GBV New]]=0), "", tblPiNHistorical[[#This Row],[GBV New]]-tblPiNHistorical[[#This Row],[GBV Old]])</f>
        <v/>
      </c>
      <c r="AN116" s="83" t="str">
        <f>IF(OR(tblPiNHistorical[[#This Row],[Mine Action Old]]="", tblPiNHistorical[[#This Row],[Mine Action Old]]=0, tblPiNHistorical[[#This Row],[Mine Action New]]="", tblPiNHistorical[[#This Row],[Mine Action New]]=0), "", tblPiNHistorical[[#This Row],[Mine Action New]]-tblPiNHistorical[[#This Row],[Mine Action Old]])</f>
        <v/>
      </c>
      <c r="AO116" s="67">
        <f>IF(OR(tblPiNHistorical[[#This Row],[Shelter NFI Old]]="", tblPiNHistorical[[#This Row],[Shelter NFI Old]]=0, tblPiNHistorical[[#This Row],[Shelter NFI New]]="", tblPiNHistorical[[#This Row],[Shelter NFI New]]=0), "", tblPiNHistorical[[#This Row],[Shelter NFI New]]-tblPiNHistorical[[#This Row],[Shelter NFI Old]])</f>
        <v>-6734</v>
      </c>
      <c r="AP116" s="111" t="str">
        <f>IF(OR(tblPiNHistorical[[#This Row],[WASH Old]]="", tblPiNHistorical[[#This Row],[WASH Old]]=0, tblPiNHistorical[[#This Row],[WASH New]]="", tblPiNHistorical[[#This Row],[WASH New]]=0), "", tblPiNHistorical[[#This Row],[WASH New]]-tblPiNHistorical[[#This Row],[WASH Old]])</f>
        <v/>
      </c>
      <c r="AQ116" s="110" t="str">
        <f>IFERROR(ROUND((tblPiNHistorical[[#This Row],[Site Management - New]] - tblPiNHistorical[[#This Row],[Site Management - Old]])/tblPiNHistorical[[#This Row],[Site Management - Old]], 1), "")</f>
        <v/>
      </c>
      <c r="AR116" s="66">
        <f>IFERROR(ROUND((tblPiNHistorical[[#This Row],[Education New]]-tblPiNHistorical[[#This Row],[Education Old]])/tblPiNHistorical[[#This Row],[Education Old]], 1), "")</f>
        <v>-1</v>
      </c>
      <c r="AS116" s="66">
        <f>IFERROR(ROUND((tblPiNHistorical[[#This Row],[Food Security and Livlihoods New]]-tblPiNHistorical[[#This Row],[Food Security and Livlihoods Old]])/tblPiNHistorical[[#This Row],[Food Security and Livlihoods Old]], 1), "")</f>
        <v>-1</v>
      </c>
      <c r="AT116" s="66">
        <f>IFERROR(ROUND((tblPiNHistorical[[#This Row],[Health New]]-tblPiNHistorical[[#This Row],[Health Old]])/tblPiNHistorical[[#This Row],[Health Old]], 1), "")</f>
        <v>-1</v>
      </c>
      <c r="AU116" s="66">
        <f>IFERROR(ROUND((tblPiNHistorical[[#This Row],[Nutrition New]]-tblPiNHistorical[[#This Row],[Nutrition Old]])/tblPiNHistorical[[#This Row],[Nutrition Old]], 1), "")</f>
        <v>-1</v>
      </c>
      <c r="AV116" s="66">
        <f>IFERROR(ROUND((tblPiNHistorical[[#This Row],[Protection New]]-tblPiNHistorical[[#This Row],[Protection Old]])/tblPiNHistorical[[#This Row],[Protection Old]], 1), "")</f>
        <v>-1</v>
      </c>
      <c r="AW116" s="84">
        <f>IFERROR(ROUND((tblPiNHistorical[[#This Row],[CP New]]-tblPiNHistorical[[#This Row],[CP Old ]])/tblPiNHistorical[[#This Row],[CP Old ]], 1), "")</f>
        <v>-1</v>
      </c>
      <c r="AX116" s="84">
        <f>IFERROR(ROUND((tblPiNHistorical[[#This Row],[GBV New]]-tblPiNHistorical[[#This Row],[GBV Old]])/tblPiNHistorical[[#This Row],[GBV Old]], 1), "")</f>
        <v>-1</v>
      </c>
      <c r="AY116" s="84" t="str">
        <f>IFERROR(ROUND((tblPiNHistorical[[#This Row],[Mine Action New]]-tblPiNHistorical[[#This Row],[Mine Action Old]])/tblPiNHistorical[[#This Row],[Mine Action Old]], 1), "")</f>
        <v/>
      </c>
      <c r="AZ116" s="66">
        <f>IFERROR(ROUND((tblPiNHistorical[[#This Row],[Shelter NFI New]]-tblPiNHistorical[[#This Row],[Shelter NFI Old]])/tblPiNHistorical[[#This Row],[Shelter NFI Old]], 1), "")</f>
        <v>-0.3</v>
      </c>
      <c r="BA116" s="36">
        <f>IFERROR(ROUND((tblPiNHistorical[[#This Row],[WASH New]]-tblPiNHistorical[[#This Row],[WASH Old]])/tblPiNHistorical[[#This Row],[WASH Old]], 1), "")</f>
        <v>-1</v>
      </c>
      <c r="BB116"/>
      <c r="BC116"/>
      <c r="BD116"/>
      <c r="BE116"/>
      <c r="BF116"/>
      <c r="BG116"/>
      <c r="BH116"/>
      <c r="BI116"/>
      <c r="BL116"/>
      <c r="BN116"/>
      <c r="BO116"/>
      <c r="BP116"/>
    </row>
    <row r="117" spans="1:68" x14ac:dyDescent="0.25">
      <c r="A117"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IDPsSD16010</v>
      </c>
      <c r="B117" s="127" t="s">
        <v>179</v>
      </c>
      <c r="C117" s="60" t="s">
        <v>133</v>
      </c>
      <c r="D117" s="60" t="s">
        <v>516</v>
      </c>
      <c r="E117" s="60" t="s">
        <v>517</v>
      </c>
      <c r="F117" s="54"/>
      <c r="G117" s="30"/>
      <c r="H117" s="56">
        <v>100000</v>
      </c>
      <c r="I117" s="37" t="s">
        <v>88</v>
      </c>
      <c r="J117" s="34">
        <v>10000</v>
      </c>
      <c r="K117" s="116">
        <v>38770</v>
      </c>
      <c r="L117" s="114">
        <v>81346</v>
      </c>
      <c r="M117" s="114">
        <v>100000</v>
      </c>
      <c r="N117" s="114">
        <v>14642</v>
      </c>
      <c r="O117" s="114">
        <v>100000</v>
      </c>
      <c r="P117" s="114">
        <v>55000</v>
      </c>
      <c r="Q117" s="114">
        <v>39580</v>
      </c>
      <c r="R117" s="114">
        <v>0</v>
      </c>
      <c r="S117" s="114">
        <v>60000</v>
      </c>
      <c r="T117" s="196">
        <v>108276.00000000001</v>
      </c>
      <c r="U117" s="52">
        <f>IFERROR(INDEX(tblPiNAnalysis[[Site Management ]], MATCH(tblPiNHistorical[[#This Row],[ID]], tblPiNAnalysis[ID], 0)), "")</f>
        <v>0</v>
      </c>
      <c r="V117" s="52">
        <f>IFERROR(INDEX(tblPiNAnalysis[Education], MATCH(tblPiNHistorical[[#This Row],[ID]], tblPiNAnalysis[ID], 0)), "")</f>
        <v>0</v>
      </c>
      <c r="W117" s="28">
        <f>IFERROR(INDEX(tblPiNAnalysis[Food Security and Livlihoods], MATCH(tblPiNHistorical[[#This Row],[ID]], tblPiNAnalysis[ID], 0)), "")</f>
        <v>0</v>
      </c>
      <c r="X117" s="28">
        <f>IFERROR(INDEX(tblPiNAnalysis[[Health ]], MATCH(tblPiNHistorical[[#This Row],[ID]], tblPiNAnalysis[ID], 0)), "")</f>
        <v>0</v>
      </c>
      <c r="Y117" s="28">
        <f>IFERROR(INDEX(tblPiNAnalysis[Nutrition], MATCH(tblPiNHistorical[[#This Row],[ID]], tblPiNAnalysis[ID], 0)), "")</f>
        <v>0</v>
      </c>
      <c r="Z117" s="28">
        <f>IFERROR(INDEX(tblPiNAnalysis[Protection], MATCH(tblPiNHistorical[[#This Row],[ID]], tblPiNAnalysis[ID], 0)), "")</f>
        <v>0</v>
      </c>
      <c r="AA117" s="28">
        <f>IFERROR(INDEX(tblPiNAnalysis[CP], MATCH(tblPiNHistorical[[#This Row],[ID]], tblPiNAnalysis[ID], 0)), "")</f>
        <v>0</v>
      </c>
      <c r="AB117" s="83">
        <f>IFERROR(INDEX(tblPiNAnalysis[GBV], MATCH(tblPiNHistorical[[#This Row],[ID]], tblPiNAnalysis[ID], 0)), "")</f>
        <v>0</v>
      </c>
      <c r="AC117" s="28">
        <f>IFERROR(INDEX(tblPiNAnalysis[Mine Action], MATCH(tblPiNHistorical[[#This Row],[ID]], tblPiNAnalysis[ID], 0)), "")</f>
        <v>0</v>
      </c>
      <c r="AD117" s="83">
        <f>IFERROR(INDEX(tblPiNAnalysis[[Shelter NFI ]], MATCH(tblPiNHistorical[[#This Row],[ID]], tblPiNAnalysis[ID], 0)), "")</f>
        <v>120679</v>
      </c>
      <c r="AE117" s="35">
        <f>IFERROR(INDEX(tblPiNAnalysis[WASH], MATCH(tblPiNHistorical[[#This Row],[ID]], tblPiNAnalysis[ID], 0)), "")</f>
        <v>0</v>
      </c>
      <c r="AF117" s="6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117" s="67" t="str">
        <f>IF(OR(tblPiNHistorical[[#This Row],[Education Old]]="", tblPiNHistorical[[#This Row],[Education Old]]=0, tblPiNHistorical[[#This Row],[Education New]]="", tblPiNHistorical[[#This Row],[Education New]]=0), "", tblPiNHistorical[[#This Row],[Education New]]-tblPiNHistorical[[#This Row],[Education Old]])</f>
        <v/>
      </c>
      <c r="AH117" s="67"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117" s="67" t="str">
        <f>IF(OR(tblPiNHistorical[[#This Row],[Health Old]]="", tblPiNHistorical[[#This Row],[Health Old]]=0, tblPiNHistorical[[#This Row],[Health New]]="", tblPiNHistorical[[#This Row],[Health New]]=0), "", tblPiNHistorical[[#This Row],[Health New]]-tblPiNHistorical[[#This Row],[Health Old]])</f>
        <v/>
      </c>
      <c r="AJ117" s="67" t="str">
        <f>IF(OR(tblPiNHistorical[[#This Row],[Nutrition Old]]="", tblPiNHistorical[[#This Row],[Nutrition Old]]=0, tblPiNHistorical[[#This Row],[Nutrition New]]="", tblPiNHistorical[[#This Row],[Nutrition New]]=0), "", tblPiNHistorical[[#This Row],[Nutrition New]]-tblPiNHistorical[[#This Row],[Nutrition Old]])</f>
        <v/>
      </c>
      <c r="AK117" s="67" t="str">
        <f>IF(OR(tblPiNHistorical[[#This Row],[Protection Old]]="", tblPiNHistorical[[#This Row],[Protection Old]]=0, tblPiNHistorical[[#This Row],[Protection New]]="", tblPiNHistorical[[#This Row],[Protection New]]=0), "", tblPiNHistorical[[#This Row],[Protection New]]-tblPiNHistorical[[#This Row],[Protection Old]])</f>
        <v/>
      </c>
      <c r="AL117" s="67" t="str">
        <f>IF(OR(tblPiNHistorical[[#This Row],[CP Old ]]="", tblPiNHistorical[[#This Row],[CP Old ]]=0, tblPiNHistorical[[#This Row],[CP New]]="", tblPiNHistorical[[#This Row],[CP New]]=0), "", tblPiNHistorical[[#This Row],[CP New]]-tblPiNHistorical[[#This Row],[CP Old ]])</f>
        <v/>
      </c>
      <c r="AM117" s="83" t="str">
        <f>IF(OR(tblPiNHistorical[[#This Row],[GBV Old]]="", tblPiNHistorical[[#This Row],[GBV Old]]=0, tblPiNHistorical[[#This Row],[GBV New]]="", tblPiNHistorical[[#This Row],[GBV New]]=0), "", tblPiNHistorical[[#This Row],[GBV New]]-tblPiNHistorical[[#This Row],[GBV Old]])</f>
        <v/>
      </c>
      <c r="AN117" s="83" t="str">
        <f>IF(OR(tblPiNHistorical[[#This Row],[Mine Action Old]]="", tblPiNHistorical[[#This Row],[Mine Action Old]]=0, tblPiNHistorical[[#This Row],[Mine Action New]]="", tblPiNHistorical[[#This Row],[Mine Action New]]=0), "", tblPiNHistorical[[#This Row],[Mine Action New]]-tblPiNHistorical[[#This Row],[Mine Action Old]])</f>
        <v/>
      </c>
      <c r="AO117" s="67">
        <f>IF(OR(tblPiNHistorical[[#This Row],[Shelter NFI Old]]="", tblPiNHistorical[[#This Row],[Shelter NFI Old]]=0, tblPiNHistorical[[#This Row],[Shelter NFI New]]="", tblPiNHistorical[[#This Row],[Shelter NFI New]]=0), "", tblPiNHistorical[[#This Row],[Shelter NFI New]]-tblPiNHistorical[[#This Row],[Shelter NFI Old]])</f>
        <v>60679</v>
      </c>
      <c r="AP117" s="111" t="str">
        <f>IF(OR(tblPiNHistorical[[#This Row],[WASH Old]]="", tblPiNHistorical[[#This Row],[WASH Old]]=0, tblPiNHistorical[[#This Row],[WASH New]]="", tblPiNHistorical[[#This Row],[WASH New]]=0), "", tblPiNHistorical[[#This Row],[WASH New]]-tblPiNHistorical[[#This Row],[WASH Old]])</f>
        <v/>
      </c>
      <c r="AQ117" s="110">
        <f>IFERROR(ROUND((tblPiNHistorical[[#This Row],[Site Management - New]] - tblPiNHistorical[[#This Row],[Site Management - Old]])/tblPiNHistorical[[#This Row],[Site Management - Old]], 1), "")</f>
        <v>-1</v>
      </c>
      <c r="AR117" s="66">
        <f>IFERROR(ROUND((tblPiNHistorical[[#This Row],[Education New]]-tblPiNHistorical[[#This Row],[Education Old]])/tblPiNHistorical[[#This Row],[Education Old]], 1), "")</f>
        <v>-1</v>
      </c>
      <c r="AS117" s="66">
        <f>IFERROR(ROUND((tblPiNHistorical[[#This Row],[Food Security and Livlihoods New]]-tblPiNHistorical[[#This Row],[Food Security and Livlihoods Old]])/tblPiNHistorical[[#This Row],[Food Security and Livlihoods Old]], 1), "")</f>
        <v>-1</v>
      </c>
      <c r="AT117" s="66">
        <f>IFERROR(ROUND((tblPiNHistorical[[#This Row],[Health New]]-tblPiNHistorical[[#This Row],[Health Old]])/tblPiNHistorical[[#This Row],[Health Old]], 1), "")</f>
        <v>-1</v>
      </c>
      <c r="AU117" s="66">
        <f>IFERROR(ROUND((tblPiNHistorical[[#This Row],[Nutrition New]]-tblPiNHistorical[[#This Row],[Nutrition Old]])/tblPiNHistorical[[#This Row],[Nutrition Old]], 1), "")</f>
        <v>-1</v>
      </c>
      <c r="AV117" s="66">
        <f>IFERROR(ROUND((tblPiNHistorical[[#This Row],[Protection New]]-tblPiNHistorical[[#This Row],[Protection Old]])/tblPiNHistorical[[#This Row],[Protection Old]], 1), "")</f>
        <v>-1</v>
      </c>
      <c r="AW117" s="84">
        <f>IFERROR(ROUND((tblPiNHistorical[[#This Row],[CP New]]-tblPiNHistorical[[#This Row],[CP Old ]])/tblPiNHistorical[[#This Row],[CP Old ]], 1), "")</f>
        <v>-1</v>
      </c>
      <c r="AX117" s="84">
        <f>IFERROR(ROUND((tblPiNHistorical[[#This Row],[GBV New]]-tblPiNHistorical[[#This Row],[GBV Old]])/tblPiNHistorical[[#This Row],[GBV Old]], 1), "")</f>
        <v>-1</v>
      </c>
      <c r="AY117" s="84" t="str">
        <f>IFERROR(ROUND((tblPiNHistorical[[#This Row],[Mine Action New]]-tblPiNHistorical[[#This Row],[Mine Action Old]])/tblPiNHistorical[[#This Row],[Mine Action Old]], 1), "")</f>
        <v/>
      </c>
      <c r="AZ117" s="66">
        <f>IFERROR(ROUND((tblPiNHistorical[[#This Row],[Shelter NFI New]]-tblPiNHistorical[[#This Row],[Shelter NFI Old]])/tblPiNHistorical[[#This Row],[Shelter NFI Old]], 1), "")</f>
        <v>1</v>
      </c>
      <c r="BA117" s="36">
        <f>IFERROR(ROUND((tblPiNHistorical[[#This Row],[WASH New]]-tblPiNHistorical[[#This Row],[WASH Old]])/tblPiNHistorical[[#This Row],[WASH Old]], 1), "")</f>
        <v>-1</v>
      </c>
      <c r="BB117"/>
      <c r="BC117"/>
      <c r="BD117"/>
      <c r="BE117"/>
      <c r="BF117"/>
      <c r="BG117"/>
      <c r="BH117"/>
      <c r="BI117"/>
      <c r="BL117"/>
      <c r="BN117"/>
      <c r="BO117"/>
      <c r="BP117"/>
    </row>
    <row r="118" spans="1:68" x14ac:dyDescent="0.25">
      <c r="A118"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IDPsSD14037</v>
      </c>
      <c r="B118" s="127" t="s">
        <v>182</v>
      </c>
      <c r="C118" s="60" t="s">
        <v>131</v>
      </c>
      <c r="D118" s="60" t="s">
        <v>483</v>
      </c>
      <c r="E118" s="60" t="s">
        <v>484</v>
      </c>
      <c r="F118" s="54"/>
      <c r="G118" s="30"/>
      <c r="H118" s="56">
        <v>53196</v>
      </c>
      <c r="I118" s="37" t="s">
        <v>88</v>
      </c>
      <c r="J118" s="34">
        <v>0</v>
      </c>
      <c r="K118" s="116">
        <v>20624.089199999999</v>
      </c>
      <c r="L118" s="114">
        <v>53196</v>
      </c>
      <c r="M118" s="114">
        <v>53196</v>
      </c>
      <c r="N118" s="114">
        <v>5118</v>
      </c>
      <c r="O118" s="114">
        <v>29257.800000000003</v>
      </c>
      <c r="P118" s="114">
        <v>29258</v>
      </c>
      <c r="Q118" s="114">
        <v>21056</v>
      </c>
      <c r="R118" s="114">
        <v>0</v>
      </c>
      <c r="S118" s="114">
        <v>31918</v>
      </c>
      <c r="T118" s="196">
        <v>54464.192640000001</v>
      </c>
      <c r="U118" s="52">
        <f>IFERROR(INDEX(tblPiNAnalysis[[Site Management ]], MATCH(tblPiNHistorical[[#This Row],[ID]], tblPiNAnalysis[ID], 0)), "")</f>
        <v>0</v>
      </c>
      <c r="V118" s="52">
        <f>IFERROR(INDEX(tblPiNAnalysis[Education], MATCH(tblPiNHistorical[[#This Row],[ID]], tblPiNAnalysis[ID], 0)), "")</f>
        <v>0</v>
      </c>
      <c r="W118" s="28">
        <f>IFERROR(INDEX(tblPiNAnalysis[Food Security and Livlihoods], MATCH(tblPiNHistorical[[#This Row],[ID]], tblPiNAnalysis[ID], 0)), "")</f>
        <v>0</v>
      </c>
      <c r="X118" s="28">
        <f>IFERROR(INDEX(tblPiNAnalysis[[Health ]], MATCH(tblPiNHistorical[[#This Row],[ID]], tblPiNAnalysis[ID], 0)), "")</f>
        <v>0</v>
      </c>
      <c r="Y118" s="28">
        <f>IFERROR(INDEX(tblPiNAnalysis[Nutrition], MATCH(tblPiNHistorical[[#This Row],[ID]], tblPiNAnalysis[ID], 0)), "")</f>
        <v>0</v>
      </c>
      <c r="Z118" s="28">
        <f>IFERROR(INDEX(tblPiNAnalysis[Protection], MATCH(tblPiNHistorical[[#This Row],[ID]], tblPiNAnalysis[ID], 0)), "")</f>
        <v>0</v>
      </c>
      <c r="AA118" s="28">
        <f>IFERROR(INDEX(tblPiNAnalysis[CP], MATCH(tblPiNHistorical[[#This Row],[ID]], tblPiNAnalysis[ID], 0)), "")</f>
        <v>0</v>
      </c>
      <c r="AB118" s="83">
        <f>IFERROR(INDEX(tblPiNAnalysis[GBV], MATCH(tblPiNHistorical[[#This Row],[ID]], tblPiNAnalysis[ID], 0)), "")</f>
        <v>0</v>
      </c>
      <c r="AC118" s="28">
        <f>IFERROR(INDEX(tblPiNAnalysis[Mine Action], MATCH(tblPiNHistorical[[#This Row],[ID]], tblPiNAnalysis[ID], 0)), "")</f>
        <v>0</v>
      </c>
      <c r="AD118" s="83">
        <f>IFERROR(INDEX(tblPiNAnalysis[[Shelter NFI ]], MATCH(tblPiNHistorical[[#This Row],[ID]], tblPiNAnalysis[ID], 0)), "")</f>
        <v>2289</v>
      </c>
      <c r="AE118" s="35">
        <f>IFERROR(INDEX(tblPiNAnalysis[WASH], MATCH(tblPiNHistorical[[#This Row],[ID]], tblPiNAnalysis[ID], 0)), "")</f>
        <v>0</v>
      </c>
      <c r="AF118" s="6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118" s="67" t="str">
        <f>IF(OR(tblPiNHistorical[[#This Row],[Education Old]]="", tblPiNHistorical[[#This Row],[Education Old]]=0, tblPiNHistorical[[#This Row],[Education New]]="", tblPiNHistorical[[#This Row],[Education New]]=0), "", tblPiNHistorical[[#This Row],[Education New]]-tblPiNHistorical[[#This Row],[Education Old]])</f>
        <v/>
      </c>
      <c r="AH118" s="67"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118" s="67" t="str">
        <f>IF(OR(tblPiNHistorical[[#This Row],[Health Old]]="", tblPiNHistorical[[#This Row],[Health Old]]=0, tblPiNHistorical[[#This Row],[Health New]]="", tblPiNHistorical[[#This Row],[Health New]]=0), "", tblPiNHistorical[[#This Row],[Health New]]-tblPiNHistorical[[#This Row],[Health Old]])</f>
        <v/>
      </c>
      <c r="AJ118" s="67" t="str">
        <f>IF(OR(tblPiNHistorical[[#This Row],[Nutrition Old]]="", tblPiNHistorical[[#This Row],[Nutrition Old]]=0, tblPiNHistorical[[#This Row],[Nutrition New]]="", tblPiNHistorical[[#This Row],[Nutrition New]]=0), "", tblPiNHistorical[[#This Row],[Nutrition New]]-tblPiNHistorical[[#This Row],[Nutrition Old]])</f>
        <v/>
      </c>
      <c r="AK118" s="67" t="str">
        <f>IF(OR(tblPiNHistorical[[#This Row],[Protection Old]]="", tblPiNHistorical[[#This Row],[Protection Old]]=0, tblPiNHistorical[[#This Row],[Protection New]]="", tblPiNHistorical[[#This Row],[Protection New]]=0), "", tblPiNHistorical[[#This Row],[Protection New]]-tblPiNHistorical[[#This Row],[Protection Old]])</f>
        <v/>
      </c>
      <c r="AL118" s="67" t="str">
        <f>IF(OR(tblPiNHistorical[[#This Row],[CP Old ]]="", tblPiNHistorical[[#This Row],[CP Old ]]=0, tblPiNHistorical[[#This Row],[CP New]]="", tblPiNHistorical[[#This Row],[CP New]]=0), "", tblPiNHistorical[[#This Row],[CP New]]-tblPiNHistorical[[#This Row],[CP Old ]])</f>
        <v/>
      </c>
      <c r="AM118" s="83" t="str">
        <f>IF(OR(tblPiNHistorical[[#This Row],[GBV Old]]="", tblPiNHistorical[[#This Row],[GBV Old]]=0, tblPiNHistorical[[#This Row],[GBV New]]="", tblPiNHistorical[[#This Row],[GBV New]]=0), "", tblPiNHistorical[[#This Row],[GBV New]]-tblPiNHistorical[[#This Row],[GBV Old]])</f>
        <v/>
      </c>
      <c r="AN118" s="83" t="str">
        <f>IF(OR(tblPiNHistorical[[#This Row],[Mine Action Old]]="", tblPiNHistorical[[#This Row],[Mine Action Old]]=0, tblPiNHistorical[[#This Row],[Mine Action New]]="", tblPiNHistorical[[#This Row],[Mine Action New]]=0), "", tblPiNHistorical[[#This Row],[Mine Action New]]-tblPiNHistorical[[#This Row],[Mine Action Old]])</f>
        <v/>
      </c>
      <c r="AO118" s="67">
        <f>IF(OR(tblPiNHistorical[[#This Row],[Shelter NFI Old]]="", tblPiNHistorical[[#This Row],[Shelter NFI Old]]=0, tblPiNHistorical[[#This Row],[Shelter NFI New]]="", tblPiNHistorical[[#This Row],[Shelter NFI New]]=0), "", tblPiNHistorical[[#This Row],[Shelter NFI New]]-tblPiNHistorical[[#This Row],[Shelter NFI Old]])</f>
        <v>-29629</v>
      </c>
      <c r="AP118" s="111" t="str">
        <f>IF(OR(tblPiNHistorical[[#This Row],[WASH Old]]="", tblPiNHistorical[[#This Row],[WASH Old]]=0, tblPiNHistorical[[#This Row],[WASH New]]="", tblPiNHistorical[[#This Row],[WASH New]]=0), "", tblPiNHistorical[[#This Row],[WASH New]]-tblPiNHistorical[[#This Row],[WASH Old]])</f>
        <v/>
      </c>
      <c r="AQ118" s="110" t="str">
        <f>IFERROR(ROUND((tblPiNHistorical[[#This Row],[Site Management - New]] - tblPiNHistorical[[#This Row],[Site Management - Old]])/tblPiNHistorical[[#This Row],[Site Management - Old]], 1), "")</f>
        <v/>
      </c>
      <c r="AR118" s="66">
        <f>IFERROR(ROUND((tblPiNHistorical[[#This Row],[Education New]]-tblPiNHistorical[[#This Row],[Education Old]])/tblPiNHistorical[[#This Row],[Education Old]], 1), "")</f>
        <v>-1</v>
      </c>
      <c r="AS118" s="66">
        <f>IFERROR(ROUND((tblPiNHistorical[[#This Row],[Food Security and Livlihoods New]]-tblPiNHistorical[[#This Row],[Food Security and Livlihoods Old]])/tblPiNHistorical[[#This Row],[Food Security and Livlihoods Old]], 1), "")</f>
        <v>-1</v>
      </c>
      <c r="AT118" s="66">
        <f>IFERROR(ROUND((tblPiNHistorical[[#This Row],[Health New]]-tblPiNHistorical[[#This Row],[Health Old]])/tblPiNHistorical[[#This Row],[Health Old]], 1), "")</f>
        <v>-1</v>
      </c>
      <c r="AU118" s="66">
        <f>IFERROR(ROUND((tblPiNHistorical[[#This Row],[Nutrition New]]-tblPiNHistorical[[#This Row],[Nutrition Old]])/tblPiNHistorical[[#This Row],[Nutrition Old]], 1), "")</f>
        <v>-1</v>
      </c>
      <c r="AV118" s="66">
        <f>IFERROR(ROUND((tblPiNHistorical[[#This Row],[Protection New]]-tblPiNHistorical[[#This Row],[Protection Old]])/tblPiNHistorical[[#This Row],[Protection Old]], 1), "")</f>
        <v>-1</v>
      </c>
      <c r="AW118" s="84">
        <f>IFERROR(ROUND((tblPiNHistorical[[#This Row],[CP New]]-tblPiNHistorical[[#This Row],[CP Old ]])/tblPiNHistorical[[#This Row],[CP Old ]], 1), "")</f>
        <v>-1</v>
      </c>
      <c r="AX118" s="84">
        <f>IFERROR(ROUND((tblPiNHistorical[[#This Row],[GBV New]]-tblPiNHistorical[[#This Row],[GBV Old]])/tblPiNHistorical[[#This Row],[GBV Old]], 1), "")</f>
        <v>-1</v>
      </c>
      <c r="AY118" s="84" t="str">
        <f>IFERROR(ROUND((tblPiNHistorical[[#This Row],[Mine Action New]]-tblPiNHistorical[[#This Row],[Mine Action Old]])/tblPiNHistorical[[#This Row],[Mine Action Old]], 1), "")</f>
        <v/>
      </c>
      <c r="AZ118" s="66">
        <f>IFERROR(ROUND((tblPiNHistorical[[#This Row],[Shelter NFI New]]-tblPiNHistorical[[#This Row],[Shelter NFI Old]])/tblPiNHistorical[[#This Row],[Shelter NFI Old]], 1), "")</f>
        <v>-0.9</v>
      </c>
      <c r="BA118" s="36">
        <f>IFERROR(ROUND((tblPiNHistorical[[#This Row],[WASH New]]-tblPiNHistorical[[#This Row],[WASH Old]])/tblPiNHistorical[[#This Row],[WASH Old]], 1), "")</f>
        <v>-1</v>
      </c>
      <c r="BB118"/>
      <c r="BC118"/>
      <c r="BD118"/>
      <c r="BE118"/>
      <c r="BF118"/>
      <c r="BG118"/>
      <c r="BH118"/>
      <c r="BI118"/>
      <c r="BL118"/>
      <c r="BN118"/>
      <c r="BO118"/>
      <c r="BP118"/>
    </row>
    <row r="119" spans="1:68" x14ac:dyDescent="0.25">
      <c r="A119"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IDPsSD14039</v>
      </c>
      <c r="B119" s="127" t="s">
        <v>182</v>
      </c>
      <c r="C119" s="60" t="s">
        <v>131</v>
      </c>
      <c r="D119" s="60" t="s">
        <v>486</v>
      </c>
      <c r="E119" s="60" t="s">
        <v>487</v>
      </c>
      <c r="F119" s="54"/>
      <c r="G119" s="30"/>
      <c r="H119" s="56">
        <v>35929</v>
      </c>
      <c r="I119" s="37" t="s">
        <v>88</v>
      </c>
      <c r="J119" s="34">
        <v>11437</v>
      </c>
      <c r="K119" s="116">
        <v>13929.6733</v>
      </c>
      <c r="L119" s="114">
        <v>35929</v>
      </c>
      <c r="M119" s="114">
        <v>35929</v>
      </c>
      <c r="N119" s="114">
        <v>4044</v>
      </c>
      <c r="O119" s="114">
        <v>19760.95</v>
      </c>
      <c r="P119" s="114">
        <v>19761</v>
      </c>
      <c r="Q119" s="114">
        <v>14222</v>
      </c>
      <c r="R119" s="114">
        <v>0</v>
      </c>
      <c r="S119" s="114">
        <v>14372</v>
      </c>
      <c r="T119" s="196">
        <v>40338.206880000005</v>
      </c>
      <c r="U119" s="52">
        <f>IFERROR(INDEX(tblPiNAnalysis[[Site Management ]], MATCH(tblPiNHistorical[[#This Row],[ID]], tblPiNAnalysis[ID], 0)), "")</f>
        <v>0</v>
      </c>
      <c r="V119" s="52">
        <f>IFERROR(INDEX(tblPiNAnalysis[Education], MATCH(tblPiNHistorical[[#This Row],[ID]], tblPiNAnalysis[ID], 0)), "")</f>
        <v>0</v>
      </c>
      <c r="W119" s="28">
        <f>IFERROR(INDEX(tblPiNAnalysis[Food Security and Livlihoods], MATCH(tblPiNHistorical[[#This Row],[ID]], tblPiNAnalysis[ID], 0)), "")</f>
        <v>0</v>
      </c>
      <c r="X119" s="28">
        <f>IFERROR(INDEX(tblPiNAnalysis[[Health ]], MATCH(tblPiNHistorical[[#This Row],[ID]], tblPiNAnalysis[ID], 0)), "")</f>
        <v>0</v>
      </c>
      <c r="Y119" s="28">
        <f>IFERROR(INDEX(tblPiNAnalysis[Nutrition], MATCH(tblPiNHistorical[[#This Row],[ID]], tblPiNAnalysis[ID], 0)), "")</f>
        <v>0</v>
      </c>
      <c r="Z119" s="28">
        <f>IFERROR(INDEX(tblPiNAnalysis[Protection], MATCH(tblPiNHistorical[[#This Row],[ID]], tblPiNAnalysis[ID], 0)), "")</f>
        <v>0</v>
      </c>
      <c r="AA119" s="28">
        <f>IFERROR(INDEX(tblPiNAnalysis[CP], MATCH(tblPiNHistorical[[#This Row],[ID]], tblPiNAnalysis[ID], 0)), "")</f>
        <v>0</v>
      </c>
      <c r="AB119" s="83">
        <f>IFERROR(INDEX(tblPiNAnalysis[GBV], MATCH(tblPiNHistorical[[#This Row],[ID]], tblPiNAnalysis[ID], 0)), "")</f>
        <v>0</v>
      </c>
      <c r="AC119" s="28">
        <f>IFERROR(INDEX(tblPiNAnalysis[Mine Action], MATCH(tblPiNHistorical[[#This Row],[ID]], tblPiNAnalysis[ID], 0)), "")</f>
        <v>0</v>
      </c>
      <c r="AD119" s="83">
        <f>IFERROR(INDEX(tblPiNAnalysis[[Shelter NFI ]], MATCH(tblPiNHistorical[[#This Row],[ID]], tblPiNAnalysis[ID], 0)), "")</f>
        <v>5834</v>
      </c>
      <c r="AE119" s="35">
        <f>IFERROR(INDEX(tblPiNAnalysis[WASH], MATCH(tblPiNHistorical[[#This Row],[ID]], tblPiNAnalysis[ID], 0)), "")</f>
        <v>0</v>
      </c>
      <c r="AF119" s="6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119" s="67" t="str">
        <f>IF(OR(tblPiNHistorical[[#This Row],[Education Old]]="", tblPiNHistorical[[#This Row],[Education Old]]=0, tblPiNHistorical[[#This Row],[Education New]]="", tblPiNHistorical[[#This Row],[Education New]]=0), "", tblPiNHistorical[[#This Row],[Education New]]-tblPiNHistorical[[#This Row],[Education Old]])</f>
        <v/>
      </c>
      <c r="AH119" s="67"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119" s="67" t="str">
        <f>IF(OR(tblPiNHistorical[[#This Row],[Health Old]]="", tblPiNHistorical[[#This Row],[Health Old]]=0, tblPiNHistorical[[#This Row],[Health New]]="", tblPiNHistorical[[#This Row],[Health New]]=0), "", tblPiNHistorical[[#This Row],[Health New]]-tblPiNHistorical[[#This Row],[Health Old]])</f>
        <v/>
      </c>
      <c r="AJ119" s="67" t="str">
        <f>IF(OR(tblPiNHistorical[[#This Row],[Nutrition Old]]="", tblPiNHistorical[[#This Row],[Nutrition Old]]=0, tblPiNHistorical[[#This Row],[Nutrition New]]="", tblPiNHistorical[[#This Row],[Nutrition New]]=0), "", tblPiNHistorical[[#This Row],[Nutrition New]]-tblPiNHistorical[[#This Row],[Nutrition Old]])</f>
        <v/>
      </c>
      <c r="AK119" s="67" t="str">
        <f>IF(OR(tblPiNHistorical[[#This Row],[Protection Old]]="", tblPiNHistorical[[#This Row],[Protection Old]]=0, tblPiNHistorical[[#This Row],[Protection New]]="", tblPiNHistorical[[#This Row],[Protection New]]=0), "", tblPiNHistorical[[#This Row],[Protection New]]-tblPiNHistorical[[#This Row],[Protection Old]])</f>
        <v/>
      </c>
      <c r="AL119" s="67" t="str">
        <f>IF(OR(tblPiNHistorical[[#This Row],[CP Old ]]="", tblPiNHistorical[[#This Row],[CP Old ]]=0, tblPiNHistorical[[#This Row],[CP New]]="", tblPiNHistorical[[#This Row],[CP New]]=0), "", tblPiNHistorical[[#This Row],[CP New]]-tblPiNHistorical[[#This Row],[CP Old ]])</f>
        <v/>
      </c>
      <c r="AM119" s="83" t="str">
        <f>IF(OR(tblPiNHistorical[[#This Row],[GBV Old]]="", tblPiNHistorical[[#This Row],[GBV Old]]=0, tblPiNHistorical[[#This Row],[GBV New]]="", tblPiNHistorical[[#This Row],[GBV New]]=0), "", tblPiNHistorical[[#This Row],[GBV New]]-tblPiNHistorical[[#This Row],[GBV Old]])</f>
        <v/>
      </c>
      <c r="AN119" s="83" t="str">
        <f>IF(OR(tblPiNHistorical[[#This Row],[Mine Action Old]]="", tblPiNHistorical[[#This Row],[Mine Action Old]]=0, tblPiNHistorical[[#This Row],[Mine Action New]]="", tblPiNHistorical[[#This Row],[Mine Action New]]=0), "", tblPiNHistorical[[#This Row],[Mine Action New]]-tblPiNHistorical[[#This Row],[Mine Action Old]])</f>
        <v/>
      </c>
      <c r="AO119" s="67">
        <f>IF(OR(tblPiNHistorical[[#This Row],[Shelter NFI Old]]="", tblPiNHistorical[[#This Row],[Shelter NFI Old]]=0, tblPiNHistorical[[#This Row],[Shelter NFI New]]="", tblPiNHistorical[[#This Row],[Shelter NFI New]]=0), "", tblPiNHistorical[[#This Row],[Shelter NFI New]]-tblPiNHistorical[[#This Row],[Shelter NFI Old]])</f>
        <v>-8538</v>
      </c>
      <c r="AP119" s="111" t="str">
        <f>IF(OR(tblPiNHistorical[[#This Row],[WASH Old]]="", tblPiNHistorical[[#This Row],[WASH Old]]=0, tblPiNHistorical[[#This Row],[WASH New]]="", tblPiNHistorical[[#This Row],[WASH New]]=0), "", tblPiNHistorical[[#This Row],[WASH New]]-tblPiNHistorical[[#This Row],[WASH Old]])</f>
        <v/>
      </c>
      <c r="AQ119" s="110">
        <f>IFERROR(ROUND((tblPiNHistorical[[#This Row],[Site Management - New]] - tblPiNHistorical[[#This Row],[Site Management - Old]])/tblPiNHistorical[[#This Row],[Site Management - Old]], 1), "")</f>
        <v>-1</v>
      </c>
      <c r="AR119" s="66">
        <f>IFERROR(ROUND((tblPiNHistorical[[#This Row],[Education New]]-tblPiNHistorical[[#This Row],[Education Old]])/tblPiNHistorical[[#This Row],[Education Old]], 1), "")</f>
        <v>-1</v>
      </c>
      <c r="AS119" s="66">
        <f>IFERROR(ROUND((tblPiNHistorical[[#This Row],[Food Security and Livlihoods New]]-tblPiNHistorical[[#This Row],[Food Security and Livlihoods Old]])/tblPiNHistorical[[#This Row],[Food Security and Livlihoods Old]], 1), "")</f>
        <v>-1</v>
      </c>
      <c r="AT119" s="66">
        <f>IFERROR(ROUND((tblPiNHistorical[[#This Row],[Health New]]-tblPiNHistorical[[#This Row],[Health Old]])/tblPiNHistorical[[#This Row],[Health Old]], 1), "")</f>
        <v>-1</v>
      </c>
      <c r="AU119" s="66">
        <f>IFERROR(ROUND((tblPiNHistorical[[#This Row],[Nutrition New]]-tblPiNHistorical[[#This Row],[Nutrition Old]])/tblPiNHistorical[[#This Row],[Nutrition Old]], 1), "")</f>
        <v>-1</v>
      </c>
      <c r="AV119" s="66">
        <f>IFERROR(ROUND((tblPiNHistorical[[#This Row],[Protection New]]-tblPiNHistorical[[#This Row],[Protection Old]])/tblPiNHistorical[[#This Row],[Protection Old]], 1), "")</f>
        <v>-1</v>
      </c>
      <c r="AW119" s="84">
        <f>IFERROR(ROUND((tblPiNHistorical[[#This Row],[CP New]]-tblPiNHistorical[[#This Row],[CP Old ]])/tblPiNHistorical[[#This Row],[CP Old ]], 1), "")</f>
        <v>-1</v>
      </c>
      <c r="AX119" s="84">
        <f>IFERROR(ROUND((tblPiNHistorical[[#This Row],[GBV New]]-tblPiNHistorical[[#This Row],[GBV Old]])/tblPiNHistorical[[#This Row],[GBV Old]], 1), "")</f>
        <v>-1</v>
      </c>
      <c r="AY119" s="84" t="str">
        <f>IFERROR(ROUND((tblPiNHistorical[[#This Row],[Mine Action New]]-tblPiNHistorical[[#This Row],[Mine Action Old]])/tblPiNHistorical[[#This Row],[Mine Action Old]], 1), "")</f>
        <v/>
      </c>
      <c r="AZ119" s="66">
        <f>IFERROR(ROUND((tblPiNHistorical[[#This Row],[Shelter NFI New]]-tblPiNHistorical[[#This Row],[Shelter NFI Old]])/tblPiNHistorical[[#This Row],[Shelter NFI Old]], 1), "")</f>
        <v>-0.6</v>
      </c>
      <c r="BA119" s="36">
        <f>IFERROR(ROUND((tblPiNHistorical[[#This Row],[WASH New]]-tblPiNHistorical[[#This Row],[WASH Old]])/tblPiNHistorical[[#This Row],[WASH Old]], 1), "")</f>
        <v>-1</v>
      </c>
      <c r="BB119"/>
      <c r="BC119"/>
      <c r="BD119"/>
      <c r="BE119"/>
      <c r="BF119"/>
      <c r="BG119"/>
      <c r="BH119"/>
      <c r="BI119"/>
      <c r="BL119"/>
      <c r="BN119"/>
      <c r="BO119"/>
      <c r="BP119"/>
    </row>
    <row r="120" spans="1:68" x14ac:dyDescent="0.25">
      <c r="A120"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IDPsSD14040</v>
      </c>
      <c r="B120" s="127" t="s">
        <v>182</v>
      </c>
      <c r="C120" s="60" t="s">
        <v>131</v>
      </c>
      <c r="D120" s="60" t="s">
        <v>488</v>
      </c>
      <c r="E120" s="60" t="s">
        <v>489</v>
      </c>
      <c r="F120" s="54"/>
      <c r="G120" s="30"/>
      <c r="H120" s="56">
        <v>56966</v>
      </c>
      <c r="I120" s="37" t="s">
        <v>88</v>
      </c>
      <c r="J120" s="34">
        <v>406</v>
      </c>
      <c r="K120" s="116">
        <v>22085.718199999999</v>
      </c>
      <c r="L120" s="114">
        <v>56966</v>
      </c>
      <c r="M120" s="114">
        <v>56966</v>
      </c>
      <c r="N120" s="114">
        <v>4919</v>
      </c>
      <c r="O120" s="114">
        <v>31331.300000000003</v>
      </c>
      <c r="P120" s="114">
        <v>31331</v>
      </c>
      <c r="Q120" s="114">
        <v>22549</v>
      </c>
      <c r="R120" s="114">
        <v>0</v>
      </c>
      <c r="S120" s="114">
        <v>34180</v>
      </c>
      <c r="T120" s="196">
        <v>59144.379840000001</v>
      </c>
      <c r="U120" s="52">
        <f>IFERROR(INDEX(tblPiNAnalysis[[Site Management ]], MATCH(tblPiNHistorical[[#This Row],[ID]], tblPiNAnalysis[ID], 0)), "")</f>
        <v>0</v>
      </c>
      <c r="V120" s="52">
        <f>IFERROR(INDEX(tblPiNAnalysis[Education], MATCH(tblPiNHistorical[[#This Row],[ID]], tblPiNAnalysis[ID], 0)), "")</f>
        <v>0</v>
      </c>
      <c r="W120" s="28">
        <f>IFERROR(INDEX(tblPiNAnalysis[Food Security and Livlihoods], MATCH(tblPiNHistorical[[#This Row],[ID]], tblPiNAnalysis[ID], 0)), "")</f>
        <v>0</v>
      </c>
      <c r="X120" s="28">
        <f>IFERROR(INDEX(tblPiNAnalysis[[Health ]], MATCH(tblPiNHistorical[[#This Row],[ID]], tblPiNAnalysis[ID], 0)), "")</f>
        <v>0</v>
      </c>
      <c r="Y120" s="28">
        <f>IFERROR(INDEX(tblPiNAnalysis[Nutrition], MATCH(tblPiNHistorical[[#This Row],[ID]], tblPiNAnalysis[ID], 0)), "")</f>
        <v>0</v>
      </c>
      <c r="Z120" s="28">
        <f>IFERROR(INDEX(tblPiNAnalysis[Protection], MATCH(tblPiNHistorical[[#This Row],[ID]], tblPiNAnalysis[ID], 0)), "")</f>
        <v>0</v>
      </c>
      <c r="AA120" s="28">
        <f>IFERROR(INDEX(tblPiNAnalysis[CP], MATCH(tblPiNHistorical[[#This Row],[ID]], tblPiNAnalysis[ID], 0)), "")</f>
        <v>0</v>
      </c>
      <c r="AB120" s="83">
        <f>IFERROR(INDEX(tblPiNAnalysis[GBV], MATCH(tblPiNHistorical[[#This Row],[ID]], tblPiNAnalysis[ID], 0)), "")</f>
        <v>0</v>
      </c>
      <c r="AC120" s="28">
        <f>IFERROR(INDEX(tblPiNAnalysis[Mine Action], MATCH(tblPiNHistorical[[#This Row],[ID]], tblPiNAnalysis[ID], 0)), "")</f>
        <v>0</v>
      </c>
      <c r="AD120" s="83">
        <f>IFERROR(INDEX(tblPiNAnalysis[[Shelter NFI ]], MATCH(tblPiNHistorical[[#This Row],[ID]], tblPiNAnalysis[ID], 0)), "")</f>
        <v>5934</v>
      </c>
      <c r="AE120" s="35">
        <f>IFERROR(INDEX(tblPiNAnalysis[WASH], MATCH(tblPiNHistorical[[#This Row],[ID]], tblPiNAnalysis[ID], 0)), "")</f>
        <v>0</v>
      </c>
      <c r="AF120" s="6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120" s="67" t="str">
        <f>IF(OR(tblPiNHistorical[[#This Row],[Education Old]]="", tblPiNHistorical[[#This Row],[Education Old]]=0, tblPiNHistorical[[#This Row],[Education New]]="", tblPiNHistorical[[#This Row],[Education New]]=0), "", tblPiNHistorical[[#This Row],[Education New]]-tblPiNHistorical[[#This Row],[Education Old]])</f>
        <v/>
      </c>
      <c r="AH120" s="67"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120" s="67" t="str">
        <f>IF(OR(tblPiNHistorical[[#This Row],[Health Old]]="", tblPiNHistorical[[#This Row],[Health Old]]=0, tblPiNHistorical[[#This Row],[Health New]]="", tblPiNHistorical[[#This Row],[Health New]]=0), "", tblPiNHistorical[[#This Row],[Health New]]-tblPiNHistorical[[#This Row],[Health Old]])</f>
        <v/>
      </c>
      <c r="AJ120" s="67" t="str">
        <f>IF(OR(tblPiNHistorical[[#This Row],[Nutrition Old]]="", tblPiNHistorical[[#This Row],[Nutrition Old]]=0, tblPiNHistorical[[#This Row],[Nutrition New]]="", tblPiNHistorical[[#This Row],[Nutrition New]]=0), "", tblPiNHistorical[[#This Row],[Nutrition New]]-tblPiNHistorical[[#This Row],[Nutrition Old]])</f>
        <v/>
      </c>
      <c r="AK120" s="67" t="str">
        <f>IF(OR(tblPiNHistorical[[#This Row],[Protection Old]]="", tblPiNHistorical[[#This Row],[Protection Old]]=0, tblPiNHistorical[[#This Row],[Protection New]]="", tblPiNHistorical[[#This Row],[Protection New]]=0), "", tblPiNHistorical[[#This Row],[Protection New]]-tblPiNHistorical[[#This Row],[Protection Old]])</f>
        <v/>
      </c>
      <c r="AL120" s="67" t="str">
        <f>IF(OR(tblPiNHistorical[[#This Row],[CP Old ]]="", tblPiNHistorical[[#This Row],[CP Old ]]=0, tblPiNHistorical[[#This Row],[CP New]]="", tblPiNHistorical[[#This Row],[CP New]]=0), "", tblPiNHistorical[[#This Row],[CP New]]-tblPiNHistorical[[#This Row],[CP Old ]])</f>
        <v/>
      </c>
      <c r="AM120" s="83" t="str">
        <f>IF(OR(tblPiNHistorical[[#This Row],[GBV Old]]="", tblPiNHistorical[[#This Row],[GBV Old]]=0, tblPiNHistorical[[#This Row],[GBV New]]="", tblPiNHistorical[[#This Row],[GBV New]]=0), "", tblPiNHistorical[[#This Row],[GBV New]]-tblPiNHistorical[[#This Row],[GBV Old]])</f>
        <v/>
      </c>
      <c r="AN120" s="83" t="str">
        <f>IF(OR(tblPiNHistorical[[#This Row],[Mine Action Old]]="", tblPiNHistorical[[#This Row],[Mine Action Old]]=0, tblPiNHistorical[[#This Row],[Mine Action New]]="", tblPiNHistorical[[#This Row],[Mine Action New]]=0), "", tblPiNHistorical[[#This Row],[Mine Action New]]-tblPiNHistorical[[#This Row],[Mine Action Old]])</f>
        <v/>
      </c>
      <c r="AO120" s="67">
        <f>IF(OR(tblPiNHistorical[[#This Row],[Shelter NFI Old]]="", tblPiNHistorical[[#This Row],[Shelter NFI Old]]=0, tblPiNHistorical[[#This Row],[Shelter NFI New]]="", tblPiNHistorical[[#This Row],[Shelter NFI New]]=0), "", tblPiNHistorical[[#This Row],[Shelter NFI New]]-tblPiNHistorical[[#This Row],[Shelter NFI Old]])</f>
        <v>-28246</v>
      </c>
      <c r="AP120" s="111" t="str">
        <f>IF(OR(tblPiNHistorical[[#This Row],[WASH Old]]="", tblPiNHistorical[[#This Row],[WASH Old]]=0, tblPiNHistorical[[#This Row],[WASH New]]="", tblPiNHistorical[[#This Row],[WASH New]]=0), "", tblPiNHistorical[[#This Row],[WASH New]]-tblPiNHistorical[[#This Row],[WASH Old]])</f>
        <v/>
      </c>
      <c r="AQ120" s="110">
        <f>IFERROR(ROUND((tblPiNHistorical[[#This Row],[Site Management - New]] - tblPiNHistorical[[#This Row],[Site Management - Old]])/tblPiNHistorical[[#This Row],[Site Management - Old]], 1), "")</f>
        <v>-1</v>
      </c>
      <c r="AR120" s="66">
        <f>IFERROR(ROUND((tblPiNHistorical[[#This Row],[Education New]]-tblPiNHistorical[[#This Row],[Education Old]])/tblPiNHistorical[[#This Row],[Education Old]], 1), "")</f>
        <v>-1</v>
      </c>
      <c r="AS120" s="66">
        <f>IFERROR(ROUND((tblPiNHistorical[[#This Row],[Food Security and Livlihoods New]]-tblPiNHistorical[[#This Row],[Food Security and Livlihoods Old]])/tblPiNHistorical[[#This Row],[Food Security and Livlihoods Old]], 1), "")</f>
        <v>-1</v>
      </c>
      <c r="AT120" s="66">
        <f>IFERROR(ROUND((tblPiNHistorical[[#This Row],[Health New]]-tblPiNHistorical[[#This Row],[Health Old]])/tblPiNHistorical[[#This Row],[Health Old]], 1), "")</f>
        <v>-1</v>
      </c>
      <c r="AU120" s="66">
        <f>IFERROR(ROUND((tblPiNHistorical[[#This Row],[Nutrition New]]-tblPiNHistorical[[#This Row],[Nutrition Old]])/tblPiNHistorical[[#This Row],[Nutrition Old]], 1), "")</f>
        <v>-1</v>
      </c>
      <c r="AV120" s="66">
        <f>IFERROR(ROUND((tblPiNHistorical[[#This Row],[Protection New]]-tblPiNHistorical[[#This Row],[Protection Old]])/tblPiNHistorical[[#This Row],[Protection Old]], 1), "")</f>
        <v>-1</v>
      </c>
      <c r="AW120" s="84">
        <f>IFERROR(ROUND((tblPiNHistorical[[#This Row],[CP New]]-tblPiNHistorical[[#This Row],[CP Old ]])/tblPiNHistorical[[#This Row],[CP Old ]], 1), "")</f>
        <v>-1</v>
      </c>
      <c r="AX120" s="84">
        <f>IFERROR(ROUND((tblPiNHistorical[[#This Row],[GBV New]]-tblPiNHistorical[[#This Row],[GBV Old]])/tblPiNHistorical[[#This Row],[GBV Old]], 1), "")</f>
        <v>-1</v>
      </c>
      <c r="AY120" s="84" t="str">
        <f>IFERROR(ROUND((tblPiNHistorical[[#This Row],[Mine Action New]]-tblPiNHistorical[[#This Row],[Mine Action Old]])/tblPiNHistorical[[#This Row],[Mine Action Old]], 1), "")</f>
        <v/>
      </c>
      <c r="AZ120" s="66">
        <f>IFERROR(ROUND((tblPiNHistorical[[#This Row],[Shelter NFI New]]-tblPiNHistorical[[#This Row],[Shelter NFI Old]])/tblPiNHistorical[[#This Row],[Shelter NFI Old]], 1), "")</f>
        <v>-0.8</v>
      </c>
      <c r="BA120" s="36">
        <f>IFERROR(ROUND((tblPiNHistorical[[#This Row],[WASH New]]-tblPiNHistorical[[#This Row],[WASH Old]])/tblPiNHistorical[[#This Row],[WASH Old]], 1), "")</f>
        <v>-1</v>
      </c>
      <c r="BB120"/>
      <c r="BC120"/>
      <c r="BD120"/>
      <c r="BE120"/>
      <c r="BF120"/>
      <c r="BG120"/>
      <c r="BH120"/>
      <c r="BI120"/>
      <c r="BL120"/>
      <c r="BN120"/>
      <c r="BO120"/>
      <c r="BP120"/>
    </row>
    <row r="121" spans="1:68" x14ac:dyDescent="0.25">
      <c r="A121"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IDPsSD14041</v>
      </c>
      <c r="B121" s="127" t="s">
        <v>182</v>
      </c>
      <c r="C121" s="60" t="s">
        <v>131</v>
      </c>
      <c r="D121" s="60" t="s">
        <v>490</v>
      </c>
      <c r="E121" s="60" t="s">
        <v>491</v>
      </c>
      <c r="F121" s="54"/>
      <c r="G121" s="30"/>
      <c r="H121" s="56">
        <v>62584</v>
      </c>
      <c r="I121" s="37" t="s">
        <v>88</v>
      </c>
      <c r="J121" s="34">
        <v>2056</v>
      </c>
      <c r="K121" s="116">
        <v>24263.816800000001</v>
      </c>
      <c r="L121" s="114">
        <v>62584</v>
      </c>
      <c r="M121" s="114">
        <v>62584</v>
      </c>
      <c r="N121" s="114">
        <v>5355</v>
      </c>
      <c r="O121" s="114">
        <v>34421.200000000004</v>
      </c>
      <c r="P121" s="114">
        <v>34421</v>
      </c>
      <c r="Q121" s="114">
        <v>24771</v>
      </c>
      <c r="R121" s="114">
        <v>0</v>
      </c>
      <c r="S121" s="114">
        <v>37550</v>
      </c>
      <c r="T121" s="196">
        <v>45451.004160000004</v>
      </c>
      <c r="U121" s="52">
        <f>IFERROR(INDEX(tblPiNAnalysis[[Site Management ]], MATCH(tblPiNHistorical[[#This Row],[ID]], tblPiNAnalysis[ID], 0)), "")</f>
        <v>0</v>
      </c>
      <c r="V121" s="52">
        <f>IFERROR(INDEX(tblPiNAnalysis[Education], MATCH(tblPiNHistorical[[#This Row],[ID]], tblPiNAnalysis[ID], 0)), "")</f>
        <v>0</v>
      </c>
      <c r="W121" s="28">
        <f>IFERROR(INDEX(tblPiNAnalysis[Food Security and Livlihoods], MATCH(tblPiNHistorical[[#This Row],[ID]], tblPiNAnalysis[ID], 0)), "")</f>
        <v>0</v>
      </c>
      <c r="X121" s="28">
        <f>IFERROR(INDEX(tblPiNAnalysis[[Health ]], MATCH(tblPiNHistorical[[#This Row],[ID]], tblPiNAnalysis[ID], 0)), "")</f>
        <v>0</v>
      </c>
      <c r="Y121" s="28">
        <f>IFERROR(INDEX(tblPiNAnalysis[Nutrition], MATCH(tblPiNHistorical[[#This Row],[ID]], tblPiNAnalysis[ID], 0)), "")</f>
        <v>0</v>
      </c>
      <c r="Z121" s="28">
        <f>IFERROR(INDEX(tblPiNAnalysis[Protection], MATCH(tblPiNHistorical[[#This Row],[ID]], tblPiNAnalysis[ID], 0)), "")</f>
        <v>0</v>
      </c>
      <c r="AA121" s="28">
        <f>IFERROR(INDEX(tblPiNAnalysis[CP], MATCH(tblPiNHistorical[[#This Row],[ID]], tblPiNAnalysis[ID], 0)), "")</f>
        <v>0</v>
      </c>
      <c r="AB121" s="83">
        <f>IFERROR(INDEX(tblPiNAnalysis[GBV], MATCH(tblPiNHistorical[[#This Row],[ID]], tblPiNAnalysis[ID], 0)), "")</f>
        <v>0</v>
      </c>
      <c r="AC121" s="28">
        <f>IFERROR(INDEX(tblPiNAnalysis[Mine Action], MATCH(tblPiNHistorical[[#This Row],[ID]], tblPiNAnalysis[ID], 0)), "")</f>
        <v>0</v>
      </c>
      <c r="AD121" s="83">
        <f>IFERROR(INDEX(tblPiNAnalysis[[Shelter NFI ]], MATCH(tblPiNHistorical[[#This Row],[ID]], tblPiNAnalysis[ID], 0)), "")</f>
        <v>6946</v>
      </c>
      <c r="AE121" s="35">
        <f>IFERROR(INDEX(tblPiNAnalysis[WASH], MATCH(tblPiNHistorical[[#This Row],[ID]], tblPiNAnalysis[ID], 0)), "")</f>
        <v>0</v>
      </c>
      <c r="AF121" s="6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121" s="67" t="str">
        <f>IF(OR(tblPiNHistorical[[#This Row],[Education Old]]="", tblPiNHistorical[[#This Row],[Education Old]]=0, tblPiNHistorical[[#This Row],[Education New]]="", tblPiNHistorical[[#This Row],[Education New]]=0), "", tblPiNHistorical[[#This Row],[Education New]]-tblPiNHistorical[[#This Row],[Education Old]])</f>
        <v/>
      </c>
      <c r="AH121" s="67"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121" s="67" t="str">
        <f>IF(OR(tblPiNHistorical[[#This Row],[Health Old]]="", tblPiNHistorical[[#This Row],[Health Old]]=0, tblPiNHistorical[[#This Row],[Health New]]="", tblPiNHistorical[[#This Row],[Health New]]=0), "", tblPiNHistorical[[#This Row],[Health New]]-tblPiNHistorical[[#This Row],[Health Old]])</f>
        <v/>
      </c>
      <c r="AJ121" s="67" t="str">
        <f>IF(OR(tblPiNHistorical[[#This Row],[Nutrition Old]]="", tblPiNHistorical[[#This Row],[Nutrition Old]]=0, tblPiNHistorical[[#This Row],[Nutrition New]]="", tblPiNHistorical[[#This Row],[Nutrition New]]=0), "", tblPiNHistorical[[#This Row],[Nutrition New]]-tblPiNHistorical[[#This Row],[Nutrition Old]])</f>
        <v/>
      </c>
      <c r="AK121" s="67" t="str">
        <f>IF(OR(tblPiNHistorical[[#This Row],[Protection Old]]="", tblPiNHistorical[[#This Row],[Protection Old]]=0, tblPiNHistorical[[#This Row],[Protection New]]="", tblPiNHistorical[[#This Row],[Protection New]]=0), "", tblPiNHistorical[[#This Row],[Protection New]]-tblPiNHistorical[[#This Row],[Protection Old]])</f>
        <v/>
      </c>
      <c r="AL121" s="67" t="str">
        <f>IF(OR(tblPiNHistorical[[#This Row],[CP Old ]]="", tblPiNHistorical[[#This Row],[CP Old ]]=0, tblPiNHistorical[[#This Row],[CP New]]="", tblPiNHistorical[[#This Row],[CP New]]=0), "", tblPiNHistorical[[#This Row],[CP New]]-tblPiNHistorical[[#This Row],[CP Old ]])</f>
        <v/>
      </c>
      <c r="AM121" s="83" t="str">
        <f>IF(OR(tblPiNHistorical[[#This Row],[GBV Old]]="", tblPiNHistorical[[#This Row],[GBV Old]]=0, tblPiNHistorical[[#This Row],[GBV New]]="", tblPiNHistorical[[#This Row],[GBV New]]=0), "", tblPiNHistorical[[#This Row],[GBV New]]-tblPiNHistorical[[#This Row],[GBV Old]])</f>
        <v/>
      </c>
      <c r="AN121" s="83" t="str">
        <f>IF(OR(tblPiNHistorical[[#This Row],[Mine Action Old]]="", tblPiNHistorical[[#This Row],[Mine Action Old]]=0, tblPiNHistorical[[#This Row],[Mine Action New]]="", tblPiNHistorical[[#This Row],[Mine Action New]]=0), "", tblPiNHistorical[[#This Row],[Mine Action New]]-tblPiNHistorical[[#This Row],[Mine Action Old]])</f>
        <v/>
      </c>
      <c r="AO121" s="67">
        <f>IF(OR(tblPiNHistorical[[#This Row],[Shelter NFI Old]]="", tblPiNHistorical[[#This Row],[Shelter NFI Old]]=0, tblPiNHistorical[[#This Row],[Shelter NFI New]]="", tblPiNHistorical[[#This Row],[Shelter NFI New]]=0), "", tblPiNHistorical[[#This Row],[Shelter NFI New]]-tblPiNHistorical[[#This Row],[Shelter NFI Old]])</f>
        <v>-30604</v>
      </c>
      <c r="AP121" s="111" t="str">
        <f>IF(OR(tblPiNHistorical[[#This Row],[WASH Old]]="", tblPiNHistorical[[#This Row],[WASH Old]]=0, tblPiNHistorical[[#This Row],[WASH New]]="", tblPiNHistorical[[#This Row],[WASH New]]=0), "", tblPiNHistorical[[#This Row],[WASH New]]-tblPiNHistorical[[#This Row],[WASH Old]])</f>
        <v/>
      </c>
      <c r="AQ121" s="110">
        <f>IFERROR(ROUND((tblPiNHistorical[[#This Row],[Site Management - New]] - tblPiNHistorical[[#This Row],[Site Management - Old]])/tblPiNHistorical[[#This Row],[Site Management - Old]], 1), "")</f>
        <v>-1</v>
      </c>
      <c r="AR121" s="66">
        <f>IFERROR(ROUND((tblPiNHistorical[[#This Row],[Education New]]-tblPiNHistorical[[#This Row],[Education Old]])/tblPiNHistorical[[#This Row],[Education Old]], 1), "")</f>
        <v>-1</v>
      </c>
      <c r="AS121" s="66">
        <f>IFERROR(ROUND((tblPiNHistorical[[#This Row],[Food Security and Livlihoods New]]-tblPiNHistorical[[#This Row],[Food Security and Livlihoods Old]])/tblPiNHistorical[[#This Row],[Food Security and Livlihoods Old]], 1), "")</f>
        <v>-1</v>
      </c>
      <c r="AT121" s="66">
        <f>IFERROR(ROUND((tblPiNHistorical[[#This Row],[Health New]]-tblPiNHistorical[[#This Row],[Health Old]])/tblPiNHistorical[[#This Row],[Health Old]], 1), "")</f>
        <v>-1</v>
      </c>
      <c r="AU121" s="66">
        <f>IFERROR(ROUND((tblPiNHistorical[[#This Row],[Nutrition New]]-tblPiNHistorical[[#This Row],[Nutrition Old]])/tblPiNHistorical[[#This Row],[Nutrition Old]], 1), "")</f>
        <v>-1</v>
      </c>
      <c r="AV121" s="66">
        <f>IFERROR(ROUND((tblPiNHistorical[[#This Row],[Protection New]]-tblPiNHistorical[[#This Row],[Protection Old]])/tblPiNHistorical[[#This Row],[Protection Old]], 1), "")</f>
        <v>-1</v>
      </c>
      <c r="AW121" s="84">
        <f>IFERROR(ROUND((tblPiNHistorical[[#This Row],[CP New]]-tblPiNHistorical[[#This Row],[CP Old ]])/tblPiNHistorical[[#This Row],[CP Old ]], 1), "")</f>
        <v>-1</v>
      </c>
      <c r="AX121" s="84">
        <f>IFERROR(ROUND((tblPiNHistorical[[#This Row],[GBV New]]-tblPiNHistorical[[#This Row],[GBV Old]])/tblPiNHistorical[[#This Row],[GBV Old]], 1), "")</f>
        <v>-1</v>
      </c>
      <c r="AY121" s="84" t="str">
        <f>IFERROR(ROUND((tblPiNHistorical[[#This Row],[Mine Action New]]-tblPiNHistorical[[#This Row],[Mine Action Old]])/tblPiNHistorical[[#This Row],[Mine Action Old]], 1), "")</f>
        <v/>
      </c>
      <c r="AZ121" s="66">
        <f>IFERROR(ROUND((tblPiNHistorical[[#This Row],[Shelter NFI New]]-tblPiNHistorical[[#This Row],[Shelter NFI Old]])/tblPiNHistorical[[#This Row],[Shelter NFI Old]], 1), "")</f>
        <v>-0.8</v>
      </c>
      <c r="BA121" s="36">
        <f>IFERROR(ROUND((tblPiNHistorical[[#This Row],[WASH New]]-tblPiNHistorical[[#This Row],[WASH Old]])/tblPiNHistorical[[#This Row],[WASH Old]], 1), "")</f>
        <v>-1</v>
      </c>
      <c r="BB121"/>
      <c r="BC121"/>
      <c r="BD121"/>
      <c r="BE121"/>
      <c r="BF121"/>
      <c r="BG121"/>
      <c r="BH121"/>
      <c r="BI121"/>
      <c r="BL121"/>
      <c r="BN121"/>
      <c r="BO121"/>
      <c r="BP121"/>
    </row>
    <row r="122" spans="1:68" x14ac:dyDescent="0.25">
      <c r="A122"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IDPsSD14038</v>
      </c>
      <c r="B122" s="127" t="s">
        <v>182</v>
      </c>
      <c r="C122" s="60" t="s">
        <v>131</v>
      </c>
      <c r="D122" s="60" t="s">
        <v>182</v>
      </c>
      <c r="E122" s="60" t="s">
        <v>485</v>
      </c>
      <c r="F122" s="54"/>
      <c r="G122" s="30"/>
      <c r="H122" s="56">
        <v>50774</v>
      </c>
      <c r="I122" s="37" t="s">
        <v>88</v>
      </c>
      <c r="J122" s="34">
        <v>2387</v>
      </c>
      <c r="K122" s="116">
        <v>19685.0798</v>
      </c>
      <c r="L122" s="114">
        <v>50774</v>
      </c>
      <c r="M122" s="114">
        <v>50774</v>
      </c>
      <c r="N122" s="114">
        <v>3184</v>
      </c>
      <c r="O122" s="114">
        <v>27925.7</v>
      </c>
      <c r="P122" s="114">
        <v>27926</v>
      </c>
      <c r="Q122" s="114">
        <v>20097</v>
      </c>
      <c r="R122" s="114">
        <v>0</v>
      </c>
      <c r="S122" s="114">
        <v>30464</v>
      </c>
      <c r="T122" s="196">
        <v>26680.721519999996</v>
      </c>
      <c r="U122" s="52">
        <f>IFERROR(INDEX(tblPiNAnalysis[[Site Management ]], MATCH(tblPiNHistorical[[#This Row],[ID]], tblPiNAnalysis[ID], 0)), "")</f>
        <v>0</v>
      </c>
      <c r="V122" s="52">
        <f>IFERROR(INDEX(tblPiNAnalysis[Education], MATCH(tblPiNHistorical[[#This Row],[ID]], tblPiNAnalysis[ID], 0)), "")</f>
        <v>0</v>
      </c>
      <c r="W122" s="28">
        <f>IFERROR(INDEX(tblPiNAnalysis[Food Security and Livlihoods], MATCH(tblPiNHistorical[[#This Row],[ID]], tblPiNAnalysis[ID], 0)), "")</f>
        <v>0</v>
      </c>
      <c r="X122" s="28">
        <f>IFERROR(INDEX(tblPiNAnalysis[[Health ]], MATCH(tblPiNHistorical[[#This Row],[ID]], tblPiNAnalysis[ID], 0)), "")</f>
        <v>0</v>
      </c>
      <c r="Y122" s="28">
        <f>IFERROR(INDEX(tblPiNAnalysis[Nutrition], MATCH(tblPiNHistorical[[#This Row],[ID]], tblPiNAnalysis[ID], 0)), "")</f>
        <v>0</v>
      </c>
      <c r="Z122" s="28">
        <f>IFERROR(INDEX(tblPiNAnalysis[Protection], MATCH(tblPiNHistorical[[#This Row],[ID]], tblPiNAnalysis[ID], 0)), "")</f>
        <v>0</v>
      </c>
      <c r="AA122" s="28">
        <f>IFERROR(INDEX(tblPiNAnalysis[CP], MATCH(tblPiNHistorical[[#This Row],[ID]], tblPiNAnalysis[ID], 0)), "")</f>
        <v>0</v>
      </c>
      <c r="AB122" s="83">
        <f>IFERROR(INDEX(tblPiNAnalysis[GBV], MATCH(tblPiNHistorical[[#This Row],[ID]], tblPiNAnalysis[ID], 0)), "")</f>
        <v>0</v>
      </c>
      <c r="AC122" s="28">
        <f>IFERROR(INDEX(tblPiNAnalysis[Mine Action], MATCH(tblPiNHistorical[[#This Row],[ID]], tblPiNAnalysis[ID], 0)), "")</f>
        <v>0</v>
      </c>
      <c r="AD122" s="83">
        <f>IFERROR(INDEX(tblPiNAnalysis[[Shelter NFI ]], MATCH(tblPiNHistorical[[#This Row],[ID]], tblPiNAnalysis[ID], 0)), "")</f>
        <v>26711</v>
      </c>
      <c r="AE122" s="35">
        <f>IFERROR(INDEX(tblPiNAnalysis[WASH], MATCH(tblPiNHistorical[[#This Row],[ID]], tblPiNAnalysis[ID], 0)), "")</f>
        <v>0</v>
      </c>
      <c r="AF122" s="6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122" s="67" t="str">
        <f>IF(OR(tblPiNHistorical[[#This Row],[Education Old]]="", tblPiNHistorical[[#This Row],[Education Old]]=0, tblPiNHistorical[[#This Row],[Education New]]="", tblPiNHistorical[[#This Row],[Education New]]=0), "", tblPiNHistorical[[#This Row],[Education New]]-tblPiNHistorical[[#This Row],[Education Old]])</f>
        <v/>
      </c>
      <c r="AH122" s="67"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122" s="67" t="str">
        <f>IF(OR(tblPiNHistorical[[#This Row],[Health Old]]="", tblPiNHistorical[[#This Row],[Health Old]]=0, tblPiNHistorical[[#This Row],[Health New]]="", tblPiNHistorical[[#This Row],[Health New]]=0), "", tblPiNHistorical[[#This Row],[Health New]]-tblPiNHistorical[[#This Row],[Health Old]])</f>
        <v/>
      </c>
      <c r="AJ122" s="67" t="str">
        <f>IF(OR(tblPiNHistorical[[#This Row],[Nutrition Old]]="", tblPiNHistorical[[#This Row],[Nutrition Old]]=0, tblPiNHistorical[[#This Row],[Nutrition New]]="", tblPiNHistorical[[#This Row],[Nutrition New]]=0), "", tblPiNHistorical[[#This Row],[Nutrition New]]-tblPiNHistorical[[#This Row],[Nutrition Old]])</f>
        <v/>
      </c>
      <c r="AK122" s="67" t="str">
        <f>IF(OR(tblPiNHistorical[[#This Row],[Protection Old]]="", tblPiNHistorical[[#This Row],[Protection Old]]=0, tblPiNHistorical[[#This Row],[Protection New]]="", tblPiNHistorical[[#This Row],[Protection New]]=0), "", tblPiNHistorical[[#This Row],[Protection New]]-tblPiNHistorical[[#This Row],[Protection Old]])</f>
        <v/>
      </c>
      <c r="AL122" s="67" t="str">
        <f>IF(OR(tblPiNHistorical[[#This Row],[CP Old ]]="", tblPiNHistorical[[#This Row],[CP Old ]]=0, tblPiNHistorical[[#This Row],[CP New]]="", tblPiNHistorical[[#This Row],[CP New]]=0), "", tblPiNHistorical[[#This Row],[CP New]]-tblPiNHistorical[[#This Row],[CP Old ]])</f>
        <v/>
      </c>
      <c r="AM122" s="83" t="str">
        <f>IF(OR(tblPiNHistorical[[#This Row],[GBV Old]]="", tblPiNHistorical[[#This Row],[GBV Old]]=0, tblPiNHistorical[[#This Row],[GBV New]]="", tblPiNHistorical[[#This Row],[GBV New]]=0), "", tblPiNHistorical[[#This Row],[GBV New]]-tblPiNHistorical[[#This Row],[GBV Old]])</f>
        <v/>
      </c>
      <c r="AN122" s="83" t="str">
        <f>IF(OR(tblPiNHistorical[[#This Row],[Mine Action Old]]="", tblPiNHistorical[[#This Row],[Mine Action Old]]=0, tblPiNHistorical[[#This Row],[Mine Action New]]="", tblPiNHistorical[[#This Row],[Mine Action New]]=0), "", tblPiNHistorical[[#This Row],[Mine Action New]]-tblPiNHistorical[[#This Row],[Mine Action Old]])</f>
        <v/>
      </c>
      <c r="AO122" s="67">
        <f>IF(OR(tblPiNHistorical[[#This Row],[Shelter NFI Old]]="", tblPiNHistorical[[#This Row],[Shelter NFI Old]]=0, tblPiNHistorical[[#This Row],[Shelter NFI New]]="", tblPiNHistorical[[#This Row],[Shelter NFI New]]=0), "", tblPiNHistorical[[#This Row],[Shelter NFI New]]-tblPiNHistorical[[#This Row],[Shelter NFI Old]])</f>
        <v>-3753</v>
      </c>
      <c r="AP122" s="111" t="str">
        <f>IF(OR(tblPiNHistorical[[#This Row],[WASH Old]]="", tblPiNHistorical[[#This Row],[WASH Old]]=0, tblPiNHistorical[[#This Row],[WASH New]]="", tblPiNHistorical[[#This Row],[WASH New]]=0), "", tblPiNHistorical[[#This Row],[WASH New]]-tblPiNHistorical[[#This Row],[WASH Old]])</f>
        <v/>
      </c>
      <c r="AQ122" s="110">
        <f>IFERROR(ROUND((tblPiNHistorical[[#This Row],[Site Management - New]] - tblPiNHistorical[[#This Row],[Site Management - Old]])/tblPiNHistorical[[#This Row],[Site Management - Old]], 1), "")</f>
        <v>-1</v>
      </c>
      <c r="AR122" s="66">
        <f>IFERROR(ROUND((tblPiNHistorical[[#This Row],[Education New]]-tblPiNHistorical[[#This Row],[Education Old]])/tblPiNHistorical[[#This Row],[Education Old]], 1), "")</f>
        <v>-1</v>
      </c>
      <c r="AS122" s="66">
        <f>IFERROR(ROUND((tblPiNHistorical[[#This Row],[Food Security and Livlihoods New]]-tblPiNHistorical[[#This Row],[Food Security and Livlihoods Old]])/tblPiNHistorical[[#This Row],[Food Security and Livlihoods Old]], 1), "")</f>
        <v>-1</v>
      </c>
      <c r="AT122" s="66">
        <f>IFERROR(ROUND((tblPiNHistorical[[#This Row],[Health New]]-tblPiNHistorical[[#This Row],[Health Old]])/tblPiNHistorical[[#This Row],[Health Old]], 1), "")</f>
        <v>-1</v>
      </c>
      <c r="AU122" s="66">
        <f>IFERROR(ROUND((tblPiNHistorical[[#This Row],[Nutrition New]]-tblPiNHistorical[[#This Row],[Nutrition Old]])/tblPiNHistorical[[#This Row],[Nutrition Old]], 1), "")</f>
        <v>-1</v>
      </c>
      <c r="AV122" s="66">
        <f>IFERROR(ROUND((tblPiNHistorical[[#This Row],[Protection New]]-tblPiNHistorical[[#This Row],[Protection Old]])/tblPiNHistorical[[#This Row],[Protection Old]], 1), "")</f>
        <v>-1</v>
      </c>
      <c r="AW122" s="84">
        <f>IFERROR(ROUND((tblPiNHistorical[[#This Row],[CP New]]-tblPiNHistorical[[#This Row],[CP Old ]])/tblPiNHistorical[[#This Row],[CP Old ]], 1), "")</f>
        <v>-1</v>
      </c>
      <c r="AX122" s="84">
        <f>IFERROR(ROUND((tblPiNHistorical[[#This Row],[GBV New]]-tblPiNHistorical[[#This Row],[GBV Old]])/tblPiNHistorical[[#This Row],[GBV Old]], 1), "")</f>
        <v>-1</v>
      </c>
      <c r="AY122" s="84" t="str">
        <f>IFERROR(ROUND((tblPiNHistorical[[#This Row],[Mine Action New]]-tblPiNHistorical[[#This Row],[Mine Action Old]])/tblPiNHistorical[[#This Row],[Mine Action Old]], 1), "")</f>
        <v/>
      </c>
      <c r="AZ122" s="66">
        <f>IFERROR(ROUND((tblPiNHistorical[[#This Row],[Shelter NFI New]]-tblPiNHistorical[[#This Row],[Shelter NFI Old]])/tblPiNHistorical[[#This Row],[Shelter NFI Old]], 1), "")</f>
        <v>-0.1</v>
      </c>
      <c r="BA122" s="36">
        <f>IFERROR(ROUND((tblPiNHistorical[[#This Row],[WASH New]]-tblPiNHistorical[[#This Row],[WASH Old]])/tblPiNHistorical[[#This Row],[WASH Old]], 1), "")</f>
        <v>-1</v>
      </c>
      <c r="BB122"/>
      <c r="BC122"/>
      <c r="BD122"/>
      <c r="BE122"/>
      <c r="BF122"/>
      <c r="BG122"/>
      <c r="BH122"/>
      <c r="BI122"/>
      <c r="BL122"/>
      <c r="BN122"/>
      <c r="BO122"/>
      <c r="BP122"/>
    </row>
    <row r="123" spans="1:68" x14ac:dyDescent="0.25">
      <c r="A123"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IDPsSD14042</v>
      </c>
      <c r="B123" s="127" t="s">
        <v>182</v>
      </c>
      <c r="C123" s="60" t="s">
        <v>131</v>
      </c>
      <c r="D123" s="60" t="s">
        <v>492</v>
      </c>
      <c r="E123" s="60" t="s">
        <v>493</v>
      </c>
      <c r="F123" s="54"/>
      <c r="G123" s="30"/>
      <c r="H123" s="56">
        <v>37050</v>
      </c>
      <c r="I123" s="37" t="s">
        <v>88</v>
      </c>
      <c r="J123" s="34">
        <v>0</v>
      </c>
      <c r="K123" s="116">
        <v>14364.285</v>
      </c>
      <c r="L123" s="114">
        <v>37050</v>
      </c>
      <c r="M123" s="114">
        <v>37050</v>
      </c>
      <c r="N123" s="114">
        <v>3305</v>
      </c>
      <c r="O123" s="114">
        <v>20377.5</v>
      </c>
      <c r="P123" s="114">
        <v>20378</v>
      </c>
      <c r="Q123" s="114">
        <v>14664</v>
      </c>
      <c r="R123" s="114">
        <v>0</v>
      </c>
      <c r="S123" s="114">
        <v>22230</v>
      </c>
      <c r="T123" s="196">
        <v>33794.046000000002</v>
      </c>
      <c r="U123" s="52">
        <f>IFERROR(INDEX(tblPiNAnalysis[[Site Management ]], MATCH(tblPiNHistorical[[#This Row],[ID]], tblPiNAnalysis[ID], 0)), "")</f>
        <v>0</v>
      </c>
      <c r="V123" s="52">
        <f>IFERROR(INDEX(tblPiNAnalysis[Education], MATCH(tblPiNHistorical[[#This Row],[ID]], tblPiNAnalysis[ID], 0)), "")</f>
        <v>0</v>
      </c>
      <c r="W123" s="28">
        <f>IFERROR(INDEX(tblPiNAnalysis[Food Security and Livlihoods], MATCH(tblPiNHistorical[[#This Row],[ID]], tblPiNAnalysis[ID], 0)), "")</f>
        <v>0</v>
      </c>
      <c r="X123" s="28">
        <f>IFERROR(INDEX(tblPiNAnalysis[[Health ]], MATCH(tblPiNHistorical[[#This Row],[ID]], tblPiNAnalysis[ID], 0)), "")</f>
        <v>0</v>
      </c>
      <c r="Y123" s="28">
        <f>IFERROR(INDEX(tblPiNAnalysis[Nutrition], MATCH(tblPiNHistorical[[#This Row],[ID]], tblPiNAnalysis[ID], 0)), "")</f>
        <v>0</v>
      </c>
      <c r="Z123" s="28">
        <f>IFERROR(INDEX(tblPiNAnalysis[Protection], MATCH(tblPiNHistorical[[#This Row],[ID]], tblPiNAnalysis[ID], 0)), "")</f>
        <v>0</v>
      </c>
      <c r="AA123" s="28">
        <f>IFERROR(INDEX(tblPiNAnalysis[CP], MATCH(tblPiNHistorical[[#This Row],[ID]], tblPiNAnalysis[ID], 0)), "")</f>
        <v>0</v>
      </c>
      <c r="AB123" s="83">
        <f>IFERROR(INDEX(tblPiNAnalysis[GBV], MATCH(tblPiNHistorical[[#This Row],[ID]], tblPiNAnalysis[ID], 0)), "")</f>
        <v>0</v>
      </c>
      <c r="AC123" s="28">
        <f>IFERROR(INDEX(tblPiNAnalysis[Mine Action], MATCH(tblPiNHistorical[[#This Row],[ID]], tblPiNAnalysis[ID], 0)), "")</f>
        <v>0</v>
      </c>
      <c r="AD123" s="83">
        <f>IFERROR(INDEX(tblPiNAnalysis[[Shelter NFI ]], MATCH(tblPiNHistorical[[#This Row],[ID]], tblPiNAnalysis[ID], 0)), "")</f>
        <v>5123</v>
      </c>
      <c r="AE123" s="35">
        <f>IFERROR(INDEX(tblPiNAnalysis[WASH], MATCH(tblPiNHistorical[[#This Row],[ID]], tblPiNAnalysis[ID], 0)), "")</f>
        <v>0</v>
      </c>
      <c r="AF123" s="6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123" s="67" t="str">
        <f>IF(OR(tblPiNHistorical[[#This Row],[Education Old]]="", tblPiNHistorical[[#This Row],[Education Old]]=0, tblPiNHistorical[[#This Row],[Education New]]="", tblPiNHistorical[[#This Row],[Education New]]=0), "", tblPiNHistorical[[#This Row],[Education New]]-tblPiNHistorical[[#This Row],[Education Old]])</f>
        <v/>
      </c>
      <c r="AH123" s="67"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123" s="67" t="str">
        <f>IF(OR(tblPiNHistorical[[#This Row],[Health Old]]="", tblPiNHistorical[[#This Row],[Health Old]]=0, tblPiNHistorical[[#This Row],[Health New]]="", tblPiNHistorical[[#This Row],[Health New]]=0), "", tblPiNHistorical[[#This Row],[Health New]]-tblPiNHistorical[[#This Row],[Health Old]])</f>
        <v/>
      </c>
      <c r="AJ123" s="67" t="str">
        <f>IF(OR(tblPiNHistorical[[#This Row],[Nutrition Old]]="", tblPiNHistorical[[#This Row],[Nutrition Old]]=0, tblPiNHistorical[[#This Row],[Nutrition New]]="", tblPiNHistorical[[#This Row],[Nutrition New]]=0), "", tblPiNHistorical[[#This Row],[Nutrition New]]-tblPiNHistorical[[#This Row],[Nutrition Old]])</f>
        <v/>
      </c>
      <c r="AK123" s="67" t="str">
        <f>IF(OR(tblPiNHistorical[[#This Row],[Protection Old]]="", tblPiNHistorical[[#This Row],[Protection Old]]=0, tblPiNHistorical[[#This Row],[Protection New]]="", tblPiNHistorical[[#This Row],[Protection New]]=0), "", tblPiNHistorical[[#This Row],[Protection New]]-tblPiNHistorical[[#This Row],[Protection Old]])</f>
        <v/>
      </c>
      <c r="AL123" s="67" t="str">
        <f>IF(OR(tblPiNHistorical[[#This Row],[CP Old ]]="", tblPiNHistorical[[#This Row],[CP Old ]]=0, tblPiNHistorical[[#This Row],[CP New]]="", tblPiNHistorical[[#This Row],[CP New]]=0), "", tblPiNHistorical[[#This Row],[CP New]]-tblPiNHistorical[[#This Row],[CP Old ]])</f>
        <v/>
      </c>
      <c r="AM123" s="83" t="str">
        <f>IF(OR(tblPiNHistorical[[#This Row],[GBV Old]]="", tblPiNHistorical[[#This Row],[GBV Old]]=0, tblPiNHistorical[[#This Row],[GBV New]]="", tblPiNHistorical[[#This Row],[GBV New]]=0), "", tblPiNHistorical[[#This Row],[GBV New]]-tblPiNHistorical[[#This Row],[GBV Old]])</f>
        <v/>
      </c>
      <c r="AN123" s="83" t="str">
        <f>IF(OR(tblPiNHistorical[[#This Row],[Mine Action Old]]="", tblPiNHistorical[[#This Row],[Mine Action Old]]=0, tblPiNHistorical[[#This Row],[Mine Action New]]="", tblPiNHistorical[[#This Row],[Mine Action New]]=0), "", tblPiNHistorical[[#This Row],[Mine Action New]]-tblPiNHistorical[[#This Row],[Mine Action Old]])</f>
        <v/>
      </c>
      <c r="AO123" s="67">
        <f>IF(OR(tblPiNHistorical[[#This Row],[Shelter NFI Old]]="", tblPiNHistorical[[#This Row],[Shelter NFI Old]]=0, tblPiNHistorical[[#This Row],[Shelter NFI New]]="", tblPiNHistorical[[#This Row],[Shelter NFI New]]=0), "", tblPiNHistorical[[#This Row],[Shelter NFI New]]-tblPiNHistorical[[#This Row],[Shelter NFI Old]])</f>
        <v>-17107</v>
      </c>
      <c r="AP123" s="111" t="str">
        <f>IF(OR(tblPiNHistorical[[#This Row],[WASH Old]]="", tblPiNHistorical[[#This Row],[WASH Old]]=0, tblPiNHistorical[[#This Row],[WASH New]]="", tblPiNHistorical[[#This Row],[WASH New]]=0), "", tblPiNHistorical[[#This Row],[WASH New]]-tblPiNHistorical[[#This Row],[WASH Old]])</f>
        <v/>
      </c>
      <c r="AQ123" s="110" t="str">
        <f>IFERROR(ROUND((tblPiNHistorical[[#This Row],[Site Management - New]] - tblPiNHistorical[[#This Row],[Site Management - Old]])/tblPiNHistorical[[#This Row],[Site Management - Old]], 1), "")</f>
        <v/>
      </c>
      <c r="AR123" s="66">
        <f>IFERROR(ROUND((tblPiNHistorical[[#This Row],[Education New]]-tblPiNHistorical[[#This Row],[Education Old]])/tblPiNHistorical[[#This Row],[Education Old]], 1), "")</f>
        <v>-1</v>
      </c>
      <c r="AS123" s="66">
        <f>IFERROR(ROUND((tblPiNHistorical[[#This Row],[Food Security and Livlihoods New]]-tblPiNHistorical[[#This Row],[Food Security and Livlihoods Old]])/tblPiNHistorical[[#This Row],[Food Security and Livlihoods Old]], 1), "")</f>
        <v>-1</v>
      </c>
      <c r="AT123" s="66">
        <f>IFERROR(ROUND((tblPiNHistorical[[#This Row],[Health New]]-tblPiNHistorical[[#This Row],[Health Old]])/tblPiNHistorical[[#This Row],[Health Old]], 1), "")</f>
        <v>-1</v>
      </c>
      <c r="AU123" s="66">
        <f>IFERROR(ROUND((tblPiNHistorical[[#This Row],[Nutrition New]]-tblPiNHistorical[[#This Row],[Nutrition Old]])/tblPiNHistorical[[#This Row],[Nutrition Old]], 1), "")</f>
        <v>-1</v>
      </c>
      <c r="AV123" s="66">
        <f>IFERROR(ROUND((tblPiNHistorical[[#This Row],[Protection New]]-tblPiNHistorical[[#This Row],[Protection Old]])/tblPiNHistorical[[#This Row],[Protection Old]], 1), "")</f>
        <v>-1</v>
      </c>
      <c r="AW123" s="84">
        <f>IFERROR(ROUND((tblPiNHistorical[[#This Row],[CP New]]-tblPiNHistorical[[#This Row],[CP Old ]])/tblPiNHistorical[[#This Row],[CP Old ]], 1), "")</f>
        <v>-1</v>
      </c>
      <c r="AX123" s="84">
        <f>IFERROR(ROUND((tblPiNHistorical[[#This Row],[GBV New]]-tblPiNHistorical[[#This Row],[GBV Old]])/tblPiNHistorical[[#This Row],[GBV Old]], 1), "")</f>
        <v>-1</v>
      </c>
      <c r="AY123" s="84" t="str">
        <f>IFERROR(ROUND((tblPiNHistorical[[#This Row],[Mine Action New]]-tblPiNHistorical[[#This Row],[Mine Action Old]])/tblPiNHistorical[[#This Row],[Mine Action Old]], 1), "")</f>
        <v/>
      </c>
      <c r="AZ123" s="66">
        <f>IFERROR(ROUND((tblPiNHistorical[[#This Row],[Shelter NFI New]]-tblPiNHistorical[[#This Row],[Shelter NFI Old]])/tblPiNHistorical[[#This Row],[Shelter NFI Old]], 1), "")</f>
        <v>-0.8</v>
      </c>
      <c r="BA123" s="36">
        <f>IFERROR(ROUND((tblPiNHistorical[[#This Row],[WASH New]]-tblPiNHistorical[[#This Row],[WASH Old]])/tblPiNHistorical[[#This Row],[WASH Old]], 1), "")</f>
        <v>-1</v>
      </c>
      <c r="BB123"/>
      <c r="BC123"/>
      <c r="BD123"/>
      <c r="BE123"/>
      <c r="BF123"/>
      <c r="BG123"/>
      <c r="BH123"/>
      <c r="BI123"/>
      <c r="BL123"/>
      <c r="BN123"/>
      <c r="BO123"/>
      <c r="BP123"/>
    </row>
    <row r="124" spans="1:68" x14ac:dyDescent="0.25">
      <c r="A124"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IDPsSD14043</v>
      </c>
      <c r="B124" s="127" t="s">
        <v>182</v>
      </c>
      <c r="C124" s="60" t="s">
        <v>131</v>
      </c>
      <c r="D124" s="60" t="s">
        <v>494</v>
      </c>
      <c r="E124" s="60" t="s">
        <v>495</v>
      </c>
      <c r="F124" s="54"/>
      <c r="G124" s="30"/>
      <c r="H124" s="56">
        <v>49883</v>
      </c>
      <c r="I124" s="37" t="s">
        <v>88</v>
      </c>
      <c r="J124" s="34">
        <v>44</v>
      </c>
      <c r="K124" s="116">
        <v>19339.6391</v>
      </c>
      <c r="L124" s="114">
        <v>49883</v>
      </c>
      <c r="M124" s="114">
        <v>49883</v>
      </c>
      <c r="N124" s="114">
        <v>2843</v>
      </c>
      <c r="O124" s="114">
        <v>27435.65</v>
      </c>
      <c r="P124" s="114">
        <v>27436</v>
      </c>
      <c r="Q124" s="114">
        <v>19744</v>
      </c>
      <c r="R124" s="114">
        <v>0</v>
      </c>
      <c r="S124" s="114">
        <v>19953</v>
      </c>
      <c r="T124" s="196">
        <v>29379.091679999998</v>
      </c>
      <c r="U124" s="52">
        <f>IFERROR(INDEX(tblPiNAnalysis[[Site Management ]], MATCH(tblPiNHistorical[[#This Row],[ID]], tblPiNAnalysis[ID], 0)), "")</f>
        <v>0</v>
      </c>
      <c r="V124" s="52">
        <f>IFERROR(INDEX(tblPiNAnalysis[Education], MATCH(tblPiNHistorical[[#This Row],[ID]], tblPiNAnalysis[ID], 0)), "")</f>
        <v>0</v>
      </c>
      <c r="W124" s="28">
        <f>IFERROR(INDEX(tblPiNAnalysis[Food Security and Livlihoods], MATCH(tblPiNHistorical[[#This Row],[ID]], tblPiNAnalysis[ID], 0)), "")</f>
        <v>0</v>
      </c>
      <c r="X124" s="28">
        <f>IFERROR(INDEX(tblPiNAnalysis[[Health ]], MATCH(tblPiNHistorical[[#This Row],[ID]], tblPiNAnalysis[ID], 0)), "")</f>
        <v>0</v>
      </c>
      <c r="Y124" s="28">
        <f>IFERROR(INDEX(tblPiNAnalysis[Nutrition], MATCH(tblPiNHistorical[[#This Row],[ID]], tblPiNAnalysis[ID], 0)), "")</f>
        <v>0</v>
      </c>
      <c r="Z124" s="28">
        <f>IFERROR(INDEX(tblPiNAnalysis[Protection], MATCH(tblPiNHistorical[[#This Row],[ID]], tblPiNAnalysis[ID], 0)), "")</f>
        <v>0</v>
      </c>
      <c r="AA124" s="28">
        <f>IFERROR(INDEX(tblPiNAnalysis[CP], MATCH(tblPiNHistorical[[#This Row],[ID]], tblPiNAnalysis[ID], 0)), "")</f>
        <v>0</v>
      </c>
      <c r="AB124" s="83">
        <f>IFERROR(INDEX(tblPiNAnalysis[GBV], MATCH(tblPiNHistorical[[#This Row],[ID]], tblPiNAnalysis[ID], 0)), "")</f>
        <v>0</v>
      </c>
      <c r="AC124" s="28">
        <f>IFERROR(INDEX(tblPiNAnalysis[Mine Action], MATCH(tblPiNHistorical[[#This Row],[ID]], tblPiNAnalysis[ID], 0)), "")</f>
        <v>0</v>
      </c>
      <c r="AD124" s="83">
        <f>IFERROR(INDEX(tblPiNAnalysis[[Shelter NFI ]], MATCH(tblPiNHistorical[[#This Row],[ID]], tblPiNAnalysis[ID], 0)), "")</f>
        <v>6932</v>
      </c>
      <c r="AE124" s="35">
        <f>IFERROR(INDEX(tblPiNAnalysis[WASH], MATCH(tblPiNHistorical[[#This Row],[ID]], tblPiNAnalysis[ID], 0)), "")</f>
        <v>0</v>
      </c>
      <c r="AF124" s="6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124" s="67" t="str">
        <f>IF(OR(tblPiNHistorical[[#This Row],[Education Old]]="", tblPiNHistorical[[#This Row],[Education Old]]=0, tblPiNHistorical[[#This Row],[Education New]]="", tblPiNHistorical[[#This Row],[Education New]]=0), "", tblPiNHistorical[[#This Row],[Education New]]-tblPiNHistorical[[#This Row],[Education Old]])</f>
        <v/>
      </c>
      <c r="AH124" s="67"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124" s="67" t="str">
        <f>IF(OR(tblPiNHistorical[[#This Row],[Health Old]]="", tblPiNHistorical[[#This Row],[Health Old]]=0, tblPiNHistorical[[#This Row],[Health New]]="", tblPiNHistorical[[#This Row],[Health New]]=0), "", tblPiNHistorical[[#This Row],[Health New]]-tblPiNHistorical[[#This Row],[Health Old]])</f>
        <v/>
      </c>
      <c r="AJ124" s="67" t="str">
        <f>IF(OR(tblPiNHistorical[[#This Row],[Nutrition Old]]="", tblPiNHistorical[[#This Row],[Nutrition Old]]=0, tblPiNHistorical[[#This Row],[Nutrition New]]="", tblPiNHistorical[[#This Row],[Nutrition New]]=0), "", tblPiNHistorical[[#This Row],[Nutrition New]]-tblPiNHistorical[[#This Row],[Nutrition Old]])</f>
        <v/>
      </c>
      <c r="AK124" s="67" t="str">
        <f>IF(OR(tblPiNHistorical[[#This Row],[Protection Old]]="", tblPiNHistorical[[#This Row],[Protection Old]]=0, tblPiNHistorical[[#This Row],[Protection New]]="", tblPiNHistorical[[#This Row],[Protection New]]=0), "", tblPiNHistorical[[#This Row],[Protection New]]-tblPiNHistorical[[#This Row],[Protection Old]])</f>
        <v/>
      </c>
      <c r="AL124" s="67" t="str">
        <f>IF(OR(tblPiNHistorical[[#This Row],[CP Old ]]="", tblPiNHistorical[[#This Row],[CP Old ]]=0, tblPiNHistorical[[#This Row],[CP New]]="", tblPiNHistorical[[#This Row],[CP New]]=0), "", tblPiNHistorical[[#This Row],[CP New]]-tblPiNHistorical[[#This Row],[CP Old ]])</f>
        <v/>
      </c>
      <c r="AM124" s="83" t="str">
        <f>IF(OR(tblPiNHistorical[[#This Row],[GBV Old]]="", tblPiNHistorical[[#This Row],[GBV Old]]=0, tblPiNHistorical[[#This Row],[GBV New]]="", tblPiNHistorical[[#This Row],[GBV New]]=0), "", tblPiNHistorical[[#This Row],[GBV New]]-tblPiNHistorical[[#This Row],[GBV Old]])</f>
        <v/>
      </c>
      <c r="AN124" s="83" t="str">
        <f>IF(OR(tblPiNHistorical[[#This Row],[Mine Action Old]]="", tblPiNHistorical[[#This Row],[Mine Action Old]]=0, tblPiNHistorical[[#This Row],[Mine Action New]]="", tblPiNHistorical[[#This Row],[Mine Action New]]=0), "", tblPiNHistorical[[#This Row],[Mine Action New]]-tblPiNHistorical[[#This Row],[Mine Action Old]])</f>
        <v/>
      </c>
      <c r="AO124" s="67">
        <f>IF(OR(tblPiNHistorical[[#This Row],[Shelter NFI Old]]="", tblPiNHistorical[[#This Row],[Shelter NFI Old]]=0, tblPiNHistorical[[#This Row],[Shelter NFI New]]="", tblPiNHistorical[[#This Row],[Shelter NFI New]]=0), "", tblPiNHistorical[[#This Row],[Shelter NFI New]]-tblPiNHistorical[[#This Row],[Shelter NFI Old]])</f>
        <v>-13021</v>
      </c>
      <c r="AP124" s="111" t="str">
        <f>IF(OR(tblPiNHistorical[[#This Row],[WASH Old]]="", tblPiNHistorical[[#This Row],[WASH Old]]=0, tblPiNHistorical[[#This Row],[WASH New]]="", tblPiNHistorical[[#This Row],[WASH New]]=0), "", tblPiNHistorical[[#This Row],[WASH New]]-tblPiNHistorical[[#This Row],[WASH Old]])</f>
        <v/>
      </c>
      <c r="AQ124" s="110">
        <f>IFERROR(ROUND((tblPiNHistorical[[#This Row],[Site Management - New]] - tblPiNHistorical[[#This Row],[Site Management - Old]])/tblPiNHistorical[[#This Row],[Site Management - Old]], 1), "")</f>
        <v>-1</v>
      </c>
      <c r="AR124" s="66">
        <f>IFERROR(ROUND((tblPiNHistorical[[#This Row],[Education New]]-tblPiNHistorical[[#This Row],[Education Old]])/tblPiNHistorical[[#This Row],[Education Old]], 1), "")</f>
        <v>-1</v>
      </c>
      <c r="AS124" s="66">
        <f>IFERROR(ROUND((tblPiNHistorical[[#This Row],[Food Security and Livlihoods New]]-tblPiNHistorical[[#This Row],[Food Security and Livlihoods Old]])/tblPiNHistorical[[#This Row],[Food Security and Livlihoods Old]], 1), "")</f>
        <v>-1</v>
      </c>
      <c r="AT124" s="66">
        <f>IFERROR(ROUND((tblPiNHistorical[[#This Row],[Health New]]-tblPiNHistorical[[#This Row],[Health Old]])/tblPiNHistorical[[#This Row],[Health Old]], 1), "")</f>
        <v>-1</v>
      </c>
      <c r="AU124" s="66">
        <f>IFERROR(ROUND((tblPiNHistorical[[#This Row],[Nutrition New]]-tblPiNHistorical[[#This Row],[Nutrition Old]])/tblPiNHistorical[[#This Row],[Nutrition Old]], 1), "")</f>
        <v>-1</v>
      </c>
      <c r="AV124" s="66">
        <f>IFERROR(ROUND((tblPiNHistorical[[#This Row],[Protection New]]-tblPiNHistorical[[#This Row],[Protection Old]])/tblPiNHistorical[[#This Row],[Protection Old]], 1), "")</f>
        <v>-1</v>
      </c>
      <c r="AW124" s="84">
        <f>IFERROR(ROUND((tblPiNHistorical[[#This Row],[CP New]]-tblPiNHistorical[[#This Row],[CP Old ]])/tblPiNHistorical[[#This Row],[CP Old ]], 1), "")</f>
        <v>-1</v>
      </c>
      <c r="AX124" s="84">
        <f>IFERROR(ROUND((tblPiNHistorical[[#This Row],[GBV New]]-tblPiNHistorical[[#This Row],[GBV Old]])/tblPiNHistorical[[#This Row],[GBV Old]], 1), "")</f>
        <v>-1</v>
      </c>
      <c r="AY124" s="84" t="str">
        <f>IFERROR(ROUND((tblPiNHistorical[[#This Row],[Mine Action New]]-tblPiNHistorical[[#This Row],[Mine Action Old]])/tblPiNHistorical[[#This Row],[Mine Action Old]], 1), "")</f>
        <v/>
      </c>
      <c r="AZ124" s="66">
        <f>IFERROR(ROUND((tblPiNHistorical[[#This Row],[Shelter NFI New]]-tblPiNHistorical[[#This Row],[Shelter NFI Old]])/tblPiNHistorical[[#This Row],[Shelter NFI Old]], 1), "")</f>
        <v>-0.7</v>
      </c>
      <c r="BA124" s="36">
        <f>IFERROR(ROUND((tblPiNHistorical[[#This Row],[WASH New]]-tblPiNHistorical[[#This Row],[WASH Old]])/tblPiNHistorical[[#This Row],[WASH Old]], 1), "")</f>
        <v>-1</v>
      </c>
      <c r="BB124"/>
      <c r="BC124"/>
      <c r="BD124"/>
      <c r="BE124"/>
      <c r="BF124"/>
      <c r="BG124"/>
      <c r="BH124"/>
      <c r="BI124"/>
      <c r="BL124"/>
      <c r="BN124"/>
      <c r="BO124"/>
      <c r="BP124"/>
    </row>
    <row r="125" spans="1:68" x14ac:dyDescent="0.25">
      <c r="A125"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IDPsSD03141</v>
      </c>
      <c r="B125" s="127" t="s">
        <v>185</v>
      </c>
      <c r="C125" s="60" t="s">
        <v>120</v>
      </c>
      <c r="D125" s="60" t="s">
        <v>233</v>
      </c>
      <c r="E125" s="60" t="s">
        <v>232</v>
      </c>
      <c r="F125" s="54"/>
      <c r="G125" s="30"/>
      <c r="H125" s="56">
        <v>34870</v>
      </c>
      <c r="I125" s="37" t="s">
        <v>88</v>
      </c>
      <c r="J125" s="34">
        <v>0</v>
      </c>
      <c r="K125" s="116">
        <v>13519.099</v>
      </c>
      <c r="L125" s="114">
        <v>34870</v>
      </c>
      <c r="M125" s="114">
        <v>34870</v>
      </c>
      <c r="N125" s="114">
        <v>2664</v>
      </c>
      <c r="O125" s="114">
        <v>34870</v>
      </c>
      <c r="P125" s="114">
        <v>19179</v>
      </c>
      <c r="Q125" s="114">
        <v>13800</v>
      </c>
      <c r="R125" s="114">
        <v>0</v>
      </c>
      <c r="S125" s="114">
        <v>20922</v>
      </c>
      <c r="T125" s="196">
        <v>36362.436000000002</v>
      </c>
      <c r="U125" s="52">
        <f>IFERROR(INDEX(tblPiNAnalysis[[Site Management ]], MATCH(tblPiNHistorical[[#This Row],[ID]], tblPiNAnalysis[ID], 0)), "")</f>
        <v>0</v>
      </c>
      <c r="V125" s="52">
        <f>IFERROR(INDEX(tblPiNAnalysis[Education], MATCH(tblPiNHistorical[[#This Row],[ID]], tblPiNAnalysis[ID], 0)), "")</f>
        <v>0</v>
      </c>
      <c r="W125" s="28">
        <f>IFERROR(INDEX(tblPiNAnalysis[Food Security and Livlihoods], MATCH(tblPiNHistorical[[#This Row],[ID]], tblPiNAnalysis[ID], 0)), "")</f>
        <v>0</v>
      </c>
      <c r="X125" s="28">
        <f>IFERROR(INDEX(tblPiNAnalysis[[Health ]], MATCH(tblPiNHistorical[[#This Row],[ID]], tblPiNAnalysis[ID], 0)), "")</f>
        <v>0</v>
      </c>
      <c r="Y125" s="28">
        <f>IFERROR(INDEX(tblPiNAnalysis[Nutrition], MATCH(tblPiNHistorical[[#This Row],[ID]], tblPiNAnalysis[ID], 0)), "")</f>
        <v>0</v>
      </c>
      <c r="Z125" s="28">
        <f>IFERROR(INDEX(tblPiNAnalysis[Protection], MATCH(tblPiNHistorical[[#This Row],[ID]], tblPiNAnalysis[ID], 0)), "")</f>
        <v>0</v>
      </c>
      <c r="AA125" s="28">
        <f>IFERROR(INDEX(tblPiNAnalysis[CP], MATCH(tblPiNHistorical[[#This Row],[ID]], tblPiNAnalysis[ID], 0)), "")</f>
        <v>0</v>
      </c>
      <c r="AB125" s="83">
        <f>IFERROR(INDEX(tblPiNAnalysis[GBV], MATCH(tblPiNHistorical[[#This Row],[ID]], tblPiNAnalysis[ID], 0)), "")</f>
        <v>0</v>
      </c>
      <c r="AC125" s="28">
        <f>IFERROR(INDEX(tblPiNAnalysis[Mine Action], MATCH(tblPiNHistorical[[#This Row],[ID]], tblPiNAnalysis[ID], 0)), "")</f>
        <v>0</v>
      </c>
      <c r="AD125" s="83">
        <f>IFERROR(INDEX(tblPiNAnalysis[[Shelter NFI ]], MATCH(tblPiNHistorical[[#This Row],[ID]], tblPiNAnalysis[ID], 0)), "")</f>
        <v>9559</v>
      </c>
      <c r="AE125" s="35">
        <f>IFERROR(INDEX(tblPiNAnalysis[WASH], MATCH(tblPiNHistorical[[#This Row],[ID]], tblPiNAnalysis[ID], 0)), "")</f>
        <v>0</v>
      </c>
      <c r="AF125" s="6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125" s="67" t="str">
        <f>IF(OR(tblPiNHistorical[[#This Row],[Education Old]]="", tblPiNHistorical[[#This Row],[Education Old]]=0, tblPiNHistorical[[#This Row],[Education New]]="", tblPiNHistorical[[#This Row],[Education New]]=0), "", tblPiNHistorical[[#This Row],[Education New]]-tblPiNHistorical[[#This Row],[Education Old]])</f>
        <v/>
      </c>
      <c r="AH125" s="67"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125" s="67" t="str">
        <f>IF(OR(tblPiNHistorical[[#This Row],[Health Old]]="", tblPiNHistorical[[#This Row],[Health Old]]=0, tblPiNHistorical[[#This Row],[Health New]]="", tblPiNHistorical[[#This Row],[Health New]]=0), "", tblPiNHistorical[[#This Row],[Health New]]-tblPiNHistorical[[#This Row],[Health Old]])</f>
        <v/>
      </c>
      <c r="AJ125" s="67" t="str">
        <f>IF(OR(tblPiNHistorical[[#This Row],[Nutrition Old]]="", tblPiNHistorical[[#This Row],[Nutrition Old]]=0, tblPiNHistorical[[#This Row],[Nutrition New]]="", tblPiNHistorical[[#This Row],[Nutrition New]]=0), "", tblPiNHistorical[[#This Row],[Nutrition New]]-tblPiNHistorical[[#This Row],[Nutrition Old]])</f>
        <v/>
      </c>
      <c r="AK125" s="67" t="str">
        <f>IF(OR(tblPiNHistorical[[#This Row],[Protection Old]]="", tblPiNHistorical[[#This Row],[Protection Old]]=0, tblPiNHistorical[[#This Row],[Protection New]]="", tblPiNHistorical[[#This Row],[Protection New]]=0), "", tblPiNHistorical[[#This Row],[Protection New]]-tblPiNHistorical[[#This Row],[Protection Old]])</f>
        <v/>
      </c>
      <c r="AL125" s="67" t="str">
        <f>IF(OR(tblPiNHistorical[[#This Row],[CP Old ]]="", tblPiNHistorical[[#This Row],[CP Old ]]=0, tblPiNHistorical[[#This Row],[CP New]]="", tblPiNHistorical[[#This Row],[CP New]]=0), "", tblPiNHistorical[[#This Row],[CP New]]-tblPiNHistorical[[#This Row],[CP Old ]])</f>
        <v/>
      </c>
      <c r="AM125" s="83" t="str">
        <f>IF(OR(tblPiNHistorical[[#This Row],[GBV Old]]="", tblPiNHistorical[[#This Row],[GBV Old]]=0, tblPiNHistorical[[#This Row],[GBV New]]="", tblPiNHistorical[[#This Row],[GBV New]]=0), "", tblPiNHistorical[[#This Row],[GBV New]]-tblPiNHistorical[[#This Row],[GBV Old]])</f>
        <v/>
      </c>
      <c r="AN125" s="83" t="str">
        <f>IF(OR(tblPiNHistorical[[#This Row],[Mine Action Old]]="", tblPiNHistorical[[#This Row],[Mine Action Old]]=0, tblPiNHistorical[[#This Row],[Mine Action New]]="", tblPiNHistorical[[#This Row],[Mine Action New]]=0), "", tblPiNHistorical[[#This Row],[Mine Action New]]-tblPiNHistorical[[#This Row],[Mine Action Old]])</f>
        <v/>
      </c>
      <c r="AO125" s="67">
        <f>IF(OR(tblPiNHistorical[[#This Row],[Shelter NFI Old]]="", tblPiNHistorical[[#This Row],[Shelter NFI Old]]=0, tblPiNHistorical[[#This Row],[Shelter NFI New]]="", tblPiNHistorical[[#This Row],[Shelter NFI New]]=0), "", tblPiNHistorical[[#This Row],[Shelter NFI New]]-tblPiNHistorical[[#This Row],[Shelter NFI Old]])</f>
        <v>-11363</v>
      </c>
      <c r="AP125" s="111" t="str">
        <f>IF(OR(tblPiNHistorical[[#This Row],[WASH Old]]="", tblPiNHistorical[[#This Row],[WASH Old]]=0, tblPiNHistorical[[#This Row],[WASH New]]="", tblPiNHistorical[[#This Row],[WASH New]]=0), "", tblPiNHistorical[[#This Row],[WASH New]]-tblPiNHistorical[[#This Row],[WASH Old]])</f>
        <v/>
      </c>
      <c r="AQ125" s="110" t="str">
        <f>IFERROR(ROUND((tblPiNHistorical[[#This Row],[Site Management - New]] - tblPiNHistorical[[#This Row],[Site Management - Old]])/tblPiNHistorical[[#This Row],[Site Management - Old]], 1), "")</f>
        <v/>
      </c>
      <c r="AR125" s="66">
        <f>IFERROR(ROUND((tblPiNHistorical[[#This Row],[Education New]]-tblPiNHistorical[[#This Row],[Education Old]])/tblPiNHistorical[[#This Row],[Education Old]], 1), "")</f>
        <v>-1</v>
      </c>
      <c r="AS125" s="66">
        <f>IFERROR(ROUND((tblPiNHistorical[[#This Row],[Food Security and Livlihoods New]]-tblPiNHistorical[[#This Row],[Food Security and Livlihoods Old]])/tblPiNHistorical[[#This Row],[Food Security and Livlihoods Old]], 1), "")</f>
        <v>-1</v>
      </c>
      <c r="AT125" s="66">
        <f>IFERROR(ROUND((tblPiNHistorical[[#This Row],[Health New]]-tblPiNHistorical[[#This Row],[Health Old]])/tblPiNHistorical[[#This Row],[Health Old]], 1), "")</f>
        <v>-1</v>
      </c>
      <c r="AU125" s="66">
        <f>IFERROR(ROUND((tblPiNHistorical[[#This Row],[Nutrition New]]-tblPiNHistorical[[#This Row],[Nutrition Old]])/tblPiNHistorical[[#This Row],[Nutrition Old]], 1), "")</f>
        <v>-1</v>
      </c>
      <c r="AV125" s="66">
        <f>IFERROR(ROUND((tblPiNHistorical[[#This Row],[Protection New]]-tblPiNHistorical[[#This Row],[Protection Old]])/tblPiNHistorical[[#This Row],[Protection Old]], 1), "")</f>
        <v>-1</v>
      </c>
      <c r="AW125" s="84">
        <f>IFERROR(ROUND((tblPiNHistorical[[#This Row],[CP New]]-tblPiNHistorical[[#This Row],[CP Old ]])/tblPiNHistorical[[#This Row],[CP Old ]], 1), "")</f>
        <v>-1</v>
      </c>
      <c r="AX125" s="84">
        <f>IFERROR(ROUND((tblPiNHistorical[[#This Row],[GBV New]]-tblPiNHistorical[[#This Row],[GBV Old]])/tblPiNHistorical[[#This Row],[GBV Old]], 1), "")</f>
        <v>-1</v>
      </c>
      <c r="AY125" s="84" t="str">
        <f>IFERROR(ROUND((tblPiNHistorical[[#This Row],[Mine Action New]]-tblPiNHistorical[[#This Row],[Mine Action Old]])/tblPiNHistorical[[#This Row],[Mine Action Old]], 1), "")</f>
        <v/>
      </c>
      <c r="AZ125" s="66">
        <f>IFERROR(ROUND((tblPiNHistorical[[#This Row],[Shelter NFI New]]-tblPiNHistorical[[#This Row],[Shelter NFI Old]])/tblPiNHistorical[[#This Row],[Shelter NFI Old]], 1), "")</f>
        <v>-0.5</v>
      </c>
      <c r="BA125" s="36">
        <f>IFERROR(ROUND((tblPiNHistorical[[#This Row],[WASH New]]-tblPiNHistorical[[#This Row],[WASH Old]])/tblPiNHistorical[[#This Row],[WASH Old]], 1), "")</f>
        <v>-1</v>
      </c>
      <c r="BB125"/>
      <c r="BC125"/>
      <c r="BD125"/>
      <c r="BE125"/>
      <c r="BF125"/>
      <c r="BG125"/>
      <c r="BH125"/>
      <c r="BI125"/>
      <c r="BL125"/>
      <c r="BN125"/>
      <c r="BO125"/>
      <c r="BP125"/>
    </row>
    <row r="126" spans="1:68" x14ac:dyDescent="0.25">
      <c r="A126"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IDPsSD03150</v>
      </c>
      <c r="B126" s="127" t="s">
        <v>185</v>
      </c>
      <c r="C126" s="60" t="s">
        <v>120</v>
      </c>
      <c r="D126" s="60" t="s">
        <v>247</v>
      </c>
      <c r="E126" s="60" t="s">
        <v>246</v>
      </c>
      <c r="F126" s="54"/>
      <c r="G126" s="30"/>
      <c r="H126" s="56">
        <v>8405</v>
      </c>
      <c r="I126" s="37" t="s">
        <v>88</v>
      </c>
      <c r="J126" s="34">
        <v>1205</v>
      </c>
      <c r="K126" s="116">
        <v>3258.6185</v>
      </c>
      <c r="L126" s="114">
        <v>8405</v>
      </c>
      <c r="M126" s="114">
        <v>8405</v>
      </c>
      <c r="N126" s="114">
        <v>544</v>
      </c>
      <c r="O126" s="114">
        <v>4622.75</v>
      </c>
      <c r="P126" s="114">
        <v>4623</v>
      </c>
      <c r="Q126" s="114">
        <v>3326</v>
      </c>
      <c r="R126" s="114">
        <v>3362</v>
      </c>
      <c r="S126" s="114">
        <v>0</v>
      </c>
      <c r="T126" s="196">
        <v>0</v>
      </c>
      <c r="U126" s="52">
        <f>IFERROR(INDEX(tblPiNAnalysis[[Site Management ]], MATCH(tblPiNHistorical[[#This Row],[ID]], tblPiNAnalysis[ID], 0)), "")</f>
        <v>0</v>
      </c>
      <c r="V126" s="52">
        <f>IFERROR(INDEX(tblPiNAnalysis[Education], MATCH(tblPiNHistorical[[#This Row],[ID]], tblPiNAnalysis[ID], 0)), "")</f>
        <v>0</v>
      </c>
      <c r="W126" s="28">
        <f>IFERROR(INDEX(tblPiNAnalysis[Food Security and Livlihoods], MATCH(tblPiNHistorical[[#This Row],[ID]], tblPiNAnalysis[ID], 0)), "")</f>
        <v>0</v>
      </c>
      <c r="X126" s="28">
        <f>IFERROR(INDEX(tblPiNAnalysis[[Health ]], MATCH(tblPiNHistorical[[#This Row],[ID]], tblPiNAnalysis[ID], 0)), "")</f>
        <v>0</v>
      </c>
      <c r="Y126" s="28">
        <f>IFERROR(INDEX(tblPiNAnalysis[Nutrition], MATCH(tblPiNHistorical[[#This Row],[ID]], tblPiNAnalysis[ID], 0)), "")</f>
        <v>0</v>
      </c>
      <c r="Z126" s="28">
        <f>IFERROR(INDEX(tblPiNAnalysis[Protection], MATCH(tblPiNHistorical[[#This Row],[ID]], tblPiNAnalysis[ID], 0)), "")</f>
        <v>0</v>
      </c>
      <c r="AA126" s="28">
        <f>IFERROR(INDEX(tblPiNAnalysis[CP], MATCH(tblPiNHistorical[[#This Row],[ID]], tblPiNAnalysis[ID], 0)), "")</f>
        <v>0</v>
      </c>
      <c r="AB126" s="83">
        <f>IFERROR(INDEX(tblPiNAnalysis[GBV], MATCH(tblPiNHistorical[[#This Row],[ID]], tblPiNAnalysis[ID], 0)), "")</f>
        <v>0</v>
      </c>
      <c r="AC126" s="28">
        <f>IFERROR(INDEX(tblPiNAnalysis[Mine Action], MATCH(tblPiNHistorical[[#This Row],[ID]], tblPiNAnalysis[ID], 0)), "")</f>
        <v>0</v>
      </c>
      <c r="AD126" s="83">
        <f>IFERROR(INDEX(tblPiNAnalysis[[Shelter NFI ]], MATCH(tblPiNHistorical[[#This Row],[ID]], tblPiNAnalysis[ID], 0)), "")</f>
        <v>2119</v>
      </c>
      <c r="AE126" s="35">
        <f>IFERROR(INDEX(tblPiNAnalysis[WASH], MATCH(tblPiNHistorical[[#This Row],[ID]], tblPiNAnalysis[ID], 0)), "")</f>
        <v>0</v>
      </c>
      <c r="AF126" s="6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126" s="67" t="str">
        <f>IF(OR(tblPiNHistorical[[#This Row],[Education Old]]="", tblPiNHistorical[[#This Row],[Education Old]]=0, tblPiNHistorical[[#This Row],[Education New]]="", tblPiNHistorical[[#This Row],[Education New]]=0), "", tblPiNHistorical[[#This Row],[Education New]]-tblPiNHistorical[[#This Row],[Education Old]])</f>
        <v/>
      </c>
      <c r="AH126" s="67"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126" s="67" t="str">
        <f>IF(OR(tblPiNHistorical[[#This Row],[Health Old]]="", tblPiNHistorical[[#This Row],[Health Old]]=0, tblPiNHistorical[[#This Row],[Health New]]="", tblPiNHistorical[[#This Row],[Health New]]=0), "", tblPiNHistorical[[#This Row],[Health New]]-tblPiNHistorical[[#This Row],[Health Old]])</f>
        <v/>
      </c>
      <c r="AJ126" s="67" t="str">
        <f>IF(OR(tblPiNHistorical[[#This Row],[Nutrition Old]]="", tblPiNHistorical[[#This Row],[Nutrition Old]]=0, tblPiNHistorical[[#This Row],[Nutrition New]]="", tblPiNHistorical[[#This Row],[Nutrition New]]=0), "", tblPiNHistorical[[#This Row],[Nutrition New]]-tblPiNHistorical[[#This Row],[Nutrition Old]])</f>
        <v/>
      </c>
      <c r="AK126" s="67" t="str">
        <f>IF(OR(tblPiNHistorical[[#This Row],[Protection Old]]="", tblPiNHistorical[[#This Row],[Protection Old]]=0, tblPiNHistorical[[#This Row],[Protection New]]="", tblPiNHistorical[[#This Row],[Protection New]]=0), "", tblPiNHistorical[[#This Row],[Protection New]]-tblPiNHistorical[[#This Row],[Protection Old]])</f>
        <v/>
      </c>
      <c r="AL126" s="67" t="str">
        <f>IF(OR(tblPiNHistorical[[#This Row],[CP Old ]]="", tblPiNHistorical[[#This Row],[CP Old ]]=0, tblPiNHistorical[[#This Row],[CP New]]="", tblPiNHistorical[[#This Row],[CP New]]=0), "", tblPiNHistorical[[#This Row],[CP New]]-tblPiNHistorical[[#This Row],[CP Old ]])</f>
        <v/>
      </c>
      <c r="AM126" s="83" t="str">
        <f>IF(OR(tblPiNHistorical[[#This Row],[GBV Old]]="", tblPiNHistorical[[#This Row],[GBV Old]]=0, tblPiNHistorical[[#This Row],[GBV New]]="", tblPiNHistorical[[#This Row],[GBV New]]=0), "", tblPiNHistorical[[#This Row],[GBV New]]-tblPiNHistorical[[#This Row],[GBV Old]])</f>
        <v/>
      </c>
      <c r="AN126" s="83" t="str">
        <f>IF(OR(tblPiNHistorical[[#This Row],[Mine Action Old]]="", tblPiNHistorical[[#This Row],[Mine Action Old]]=0, tblPiNHistorical[[#This Row],[Mine Action New]]="", tblPiNHistorical[[#This Row],[Mine Action New]]=0), "", tblPiNHistorical[[#This Row],[Mine Action New]]-tblPiNHistorical[[#This Row],[Mine Action Old]])</f>
        <v/>
      </c>
      <c r="AO126" s="67" t="str">
        <f>IF(OR(tblPiNHistorical[[#This Row],[Shelter NFI Old]]="", tblPiNHistorical[[#This Row],[Shelter NFI Old]]=0, tblPiNHistorical[[#This Row],[Shelter NFI New]]="", tblPiNHistorical[[#This Row],[Shelter NFI New]]=0), "", tblPiNHistorical[[#This Row],[Shelter NFI New]]-tblPiNHistorical[[#This Row],[Shelter NFI Old]])</f>
        <v/>
      </c>
      <c r="AP126" s="111" t="str">
        <f>IF(OR(tblPiNHistorical[[#This Row],[WASH Old]]="", tblPiNHistorical[[#This Row],[WASH Old]]=0, tblPiNHistorical[[#This Row],[WASH New]]="", tblPiNHistorical[[#This Row],[WASH New]]=0), "", tblPiNHistorical[[#This Row],[WASH New]]-tblPiNHistorical[[#This Row],[WASH Old]])</f>
        <v/>
      </c>
      <c r="AQ126" s="110">
        <f>IFERROR(ROUND((tblPiNHistorical[[#This Row],[Site Management - New]] - tblPiNHistorical[[#This Row],[Site Management - Old]])/tblPiNHistorical[[#This Row],[Site Management - Old]], 1), "")</f>
        <v>-1</v>
      </c>
      <c r="AR126" s="66">
        <f>IFERROR(ROUND((tblPiNHistorical[[#This Row],[Education New]]-tblPiNHistorical[[#This Row],[Education Old]])/tblPiNHistorical[[#This Row],[Education Old]], 1), "")</f>
        <v>-1</v>
      </c>
      <c r="AS126" s="66">
        <f>IFERROR(ROUND((tblPiNHistorical[[#This Row],[Food Security and Livlihoods New]]-tblPiNHistorical[[#This Row],[Food Security and Livlihoods Old]])/tblPiNHistorical[[#This Row],[Food Security and Livlihoods Old]], 1), "")</f>
        <v>-1</v>
      </c>
      <c r="AT126" s="66">
        <f>IFERROR(ROUND((tblPiNHistorical[[#This Row],[Health New]]-tblPiNHistorical[[#This Row],[Health Old]])/tblPiNHistorical[[#This Row],[Health Old]], 1), "")</f>
        <v>-1</v>
      </c>
      <c r="AU126" s="66">
        <f>IFERROR(ROUND((tblPiNHistorical[[#This Row],[Nutrition New]]-tblPiNHistorical[[#This Row],[Nutrition Old]])/tblPiNHistorical[[#This Row],[Nutrition Old]], 1), "")</f>
        <v>-1</v>
      </c>
      <c r="AV126" s="66">
        <f>IFERROR(ROUND((tblPiNHistorical[[#This Row],[Protection New]]-tblPiNHistorical[[#This Row],[Protection Old]])/tblPiNHistorical[[#This Row],[Protection Old]], 1), "")</f>
        <v>-1</v>
      </c>
      <c r="AW126" s="84">
        <f>IFERROR(ROUND((tblPiNHistorical[[#This Row],[CP New]]-tblPiNHistorical[[#This Row],[CP Old ]])/tblPiNHistorical[[#This Row],[CP Old ]], 1), "")</f>
        <v>-1</v>
      </c>
      <c r="AX126" s="84">
        <f>IFERROR(ROUND((tblPiNHistorical[[#This Row],[GBV New]]-tblPiNHistorical[[#This Row],[GBV Old]])/tblPiNHistorical[[#This Row],[GBV Old]], 1), "")</f>
        <v>-1</v>
      </c>
      <c r="AY126" s="84">
        <f>IFERROR(ROUND((tblPiNHistorical[[#This Row],[Mine Action New]]-tblPiNHistorical[[#This Row],[Mine Action Old]])/tblPiNHistorical[[#This Row],[Mine Action Old]], 1), "")</f>
        <v>-1</v>
      </c>
      <c r="AZ126" s="66" t="str">
        <f>IFERROR(ROUND((tblPiNHistorical[[#This Row],[Shelter NFI New]]-tblPiNHistorical[[#This Row],[Shelter NFI Old]])/tblPiNHistorical[[#This Row],[Shelter NFI Old]], 1), "")</f>
        <v/>
      </c>
      <c r="BA126" s="36" t="str">
        <f>IFERROR(ROUND((tblPiNHistorical[[#This Row],[WASH New]]-tblPiNHistorical[[#This Row],[WASH Old]])/tblPiNHistorical[[#This Row],[WASH Old]], 1), "")</f>
        <v/>
      </c>
      <c r="BB126"/>
      <c r="BC126"/>
      <c r="BD126"/>
      <c r="BE126"/>
      <c r="BF126"/>
      <c r="BG126"/>
      <c r="BH126"/>
      <c r="BI126"/>
      <c r="BL126"/>
      <c r="BN126"/>
      <c r="BO126"/>
      <c r="BP126"/>
    </row>
    <row r="127" spans="1:68" x14ac:dyDescent="0.25">
      <c r="A127"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IDPsSD03166</v>
      </c>
      <c r="B127" s="127" t="s">
        <v>185</v>
      </c>
      <c r="C127" s="60" t="s">
        <v>120</v>
      </c>
      <c r="D127" s="60" t="s">
        <v>269</v>
      </c>
      <c r="E127" s="60" t="s">
        <v>268</v>
      </c>
      <c r="F127" s="54"/>
      <c r="G127" s="30"/>
      <c r="H127" s="56">
        <v>11130</v>
      </c>
      <c r="I127" s="37" t="s">
        <v>88</v>
      </c>
      <c r="J127" s="34">
        <v>0</v>
      </c>
      <c r="K127" s="116">
        <v>4315.1009999999997</v>
      </c>
      <c r="L127" s="114">
        <v>11130</v>
      </c>
      <c r="M127" s="114">
        <v>11130</v>
      </c>
      <c r="N127" s="114">
        <v>952</v>
      </c>
      <c r="O127" s="114">
        <v>11130</v>
      </c>
      <c r="P127" s="114">
        <v>6122</v>
      </c>
      <c r="Q127" s="114">
        <v>4404</v>
      </c>
      <c r="R127" s="114">
        <v>4452</v>
      </c>
      <c r="S127" s="114">
        <v>0</v>
      </c>
      <c r="T127" s="196">
        <v>10011.657600000002</v>
      </c>
      <c r="U127" s="52">
        <f>IFERROR(INDEX(tblPiNAnalysis[[Site Management ]], MATCH(tblPiNHistorical[[#This Row],[ID]], tblPiNAnalysis[ID], 0)), "")</f>
        <v>0</v>
      </c>
      <c r="V127" s="52">
        <f>IFERROR(INDEX(tblPiNAnalysis[Education], MATCH(tblPiNHistorical[[#This Row],[ID]], tblPiNAnalysis[ID], 0)), "")</f>
        <v>0</v>
      </c>
      <c r="W127" s="28">
        <f>IFERROR(INDEX(tblPiNAnalysis[Food Security and Livlihoods], MATCH(tblPiNHistorical[[#This Row],[ID]], tblPiNAnalysis[ID], 0)), "")</f>
        <v>0</v>
      </c>
      <c r="X127" s="28">
        <f>IFERROR(INDEX(tblPiNAnalysis[[Health ]], MATCH(tblPiNHistorical[[#This Row],[ID]], tblPiNAnalysis[ID], 0)), "")</f>
        <v>0</v>
      </c>
      <c r="Y127" s="28">
        <f>IFERROR(INDEX(tblPiNAnalysis[Nutrition], MATCH(tblPiNHistorical[[#This Row],[ID]], tblPiNAnalysis[ID], 0)), "")</f>
        <v>0</v>
      </c>
      <c r="Z127" s="28">
        <f>IFERROR(INDEX(tblPiNAnalysis[Protection], MATCH(tblPiNHistorical[[#This Row],[ID]], tblPiNAnalysis[ID], 0)), "")</f>
        <v>0</v>
      </c>
      <c r="AA127" s="28">
        <f>IFERROR(INDEX(tblPiNAnalysis[CP], MATCH(tblPiNHistorical[[#This Row],[ID]], tblPiNAnalysis[ID], 0)), "")</f>
        <v>0</v>
      </c>
      <c r="AB127" s="83">
        <f>IFERROR(INDEX(tblPiNAnalysis[GBV], MATCH(tblPiNHistorical[[#This Row],[ID]], tblPiNAnalysis[ID], 0)), "")</f>
        <v>0</v>
      </c>
      <c r="AC127" s="28">
        <f>IFERROR(INDEX(tblPiNAnalysis[Mine Action], MATCH(tblPiNHistorical[[#This Row],[ID]], tblPiNAnalysis[ID], 0)), "")</f>
        <v>0</v>
      </c>
      <c r="AD127" s="83">
        <f>IFERROR(INDEX(tblPiNAnalysis[[Shelter NFI ]], MATCH(tblPiNHistorical[[#This Row],[ID]], tblPiNAnalysis[ID], 0)), "")</f>
        <v>9865</v>
      </c>
      <c r="AE127" s="35">
        <f>IFERROR(INDEX(tblPiNAnalysis[WASH], MATCH(tblPiNHistorical[[#This Row],[ID]], tblPiNAnalysis[ID], 0)), "")</f>
        <v>0</v>
      </c>
      <c r="AF127" s="6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127" s="67" t="str">
        <f>IF(OR(tblPiNHistorical[[#This Row],[Education Old]]="", tblPiNHistorical[[#This Row],[Education Old]]=0, tblPiNHistorical[[#This Row],[Education New]]="", tblPiNHistorical[[#This Row],[Education New]]=0), "", tblPiNHistorical[[#This Row],[Education New]]-tblPiNHistorical[[#This Row],[Education Old]])</f>
        <v/>
      </c>
      <c r="AH127" s="67"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127" s="67" t="str">
        <f>IF(OR(tblPiNHistorical[[#This Row],[Health Old]]="", tblPiNHistorical[[#This Row],[Health Old]]=0, tblPiNHistorical[[#This Row],[Health New]]="", tblPiNHistorical[[#This Row],[Health New]]=0), "", tblPiNHistorical[[#This Row],[Health New]]-tblPiNHistorical[[#This Row],[Health Old]])</f>
        <v/>
      </c>
      <c r="AJ127" s="67" t="str">
        <f>IF(OR(tblPiNHistorical[[#This Row],[Nutrition Old]]="", tblPiNHistorical[[#This Row],[Nutrition Old]]=0, tblPiNHistorical[[#This Row],[Nutrition New]]="", tblPiNHistorical[[#This Row],[Nutrition New]]=0), "", tblPiNHistorical[[#This Row],[Nutrition New]]-tblPiNHistorical[[#This Row],[Nutrition Old]])</f>
        <v/>
      </c>
      <c r="AK127" s="67" t="str">
        <f>IF(OR(tblPiNHistorical[[#This Row],[Protection Old]]="", tblPiNHistorical[[#This Row],[Protection Old]]=0, tblPiNHistorical[[#This Row],[Protection New]]="", tblPiNHistorical[[#This Row],[Protection New]]=0), "", tblPiNHistorical[[#This Row],[Protection New]]-tblPiNHistorical[[#This Row],[Protection Old]])</f>
        <v/>
      </c>
      <c r="AL127" s="67" t="str">
        <f>IF(OR(tblPiNHistorical[[#This Row],[CP Old ]]="", tblPiNHistorical[[#This Row],[CP Old ]]=0, tblPiNHistorical[[#This Row],[CP New]]="", tblPiNHistorical[[#This Row],[CP New]]=0), "", tblPiNHistorical[[#This Row],[CP New]]-tblPiNHistorical[[#This Row],[CP Old ]])</f>
        <v/>
      </c>
      <c r="AM127" s="83" t="str">
        <f>IF(OR(tblPiNHistorical[[#This Row],[GBV Old]]="", tblPiNHistorical[[#This Row],[GBV Old]]=0, tblPiNHistorical[[#This Row],[GBV New]]="", tblPiNHistorical[[#This Row],[GBV New]]=0), "", tblPiNHistorical[[#This Row],[GBV New]]-tblPiNHistorical[[#This Row],[GBV Old]])</f>
        <v/>
      </c>
      <c r="AN127" s="83" t="str">
        <f>IF(OR(tblPiNHistorical[[#This Row],[Mine Action Old]]="", tblPiNHistorical[[#This Row],[Mine Action Old]]=0, tblPiNHistorical[[#This Row],[Mine Action New]]="", tblPiNHistorical[[#This Row],[Mine Action New]]=0), "", tblPiNHistorical[[#This Row],[Mine Action New]]-tblPiNHistorical[[#This Row],[Mine Action Old]])</f>
        <v/>
      </c>
      <c r="AO127" s="67" t="str">
        <f>IF(OR(tblPiNHistorical[[#This Row],[Shelter NFI Old]]="", tblPiNHistorical[[#This Row],[Shelter NFI Old]]=0, tblPiNHistorical[[#This Row],[Shelter NFI New]]="", tblPiNHistorical[[#This Row],[Shelter NFI New]]=0), "", tblPiNHistorical[[#This Row],[Shelter NFI New]]-tblPiNHistorical[[#This Row],[Shelter NFI Old]])</f>
        <v/>
      </c>
      <c r="AP127" s="111" t="str">
        <f>IF(OR(tblPiNHistorical[[#This Row],[WASH Old]]="", tblPiNHistorical[[#This Row],[WASH Old]]=0, tblPiNHistorical[[#This Row],[WASH New]]="", tblPiNHistorical[[#This Row],[WASH New]]=0), "", tblPiNHistorical[[#This Row],[WASH New]]-tblPiNHistorical[[#This Row],[WASH Old]])</f>
        <v/>
      </c>
      <c r="AQ127" s="110" t="str">
        <f>IFERROR(ROUND((tblPiNHistorical[[#This Row],[Site Management - New]] - tblPiNHistorical[[#This Row],[Site Management - Old]])/tblPiNHistorical[[#This Row],[Site Management - Old]], 1), "")</f>
        <v/>
      </c>
      <c r="AR127" s="66">
        <f>IFERROR(ROUND((tblPiNHistorical[[#This Row],[Education New]]-tblPiNHistorical[[#This Row],[Education Old]])/tblPiNHistorical[[#This Row],[Education Old]], 1), "")</f>
        <v>-1</v>
      </c>
      <c r="AS127" s="66">
        <f>IFERROR(ROUND((tblPiNHistorical[[#This Row],[Food Security and Livlihoods New]]-tblPiNHistorical[[#This Row],[Food Security and Livlihoods Old]])/tblPiNHistorical[[#This Row],[Food Security and Livlihoods Old]], 1), "")</f>
        <v>-1</v>
      </c>
      <c r="AT127" s="66">
        <f>IFERROR(ROUND((tblPiNHistorical[[#This Row],[Health New]]-tblPiNHistorical[[#This Row],[Health Old]])/tblPiNHistorical[[#This Row],[Health Old]], 1), "")</f>
        <v>-1</v>
      </c>
      <c r="AU127" s="66">
        <f>IFERROR(ROUND((tblPiNHistorical[[#This Row],[Nutrition New]]-tblPiNHistorical[[#This Row],[Nutrition Old]])/tblPiNHistorical[[#This Row],[Nutrition Old]], 1), "")</f>
        <v>-1</v>
      </c>
      <c r="AV127" s="66">
        <f>IFERROR(ROUND((tblPiNHistorical[[#This Row],[Protection New]]-tblPiNHistorical[[#This Row],[Protection Old]])/tblPiNHistorical[[#This Row],[Protection Old]], 1), "")</f>
        <v>-1</v>
      </c>
      <c r="AW127" s="84">
        <f>IFERROR(ROUND((tblPiNHistorical[[#This Row],[CP New]]-tblPiNHistorical[[#This Row],[CP Old ]])/tblPiNHistorical[[#This Row],[CP Old ]], 1), "")</f>
        <v>-1</v>
      </c>
      <c r="AX127" s="84">
        <f>IFERROR(ROUND((tblPiNHistorical[[#This Row],[GBV New]]-tblPiNHistorical[[#This Row],[GBV Old]])/tblPiNHistorical[[#This Row],[GBV Old]], 1), "")</f>
        <v>-1</v>
      </c>
      <c r="AY127" s="84">
        <f>IFERROR(ROUND((tblPiNHistorical[[#This Row],[Mine Action New]]-tblPiNHistorical[[#This Row],[Mine Action Old]])/tblPiNHistorical[[#This Row],[Mine Action Old]], 1), "")</f>
        <v>-1</v>
      </c>
      <c r="AZ127" s="66" t="str">
        <f>IFERROR(ROUND((tblPiNHistorical[[#This Row],[Shelter NFI New]]-tblPiNHistorical[[#This Row],[Shelter NFI Old]])/tblPiNHistorical[[#This Row],[Shelter NFI Old]], 1), "")</f>
        <v/>
      </c>
      <c r="BA127" s="36">
        <f>IFERROR(ROUND((tblPiNHistorical[[#This Row],[WASH New]]-tblPiNHistorical[[#This Row],[WASH Old]])/tblPiNHistorical[[#This Row],[WASH Old]], 1), "")</f>
        <v>-1</v>
      </c>
      <c r="BB127"/>
      <c r="BC127"/>
      <c r="BD127"/>
      <c r="BE127"/>
      <c r="BF127"/>
      <c r="BG127"/>
      <c r="BH127"/>
      <c r="BI127"/>
      <c r="BL127"/>
      <c r="BN127"/>
      <c r="BO127"/>
      <c r="BP127"/>
    </row>
    <row r="128" spans="1:68" x14ac:dyDescent="0.25">
      <c r="A128"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IDPsSD03156</v>
      </c>
      <c r="B128" s="127" t="s">
        <v>185</v>
      </c>
      <c r="C128" s="60" t="s">
        <v>120</v>
      </c>
      <c r="D128" s="60" t="s">
        <v>255</v>
      </c>
      <c r="E128" s="60" t="s">
        <v>254</v>
      </c>
      <c r="F128" s="54"/>
      <c r="G128" s="30"/>
      <c r="H128" s="56">
        <v>4950</v>
      </c>
      <c r="I128" s="37" t="s">
        <v>88</v>
      </c>
      <c r="J128" s="34">
        <v>500</v>
      </c>
      <c r="K128" s="116">
        <v>1919.115</v>
      </c>
      <c r="L128" s="114">
        <v>4950</v>
      </c>
      <c r="M128" s="114">
        <v>4950</v>
      </c>
      <c r="N128" s="114">
        <v>592</v>
      </c>
      <c r="O128" s="114">
        <v>2722.5</v>
      </c>
      <c r="P128" s="114">
        <v>2723</v>
      </c>
      <c r="Q128" s="114">
        <v>1959</v>
      </c>
      <c r="R128" s="114">
        <v>0</v>
      </c>
      <c r="S128" s="114">
        <v>0</v>
      </c>
      <c r="T128" s="196">
        <v>0</v>
      </c>
      <c r="U128" s="52">
        <f>IFERROR(INDEX(tblPiNAnalysis[[Site Management ]], MATCH(tblPiNHistorical[[#This Row],[ID]], tblPiNAnalysis[ID], 0)), "")</f>
        <v>0</v>
      </c>
      <c r="V128" s="52">
        <f>IFERROR(INDEX(tblPiNAnalysis[Education], MATCH(tblPiNHistorical[[#This Row],[ID]], tblPiNAnalysis[ID], 0)), "")</f>
        <v>0</v>
      </c>
      <c r="W128" s="28">
        <f>IFERROR(INDEX(tblPiNAnalysis[Food Security and Livlihoods], MATCH(tblPiNHistorical[[#This Row],[ID]], tblPiNAnalysis[ID], 0)), "")</f>
        <v>0</v>
      </c>
      <c r="X128" s="28">
        <f>IFERROR(INDEX(tblPiNAnalysis[[Health ]], MATCH(tblPiNHistorical[[#This Row],[ID]], tblPiNAnalysis[ID], 0)), "")</f>
        <v>0</v>
      </c>
      <c r="Y128" s="28">
        <f>IFERROR(INDEX(tblPiNAnalysis[Nutrition], MATCH(tblPiNHistorical[[#This Row],[ID]], tblPiNAnalysis[ID], 0)), "")</f>
        <v>0</v>
      </c>
      <c r="Z128" s="28">
        <f>IFERROR(INDEX(tblPiNAnalysis[Protection], MATCH(tblPiNHistorical[[#This Row],[ID]], tblPiNAnalysis[ID], 0)), "")</f>
        <v>0</v>
      </c>
      <c r="AA128" s="28">
        <f>IFERROR(INDEX(tblPiNAnalysis[CP], MATCH(tblPiNHistorical[[#This Row],[ID]], tblPiNAnalysis[ID], 0)), "")</f>
        <v>0</v>
      </c>
      <c r="AB128" s="83">
        <f>IFERROR(INDEX(tblPiNAnalysis[GBV], MATCH(tblPiNHistorical[[#This Row],[ID]], tblPiNAnalysis[ID], 0)), "")</f>
        <v>0</v>
      </c>
      <c r="AC128" s="28">
        <f>IFERROR(INDEX(tblPiNAnalysis[Mine Action], MATCH(tblPiNHistorical[[#This Row],[ID]], tblPiNAnalysis[ID], 0)), "")</f>
        <v>0</v>
      </c>
      <c r="AD128" s="83">
        <f>IFERROR(INDEX(tblPiNAnalysis[[Shelter NFI ]], MATCH(tblPiNHistorical[[#This Row],[ID]], tblPiNAnalysis[ID], 0)), "")</f>
        <v>34647</v>
      </c>
      <c r="AE128" s="35">
        <f>IFERROR(INDEX(tblPiNAnalysis[WASH], MATCH(tblPiNHistorical[[#This Row],[ID]], tblPiNAnalysis[ID], 0)), "")</f>
        <v>0</v>
      </c>
      <c r="AF128" s="6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128" s="67" t="str">
        <f>IF(OR(tblPiNHistorical[[#This Row],[Education Old]]="", tblPiNHistorical[[#This Row],[Education Old]]=0, tblPiNHistorical[[#This Row],[Education New]]="", tblPiNHistorical[[#This Row],[Education New]]=0), "", tblPiNHistorical[[#This Row],[Education New]]-tblPiNHistorical[[#This Row],[Education Old]])</f>
        <v/>
      </c>
      <c r="AH128" s="67"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128" s="67" t="str">
        <f>IF(OR(tblPiNHistorical[[#This Row],[Health Old]]="", tblPiNHistorical[[#This Row],[Health Old]]=0, tblPiNHistorical[[#This Row],[Health New]]="", tblPiNHistorical[[#This Row],[Health New]]=0), "", tblPiNHistorical[[#This Row],[Health New]]-tblPiNHistorical[[#This Row],[Health Old]])</f>
        <v/>
      </c>
      <c r="AJ128" s="67" t="str">
        <f>IF(OR(tblPiNHistorical[[#This Row],[Nutrition Old]]="", tblPiNHistorical[[#This Row],[Nutrition Old]]=0, tblPiNHistorical[[#This Row],[Nutrition New]]="", tblPiNHistorical[[#This Row],[Nutrition New]]=0), "", tblPiNHistorical[[#This Row],[Nutrition New]]-tblPiNHistorical[[#This Row],[Nutrition Old]])</f>
        <v/>
      </c>
      <c r="AK128" s="67" t="str">
        <f>IF(OR(tblPiNHistorical[[#This Row],[Protection Old]]="", tblPiNHistorical[[#This Row],[Protection Old]]=0, tblPiNHistorical[[#This Row],[Protection New]]="", tblPiNHistorical[[#This Row],[Protection New]]=0), "", tblPiNHistorical[[#This Row],[Protection New]]-tblPiNHistorical[[#This Row],[Protection Old]])</f>
        <v/>
      </c>
      <c r="AL128" s="67" t="str">
        <f>IF(OR(tblPiNHistorical[[#This Row],[CP Old ]]="", tblPiNHistorical[[#This Row],[CP Old ]]=0, tblPiNHistorical[[#This Row],[CP New]]="", tblPiNHistorical[[#This Row],[CP New]]=0), "", tblPiNHistorical[[#This Row],[CP New]]-tblPiNHistorical[[#This Row],[CP Old ]])</f>
        <v/>
      </c>
      <c r="AM128" s="83" t="str">
        <f>IF(OR(tblPiNHistorical[[#This Row],[GBV Old]]="", tblPiNHistorical[[#This Row],[GBV Old]]=0, tblPiNHistorical[[#This Row],[GBV New]]="", tblPiNHistorical[[#This Row],[GBV New]]=0), "", tblPiNHistorical[[#This Row],[GBV New]]-tblPiNHistorical[[#This Row],[GBV Old]])</f>
        <v/>
      </c>
      <c r="AN128" s="83" t="str">
        <f>IF(OR(tblPiNHistorical[[#This Row],[Mine Action Old]]="", tblPiNHistorical[[#This Row],[Mine Action Old]]=0, tblPiNHistorical[[#This Row],[Mine Action New]]="", tblPiNHistorical[[#This Row],[Mine Action New]]=0), "", tblPiNHistorical[[#This Row],[Mine Action New]]-tblPiNHistorical[[#This Row],[Mine Action Old]])</f>
        <v/>
      </c>
      <c r="AO128" s="67" t="str">
        <f>IF(OR(tblPiNHistorical[[#This Row],[Shelter NFI Old]]="", tblPiNHistorical[[#This Row],[Shelter NFI Old]]=0, tblPiNHistorical[[#This Row],[Shelter NFI New]]="", tblPiNHistorical[[#This Row],[Shelter NFI New]]=0), "", tblPiNHistorical[[#This Row],[Shelter NFI New]]-tblPiNHistorical[[#This Row],[Shelter NFI Old]])</f>
        <v/>
      </c>
      <c r="AP128" s="111" t="str">
        <f>IF(OR(tblPiNHistorical[[#This Row],[WASH Old]]="", tblPiNHistorical[[#This Row],[WASH Old]]=0, tblPiNHistorical[[#This Row],[WASH New]]="", tblPiNHistorical[[#This Row],[WASH New]]=0), "", tblPiNHistorical[[#This Row],[WASH New]]-tblPiNHistorical[[#This Row],[WASH Old]])</f>
        <v/>
      </c>
      <c r="AQ128" s="110">
        <f>IFERROR(ROUND((tblPiNHistorical[[#This Row],[Site Management - New]] - tblPiNHistorical[[#This Row],[Site Management - Old]])/tblPiNHistorical[[#This Row],[Site Management - Old]], 1), "")</f>
        <v>-1</v>
      </c>
      <c r="AR128" s="66">
        <f>IFERROR(ROUND((tblPiNHistorical[[#This Row],[Education New]]-tblPiNHistorical[[#This Row],[Education Old]])/tblPiNHistorical[[#This Row],[Education Old]], 1), "")</f>
        <v>-1</v>
      </c>
      <c r="AS128" s="66">
        <f>IFERROR(ROUND((tblPiNHistorical[[#This Row],[Food Security and Livlihoods New]]-tblPiNHistorical[[#This Row],[Food Security and Livlihoods Old]])/tblPiNHistorical[[#This Row],[Food Security and Livlihoods Old]], 1), "")</f>
        <v>-1</v>
      </c>
      <c r="AT128" s="66">
        <f>IFERROR(ROUND((tblPiNHistorical[[#This Row],[Health New]]-tblPiNHistorical[[#This Row],[Health Old]])/tblPiNHistorical[[#This Row],[Health Old]], 1), "")</f>
        <v>-1</v>
      </c>
      <c r="AU128" s="66">
        <f>IFERROR(ROUND((tblPiNHistorical[[#This Row],[Nutrition New]]-tblPiNHistorical[[#This Row],[Nutrition Old]])/tblPiNHistorical[[#This Row],[Nutrition Old]], 1), "")</f>
        <v>-1</v>
      </c>
      <c r="AV128" s="66">
        <f>IFERROR(ROUND((tblPiNHistorical[[#This Row],[Protection New]]-tblPiNHistorical[[#This Row],[Protection Old]])/tblPiNHistorical[[#This Row],[Protection Old]], 1), "")</f>
        <v>-1</v>
      </c>
      <c r="AW128" s="84">
        <f>IFERROR(ROUND((tblPiNHistorical[[#This Row],[CP New]]-tblPiNHistorical[[#This Row],[CP Old ]])/tblPiNHistorical[[#This Row],[CP Old ]], 1), "")</f>
        <v>-1</v>
      </c>
      <c r="AX128" s="84">
        <f>IFERROR(ROUND((tblPiNHistorical[[#This Row],[GBV New]]-tblPiNHistorical[[#This Row],[GBV Old]])/tblPiNHistorical[[#This Row],[GBV Old]], 1), "")</f>
        <v>-1</v>
      </c>
      <c r="AY128" s="84" t="str">
        <f>IFERROR(ROUND((tblPiNHistorical[[#This Row],[Mine Action New]]-tblPiNHistorical[[#This Row],[Mine Action Old]])/tblPiNHistorical[[#This Row],[Mine Action Old]], 1), "")</f>
        <v/>
      </c>
      <c r="AZ128" s="66" t="str">
        <f>IFERROR(ROUND((tblPiNHistorical[[#This Row],[Shelter NFI New]]-tblPiNHistorical[[#This Row],[Shelter NFI Old]])/tblPiNHistorical[[#This Row],[Shelter NFI Old]], 1), "")</f>
        <v/>
      </c>
      <c r="BA128" s="36" t="str">
        <f>IFERROR(ROUND((tblPiNHistorical[[#This Row],[WASH New]]-tblPiNHistorical[[#This Row],[WASH Old]])/tblPiNHistorical[[#This Row],[WASH Old]], 1), "")</f>
        <v/>
      </c>
      <c r="BB128"/>
      <c r="BC128"/>
      <c r="BD128"/>
      <c r="BE128"/>
      <c r="BF128"/>
      <c r="BG128"/>
      <c r="BH128"/>
      <c r="BI128"/>
      <c r="BL128"/>
      <c r="BN128"/>
      <c r="BO128"/>
      <c r="BP128"/>
    </row>
    <row r="129" spans="1:68" x14ac:dyDescent="0.25">
      <c r="A129"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IDPsSD03162</v>
      </c>
      <c r="B129" s="127" t="s">
        <v>185</v>
      </c>
      <c r="C129" s="60" t="s">
        <v>120</v>
      </c>
      <c r="D129" s="60" t="s">
        <v>265</v>
      </c>
      <c r="E129" s="60" t="s">
        <v>264</v>
      </c>
      <c r="F129" s="54"/>
      <c r="G129" s="30"/>
      <c r="H129" s="56">
        <v>432975.7</v>
      </c>
      <c r="I129" s="37" t="s">
        <v>88</v>
      </c>
      <c r="J129" s="34">
        <v>419705</v>
      </c>
      <c r="K129" s="116">
        <v>167864.67889000001</v>
      </c>
      <c r="L129" s="114">
        <v>432975.7</v>
      </c>
      <c r="M129" s="114">
        <v>432975.7</v>
      </c>
      <c r="N129" s="114">
        <v>39170</v>
      </c>
      <c r="O129" s="114">
        <v>432976</v>
      </c>
      <c r="P129" s="114">
        <v>238137</v>
      </c>
      <c r="Q129" s="114">
        <v>171373</v>
      </c>
      <c r="R129" s="114">
        <v>303082.99</v>
      </c>
      <c r="S129" s="114">
        <v>346381</v>
      </c>
      <c r="T129" s="196">
        <v>265812.44174400001</v>
      </c>
      <c r="U129" s="52">
        <f>IFERROR(INDEX(tblPiNAnalysis[[Site Management ]], MATCH(tblPiNHistorical[[#This Row],[ID]], tblPiNAnalysis[ID], 0)), "")</f>
        <v>0</v>
      </c>
      <c r="V129" s="52">
        <f>IFERROR(INDEX(tblPiNAnalysis[Education], MATCH(tblPiNHistorical[[#This Row],[ID]], tblPiNAnalysis[ID], 0)), "")</f>
        <v>0</v>
      </c>
      <c r="W129" s="28">
        <f>IFERROR(INDEX(tblPiNAnalysis[Food Security and Livlihoods], MATCH(tblPiNHistorical[[#This Row],[ID]], tblPiNAnalysis[ID], 0)), "")</f>
        <v>0</v>
      </c>
      <c r="X129" s="28">
        <f>IFERROR(INDEX(tblPiNAnalysis[[Health ]], MATCH(tblPiNHistorical[[#This Row],[ID]], tblPiNAnalysis[ID], 0)), "")</f>
        <v>0</v>
      </c>
      <c r="Y129" s="28">
        <f>IFERROR(INDEX(tblPiNAnalysis[Nutrition], MATCH(tblPiNHistorical[[#This Row],[ID]], tblPiNAnalysis[ID], 0)), "")</f>
        <v>0</v>
      </c>
      <c r="Z129" s="28">
        <f>IFERROR(INDEX(tblPiNAnalysis[Protection], MATCH(tblPiNHistorical[[#This Row],[ID]], tblPiNAnalysis[ID], 0)), "")</f>
        <v>0</v>
      </c>
      <c r="AA129" s="28">
        <f>IFERROR(INDEX(tblPiNAnalysis[CP], MATCH(tblPiNHistorical[[#This Row],[ID]], tblPiNAnalysis[ID], 0)), "")</f>
        <v>0</v>
      </c>
      <c r="AB129" s="83">
        <f>IFERROR(INDEX(tblPiNAnalysis[GBV], MATCH(tblPiNHistorical[[#This Row],[ID]], tblPiNAnalysis[ID], 0)), "")</f>
        <v>0</v>
      </c>
      <c r="AC129" s="28">
        <f>IFERROR(INDEX(tblPiNAnalysis[Mine Action], MATCH(tblPiNHistorical[[#This Row],[ID]], tblPiNAnalysis[ID], 0)), "")</f>
        <v>0</v>
      </c>
      <c r="AD129" s="83">
        <f>IFERROR(INDEX(tblPiNAnalysis[[Shelter NFI ]], MATCH(tblPiNHistorical[[#This Row],[ID]], tblPiNAnalysis[ID], 0)), "")</f>
        <v>319611</v>
      </c>
      <c r="AE129" s="35">
        <f>IFERROR(INDEX(tblPiNAnalysis[WASH], MATCH(tblPiNHistorical[[#This Row],[ID]], tblPiNAnalysis[ID], 0)), "")</f>
        <v>0</v>
      </c>
      <c r="AF129" s="6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129" s="67" t="str">
        <f>IF(OR(tblPiNHistorical[[#This Row],[Education Old]]="", tblPiNHistorical[[#This Row],[Education Old]]=0, tblPiNHistorical[[#This Row],[Education New]]="", tblPiNHistorical[[#This Row],[Education New]]=0), "", tblPiNHistorical[[#This Row],[Education New]]-tblPiNHistorical[[#This Row],[Education Old]])</f>
        <v/>
      </c>
      <c r="AH129" s="67"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129" s="67" t="str">
        <f>IF(OR(tblPiNHistorical[[#This Row],[Health Old]]="", tblPiNHistorical[[#This Row],[Health Old]]=0, tblPiNHistorical[[#This Row],[Health New]]="", tblPiNHistorical[[#This Row],[Health New]]=0), "", tblPiNHistorical[[#This Row],[Health New]]-tblPiNHistorical[[#This Row],[Health Old]])</f>
        <v/>
      </c>
      <c r="AJ129" s="67" t="str">
        <f>IF(OR(tblPiNHistorical[[#This Row],[Nutrition Old]]="", tblPiNHistorical[[#This Row],[Nutrition Old]]=0, tblPiNHistorical[[#This Row],[Nutrition New]]="", tblPiNHistorical[[#This Row],[Nutrition New]]=0), "", tblPiNHistorical[[#This Row],[Nutrition New]]-tblPiNHistorical[[#This Row],[Nutrition Old]])</f>
        <v/>
      </c>
      <c r="AK129" s="67" t="str">
        <f>IF(OR(tblPiNHistorical[[#This Row],[Protection Old]]="", tblPiNHistorical[[#This Row],[Protection Old]]=0, tblPiNHistorical[[#This Row],[Protection New]]="", tblPiNHistorical[[#This Row],[Protection New]]=0), "", tblPiNHistorical[[#This Row],[Protection New]]-tblPiNHistorical[[#This Row],[Protection Old]])</f>
        <v/>
      </c>
      <c r="AL129" s="67" t="str">
        <f>IF(OR(tblPiNHistorical[[#This Row],[CP Old ]]="", tblPiNHistorical[[#This Row],[CP Old ]]=0, tblPiNHistorical[[#This Row],[CP New]]="", tblPiNHistorical[[#This Row],[CP New]]=0), "", tblPiNHistorical[[#This Row],[CP New]]-tblPiNHistorical[[#This Row],[CP Old ]])</f>
        <v/>
      </c>
      <c r="AM129" s="83" t="str">
        <f>IF(OR(tblPiNHistorical[[#This Row],[GBV Old]]="", tblPiNHistorical[[#This Row],[GBV Old]]=0, tblPiNHistorical[[#This Row],[GBV New]]="", tblPiNHistorical[[#This Row],[GBV New]]=0), "", tblPiNHistorical[[#This Row],[GBV New]]-tblPiNHistorical[[#This Row],[GBV Old]])</f>
        <v/>
      </c>
      <c r="AN129" s="83" t="str">
        <f>IF(OR(tblPiNHistorical[[#This Row],[Mine Action Old]]="", tblPiNHistorical[[#This Row],[Mine Action Old]]=0, tblPiNHistorical[[#This Row],[Mine Action New]]="", tblPiNHistorical[[#This Row],[Mine Action New]]=0), "", tblPiNHistorical[[#This Row],[Mine Action New]]-tblPiNHistorical[[#This Row],[Mine Action Old]])</f>
        <v/>
      </c>
      <c r="AO129" s="67">
        <f>IF(OR(tblPiNHistorical[[#This Row],[Shelter NFI Old]]="", tblPiNHistorical[[#This Row],[Shelter NFI Old]]=0, tblPiNHistorical[[#This Row],[Shelter NFI New]]="", tblPiNHistorical[[#This Row],[Shelter NFI New]]=0), "", tblPiNHistorical[[#This Row],[Shelter NFI New]]-tblPiNHistorical[[#This Row],[Shelter NFI Old]])</f>
        <v>-26770</v>
      </c>
      <c r="AP129" s="111" t="str">
        <f>IF(OR(tblPiNHistorical[[#This Row],[WASH Old]]="", tblPiNHistorical[[#This Row],[WASH Old]]=0, tblPiNHistorical[[#This Row],[WASH New]]="", tblPiNHistorical[[#This Row],[WASH New]]=0), "", tblPiNHistorical[[#This Row],[WASH New]]-tblPiNHistorical[[#This Row],[WASH Old]])</f>
        <v/>
      </c>
      <c r="AQ129" s="110">
        <f>IFERROR(ROUND((tblPiNHistorical[[#This Row],[Site Management - New]] - tblPiNHistorical[[#This Row],[Site Management - Old]])/tblPiNHistorical[[#This Row],[Site Management - Old]], 1), "")</f>
        <v>-1</v>
      </c>
      <c r="AR129" s="66">
        <f>IFERROR(ROUND((tblPiNHistorical[[#This Row],[Education New]]-tblPiNHistorical[[#This Row],[Education Old]])/tblPiNHistorical[[#This Row],[Education Old]], 1), "")</f>
        <v>-1</v>
      </c>
      <c r="AS129" s="66">
        <f>IFERROR(ROUND((tblPiNHistorical[[#This Row],[Food Security and Livlihoods New]]-tblPiNHistorical[[#This Row],[Food Security and Livlihoods Old]])/tblPiNHistorical[[#This Row],[Food Security and Livlihoods Old]], 1), "")</f>
        <v>-1</v>
      </c>
      <c r="AT129" s="66">
        <f>IFERROR(ROUND((tblPiNHistorical[[#This Row],[Health New]]-tblPiNHistorical[[#This Row],[Health Old]])/tblPiNHistorical[[#This Row],[Health Old]], 1), "")</f>
        <v>-1</v>
      </c>
      <c r="AU129" s="66">
        <f>IFERROR(ROUND((tblPiNHistorical[[#This Row],[Nutrition New]]-tblPiNHistorical[[#This Row],[Nutrition Old]])/tblPiNHistorical[[#This Row],[Nutrition Old]], 1), "")</f>
        <v>-1</v>
      </c>
      <c r="AV129" s="66">
        <f>IFERROR(ROUND((tblPiNHistorical[[#This Row],[Protection New]]-tblPiNHistorical[[#This Row],[Protection Old]])/tblPiNHistorical[[#This Row],[Protection Old]], 1), "")</f>
        <v>-1</v>
      </c>
      <c r="AW129" s="84">
        <f>IFERROR(ROUND((tblPiNHistorical[[#This Row],[CP New]]-tblPiNHistorical[[#This Row],[CP Old ]])/tblPiNHistorical[[#This Row],[CP Old ]], 1), "")</f>
        <v>-1</v>
      </c>
      <c r="AX129" s="84">
        <f>IFERROR(ROUND((tblPiNHistorical[[#This Row],[GBV New]]-tblPiNHistorical[[#This Row],[GBV Old]])/tblPiNHistorical[[#This Row],[GBV Old]], 1), "")</f>
        <v>-1</v>
      </c>
      <c r="AY129" s="84">
        <f>IFERROR(ROUND((tblPiNHistorical[[#This Row],[Mine Action New]]-tblPiNHistorical[[#This Row],[Mine Action Old]])/tblPiNHistorical[[#This Row],[Mine Action Old]], 1), "")</f>
        <v>-1</v>
      </c>
      <c r="AZ129" s="66">
        <f>IFERROR(ROUND((tblPiNHistorical[[#This Row],[Shelter NFI New]]-tblPiNHistorical[[#This Row],[Shelter NFI Old]])/tblPiNHistorical[[#This Row],[Shelter NFI Old]], 1), "")</f>
        <v>-0.1</v>
      </c>
      <c r="BA129" s="36">
        <f>IFERROR(ROUND((tblPiNHistorical[[#This Row],[WASH New]]-tblPiNHistorical[[#This Row],[WASH Old]])/tblPiNHistorical[[#This Row],[WASH Old]], 1), "")</f>
        <v>-1</v>
      </c>
      <c r="BB129"/>
      <c r="BC129"/>
      <c r="BD129"/>
      <c r="BE129"/>
      <c r="BF129"/>
      <c r="BG129"/>
      <c r="BH129"/>
      <c r="BI129"/>
      <c r="BL129"/>
      <c r="BN129"/>
      <c r="BO129"/>
      <c r="BP129"/>
    </row>
    <row r="130" spans="1:68" x14ac:dyDescent="0.25">
      <c r="A130"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IDPsSD03161</v>
      </c>
      <c r="B130" s="127" t="s">
        <v>185</v>
      </c>
      <c r="C130" s="60" t="s">
        <v>120</v>
      </c>
      <c r="D130" s="60" t="s">
        <v>263</v>
      </c>
      <c r="E130" s="60" t="s">
        <v>262</v>
      </c>
      <c r="F130" s="54"/>
      <c r="G130" s="30"/>
      <c r="H130" s="56">
        <v>42971</v>
      </c>
      <c r="I130" s="37" t="s">
        <v>88</v>
      </c>
      <c r="J130" s="34">
        <v>1401</v>
      </c>
      <c r="K130" s="116">
        <v>16659.8567</v>
      </c>
      <c r="L130" s="114">
        <v>42971</v>
      </c>
      <c r="M130" s="114">
        <v>42971</v>
      </c>
      <c r="N130" s="114">
        <v>4232</v>
      </c>
      <c r="O130" s="114">
        <v>42971</v>
      </c>
      <c r="P130" s="114">
        <v>23634</v>
      </c>
      <c r="Q130" s="114">
        <v>17008</v>
      </c>
      <c r="R130" s="114">
        <v>12891.3</v>
      </c>
      <c r="S130" s="114">
        <v>17188</v>
      </c>
      <c r="T130" s="196">
        <v>41030.429639999995</v>
      </c>
      <c r="U130" s="52">
        <f>IFERROR(INDEX(tblPiNAnalysis[[Site Management ]], MATCH(tblPiNHistorical[[#This Row],[ID]], tblPiNAnalysis[ID], 0)), "")</f>
        <v>0</v>
      </c>
      <c r="V130" s="52">
        <f>IFERROR(INDEX(tblPiNAnalysis[Education], MATCH(tblPiNHistorical[[#This Row],[ID]], tblPiNAnalysis[ID], 0)), "")</f>
        <v>0</v>
      </c>
      <c r="W130" s="28">
        <f>IFERROR(INDEX(tblPiNAnalysis[Food Security and Livlihoods], MATCH(tblPiNHistorical[[#This Row],[ID]], tblPiNAnalysis[ID], 0)), "")</f>
        <v>0</v>
      </c>
      <c r="X130" s="28">
        <f>IFERROR(INDEX(tblPiNAnalysis[[Health ]], MATCH(tblPiNHistorical[[#This Row],[ID]], tblPiNAnalysis[ID], 0)), "")</f>
        <v>0</v>
      </c>
      <c r="Y130" s="28">
        <f>IFERROR(INDEX(tblPiNAnalysis[Nutrition], MATCH(tblPiNHistorical[[#This Row],[ID]], tblPiNAnalysis[ID], 0)), "")</f>
        <v>0</v>
      </c>
      <c r="Z130" s="28">
        <f>IFERROR(INDEX(tblPiNAnalysis[Protection], MATCH(tblPiNHistorical[[#This Row],[ID]], tblPiNAnalysis[ID], 0)), "")</f>
        <v>0</v>
      </c>
      <c r="AA130" s="28">
        <f>IFERROR(INDEX(tblPiNAnalysis[CP], MATCH(tblPiNHistorical[[#This Row],[ID]], tblPiNAnalysis[ID], 0)), "")</f>
        <v>0</v>
      </c>
      <c r="AB130" s="83">
        <f>IFERROR(INDEX(tblPiNAnalysis[GBV], MATCH(tblPiNHistorical[[#This Row],[ID]], tblPiNAnalysis[ID], 0)), "")</f>
        <v>0</v>
      </c>
      <c r="AC130" s="28">
        <f>IFERROR(INDEX(tblPiNAnalysis[Mine Action], MATCH(tblPiNHistorical[[#This Row],[ID]], tblPiNAnalysis[ID], 0)), "")</f>
        <v>0</v>
      </c>
      <c r="AD130" s="83">
        <f>IFERROR(INDEX(tblPiNAnalysis[[Shelter NFI ]], MATCH(tblPiNHistorical[[#This Row],[ID]], tblPiNAnalysis[ID], 0)), "")</f>
        <v>117705</v>
      </c>
      <c r="AE130" s="35">
        <f>IFERROR(INDEX(tblPiNAnalysis[WASH], MATCH(tblPiNHistorical[[#This Row],[ID]], tblPiNAnalysis[ID], 0)), "")</f>
        <v>0</v>
      </c>
      <c r="AF130" s="6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130" s="67" t="str">
        <f>IF(OR(tblPiNHistorical[[#This Row],[Education Old]]="", tblPiNHistorical[[#This Row],[Education Old]]=0, tblPiNHistorical[[#This Row],[Education New]]="", tblPiNHistorical[[#This Row],[Education New]]=0), "", tblPiNHistorical[[#This Row],[Education New]]-tblPiNHistorical[[#This Row],[Education Old]])</f>
        <v/>
      </c>
      <c r="AH130" s="67"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130" s="67" t="str">
        <f>IF(OR(tblPiNHistorical[[#This Row],[Health Old]]="", tblPiNHistorical[[#This Row],[Health Old]]=0, tblPiNHistorical[[#This Row],[Health New]]="", tblPiNHistorical[[#This Row],[Health New]]=0), "", tblPiNHistorical[[#This Row],[Health New]]-tblPiNHistorical[[#This Row],[Health Old]])</f>
        <v/>
      </c>
      <c r="AJ130" s="67" t="str">
        <f>IF(OR(tblPiNHistorical[[#This Row],[Nutrition Old]]="", tblPiNHistorical[[#This Row],[Nutrition Old]]=0, tblPiNHistorical[[#This Row],[Nutrition New]]="", tblPiNHistorical[[#This Row],[Nutrition New]]=0), "", tblPiNHistorical[[#This Row],[Nutrition New]]-tblPiNHistorical[[#This Row],[Nutrition Old]])</f>
        <v/>
      </c>
      <c r="AK130" s="67" t="str">
        <f>IF(OR(tblPiNHistorical[[#This Row],[Protection Old]]="", tblPiNHistorical[[#This Row],[Protection Old]]=0, tblPiNHistorical[[#This Row],[Protection New]]="", tblPiNHistorical[[#This Row],[Protection New]]=0), "", tblPiNHistorical[[#This Row],[Protection New]]-tblPiNHistorical[[#This Row],[Protection Old]])</f>
        <v/>
      </c>
      <c r="AL130" s="67" t="str">
        <f>IF(OR(tblPiNHistorical[[#This Row],[CP Old ]]="", tblPiNHistorical[[#This Row],[CP Old ]]=0, tblPiNHistorical[[#This Row],[CP New]]="", tblPiNHistorical[[#This Row],[CP New]]=0), "", tblPiNHistorical[[#This Row],[CP New]]-tblPiNHistorical[[#This Row],[CP Old ]])</f>
        <v/>
      </c>
      <c r="AM130" s="83" t="str">
        <f>IF(OR(tblPiNHistorical[[#This Row],[GBV Old]]="", tblPiNHistorical[[#This Row],[GBV Old]]=0, tblPiNHistorical[[#This Row],[GBV New]]="", tblPiNHistorical[[#This Row],[GBV New]]=0), "", tblPiNHistorical[[#This Row],[GBV New]]-tblPiNHistorical[[#This Row],[GBV Old]])</f>
        <v/>
      </c>
      <c r="AN130" s="83" t="str">
        <f>IF(OR(tblPiNHistorical[[#This Row],[Mine Action Old]]="", tblPiNHistorical[[#This Row],[Mine Action Old]]=0, tblPiNHistorical[[#This Row],[Mine Action New]]="", tblPiNHistorical[[#This Row],[Mine Action New]]=0), "", tblPiNHistorical[[#This Row],[Mine Action New]]-tblPiNHistorical[[#This Row],[Mine Action Old]])</f>
        <v/>
      </c>
      <c r="AO130" s="67">
        <f>IF(OR(tblPiNHistorical[[#This Row],[Shelter NFI Old]]="", tblPiNHistorical[[#This Row],[Shelter NFI Old]]=0, tblPiNHistorical[[#This Row],[Shelter NFI New]]="", tblPiNHistorical[[#This Row],[Shelter NFI New]]=0), "", tblPiNHistorical[[#This Row],[Shelter NFI New]]-tblPiNHistorical[[#This Row],[Shelter NFI Old]])</f>
        <v>100517</v>
      </c>
      <c r="AP130" s="111" t="str">
        <f>IF(OR(tblPiNHistorical[[#This Row],[WASH Old]]="", tblPiNHistorical[[#This Row],[WASH Old]]=0, tblPiNHistorical[[#This Row],[WASH New]]="", tblPiNHistorical[[#This Row],[WASH New]]=0), "", tblPiNHistorical[[#This Row],[WASH New]]-tblPiNHistorical[[#This Row],[WASH Old]])</f>
        <v/>
      </c>
      <c r="AQ130" s="110">
        <f>IFERROR(ROUND((tblPiNHistorical[[#This Row],[Site Management - New]] - tblPiNHistorical[[#This Row],[Site Management - Old]])/tblPiNHistorical[[#This Row],[Site Management - Old]], 1), "")</f>
        <v>-1</v>
      </c>
      <c r="AR130" s="66">
        <f>IFERROR(ROUND((tblPiNHistorical[[#This Row],[Education New]]-tblPiNHistorical[[#This Row],[Education Old]])/tblPiNHistorical[[#This Row],[Education Old]], 1), "")</f>
        <v>-1</v>
      </c>
      <c r="AS130" s="66">
        <f>IFERROR(ROUND((tblPiNHistorical[[#This Row],[Food Security and Livlihoods New]]-tblPiNHistorical[[#This Row],[Food Security and Livlihoods Old]])/tblPiNHistorical[[#This Row],[Food Security and Livlihoods Old]], 1), "")</f>
        <v>-1</v>
      </c>
      <c r="AT130" s="66">
        <f>IFERROR(ROUND((tblPiNHistorical[[#This Row],[Health New]]-tblPiNHistorical[[#This Row],[Health Old]])/tblPiNHistorical[[#This Row],[Health Old]], 1), "")</f>
        <v>-1</v>
      </c>
      <c r="AU130" s="66">
        <f>IFERROR(ROUND((tblPiNHistorical[[#This Row],[Nutrition New]]-tblPiNHistorical[[#This Row],[Nutrition Old]])/tblPiNHistorical[[#This Row],[Nutrition Old]], 1), "")</f>
        <v>-1</v>
      </c>
      <c r="AV130" s="66">
        <f>IFERROR(ROUND((tblPiNHistorical[[#This Row],[Protection New]]-tblPiNHistorical[[#This Row],[Protection Old]])/tblPiNHistorical[[#This Row],[Protection Old]], 1), "")</f>
        <v>-1</v>
      </c>
      <c r="AW130" s="84">
        <f>IFERROR(ROUND((tblPiNHistorical[[#This Row],[CP New]]-tblPiNHistorical[[#This Row],[CP Old ]])/tblPiNHistorical[[#This Row],[CP Old ]], 1), "")</f>
        <v>-1</v>
      </c>
      <c r="AX130" s="84">
        <f>IFERROR(ROUND((tblPiNHistorical[[#This Row],[GBV New]]-tblPiNHistorical[[#This Row],[GBV Old]])/tblPiNHistorical[[#This Row],[GBV Old]], 1), "")</f>
        <v>-1</v>
      </c>
      <c r="AY130" s="84">
        <f>IFERROR(ROUND((tblPiNHistorical[[#This Row],[Mine Action New]]-tblPiNHistorical[[#This Row],[Mine Action Old]])/tblPiNHistorical[[#This Row],[Mine Action Old]], 1), "")</f>
        <v>-1</v>
      </c>
      <c r="AZ130" s="66">
        <f>IFERROR(ROUND((tblPiNHistorical[[#This Row],[Shelter NFI New]]-tblPiNHistorical[[#This Row],[Shelter NFI Old]])/tblPiNHistorical[[#This Row],[Shelter NFI Old]], 1), "")</f>
        <v>5.8</v>
      </c>
      <c r="BA130" s="36">
        <f>IFERROR(ROUND((tblPiNHistorical[[#This Row],[WASH New]]-tblPiNHistorical[[#This Row],[WASH Old]])/tblPiNHistorical[[#This Row],[WASH Old]], 1), "")</f>
        <v>-1</v>
      </c>
      <c r="BB130"/>
      <c r="BC130"/>
      <c r="BD130"/>
      <c r="BE130"/>
      <c r="BF130"/>
      <c r="BG130"/>
      <c r="BH130"/>
      <c r="BI130"/>
      <c r="BL130"/>
      <c r="BN130"/>
      <c r="BO130"/>
      <c r="BP130"/>
    </row>
    <row r="131" spans="1:68" x14ac:dyDescent="0.25">
      <c r="A131"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IDPsSD03172</v>
      </c>
      <c r="B131" s="127" t="s">
        <v>185</v>
      </c>
      <c r="C131" s="60" t="s">
        <v>120</v>
      </c>
      <c r="D131" s="60" t="s">
        <v>273</v>
      </c>
      <c r="E131" s="60" t="s">
        <v>272</v>
      </c>
      <c r="F131" s="54"/>
      <c r="G131" s="30"/>
      <c r="H131" s="56">
        <v>5187</v>
      </c>
      <c r="I131" s="37" t="s">
        <v>88</v>
      </c>
      <c r="J131" s="34">
        <v>4427</v>
      </c>
      <c r="K131" s="116">
        <v>2010.9999</v>
      </c>
      <c r="L131" s="114">
        <v>5187</v>
      </c>
      <c r="M131" s="114">
        <v>5187</v>
      </c>
      <c r="N131" s="114">
        <v>672</v>
      </c>
      <c r="O131" s="114">
        <v>2852.8500000000004</v>
      </c>
      <c r="P131" s="114">
        <v>2853</v>
      </c>
      <c r="Q131" s="114">
        <v>2053</v>
      </c>
      <c r="R131" s="114">
        <v>0</v>
      </c>
      <c r="S131" s="114">
        <v>0</v>
      </c>
      <c r="T131" s="196">
        <v>0</v>
      </c>
      <c r="U131" s="52">
        <f>IFERROR(INDEX(tblPiNAnalysis[[Site Management ]], MATCH(tblPiNHistorical[[#This Row],[ID]], tblPiNAnalysis[ID], 0)), "")</f>
        <v>0</v>
      </c>
      <c r="V131" s="52">
        <f>IFERROR(INDEX(tblPiNAnalysis[Education], MATCH(tblPiNHistorical[[#This Row],[ID]], tblPiNAnalysis[ID], 0)), "")</f>
        <v>0</v>
      </c>
      <c r="W131" s="28">
        <f>IFERROR(INDEX(tblPiNAnalysis[Food Security and Livlihoods], MATCH(tblPiNHistorical[[#This Row],[ID]], tblPiNAnalysis[ID], 0)), "")</f>
        <v>0</v>
      </c>
      <c r="X131" s="28">
        <f>IFERROR(INDEX(tblPiNAnalysis[[Health ]], MATCH(tblPiNHistorical[[#This Row],[ID]], tblPiNAnalysis[ID], 0)), "")</f>
        <v>0</v>
      </c>
      <c r="Y131" s="28">
        <f>IFERROR(INDEX(tblPiNAnalysis[Nutrition], MATCH(tblPiNHistorical[[#This Row],[ID]], tblPiNAnalysis[ID], 0)), "")</f>
        <v>0</v>
      </c>
      <c r="Z131" s="28">
        <f>IFERROR(INDEX(tblPiNAnalysis[Protection], MATCH(tblPiNHistorical[[#This Row],[ID]], tblPiNAnalysis[ID], 0)), "")</f>
        <v>0</v>
      </c>
      <c r="AA131" s="28">
        <f>IFERROR(INDEX(tblPiNAnalysis[CP], MATCH(tblPiNHistorical[[#This Row],[ID]], tblPiNAnalysis[ID], 0)), "")</f>
        <v>0</v>
      </c>
      <c r="AB131" s="83">
        <f>IFERROR(INDEX(tblPiNAnalysis[GBV], MATCH(tblPiNHistorical[[#This Row],[ID]], tblPiNAnalysis[ID], 0)), "")</f>
        <v>0</v>
      </c>
      <c r="AC131" s="28">
        <f>IFERROR(INDEX(tblPiNAnalysis[Mine Action], MATCH(tblPiNHistorical[[#This Row],[ID]], tblPiNAnalysis[ID], 0)), "")</f>
        <v>0</v>
      </c>
      <c r="AD131" s="83">
        <f>IFERROR(INDEX(tblPiNAnalysis[[Shelter NFI ]], MATCH(tblPiNHistorical[[#This Row],[ID]], tblPiNAnalysis[ID], 0)), "")</f>
        <v>2806</v>
      </c>
      <c r="AE131" s="35">
        <f>IFERROR(INDEX(tblPiNAnalysis[WASH], MATCH(tblPiNHistorical[[#This Row],[ID]], tblPiNAnalysis[ID], 0)), "")</f>
        <v>0</v>
      </c>
      <c r="AF131" s="6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131" s="67" t="str">
        <f>IF(OR(tblPiNHistorical[[#This Row],[Education Old]]="", tblPiNHistorical[[#This Row],[Education Old]]=0, tblPiNHistorical[[#This Row],[Education New]]="", tblPiNHistorical[[#This Row],[Education New]]=0), "", tblPiNHistorical[[#This Row],[Education New]]-tblPiNHistorical[[#This Row],[Education Old]])</f>
        <v/>
      </c>
      <c r="AH131" s="67"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131" s="67" t="str">
        <f>IF(OR(tblPiNHistorical[[#This Row],[Health Old]]="", tblPiNHistorical[[#This Row],[Health Old]]=0, tblPiNHistorical[[#This Row],[Health New]]="", tblPiNHistorical[[#This Row],[Health New]]=0), "", tblPiNHistorical[[#This Row],[Health New]]-tblPiNHistorical[[#This Row],[Health Old]])</f>
        <v/>
      </c>
      <c r="AJ131" s="67" t="str">
        <f>IF(OR(tblPiNHistorical[[#This Row],[Nutrition Old]]="", tblPiNHistorical[[#This Row],[Nutrition Old]]=0, tblPiNHistorical[[#This Row],[Nutrition New]]="", tblPiNHistorical[[#This Row],[Nutrition New]]=0), "", tblPiNHistorical[[#This Row],[Nutrition New]]-tblPiNHistorical[[#This Row],[Nutrition Old]])</f>
        <v/>
      </c>
      <c r="AK131" s="67" t="str">
        <f>IF(OR(tblPiNHistorical[[#This Row],[Protection Old]]="", tblPiNHistorical[[#This Row],[Protection Old]]=0, tblPiNHistorical[[#This Row],[Protection New]]="", tblPiNHistorical[[#This Row],[Protection New]]=0), "", tblPiNHistorical[[#This Row],[Protection New]]-tblPiNHistorical[[#This Row],[Protection Old]])</f>
        <v/>
      </c>
      <c r="AL131" s="67" t="str">
        <f>IF(OR(tblPiNHistorical[[#This Row],[CP Old ]]="", tblPiNHistorical[[#This Row],[CP Old ]]=0, tblPiNHistorical[[#This Row],[CP New]]="", tblPiNHistorical[[#This Row],[CP New]]=0), "", tblPiNHistorical[[#This Row],[CP New]]-tblPiNHistorical[[#This Row],[CP Old ]])</f>
        <v/>
      </c>
      <c r="AM131" s="83" t="str">
        <f>IF(OR(tblPiNHistorical[[#This Row],[GBV Old]]="", tblPiNHistorical[[#This Row],[GBV Old]]=0, tblPiNHistorical[[#This Row],[GBV New]]="", tblPiNHistorical[[#This Row],[GBV New]]=0), "", tblPiNHistorical[[#This Row],[GBV New]]-tblPiNHistorical[[#This Row],[GBV Old]])</f>
        <v/>
      </c>
      <c r="AN131" s="83" t="str">
        <f>IF(OR(tblPiNHistorical[[#This Row],[Mine Action Old]]="", tblPiNHistorical[[#This Row],[Mine Action Old]]=0, tblPiNHistorical[[#This Row],[Mine Action New]]="", tblPiNHistorical[[#This Row],[Mine Action New]]=0), "", tblPiNHistorical[[#This Row],[Mine Action New]]-tblPiNHistorical[[#This Row],[Mine Action Old]])</f>
        <v/>
      </c>
      <c r="AO131" s="67" t="str">
        <f>IF(OR(tblPiNHistorical[[#This Row],[Shelter NFI Old]]="", tblPiNHistorical[[#This Row],[Shelter NFI Old]]=0, tblPiNHistorical[[#This Row],[Shelter NFI New]]="", tblPiNHistorical[[#This Row],[Shelter NFI New]]=0), "", tblPiNHistorical[[#This Row],[Shelter NFI New]]-tblPiNHistorical[[#This Row],[Shelter NFI Old]])</f>
        <v/>
      </c>
      <c r="AP131" s="111" t="str">
        <f>IF(OR(tblPiNHistorical[[#This Row],[WASH Old]]="", tblPiNHistorical[[#This Row],[WASH Old]]=0, tblPiNHistorical[[#This Row],[WASH New]]="", tblPiNHistorical[[#This Row],[WASH New]]=0), "", tblPiNHistorical[[#This Row],[WASH New]]-tblPiNHistorical[[#This Row],[WASH Old]])</f>
        <v/>
      </c>
      <c r="AQ131" s="110">
        <f>IFERROR(ROUND((tblPiNHistorical[[#This Row],[Site Management - New]] - tblPiNHistorical[[#This Row],[Site Management - Old]])/tblPiNHistorical[[#This Row],[Site Management - Old]], 1), "")</f>
        <v>-1</v>
      </c>
      <c r="AR131" s="66">
        <f>IFERROR(ROUND((tblPiNHistorical[[#This Row],[Education New]]-tblPiNHistorical[[#This Row],[Education Old]])/tblPiNHistorical[[#This Row],[Education Old]], 1), "")</f>
        <v>-1</v>
      </c>
      <c r="AS131" s="66">
        <f>IFERROR(ROUND((tblPiNHistorical[[#This Row],[Food Security and Livlihoods New]]-tblPiNHistorical[[#This Row],[Food Security and Livlihoods Old]])/tblPiNHistorical[[#This Row],[Food Security and Livlihoods Old]], 1), "")</f>
        <v>-1</v>
      </c>
      <c r="AT131" s="66">
        <f>IFERROR(ROUND((tblPiNHistorical[[#This Row],[Health New]]-tblPiNHistorical[[#This Row],[Health Old]])/tblPiNHistorical[[#This Row],[Health Old]], 1), "")</f>
        <v>-1</v>
      </c>
      <c r="AU131" s="66">
        <f>IFERROR(ROUND((tblPiNHistorical[[#This Row],[Nutrition New]]-tblPiNHistorical[[#This Row],[Nutrition Old]])/tblPiNHistorical[[#This Row],[Nutrition Old]], 1), "")</f>
        <v>-1</v>
      </c>
      <c r="AV131" s="66">
        <f>IFERROR(ROUND((tblPiNHistorical[[#This Row],[Protection New]]-tblPiNHistorical[[#This Row],[Protection Old]])/tblPiNHistorical[[#This Row],[Protection Old]], 1), "")</f>
        <v>-1</v>
      </c>
      <c r="AW131" s="84">
        <f>IFERROR(ROUND((tblPiNHistorical[[#This Row],[CP New]]-tblPiNHistorical[[#This Row],[CP Old ]])/tblPiNHistorical[[#This Row],[CP Old ]], 1), "")</f>
        <v>-1</v>
      </c>
      <c r="AX131" s="84">
        <f>IFERROR(ROUND((tblPiNHistorical[[#This Row],[GBV New]]-tblPiNHistorical[[#This Row],[GBV Old]])/tblPiNHistorical[[#This Row],[GBV Old]], 1), "")</f>
        <v>-1</v>
      </c>
      <c r="AY131" s="84" t="str">
        <f>IFERROR(ROUND((tblPiNHistorical[[#This Row],[Mine Action New]]-tblPiNHistorical[[#This Row],[Mine Action Old]])/tblPiNHistorical[[#This Row],[Mine Action Old]], 1), "")</f>
        <v/>
      </c>
      <c r="AZ131" s="66" t="str">
        <f>IFERROR(ROUND((tblPiNHistorical[[#This Row],[Shelter NFI New]]-tblPiNHistorical[[#This Row],[Shelter NFI Old]])/tblPiNHistorical[[#This Row],[Shelter NFI Old]], 1), "")</f>
        <v/>
      </c>
      <c r="BA131" s="36" t="str">
        <f>IFERROR(ROUND((tblPiNHistorical[[#This Row],[WASH New]]-tblPiNHistorical[[#This Row],[WASH Old]])/tblPiNHistorical[[#This Row],[WASH Old]], 1), "")</f>
        <v/>
      </c>
      <c r="BB131"/>
      <c r="BC131"/>
      <c r="BD131"/>
      <c r="BE131"/>
      <c r="BF131"/>
      <c r="BG131"/>
      <c r="BH131"/>
      <c r="BI131"/>
      <c r="BL131"/>
      <c r="BN131"/>
      <c r="BO131"/>
      <c r="BP131"/>
    </row>
    <row r="132" spans="1:68" x14ac:dyDescent="0.25">
      <c r="A132"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IDPsSD03143</v>
      </c>
      <c r="B132" s="127" t="s">
        <v>185</v>
      </c>
      <c r="C132" s="60" t="s">
        <v>120</v>
      </c>
      <c r="D132" s="60" t="s">
        <v>235</v>
      </c>
      <c r="E132" s="60" t="s">
        <v>234</v>
      </c>
      <c r="F132" s="54"/>
      <c r="G132" s="30"/>
      <c r="H132" s="56">
        <v>3610</v>
      </c>
      <c r="I132" s="37" t="s">
        <v>88</v>
      </c>
      <c r="J132" s="34">
        <v>3610</v>
      </c>
      <c r="K132" s="116">
        <v>1399.597</v>
      </c>
      <c r="L132" s="114">
        <v>3610</v>
      </c>
      <c r="M132" s="114">
        <v>3610</v>
      </c>
      <c r="N132" s="114">
        <v>295</v>
      </c>
      <c r="O132" s="114">
        <v>3610</v>
      </c>
      <c r="P132" s="114">
        <v>1986</v>
      </c>
      <c r="Q132" s="114">
        <v>1429</v>
      </c>
      <c r="R132" s="114">
        <v>0</v>
      </c>
      <c r="S132" s="114">
        <v>1444</v>
      </c>
      <c r="T132" s="196">
        <v>0</v>
      </c>
      <c r="U132" s="52">
        <f>IFERROR(INDEX(tblPiNAnalysis[[Site Management ]], MATCH(tblPiNHistorical[[#This Row],[ID]], tblPiNAnalysis[ID], 0)), "")</f>
        <v>0</v>
      </c>
      <c r="V132" s="52">
        <f>IFERROR(INDEX(tblPiNAnalysis[Education], MATCH(tblPiNHistorical[[#This Row],[ID]], tblPiNAnalysis[ID], 0)), "")</f>
        <v>0</v>
      </c>
      <c r="W132" s="28">
        <f>IFERROR(INDEX(tblPiNAnalysis[Food Security and Livlihoods], MATCH(tblPiNHistorical[[#This Row],[ID]], tblPiNAnalysis[ID], 0)), "")</f>
        <v>0</v>
      </c>
      <c r="X132" s="28">
        <f>IFERROR(INDEX(tblPiNAnalysis[[Health ]], MATCH(tblPiNHistorical[[#This Row],[ID]], tblPiNAnalysis[ID], 0)), "")</f>
        <v>0</v>
      </c>
      <c r="Y132" s="28">
        <f>IFERROR(INDEX(tblPiNAnalysis[Nutrition], MATCH(tblPiNHistorical[[#This Row],[ID]], tblPiNAnalysis[ID], 0)), "")</f>
        <v>0</v>
      </c>
      <c r="Z132" s="28">
        <f>IFERROR(INDEX(tblPiNAnalysis[Protection], MATCH(tblPiNHistorical[[#This Row],[ID]], tblPiNAnalysis[ID], 0)), "")</f>
        <v>0</v>
      </c>
      <c r="AA132" s="28">
        <f>IFERROR(INDEX(tblPiNAnalysis[CP], MATCH(tblPiNHistorical[[#This Row],[ID]], tblPiNAnalysis[ID], 0)), "")</f>
        <v>0</v>
      </c>
      <c r="AB132" s="83">
        <f>IFERROR(INDEX(tblPiNAnalysis[GBV], MATCH(tblPiNHistorical[[#This Row],[ID]], tblPiNAnalysis[ID], 0)), "")</f>
        <v>0</v>
      </c>
      <c r="AC132" s="28">
        <f>IFERROR(INDEX(tblPiNAnalysis[Mine Action], MATCH(tblPiNHistorical[[#This Row],[ID]], tblPiNAnalysis[ID], 0)), "")</f>
        <v>0</v>
      </c>
      <c r="AD132" s="83">
        <f>IFERROR(INDEX(tblPiNAnalysis[[Shelter NFI ]], MATCH(tblPiNHistorical[[#This Row],[ID]], tblPiNAnalysis[ID], 0)), "")</f>
        <v>18038</v>
      </c>
      <c r="AE132" s="35">
        <f>IFERROR(INDEX(tblPiNAnalysis[WASH], MATCH(tblPiNHistorical[[#This Row],[ID]], tblPiNAnalysis[ID], 0)), "")</f>
        <v>0</v>
      </c>
      <c r="AF132" s="6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132" s="67" t="str">
        <f>IF(OR(tblPiNHistorical[[#This Row],[Education Old]]="", tblPiNHistorical[[#This Row],[Education Old]]=0, tblPiNHistorical[[#This Row],[Education New]]="", tblPiNHistorical[[#This Row],[Education New]]=0), "", tblPiNHistorical[[#This Row],[Education New]]-tblPiNHistorical[[#This Row],[Education Old]])</f>
        <v/>
      </c>
      <c r="AH132" s="67"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132" s="67" t="str">
        <f>IF(OR(tblPiNHistorical[[#This Row],[Health Old]]="", tblPiNHistorical[[#This Row],[Health Old]]=0, tblPiNHistorical[[#This Row],[Health New]]="", tblPiNHistorical[[#This Row],[Health New]]=0), "", tblPiNHistorical[[#This Row],[Health New]]-tblPiNHistorical[[#This Row],[Health Old]])</f>
        <v/>
      </c>
      <c r="AJ132" s="67" t="str">
        <f>IF(OR(tblPiNHistorical[[#This Row],[Nutrition Old]]="", tblPiNHistorical[[#This Row],[Nutrition Old]]=0, tblPiNHistorical[[#This Row],[Nutrition New]]="", tblPiNHistorical[[#This Row],[Nutrition New]]=0), "", tblPiNHistorical[[#This Row],[Nutrition New]]-tblPiNHistorical[[#This Row],[Nutrition Old]])</f>
        <v/>
      </c>
      <c r="AK132" s="67" t="str">
        <f>IF(OR(tblPiNHistorical[[#This Row],[Protection Old]]="", tblPiNHistorical[[#This Row],[Protection Old]]=0, tblPiNHistorical[[#This Row],[Protection New]]="", tblPiNHistorical[[#This Row],[Protection New]]=0), "", tblPiNHistorical[[#This Row],[Protection New]]-tblPiNHistorical[[#This Row],[Protection Old]])</f>
        <v/>
      </c>
      <c r="AL132" s="67" t="str">
        <f>IF(OR(tblPiNHistorical[[#This Row],[CP Old ]]="", tblPiNHistorical[[#This Row],[CP Old ]]=0, tblPiNHistorical[[#This Row],[CP New]]="", tblPiNHistorical[[#This Row],[CP New]]=0), "", tblPiNHistorical[[#This Row],[CP New]]-tblPiNHistorical[[#This Row],[CP Old ]])</f>
        <v/>
      </c>
      <c r="AM132" s="83" t="str">
        <f>IF(OR(tblPiNHistorical[[#This Row],[GBV Old]]="", tblPiNHistorical[[#This Row],[GBV Old]]=0, tblPiNHistorical[[#This Row],[GBV New]]="", tblPiNHistorical[[#This Row],[GBV New]]=0), "", tblPiNHistorical[[#This Row],[GBV New]]-tblPiNHistorical[[#This Row],[GBV Old]])</f>
        <v/>
      </c>
      <c r="AN132" s="83" t="str">
        <f>IF(OR(tblPiNHistorical[[#This Row],[Mine Action Old]]="", tblPiNHistorical[[#This Row],[Mine Action Old]]=0, tblPiNHistorical[[#This Row],[Mine Action New]]="", tblPiNHistorical[[#This Row],[Mine Action New]]=0), "", tblPiNHistorical[[#This Row],[Mine Action New]]-tblPiNHistorical[[#This Row],[Mine Action Old]])</f>
        <v/>
      </c>
      <c r="AO132" s="67">
        <f>IF(OR(tblPiNHistorical[[#This Row],[Shelter NFI Old]]="", tblPiNHistorical[[#This Row],[Shelter NFI Old]]=0, tblPiNHistorical[[#This Row],[Shelter NFI New]]="", tblPiNHistorical[[#This Row],[Shelter NFI New]]=0), "", tblPiNHistorical[[#This Row],[Shelter NFI New]]-tblPiNHistorical[[#This Row],[Shelter NFI Old]])</f>
        <v>16594</v>
      </c>
      <c r="AP132" s="111" t="str">
        <f>IF(OR(tblPiNHistorical[[#This Row],[WASH Old]]="", tblPiNHistorical[[#This Row],[WASH Old]]=0, tblPiNHistorical[[#This Row],[WASH New]]="", tblPiNHistorical[[#This Row],[WASH New]]=0), "", tblPiNHistorical[[#This Row],[WASH New]]-tblPiNHistorical[[#This Row],[WASH Old]])</f>
        <v/>
      </c>
      <c r="AQ132" s="110">
        <f>IFERROR(ROUND((tblPiNHistorical[[#This Row],[Site Management - New]] - tblPiNHistorical[[#This Row],[Site Management - Old]])/tblPiNHistorical[[#This Row],[Site Management - Old]], 1), "")</f>
        <v>-1</v>
      </c>
      <c r="AR132" s="66">
        <f>IFERROR(ROUND((tblPiNHistorical[[#This Row],[Education New]]-tblPiNHistorical[[#This Row],[Education Old]])/tblPiNHistorical[[#This Row],[Education Old]], 1), "")</f>
        <v>-1</v>
      </c>
      <c r="AS132" s="66">
        <f>IFERROR(ROUND((tblPiNHistorical[[#This Row],[Food Security and Livlihoods New]]-tblPiNHistorical[[#This Row],[Food Security and Livlihoods Old]])/tblPiNHistorical[[#This Row],[Food Security and Livlihoods Old]], 1), "")</f>
        <v>-1</v>
      </c>
      <c r="AT132" s="66">
        <f>IFERROR(ROUND((tblPiNHistorical[[#This Row],[Health New]]-tblPiNHistorical[[#This Row],[Health Old]])/tblPiNHistorical[[#This Row],[Health Old]], 1), "")</f>
        <v>-1</v>
      </c>
      <c r="AU132" s="66">
        <f>IFERROR(ROUND((tblPiNHistorical[[#This Row],[Nutrition New]]-tblPiNHistorical[[#This Row],[Nutrition Old]])/tblPiNHistorical[[#This Row],[Nutrition Old]], 1), "")</f>
        <v>-1</v>
      </c>
      <c r="AV132" s="66">
        <f>IFERROR(ROUND((tblPiNHistorical[[#This Row],[Protection New]]-tblPiNHistorical[[#This Row],[Protection Old]])/tblPiNHistorical[[#This Row],[Protection Old]], 1), "")</f>
        <v>-1</v>
      </c>
      <c r="AW132" s="84">
        <f>IFERROR(ROUND((tblPiNHistorical[[#This Row],[CP New]]-tblPiNHistorical[[#This Row],[CP Old ]])/tblPiNHistorical[[#This Row],[CP Old ]], 1), "")</f>
        <v>-1</v>
      </c>
      <c r="AX132" s="84">
        <f>IFERROR(ROUND((tblPiNHistorical[[#This Row],[GBV New]]-tblPiNHistorical[[#This Row],[GBV Old]])/tblPiNHistorical[[#This Row],[GBV Old]], 1), "")</f>
        <v>-1</v>
      </c>
      <c r="AY132" s="84" t="str">
        <f>IFERROR(ROUND((tblPiNHistorical[[#This Row],[Mine Action New]]-tblPiNHistorical[[#This Row],[Mine Action Old]])/tblPiNHistorical[[#This Row],[Mine Action Old]], 1), "")</f>
        <v/>
      </c>
      <c r="AZ132" s="66">
        <f>IFERROR(ROUND((tblPiNHistorical[[#This Row],[Shelter NFI New]]-tblPiNHistorical[[#This Row],[Shelter NFI Old]])/tblPiNHistorical[[#This Row],[Shelter NFI Old]], 1), "")</f>
        <v>11.5</v>
      </c>
      <c r="BA132" s="36" t="str">
        <f>IFERROR(ROUND((tblPiNHistorical[[#This Row],[WASH New]]-tblPiNHistorical[[#This Row],[WASH Old]])/tblPiNHistorical[[#This Row],[WASH Old]], 1), "")</f>
        <v/>
      </c>
      <c r="BB132"/>
      <c r="BC132"/>
      <c r="BD132"/>
      <c r="BE132"/>
      <c r="BF132"/>
      <c r="BG132"/>
      <c r="BH132"/>
      <c r="BI132"/>
      <c r="BL132"/>
      <c r="BN132"/>
      <c r="BO132"/>
      <c r="BP132"/>
    </row>
    <row r="133" spans="1:68" x14ac:dyDescent="0.25">
      <c r="A133"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IDPsSD03153</v>
      </c>
      <c r="B133" s="127" t="s">
        <v>185</v>
      </c>
      <c r="C133" s="60" t="s">
        <v>120</v>
      </c>
      <c r="D133" s="60" t="s">
        <v>251</v>
      </c>
      <c r="E133" s="60" t="s">
        <v>250</v>
      </c>
      <c r="F133" s="54"/>
      <c r="G133" s="30"/>
      <c r="H133" s="56">
        <v>136232</v>
      </c>
      <c r="I133" s="37" t="s">
        <v>88</v>
      </c>
      <c r="J133" s="34">
        <v>134897</v>
      </c>
      <c r="K133" s="116">
        <v>52817.146399999998</v>
      </c>
      <c r="L133" s="114">
        <v>136232</v>
      </c>
      <c r="M133" s="114">
        <v>136232</v>
      </c>
      <c r="N133" s="114">
        <v>15489</v>
      </c>
      <c r="O133" s="114">
        <v>136232</v>
      </c>
      <c r="P133" s="114">
        <v>74928</v>
      </c>
      <c r="Q133" s="114">
        <v>53921</v>
      </c>
      <c r="R133" s="114">
        <v>40869.599999999999</v>
      </c>
      <c r="S133" s="114">
        <v>81739</v>
      </c>
      <c r="T133" s="196">
        <v>117426.53471999998</v>
      </c>
      <c r="U133" s="52">
        <f>IFERROR(INDEX(tblPiNAnalysis[[Site Management ]], MATCH(tblPiNHistorical[[#This Row],[ID]], tblPiNAnalysis[ID], 0)), "")</f>
        <v>0</v>
      </c>
      <c r="V133" s="52">
        <f>IFERROR(INDEX(tblPiNAnalysis[Education], MATCH(tblPiNHistorical[[#This Row],[ID]], tblPiNAnalysis[ID], 0)), "")</f>
        <v>0</v>
      </c>
      <c r="W133" s="28">
        <f>IFERROR(INDEX(tblPiNAnalysis[Food Security and Livlihoods], MATCH(tblPiNHistorical[[#This Row],[ID]], tblPiNAnalysis[ID], 0)), "")</f>
        <v>0</v>
      </c>
      <c r="X133" s="28">
        <f>IFERROR(INDEX(tblPiNAnalysis[[Health ]], MATCH(tblPiNHistorical[[#This Row],[ID]], tblPiNAnalysis[ID], 0)), "")</f>
        <v>0</v>
      </c>
      <c r="Y133" s="28">
        <f>IFERROR(INDEX(tblPiNAnalysis[Nutrition], MATCH(tblPiNHistorical[[#This Row],[ID]], tblPiNAnalysis[ID], 0)), "")</f>
        <v>0</v>
      </c>
      <c r="Z133" s="28">
        <f>IFERROR(INDEX(tblPiNAnalysis[Protection], MATCH(tblPiNHistorical[[#This Row],[ID]], tblPiNAnalysis[ID], 0)), "")</f>
        <v>0</v>
      </c>
      <c r="AA133" s="28">
        <f>IFERROR(INDEX(tblPiNAnalysis[CP], MATCH(tblPiNHistorical[[#This Row],[ID]], tblPiNAnalysis[ID], 0)), "")</f>
        <v>0</v>
      </c>
      <c r="AB133" s="83">
        <f>IFERROR(INDEX(tblPiNAnalysis[GBV], MATCH(tblPiNHistorical[[#This Row],[ID]], tblPiNAnalysis[ID], 0)), "")</f>
        <v>0</v>
      </c>
      <c r="AC133" s="28">
        <f>IFERROR(INDEX(tblPiNAnalysis[Mine Action], MATCH(tblPiNHistorical[[#This Row],[ID]], tblPiNAnalysis[ID], 0)), "")</f>
        <v>0</v>
      </c>
      <c r="AD133" s="83">
        <f>IFERROR(INDEX(tblPiNAnalysis[[Shelter NFI ]], MATCH(tblPiNHistorical[[#This Row],[ID]], tblPiNAnalysis[ID], 0)), "")</f>
        <v>126105</v>
      </c>
      <c r="AE133" s="35">
        <f>IFERROR(INDEX(tblPiNAnalysis[WASH], MATCH(tblPiNHistorical[[#This Row],[ID]], tblPiNAnalysis[ID], 0)), "")</f>
        <v>0</v>
      </c>
      <c r="AF133" s="6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133" s="67" t="str">
        <f>IF(OR(tblPiNHistorical[[#This Row],[Education Old]]="", tblPiNHistorical[[#This Row],[Education Old]]=0, tblPiNHistorical[[#This Row],[Education New]]="", tblPiNHistorical[[#This Row],[Education New]]=0), "", tblPiNHistorical[[#This Row],[Education New]]-tblPiNHistorical[[#This Row],[Education Old]])</f>
        <v/>
      </c>
      <c r="AH133" s="67"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133" s="67" t="str">
        <f>IF(OR(tblPiNHistorical[[#This Row],[Health Old]]="", tblPiNHistorical[[#This Row],[Health Old]]=0, tblPiNHistorical[[#This Row],[Health New]]="", tblPiNHistorical[[#This Row],[Health New]]=0), "", tblPiNHistorical[[#This Row],[Health New]]-tblPiNHistorical[[#This Row],[Health Old]])</f>
        <v/>
      </c>
      <c r="AJ133" s="67" t="str">
        <f>IF(OR(tblPiNHistorical[[#This Row],[Nutrition Old]]="", tblPiNHistorical[[#This Row],[Nutrition Old]]=0, tblPiNHistorical[[#This Row],[Nutrition New]]="", tblPiNHistorical[[#This Row],[Nutrition New]]=0), "", tblPiNHistorical[[#This Row],[Nutrition New]]-tblPiNHistorical[[#This Row],[Nutrition Old]])</f>
        <v/>
      </c>
      <c r="AK133" s="67" t="str">
        <f>IF(OR(tblPiNHistorical[[#This Row],[Protection Old]]="", tblPiNHistorical[[#This Row],[Protection Old]]=0, tblPiNHistorical[[#This Row],[Protection New]]="", tblPiNHistorical[[#This Row],[Protection New]]=0), "", tblPiNHistorical[[#This Row],[Protection New]]-tblPiNHistorical[[#This Row],[Protection Old]])</f>
        <v/>
      </c>
      <c r="AL133" s="67" t="str">
        <f>IF(OR(tblPiNHistorical[[#This Row],[CP Old ]]="", tblPiNHistorical[[#This Row],[CP Old ]]=0, tblPiNHistorical[[#This Row],[CP New]]="", tblPiNHistorical[[#This Row],[CP New]]=0), "", tblPiNHistorical[[#This Row],[CP New]]-tblPiNHistorical[[#This Row],[CP Old ]])</f>
        <v/>
      </c>
      <c r="AM133" s="83" t="str">
        <f>IF(OR(tblPiNHistorical[[#This Row],[GBV Old]]="", tblPiNHistorical[[#This Row],[GBV Old]]=0, tblPiNHistorical[[#This Row],[GBV New]]="", tblPiNHistorical[[#This Row],[GBV New]]=0), "", tblPiNHistorical[[#This Row],[GBV New]]-tblPiNHistorical[[#This Row],[GBV Old]])</f>
        <v/>
      </c>
      <c r="AN133" s="83" t="str">
        <f>IF(OR(tblPiNHistorical[[#This Row],[Mine Action Old]]="", tblPiNHistorical[[#This Row],[Mine Action Old]]=0, tblPiNHistorical[[#This Row],[Mine Action New]]="", tblPiNHistorical[[#This Row],[Mine Action New]]=0), "", tblPiNHistorical[[#This Row],[Mine Action New]]-tblPiNHistorical[[#This Row],[Mine Action Old]])</f>
        <v/>
      </c>
      <c r="AO133" s="67">
        <f>IF(OR(tblPiNHistorical[[#This Row],[Shelter NFI Old]]="", tblPiNHistorical[[#This Row],[Shelter NFI Old]]=0, tblPiNHistorical[[#This Row],[Shelter NFI New]]="", tblPiNHistorical[[#This Row],[Shelter NFI New]]=0), "", tblPiNHistorical[[#This Row],[Shelter NFI New]]-tblPiNHistorical[[#This Row],[Shelter NFI Old]])</f>
        <v>44366</v>
      </c>
      <c r="AP133" s="111" t="str">
        <f>IF(OR(tblPiNHistorical[[#This Row],[WASH Old]]="", tblPiNHistorical[[#This Row],[WASH Old]]=0, tblPiNHistorical[[#This Row],[WASH New]]="", tblPiNHistorical[[#This Row],[WASH New]]=0), "", tblPiNHistorical[[#This Row],[WASH New]]-tblPiNHistorical[[#This Row],[WASH Old]])</f>
        <v/>
      </c>
      <c r="AQ133" s="110">
        <f>IFERROR(ROUND((tblPiNHistorical[[#This Row],[Site Management - New]] - tblPiNHistorical[[#This Row],[Site Management - Old]])/tblPiNHistorical[[#This Row],[Site Management - Old]], 1), "")</f>
        <v>-1</v>
      </c>
      <c r="AR133" s="66">
        <f>IFERROR(ROUND((tblPiNHistorical[[#This Row],[Education New]]-tblPiNHistorical[[#This Row],[Education Old]])/tblPiNHistorical[[#This Row],[Education Old]], 1), "")</f>
        <v>-1</v>
      </c>
      <c r="AS133" s="66">
        <f>IFERROR(ROUND((tblPiNHistorical[[#This Row],[Food Security and Livlihoods New]]-tblPiNHistorical[[#This Row],[Food Security and Livlihoods Old]])/tblPiNHistorical[[#This Row],[Food Security and Livlihoods Old]], 1), "")</f>
        <v>-1</v>
      </c>
      <c r="AT133" s="66">
        <f>IFERROR(ROUND((tblPiNHistorical[[#This Row],[Health New]]-tblPiNHistorical[[#This Row],[Health Old]])/tblPiNHistorical[[#This Row],[Health Old]], 1), "")</f>
        <v>-1</v>
      </c>
      <c r="AU133" s="66">
        <f>IFERROR(ROUND((tblPiNHistorical[[#This Row],[Nutrition New]]-tblPiNHistorical[[#This Row],[Nutrition Old]])/tblPiNHistorical[[#This Row],[Nutrition Old]], 1), "")</f>
        <v>-1</v>
      </c>
      <c r="AV133" s="66">
        <f>IFERROR(ROUND((tblPiNHistorical[[#This Row],[Protection New]]-tblPiNHistorical[[#This Row],[Protection Old]])/tblPiNHistorical[[#This Row],[Protection Old]], 1), "")</f>
        <v>-1</v>
      </c>
      <c r="AW133" s="84">
        <f>IFERROR(ROUND((tblPiNHistorical[[#This Row],[CP New]]-tblPiNHistorical[[#This Row],[CP Old ]])/tblPiNHistorical[[#This Row],[CP Old ]], 1), "")</f>
        <v>-1</v>
      </c>
      <c r="AX133" s="84">
        <f>IFERROR(ROUND((tblPiNHistorical[[#This Row],[GBV New]]-tblPiNHistorical[[#This Row],[GBV Old]])/tblPiNHistorical[[#This Row],[GBV Old]], 1), "")</f>
        <v>-1</v>
      </c>
      <c r="AY133" s="84">
        <f>IFERROR(ROUND((tblPiNHistorical[[#This Row],[Mine Action New]]-tblPiNHistorical[[#This Row],[Mine Action Old]])/tblPiNHistorical[[#This Row],[Mine Action Old]], 1), "")</f>
        <v>-1</v>
      </c>
      <c r="AZ133" s="66">
        <f>IFERROR(ROUND((tblPiNHistorical[[#This Row],[Shelter NFI New]]-tblPiNHistorical[[#This Row],[Shelter NFI Old]])/tblPiNHistorical[[#This Row],[Shelter NFI Old]], 1), "")</f>
        <v>0.5</v>
      </c>
      <c r="BA133" s="36">
        <f>IFERROR(ROUND((tblPiNHistorical[[#This Row],[WASH New]]-tblPiNHistorical[[#This Row],[WASH Old]])/tblPiNHistorical[[#This Row],[WASH Old]], 1), "")</f>
        <v>-1</v>
      </c>
      <c r="BB133"/>
      <c r="BC133"/>
      <c r="BD133"/>
      <c r="BE133"/>
      <c r="BF133"/>
      <c r="BG133"/>
      <c r="BH133"/>
      <c r="BI133"/>
      <c r="BL133"/>
      <c r="BN133"/>
      <c r="BO133"/>
      <c r="BP133"/>
    </row>
    <row r="134" spans="1:68" x14ac:dyDescent="0.25">
      <c r="A134"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IDPsSD03144</v>
      </c>
      <c r="B134" s="127" t="s">
        <v>185</v>
      </c>
      <c r="C134" s="60" t="s">
        <v>120</v>
      </c>
      <c r="D134" s="60" t="s">
        <v>237</v>
      </c>
      <c r="E134" s="60" t="s">
        <v>236</v>
      </c>
      <c r="F134" s="54"/>
      <c r="G134" s="30"/>
      <c r="H134" s="56">
        <v>128069.4</v>
      </c>
      <c r="I134" s="37" t="s">
        <v>88</v>
      </c>
      <c r="J134" s="34">
        <v>92611</v>
      </c>
      <c r="K134" s="116">
        <v>49652.506379999999</v>
      </c>
      <c r="L134" s="114">
        <v>128069</v>
      </c>
      <c r="M134" s="114">
        <v>128069</v>
      </c>
      <c r="N134" s="114">
        <v>18326</v>
      </c>
      <c r="O134" s="114">
        <v>128069</v>
      </c>
      <c r="P134" s="114">
        <v>70438</v>
      </c>
      <c r="Q134" s="114">
        <v>50690</v>
      </c>
      <c r="R134" s="114">
        <v>51227.76</v>
      </c>
      <c r="S134" s="114">
        <v>76842</v>
      </c>
      <c r="T134" s="196">
        <v>116891.50276799999</v>
      </c>
      <c r="U134" s="52">
        <f>IFERROR(INDEX(tblPiNAnalysis[[Site Management ]], MATCH(tblPiNHistorical[[#This Row],[ID]], tblPiNAnalysis[ID], 0)), "")</f>
        <v>0</v>
      </c>
      <c r="V134" s="52">
        <f>IFERROR(INDEX(tblPiNAnalysis[Education], MATCH(tblPiNHistorical[[#This Row],[ID]], tblPiNAnalysis[ID], 0)), "")</f>
        <v>0</v>
      </c>
      <c r="W134" s="28">
        <f>IFERROR(INDEX(tblPiNAnalysis[Food Security and Livlihoods], MATCH(tblPiNHistorical[[#This Row],[ID]], tblPiNAnalysis[ID], 0)), "")</f>
        <v>0</v>
      </c>
      <c r="X134" s="28">
        <f>IFERROR(INDEX(tblPiNAnalysis[[Health ]], MATCH(tblPiNHistorical[[#This Row],[ID]], tblPiNAnalysis[ID], 0)), "")</f>
        <v>0</v>
      </c>
      <c r="Y134" s="28">
        <f>IFERROR(INDEX(tblPiNAnalysis[Nutrition], MATCH(tblPiNHistorical[[#This Row],[ID]], tblPiNAnalysis[ID], 0)), "")</f>
        <v>0</v>
      </c>
      <c r="Z134" s="28">
        <f>IFERROR(INDEX(tblPiNAnalysis[Protection], MATCH(tblPiNHistorical[[#This Row],[ID]], tblPiNAnalysis[ID], 0)), "")</f>
        <v>0</v>
      </c>
      <c r="AA134" s="28">
        <f>IFERROR(INDEX(tblPiNAnalysis[CP], MATCH(tblPiNHistorical[[#This Row],[ID]], tblPiNAnalysis[ID], 0)), "")</f>
        <v>0</v>
      </c>
      <c r="AB134" s="83">
        <f>IFERROR(INDEX(tblPiNAnalysis[GBV], MATCH(tblPiNHistorical[[#This Row],[ID]], tblPiNAnalysis[ID], 0)), "")</f>
        <v>0</v>
      </c>
      <c r="AC134" s="28">
        <f>IFERROR(INDEX(tblPiNAnalysis[Mine Action], MATCH(tblPiNHistorical[[#This Row],[ID]], tblPiNAnalysis[ID], 0)), "")</f>
        <v>0</v>
      </c>
      <c r="AD134" s="83">
        <f>IFERROR(INDEX(tblPiNAnalysis[[Shelter NFI ]], MATCH(tblPiNHistorical[[#This Row],[ID]], tblPiNAnalysis[ID], 0)), "")</f>
        <v>102181</v>
      </c>
      <c r="AE134" s="35">
        <f>IFERROR(INDEX(tblPiNAnalysis[WASH], MATCH(tblPiNHistorical[[#This Row],[ID]], tblPiNAnalysis[ID], 0)), "")</f>
        <v>0</v>
      </c>
      <c r="AF134" s="6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134" s="67" t="str">
        <f>IF(OR(tblPiNHistorical[[#This Row],[Education Old]]="", tblPiNHistorical[[#This Row],[Education Old]]=0, tblPiNHistorical[[#This Row],[Education New]]="", tblPiNHistorical[[#This Row],[Education New]]=0), "", tblPiNHistorical[[#This Row],[Education New]]-tblPiNHistorical[[#This Row],[Education Old]])</f>
        <v/>
      </c>
      <c r="AH134" s="67"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134" s="67" t="str">
        <f>IF(OR(tblPiNHistorical[[#This Row],[Health Old]]="", tblPiNHistorical[[#This Row],[Health Old]]=0, tblPiNHistorical[[#This Row],[Health New]]="", tblPiNHistorical[[#This Row],[Health New]]=0), "", tblPiNHistorical[[#This Row],[Health New]]-tblPiNHistorical[[#This Row],[Health Old]])</f>
        <v/>
      </c>
      <c r="AJ134" s="67" t="str">
        <f>IF(OR(tblPiNHistorical[[#This Row],[Nutrition Old]]="", tblPiNHistorical[[#This Row],[Nutrition Old]]=0, tblPiNHistorical[[#This Row],[Nutrition New]]="", tblPiNHistorical[[#This Row],[Nutrition New]]=0), "", tblPiNHistorical[[#This Row],[Nutrition New]]-tblPiNHistorical[[#This Row],[Nutrition Old]])</f>
        <v/>
      </c>
      <c r="AK134" s="67" t="str">
        <f>IF(OR(tblPiNHistorical[[#This Row],[Protection Old]]="", tblPiNHistorical[[#This Row],[Protection Old]]=0, tblPiNHistorical[[#This Row],[Protection New]]="", tblPiNHistorical[[#This Row],[Protection New]]=0), "", tblPiNHistorical[[#This Row],[Protection New]]-tblPiNHistorical[[#This Row],[Protection Old]])</f>
        <v/>
      </c>
      <c r="AL134" s="67" t="str">
        <f>IF(OR(tblPiNHistorical[[#This Row],[CP Old ]]="", tblPiNHistorical[[#This Row],[CP Old ]]=0, tblPiNHistorical[[#This Row],[CP New]]="", tblPiNHistorical[[#This Row],[CP New]]=0), "", tblPiNHistorical[[#This Row],[CP New]]-tblPiNHistorical[[#This Row],[CP Old ]])</f>
        <v/>
      </c>
      <c r="AM134" s="83" t="str">
        <f>IF(OR(tblPiNHistorical[[#This Row],[GBV Old]]="", tblPiNHistorical[[#This Row],[GBV Old]]=0, tblPiNHistorical[[#This Row],[GBV New]]="", tblPiNHistorical[[#This Row],[GBV New]]=0), "", tblPiNHistorical[[#This Row],[GBV New]]-tblPiNHistorical[[#This Row],[GBV Old]])</f>
        <v/>
      </c>
      <c r="AN134" s="83" t="str">
        <f>IF(OR(tblPiNHistorical[[#This Row],[Mine Action Old]]="", tblPiNHistorical[[#This Row],[Mine Action Old]]=0, tblPiNHistorical[[#This Row],[Mine Action New]]="", tblPiNHistorical[[#This Row],[Mine Action New]]=0), "", tblPiNHistorical[[#This Row],[Mine Action New]]-tblPiNHistorical[[#This Row],[Mine Action Old]])</f>
        <v/>
      </c>
      <c r="AO134" s="67">
        <f>IF(OR(tblPiNHistorical[[#This Row],[Shelter NFI Old]]="", tblPiNHistorical[[#This Row],[Shelter NFI Old]]=0, tblPiNHistorical[[#This Row],[Shelter NFI New]]="", tblPiNHistorical[[#This Row],[Shelter NFI New]]=0), "", tblPiNHistorical[[#This Row],[Shelter NFI New]]-tblPiNHistorical[[#This Row],[Shelter NFI Old]])</f>
        <v>25339</v>
      </c>
      <c r="AP134" s="111" t="str">
        <f>IF(OR(tblPiNHistorical[[#This Row],[WASH Old]]="", tblPiNHistorical[[#This Row],[WASH Old]]=0, tblPiNHistorical[[#This Row],[WASH New]]="", tblPiNHistorical[[#This Row],[WASH New]]=0), "", tblPiNHistorical[[#This Row],[WASH New]]-tblPiNHistorical[[#This Row],[WASH Old]])</f>
        <v/>
      </c>
      <c r="AQ134" s="110">
        <f>IFERROR(ROUND((tblPiNHistorical[[#This Row],[Site Management - New]] - tblPiNHistorical[[#This Row],[Site Management - Old]])/tblPiNHistorical[[#This Row],[Site Management - Old]], 1), "")</f>
        <v>-1</v>
      </c>
      <c r="AR134" s="66">
        <f>IFERROR(ROUND((tblPiNHistorical[[#This Row],[Education New]]-tblPiNHistorical[[#This Row],[Education Old]])/tblPiNHistorical[[#This Row],[Education Old]], 1), "")</f>
        <v>-1</v>
      </c>
      <c r="AS134" s="66">
        <f>IFERROR(ROUND((tblPiNHistorical[[#This Row],[Food Security and Livlihoods New]]-tblPiNHistorical[[#This Row],[Food Security and Livlihoods Old]])/tblPiNHistorical[[#This Row],[Food Security and Livlihoods Old]], 1), "")</f>
        <v>-1</v>
      </c>
      <c r="AT134" s="66">
        <f>IFERROR(ROUND((tblPiNHistorical[[#This Row],[Health New]]-tblPiNHistorical[[#This Row],[Health Old]])/tblPiNHistorical[[#This Row],[Health Old]], 1), "")</f>
        <v>-1</v>
      </c>
      <c r="AU134" s="66">
        <f>IFERROR(ROUND((tblPiNHistorical[[#This Row],[Nutrition New]]-tblPiNHistorical[[#This Row],[Nutrition Old]])/tblPiNHistorical[[#This Row],[Nutrition Old]], 1), "")</f>
        <v>-1</v>
      </c>
      <c r="AV134" s="66">
        <f>IFERROR(ROUND((tblPiNHistorical[[#This Row],[Protection New]]-tblPiNHistorical[[#This Row],[Protection Old]])/tblPiNHistorical[[#This Row],[Protection Old]], 1), "")</f>
        <v>-1</v>
      </c>
      <c r="AW134" s="84">
        <f>IFERROR(ROUND((tblPiNHistorical[[#This Row],[CP New]]-tblPiNHistorical[[#This Row],[CP Old ]])/tblPiNHistorical[[#This Row],[CP Old ]], 1), "")</f>
        <v>-1</v>
      </c>
      <c r="AX134" s="84">
        <f>IFERROR(ROUND((tblPiNHistorical[[#This Row],[GBV New]]-tblPiNHistorical[[#This Row],[GBV Old]])/tblPiNHistorical[[#This Row],[GBV Old]], 1), "")</f>
        <v>-1</v>
      </c>
      <c r="AY134" s="84">
        <f>IFERROR(ROUND((tblPiNHistorical[[#This Row],[Mine Action New]]-tblPiNHistorical[[#This Row],[Mine Action Old]])/tblPiNHistorical[[#This Row],[Mine Action Old]], 1), "")</f>
        <v>-1</v>
      </c>
      <c r="AZ134" s="66">
        <f>IFERROR(ROUND((tblPiNHistorical[[#This Row],[Shelter NFI New]]-tblPiNHistorical[[#This Row],[Shelter NFI Old]])/tblPiNHistorical[[#This Row],[Shelter NFI Old]], 1), "")</f>
        <v>0.3</v>
      </c>
      <c r="BA134" s="36">
        <f>IFERROR(ROUND((tblPiNHistorical[[#This Row],[WASH New]]-tblPiNHistorical[[#This Row],[WASH Old]])/tblPiNHistorical[[#This Row],[WASH Old]], 1), "")</f>
        <v>-1</v>
      </c>
      <c r="BB134"/>
      <c r="BC134"/>
      <c r="BD134"/>
      <c r="BE134"/>
      <c r="BF134"/>
      <c r="BG134"/>
      <c r="BH134"/>
      <c r="BI134"/>
      <c r="BL134"/>
      <c r="BN134"/>
      <c r="BO134"/>
      <c r="BP134"/>
    </row>
    <row r="135" spans="1:68" x14ac:dyDescent="0.25">
      <c r="A135"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IDPsSD03159</v>
      </c>
      <c r="B135" s="127" t="s">
        <v>185</v>
      </c>
      <c r="C135" s="60" t="s">
        <v>120</v>
      </c>
      <c r="D135" s="60" t="s">
        <v>261</v>
      </c>
      <c r="E135" s="60" t="s">
        <v>260</v>
      </c>
      <c r="F135" s="54"/>
      <c r="G135" s="30"/>
      <c r="H135" s="56">
        <v>10917</v>
      </c>
      <c r="I135" s="37" t="s">
        <v>88</v>
      </c>
      <c r="J135" s="34">
        <v>6329</v>
      </c>
      <c r="K135" s="116">
        <v>4232.5208999999995</v>
      </c>
      <c r="L135" s="114">
        <v>10917</v>
      </c>
      <c r="M135" s="114">
        <v>10917</v>
      </c>
      <c r="N135" s="114">
        <v>962</v>
      </c>
      <c r="O135" s="114">
        <v>6004.35</v>
      </c>
      <c r="P135" s="114">
        <v>6004</v>
      </c>
      <c r="Q135" s="114">
        <v>4320</v>
      </c>
      <c r="R135" s="114">
        <v>3275.1</v>
      </c>
      <c r="S135" s="114">
        <v>0</v>
      </c>
      <c r="T135" s="196">
        <v>12827.911679999999</v>
      </c>
      <c r="U135" s="52">
        <f>IFERROR(INDEX(tblPiNAnalysis[[Site Management ]], MATCH(tblPiNHistorical[[#This Row],[ID]], tblPiNAnalysis[ID], 0)), "")</f>
        <v>0</v>
      </c>
      <c r="V135" s="52">
        <f>IFERROR(INDEX(tblPiNAnalysis[Education], MATCH(tblPiNHistorical[[#This Row],[ID]], tblPiNAnalysis[ID], 0)), "")</f>
        <v>0</v>
      </c>
      <c r="W135" s="28">
        <f>IFERROR(INDEX(tblPiNAnalysis[Food Security and Livlihoods], MATCH(tblPiNHistorical[[#This Row],[ID]], tblPiNAnalysis[ID], 0)), "")</f>
        <v>0</v>
      </c>
      <c r="X135" s="28">
        <f>IFERROR(INDEX(tblPiNAnalysis[[Health ]], MATCH(tblPiNHistorical[[#This Row],[ID]], tblPiNAnalysis[ID], 0)), "")</f>
        <v>0</v>
      </c>
      <c r="Y135" s="28">
        <f>IFERROR(INDEX(tblPiNAnalysis[Nutrition], MATCH(tblPiNHistorical[[#This Row],[ID]], tblPiNAnalysis[ID], 0)), "")</f>
        <v>0</v>
      </c>
      <c r="Z135" s="28">
        <f>IFERROR(INDEX(tblPiNAnalysis[Protection], MATCH(tblPiNHistorical[[#This Row],[ID]], tblPiNAnalysis[ID], 0)), "")</f>
        <v>0</v>
      </c>
      <c r="AA135" s="28">
        <f>IFERROR(INDEX(tblPiNAnalysis[CP], MATCH(tblPiNHistorical[[#This Row],[ID]], tblPiNAnalysis[ID], 0)), "")</f>
        <v>0</v>
      </c>
      <c r="AB135" s="83">
        <f>IFERROR(INDEX(tblPiNAnalysis[GBV], MATCH(tblPiNHistorical[[#This Row],[ID]], tblPiNAnalysis[ID], 0)), "")</f>
        <v>0</v>
      </c>
      <c r="AC135" s="28">
        <f>IFERROR(INDEX(tblPiNAnalysis[Mine Action], MATCH(tblPiNHistorical[[#This Row],[ID]], tblPiNAnalysis[ID], 0)), "")</f>
        <v>0</v>
      </c>
      <c r="AD135" s="83">
        <f>IFERROR(INDEX(tblPiNAnalysis[[Shelter NFI ]], MATCH(tblPiNHistorical[[#This Row],[ID]], tblPiNAnalysis[ID], 0)), "")</f>
        <v>16791</v>
      </c>
      <c r="AE135" s="35">
        <f>IFERROR(INDEX(tblPiNAnalysis[WASH], MATCH(tblPiNHistorical[[#This Row],[ID]], tblPiNAnalysis[ID], 0)), "")</f>
        <v>0</v>
      </c>
      <c r="AF135" s="6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135" s="67" t="str">
        <f>IF(OR(tblPiNHistorical[[#This Row],[Education Old]]="", tblPiNHistorical[[#This Row],[Education Old]]=0, tblPiNHistorical[[#This Row],[Education New]]="", tblPiNHistorical[[#This Row],[Education New]]=0), "", tblPiNHistorical[[#This Row],[Education New]]-tblPiNHistorical[[#This Row],[Education Old]])</f>
        <v/>
      </c>
      <c r="AH135" s="67"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135" s="67" t="str">
        <f>IF(OR(tblPiNHistorical[[#This Row],[Health Old]]="", tblPiNHistorical[[#This Row],[Health Old]]=0, tblPiNHistorical[[#This Row],[Health New]]="", tblPiNHistorical[[#This Row],[Health New]]=0), "", tblPiNHistorical[[#This Row],[Health New]]-tblPiNHistorical[[#This Row],[Health Old]])</f>
        <v/>
      </c>
      <c r="AJ135" s="67" t="str">
        <f>IF(OR(tblPiNHistorical[[#This Row],[Nutrition Old]]="", tblPiNHistorical[[#This Row],[Nutrition Old]]=0, tblPiNHistorical[[#This Row],[Nutrition New]]="", tblPiNHistorical[[#This Row],[Nutrition New]]=0), "", tblPiNHistorical[[#This Row],[Nutrition New]]-tblPiNHistorical[[#This Row],[Nutrition Old]])</f>
        <v/>
      </c>
      <c r="AK135" s="67" t="str">
        <f>IF(OR(tblPiNHistorical[[#This Row],[Protection Old]]="", tblPiNHistorical[[#This Row],[Protection Old]]=0, tblPiNHistorical[[#This Row],[Protection New]]="", tblPiNHistorical[[#This Row],[Protection New]]=0), "", tblPiNHistorical[[#This Row],[Protection New]]-tblPiNHistorical[[#This Row],[Protection Old]])</f>
        <v/>
      </c>
      <c r="AL135" s="67" t="str">
        <f>IF(OR(tblPiNHistorical[[#This Row],[CP Old ]]="", tblPiNHistorical[[#This Row],[CP Old ]]=0, tblPiNHistorical[[#This Row],[CP New]]="", tblPiNHistorical[[#This Row],[CP New]]=0), "", tblPiNHistorical[[#This Row],[CP New]]-tblPiNHistorical[[#This Row],[CP Old ]])</f>
        <v/>
      </c>
      <c r="AM135" s="83" t="str">
        <f>IF(OR(tblPiNHistorical[[#This Row],[GBV Old]]="", tblPiNHistorical[[#This Row],[GBV Old]]=0, tblPiNHistorical[[#This Row],[GBV New]]="", tblPiNHistorical[[#This Row],[GBV New]]=0), "", tblPiNHistorical[[#This Row],[GBV New]]-tblPiNHistorical[[#This Row],[GBV Old]])</f>
        <v/>
      </c>
      <c r="AN135" s="83" t="str">
        <f>IF(OR(tblPiNHistorical[[#This Row],[Mine Action Old]]="", tblPiNHistorical[[#This Row],[Mine Action Old]]=0, tblPiNHistorical[[#This Row],[Mine Action New]]="", tblPiNHistorical[[#This Row],[Mine Action New]]=0), "", tblPiNHistorical[[#This Row],[Mine Action New]]-tblPiNHistorical[[#This Row],[Mine Action Old]])</f>
        <v/>
      </c>
      <c r="AO135" s="67" t="str">
        <f>IF(OR(tblPiNHistorical[[#This Row],[Shelter NFI Old]]="", tblPiNHistorical[[#This Row],[Shelter NFI Old]]=0, tblPiNHistorical[[#This Row],[Shelter NFI New]]="", tblPiNHistorical[[#This Row],[Shelter NFI New]]=0), "", tblPiNHistorical[[#This Row],[Shelter NFI New]]-tblPiNHistorical[[#This Row],[Shelter NFI Old]])</f>
        <v/>
      </c>
      <c r="AP135" s="111" t="str">
        <f>IF(OR(tblPiNHistorical[[#This Row],[WASH Old]]="", tblPiNHistorical[[#This Row],[WASH Old]]=0, tblPiNHistorical[[#This Row],[WASH New]]="", tblPiNHistorical[[#This Row],[WASH New]]=0), "", tblPiNHistorical[[#This Row],[WASH New]]-tblPiNHistorical[[#This Row],[WASH Old]])</f>
        <v/>
      </c>
      <c r="AQ135" s="110">
        <f>IFERROR(ROUND((tblPiNHistorical[[#This Row],[Site Management - New]] - tblPiNHistorical[[#This Row],[Site Management - Old]])/tblPiNHistorical[[#This Row],[Site Management - Old]], 1), "")</f>
        <v>-1</v>
      </c>
      <c r="AR135" s="66">
        <f>IFERROR(ROUND((tblPiNHistorical[[#This Row],[Education New]]-tblPiNHistorical[[#This Row],[Education Old]])/tblPiNHistorical[[#This Row],[Education Old]], 1), "")</f>
        <v>-1</v>
      </c>
      <c r="AS135" s="66">
        <f>IFERROR(ROUND((tblPiNHistorical[[#This Row],[Food Security and Livlihoods New]]-tblPiNHistorical[[#This Row],[Food Security and Livlihoods Old]])/tblPiNHistorical[[#This Row],[Food Security and Livlihoods Old]], 1), "")</f>
        <v>-1</v>
      </c>
      <c r="AT135" s="66">
        <f>IFERROR(ROUND((tblPiNHistorical[[#This Row],[Health New]]-tblPiNHistorical[[#This Row],[Health Old]])/tblPiNHistorical[[#This Row],[Health Old]], 1), "")</f>
        <v>-1</v>
      </c>
      <c r="AU135" s="66">
        <f>IFERROR(ROUND((tblPiNHistorical[[#This Row],[Nutrition New]]-tblPiNHistorical[[#This Row],[Nutrition Old]])/tblPiNHistorical[[#This Row],[Nutrition Old]], 1), "")</f>
        <v>-1</v>
      </c>
      <c r="AV135" s="66">
        <f>IFERROR(ROUND((tblPiNHistorical[[#This Row],[Protection New]]-tblPiNHistorical[[#This Row],[Protection Old]])/tblPiNHistorical[[#This Row],[Protection Old]], 1), "")</f>
        <v>-1</v>
      </c>
      <c r="AW135" s="84">
        <f>IFERROR(ROUND((tblPiNHistorical[[#This Row],[CP New]]-tblPiNHistorical[[#This Row],[CP Old ]])/tblPiNHistorical[[#This Row],[CP Old ]], 1), "")</f>
        <v>-1</v>
      </c>
      <c r="AX135" s="84">
        <f>IFERROR(ROUND((tblPiNHistorical[[#This Row],[GBV New]]-tblPiNHistorical[[#This Row],[GBV Old]])/tblPiNHistorical[[#This Row],[GBV Old]], 1), "")</f>
        <v>-1</v>
      </c>
      <c r="AY135" s="84">
        <f>IFERROR(ROUND((tblPiNHistorical[[#This Row],[Mine Action New]]-tblPiNHistorical[[#This Row],[Mine Action Old]])/tblPiNHistorical[[#This Row],[Mine Action Old]], 1), "")</f>
        <v>-1</v>
      </c>
      <c r="AZ135" s="66" t="str">
        <f>IFERROR(ROUND((tblPiNHistorical[[#This Row],[Shelter NFI New]]-tblPiNHistorical[[#This Row],[Shelter NFI Old]])/tblPiNHistorical[[#This Row],[Shelter NFI Old]], 1), "")</f>
        <v/>
      </c>
      <c r="BA135" s="36">
        <f>IFERROR(ROUND((tblPiNHistorical[[#This Row],[WASH New]]-tblPiNHistorical[[#This Row],[WASH Old]])/tblPiNHistorical[[#This Row],[WASH Old]], 1), "")</f>
        <v>-1</v>
      </c>
      <c r="BB135"/>
      <c r="BC135"/>
      <c r="BD135"/>
      <c r="BE135"/>
      <c r="BF135"/>
      <c r="BG135"/>
      <c r="BH135"/>
      <c r="BI135"/>
      <c r="BL135"/>
      <c r="BN135"/>
      <c r="BO135"/>
      <c r="BP135"/>
    </row>
    <row r="136" spans="1:68" x14ac:dyDescent="0.25">
      <c r="A136"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IDPsSD03157</v>
      </c>
      <c r="B136" s="127" t="s">
        <v>185</v>
      </c>
      <c r="C136" s="60" t="s">
        <v>120</v>
      </c>
      <c r="D136" s="60" t="s">
        <v>257</v>
      </c>
      <c r="E136" s="60" t="s">
        <v>256</v>
      </c>
      <c r="F136" s="54"/>
      <c r="G136" s="30"/>
      <c r="H136" s="56">
        <v>3732</v>
      </c>
      <c r="I136" s="37" t="s">
        <v>88</v>
      </c>
      <c r="J136" s="34">
        <v>3732</v>
      </c>
      <c r="K136" s="116">
        <v>1446.8963999999999</v>
      </c>
      <c r="L136" s="114">
        <v>3732</v>
      </c>
      <c r="M136" s="114">
        <v>3732</v>
      </c>
      <c r="N136" s="114">
        <v>415</v>
      </c>
      <c r="O136" s="114">
        <v>3732</v>
      </c>
      <c r="P136" s="114">
        <v>2053</v>
      </c>
      <c r="Q136" s="114">
        <v>1477</v>
      </c>
      <c r="R136" s="114">
        <v>1119.5999999999999</v>
      </c>
      <c r="S136" s="114">
        <v>1493</v>
      </c>
      <c r="T136" s="196">
        <v>0</v>
      </c>
      <c r="U136" s="52">
        <f>IFERROR(INDEX(tblPiNAnalysis[[Site Management ]], MATCH(tblPiNHistorical[[#This Row],[ID]], tblPiNAnalysis[ID], 0)), "")</f>
        <v>0</v>
      </c>
      <c r="V136" s="52">
        <f>IFERROR(INDEX(tblPiNAnalysis[Education], MATCH(tblPiNHistorical[[#This Row],[ID]], tblPiNAnalysis[ID], 0)), "")</f>
        <v>0</v>
      </c>
      <c r="W136" s="28">
        <f>IFERROR(INDEX(tblPiNAnalysis[Food Security and Livlihoods], MATCH(tblPiNHistorical[[#This Row],[ID]], tblPiNAnalysis[ID], 0)), "")</f>
        <v>0</v>
      </c>
      <c r="X136" s="28">
        <f>IFERROR(INDEX(tblPiNAnalysis[[Health ]], MATCH(tblPiNHistorical[[#This Row],[ID]], tblPiNAnalysis[ID], 0)), "")</f>
        <v>0</v>
      </c>
      <c r="Y136" s="28">
        <f>IFERROR(INDEX(tblPiNAnalysis[Nutrition], MATCH(tblPiNHistorical[[#This Row],[ID]], tblPiNAnalysis[ID], 0)), "")</f>
        <v>0</v>
      </c>
      <c r="Z136" s="28">
        <f>IFERROR(INDEX(tblPiNAnalysis[Protection], MATCH(tblPiNHistorical[[#This Row],[ID]], tblPiNAnalysis[ID], 0)), "")</f>
        <v>0</v>
      </c>
      <c r="AA136" s="28">
        <f>IFERROR(INDEX(tblPiNAnalysis[CP], MATCH(tblPiNHistorical[[#This Row],[ID]], tblPiNAnalysis[ID], 0)), "")</f>
        <v>0</v>
      </c>
      <c r="AB136" s="83">
        <f>IFERROR(INDEX(tblPiNAnalysis[GBV], MATCH(tblPiNHistorical[[#This Row],[ID]], tblPiNAnalysis[ID], 0)), "")</f>
        <v>0</v>
      </c>
      <c r="AC136" s="28">
        <f>IFERROR(INDEX(tblPiNAnalysis[Mine Action], MATCH(tblPiNHistorical[[#This Row],[ID]], tblPiNAnalysis[ID], 0)), "")</f>
        <v>0</v>
      </c>
      <c r="AD136" s="83">
        <f>IFERROR(INDEX(tblPiNAnalysis[[Shelter NFI ]], MATCH(tblPiNHistorical[[#This Row],[ID]], tblPiNAnalysis[ID], 0)), "")</f>
        <v>4553</v>
      </c>
      <c r="AE136" s="35">
        <f>IFERROR(INDEX(tblPiNAnalysis[WASH], MATCH(tblPiNHistorical[[#This Row],[ID]], tblPiNAnalysis[ID], 0)), "")</f>
        <v>0</v>
      </c>
      <c r="AF136" s="6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136" s="67" t="str">
        <f>IF(OR(tblPiNHistorical[[#This Row],[Education Old]]="", tblPiNHistorical[[#This Row],[Education Old]]=0, tblPiNHistorical[[#This Row],[Education New]]="", tblPiNHistorical[[#This Row],[Education New]]=0), "", tblPiNHistorical[[#This Row],[Education New]]-tblPiNHistorical[[#This Row],[Education Old]])</f>
        <v/>
      </c>
      <c r="AH136" s="67"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136" s="67" t="str">
        <f>IF(OR(tblPiNHistorical[[#This Row],[Health Old]]="", tblPiNHistorical[[#This Row],[Health Old]]=0, tblPiNHistorical[[#This Row],[Health New]]="", tblPiNHistorical[[#This Row],[Health New]]=0), "", tblPiNHistorical[[#This Row],[Health New]]-tblPiNHistorical[[#This Row],[Health Old]])</f>
        <v/>
      </c>
      <c r="AJ136" s="67" t="str">
        <f>IF(OR(tblPiNHistorical[[#This Row],[Nutrition Old]]="", tblPiNHistorical[[#This Row],[Nutrition Old]]=0, tblPiNHistorical[[#This Row],[Nutrition New]]="", tblPiNHistorical[[#This Row],[Nutrition New]]=0), "", tblPiNHistorical[[#This Row],[Nutrition New]]-tblPiNHistorical[[#This Row],[Nutrition Old]])</f>
        <v/>
      </c>
      <c r="AK136" s="67" t="str">
        <f>IF(OR(tblPiNHistorical[[#This Row],[Protection Old]]="", tblPiNHistorical[[#This Row],[Protection Old]]=0, tblPiNHistorical[[#This Row],[Protection New]]="", tblPiNHistorical[[#This Row],[Protection New]]=0), "", tblPiNHistorical[[#This Row],[Protection New]]-tblPiNHistorical[[#This Row],[Protection Old]])</f>
        <v/>
      </c>
      <c r="AL136" s="67" t="str">
        <f>IF(OR(tblPiNHistorical[[#This Row],[CP Old ]]="", tblPiNHistorical[[#This Row],[CP Old ]]=0, tblPiNHistorical[[#This Row],[CP New]]="", tblPiNHistorical[[#This Row],[CP New]]=0), "", tblPiNHistorical[[#This Row],[CP New]]-tblPiNHistorical[[#This Row],[CP Old ]])</f>
        <v/>
      </c>
      <c r="AM136" s="83" t="str">
        <f>IF(OR(tblPiNHistorical[[#This Row],[GBV Old]]="", tblPiNHistorical[[#This Row],[GBV Old]]=0, tblPiNHistorical[[#This Row],[GBV New]]="", tblPiNHistorical[[#This Row],[GBV New]]=0), "", tblPiNHistorical[[#This Row],[GBV New]]-tblPiNHistorical[[#This Row],[GBV Old]])</f>
        <v/>
      </c>
      <c r="AN136" s="83" t="str">
        <f>IF(OR(tblPiNHistorical[[#This Row],[Mine Action Old]]="", tblPiNHistorical[[#This Row],[Mine Action Old]]=0, tblPiNHistorical[[#This Row],[Mine Action New]]="", tblPiNHistorical[[#This Row],[Mine Action New]]=0), "", tblPiNHistorical[[#This Row],[Mine Action New]]-tblPiNHistorical[[#This Row],[Mine Action Old]])</f>
        <v/>
      </c>
      <c r="AO136" s="67">
        <f>IF(OR(tblPiNHistorical[[#This Row],[Shelter NFI Old]]="", tblPiNHistorical[[#This Row],[Shelter NFI Old]]=0, tblPiNHistorical[[#This Row],[Shelter NFI New]]="", tblPiNHistorical[[#This Row],[Shelter NFI New]]=0), "", tblPiNHistorical[[#This Row],[Shelter NFI New]]-tblPiNHistorical[[#This Row],[Shelter NFI Old]])</f>
        <v>3060</v>
      </c>
      <c r="AP136" s="111" t="str">
        <f>IF(OR(tblPiNHistorical[[#This Row],[WASH Old]]="", tblPiNHistorical[[#This Row],[WASH Old]]=0, tblPiNHistorical[[#This Row],[WASH New]]="", tblPiNHistorical[[#This Row],[WASH New]]=0), "", tblPiNHistorical[[#This Row],[WASH New]]-tblPiNHistorical[[#This Row],[WASH Old]])</f>
        <v/>
      </c>
      <c r="AQ136" s="110">
        <f>IFERROR(ROUND((tblPiNHistorical[[#This Row],[Site Management - New]] - tblPiNHistorical[[#This Row],[Site Management - Old]])/tblPiNHistorical[[#This Row],[Site Management - Old]], 1), "")</f>
        <v>-1</v>
      </c>
      <c r="AR136" s="66">
        <f>IFERROR(ROUND((tblPiNHistorical[[#This Row],[Education New]]-tblPiNHistorical[[#This Row],[Education Old]])/tblPiNHistorical[[#This Row],[Education Old]], 1), "")</f>
        <v>-1</v>
      </c>
      <c r="AS136" s="66">
        <f>IFERROR(ROUND((tblPiNHistorical[[#This Row],[Food Security and Livlihoods New]]-tblPiNHistorical[[#This Row],[Food Security and Livlihoods Old]])/tblPiNHistorical[[#This Row],[Food Security and Livlihoods Old]], 1), "")</f>
        <v>-1</v>
      </c>
      <c r="AT136" s="66">
        <f>IFERROR(ROUND((tblPiNHistorical[[#This Row],[Health New]]-tblPiNHistorical[[#This Row],[Health Old]])/tblPiNHistorical[[#This Row],[Health Old]], 1), "")</f>
        <v>-1</v>
      </c>
      <c r="AU136" s="66">
        <f>IFERROR(ROUND((tblPiNHistorical[[#This Row],[Nutrition New]]-tblPiNHistorical[[#This Row],[Nutrition Old]])/tblPiNHistorical[[#This Row],[Nutrition Old]], 1), "")</f>
        <v>-1</v>
      </c>
      <c r="AV136" s="66">
        <f>IFERROR(ROUND((tblPiNHistorical[[#This Row],[Protection New]]-tblPiNHistorical[[#This Row],[Protection Old]])/tblPiNHistorical[[#This Row],[Protection Old]], 1), "")</f>
        <v>-1</v>
      </c>
      <c r="AW136" s="84">
        <f>IFERROR(ROUND((tblPiNHistorical[[#This Row],[CP New]]-tblPiNHistorical[[#This Row],[CP Old ]])/tblPiNHistorical[[#This Row],[CP Old ]], 1), "")</f>
        <v>-1</v>
      </c>
      <c r="AX136" s="84">
        <f>IFERROR(ROUND((tblPiNHistorical[[#This Row],[GBV New]]-tblPiNHistorical[[#This Row],[GBV Old]])/tblPiNHistorical[[#This Row],[GBV Old]], 1), "")</f>
        <v>-1</v>
      </c>
      <c r="AY136" s="84">
        <f>IFERROR(ROUND((tblPiNHistorical[[#This Row],[Mine Action New]]-tblPiNHistorical[[#This Row],[Mine Action Old]])/tblPiNHistorical[[#This Row],[Mine Action Old]], 1), "")</f>
        <v>-1</v>
      </c>
      <c r="AZ136" s="66">
        <f>IFERROR(ROUND((tblPiNHistorical[[#This Row],[Shelter NFI New]]-tblPiNHistorical[[#This Row],[Shelter NFI Old]])/tblPiNHistorical[[#This Row],[Shelter NFI Old]], 1), "")</f>
        <v>2</v>
      </c>
      <c r="BA136" s="36" t="str">
        <f>IFERROR(ROUND((tblPiNHistorical[[#This Row],[WASH New]]-tblPiNHistorical[[#This Row],[WASH Old]])/tblPiNHistorical[[#This Row],[WASH Old]], 1), "")</f>
        <v/>
      </c>
      <c r="BB136"/>
      <c r="BC136"/>
      <c r="BD136"/>
      <c r="BE136"/>
      <c r="BF136"/>
      <c r="BG136"/>
      <c r="BH136"/>
      <c r="BI136"/>
      <c r="BL136"/>
      <c r="BN136"/>
      <c r="BO136"/>
      <c r="BP136"/>
    </row>
    <row r="137" spans="1:68" x14ac:dyDescent="0.25">
      <c r="A137"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IDPsSD03145</v>
      </c>
      <c r="B137" s="127" t="s">
        <v>185</v>
      </c>
      <c r="C137" s="60" t="s">
        <v>120</v>
      </c>
      <c r="D137" s="60" t="s">
        <v>239</v>
      </c>
      <c r="E137" s="60" t="s">
        <v>238</v>
      </c>
      <c r="F137" s="54"/>
      <c r="G137" s="30"/>
      <c r="H137" s="56">
        <v>52848</v>
      </c>
      <c r="I137" s="37" t="s">
        <v>88</v>
      </c>
      <c r="J137" s="34">
        <v>38343</v>
      </c>
      <c r="K137" s="116">
        <v>20489.169600000001</v>
      </c>
      <c r="L137" s="114">
        <v>52848</v>
      </c>
      <c r="M137" s="114">
        <v>52848</v>
      </c>
      <c r="N137" s="114">
        <v>5400</v>
      </c>
      <c r="O137" s="114">
        <v>52848</v>
      </c>
      <c r="P137" s="114">
        <v>29066</v>
      </c>
      <c r="Q137" s="114">
        <v>20916</v>
      </c>
      <c r="R137" s="114">
        <v>21139.200000000001</v>
      </c>
      <c r="S137" s="114">
        <v>31709</v>
      </c>
      <c r="T137" s="196">
        <v>38285.205119999991</v>
      </c>
      <c r="U137" s="52">
        <f>IFERROR(INDEX(tblPiNAnalysis[[Site Management ]], MATCH(tblPiNHistorical[[#This Row],[ID]], tblPiNAnalysis[ID], 0)), "")</f>
        <v>0</v>
      </c>
      <c r="V137" s="52">
        <f>IFERROR(INDEX(tblPiNAnalysis[Education], MATCH(tblPiNHistorical[[#This Row],[ID]], tblPiNAnalysis[ID], 0)), "")</f>
        <v>0</v>
      </c>
      <c r="W137" s="28">
        <f>IFERROR(INDEX(tblPiNAnalysis[Food Security and Livlihoods], MATCH(tblPiNHistorical[[#This Row],[ID]], tblPiNAnalysis[ID], 0)), "")</f>
        <v>0</v>
      </c>
      <c r="X137" s="28">
        <f>IFERROR(INDEX(tblPiNAnalysis[[Health ]], MATCH(tblPiNHistorical[[#This Row],[ID]], tblPiNAnalysis[ID], 0)), "")</f>
        <v>0</v>
      </c>
      <c r="Y137" s="28">
        <f>IFERROR(INDEX(tblPiNAnalysis[Nutrition], MATCH(tblPiNHistorical[[#This Row],[ID]], tblPiNAnalysis[ID], 0)), "")</f>
        <v>0</v>
      </c>
      <c r="Z137" s="28">
        <f>IFERROR(INDEX(tblPiNAnalysis[Protection], MATCH(tblPiNHistorical[[#This Row],[ID]], tblPiNAnalysis[ID], 0)), "")</f>
        <v>0</v>
      </c>
      <c r="AA137" s="28">
        <f>IFERROR(INDEX(tblPiNAnalysis[CP], MATCH(tblPiNHistorical[[#This Row],[ID]], tblPiNAnalysis[ID], 0)), "")</f>
        <v>0</v>
      </c>
      <c r="AB137" s="83">
        <f>IFERROR(INDEX(tblPiNAnalysis[GBV], MATCH(tblPiNHistorical[[#This Row],[ID]], tblPiNAnalysis[ID], 0)), "")</f>
        <v>0</v>
      </c>
      <c r="AC137" s="28">
        <f>IFERROR(INDEX(tblPiNAnalysis[Mine Action], MATCH(tblPiNHistorical[[#This Row],[ID]], tblPiNAnalysis[ID], 0)), "")</f>
        <v>0</v>
      </c>
      <c r="AD137" s="83">
        <f>IFERROR(INDEX(tblPiNAnalysis[[Shelter NFI ]], MATCH(tblPiNHistorical[[#This Row],[ID]], tblPiNAnalysis[ID], 0)), "")</f>
        <v>42474</v>
      </c>
      <c r="AE137" s="35">
        <f>IFERROR(INDEX(tblPiNAnalysis[WASH], MATCH(tblPiNHistorical[[#This Row],[ID]], tblPiNAnalysis[ID], 0)), "")</f>
        <v>0</v>
      </c>
      <c r="AF137" s="6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137" s="67" t="str">
        <f>IF(OR(tblPiNHistorical[[#This Row],[Education Old]]="", tblPiNHistorical[[#This Row],[Education Old]]=0, tblPiNHistorical[[#This Row],[Education New]]="", tblPiNHistorical[[#This Row],[Education New]]=0), "", tblPiNHistorical[[#This Row],[Education New]]-tblPiNHistorical[[#This Row],[Education Old]])</f>
        <v/>
      </c>
      <c r="AH137" s="67"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137" s="67" t="str">
        <f>IF(OR(tblPiNHistorical[[#This Row],[Health Old]]="", tblPiNHistorical[[#This Row],[Health Old]]=0, tblPiNHistorical[[#This Row],[Health New]]="", tblPiNHistorical[[#This Row],[Health New]]=0), "", tblPiNHistorical[[#This Row],[Health New]]-tblPiNHistorical[[#This Row],[Health Old]])</f>
        <v/>
      </c>
      <c r="AJ137" s="67" t="str">
        <f>IF(OR(tblPiNHistorical[[#This Row],[Nutrition Old]]="", tblPiNHistorical[[#This Row],[Nutrition Old]]=0, tblPiNHistorical[[#This Row],[Nutrition New]]="", tblPiNHistorical[[#This Row],[Nutrition New]]=0), "", tblPiNHistorical[[#This Row],[Nutrition New]]-tblPiNHistorical[[#This Row],[Nutrition Old]])</f>
        <v/>
      </c>
      <c r="AK137" s="67" t="str">
        <f>IF(OR(tblPiNHistorical[[#This Row],[Protection Old]]="", tblPiNHistorical[[#This Row],[Protection Old]]=0, tblPiNHistorical[[#This Row],[Protection New]]="", tblPiNHistorical[[#This Row],[Protection New]]=0), "", tblPiNHistorical[[#This Row],[Protection New]]-tblPiNHistorical[[#This Row],[Protection Old]])</f>
        <v/>
      </c>
      <c r="AL137" s="67" t="str">
        <f>IF(OR(tblPiNHistorical[[#This Row],[CP Old ]]="", tblPiNHistorical[[#This Row],[CP Old ]]=0, tblPiNHistorical[[#This Row],[CP New]]="", tblPiNHistorical[[#This Row],[CP New]]=0), "", tblPiNHistorical[[#This Row],[CP New]]-tblPiNHistorical[[#This Row],[CP Old ]])</f>
        <v/>
      </c>
      <c r="AM137" s="83" t="str">
        <f>IF(OR(tblPiNHistorical[[#This Row],[GBV Old]]="", tblPiNHistorical[[#This Row],[GBV Old]]=0, tblPiNHistorical[[#This Row],[GBV New]]="", tblPiNHistorical[[#This Row],[GBV New]]=0), "", tblPiNHistorical[[#This Row],[GBV New]]-tblPiNHistorical[[#This Row],[GBV Old]])</f>
        <v/>
      </c>
      <c r="AN137" s="83" t="str">
        <f>IF(OR(tblPiNHistorical[[#This Row],[Mine Action Old]]="", tblPiNHistorical[[#This Row],[Mine Action Old]]=0, tblPiNHistorical[[#This Row],[Mine Action New]]="", tblPiNHistorical[[#This Row],[Mine Action New]]=0), "", tblPiNHistorical[[#This Row],[Mine Action New]]-tblPiNHistorical[[#This Row],[Mine Action Old]])</f>
        <v/>
      </c>
      <c r="AO137" s="67">
        <f>IF(OR(tblPiNHistorical[[#This Row],[Shelter NFI Old]]="", tblPiNHistorical[[#This Row],[Shelter NFI Old]]=0, tblPiNHistorical[[#This Row],[Shelter NFI New]]="", tblPiNHistorical[[#This Row],[Shelter NFI New]]=0), "", tblPiNHistorical[[#This Row],[Shelter NFI New]]-tblPiNHistorical[[#This Row],[Shelter NFI Old]])</f>
        <v>10765</v>
      </c>
      <c r="AP137" s="111" t="str">
        <f>IF(OR(tblPiNHistorical[[#This Row],[WASH Old]]="", tblPiNHistorical[[#This Row],[WASH Old]]=0, tblPiNHistorical[[#This Row],[WASH New]]="", tblPiNHistorical[[#This Row],[WASH New]]=0), "", tblPiNHistorical[[#This Row],[WASH New]]-tblPiNHistorical[[#This Row],[WASH Old]])</f>
        <v/>
      </c>
      <c r="AQ137" s="110">
        <f>IFERROR(ROUND((tblPiNHistorical[[#This Row],[Site Management - New]] - tblPiNHistorical[[#This Row],[Site Management - Old]])/tblPiNHistorical[[#This Row],[Site Management - Old]], 1), "")</f>
        <v>-1</v>
      </c>
      <c r="AR137" s="66">
        <f>IFERROR(ROUND((tblPiNHistorical[[#This Row],[Education New]]-tblPiNHistorical[[#This Row],[Education Old]])/tblPiNHistorical[[#This Row],[Education Old]], 1), "")</f>
        <v>-1</v>
      </c>
      <c r="AS137" s="66">
        <f>IFERROR(ROUND((tblPiNHistorical[[#This Row],[Food Security and Livlihoods New]]-tblPiNHistorical[[#This Row],[Food Security and Livlihoods Old]])/tblPiNHistorical[[#This Row],[Food Security and Livlihoods Old]], 1), "")</f>
        <v>-1</v>
      </c>
      <c r="AT137" s="66">
        <f>IFERROR(ROUND((tblPiNHistorical[[#This Row],[Health New]]-tblPiNHistorical[[#This Row],[Health Old]])/tblPiNHistorical[[#This Row],[Health Old]], 1), "")</f>
        <v>-1</v>
      </c>
      <c r="AU137" s="66">
        <f>IFERROR(ROUND((tblPiNHistorical[[#This Row],[Nutrition New]]-tblPiNHistorical[[#This Row],[Nutrition Old]])/tblPiNHistorical[[#This Row],[Nutrition Old]], 1), "")</f>
        <v>-1</v>
      </c>
      <c r="AV137" s="66">
        <f>IFERROR(ROUND((tblPiNHistorical[[#This Row],[Protection New]]-tblPiNHistorical[[#This Row],[Protection Old]])/tblPiNHistorical[[#This Row],[Protection Old]], 1), "")</f>
        <v>-1</v>
      </c>
      <c r="AW137" s="84">
        <f>IFERROR(ROUND((tblPiNHistorical[[#This Row],[CP New]]-tblPiNHistorical[[#This Row],[CP Old ]])/tblPiNHistorical[[#This Row],[CP Old ]], 1), "")</f>
        <v>-1</v>
      </c>
      <c r="AX137" s="84">
        <f>IFERROR(ROUND((tblPiNHistorical[[#This Row],[GBV New]]-tblPiNHistorical[[#This Row],[GBV Old]])/tblPiNHistorical[[#This Row],[GBV Old]], 1), "")</f>
        <v>-1</v>
      </c>
      <c r="AY137" s="84">
        <f>IFERROR(ROUND((tblPiNHistorical[[#This Row],[Mine Action New]]-tblPiNHistorical[[#This Row],[Mine Action Old]])/tblPiNHistorical[[#This Row],[Mine Action Old]], 1), "")</f>
        <v>-1</v>
      </c>
      <c r="AZ137" s="66">
        <f>IFERROR(ROUND((tblPiNHistorical[[#This Row],[Shelter NFI New]]-tblPiNHistorical[[#This Row],[Shelter NFI Old]])/tblPiNHistorical[[#This Row],[Shelter NFI Old]], 1), "")</f>
        <v>0.3</v>
      </c>
      <c r="BA137" s="36">
        <f>IFERROR(ROUND((tblPiNHistorical[[#This Row],[WASH New]]-tblPiNHistorical[[#This Row],[WASH Old]])/tblPiNHistorical[[#This Row],[WASH Old]], 1), "")</f>
        <v>-1</v>
      </c>
      <c r="BB137"/>
      <c r="BC137"/>
      <c r="BD137"/>
      <c r="BE137"/>
      <c r="BF137"/>
      <c r="BG137"/>
      <c r="BH137"/>
      <c r="BI137"/>
      <c r="BL137"/>
      <c r="BN137"/>
      <c r="BO137"/>
      <c r="BP137"/>
    </row>
    <row r="138" spans="1:68" x14ac:dyDescent="0.25">
      <c r="A138"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IDPsSD03151</v>
      </c>
      <c r="B138" s="127" t="s">
        <v>185</v>
      </c>
      <c r="C138" s="60" t="s">
        <v>120</v>
      </c>
      <c r="D138" s="60" t="s">
        <v>249</v>
      </c>
      <c r="E138" s="60" t="s">
        <v>248</v>
      </c>
      <c r="F138" s="54"/>
      <c r="G138" s="30"/>
      <c r="H138" s="56">
        <v>22958.5</v>
      </c>
      <c r="I138" s="37" t="s">
        <v>88</v>
      </c>
      <c r="J138" s="34">
        <v>19239</v>
      </c>
      <c r="K138" s="116">
        <v>8901.0104499999998</v>
      </c>
      <c r="L138" s="114">
        <v>22959</v>
      </c>
      <c r="M138" s="114">
        <v>22958.5</v>
      </c>
      <c r="N138" s="114">
        <v>2506</v>
      </c>
      <c r="O138" s="114">
        <v>12627.175000000001</v>
      </c>
      <c r="P138" s="114">
        <v>12627</v>
      </c>
      <c r="Q138" s="114">
        <v>9089</v>
      </c>
      <c r="R138" s="114">
        <v>0</v>
      </c>
      <c r="S138" s="114">
        <v>9183</v>
      </c>
      <c r="T138" s="196">
        <v>20734.28052</v>
      </c>
      <c r="U138" s="52">
        <f>IFERROR(INDEX(tblPiNAnalysis[[Site Management ]], MATCH(tblPiNHistorical[[#This Row],[ID]], tblPiNAnalysis[ID], 0)), "")</f>
        <v>0</v>
      </c>
      <c r="V138" s="52">
        <f>IFERROR(INDEX(tblPiNAnalysis[Education], MATCH(tblPiNHistorical[[#This Row],[ID]], tblPiNAnalysis[ID], 0)), "")</f>
        <v>0</v>
      </c>
      <c r="W138" s="28">
        <f>IFERROR(INDEX(tblPiNAnalysis[Food Security and Livlihoods], MATCH(tblPiNHistorical[[#This Row],[ID]], tblPiNAnalysis[ID], 0)), "")</f>
        <v>0</v>
      </c>
      <c r="X138" s="28">
        <f>IFERROR(INDEX(tblPiNAnalysis[[Health ]], MATCH(tblPiNHistorical[[#This Row],[ID]], tblPiNAnalysis[ID], 0)), "")</f>
        <v>0</v>
      </c>
      <c r="Y138" s="28">
        <f>IFERROR(INDEX(tblPiNAnalysis[Nutrition], MATCH(tblPiNHistorical[[#This Row],[ID]], tblPiNAnalysis[ID], 0)), "")</f>
        <v>0</v>
      </c>
      <c r="Z138" s="28">
        <f>IFERROR(INDEX(tblPiNAnalysis[Protection], MATCH(tblPiNHistorical[[#This Row],[ID]], tblPiNAnalysis[ID], 0)), "")</f>
        <v>0</v>
      </c>
      <c r="AA138" s="28">
        <f>IFERROR(INDEX(tblPiNAnalysis[CP], MATCH(tblPiNHistorical[[#This Row],[ID]], tblPiNAnalysis[ID], 0)), "")</f>
        <v>0</v>
      </c>
      <c r="AB138" s="83">
        <f>IFERROR(INDEX(tblPiNAnalysis[GBV], MATCH(tblPiNHistorical[[#This Row],[ID]], tblPiNAnalysis[ID], 0)), "")</f>
        <v>0</v>
      </c>
      <c r="AC138" s="28">
        <f>IFERROR(INDEX(tblPiNAnalysis[Mine Action], MATCH(tblPiNHistorical[[#This Row],[ID]], tblPiNAnalysis[ID], 0)), "")</f>
        <v>0</v>
      </c>
      <c r="AD138" s="83">
        <f>IFERROR(INDEX(tblPiNAnalysis[[Shelter NFI ]], MATCH(tblPiNHistorical[[#This Row],[ID]], tblPiNAnalysis[ID], 0)), "")</f>
        <v>23295</v>
      </c>
      <c r="AE138" s="35">
        <f>IFERROR(INDEX(tblPiNAnalysis[WASH], MATCH(tblPiNHistorical[[#This Row],[ID]], tblPiNAnalysis[ID], 0)), "")</f>
        <v>0</v>
      </c>
      <c r="AF138" s="6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138" s="67" t="str">
        <f>IF(OR(tblPiNHistorical[[#This Row],[Education Old]]="", tblPiNHistorical[[#This Row],[Education Old]]=0, tblPiNHistorical[[#This Row],[Education New]]="", tblPiNHistorical[[#This Row],[Education New]]=0), "", tblPiNHistorical[[#This Row],[Education New]]-tblPiNHistorical[[#This Row],[Education Old]])</f>
        <v/>
      </c>
      <c r="AH138" s="67"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138" s="67" t="str">
        <f>IF(OR(tblPiNHistorical[[#This Row],[Health Old]]="", tblPiNHistorical[[#This Row],[Health Old]]=0, tblPiNHistorical[[#This Row],[Health New]]="", tblPiNHistorical[[#This Row],[Health New]]=0), "", tblPiNHistorical[[#This Row],[Health New]]-tblPiNHistorical[[#This Row],[Health Old]])</f>
        <v/>
      </c>
      <c r="AJ138" s="67" t="str">
        <f>IF(OR(tblPiNHistorical[[#This Row],[Nutrition Old]]="", tblPiNHistorical[[#This Row],[Nutrition Old]]=0, tblPiNHistorical[[#This Row],[Nutrition New]]="", tblPiNHistorical[[#This Row],[Nutrition New]]=0), "", tblPiNHistorical[[#This Row],[Nutrition New]]-tblPiNHistorical[[#This Row],[Nutrition Old]])</f>
        <v/>
      </c>
      <c r="AK138" s="67" t="str">
        <f>IF(OR(tblPiNHistorical[[#This Row],[Protection Old]]="", tblPiNHistorical[[#This Row],[Protection Old]]=0, tblPiNHistorical[[#This Row],[Protection New]]="", tblPiNHistorical[[#This Row],[Protection New]]=0), "", tblPiNHistorical[[#This Row],[Protection New]]-tblPiNHistorical[[#This Row],[Protection Old]])</f>
        <v/>
      </c>
      <c r="AL138" s="67" t="str">
        <f>IF(OR(tblPiNHistorical[[#This Row],[CP Old ]]="", tblPiNHistorical[[#This Row],[CP Old ]]=0, tblPiNHistorical[[#This Row],[CP New]]="", tblPiNHistorical[[#This Row],[CP New]]=0), "", tblPiNHistorical[[#This Row],[CP New]]-tblPiNHistorical[[#This Row],[CP Old ]])</f>
        <v/>
      </c>
      <c r="AM138" s="83" t="str">
        <f>IF(OR(tblPiNHistorical[[#This Row],[GBV Old]]="", tblPiNHistorical[[#This Row],[GBV Old]]=0, tblPiNHistorical[[#This Row],[GBV New]]="", tblPiNHistorical[[#This Row],[GBV New]]=0), "", tblPiNHistorical[[#This Row],[GBV New]]-tblPiNHistorical[[#This Row],[GBV Old]])</f>
        <v/>
      </c>
      <c r="AN138" s="83" t="str">
        <f>IF(OR(tblPiNHistorical[[#This Row],[Mine Action Old]]="", tblPiNHistorical[[#This Row],[Mine Action Old]]=0, tblPiNHistorical[[#This Row],[Mine Action New]]="", tblPiNHistorical[[#This Row],[Mine Action New]]=0), "", tblPiNHistorical[[#This Row],[Mine Action New]]-tblPiNHistorical[[#This Row],[Mine Action Old]])</f>
        <v/>
      </c>
      <c r="AO138" s="67">
        <f>IF(OR(tblPiNHistorical[[#This Row],[Shelter NFI Old]]="", tblPiNHistorical[[#This Row],[Shelter NFI Old]]=0, tblPiNHistorical[[#This Row],[Shelter NFI New]]="", tblPiNHistorical[[#This Row],[Shelter NFI New]]=0), "", tblPiNHistorical[[#This Row],[Shelter NFI New]]-tblPiNHistorical[[#This Row],[Shelter NFI Old]])</f>
        <v>14112</v>
      </c>
      <c r="AP138" s="111" t="str">
        <f>IF(OR(tblPiNHistorical[[#This Row],[WASH Old]]="", tblPiNHistorical[[#This Row],[WASH Old]]=0, tblPiNHistorical[[#This Row],[WASH New]]="", tblPiNHistorical[[#This Row],[WASH New]]=0), "", tblPiNHistorical[[#This Row],[WASH New]]-tblPiNHistorical[[#This Row],[WASH Old]])</f>
        <v/>
      </c>
      <c r="AQ138" s="110">
        <f>IFERROR(ROUND((tblPiNHistorical[[#This Row],[Site Management - New]] - tblPiNHistorical[[#This Row],[Site Management - Old]])/tblPiNHistorical[[#This Row],[Site Management - Old]], 1), "")</f>
        <v>-1</v>
      </c>
      <c r="AR138" s="66">
        <f>IFERROR(ROUND((tblPiNHistorical[[#This Row],[Education New]]-tblPiNHistorical[[#This Row],[Education Old]])/tblPiNHistorical[[#This Row],[Education Old]], 1), "")</f>
        <v>-1</v>
      </c>
      <c r="AS138" s="66">
        <f>IFERROR(ROUND((tblPiNHistorical[[#This Row],[Food Security and Livlihoods New]]-tblPiNHistorical[[#This Row],[Food Security and Livlihoods Old]])/tblPiNHistorical[[#This Row],[Food Security and Livlihoods Old]], 1), "")</f>
        <v>-1</v>
      </c>
      <c r="AT138" s="66">
        <f>IFERROR(ROUND((tblPiNHistorical[[#This Row],[Health New]]-tblPiNHistorical[[#This Row],[Health Old]])/tblPiNHistorical[[#This Row],[Health Old]], 1), "")</f>
        <v>-1</v>
      </c>
      <c r="AU138" s="66">
        <f>IFERROR(ROUND((tblPiNHistorical[[#This Row],[Nutrition New]]-tblPiNHistorical[[#This Row],[Nutrition Old]])/tblPiNHistorical[[#This Row],[Nutrition Old]], 1), "")</f>
        <v>-1</v>
      </c>
      <c r="AV138" s="66">
        <f>IFERROR(ROUND((tblPiNHistorical[[#This Row],[Protection New]]-tblPiNHistorical[[#This Row],[Protection Old]])/tblPiNHistorical[[#This Row],[Protection Old]], 1), "")</f>
        <v>-1</v>
      </c>
      <c r="AW138" s="84">
        <f>IFERROR(ROUND((tblPiNHistorical[[#This Row],[CP New]]-tblPiNHistorical[[#This Row],[CP Old ]])/tblPiNHistorical[[#This Row],[CP Old ]], 1), "")</f>
        <v>-1</v>
      </c>
      <c r="AX138" s="84">
        <f>IFERROR(ROUND((tblPiNHistorical[[#This Row],[GBV New]]-tblPiNHistorical[[#This Row],[GBV Old]])/tblPiNHistorical[[#This Row],[GBV Old]], 1), "")</f>
        <v>-1</v>
      </c>
      <c r="AY138" s="84" t="str">
        <f>IFERROR(ROUND((tblPiNHistorical[[#This Row],[Mine Action New]]-tblPiNHistorical[[#This Row],[Mine Action Old]])/tblPiNHistorical[[#This Row],[Mine Action Old]], 1), "")</f>
        <v/>
      </c>
      <c r="AZ138" s="66">
        <f>IFERROR(ROUND((tblPiNHistorical[[#This Row],[Shelter NFI New]]-tblPiNHistorical[[#This Row],[Shelter NFI Old]])/tblPiNHistorical[[#This Row],[Shelter NFI Old]], 1), "")</f>
        <v>1.5</v>
      </c>
      <c r="BA138" s="36">
        <f>IFERROR(ROUND((tblPiNHistorical[[#This Row],[WASH New]]-tblPiNHistorical[[#This Row],[WASH Old]])/tblPiNHistorical[[#This Row],[WASH Old]], 1), "")</f>
        <v>-1</v>
      </c>
      <c r="BB138"/>
      <c r="BC138"/>
      <c r="BD138"/>
      <c r="BE138"/>
      <c r="BF138"/>
      <c r="BG138"/>
      <c r="BH138"/>
      <c r="BI138"/>
      <c r="BL138"/>
      <c r="BN138"/>
      <c r="BO138"/>
      <c r="BP138"/>
    </row>
    <row r="139" spans="1:68" x14ac:dyDescent="0.25">
      <c r="A139"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IDPsSD03167</v>
      </c>
      <c r="B139" s="127" t="s">
        <v>185</v>
      </c>
      <c r="C139" s="60" t="s">
        <v>120</v>
      </c>
      <c r="D139" s="60" t="s">
        <v>271</v>
      </c>
      <c r="E139" s="60" t="s">
        <v>270</v>
      </c>
      <c r="F139" s="54"/>
      <c r="G139" s="30"/>
      <c r="H139" s="56">
        <v>129389.1</v>
      </c>
      <c r="I139" s="37" t="s">
        <v>88</v>
      </c>
      <c r="J139" s="34">
        <v>87826</v>
      </c>
      <c r="K139" s="116">
        <v>50164.154070000004</v>
      </c>
      <c r="L139" s="114">
        <v>129389</v>
      </c>
      <c r="M139" s="114">
        <v>129389.1</v>
      </c>
      <c r="N139" s="114">
        <v>19697</v>
      </c>
      <c r="O139" s="114">
        <v>129389</v>
      </c>
      <c r="P139" s="114">
        <v>71164</v>
      </c>
      <c r="Q139" s="114">
        <v>61455</v>
      </c>
      <c r="R139" s="114">
        <v>64694.55</v>
      </c>
      <c r="S139" s="114">
        <v>103511</v>
      </c>
      <c r="T139" s="196">
        <v>40338.345816000008</v>
      </c>
      <c r="U139" s="52">
        <f>IFERROR(INDEX(tblPiNAnalysis[[Site Management ]], MATCH(tblPiNHistorical[[#This Row],[ID]], tblPiNAnalysis[ID], 0)), "")</f>
        <v>0</v>
      </c>
      <c r="V139" s="52">
        <f>IFERROR(INDEX(tblPiNAnalysis[Education], MATCH(tblPiNHistorical[[#This Row],[ID]], tblPiNAnalysis[ID], 0)), "")</f>
        <v>0</v>
      </c>
      <c r="W139" s="28">
        <f>IFERROR(INDEX(tblPiNAnalysis[Food Security and Livlihoods], MATCH(tblPiNHistorical[[#This Row],[ID]], tblPiNAnalysis[ID], 0)), "")</f>
        <v>0</v>
      </c>
      <c r="X139" s="28">
        <f>IFERROR(INDEX(tblPiNAnalysis[[Health ]], MATCH(tblPiNHistorical[[#This Row],[ID]], tblPiNAnalysis[ID], 0)), "")</f>
        <v>0</v>
      </c>
      <c r="Y139" s="28">
        <f>IFERROR(INDEX(tblPiNAnalysis[Nutrition], MATCH(tblPiNHistorical[[#This Row],[ID]], tblPiNAnalysis[ID], 0)), "")</f>
        <v>0</v>
      </c>
      <c r="Z139" s="28">
        <f>IFERROR(INDEX(tblPiNAnalysis[Protection], MATCH(tblPiNHistorical[[#This Row],[ID]], tblPiNAnalysis[ID], 0)), "")</f>
        <v>0</v>
      </c>
      <c r="AA139" s="28">
        <f>IFERROR(INDEX(tblPiNAnalysis[CP], MATCH(tblPiNHistorical[[#This Row],[ID]], tblPiNAnalysis[ID], 0)), "")</f>
        <v>0</v>
      </c>
      <c r="AB139" s="83">
        <f>IFERROR(INDEX(tblPiNAnalysis[GBV], MATCH(tblPiNHistorical[[#This Row],[ID]], tblPiNAnalysis[ID], 0)), "")</f>
        <v>0</v>
      </c>
      <c r="AC139" s="28">
        <f>IFERROR(INDEX(tblPiNAnalysis[Mine Action], MATCH(tblPiNHistorical[[#This Row],[ID]], tblPiNAnalysis[ID], 0)), "")</f>
        <v>0</v>
      </c>
      <c r="AD139" s="83">
        <f>IFERROR(INDEX(tblPiNAnalysis[[Shelter NFI ]], MATCH(tblPiNHistorical[[#This Row],[ID]], tblPiNAnalysis[ID], 0)), "")</f>
        <v>39954</v>
      </c>
      <c r="AE139" s="35">
        <f>IFERROR(INDEX(tblPiNAnalysis[WASH], MATCH(tblPiNHistorical[[#This Row],[ID]], tblPiNAnalysis[ID], 0)), "")</f>
        <v>0</v>
      </c>
      <c r="AF139" s="6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139" s="67" t="str">
        <f>IF(OR(tblPiNHistorical[[#This Row],[Education Old]]="", tblPiNHistorical[[#This Row],[Education Old]]=0, tblPiNHistorical[[#This Row],[Education New]]="", tblPiNHistorical[[#This Row],[Education New]]=0), "", tblPiNHistorical[[#This Row],[Education New]]-tblPiNHistorical[[#This Row],[Education Old]])</f>
        <v/>
      </c>
      <c r="AH139" s="67"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139" s="67" t="str">
        <f>IF(OR(tblPiNHistorical[[#This Row],[Health Old]]="", tblPiNHistorical[[#This Row],[Health Old]]=0, tblPiNHistorical[[#This Row],[Health New]]="", tblPiNHistorical[[#This Row],[Health New]]=0), "", tblPiNHistorical[[#This Row],[Health New]]-tblPiNHistorical[[#This Row],[Health Old]])</f>
        <v/>
      </c>
      <c r="AJ139" s="67" t="str">
        <f>IF(OR(tblPiNHistorical[[#This Row],[Nutrition Old]]="", tblPiNHistorical[[#This Row],[Nutrition Old]]=0, tblPiNHistorical[[#This Row],[Nutrition New]]="", tblPiNHistorical[[#This Row],[Nutrition New]]=0), "", tblPiNHistorical[[#This Row],[Nutrition New]]-tblPiNHistorical[[#This Row],[Nutrition Old]])</f>
        <v/>
      </c>
      <c r="AK139" s="67" t="str">
        <f>IF(OR(tblPiNHistorical[[#This Row],[Protection Old]]="", tblPiNHistorical[[#This Row],[Protection Old]]=0, tblPiNHistorical[[#This Row],[Protection New]]="", tblPiNHistorical[[#This Row],[Protection New]]=0), "", tblPiNHistorical[[#This Row],[Protection New]]-tblPiNHistorical[[#This Row],[Protection Old]])</f>
        <v/>
      </c>
      <c r="AL139" s="67" t="str">
        <f>IF(OR(tblPiNHistorical[[#This Row],[CP Old ]]="", tblPiNHistorical[[#This Row],[CP Old ]]=0, tblPiNHistorical[[#This Row],[CP New]]="", tblPiNHistorical[[#This Row],[CP New]]=0), "", tblPiNHistorical[[#This Row],[CP New]]-tblPiNHistorical[[#This Row],[CP Old ]])</f>
        <v/>
      </c>
      <c r="AM139" s="83" t="str">
        <f>IF(OR(tblPiNHistorical[[#This Row],[GBV Old]]="", tblPiNHistorical[[#This Row],[GBV Old]]=0, tblPiNHistorical[[#This Row],[GBV New]]="", tblPiNHistorical[[#This Row],[GBV New]]=0), "", tblPiNHistorical[[#This Row],[GBV New]]-tblPiNHistorical[[#This Row],[GBV Old]])</f>
        <v/>
      </c>
      <c r="AN139" s="83" t="str">
        <f>IF(OR(tblPiNHistorical[[#This Row],[Mine Action Old]]="", tblPiNHistorical[[#This Row],[Mine Action Old]]=0, tblPiNHistorical[[#This Row],[Mine Action New]]="", tblPiNHistorical[[#This Row],[Mine Action New]]=0), "", tblPiNHistorical[[#This Row],[Mine Action New]]-tblPiNHistorical[[#This Row],[Mine Action Old]])</f>
        <v/>
      </c>
      <c r="AO139" s="67">
        <f>IF(OR(tblPiNHistorical[[#This Row],[Shelter NFI Old]]="", tblPiNHistorical[[#This Row],[Shelter NFI Old]]=0, tblPiNHistorical[[#This Row],[Shelter NFI New]]="", tblPiNHistorical[[#This Row],[Shelter NFI New]]=0), "", tblPiNHistorical[[#This Row],[Shelter NFI New]]-tblPiNHistorical[[#This Row],[Shelter NFI Old]])</f>
        <v>-63557</v>
      </c>
      <c r="AP139" s="111" t="str">
        <f>IF(OR(tblPiNHistorical[[#This Row],[WASH Old]]="", tblPiNHistorical[[#This Row],[WASH Old]]=0, tblPiNHistorical[[#This Row],[WASH New]]="", tblPiNHistorical[[#This Row],[WASH New]]=0), "", tblPiNHistorical[[#This Row],[WASH New]]-tblPiNHistorical[[#This Row],[WASH Old]])</f>
        <v/>
      </c>
      <c r="AQ139" s="110">
        <f>IFERROR(ROUND((tblPiNHistorical[[#This Row],[Site Management - New]] - tblPiNHistorical[[#This Row],[Site Management - Old]])/tblPiNHistorical[[#This Row],[Site Management - Old]], 1), "")</f>
        <v>-1</v>
      </c>
      <c r="AR139" s="66">
        <f>IFERROR(ROUND((tblPiNHistorical[[#This Row],[Education New]]-tblPiNHistorical[[#This Row],[Education Old]])/tblPiNHistorical[[#This Row],[Education Old]], 1), "")</f>
        <v>-1</v>
      </c>
      <c r="AS139" s="66">
        <f>IFERROR(ROUND((tblPiNHistorical[[#This Row],[Food Security and Livlihoods New]]-tblPiNHistorical[[#This Row],[Food Security and Livlihoods Old]])/tblPiNHistorical[[#This Row],[Food Security and Livlihoods Old]], 1), "")</f>
        <v>-1</v>
      </c>
      <c r="AT139" s="66">
        <f>IFERROR(ROUND((tblPiNHistorical[[#This Row],[Health New]]-tblPiNHistorical[[#This Row],[Health Old]])/tblPiNHistorical[[#This Row],[Health Old]], 1), "")</f>
        <v>-1</v>
      </c>
      <c r="AU139" s="66">
        <f>IFERROR(ROUND((tblPiNHistorical[[#This Row],[Nutrition New]]-tblPiNHistorical[[#This Row],[Nutrition Old]])/tblPiNHistorical[[#This Row],[Nutrition Old]], 1), "")</f>
        <v>-1</v>
      </c>
      <c r="AV139" s="66">
        <f>IFERROR(ROUND((tblPiNHistorical[[#This Row],[Protection New]]-tblPiNHistorical[[#This Row],[Protection Old]])/tblPiNHistorical[[#This Row],[Protection Old]], 1), "")</f>
        <v>-1</v>
      </c>
      <c r="AW139" s="84">
        <f>IFERROR(ROUND((tblPiNHistorical[[#This Row],[CP New]]-tblPiNHistorical[[#This Row],[CP Old ]])/tblPiNHistorical[[#This Row],[CP Old ]], 1), "")</f>
        <v>-1</v>
      </c>
      <c r="AX139" s="84">
        <f>IFERROR(ROUND((tblPiNHistorical[[#This Row],[GBV New]]-tblPiNHistorical[[#This Row],[GBV Old]])/tblPiNHistorical[[#This Row],[GBV Old]], 1), "")</f>
        <v>-1</v>
      </c>
      <c r="AY139" s="84">
        <f>IFERROR(ROUND((tblPiNHistorical[[#This Row],[Mine Action New]]-tblPiNHistorical[[#This Row],[Mine Action Old]])/tblPiNHistorical[[#This Row],[Mine Action Old]], 1), "")</f>
        <v>-1</v>
      </c>
      <c r="AZ139" s="66">
        <f>IFERROR(ROUND((tblPiNHistorical[[#This Row],[Shelter NFI New]]-tblPiNHistorical[[#This Row],[Shelter NFI Old]])/tblPiNHistorical[[#This Row],[Shelter NFI Old]], 1), "")</f>
        <v>-0.6</v>
      </c>
      <c r="BA139" s="36">
        <f>IFERROR(ROUND((tblPiNHistorical[[#This Row],[WASH New]]-tblPiNHistorical[[#This Row],[WASH Old]])/tblPiNHistorical[[#This Row],[WASH Old]], 1), "")</f>
        <v>-1</v>
      </c>
      <c r="BB139"/>
      <c r="BC139"/>
      <c r="BD139"/>
      <c r="BE139"/>
      <c r="BF139"/>
      <c r="BG139"/>
      <c r="BH139"/>
      <c r="BI139"/>
      <c r="BL139"/>
      <c r="BN139"/>
      <c r="BO139"/>
      <c r="BP139"/>
    </row>
    <row r="140" spans="1:68" x14ac:dyDescent="0.25">
      <c r="A140"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IDPsSD03164</v>
      </c>
      <c r="B140" s="127" t="s">
        <v>185</v>
      </c>
      <c r="C140" s="60" t="s">
        <v>120</v>
      </c>
      <c r="D140" s="60" t="s">
        <v>267</v>
      </c>
      <c r="E140" s="60" t="s">
        <v>266</v>
      </c>
      <c r="F140" s="54"/>
      <c r="G140" s="30"/>
      <c r="H140" s="56">
        <v>305427.84999999998</v>
      </c>
      <c r="I140" s="37" t="s">
        <v>88</v>
      </c>
      <c r="J140" s="34">
        <v>305428</v>
      </c>
      <c r="K140" s="116">
        <v>118414.37744499999</v>
      </c>
      <c r="L140" s="114">
        <v>305427.84999999998</v>
      </c>
      <c r="M140" s="114">
        <v>305427.84999999998</v>
      </c>
      <c r="N140" s="114">
        <v>43760</v>
      </c>
      <c r="O140" s="114">
        <v>305428</v>
      </c>
      <c r="P140" s="114">
        <v>167985</v>
      </c>
      <c r="Q140" s="114">
        <v>145068</v>
      </c>
      <c r="R140" s="114">
        <v>122171.14</v>
      </c>
      <c r="S140" s="114">
        <v>183257</v>
      </c>
      <c r="T140" s="196">
        <v>188058.035802</v>
      </c>
      <c r="U140" s="52">
        <f>IFERROR(INDEX(tblPiNAnalysis[[Site Management ]], MATCH(tblPiNHistorical[[#This Row],[ID]], tblPiNAnalysis[ID], 0)), "")</f>
        <v>0</v>
      </c>
      <c r="V140" s="52">
        <f>IFERROR(INDEX(tblPiNAnalysis[Education], MATCH(tblPiNHistorical[[#This Row],[ID]], tblPiNAnalysis[ID], 0)), "")</f>
        <v>0</v>
      </c>
      <c r="W140" s="28">
        <f>IFERROR(INDEX(tblPiNAnalysis[Food Security and Livlihoods], MATCH(tblPiNHistorical[[#This Row],[ID]], tblPiNAnalysis[ID], 0)), "")</f>
        <v>0</v>
      </c>
      <c r="X140" s="28">
        <f>IFERROR(INDEX(tblPiNAnalysis[[Health ]], MATCH(tblPiNHistorical[[#This Row],[ID]], tblPiNAnalysis[ID], 0)), "")</f>
        <v>0</v>
      </c>
      <c r="Y140" s="28">
        <f>IFERROR(INDEX(tblPiNAnalysis[Nutrition], MATCH(tblPiNHistorical[[#This Row],[ID]], tblPiNAnalysis[ID], 0)), "")</f>
        <v>0</v>
      </c>
      <c r="Z140" s="28">
        <f>IFERROR(INDEX(tblPiNAnalysis[Protection], MATCH(tblPiNHistorical[[#This Row],[ID]], tblPiNAnalysis[ID], 0)), "")</f>
        <v>0</v>
      </c>
      <c r="AA140" s="28">
        <f>IFERROR(INDEX(tblPiNAnalysis[CP], MATCH(tblPiNHistorical[[#This Row],[ID]], tblPiNAnalysis[ID], 0)), "")</f>
        <v>0</v>
      </c>
      <c r="AB140" s="83">
        <f>IFERROR(INDEX(tblPiNAnalysis[GBV], MATCH(tblPiNHistorical[[#This Row],[ID]], tblPiNAnalysis[ID], 0)), "")</f>
        <v>0</v>
      </c>
      <c r="AC140" s="28">
        <f>IFERROR(INDEX(tblPiNAnalysis[Mine Action], MATCH(tblPiNHistorical[[#This Row],[ID]], tblPiNAnalysis[ID], 0)), "")</f>
        <v>0</v>
      </c>
      <c r="AD140" s="83">
        <f>IFERROR(INDEX(tblPiNAnalysis[[Shelter NFI ]], MATCH(tblPiNHistorical[[#This Row],[ID]], tblPiNAnalysis[ID], 0)), "")</f>
        <v>237768</v>
      </c>
      <c r="AE140" s="35">
        <f>IFERROR(INDEX(tblPiNAnalysis[WASH], MATCH(tblPiNHistorical[[#This Row],[ID]], tblPiNAnalysis[ID], 0)), "")</f>
        <v>0</v>
      </c>
      <c r="AF140" s="6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140" s="67" t="str">
        <f>IF(OR(tblPiNHistorical[[#This Row],[Education Old]]="", tblPiNHistorical[[#This Row],[Education Old]]=0, tblPiNHistorical[[#This Row],[Education New]]="", tblPiNHistorical[[#This Row],[Education New]]=0), "", tblPiNHistorical[[#This Row],[Education New]]-tblPiNHistorical[[#This Row],[Education Old]])</f>
        <v/>
      </c>
      <c r="AH140" s="67"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140" s="67" t="str">
        <f>IF(OR(tblPiNHistorical[[#This Row],[Health Old]]="", tblPiNHistorical[[#This Row],[Health Old]]=0, tblPiNHistorical[[#This Row],[Health New]]="", tblPiNHistorical[[#This Row],[Health New]]=0), "", tblPiNHistorical[[#This Row],[Health New]]-tblPiNHistorical[[#This Row],[Health Old]])</f>
        <v/>
      </c>
      <c r="AJ140" s="67" t="str">
        <f>IF(OR(tblPiNHistorical[[#This Row],[Nutrition Old]]="", tblPiNHistorical[[#This Row],[Nutrition Old]]=0, tblPiNHistorical[[#This Row],[Nutrition New]]="", tblPiNHistorical[[#This Row],[Nutrition New]]=0), "", tblPiNHistorical[[#This Row],[Nutrition New]]-tblPiNHistorical[[#This Row],[Nutrition Old]])</f>
        <v/>
      </c>
      <c r="AK140" s="67" t="str">
        <f>IF(OR(tblPiNHistorical[[#This Row],[Protection Old]]="", tblPiNHistorical[[#This Row],[Protection Old]]=0, tblPiNHistorical[[#This Row],[Protection New]]="", tblPiNHistorical[[#This Row],[Protection New]]=0), "", tblPiNHistorical[[#This Row],[Protection New]]-tblPiNHistorical[[#This Row],[Protection Old]])</f>
        <v/>
      </c>
      <c r="AL140" s="67" t="str">
        <f>IF(OR(tblPiNHistorical[[#This Row],[CP Old ]]="", tblPiNHistorical[[#This Row],[CP Old ]]=0, tblPiNHistorical[[#This Row],[CP New]]="", tblPiNHistorical[[#This Row],[CP New]]=0), "", tblPiNHistorical[[#This Row],[CP New]]-tblPiNHistorical[[#This Row],[CP Old ]])</f>
        <v/>
      </c>
      <c r="AM140" s="83" t="str">
        <f>IF(OR(tblPiNHistorical[[#This Row],[GBV Old]]="", tblPiNHistorical[[#This Row],[GBV Old]]=0, tblPiNHistorical[[#This Row],[GBV New]]="", tblPiNHistorical[[#This Row],[GBV New]]=0), "", tblPiNHistorical[[#This Row],[GBV New]]-tblPiNHistorical[[#This Row],[GBV Old]])</f>
        <v/>
      </c>
      <c r="AN140" s="83" t="str">
        <f>IF(OR(tblPiNHistorical[[#This Row],[Mine Action Old]]="", tblPiNHistorical[[#This Row],[Mine Action Old]]=0, tblPiNHistorical[[#This Row],[Mine Action New]]="", tblPiNHistorical[[#This Row],[Mine Action New]]=0), "", tblPiNHistorical[[#This Row],[Mine Action New]]-tblPiNHistorical[[#This Row],[Mine Action Old]])</f>
        <v/>
      </c>
      <c r="AO140" s="67">
        <f>IF(OR(tblPiNHistorical[[#This Row],[Shelter NFI Old]]="", tblPiNHistorical[[#This Row],[Shelter NFI Old]]=0, tblPiNHistorical[[#This Row],[Shelter NFI New]]="", tblPiNHistorical[[#This Row],[Shelter NFI New]]=0), "", tblPiNHistorical[[#This Row],[Shelter NFI New]]-tblPiNHistorical[[#This Row],[Shelter NFI Old]])</f>
        <v>54511</v>
      </c>
      <c r="AP140" s="111" t="str">
        <f>IF(OR(tblPiNHistorical[[#This Row],[WASH Old]]="", tblPiNHistorical[[#This Row],[WASH Old]]=0, tblPiNHistorical[[#This Row],[WASH New]]="", tblPiNHistorical[[#This Row],[WASH New]]=0), "", tblPiNHistorical[[#This Row],[WASH New]]-tblPiNHistorical[[#This Row],[WASH Old]])</f>
        <v/>
      </c>
      <c r="AQ140" s="110">
        <f>IFERROR(ROUND((tblPiNHistorical[[#This Row],[Site Management - New]] - tblPiNHistorical[[#This Row],[Site Management - Old]])/tblPiNHistorical[[#This Row],[Site Management - Old]], 1), "")</f>
        <v>-1</v>
      </c>
      <c r="AR140" s="66">
        <f>IFERROR(ROUND((tblPiNHistorical[[#This Row],[Education New]]-tblPiNHistorical[[#This Row],[Education Old]])/tblPiNHistorical[[#This Row],[Education Old]], 1), "")</f>
        <v>-1</v>
      </c>
      <c r="AS140" s="66">
        <f>IFERROR(ROUND((tblPiNHistorical[[#This Row],[Food Security and Livlihoods New]]-tblPiNHistorical[[#This Row],[Food Security and Livlihoods Old]])/tblPiNHistorical[[#This Row],[Food Security and Livlihoods Old]], 1), "")</f>
        <v>-1</v>
      </c>
      <c r="AT140" s="66">
        <f>IFERROR(ROUND((tblPiNHistorical[[#This Row],[Health New]]-tblPiNHistorical[[#This Row],[Health Old]])/tblPiNHistorical[[#This Row],[Health Old]], 1), "")</f>
        <v>-1</v>
      </c>
      <c r="AU140" s="66">
        <f>IFERROR(ROUND((tblPiNHistorical[[#This Row],[Nutrition New]]-tblPiNHistorical[[#This Row],[Nutrition Old]])/tblPiNHistorical[[#This Row],[Nutrition Old]], 1), "")</f>
        <v>-1</v>
      </c>
      <c r="AV140" s="66">
        <f>IFERROR(ROUND((tblPiNHistorical[[#This Row],[Protection New]]-tblPiNHistorical[[#This Row],[Protection Old]])/tblPiNHistorical[[#This Row],[Protection Old]], 1), "")</f>
        <v>-1</v>
      </c>
      <c r="AW140" s="84">
        <f>IFERROR(ROUND((tblPiNHistorical[[#This Row],[CP New]]-tblPiNHistorical[[#This Row],[CP Old ]])/tblPiNHistorical[[#This Row],[CP Old ]], 1), "")</f>
        <v>-1</v>
      </c>
      <c r="AX140" s="84">
        <f>IFERROR(ROUND((tblPiNHistorical[[#This Row],[GBV New]]-tblPiNHistorical[[#This Row],[GBV Old]])/tblPiNHistorical[[#This Row],[GBV Old]], 1), "")</f>
        <v>-1</v>
      </c>
      <c r="AY140" s="84">
        <f>IFERROR(ROUND((tblPiNHistorical[[#This Row],[Mine Action New]]-tblPiNHistorical[[#This Row],[Mine Action Old]])/tblPiNHistorical[[#This Row],[Mine Action Old]], 1), "")</f>
        <v>-1</v>
      </c>
      <c r="AZ140" s="66">
        <f>IFERROR(ROUND((tblPiNHistorical[[#This Row],[Shelter NFI New]]-tblPiNHistorical[[#This Row],[Shelter NFI Old]])/tblPiNHistorical[[#This Row],[Shelter NFI Old]], 1), "")</f>
        <v>0.3</v>
      </c>
      <c r="BA140" s="36">
        <f>IFERROR(ROUND((tblPiNHistorical[[#This Row],[WASH New]]-tblPiNHistorical[[#This Row],[WASH Old]])/tblPiNHistorical[[#This Row],[WASH Old]], 1), "")</f>
        <v>-1</v>
      </c>
      <c r="BB140"/>
      <c r="BC140"/>
      <c r="BD140"/>
      <c r="BE140"/>
      <c r="BF140"/>
      <c r="BG140"/>
      <c r="BH140"/>
      <c r="BI140"/>
      <c r="BL140"/>
      <c r="BN140"/>
      <c r="BO140"/>
      <c r="BP140"/>
    </row>
    <row r="141" spans="1:68" x14ac:dyDescent="0.25">
      <c r="A141"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IDPsSD03158</v>
      </c>
      <c r="B141" s="127" t="s">
        <v>185</v>
      </c>
      <c r="C141" s="60" t="s">
        <v>120</v>
      </c>
      <c r="D141" s="60" t="s">
        <v>259</v>
      </c>
      <c r="E141" s="60" t="s">
        <v>258</v>
      </c>
      <c r="F141" s="54"/>
      <c r="G141" s="30"/>
      <c r="H141" s="56">
        <v>6950</v>
      </c>
      <c r="I141" s="37" t="s">
        <v>88</v>
      </c>
      <c r="J141" s="34">
        <v>3393</v>
      </c>
      <c r="K141" s="116">
        <v>2694.5149999999999</v>
      </c>
      <c r="L141" s="114">
        <v>6950</v>
      </c>
      <c r="M141" s="114">
        <v>6950</v>
      </c>
      <c r="N141" s="114">
        <v>430</v>
      </c>
      <c r="O141" s="114">
        <v>6950</v>
      </c>
      <c r="P141" s="114">
        <v>3823</v>
      </c>
      <c r="Q141" s="114">
        <v>2751</v>
      </c>
      <c r="R141" s="114">
        <v>0</v>
      </c>
      <c r="S141" s="114">
        <v>0</v>
      </c>
      <c r="T141" s="196">
        <v>0</v>
      </c>
      <c r="U141" s="52">
        <f>IFERROR(INDEX(tblPiNAnalysis[[Site Management ]], MATCH(tblPiNHistorical[[#This Row],[ID]], tblPiNAnalysis[ID], 0)), "")</f>
        <v>0</v>
      </c>
      <c r="V141" s="52">
        <f>IFERROR(INDEX(tblPiNAnalysis[Education], MATCH(tblPiNHistorical[[#This Row],[ID]], tblPiNAnalysis[ID], 0)), "")</f>
        <v>0</v>
      </c>
      <c r="W141" s="28">
        <f>IFERROR(INDEX(tblPiNAnalysis[Food Security and Livlihoods], MATCH(tblPiNHistorical[[#This Row],[ID]], tblPiNAnalysis[ID], 0)), "")</f>
        <v>0</v>
      </c>
      <c r="X141" s="28">
        <f>IFERROR(INDEX(tblPiNAnalysis[[Health ]], MATCH(tblPiNHistorical[[#This Row],[ID]], tblPiNAnalysis[ID], 0)), "")</f>
        <v>0</v>
      </c>
      <c r="Y141" s="28">
        <f>IFERROR(INDEX(tblPiNAnalysis[Nutrition], MATCH(tblPiNHistorical[[#This Row],[ID]], tblPiNAnalysis[ID], 0)), "")</f>
        <v>0</v>
      </c>
      <c r="Z141" s="28">
        <f>IFERROR(INDEX(tblPiNAnalysis[Protection], MATCH(tblPiNHistorical[[#This Row],[ID]], tblPiNAnalysis[ID], 0)), "")</f>
        <v>0</v>
      </c>
      <c r="AA141" s="28">
        <f>IFERROR(INDEX(tblPiNAnalysis[CP], MATCH(tblPiNHistorical[[#This Row],[ID]], tblPiNAnalysis[ID], 0)), "")</f>
        <v>0</v>
      </c>
      <c r="AB141" s="83">
        <f>IFERROR(INDEX(tblPiNAnalysis[GBV], MATCH(tblPiNHistorical[[#This Row],[ID]], tblPiNAnalysis[ID], 0)), "")</f>
        <v>0</v>
      </c>
      <c r="AC141" s="28">
        <f>IFERROR(INDEX(tblPiNAnalysis[Mine Action], MATCH(tblPiNHistorical[[#This Row],[ID]], tblPiNAnalysis[ID], 0)), "")</f>
        <v>0</v>
      </c>
      <c r="AD141" s="83">
        <f>IFERROR(INDEX(tblPiNAnalysis[[Shelter NFI ]], MATCH(tblPiNHistorical[[#This Row],[ID]], tblPiNAnalysis[ID], 0)), "")</f>
        <v>18534</v>
      </c>
      <c r="AE141" s="35">
        <f>IFERROR(INDEX(tblPiNAnalysis[WASH], MATCH(tblPiNHistorical[[#This Row],[ID]], tblPiNAnalysis[ID], 0)), "")</f>
        <v>0</v>
      </c>
      <c r="AF141" s="6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141" s="67" t="str">
        <f>IF(OR(tblPiNHistorical[[#This Row],[Education Old]]="", tblPiNHistorical[[#This Row],[Education Old]]=0, tblPiNHistorical[[#This Row],[Education New]]="", tblPiNHistorical[[#This Row],[Education New]]=0), "", tblPiNHistorical[[#This Row],[Education New]]-tblPiNHistorical[[#This Row],[Education Old]])</f>
        <v/>
      </c>
      <c r="AH141" s="67"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141" s="67" t="str">
        <f>IF(OR(tblPiNHistorical[[#This Row],[Health Old]]="", tblPiNHistorical[[#This Row],[Health Old]]=0, tblPiNHistorical[[#This Row],[Health New]]="", tblPiNHistorical[[#This Row],[Health New]]=0), "", tblPiNHistorical[[#This Row],[Health New]]-tblPiNHistorical[[#This Row],[Health Old]])</f>
        <v/>
      </c>
      <c r="AJ141" s="67" t="str">
        <f>IF(OR(tblPiNHistorical[[#This Row],[Nutrition Old]]="", tblPiNHistorical[[#This Row],[Nutrition Old]]=0, tblPiNHistorical[[#This Row],[Nutrition New]]="", tblPiNHistorical[[#This Row],[Nutrition New]]=0), "", tblPiNHistorical[[#This Row],[Nutrition New]]-tblPiNHistorical[[#This Row],[Nutrition Old]])</f>
        <v/>
      </c>
      <c r="AK141" s="67" t="str">
        <f>IF(OR(tblPiNHistorical[[#This Row],[Protection Old]]="", tblPiNHistorical[[#This Row],[Protection Old]]=0, tblPiNHistorical[[#This Row],[Protection New]]="", tblPiNHistorical[[#This Row],[Protection New]]=0), "", tblPiNHistorical[[#This Row],[Protection New]]-tblPiNHistorical[[#This Row],[Protection Old]])</f>
        <v/>
      </c>
      <c r="AL141" s="67" t="str">
        <f>IF(OR(tblPiNHistorical[[#This Row],[CP Old ]]="", tblPiNHistorical[[#This Row],[CP Old ]]=0, tblPiNHistorical[[#This Row],[CP New]]="", tblPiNHistorical[[#This Row],[CP New]]=0), "", tblPiNHistorical[[#This Row],[CP New]]-tblPiNHistorical[[#This Row],[CP Old ]])</f>
        <v/>
      </c>
      <c r="AM141" s="83" t="str">
        <f>IF(OR(tblPiNHistorical[[#This Row],[GBV Old]]="", tblPiNHistorical[[#This Row],[GBV Old]]=0, tblPiNHistorical[[#This Row],[GBV New]]="", tblPiNHistorical[[#This Row],[GBV New]]=0), "", tblPiNHistorical[[#This Row],[GBV New]]-tblPiNHistorical[[#This Row],[GBV Old]])</f>
        <v/>
      </c>
      <c r="AN141" s="83" t="str">
        <f>IF(OR(tblPiNHistorical[[#This Row],[Mine Action Old]]="", tblPiNHistorical[[#This Row],[Mine Action Old]]=0, tblPiNHistorical[[#This Row],[Mine Action New]]="", tblPiNHistorical[[#This Row],[Mine Action New]]=0), "", tblPiNHistorical[[#This Row],[Mine Action New]]-tblPiNHistorical[[#This Row],[Mine Action Old]])</f>
        <v/>
      </c>
      <c r="AO141" s="67" t="str">
        <f>IF(OR(tblPiNHistorical[[#This Row],[Shelter NFI Old]]="", tblPiNHistorical[[#This Row],[Shelter NFI Old]]=0, tblPiNHistorical[[#This Row],[Shelter NFI New]]="", tblPiNHistorical[[#This Row],[Shelter NFI New]]=0), "", tblPiNHistorical[[#This Row],[Shelter NFI New]]-tblPiNHistorical[[#This Row],[Shelter NFI Old]])</f>
        <v/>
      </c>
      <c r="AP141" s="111" t="str">
        <f>IF(OR(tblPiNHistorical[[#This Row],[WASH Old]]="", tblPiNHistorical[[#This Row],[WASH Old]]=0, tblPiNHistorical[[#This Row],[WASH New]]="", tblPiNHistorical[[#This Row],[WASH New]]=0), "", tblPiNHistorical[[#This Row],[WASH New]]-tblPiNHistorical[[#This Row],[WASH Old]])</f>
        <v/>
      </c>
      <c r="AQ141" s="110">
        <f>IFERROR(ROUND((tblPiNHistorical[[#This Row],[Site Management - New]] - tblPiNHistorical[[#This Row],[Site Management - Old]])/tblPiNHistorical[[#This Row],[Site Management - Old]], 1), "")</f>
        <v>-1</v>
      </c>
      <c r="AR141" s="66">
        <f>IFERROR(ROUND((tblPiNHistorical[[#This Row],[Education New]]-tblPiNHistorical[[#This Row],[Education Old]])/tblPiNHistorical[[#This Row],[Education Old]], 1), "")</f>
        <v>-1</v>
      </c>
      <c r="AS141" s="66">
        <f>IFERROR(ROUND((tblPiNHistorical[[#This Row],[Food Security and Livlihoods New]]-tblPiNHistorical[[#This Row],[Food Security and Livlihoods Old]])/tblPiNHistorical[[#This Row],[Food Security and Livlihoods Old]], 1), "")</f>
        <v>-1</v>
      </c>
      <c r="AT141" s="66">
        <f>IFERROR(ROUND((tblPiNHistorical[[#This Row],[Health New]]-tblPiNHistorical[[#This Row],[Health Old]])/tblPiNHistorical[[#This Row],[Health Old]], 1), "")</f>
        <v>-1</v>
      </c>
      <c r="AU141" s="66">
        <f>IFERROR(ROUND((tblPiNHistorical[[#This Row],[Nutrition New]]-tblPiNHistorical[[#This Row],[Nutrition Old]])/tblPiNHistorical[[#This Row],[Nutrition Old]], 1), "")</f>
        <v>-1</v>
      </c>
      <c r="AV141" s="66">
        <f>IFERROR(ROUND((tblPiNHistorical[[#This Row],[Protection New]]-tblPiNHistorical[[#This Row],[Protection Old]])/tblPiNHistorical[[#This Row],[Protection Old]], 1), "")</f>
        <v>-1</v>
      </c>
      <c r="AW141" s="84">
        <f>IFERROR(ROUND((tblPiNHistorical[[#This Row],[CP New]]-tblPiNHistorical[[#This Row],[CP Old ]])/tblPiNHistorical[[#This Row],[CP Old ]], 1), "")</f>
        <v>-1</v>
      </c>
      <c r="AX141" s="84">
        <f>IFERROR(ROUND((tblPiNHistorical[[#This Row],[GBV New]]-tblPiNHistorical[[#This Row],[GBV Old]])/tblPiNHistorical[[#This Row],[GBV Old]], 1), "")</f>
        <v>-1</v>
      </c>
      <c r="AY141" s="84" t="str">
        <f>IFERROR(ROUND((tblPiNHistorical[[#This Row],[Mine Action New]]-tblPiNHistorical[[#This Row],[Mine Action Old]])/tblPiNHistorical[[#This Row],[Mine Action Old]], 1), "")</f>
        <v/>
      </c>
      <c r="AZ141" s="66" t="str">
        <f>IFERROR(ROUND((tblPiNHistorical[[#This Row],[Shelter NFI New]]-tblPiNHistorical[[#This Row],[Shelter NFI Old]])/tblPiNHistorical[[#This Row],[Shelter NFI Old]], 1), "")</f>
        <v/>
      </c>
      <c r="BA141" s="36" t="str">
        <f>IFERROR(ROUND((tblPiNHistorical[[#This Row],[WASH New]]-tblPiNHistorical[[#This Row],[WASH Old]])/tblPiNHistorical[[#This Row],[WASH Old]], 1), "")</f>
        <v/>
      </c>
      <c r="BB141"/>
      <c r="BC141"/>
      <c r="BD141"/>
      <c r="BE141"/>
      <c r="BF141"/>
      <c r="BG141"/>
      <c r="BH141"/>
      <c r="BI141"/>
      <c r="BL141"/>
      <c r="BN141"/>
      <c r="BO141"/>
      <c r="BP141"/>
    </row>
    <row r="142" spans="1:68" x14ac:dyDescent="0.25">
      <c r="A142"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IDPsSD03147</v>
      </c>
      <c r="B142" s="127" t="s">
        <v>185</v>
      </c>
      <c r="C142" s="60" t="s">
        <v>120</v>
      </c>
      <c r="D142" s="60" t="s">
        <v>243</v>
      </c>
      <c r="E142" s="60" t="s">
        <v>242</v>
      </c>
      <c r="F142" s="54"/>
      <c r="G142" s="30"/>
      <c r="H142" s="56">
        <v>3824</v>
      </c>
      <c r="I142" s="37" t="s">
        <v>88</v>
      </c>
      <c r="J142" s="34">
        <v>3275</v>
      </c>
      <c r="K142" s="116">
        <v>1482.5647999999999</v>
      </c>
      <c r="L142" s="114">
        <v>3824</v>
      </c>
      <c r="M142" s="114">
        <v>3824</v>
      </c>
      <c r="N142" s="114">
        <v>808</v>
      </c>
      <c r="O142" s="114">
        <v>3824</v>
      </c>
      <c r="P142" s="114">
        <v>2103</v>
      </c>
      <c r="Q142" s="114">
        <v>1514</v>
      </c>
      <c r="R142" s="114">
        <v>1147.2</v>
      </c>
      <c r="S142" s="114">
        <v>1530</v>
      </c>
      <c r="T142" s="196">
        <v>0</v>
      </c>
      <c r="U142" s="52">
        <f>IFERROR(INDEX(tblPiNAnalysis[[Site Management ]], MATCH(tblPiNHistorical[[#This Row],[ID]], tblPiNAnalysis[ID], 0)), "")</f>
        <v>0</v>
      </c>
      <c r="V142" s="52">
        <f>IFERROR(INDEX(tblPiNAnalysis[Education], MATCH(tblPiNHistorical[[#This Row],[ID]], tblPiNAnalysis[ID], 0)), "")</f>
        <v>0</v>
      </c>
      <c r="W142" s="28">
        <f>IFERROR(INDEX(tblPiNAnalysis[Food Security and Livlihoods], MATCH(tblPiNHistorical[[#This Row],[ID]], tblPiNAnalysis[ID], 0)), "")</f>
        <v>0</v>
      </c>
      <c r="X142" s="28">
        <f>IFERROR(INDEX(tblPiNAnalysis[[Health ]], MATCH(tblPiNHistorical[[#This Row],[ID]], tblPiNAnalysis[ID], 0)), "")</f>
        <v>0</v>
      </c>
      <c r="Y142" s="28">
        <f>IFERROR(INDEX(tblPiNAnalysis[Nutrition], MATCH(tblPiNHistorical[[#This Row],[ID]], tblPiNAnalysis[ID], 0)), "")</f>
        <v>0</v>
      </c>
      <c r="Z142" s="28">
        <f>IFERROR(INDEX(tblPiNAnalysis[Protection], MATCH(tblPiNHistorical[[#This Row],[ID]], tblPiNAnalysis[ID], 0)), "")</f>
        <v>0</v>
      </c>
      <c r="AA142" s="28">
        <f>IFERROR(INDEX(tblPiNAnalysis[CP], MATCH(tblPiNHistorical[[#This Row],[ID]], tblPiNAnalysis[ID], 0)), "")</f>
        <v>0</v>
      </c>
      <c r="AB142" s="83">
        <f>IFERROR(INDEX(tblPiNAnalysis[GBV], MATCH(tblPiNHistorical[[#This Row],[ID]], tblPiNAnalysis[ID], 0)), "")</f>
        <v>0</v>
      </c>
      <c r="AC142" s="28">
        <f>IFERROR(INDEX(tblPiNAnalysis[Mine Action], MATCH(tblPiNHistorical[[#This Row],[ID]], tblPiNAnalysis[ID], 0)), "")</f>
        <v>0</v>
      </c>
      <c r="AD142" s="83">
        <f>IFERROR(INDEX(tblPiNAnalysis[[Shelter NFI ]], MATCH(tblPiNHistorical[[#This Row],[ID]], tblPiNAnalysis[ID], 0)), "")</f>
        <v>19635</v>
      </c>
      <c r="AE142" s="35">
        <f>IFERROR(INDEX(tblPiNAnalysis[WASH], MATCH(tblPiNHistorical[[#This Row],[ID]], tblPiNAnalysis[ID], 0)), "")</f>
        <v>0</v>
      </c>
      <c r="AF142" s="6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142" s="67" t="str">
        <f>IF(OR(tblPiNHistorical[[#This Row],[Education Old]]="", tblPiNHistorical[[#This Row],[Education Old]]=0, tblPiNHistorical[[#This Row],[Education New]]="", tblPiNHistorical[[#This Row],[Education New]]=0), "", tblPiNHistorical[[#This Row],[Education New]]-tblPiNHistorical[[#This Row],[Education Old]])</f>
        <v/>
      </c>
      <c r="AH142" s="67"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142" s="67" t="str">
        <f>IF(OR(tblPiNHistorical[[#This Row],[Health Old]]="", tblPiNHistorical[[#This Row],[Health Old]]=0, tblPiNHistorical[[#This Row],[Health New]]="", tblPiNHistorical[[#This Row],[Health New]]=0), "", tblPiNHistorical[[#This Row],[Health New]]-tblPiNHistorical[[#This Row],[Health Old]])</f>
        <v/>
      </c>
      <c r="AJ142" s="67" t="str">
        <f>IF(OR(tblPiNHistorical[[#This Row],[Nutrition Old]]="", tblPiNHistorical[[#This Row],[Nutrition Old]]=0, tblPiNHistorical[[#This Row],[Nutrition New]]="", tblPiNHistorical[[#This Row],[Nutrition New]]=0), "", tblPiNHistorical[[#This Row],[Nutrition New]]-tblPiNHistorical[[#This Row],[Nutrition Old]])</f>
        <v/>
      </c>
      <c r="AK142" s="67" t="str">
        <f>IF(OR(tblPiNHistorical[[#This Row],[Protection Old]]="", tblPiNHistorical[[#This Row],[Protection Old]]=0, tblPiNHistorical[[#This Row],[Protection New]]="", tblPiNHistorical[[#This Row],[Protection New]]=0), "", tblPiNHistorical[[#This Row],[Protection New]]-tblPiNHistorical[[#This Row],[Protection Old]])</f>
        <v/>
      </c>
      <c r="AL142" s="67" t="str">
        <f>IF(OR(tblPiNHistorical[[#This Row],[CP Old ]]="", tblPiNHistorical[[#This Row],[CP Old ]]=0, tblPiNHistorical[[#This Row],[CP New]]="", tblPiNHistorical[[#This Row],[CP New]]=0), "", tblPiNHistorical[[#This Row],[CP New]]-tblPiNHistorical[[#This Row],[CP Old ]])</f>
        <v/>
      </c>
      <c r="AM142" s="83" t="str">
        <f>IF(OR(tblPiNHistorical[[#This Row],[GBV Old]]="", tblPiNHistorical[[#This Row],[GBV Old]]=0, tblPiNHistorical[[#This Row],[GBV New]]="", tblPiNHistorical[[#This Row],[GBV New]]=0), "", tblPiNHistorical[[#This Row],[GBV New]]-tblPiNHistorical[[#This Row],[GBV Old]])</f>
        <v/>
      </c>
      <c r="AN142" s="83" t="str">
        <f>IF(OR(tblPiNHistorical[[#This Row],[Mine Action Old]]="", tblPiNHistorical[[#This Row],[Mine Action Old]]=0, tblPiNHistorical[[#This Row],[Mine Action New]]="", tblPiNHistorical[[#This Row],[Mine Action New]]=0), "", tblPiNHistorical[[#This Row],[Mine Action New]]-tblPiNHistorical[[#This Row],[Mine Action Old]])</f>
        <v/>
      </c>
      <c r="AO142" s="67">
        <f>IF(OR(tblPiNHistorical[[#This Row],[Shelter NFI Old]]="", tblPiNHistorical[[#This Row],[Shelter NFI Old]]=0, tblPiNHistorical[[#This Row],[Shelter NFI New]]="", tblPiNHistorical[[#This Row],[Shelter NFI New]]=0), "", tblPiNHistorical[[#This Row],[Shelter NFI New]]-tblPiNHistorical[[#This Row],[Shelter NFI Old]])</f>
        <v>18105</v>
      </c>
      <c r="AP142" s="111" t="str">
        <f>IF(OR(tblPiNHistorical[[#This Row],[WASH Old]]="", tblPiNHistorical[[#This Row],[WASH Old]]=0, tblPiNHistorical[[#This Row],[WASH New]]="", tblPiNHistorical[[#This Row],[WASH New]]=0), "", tblPiNHistorical[[#This Row],[WASH New]]-tblPiNHistorical[[#This Row],[WASH Old]])</f>
        <v/>
      </c>
      <c r="AQ142" s="110">
        <f>IFERROR(ROUND((tblPiNHistorical[[#This Row],[Site Management - New]] - tblPiNHistorical[[#This Row],[Site Management - Old]])/tblPiNHistorical[[#This Row],[Site Management - Old]], 1), "")</f>
        <v>-1</v>
      </c>
      <c r="AR142" s="66">
        <f>IFERROR(ROUND((tblPiNHistorical[[#This Row],[Education New]]-tblPiNHistorical[[#This Row],[Education Old]])/tblPiNHistorical[[#This Row],[Education Old]], 1), "")</f>
        <v>-1</v>
      </c>
      <c r="AS142" s="66">
        <f>IFERROR(ROUND((tblPiNHistorical[[#This Row],[Food Security and Livlihoods New]]-tblPiNHistorical[[#This Row],[Food Security and Livlihoods Old]])/tblPiNHistorical[[#This Row],[Food Security and Livlihoods Old]], 1), "")</f>
        <v>-1</v>
      </c>
      <c r="AT142" s="66">
        <f>IFERROR(ROUND((tblPiNHistorical[[#This Row],[Health New]]-tblPiNHistorical[[#This Row],[Health Old]])/tblPiNHistorical[[#This Row],[Health Old]], 1), "")</f>
        <v>-1</v>
      </c>
      <c r="AU142" s="66">
        <f>IFERROR(ROUND((tblPiNHistorical[[#This Row],[Nutrition New]]-tblPiNHistorical[[#This Row],[Nutrition Old]])/tblPiNHistorical[[#This Row],[Nutrition Old]], 1), "")</f>
        <v>-1</v>
      </c>
      <c r="AV142" s="66">
        <f>IFERROR(ROUND((tblPiNHistorical[[#This Row],[Protection New]]-tblPiNHistorical[[#This Row],[Protection Old]])/tblPiNHistorical[[#This Row],[Protection Old]], 1), "")</f>
        <v>-1</v>
      </c>
      <c r="AW142" s="84">
        <f>IFERROR(ROUND((tblPiNHistorical[[#This Row],[CP New]]-tblPiNHistorical[[#This Row],[CP Old ]])/tblPiNHistorical[[#This Row],[CP Old ]], 1), "")</f>
        <v>-1</v>
      </c>
      <c r="AX142" s="84">
        <f>IFERROR(ROUND((tblPiNHistorical[[#This Row],[GBV New]]-tblPiNHistorical[[#This Row],[GBV Old]])/tblPiNHistorical[[#This Row],[GBV Old]], 1), "")</f>
        <v>-1</v>
      </c>
      <c r="AY142" s="84">
        <f>IFERROR(ROUND((tblPiNHistorical[[#This Row],[Mine Action New]]-tblPiNHistorical[[#This Row],[Mine Action Old]])/tblPiNHistorical[[#This Row],[Mine Action Old]], 1), "")</f>
        <v>-1</v>
      </c>
      <c r="AZ142" s="66">
        <f>IFERROR(ROUND((tblPiNHistorical[[#This Row],[Shelter NFI New]]-tblPiNHistorical[[#This Row],[Shelter NFI Old]])/tblPiNHistorical[[#This Row],[Shelter NFI Old]], 1), "")</f>
        <v>11.8</v>
      </c>
      <c r="BA142" s="36" t="str">
        <f>IFERROR(ROUND((tblPiNHistorical[[#This Row],[WASH New]]-tblPiNHistorical[[#This Row],[WASH Old]])/tblPiNHistorical[[#This Row],[WASH Old]], 1), "")</f>
        <v/>
      </c>
      <c r="BB142"/>
      <c r="BC142"/>
      <c r="BD142"/>
      <c r="BE142"/>
      <c r="BF142"/>
      <c r="BG142"/>
      <c r="BH142"/>
      <c r="BI142"/>
      <c r="BL142"/>
      <c r="BN142"/>
      <c r="BO142"/>
      <c r="BP142"/>
    </row>
    <row r="143" spans="1:68" x14ac:dyDescent="0.25">
      <c r="A143"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IDPsSD03154</v>
      </c>
      <c r="B143" s="127" t="s">
        <v>185</v>
      </c>
      <c r="C143" s="60" t="s">
        <v>120</v>
      </c>
      <c r="D143" s="60" t="s">
        <v>253</v>
      </c>
      <c r="E143" s="60" t="s">
        <v>252</v>
      </c>
      <c r="F143" s="54"/>
      <c r="G143" s="30"/>
      <c r="H143" s="56">
        <v>0</v>
      </c>
      <c r="I143" s="37" t="s">
        <v>88</v>
      </c>
      <c r="J143" s="34">
        <v>0</v>
      </c>
      <c r="K143" s="116">
        <v>0</v>
      </c>
      <c r="L143" s="114">
        <v>0</v>
      </c>
      <c r="M143" s="114">
        <v>0</v>
      </c>
      <c r="N143" s="114">
        <v>0</v>
      </c>
      <c r="O143" s="114">
        <v>0</v>
      </c>
      <c r="P143" s="114">
        <v>0</v>
      </c>
      <c r="Q143" s="114">
        <v>0</v>
      </c>
      <c r="R143" s="114">
        <v>0</v>
      </c>
      <c r="S143" s="114">
        <v>0</v>
      </c>
      <c r="T143" s="196">
        <v>0</v>
      </c>
      <c r="U143" s="52">
        <f>IFERROR(INDEX(tblPiNAnalysis[[Site Management ]], MATCH(tblPiNHistorical[[#This Row],[ID]], tblPiNAnalysis[ID], 0)), "")</f>
        <v>0</v>
      </c>
      <c r="V143" s="52">
        <f>IFERROR(INDEX(tblPiNAnalysis[Education], MATCH(tblPiNHistorical[[#This Row],[ID]], tblPiNAnalysis[ID], 0)), "")</f>
        <v>0</v>
      </c>
      <c r="W143" s="28">
        <f>IFERROR(INDEX(tblPiNAnalysis[Food Security and Livlihoods], MATCH(tblPiNHistorical[[#This Row],[ID]], tblPiNAnalysis[ID], 0)), "")</f>
        <v>0</v>
      </c>
      <c r="X143" s="28">
        <f>IFERROR(INDEX(tblPiNAnalysis[[Health ]], MATCH(tblPiNHistorical[[#This Row],[ID]], tblPiNAnalysis[ID], 0)), "")</f>
        <v>0</v>
      </c>
      <c r="Y143" s="28">
        <f>IFERROR(INDEX(tblPiNAnalysis[Nutrition], MATCH(tblPiNHistorical[[#This Row],[ID]], tblPiNAnalysis[ID], 0)), "")</f>
        <v>0</v>
      </c>
      <c r="Z143" s="28">
        <f>IFERROR(INDEX(tblPiNAnalysis[Protection], MATCH(tblPiNHistorical[[#This Row],[ID]], tblPiNAnalysis[ID], 0)), "")</f>
        <v>0</v>
      </c>
      <c r="AA143" s="28">
        <f>IFERROR(INDEX(tblPiNAnalysis[CP], MATCH(tblPiNHistorical[[#This Row],[ID]], tblPiNAnalysis[ID], 0)), "")</f>
        <v>0</v>
      </c>
      <c r="AB143" s="83">
        <f>IFERROR(INDEX(tblPiNAnalysis[GBV], MATCH(tblPiNHistorical[[#This Row],[ID]], tblPiNAnalysis[ID], 0)), "")</f>
        <v>0</v>
      </c>
      <c r="AC143" s="28">
        <f>IFERROR(INDEX(tblPiNAnalysis[Mine Action], MATCH(tblPiNHistorical[[#This Row],[ID]], tblPiNAnalysis[ID], 0)), "")</f>
        <v>0</v>
      </c>
      <c r="AD143" s="83">
        <f>IFERROR(INDEX(tblPiNAnalysis[[Shelter NFI ]], MATCH(tblPiNHistorical[[#This Row],[ID]], tblPiNAnalysis[ID], 0)), "")</f>
        <v>0</v>
      </c>
      <c r="AE143" s="35">
        <f>IFERROR(INDEX(tblPiNAnalysis[WASH], MATCH(tblPiNHistorical[[#This Row],[ID]], tblPiNAnalysis[ID], 0)), "")</f>
        <v>0</v>
      </c>
      <c r="AF143" s="6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143" s="67" t="str">
        <f>IF(OR(tblPiNHistorical[[#This Row],[Education Old]]="", tblPiNHistorical[[#This Row],[Education Old]]=0, tblPiNHistorical[[#This Row],[Education New]]="", tblPiNHistorical[[#This Row],[Education New]]=0), "", tblPiNHistorical[[#This Row],[Education New]]-tblPiNHistorical[[#This Row],[Education Old]])</f>
        <v/>
      </c>
      <c r="AH143" s="67"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143" s="67" t="str">
        <f>IF(OR(tblPiNHistorical[[#This Row],[Health Old]]="", tblPiNHistorical[[#This Row],[Health Old]]=0, tblPiNHistorical[[#This Row],[Health New]]="", tblPiNHistorical[[#This Row],[Health New]]=0), "", tblPiNHistorical[[#This Row],[Health New]]-tblPiNHistorical[[#This Row],[Health Old]])</f>
        <v/>
      </c>
      <c r="AJ143" s="67" t="str">
        <f>IF(OR(tblPiNHistorical[[#This Row],[Nutrition Old]]="", tblPiNHistorical[[#This Row],[Nutrition Old]]=0, tblPiNHistorical[[#This Row],[Nutrition New]]="", tblPiNHistorical[[#This Row],[Nutrition New]]=0), "", tblPiNHistorical[[#This Row],[Nutrition New]]-tblPiNHistorical[[#This Row],[Nutrition Old]])</f>
        <v/>
      </c>
      <c r="AK143" s="67" t="str">
        <f>IF(OR(tblPiNHistorical[[#This Row],[Protection Old]]="", tblPiNHistorical[[#This Row],[Protection Old]]=0, tblPiNHistorical[[#This Row],[Protection New]]="", tblPiNHistorical[[#This Row],[Protection New]]=0), "", tblPiNHistorical[[#This Row],[Protection New]]-tblPiNHistorical[[#This Row],[Protection Old]])</f>
        <v/>
      </c>
      <c r="AL143" s="67" t="str">
        <f>IF(OR(tblPiNHistorical[[#This Row],[CP Old ]]="", tblPiNHistorical[[#This Row],[CP Old ]]=0, tblPiNHistorical[[#This Row],[CP New]]="", tblPiNHistorical[[#This Row],[CP New]]=0), "", tblPiNHistorical[[#This Row],[CP New]]-tblPiNHistorical[[#This Row],[CP Old ]])</f>
        <v/>
      </c>
      <c r="AM143" s="83" t="str">
        <f>IF(OR(tblPiNHistorical[[#This Row],[GBV Old]]="", tblPiNHistorical[[#This Row],[GBV Old]]=0, tblPiNHistorical[[#This Row],[GBV New]]="", tblPiNHistorical[[#This Row],[GBV New]]=0), "", tblPiNHistorical[[#This Row],[GBV New]]-tblPiNHistorical[[#This Row],[GBV Old]])</f>
        <v/>
      </c>
      <c r="AN143" s="83" t="str">
        <f>IF(OR(tblPiNHistorical[[#This Row],[Mine Action Old]]="", tblPiNHistorical[[#This Row],[Mine Action Old]]=0, tblPiNHistorical[[#This Row],[Mine Action New]]="", tblPiNHistorical[[#This Row],[Mine Action New]]=0), "", tblPiNHistorical[[#This Row],[Mine Action New]]-tblPiNHistorical[[#This Row],[Mine Action Old]])</f>
        <v/>
      </c>
      <c r="AO143" s="67" t="str">
        <f>IF(OR(tblPiNHistorical[[#This Row],[Shelter NFI Old]]="", tblPiNHistorical[[#This Row],[Shelter NFI Old]]=0, tblPiNHistorical[[#This Row],[Shelter NFI New]]="", tblPiNHistorical[[#This Row],[Shelter NFI New]]=0), "", tblPiNHistorical[[#This Row],[Shelter NFI New]]-tblPiNHistorical[[#This Row],[Shelter NFI Old]])</f>
        <v/>
      </c>
      <c r="AP143" s="111" t="str">
        <f>IF(OR(tblPiNHistorical[[#This Row],[WASH Old]]="", tblPiNHistorical[[#This Row],[WASH Old]]=0, tblPiNHistorical[[#This Row],[WASH New]]="", tblPiNHistorical[[#This Row],[WASH New]]=0), "", tblPiNHistorical[[#This Row],[WASH New]]-tblPiNHistorical[[#This Row],[WASH Old]])</f>
        <v/>
      </c>
      <c r="AQ143" s="110" t="str">
        <f>IFERROR(ROUND((tblPiNHistorical[[#This Row],[Site Management - New]] - tblPiNHistorical[[#This Row],[Site Management - Old]])/tblPiNHistorical[[#This Row],[Site Management - Old]], 1), "")</f>
        <v/>
      </c>
      <c r="AR143" s="66" t="str">
        <f>IFERROR(ROUND((tblPiNHistorical[[#This Row],[Education New]]-tblPiNHistorical[[#This Row],[Education Old]])/tblPiNHistorical[[#This Row],[Education Old]], 1), "")</f>
        <v/>
      </c>
      <c r="AS143" s="66" t="str">
        <f>IFERROR(ROUND((tblPiNHistorical[[#This Row],[Food Security and Livlihoods New]]-tblPiNHistorical[[#This Row],[Food Security and Livlihoods Old]])/tblPiNHistorical[[#This Row],[Food Security and Livlihoods Old]], 1), "")</f>
        <v/>
      </c>
      <c r="AT143" s="66" t="str">
        <f>IFERROR(ROUND((tblPiNHistorical[[#This Row],[Health New]]-tblPiNHistorical[[#This Row],[Health Old]])/tblPiNHistorical[[#This Row],[Health Old]], 1), "")</f>
        <v/>
      </c>
      <c r="AU143" s="66" t="str">
        <f>IFERROR(ROUND((tblPiNHistorical[[#This Row],[Nutrition New]]-tblPiNHistorical[[#This Row],[Nutrition Old]])/tblPiNHistorical[[#This Row],[Nutrition Old]], 1), "")</f>
        <v/>
      </c>
      <c r="AV143" s="66" t="str">
        <f>IFERROR(ROUND((tblPiNHistorical[[#This Row],[Protection New]]-tblPiNHistorical[[#This Row],[Protection Old]])/tblPiNHistorical[[#This Row],[Protection Old]], 1), "")</f>
        <v/>
      </c>
      <c r="AW143" s="84" t="str">
        <f>IFERROR(ROUND((tblPiNHistorical[[#This Row],[CP New]]-tblPiNHistorical[[#This Row],[CP Old ]])/tblPiNHistorical[[#This Row],[CP Old ]], 1), "")</f>
        <v/>
      </c>
      <c r="AX143" s="84" t="str">
        <f>IFERROR(ROUND((tblPiNHistorical[[#This Row],[GBV New]]-tblPiNHistorical[[#This Row],[GBV Old]])/tblPiNHistorical[[#This Row],[GBV Old]], 1), "")</f>
        <v/>
      </c>
      <c r="AY143" s="84" t="str">
        <f>IFERROR(ROUND((tblPiNHistorical[[#This Row],[Mine Action New]]-tblPiNHistorical[[#This Row],[Mine Action Old]])/tblPiNHistorical[[#This Row],[Mine Action Old]], 1), "")</f>
        <v/>
      </c>
      <c r="AZ143" s="66" t="str">
        <f>IFERROR(ROUND((tblPiNHistorical[[#This Row],[Shelter NFI New]]-tblPiNHistorical[[#This Row],[Shelter NFI Old]])/tblPiNHistorical[[#This Row],[Shelter NFI Old]], 1), "")</f>
        <v/>
      </c>
      <c r="BA143" s="36" t="str">
        <f>IFERROR(ROUND((tblPiNHistorical[[#This Row],[WASH New]]-tblPiNHistorical[[#This Row],[WASH Old]])/tblPiNHistorical[[#This Row],[WASH Old]], 1), "")</f>
        <v/>
      </c>
      <c r="BB143"/>
      <c r="BC143"/>
      <c r="BD143"/>
      <c r="BE143"/>
      <c r="BF143"/>
      <c r="BG143"/>
      <c r="BH143"/>
      <c r="BI143"/>
      <c r="BL143"/>
      <c r="BN143"/>
      <c r="BO143"/>
      <c r="BP143"/>
    </row>
    <row r="144" spans="1:68" x14ac:dyDescent="0.25">
      <c r="A144"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IDPsSD03149</v>
      </c>
      <c r="B144" s="127" t="s">
        <v>185</v>
      </c>
      <c r="C144" s="60" t="s">
        <v>120</v>
      </c>
      <c r="D144" s="60" t="s">
        <v>245</v>
      </c>
      <c r="E144" s="60" t="s">
        <v>244</v>
      </c>
      <c r="F144" s="54"/>
      <c r="G144" s="30"/>
      <c r="H144" s="56">
        <v>3757</v>
      </c>
      <c r="I144" s="37" t="s">
        <v>88</v>
      </c>
      <c r="J144" s="34">
        <v>802</v>
      </c>
      <c r="K144" s="116">
        <v>1456.5889</v>
      </c>
      <c r="L144" s="114">
        <v>3757</v>
      </c>
      <c r="M144" s="114">
        <v>3757</v>
      </c>
      <c r="N144" s="114">
        <v>336</v>
      </c>
      <c r="O144" s="114">
        <v>3757</v>
      </c>
      <c r="P144" s="114">
        <v>2066</v>
      </c>
      <c r="Q144" s="114">
        <v>1487</v>
      </c>
      <c r="R144" s="114">
        <v>0</v>
      </c>
      <c r="S144" s="114">
        <v>0</v>
      </c>
      <c r="T144" s="196">
        <v>0</v>
      </c>
      <c r="U144" s="52">
        <f>IFERROR(INDEX(tblPiNAnalysis[[Site Management ]], MATCH(tblPiNHistorical[[#This Row],[ID]], tblPiNAnalysis[ID], 0)), "")</f>
        <v>0</v>
      </c>
      <c r="V144" s="52">
        <f>IFERROR(INDEX(tblPiNAnalysis[Education], MATCH(tblPiNHistorical[[#This Row],[ID]], tblPiNAnalysis[ID], 0)), "")</f>
        <v>0</v>
      </c>
      <c r="W144" s="28">
        <f>IFERROR(INDEX(tblPiNAnalysis[Food Security and Livlihoods], MATCH(tblPiNHistorical[[#This Row],[ID]], tblPiNAnalysis[ID], 0)), "")</f>
        <v>0</v>
      </c>
      <c r="X144" s="28">
        <f>IFERROR(INDEX(tblPiNAnalysis[[Health ]], MATCH(tblPiNHistorical[[#This Row],[ID]], tblPiNAnalysis[ID], 0)), "")</f>
        <v>0</v>
      </c>
      <c r="Y144" s="28">
        <f>IFERROR(INDEX(tblPiNAnalysis[Nutrition], MATCH(tblPiNHistorical[[#This Row],[ID]], tblPiNAnalysis[ID], 0)), "")</f>
        <v>0</v>
      </c>
      <c r="Z144" s="28">
        <f>IFERROR(INDEX(tblPiNAnalysis[Protection], MATCH(tblPiNHistorical[[#This Row],[ID]], tblPiNAnalysis[ID], 0)), "")</f>
        <v>0</v>
      </c>
      <c r="AA144" s="28">
        <f>IFERROR(INDEX(tblPiNAnalysis[CP], MATCH(tblPiNHistorical[[#This Row],[ID]], tblPiNAnalysis[ID], 0)), "")</f>
        <v>0</v>
      </c>
      <c r="AB144" s="83">
        <f>IFERROR(INDEX(tblPiNAnalysis[GBV], MATCH(tblPiNHistorical[[#This Row],[ID]], tblPiNAnalysis[ID], 0)), "")</f>
        <v>0</v>
      </c>
      <c r="AC144" s="28">
        <f>IFERROR(INDEX(tblPiNAnalysis[Mine Action], MATCH(tblPiNHistorical[[#This Row],[ID]], tblPiNAnalysis[ID], 0)), "")</f>
        <v>0</v>
      </c>
      <c r="AD144" s="83">
        <f>IFERROR(INDEX(tblPiNAnalysis[[Shelter NFI ]], MATCH(tblPiNHistorical[[#This Row],[ID]], tblPiNAnalysis[ID], 0)), "")</f>
        <v>4415</v>
      </c>
      <c r="AE144" s="35">
        <f>IFERROR(INDEX(tblPiNAnalysis[WASH], MATCH(tblPiNHistorical[[#This Row],[ID]], tblPiNAnalysis[ID], 0)), "")</f>
        <v>0</v>
      </c>
      <c r="AF144" s="6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144" s="67" t="str">
        <f>IF(OR(tblPiNHistorical[[#This Row],[Education Old]]="", tblPiNHistorical[[#This Row],[Education Old]]=0, tblPiNHistorical[[#This Row],[Education New]]="", tblPiNHistorical[[#This Row],[Education New]]=0), "", tblPiNHistorical[[#This Row],[Education New]]-tblPiNHistorical[[#This Row],[Education Old]])</f>
        <v/>
      </c>
      <c r="AH144" s="67"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144" s="67" t="str">
        <f>IF(OR(tblPiNHistorical[[#This Row],[Health Old]]="", tblPiNHistorical[[#This Row],[Health Old]]=0, tblPiNHistorical[[#This Row],[Health New]]="", tblPiNHistorical[[#This Row],[Health New]]=0), "", tblPiNHistorical[[#This Row],[Health New]]-tblPiNHistorical[[#This Row],[Health Old]])</f>
        <v/>
      </c>
      <c r="AJ144" s="67" t="str">
        <f>IF(OR(tblPiNHistorical[[#This Row],[Nutrition Old]]="", tblPiNHistorical[[#This Row],[Nutrition Old]]=0, tblPiNHistorical[[#This Row],[Nutrition New]]="", tblPiNHistorical[[#This Row],[Nutrition New]]=0), "", tblPiNHistorical[[#This Row],[Nutrition New]]-tblPiNHistorical[[#This Row],[Nutrition Old]])</f>
        <v/>
      </c>
      <c r="AK144" s="67" t="str">
        <f>IF(OR(tblPiNHistorical[[#This Row],[Protection Old]]="", tblPiNHistorical[[#This Row],[Protection Old]]=0, tblPiNHistorical[[#This Row],[Protection New]]="", tblPiNHistorical[[#This Row],[Protection New]]=0), "", tblPiNHistorical[[#This Row],[Protection New]]-tblPiNHistorical[[#This Row],[Protection Old]])</f>
        <v/>
      </c>
      <c r="AL144" s="67" t="str">
        <f>IF(OR(tblPiNHistorical[[#This Row],[CP Old ]]="", tblPiNHistorical[[#This Row],[CP Old ]]=0, tblPiNHistorical[[#This Row],[CP New]]="", tblPiNHistorical[[#This Row],[CP New]]=0), "", tblPiNHistorical[[#This Row],[CP New]]-tblPiNHistorical[[#This Row],[CP Old ]])</f>
        <v/>
      </c>
      <c r="AM144" s="83" t="str">
        <f>IF(OR(tblPiNHistorical[[#This Row],[GBV Old]]="", tblPiNHistorical[[#This Row],[GBV Old]]=0, tblPiNHistorical[[#This Row],[GBV New]]="", tblPiNHistorical[[#This Row],[GBV New]]=0), "", tblPiNHistorical[[#This Row],[GBV New]]-tblPiNHistorical[[#This Row],[GBV Old]])</f>
        <v/>
      </c>
      <c r="AN144" s="83" t="str">
        <f>IF(OR(tblPiNHistorical[[#This Row],[Mine Action Old]]="", tblPiNHistorical[[#This Row],[Mine Action Old]]=0, tblPiNHistorical[[#This Row],[Mine Action New]]="", tblPiNHistorical[[#This Row],[Mine Action New]]=0), "", tblPiNHistorical[[#This Row],[Mine Action New]]-tblPiNHistorical[[#This Row],[Mine Action Old]])</f>
        <v/>
      </c>
      <c r="AO144" s="67" t="str">
        <f>IF(OR(tblPiNHistorical[[#This Row],[Shelter NFI Old]]="", tblPiNHistorical[[#This Row],[Shelter NFI Old]]=0, tblPiNHistorical[[#This Row],[Shelter NFI New]]="", tblPiNHistorical[[#This Row],[Shelter NFI New]]=0), "", tblPiNHistorical[[#This Row],[Shelter NFI New]]-tblPiNHistorical[[#This Row],[Shelter NFI Old]])</f>
        <v/>
      </c>
      <c r="AP144" s="111" t="str">
        <f>IF(OR(tblPiNHistorical[[#This Row],[WASH Old]]="", tblPiNHistorical[[#This Row],[WASH Old]]=0, tblPiNHistorical[[#This Row],[WASH New]]="", tblPiNHistorical[[#This Row],[WASH New]]=0), "", tblPiNHistorical[[#This Row],[WASH New]]-tblPiNHistorical[[#This Row],[WASH Old]])</f>
        <v/>
      </c>
      <c r="AQ144" s="110">
        <f>IFERROR(ROUND((tblPiNHistorical[[#This Row],[Site Management - New]] - tblPiNHistorical[[#This Row],[Site Management - Old]])/tblPiNHistorical[[#This Row],[Site Management - Old]], 1), "")</f>
        <v>-1</v>
      </c>
      <c r="AR144" s="66">
        <f>IFERROR(ROUND((tblPiNHistorical[[#This Row],[Education New]]-tblPiNHistorical[[#This Row],[Education Old]])/tblPiNHistorical[[#This Row],[Education Old]], 1), "")</f>
        <v>-1</v>
      </c>
      <c r="AS144" s="66">
        <f>IFERROR(ROUND((tblPiNHistorical[[#This Row],[Food Security and Livlihoods New]]-tblPiNHistorical[[#This Row],[Food Security and Livlihoods Old]])/tblPiNHistorical[[#This Row],[Food Security and Livlihoods Old]], 1), "")</f>
        <v>-1</v>
      </c>
      <c r="AT144" s="66">
        <f>IFERROR(ROUND((tblPiNHistorical[[#This Row],[Health New]]-tblPiNHistorical[[#This Row],[Health Old]])/tblPiNHistorical[[#This Row],[Health Old]], 1), "")</f>
        <v>-1</v>
      </c>
      <c r="AU144" s="66">
        <f>IFERROR(ROUND((tblPiNHistorical[[#This Row],[Nutrition New]]-tblPiNHistorical[[#This Row],[Nutrition Old]])/tblPiNHistorical[[#This Row],[Nutrition Old]], 1), "")</f>
        <v>-1</v>
      </c>
      <c r="AV144" s="66">
        <f>IFERROR(ROUND((tblPiNHistorical[[#This Row],[Protection New]]-tblPiNHistorical[[#This Row],[Protection Old]])/tblPiNHistorical[[#This Row],[Protection Old]], 1), "")</f>
        <v>-1</v>
      </c>
      <c r="AW144" s="84">
        <f>IFERROR(ROUND((tblPiNHistorical[[#This Row],[CP New]]-tblPiNHistorical[[#This Row],[CP Old ]])/tblPiNHistorical[[#This Row],[CP Old ]], 1), "")</f>
        <v>-1</v>
      </c>
      <c r="AX144" s="84">
        <f>IFERROR(ROUND((tblPiNHistorical[[#This Row],[GBV New]]-tblPiNHistorical[[#This Row],[GBV Old]])/tblPiNHistorical[[#This Row],[GBV Old]], 1), "")</f>
        <v>-1</v>
      </c>
      <c r="AY144" s="84" t="str">
        <f>IFERROR(ROUND((tblPiNHistorical[[#This Row],[Mine Action New]]-tblPiNHistorical[[#This Row],[Mine Action Old]])/tblPiNHistorical[[#This Row],[Mine Action Old]], 1), "")</f>
        <v/>
      </c>
      <c r="AZ144" s="66" t="str">
        <f>IFERROR(ROUND((tblPiNHistorical[[#This Row],[Shelter NFI New]]-tblPiNHistorical[[#This Row],[Shelter NFI Old]])/tblPiNHistorical[[#This Row],[Shelter NFI Old]], 1), "")</f>
        <v/>
      </c>
      <c r="BA144" s="36" t="str">
        <f>IFERROR(ROUND((tblPiNHistorical[[#This Row],[WASH New]]-tblPiNHistorical[[#This Row],[WASH Old]])/tblPiNHistorical[[#This Row],[WASH Old]], 1), "")</f>
        <v/>
      </c>
      <c r="BB144"/>
      <c r="BC144"/>
      <c r="BD144"/>
      <c r="BE144"/>
      <c r="BF144"/>
      <c r="BG144"/>
      <c r="BH144"/>
      <c r="BI144"/>
      <c r="BL144"/>
      <c r="BN144"/>
      <c r="BO144"/>
      <c r="BP144"/>
    </row>
    <row r="145" spans="1:68" x14ac:dyDescent="0.25">
      <c r="A145"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IDPsSD03146</v>
      </c>
      <c r="B145" s="127" t="s">
        <v>185</v>
      </c>
      <c r="C145" s="60" t="s">
        <v>120</v>
      </c>
      <c r="D145" s="60" t="s">
        <v>241</v>
      </c>
      <c r="E145" s="60" t="s">
        <v>240</v>
      </c>
      <c r="F145" s="54"/>
      <c r="G145" s="30"/>
      <c r="H145" s="56">
        <v>937</v>
      </c>
      <c r="I145" s="37" t="s">
        <v>88</v>
      </c>
      <c r="J145" s="34">
        <v>696</v>
      </c>
      <c r="K145" s="116">
        <v>363.2749</v>
      </c>
      <c r="L145" s="114">
        <v>937</v>
      </c>
      <c r="M145" s="114">
        <v>937</v>
      </c>
      <c r="N145" s="114">
        <v>48</v>
      </c>
      <c r="O145" s="114">
        <v>937</v>
      </c>
      <c r="P145" s="114">
        <v>515</v>
      </c>
      <c r="Q145" s="114">
        <v>370</v>
      </c>
      <c r="R145" s="114">
        <v>281.09999999999997</v>
      </c>
      <c r="S145" s="114">
        <v>375</v>
      </c>
      <c r="T145" s="196">
        <v>0</v>
      </c>
      <c r="U145" s="52">
        <f>IFERROR(INDEX(tblPiNAnalysis[[Site Management ]], MATCH(tblPiNHistorical[[#This Row],[ID]], tblPiNAnalysis[ID], 0)), "")</f>
        <v>0</v>
      </c>
      <c r="V145" s="52">
        <f>IFERROR(INDEX(tblPiNAnalysis[Education], MATCH(tblPiNHistorical[[#This Row],[ID]], tblPiNAnalysis[ID], 0)), "")</f>
        <v>0</v>
      </c>
      <c r="W145" s="28">
        <f>IFERROR(INDEX(tblPiNAnalysis[Food Security and Livlihoods], MATCH(tblPiNHistorical[[#This Row],[ID]], tblPiNAnalysis[ID], 0)), "")</f>
        <v>0</v>
      </c>
      <c r="X145" s="28">
        <f>IFERROR(INDEX(tblPiNAnalysis[[Health ]], MATCH(tblPiNHistorical[[#This Row],[ID]], tblPiNAnalysis[ID], 0)), "")</f>
        <v>0</v>
      </c>
      <c r="Y145" s="28">
        <f>IFERROR(INDEX(tblPiNAnalysis[Nutrition], MATCH(tblPiNHistorical[[#This Row],[ID]], tblPiNAnalysis[ID], 0)), "")</f>
        <v>0</v>
      </c>
      <c r="Z145" s="28">
        <f>IFERROR(INDEX(tblPiNAnalysis[Protection], MATCH(tblPiNHistorical[[#This Row],[ID]], tblPiNAnalysis[ID], 0)), "")</f>
        <v>0</v>
      </c>
      <c r="AA145" s="28">
        <f>IFERROR(INDEX(tblPiNAnalysis[CP], MATCH(tblPiNHistorical[[#This Row],[ID]], tblPiNAnalysis[ID], 0)), "")</f>
        <v>0</v>
      </c>
      <c r="AB145" s="83">
        <f>IFERROR(INDEX(tblPiNAnalysis[GBV], MATCH(tblPiNHistorical[[#This Row],[ID]], tblPiNAnalysis[ID], 0)), "")</f>
        <v>0</v>
      </c>
      <c r="AC145" s="28">
        <f>IFERROR(INDEX(tblPiNAnalysis[Mine Action], MATCH(tblPiNHistorical[[#This Row],[ID]], tblPiNAnalysis[ID], 0)), "")</f>
        <v>0</v>
      </c>
      <c r="AD145" s="83">
        <f>IFERROR(INDEX(tblPiNAnalysis[[Shelter NFI ]], MATCH(tblPiNHistorical[[#This Row],[ID]], tblPiNAnalysis[ID], 0)), "")</f>
        <v>2866</v>
      </c>
      <c r="AE145" s="35">
        <f>IFERROR(INDEX(tblPiNAnalysis[WASH], MATCH(tblPiNHistorical[[#This Row],[ID]], tblPiNAnalysis[ID], 0)), "")</f>
        <v>0</v>
      </c>
      <c r="AF145" s="6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145" s="67" t="str">
        <f>IF(OR(tblPiNHistorical[[#This Row],[Education Old]]="", tblPiNHistorical[[#This Row],[Education Old]]=0, tblPiNHistorical[[#This Row],[Education New]]="", tblPiNHistorical[[#This Row],[Education New]]=0), "", tblPiNHistorical[[#This Row],[Education New]]-tblPiNHistorical[[#This Row],[Education Old]])</f>
        <v/>
      </c>
      <c r="AH145" s="67"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145" s="67" t="str">
        <f>IF(OR(tblPiNHistorical[[#This Row],[Health Old]]="", tblPiNHistorical[[#This Row],[Health Old]]=0, tblPiNHistorical[[#This Row],[Health New]]="", tblPiNHistorical[[#This Row],[Health New]]=0), "", tblPiNHistorical[[#This Row],[Health New]]-tblPiNHistorical[[#This Row],[Health Old]])</f>
        <v/>
      </c>
      <c r="AJ145" s="67" t="str">
        <f>IF(OR(tblPiNHistorical[[#This Row],[Nutrition Old]]="", tblPiNHistorical[[#This Row],[Nutrition Old]]=0, tblPiNHistorical[[#This Row],[Nutrition New]]="", tblPiNHistorical[[#This Row],[Nutrition New]]=0), "", tblPiNHistorical[[#This Row],[Nutrition New]]-tblPiNHistorical[[#This Row],[Nutrition Old]])</f>
        <v/>
      </c>
      <c r="AK145" s="67" t="str">
        <f>IF(OR(tblPiNHistorical[[#This Row],[Protection Old]]="", tblPiNHistorical[[#This Row],[Protection Old]]=0, tblPiNHistorical[[#This Row],[Protection New]]="", tblPiNHistorical[[#This Row],[Protection New]]=0), "", tblPiNHistorical[[#This Row],[Protection New]]-tblPiNHistorical[[#This Row],[Protection Old]])</f>
        <v/>
      </c>
      <c r="AL145" s="67" t="str">
        <f>IF(OR(tblPiNHistorical[[#This Row],[CP Old ]]="", tblPiNHistorical[[#This Row],[CP Old ]]=0, tblPiNHistorical[[#This Row],[CP New]]="", tblPiNHistorical[[#This Row],[CP New]]=0), "", tblPiNHistorical[[#This Row],[CP New]]-tblPiNHistorical[[#This Row],[CP Old ]])</f>
        <v/>
      </c>
      <c r="AM145" s="83" t="str">
        <f>IF(OR(tblPiNHistorical[[#This Row],[GBV Old]]="", tblPiNHistorical[[#This Row],[GBV Old]]=0, tblPiNHistorical[[#This Row],[GBV New]]="", tblPiNHistorical[[#This Row],[GBV New]]=0), "", tblPiNHistorical[[#This Row],[GBV New]]-tblPiNHistorical[[#This Row],[GBV Old]])</f>
        <v/>
      </c>
      <c r="AN145" s="83" t="str">
        <f>IF(OR(tblPiNHistorical[[#This Row],[Mine Action Old]]="", tblPiNHistorical[[#This Row],[Mine Action Old]]=0, tblPiNHistorical[[#This Row],[Mine Action New]]="", tblPiNHistorical[[#This Row],[Mine Action New]]=0), "", tblPiNHistorical[[#This Row],[Mine Action New]]-tblPiNHistorical[[#This Row],[Mine Action Old]])</f>
        <v/>
      </c>
      <c r="AO145" s="67">
        <f>IF(OR(tblPiNHistorical[[#This Row],[Shelter NFI Old]]="", tblPiNHistorical[[#This Row],[Shelter NFI Old]]=0, tblPiNHistorical[[#This Row],[Shelter NFI New]]="", tblPiNHistorical[[#This Row],[Shelter NFI New]]=0), "", tblPiNHistorical[[#This Row],[Shelter NFI New]]-tblPiNHistorical[[#This Row],[Shelter NFI Old]])</f>
        <v>2491</v>
      </c>
      <c r="AP145" s="111" t="str">
        <f>IF(OR(tblPiNHistorical[[#This Row],[WASH Old]]="", tblPiNHistorical[[#This Row],[WASH Old]]=0, tblPiNHistorical[[#This Row],[WASH New]]="", tblPiNHistorical[[#This Row],[WASH New]]=0), "", tblPiNHistorical[[#This Row],[WASH New]]-tblPiNHistorical[[#This Row],[WASH Old]])</f>
        <v/>
      </c>
      <c r="AQ145" s="110">
        <f>IFERROR(ROUND((tblPiNHistorical[[#This Row],[Site Management - New]] - tblPiNHistorical[[#This Row],[Site Management - Old]])/tblPiNHistorical[[#This Row],[Site Management - Old]], 1), "")</f>
        <v>-1</v>
      </c>
      <c r="AR145" s="66">
        <f>IFERROR(ROUND((tblPiNHistorical[[#This Row],[Education New]]-tblPiNHistorical[[#This Row],[Education Old]])/tblPiNHistorical[[#This Row],[Education Old]], 1), "")</f>
        <v>-1</v>
      </c>
      <c r="AS145" s="66">
        <f>IFERROR(ROUND((tblPiNHistorical[[#This Row],[Food Security and Livlihoods New]]-tblPiNHistorical[[#This Row],[Food Security and Livlihoods Old]])/tblPiNHistorical[[#This Row],[Food Security and Livlihoods Old]], 1), "")</f>
        <v>-1</v>
      </c>
      <c r="AT145" s="66">
        <f>IFERROR(ROUND((tblPiNHistorical[[#This Row],[Health New]]-tblPiNHistorical[[#This Row],[Health Old]])/tblPiNHistorical[[#This Row],[Health Old]], 1), "")</f>
        <v>-1</v>
      </c>
      <c r="AU145" s="66">
        <f>IFERROR(ROUND((tblPiNHistorical[[#This Row],[Nutrition New]]-tblPiNHistorical[[#This Row],[Nutrition Old]])/tblPiNHistorical[[#This Row],[Nutrition Old]], 1), "")</f>
        <v>-1</v>
      </c>
      <c r="AV145" s="66">
        <f>IFERROR(ROUND((tblPiNHistorical[[#This Row],[Protection New]]-tblPiNHistorical[[#This Row],[Protection Old]])/tblPiNHistorical[[#This Row],[Protection Old]], 1), "")</f>
        <v>-1</v>
      </c>
      <c r="AW145" s="84">
        <f>IFERROR(ROUND((tblPiNHistorical[[#This Row],[CP New]]-tblPiNHistorical[[#This Row],[CP Old ]])/tblPiNHistorical[[#This Row],[CP Old ]], 1), "")</f>
        <v>-1</v>
      </c>
      <c r="AX145" s="84">
        <f>IFERROR(ROUND((tblPiNHistorical[[#This Row],[GBV New]]-tblPiNHistorical[[#This Row],[GBV Old]])/tblPiNHistorical[[#This Row],[GBV Old]], 1), "")</f>
        <v>-1</v>
      </c>
      <c r="AY145" s="84">
        <f>IFERROR(ROUND((tblPiNHistorical[[#This Row],[Mine Action New]]-tblPiNHistorical[[#This Row],[Mine Action Old]])/tblPiNHistorical[[#This Row],[Mine Action Old]], 1), "")</f>
        <v>-1</v>
      </c>
      <c r="AZ145" s="66">
        <f>IFERROR(ROUND((tblPiNHistorical[[#This Row],[Shelter NFI New]]-tblPiNHistorical[[#This Row],[Shelter NFI Old]])/tblPiNHistorical[[#This Row],[Shelter NFI Old]], 1), "")</f>
        <v>6.6</v>
      </c>
      <c r="BA145" s="36" t="str">
        <f>IFERROR(ROUND((tblPiNHistorical[[#This Row],[WASH New]]-tblPiNHistorical[[#This Row],[WASH Old]])/tblPiNHistorical[[#This Row],[WASH Old]], 1), "")</f>
        <v/>
      </c>
      <c r="BB145"/>
      <c r="BC145"/>
      <c r="BD145"/>
      <c r="BE145"/>
      <c r="BF145"/>
      <c r="BG145"/>
      <c r="BH145"/>
      <c r="BI145"/>
      <c r="BL145"/>
      <c r="BN145"/>
      <c r="BO145"/>
      <c r="BP145"/>
    </row>
    <row r="146" spans="1:68" x14ac:dyDescent="0.25">
      <c r="A146"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IDPsSD07090</v>
      </c>
      <c r="B146" s="127" t="s">
        <v>188</v>
      </c>
      <c r="C146" s="60" t="s">
        <v>124</v>
      </c>
      <c r="D146" s="60" t="s">
        <v>340</v>
      </c>
      <c r="E146" s="60" t="s">
        <v>341</v>
      </c>
      <c r="F146" s="54"/>
      <c r="G146" s="30"/>
      <c r="H146" s="56">
        <v>33213</v>
      </c>
      <c r="I146" s="37" t="s">
        <v>88</v>
      </c>
      <c r="J146" s="34">
        <v>3028</v>
      </c>
      <c r="K146" s="116">
        <v>12876.6801</v>
      </c>
      <c r="L146" s="114">
        <v>33213</v>
      </c>
      <c r="M146" s="114">
        <v>33213</v>
      </c>
      <c r="N146" s="114">
        <v>2030</v>
      </c>
      <c r="O146" s="114">
        <v>33213</v>
      </c>
      <c r="P146" s="114">
        <v>18267</v>
      </c>
      <c r="Q146" s="114">
        <v>13147</v>
      </c>
      <c r="R146" s="114">
        <v>0</v>
      </c>
      <c r="S146" s="114">
        <v>13285</v>
      </c>
      <c r="T146" s="196">
        <v>34845.751080000002</v>
      </c>
      <c r="U146" s="52">
        <f>IFERROR(INDEX(tblPiNAnalysis[[Site Management ]], MATCH(tblPiNHistorical[[#This Row],[ID]], tblPiNAnalysis[ID], 0)), "")</f>
        <v>0</v>
      </c>
      <c r="V146" s="52">
        <f>IFERROR(INDEX(tblPiNAnalysis[Education], MATCH(tblPiNHistorical[[#This Row],[ID]], tblPiNAnalysis[ID], 0)), "")</f>
        <v>0</v>
      </c>
      <c r="W146" s="28">
        <f>IFERROR(INDEX(tblPiNAnalysis[Food Security and Livlihoods], MATCH(tblPiNHistorical[[#This Row],[ID]], tblPiNAnalysis[ID], 0)), "")</f>
        <v>0</v>
      </c>
      <c r="X146" s="28">
        <f>IFERROR(INDEX(tblPiNAnalysis[[Health ]], MATCH(tblPiNHistorical[[#This Row],[ID]], tblPiNAnalysis[ID], 0)), "")</f>
        <v>0</v>
      </c>
      <c r="Y146" s="28">
        <f>IFERROR(INDEX(tblPiNAnalysis[Nutrition], MATCH(tblPiNHistorical[[#This Row],[ID]], tblPiNAnalysis[ID], 0)), "")</f>
        <v>0</v>
      </c>
      <c r="Z146" s="28">
        <f>IFERROR(INDEX(tblPiNAnalysis[Protection], MATCH(tblPiNHistorical[[#This Row],[ID]], tblPiNAnalysis[ID], 0)), "")</f>
        <v>0</v>
      </c>
      <c r="AA146" s="28">
        <f>IFERROR(INDEX(tblPiNAnalysis[CP], MATCH(tblPiNHistorical[[#This Row],[ID]], tblPiNAnalysis[ID], 0)), "")</f>
        <v>0</v>
      </c>
      <c r="AB146" s="83">
        <f>IFERROR(INDEX(tblPiNAnalysis[GBV], MATCH(tblPiNHistorical[[#This Row],[ID]], tblPiNAnalysis[ID], 0)), "")</f>
        <v>0</v>
      </c>
      <c r="AC146" s="28">
        <f>IFERROR(INDEX(tblPiNAnalysis[Mine Action], MATCH(tblPiNHistorical[[#This Row],[ID]], tblPiNAnalysis[ID], 0)), "")</f>
        <v>0</v>
      </c>
      <c r="AD146" s="83">
        <f>IFERROR(INDEX(tblPiNAnalysis[[Shelter NFI ]], MATCH(tblPiNHistorical[[#This Row],[ID]], tblPiNAnalysis[ID], 0)), "")</f>
        <v>54535</v>
      </c>
      <c r="AE146" s="35">
        <f>IFERROR(INDEX(tblPiNAnalysis[WASH], MATCH(tblPiNHistorical[[#This Row],[ID]], tblPiNAnalysis[ID], 0)), "")</f>
        <v>0</v>
      </c>
      <c r="AF146" s="6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146" s="67" t="str">
        <f>IF(OR(tblPiNHistorical[[#This Row],[Education Old]]="", tblPiNHistorical[[#This Row],[Education Old]]=0, tblPiNHistorical[[#This Row],[Education New]]="", tblPiNHistorical[[#This Row],[Education New]]=0), "", tblPiNHistorical[[#This Row],[Education New]]-tblPiNHistorical[[#This Row],[Education Old]])</f>
        <v/>
      </c>
      <c r="AH146" s="67"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146" s="67" t="str">
        <f>IF(OR(tblPiNHistorical[[#This Row],[Health Old]]="", tblPiNHistorical[[#This Row],[Health Old]]=0, tblPiNHistorical[[#This Row],[Health New]]="", tblPiNHistorical[[#This Row],[Health New]]=0), "", tblPiNHistorical[[#This Row],[Health New]]-tblPiNHistorical[[#This Row],[Health Old]])</f>
        <v/>
      </c>
      <c r="AJ146" s="67" t="str">
        <f>IF(OR(tblPiNHistorical[[#This Row],[Nutrition Old]]="", tblPiNHistorical[[#This Row],[Nutrition Old]]=0, tblPiNHistorical[[#This Row],[Nutrition New]]="", tblPiNHistorical[[#This Row],[Nutrition New]]=0), "", tblPiNHistorical[[#This Row],[Nutrition New]]-tblPiNHistorical[[#This Row],[Nutrition Old]])</f>
        <v/>
      </c>
      <c r="AK146" s="67" t="str">
        <f>IF(OR(tblPiNHistorical[[#This Row],[Protection Old]]="", tblPiNHistorical[[#This Row],[Protection Old]]=0, tblPiNHistorical[[#This Row],[Protection New]]="", tblPiNHistorical[[#This Row],[Protection New]]=0), "", tblPiNHistorical[[#This Row],[Protection New]]-tblPiNHistorical[[#This Row],[Protection Old]])</f>
        <v/>
      </c>
      <c r="AL146" s="67" t="str">
        <f>IF(OR(tblPiNHistorical[[#This Row],[CP Old ]]="", tblPiNHistorical[[#This Row],[CP Old ]]=0, tblPiNHistorical[[#This Row],[CP New]]="", tblPiNHistorical[[#This Row],[CP New]]=0), "", tblPiNHistorical[[#This Row],[CP New]]-tblPiNHistorical[[#This Row],[CP Old ]])</f>
        <v/>
      </c>
      <c r="AM146" s="83" t="str">
        <f>IF(OR(tblPiNHistorical[[#This Row],[GBV Old]]="", tblPiNHistorical[[#This Row],[GBV Old]]=0, tblPiNHistorical[[#This Row],[GBV New]]="", tblPiNHistorical[[#This Row],[GBV New]]=0), "", tblPiNHistorical[[#This Row],[GBV New]]-tblPiNHistorical[[#This Row],[GBV Old]])</f>
        <v/>
      </c>
      <c r="AN146" s="83" t="str">
        <f>IF(OR(tblPiNHistorical[[#This Row],[Mine Action Old]]="", tblPiNHistorical[[#This Row],[Mine Action Old]]=0, tblPiNHistorical[[#This Row],[Mine Action New]]="", tblPiNHistorical[[#This Row],[Mine Action New]]=0), "", tblPiNHistorical[[#This Row],[Mine Action New]]-tblPiNHistorical[[#This Row],[Mine Action Old]])</f>
        <v/>
      </c>
      <c r="AO146" s="67">
        <f>IF(OR(tblPiNHistorical[[#This Row],[Shelter NFI Old]]="", tblPiNHistorical[[#This Row],[Shelter NFI Old]]=0, tblPiNHistorical[[#This Row],[Shelter NFI New]]="", tblPiNHistorical[[#This Row],[Shelter NFI New]]=0), "", tblPiNHistorical[[#This Row],[Shelter NFI New]]-tblPiNHistorical[[#This Row],[Shelter NFI Old]])</f>
        <v>41250</v>
      </c>
      <c r="AP146" s="111" t="str">
        <f>IF(OR(tblPiNHistorical[[#This Row],[WASH Old]]="", tblPiNHistorical[[#This Row],[WASH Old]]=0, tblPiNHistorical[[#This Row],[WASH New]]="", tblPiNHistorical[[#This Row],[WASH New]]=0), "", tblPiNHistorical[[#This Row],[WASH New]]-tblPiNHistorical[[#This Row],[WASH Old]])</f>
        <v/>
      </c>
      <c r="AQ146" s="110">
        <f>IFERROR(ROUND((tblPiNHistorical[[#This Row],[Site Management - New]] - tblPiNHistorical[[#This Row],[Site Management - Old]])/tblPiNHistorical[[#This Row],[Site Management - Old]], 1), "")</f>
        <v>-1</v>
      </c>
      <c r="AR146" s="66">
        <f>IFERROR(ROUND((tblPiNHistorical[[#This Row],[Education New]]-tblPiNHistorical[[#This Row],[Education Old]])/tblPiNHistorical[[#This Row],[Education Old]], 1), "")</f>
        <v>-1</v>
      </c>
      <c r="AS146" s="66">
        <f>IFERROR(ROUND((tblPiNHistorical[[#This Row],[Food Security and Livlihoods New]]-tblPiNHistorical[[#This Row],[Food Security and Livlihoods Old]])/tblPiNHistorical[[#This Row],[Food Security and Livlihoods Old]], 1), "")</f>
        <v>-1</v>
      </c>
      <c r="AT146" s="66">
        <f>IFERROR(ROUND((tblPiNHistorical[[#This Row],[Health New]]-tblPiNHistorical[[#This Row],[Health Old]])/tblPiNHistorical[[#This Row],[Health Old]], 1), "")</f>
        <v>-1</v>
      </c>
      <c r="AU146" s="66">
        <f>IFERROR(ROUND((tblPiNHistorical[[#This Row],[Nutrition New]]-tblPiNHistorical[[#This Row],[Nutrition Old]])/tblPiNHistorical[[#This Row],[Nutrition Old]], 1), "")</f>
        <v>-1</v>
      </c>
      <c r="AV146" s="66">
        <f>IFERROR(ROUND((tblPiNHistorical[[#This Row],[Protection New]]-tblPiNHistorical[[#This Row],[Protection Old]])/tblPiNHistorical[[#This Row],[Protection Old]], 1), "")</f>
        <v>-1</v>
      </c>
      <c r="AW146" s="84">
        <f>IFERROR(ROUND((tblPiNHistorical[[#This Row],[CP New]]-tblPiNHistorical[[#This Row],[CP Old ]])/tblPiNHistorical[[#This Row],[CP Old ]], 1), "")</f>
        <v>-1</v>
      </c>
      <c r="AX146" s="84">
        <f>IFERROR(ROUND((tblPiNHistorical[[#This Row],[GBV New]]-tblPiNHistorical[[#This Row],[GBV Old]])/tblPiNHistorical[[#This Row],[GBV Old]], 1), "")</f>
        <v>-1</v>
      </c>
      <c r="AY146" s="84" t="str">
        <f>IFERROR(ROUND((tblPiNHistorical[[#This Row],[Mine Action New]]-tblPiNHistorical[[#This Row],[Mine Action Old]])/tblPiNHistorical[[#This Row],[Mine Action Old]], 1), "")</f>
        <v/>
      </c>
      <c r="AZ146" s="66">
        <f>IFERROR(ROUND((tblPiNHistorical[[#This Row],[Shelter NFI New]]-tblPiNHistorical[[#This Row],[Shelter NFI Old]])/tblPiNHistorical[[#This Row],[Shelter NFI Old]], 1), "")</f>
        <v>3.1</v>
      </c>
      <c r="BA146" s="36">
        <f>IFERROR(ROUND((tblPiNHistorical[[#This Row],[WASH New]]-tblPiNHistorical[[#This Row],[WASH Old]])/tblPiNHistorical[[#This Row],[WASH Old]], 1), "")</f>
        <v>-1</v>
      </c>
      <c r="BB146"/>
      <c r="BC146"/>
      <c r="BD146"/>
      <c r="BE146"/>
      <c r="BF146"/>
      <c r="BG146"/>
      <c r="BH146"/>
      <c r="BI146"/>
      <c r="BL146"/>
      <c r="BN146"/>
      <c r="BO146"/>
      <c r="BP146"/>
    </row>
    <row r="147" spans="1:68" x14ac:dyDescent="0.25">
      <c r="A147"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IDPsSD07088</v>
      </c>
      <c r="B147" s="127" t="s">
        <v>188</v>
      </c>
      <c r="C147" s="60" t="s">
        <v>124</v>
      </c>
      <c r="D147" s="60" t="s">
        <v>336</v>
      </c>
      <c r="E147" s="60" t="s">
        <v>337</v>
      </c>
      <c r="F147" s="54"/>
      <c r="G147" s="30"/>
      <c r="H147" s="56">
        <v>51250</v>
      </c>
      <c r="I147" s="37" t="s">
        <v>88</v>
      </c>
      <c r="J147" s="34">
        <v>4934</v>
      </c>
      <c r="K147" s="116">
        <v>19869.625</v>
      </c>
      <c r="L147" s="114">
        <v>51250</v>
      </c>
      <c r="M147" s="114">
        <v>51250</v>
      </c>
      <c r="N147" s="114">
        <v>5978</v>
      </c>
      <c r="O147" s="114">
        <v>51250</v>
      </c>
      <c r="P147" s="114">
        <v>28188</v>
      </c>
      <c r="Q147" s="114">
        <v>20286</v>
      </c>
      <c r="R147" s="114">
        <v>20500</v>
      </c>
      <c r="S147" s="114">
        <v>30750</v>
      </c>
      <c r="T147" s="196">
        <v>57508.65</v>
      </c>
      <c r="U147" s="52">
        <f>IFERROR(INDEX(tblPiNAnalysis[[Site Management ]], MATCH(tblPiNHistorical[[#This Row],[ID]], tblPiNAnalysis[ID], 0)), "")</f>
        <v>0</v>
      </c>
      <c r="V147" s="52">
        <f>IFERROR(INDEX(tblPiNAnalysis[Education], MATCH(tblPiNHistorical[[#This Row],[ID]], tblPiNAnalysis[ID], 0)), "")</f>
        <v>0</v>
      </c>
      <c r="W147" s="28">
        <f>IFERROR(INDEX(tblPiNAnalysis[Food Security and Livlihoods], MATCH(tblPiNHistorical[[#This Row],[ID]], tblPiNAnalysis[ID], 0)), "")</f>
        <v>0</v>
      </c>
      <c r="X147" s="28">
        <f>IFERROR(INDEX(tblPiNAnalysis[[Health ]], MATCH(tblPiNHistorical[[#This Row],[ID]], tblPiNAnalysis[ID], 0)), "")</f>
        <v>0</v>
      </c>
      <c r="Y147" s="28">
        <f>IFERROR(INDEX(tblPiNAnalysis[Nutrition], MATCH(tblPiNHistorical[[#This Row],[ID]], tblPiNAnalysis[ID], 0)), "")</f>
        <v>0</v>
      </c>
      <c r="Z147" s="28">
        <f>IFERROR(INDEX(tblPiNAnalysis[Protection], MATCH(tblPiNHistorical[[#This Row],[ID]], tblPiNAnalysis[ID], 0)), "")</f>
        <v>0</v>
      </c>
      <c r="AA147" s="28">
        <f>IFERROR(INDEX(tblPiNAnalysis[CP], MATCH(tblPiNHistorical[[#This Row],[ID]], tblPiNAnalysis[ID], 0)), "")</f>
        <v>0</v>
      </c>
      <c r="AB147" s="83">
        <f>IFERROR(INDEX(tblPiNAnalysis[GBV], MATCH(tblPiNHistorical[[#This Row],[ID]], tblPiNAnalysis[ID], 0)), "")</f>
        <v>0</v>
      </c>
      <c r="AC147" s="28">
        <f>IFERROR(INDEX(tblPiNAnalysis[Mine Action], MATCH(tblPiNHistorical[[#This Row],[ID]], tblPiNAnalysis[ID], 0)), "")</f>
        <v>0</v>
      </c>
      <c r="AD147" s="83">
        <f>IFERROR(INDEX(tblPiNAnalysis[[Shelter NFI ]], MATCH(tblPiNHistorical[[#This Row],[ID]], tblPiNAnalysis[ID], 0)), "")</f>
        <v>27924</v>
      </c>
      <c r="AE147" s="35">
        <f>IFERROR(INDEX(tblPiNAnalysis[WASH], MATCH(tblPiNHistorical[[#This Row],[ID]], tblPiNAnalysis[ID], 0)), "")</f>
        <v>0</v>
      </c>
      <c r="AF147" s="6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147" s="67" t="str">
        <f>IF(OR(tblPiNHistorical[[#This Row],[Education Old]]="", tblPiNHistorical[[#This Row],[Education Old]]=0, tblPiNHistorical[[#This Row],[Education New]]="", tblPiNHistorical[[#This Row],[Education New]]=0), "", tblPiNHistorical[[#This Row],[Education New]]-tblPiNHistorical[[#This Row],[Education Old]])</f>
        <v/>
      </c>
      <c r="AH147" s="67"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147" s="67" t="str">
        <f>IF(OR(tblPiNHistorical[[#This Row],[Health Old]]="", tblPiNHistorical[[#This Row],[Health Old]]=0, tblPiNHistorical[[#This Row],[Health New]]="", tblPiNHistorical[[#This Row],[Health New]]=0), "", tblPiNHistorical[[#This Row],[Health New]]-tblPiNHistorical[[#This Row],[Health Old]])</f>
        <v/>
      </c>
      <c r="AJ147" s="67" t="str">
        <f>IF(OR(tblPiNHistorical[[#This Row],[Nutrition Old]]="", tblPiNHistorical[[#This Row],[Nutrition Old]]=0, tblPiNHistorical[[#This Row],[Nutrition New]]="", tblPiNHistorical[[#This Row],[Nutrition New]]=0), "", tblPiNHistorical[[#This Row],[Nutrition New]]-tblPiNHistorical[[#This Row],[Nutrition Old]])</f>
        <v/>
      </c>
      <c r="AK147" s="67" t="str">
        <f>IF(OR(tblPiNHistorical[[#This Row],[Protection Old]]="", tblPiNHistorical[[#This Row],[Protection Old]]=0, tblPiNHistorical[[#This Row],[Protection New]]="", tblPiNHistorical[[#This Row],[Protection New]]=0), "", tblPiNHistorical[[#This Row],[Protection New]]-tblPiNHistorical[[#This Row],[Protection Old]])</f>
        <v/>
      </c>
      <c r="AL147" s="67" t="str">
        <f>IF(OR(tblPiNHistorical[[#This Row],[CP Old ]]="", tblPiNHistorical[[#This Row],[CP Old ]]=0, tblPiNHistorical[[#This Row],[CP New]]="", tblPiNHistorical[[#This Row],[CP New]]=0), "", tblPiNHistorical[[#This Row],[CP New]]-tblPiNHistorical[[#This Row],[CP Old ]])</f>
        <v/>
      </c>
      <c r="AM147" s="83" t="str">
        <f>IF(OR(tblPiNHistorical[[#This Row],[GBV Old]]="", tblPiNHistorical[[#This Row],[GBV Old]]=0, tblPiNHistorical[[#This Row],[GBV New]]="", tblPiNHistorical[[#This Row],[GBV New]]=0), "", tblPiNHistorical[[#This Row],[GBV New]]-tblPiNHistorical[[#This Row],[GBV Old]])</f>
        <v/>
      </c>
      <c r="AN147" s="83" t="str">
        <f>IF(OR(tblPiNHistorical[[#This Row],[Mine Action Old]]="", tblPiNHistorical[[#This Row],[Mine Action Old]]=0, tblPiNHistorical[[#This Row],[Mine Action New]]="", tblPiNHistorical[[#This Row],[Mine Action New]]=0), "", tblPiNHistorical[[#This Row],[Mine Action New]]-tblPiNHistorical[[#This Row],[Mine Action Old]])</f>
        <v/>
      </c>
      <c r="AO147" s="67">
        <f>IF(OR(tblPiNHistorical[[#This Row],[Shelter NFI Old]]="", tblPiNHistorical[[#This Row],[Shelter NFI Old]]=0, tblPiNHistorical[[#This Row],[Shelter NFI New]]="", tblPiNHistorical[[#This Row],[Shelter NFI New]]=0), "", tblPiNHistorical[[#This Row],[Shelter NFI New]]-tblPiNHistorical[[#This Row],[Shelter NFI Old]])</f>
        <v>-2826</v>
      </c>
      <c r="AP147" s="111" t="str">
        <f>IF(OR(tblPiNHistorical[[#This Row],[WASH Old]]="", tblPiNHistorical[[#This Row],[WASH Old]]=0, tblPiNHistorical[[#This Row],[WASH New]]="", tblPiNHistorical[[#This Row],[WASH New]]=0), "", tblPiNHistorical[[#This Row],[WASH New]]-tblPiNHistorical[[#This Row],[WASH Old]])</f>
        <v/>
      </c>
      <c r="AQ147" s="110">
        <f>IFERROR(ROUND((tblPiNHistorical[[#This Row],[Site Management - New]] - tblPiNHistorical[[#This Row],[Site Management - Old]])/tblPiNHistorical[[#This Row],[Site Management - Old]], 1), "")</f>
        <v>-1</v>
      </c>
      <c r="AR147" s="66">
        <f>IFERROR(ROUND((tblPiNHistorical[[#This Row],[Education New]]-tblPiNHistorical[[#This Row],[Education Old]])/tblPiNHistorical[[#This Row],[Education Old]], 1), "")</f>
        <v>-1</v>
      </c>
      <c r="AS147" s="66">
        <f>IFERROR(ROUND((tblPiNHistorical[[#This Row],[Food Security and Livlihoods New]]-tblPiNHistorical[[#This Row],[Food Security and Livlihoods Old]])/tblPiNHistorical[[#This Row],[Food Security and Livlihoods Old]], 1), "")</f>
        <v>-1</v>
      </c>
      <c r="AT147" s="66">
        <f>IFERROR(ROUND((tblPiNHistorical[[#This Row],[Health New]]-tblPiNHistorical[[#This Row],[Health Old]])/tblPiNHistorical[[#This Row],[Health Old]], 1), "")</f>
        <v>-1</v>
      </c>
      <c r="AU147" s="66">
        <f>IFERROR(ROUND((tblPiNHistorical[[#This Row],[Nutrition New]]-tblPiNHistorical[[#This Row],[Nutrition Old]])/tblPiNHistorical[[#This Row],[Nutrition Old]], 1), "")</f>
        <v>-1</v>
      </c>
      <c r="AV147" s="66">
        <f>IFERROR(ROUND((tblPiNHistorical[[#This Row],[Protection New]]-tblPiNHistorical[[#This Row],[Protection Old]])/tblPiNHistorical[[#This Row],[Protection Old]], 1), "")</f>
        <v>-1</v>
      </c>
      <c r="AW147" s="84">
        <f>IFERROR(ROUND((tblPiNHistorical[[#This Row],[CP New]]-tblPiNHistorical[[#This Row],[CP Old ]])/tblPiNHistorical[[#This Row],[CP Old ]], 1), "")</f>
        <v>-1</v>
      </c>
      <c r="AX147" s="84">
        <f>IFERROR(ROUND((tblPiNHistorical[[#This Row],[GBV New]]-tblPiNHistorical[[#This Row],[GBV Old]])/tblPiNHistorical[[#This Row],[GBV Old]], 1), "")</f>
        <v>-1</v>
      </c>
      <c r="AY147" s="84">
        <f>IFERROR(ROUND((tblPiNHistorical[[#This Row],[Mine Action New]]-tblPiNHistorical[[#This Row],[Mine Action Old]])/tblPiNHistorical[[#This Row],[Mine Action Old]], 1), "")</f>
        <v>-1</v>
      </c>
      <c r="AZ147" s="66">
        <f>IFERROR(ROUND((tblPiNHistorical[[#This Row],[Shelter NFI New]]-tblPiNHistorical[[#This Row],[Shelter NFI Old]])/tblPiNHistorical[[#This Row],[Shelter NFI Old]], 1), "")</f>
        <v>-0.1</v>
      </c>
      <c r="BA147" s="36">
        <f>IFERROR(ROUND((tblPiNHistorical[[#This Row],[WASH New]]-tblPiNHistorical[[#This Row],[WASH Old]])/tblPiNHistorical[[#This Row],[WASH Old]], 1), "")</f>
        <v>-1</v>
      </c>
      <c r="BB147"/>
      <c r="BC147"/>
      <c r="BD147"/>
      <c r="BE147"/>
      <c r="BF147"/>
      <c r="BG147"/>
      <c r="BH147"/>
      <c r="BI147"/>
      <c r="BL147"/>
      <c r="BN147"/>
      <c r="BO147"/>
      <c r="BP147"/>
    </row>
    <row r="148" spans="1:68" x14ac:dyDescent="0.25">
      <c r="A148"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IDPsSD07104</v>
      </c>
      <c r="B148" s="127" t="s">
        <v>188</v>
      </c>
      <c r="C148" s="60" t="s">
        <v>124</v>
      </c>
      <c r="D148" s="60" t="s">
        <v>360</v>
      </c>
      <c r="E148" s="60" t="s">
        <v>361</v>
      </c>
      <c r="F148" s="54"/>
      <c r="G148" s="30"/>
      <c r="H148" s="56">
        <v>21442</v>
      </c>
      <c r="I148" s="37" t="s">
        <v>88</v>
      </c>
      <c r="J148" s="34">
        <v>12434</v>
      </c>
      <c r="K148" s="116">
        <v>8313.0633999999991</v>
      </c>
      <c r="L148" s="114">
        <v>21442</v>
      </c>
      <c r="M148" s="114">
        <v>21442</v>
      </c>
      <c r="N148" s="114">
        <v>1237</v>
      </c>
      <c r="O148" s="114">
        <v>21442</v>
      </c>
      <c r="P148" s="114">
        <v>11793</v>
      </c>
      <c r="Q148" s="114">
        <v>8487</v>
      </c>
      <c r="R148" s="114">
        <v>10721</v>
      </c>
      <c r="S148" s="114">
        <v>12865</v>
      </c>
      <c r="T148" s="196">
        <v>22161.593519999999</v>
      </c>
      <c r="U148" s="52">
        <f>IFERROR(INDEX(tblPiNAnalysis[[Site Management ]], MATCH(tblPiNHistorical[[#This Row],[ID]], tblPiNAnalysis[ID], 0)), "")</f>
        <v>0</v>
      </c>
      <c r="V148" s="52">
        <f>IFERROR(INDEX(tblPiNAnalysis[Education], MATCH(tblPiNHistorical[[#This Row],[ID]], tblPiNAnalysis[ID], 0)), "")</f>
        <v>0</v>
      </c>
      <c r="W148" s="28">
        <f>IFERROR(INDEX(tblPiNAnalysis[Food Security and Livlihoods], MATCH(tblPiNHistorical[[#This Row],[ID]], tblPiNAnalysis[ID], 0)), "")</f>
        <v>0</v>
      </c>
      <c r="X148" s="28">
        <f>IFERROR(INDEX(tblPiNAnalysis[[Health ]], MATCH(tblPiNHistorical[[#This Row],[ID]], tblPiNAnalysis[ID], 0)), "")</f>
        <v>0</v>
      </c>
      <c r="Y148" s="28">
        <f>IFERROR(INDEX(tblPiNAnalysis[Nutrition], MATCH(tblPiNHistorical[[#This Row],[ID]], tblPiNAnalysis[ID], 0)), "")</f>
        <v>0</v>
      </c>
      <c r="Z148" s="28">
        <f>IFERROR(INDEX(tblPiNAnalysis[Protection], MATCH(tblPiNHistorical[[#This Row],[ID]], tblPiNAnalysis[ID], 0)), "")</f>
        <v>0</v>
      </c>
      <c r="AA148" s="28">
        <f>IFERROR(INDEX(tblPiNAnalysis[CP], MATCH(tblPiNHistorical[[#This Row],[ID]], tblPiNAnalysis[ID], 0)), "")</f>
        <v>0</v>
      </c>
      <c r="AB148" s="83">
        <f>IFERROR(INDEX(tblPiNAnalysis[GBV], MATCH(tblPiNHistorical[[#This Row],[ID]], tblPiNAnalysis[ID], 0)), "")</f>
        <v>0</v>
      </c>
      <c r="AC148" s="28">
        <f>IFERROR(INDEX(tblPiNAnalysis[Mine Action], MATCH(tblPiNHistorical[[#This Row],[ID]], tblPiNAnalysis[ID], 0)), "")</f>
        <v>0</v>
      </c>
      <c r="AD148" s="83">
        <f>IFERROR(INDEX(tblPiNAnalysis[[Shelter NFI ]], MATCH(tblPiNHistorical[[#This Row],[ID]], tblPiNAnalysis[ID], 0)), "")</f>
        <v>16265</v>
      </c>
      <c r="AE148" s="35">
        <f>IFERROR(INDEX(tblPiNAnalysis[WASH], MATCH(tblPiNHistorical[[#This Row],[ID]], tblPiNAnalysis[ID], 0)), "")</f>
        <v>0</v>
      </c>
      <c r="AF148" s="6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148" s="67" t="str">
        <f>IF(OR(tblPiNHistorical[[#This Row],[Education Old]]="", tblPiNHistorical[[#This Row],[Education Old]]=0, tblPiNHistorical[[#This Row],[Education New]]="", tblPiNHistorical[[#This Row],[Education New]]=0), "", tblPiNHistorical[[#This Row],[Education New]]-tblPiNHistorical[[#This Row],[Education Old]])</f>
        <v/>
      </c>
      <c r="AH148" s="67"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148" s="67" t="str">
        <f>IF(OR(tblPiNHistorical[[#This Row],[Health Old]]="", tblPiNHistorical[[#This Row],[Health Old]]=0, tblPiNHistorical[[#This Row],[Health New]]="", tblPiNHistorical[[#This Row],[Health New]]=0), "", tblPiNHistorical[[#This Row],[Health New]]-tblPiNHistorical[[#This Row],[Health Old]])</f>
        <v/>
      </c>
      <c r="AJ148" s="67" t="str">
        <f>IF(OR(tblPiNHistorical[[#This Row],[Nutrition Old]]="", tblPiNHistorical[[#This Row],[Nutrition Old]]=0, tblPiNHistorical[[#This Row],[Nutrition New]]="", tblPiNHistorical[[#This Row],[Nutrition New]]=0), "", tblPiNHistorical[[#This Row],[Nutrition New]]-tblPiNHistorical[[#This Row],[Nutrition Old]])</f>
        <v/>
      </c>
      <c r="AK148" s="67" t="str">
        <f>IF(OR(tblPiNHistorical[[#This Row],[Protection Old]]="", tblPiNHistorical[[#This Row],[Protection Old]]=0, tblPiNHistorical[[#This Row],[Protection New]]="", tblPiNHistorical[[#This Row],[Protection New]]=0), "", tblPiNHistorical[[#This Row],[Protection New]]-tblPiNHistorical[[#This Row],[Protection Old]])</f>
        <v/>
      </c>
      <c r="AL148" s="67" t="str">
        <f>IF(OR(tblPiNHistorical[[#This Row],[CP Old ]]="", tblPiNHistorical[[#This Row],[CP Old ]]=0, tblPiNHistorical[[#This Row],[CP New]]="", tblPiNHistorical[[#This Row],[CP New]]=0), "", tblPiNHistorical[[#This Row],[CP New]]-tblPiNHistorical[[#This Row],[CP Old ]])</f>
        <v/>
      </c>
      <c r="AM148" s="83" t="str">
        <f>IF(OR(tblPiNHistorical[[#This Row],[GBV Old]]="", tblPiNHistorical[[#This Row],[GBV Old]]=0, tblPiNHistorical[[#This Row],[GBV New]]="", tblPiNHistorical[[#This Row],[GBV New]]=0), "", tblPiNHistorical[[#This Row],[GBV New]]-tblPiNHistorical[[#This Row],[GBV Old]])</f>
        <v/>
      </c>
      <c r="AN148" s="83" t="str">
        <f>IF(OR(tblPiNHistorical[[#This Row],[Mine Action Old]]="", tblPiNHistorical[[#This Row],[Mine Action Old]]=0, tblPiNHistorical[[#This Row],[Mine Action New]]="", tblPiNHistorical[[#This Row],[Mine Action New]]=0), "", tblPiNHistorical[[#This Row],[Mine Action New]]-tblPiNHistorical[[#This Row],[Mine Action Old]])</f>
        <v/>
      </c>
      <c r="AO148" s="67">
        <f>IF(OR(tblPiNHistorical[[#This Row],[Shelter NFI Old]]="", tblPiNHistorical[[#This Row],[Shelter NFI Old]]=0, tblPiNHistorical[[#This Row],[Shelter NFI New]]="", tblPiNHistorical[[#This Row],[Shelter NFI New]]=0), "", tblPiNHistorical[[#This Row],[Shelter NFI New]]-tblPiNHistorical[[#This Row],[Shelter NFI Old]])</f>
        <v>3400</v>
      </c>
      <c r="AP148" s="111" t="str">
        <f>IF(OR(tblPiNHistorical[[#This Row],[WASH Old]]="", tblPiNHistorical[[#This Row],[WASH Old]]=0, tblPiNHistorical[[#This Row],[WASH New]]="", tblPiNHistorical[[#This Row],[WASH New]]=0), "", tblPiNHistorical[[#This Row],[WASH New]]-tblPiNHistorical[[#This Row],[WASH Old]])</f>
        <v/>
      </c>
      <c r="AQ148" s="110">
        <f>IFERROR(ROUND((tblPiNHistorical[[#This Row],[Site Management - New]] - tblPiNHistorical[[#This Row],[Site Management - Old]])/tblPiNHistorical[[#This Row],[Site Management - Old]], 1), "")</f>
        <v>-1</v>
      </c>
      <c r="AR148" s="66">
        <f>IFERROR(ROUND((tblPiNHistorical[[#This Row],[Education New]]-tblPiNHistorical[[#This Row],[Education Old]])/tblPiNHistorical[[#This Row],[Education Old]], 1), "")</f>
        <v>-1</v>
      </c>
      <c r="AS148" s="66">
        <f>IFERROR(ROUND((tblPiNHistorical[[#This Row],[Food Security and Livlihoods New]]-tblPiNHistorical[[#This Row],[Food Security and Livlihoods Old]])/tblPiNHistorical[[#This Row],[Food Security and Livlihoods Old]], 1), "")</f>
        <v>-1</v>
      </c>
      <c r="AT148" s="66">
        <f>IFERROR(ROUND((tblPiNHistorical[[#This Row],[Health New]]-tblPiNHistorical[[#This Row],[Health Old]])/tblPiNHistorical[[#This Row],[Health Old]], 1), "")</f>
        <v>-1</v>
      </c>
      <c r="AU148" s="66">
        <f>IFERROR(ROUND((tblPiNHistorical[[#This Row],[Nutrition New]]-tblPiNHistorical[[#This Row],[Nutrition Old]])/tblPiNHistorical[[#This Row],[Nutrition Old]], 1), "")</f>
        <v>-1</v>
      </c>
      <c r="AV148" s="66">
        <f>IFERROR(ROUND((tblPiNHistorical[[#This Row],[Protection New]]-tblPiNHistorical[[#This Row],[Protection Old]])/tblPiNHistorical[[#This Row],[Protection Old]], 1), "")</f>
        <v>-1</v>
      </c>
      <c r="AW148" s="84">
        <f>IFERROR(ROUND((tblPiNHistorical[[#This Row],[CP New]]-tblPiNHistorical[[#This Row],[CP Old ]])/tblPiNHistorical[[#This Row],[CP Old ]], 1), "")</f>
        <v>-1</v>
      </c>
      <c r="AX148" s="84">
        <f>IFERROR(ROUND((tblPiNHistorical[[#This Row],[GBV New]]-tblPiNHistorical[[#This Row],[GBV Old]])/tblPiNHistorical[[#This Row],[GBV Old]], 1), "")</f>
        <v>-1</v>
      </c>
      <c r="AY148" s="84">
        <f>IFERROR(ROUND((tblPiNHistorical[[#This Row],[Mine Action New]]-tblPiNHistorical[[#This Row],[Mine Action Old]])/tblPiNHistorical[[#This Row],[Mine Action Old]], 1), "")</f>
        <v>-1</v>
      </c>
      <c r="AZ148" s="66">
        <f>IFERROR(ROUND((tblPiNHistorical[[#This Row],[Shelter NFI New]]-tblPiNHistorical[[#This Row],[Shelter NFI Old]])/tblPiNHistorical[[#This Row],[Shelter NFI Old]], 1), "")</f>
        <v>0.3</v>
      </c>
      <c r="BA148" s="36">
        <f>IFERROR(ROUND((tblPiNHistorical[[#This Row],[WASH New]]-tblPiNHistorical[[#This Row],[WASH Old]])/tblPiNHistorical[[#This Row],[WASH Old]], 1), "")</f>
        <v>-1</v>
      </c>
      <c r="BB148"/>
      <c r="BC148"/>
      <c r="BD148"/>
      <c r="BE148"/>
      <c r="BF148"/>
      <c r="BG148"/>
      <c r="BH148"/>
      <c r="BI148"/>
      <c r="BL148"/>
      <c r="BN148"/>
      <c r="BO148"/>
      <c r="BP148"/>
    </row>
    <row r="149" spans="1:68" x14ac:dyDescent="0.25">
      <c r="A149"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IDPsSD07099</v>
      </c>
      <c r="B149" s="127" t="s">
        <v>188</v>
      </c>
      <c r="C149" s="60" t="s">
        <v>124</v>
      </c>
      <c r="D149" s="60" t="s">
        <v>356</v>
      </c>
      <c r="E149" s="60" t="s">
        <v>357</v>
      </c>
      <c r="F149" s="54"/>
      <c r="G149" s="30"/>
      <c r="H149" s="56">
        <v>0</v>
      </c>
      <c r="I149" s="37" t="s">
        <v>88</v>
      </c>
      <c r="J149" s="34">
        <v>0</v>
      </c>
      <c r="K149" s="116">
        <v>0</v>
      </c>
      <c r="L149" s="114">
        <v>0</v>
      </c>
      <c r="M149" s="114">
        <v>0</v>
      </c>
      <c r="N149" s="114">
        <v>0</v>
      </c>
      <c r="O149" s="114">
        <v>0</v>
      </c>
      <c r="P149" s="114">
        <v>0</v>
      </c>
      <c r="Q149" s="114">
        <v>0</v>
      </c>
      <c r="R149" s="114">
        <v>0</v>
      </c>
      <c r="S149" s="114">
        <v>0</v>
      </c>
      <c r="T149" s="196">
        <v>0</v>
      </c>
      <c r="U149" s="52">
        <f>IFERROR(INDEX(tblPiNAnalysis[[Site Management ]], MATCH(tblPiNHistorical[[#This Row],[ID]], tblPiNAnalysis[ID], 0)), "")</f>
        <v>0</v>
      </c>
      <c r="V149" s="52">
        <f>IFERROR(INDEX(tblPiNAnalysis[Education], MATCH(tblPiNHistorical[[#This Row],[ID]], tblPiNAnalysis[ID], 0)), "")</f>
        <v>0</v>
      </c>
      <c r="W149" s="28">
        <f>IFERROR(INDEX(tblPiNAnalysis[Food Security and Livlihoods], MATCH(tblPiNHistorical[[#This Row],[ID]], tblPiNAnalysis[ID], 0)), "")</f>
        <v>0</v>
      </c>
      <c r="X149" s="28">
        <f>IFERROR(INDEX(tblPiNAnalysis[[Health ]], MATCH(tblPiNHistorical[[#This Row],[ID]], tblPiNAnalysis[ID], 0)), "")</f>
        <v>0</v>
      </c>
      <c r="Y149" s="28">
        <f>IFERROR(INDEX(tblPiNAnalysis[Nutrition], MATCH(tblPiNHistorical[[#This Row],[ID]], tblPiNAnalysis[ID], 0)), "")</f>
        <v>0</v>
      </c>
      <c r="Z149" s="28">
        <f>IFERROR(INDEX(tblPiNAnalysis[Protection], MATCH(tblPiNHistorical[[#This Row],[ID]], tblPiNAnalysis[ID], 0)), "")</f>
        <v>0</v>
      </c>
      <c r="AA149" s="28">
        <f>IFERROR(INDEX(tblPiNAnalysis[CP], MATCH(tblPiNHistorical[[#This Row],[ID]], tblPiNAnalysis[ID], 0)), "")</f>
        <v>0</v>
      </c>
      <c r="AB149" s="83">
        <f>IFERROR(INDEX(tblPiNAnalysis[GBV], MATCH(tblPiNHistorical[[#This Row],[ID]], tblPiNAnalysis[ID], 0)), "")</f>
        <v>0</v>
      </c>
      <c r="AC149" s="28">
        <f>IFERROR(INDEX(tblPiNAnalysis[Mine Action], MATCH(tblPiNHistorical[[#This Row],[ID]], tblPiNAnalysis[ID], 0)), "")</f>
        <v>0</v>
      </c>
      <c r="AD149" s="83">
        <f>IFERROR(INDEX(tblPiNAnalysis[[Shelter NFI ]], MATCH(tblPiNHistorical[[#This Row],[ID]], tblPiNAnalysis[ID], 0)), "")</f>
        <v>0</v>
      </c>
      <c r="AE149" s="35">
        <f>IFERROR(INDEX(tblPiNAnalysis[WASH], MATCH(tblPiNHistorical[[#This Row],[ID]], tblPiNAnalysis[ID], 0)), "")</f>
        <v>0</v>
      </c>
      <c r="AF149" s="6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149" s="67" t="str">
        <f>IF(OR(tblPiNHistorical[[#This Row],[Education Old]]="", tblPiNHistorical[[#This Row],[Education Old]]=0, tblPiNHistorical[[#This Row],[Education New]]="", tblPiNHistorical[[#This Row],[Education New]]=0), "", tblPiNHistorical[[#This Row],[Education New]]-tblPiNHistorical[[#This Row],[Education Old]])</f>
        <v/>
      </c>
      <c r="AH149" s="67"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149" s="67" t="str">
        <f>IF(OR(tblPiNHistorical[[#This Row],[Health Old]]="", tblPiNHistorical[[#This Row],[Health Old]]=0, tblPiNHistorical[[#This Row],[Health New]]="", tblPiNHistorical[[#This Row],[Health New]]=0), "", tblPiNHistorical[[#This Row],[Health New]]-tblPiNHistorical[[#This Row],[Health Old]])</f>
        <v/>
      </c>
      <c r="AJ149" s="67" t="str">
        <f>IF(OR(tblPiNHistorical[[#This Row],[Nutrition Old]]="", tblPiNHistorical[[#This Row],[Nutrition Old]]=0, tblPiNHistorical[[#This Row],[Nutrition New]]="", tblPiNHistorical[[#This Row],[Nutrition New]]=0), "", tblPiNHistorical[[#This Row],[Nutrition New]]-tblPiNHistorical[[#This Row],[Nutrition Old]])</f>
        <v/>
      </c>
      <c r="AK149" s="67" t="str">
        <f>IF(OR(tblPiNHistorical[[#This Row],[Protection Old]]="", tblPiNHistorical[[#This Row],[Protection Old]]=0, tblPiNHistorical[[#This Row],[Protection New]]="", tblPiNHistorical[[#This Row],[Protection New]]=0), "", tblPiNHistorical[[#This Row],[Protection New]]-tblPiNHistorical[[#This Row],[Protection Old]])</f>
        <v/>
      </c>
      <c r="AL149" s="67" t="str">
        <f>IF(OR(tblPiNHistorical[[#This Row],[CP Old ]]="", tblPiNHistorical[[#This Row],[CP Old ]]=0, tblPiNHistorical[[#This Row],[CP New]]="", tblPiNHistorical[[#This Row],[CP New]]=0), "", tblPiNHistorical[[#This Row],[CP New]]-tblPiNHistorical[[#This Row],[CP Old ]])</f>
        <v/>
      </c>
      <c r="AM149" s="83" t="str">
        <f>IF(OR(tblPiNHistorical[[#This Row],[GBV Old]]="", tblPiNHistorical[[#This Row],[GBV Old]]=0, tblPiNHistorical[[#This Row],[GBV New]]="", tblPiNHistorical[[#This Row],[GBV New]]=0), "", tblPiNHistorical[[#This Row],[GBV New]]-tblPiNHistorical[[#This Row],[GBV Old]])</f>
        <v/>
      </c>
      <c r="AN149" s="83" t="str">
        <f>IF(OR(tblPiNHistorical[[#This Row],[Mine Action Old]]="", tblPiNHistorical[[#This Row],[Mine Action Old]]=0, tblPiNHistorical[[#This Row],[Mine Action New]]="", tblPiNHistorical[[#This Row],[Mine Action New]]=0), "", tblPiNHistorical[[#This Row],[Mine Action New]]-tblPiNHistorical[[#This Row],[Mine Action Old]])</f>
        <v/>
      </c>
      <c r="AO149" s="67" t="str">
        <f>IF(OR(tblPiNHistorical[[#This Row],[Shelter NFI Old]]="", tblPiNHistorical[[#This Row],[Shelter NFI Old]]=0, tblPiNHistorical[[#This Row],[Shelter NFI New]]="", tblPiNHistorical[[#This Row],[Shelter NFI New]]=0), "", tblPiNHistorical[[#This Row],[Shelter NFI New]]-tblPiNHistorical[[#This Row],[Shelter NFI Old]])</f>
        <v/>
      </c>
      <c r="AP149" s="111" t="str">
        <f>IF(OR(tblPiNHistorical[[#This Row],[WASH Old]]="", tblPiNHistorical[[#This Row],[WASH Old]]=0, tblPiNHistorical[[#This Row],[WASH New]]="", tblPiNHistorical[[#This Row],[WASH New]]=0), "", tblPiNHistorical[[#This Row],[WASH New]]-tblPiNHistorical[[#This Row],[WASH Old]])</f>
        <v/>
      </c>
      <c r="AQ149" s="110" t="str">
        <f>IFERROR(ROUND((tblPiNHistorical[[#This Row],[Site Management - New]] - tblPiNHistorical[[#This Row],[Site Management - Old]])/tblPiNHistorical[[#This Row],[Site Management - Old]], 1), "")</f>
        <v/>
      </c>
      <c r="AR149" s="66" t="str">
        <f>IFERROR(ROUND((tblPiNHistorical[[#This Row],[Education New]]-tblPiNHistorical[[#This Row],[Education Old]])/tblPiNHistorical[[#This Row],[Education Old]], 1), "")</f>
        <v/>
      </c>
      <c r="AS149" s="66" t="str">
        <f>IFERROR(ROUND((tblPiNHistorical[[#This Row],[Food Security and Livlihoods New]]-tblPiNHistorical[[#This Row],[Food Security and Livlihoods Old]])/tblPiNHistorical[[#This Row],[Food Security and Livlihoods Old]], 1), "")</f>
        <v/>
      </c>
      <c r="AT149" s="66" t="str">
        <f>IFERROR(ROUND((tblPiNHistorical[[#This Row],[Health New]]-tblPiNHistorical[[#This Row],[Health Old]])/tblPiNHistorical[[#This Row],[Health Old]], 1), "")</f>
        <v/>
      </c>
      <c r="AU149" s="66" t="str">
        <f>IFERROR(ROUND((tblPiNHistorical[[#This Row],[Nutrition New]]-tblPiNHistorical[[#This Row],[Nutrition Old]])/tblPiNHistorical[[#This Row],[Nutrition Old]], 1), "")</f>
        <v/>
      </c>
      <c r="AV149" s="66" t="str">
        <f>IFERROR(ROUND((tblPiNHistorical[[#This Row],[Protection New]]-tblPiNHistorical[[#This Row],[Protection Old]])/tblPiNHistorical[[#This Row],[Protection Old]], 1), "")</f>
        <v/>
      </c>
      <c r="AW149" s="84" t="str">
        <f>IFERROR(ROUND((tblPiNHistorical[[#This Row],[CP New]]-tblPiNHistorical[[#This Row],[CP Old ]])/tblPiNHistorical[[#This Row],[CP Old ]], 1), "")</f>
        <v/>
      </c>
      <c r="AX149" s="84" t="str">
        <f>IFERROR(ROUND((tblPiNHistorical[[#This Row],[GBV New]]-tblPiNHistorical[[#This Row],[GBV Old]])/tblPiNHistorical[[#This Row],[GBV Old]], 1), "")</f>
        <v/>
      </c>
      <c r="AY149" s="84" t="str">
        <f>IFERROR(ROUND((tblPiNHistorical[[#This Row],[Mine Action New]]-tblPiNHistorical[[#This Row],[Mine Action Old]])/tblPiNHistorical[[#This Row],[Mine Action Old]], 1), "")</f>
        <v/>
      </c>
      <c r="AZ149" s="66" t="str">
        <f>IFERROR(ROUND((tblPiNHistorical[[#This Row],[Shelter NFI New]]-tblPiNHistorical[[#This Row],[Shelter NFI Old]])/tblPiNHistorical[[#This Row],[Shelter NFI Old]], 1), "")</f>
        <v/>
      </c>
      <c r="BA149" s="36" t="str">
        <f>IFERROR(ROUND((tblPiNHistorical[[#This Row],[WASH New]]-tblPiNHistorical[[#This Row],[WASH Old]])/tblPiNHistorical[[#This Row],[WASH Old]], 1), "")</f>
        <v/>
      </c>
      <c r="BB149"/>
      <c r="BC149"/>
      <c r="BD149"/>
      <c r="BE149"/>
      <c r="BF149"/>
      <c r="BG149"/>
      <c r="BH149"/>
      <c r="BI149"/>
      <c r="BL149"/>
      <c r="BN149"/>
      <c r="BO149"/>
      <c r="BP149"/>
    </row>
    <row r="150" spans="1:68" x14ac:dyDescent="0.25">
      <c r="A150"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IDPsSD07105</v>
      </c>
      <c r="B150" s="127" t="s">
        <v>188</v>
      </c>
      <c r="C150" s="60" t="s">
        <v>124</v>
      </c>
      <c r="D150" s="60" t="s">
        <v>362</v>
      </c>
      <c r="E150" s="60" t="s">
        <v>363</v>
      </c>
      <c r="F150" s="54"/>
      <c r="G150" s="30"/>
      <c r="H150" s="56">
        <v>5651</v>
      </c>
      <c r="I150" s="37" t="s">
        <v>88</v>
      </c>
      <c r="J150" s="34">
        <v>3760</v>
      </c>
      <c r="K150" s="116">
        <v>2190.8926999999999</v>
      </c>
      <c r="L150" s="114">
        <v>5651</v>
      </c>
      <c r="M150" s="114">
        <v>5651</v>
      </c>
      <c r="N150" s="114">
        <v>431</v>
      </c>
      <c r="O150" s="114">
        <v>5651</v>
      </c>
      <c r="P150" s="114">
        <v>3108</v>
      </c>
      <c r="Q150" s="114">
        <v>2237</v>
      </c>
      <c r="R150" s="114">
        <v>0</v>
      </c>
      <c r="S150" s="114">
        <v>3391</v>
      </c>
      <c r="T150" s="196">
        <v>0</v>
      </c>
      <c r="U150" s="52">
        <f>IFERROR(INDEX(tblPiNAnalysis[[Site Management ]], MATCH(tblPiNHistorical[[#This Row],[ID]], tblPiNAnalysis[ID], 0)), "")</f>
        <v>0</v>
      </c>
      <c r="V150" s="52">
        <f>IFERROR(INDEX(tblPiNAnalysis[Education], MATCH(tblPiNHistorical[[#This Row],[ID]], tblPiNAnalysis[ID], 0)), "")</f>
        <v>0</v>
      </c>
      <c r="W150" s="28">
        <f>IFERROR(INDEX(tblPiNAnalysis[Food Security and Livlihoods], MATCH(tblPiNHistorical[[#This Row],[ID]], tblPiNAnalysis[ID], 0)), "")</f>
        <v>0</v>
      </c>
      <c r="X150" s="28">
        <f>IFERROR(INDEX(tblPiNAnalysis[[Health ]], MATCH(tblPiNHistorical[[#This Row],[ID]], tblPiNAnalysis[ID], 0)), "")</f>
        <v>0</v>
      </c>
      <c r="Y150" s="28">
        <f>IFERROR(INDEX(tblPiNAnalysis[Nutrition], MATCH(tblPiNHistorical[[#This Row],[ID]], tblPiNAnalysis[ID], 0)), "")</f>
        <v>0</v>
      </c>
      <c r="Z150" s="28">
        <f>IFERROR(INDEX(tblPiNAnalysis[Protection], MATCH(tblPiNHistorical[[#This Row],[ID]], tblPiNAnalysis[ID], 0)), "")</f>
        <v>0</v>
      </c>
      <c r="AA150" s="28">
        <f>IFERROR(INDEX(tblPiNAnalysis[CP], MATCH(tblPiNHistorical[[#This Row],[ID]], tblPiNAnalysis[ID], 0)), "")</f>
        <v>0</v>
      </c>
      <c r="AB150" s="83">
        <f>IFERROR(INDEX(tblPiNAnalysis[GBV], MATCH(tblPiNHistorical[[#This Row],[ID]], tblPiNAnalysis[ID], 0)), "")</f>
        <v>0</v>
      </c>
      <c r="AC150" s="28">
        <f>IFERROR(INDEX(tblPiNAnalysis[Mine Action], MATCH(tblPiNHistorical[[#This Row],[ID]], tblPiNAnalysis[ID], 0)), "")</f>
        <v>0</v>
      </c>
      <c r="AD150" s="83">
        <f>IFERROR(INDEX(tblPiNAnalysis[[Shelter NFI ]], MATCH(tblPiNHistorical[[#This Row],[ID]], tblPiNAnalysis[ID], 0)), "")</f>
        <v>5672</v>
      </c>
      <c r="AE150" s="35">
        <f>IFERROR(INDEX(tblPiNAnalysis[WASH], MATCH(tblPiNHistorical[[#This Row],[ID]], tblPiNAnalysis[ID], 0)), "")</f>
        <v>0</v>
      </c>
      <c r="AF150" s="6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150" s="67" t="str">
        <f>IF(OR(tblPiNHistorical[[#This Row],[Education Old]]="", tblPiNHistorical[[#This Row],[Education Old]]=0, tblPiNHistorical[[#This Row],[Education New]]="", tblPiNHistorical[[#This Row],[Education New]]=0), "", tblPiNHistorical[[#This Row],[Education New]]-tblPiNHistorical[[#This Row],[Education Old]])</f>
        <v/>
      </c>
      <c r="AH150" s="67"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150" s="67" t="str">
        <f>IF(OR(tblPiNHistorical[[#This Row],[Health Old]]="", tblPiNHistorical[[#This Row],[Health Old]]=0, tblPiNHistorical[[#This Row],[Health New]]="", tblPiNHistorical[[#This Row],[Health New]]=0), "", tblPiNHistorical[[#This Row],[Health New]]-tblPiNHistorical[[#This Row],[Health Old]])</f>
        <v/>
      </c>
      <c r="AJ150" s="67" t="str">
        <f>IF(OR(tblPiNHistorical[[#This Row],[Nutrition Old]]="", tblPiNHistorical[[#This Row],[Nutrition Old]]=0, tblPiNHistorical[[#This Row],[Nutrition New]]="", tblPiNHistorical[[#This Row],[Nutrition New]]=0), "", tblPiNHistorical[[#This Row],[Nutrition New]]-tblPiNHistorical[[#This Row],[Nutrition Old]])</f>
        <v/>
      </c>
      <c r="AK150" s="67" t="str">
        <f>IF(OR(tblPiNHistorical[[#This Row],[Protection Old]]="", tblPiNHistorical[[#This Row],[Protection Old]]=0, tblPiNHistorical[[#This Row],[Protection New]]="", tblPiNHistorical[[#This Row],[Protection New]]=0), "", tblPiNHistorical[[#This Row],[Protection New]]-tblPiNHistorical[[#This Row],[Protection Old]])</f>
        <v/>
      </c>
      <c r="AL150" s="67" t="str">
        <f>IF(OR(tblPiNHistorical[[#This Row],[CP Old ]]="", tblPiNHistorical[[#This Row],[CP Old ]]=0, tblPiNHistorical[[#This Row],[CP New]]="", tblPiNHistorical[[#This Row],[CP New]]=0), "", tblPiNHistorical[[#This Row],[CP New]]-tblPiNHistorical[[#This Row],[CP Old ]])</f>
        <v/>
      </c>
      <c r="AM150" s="83" t="str">
        <f>IF(OR(tblPiNHistorical[[#This Row],[GBV Old]]="", tblPiNHistorical[[#This Row],[GBV Old]]=0, tblPiNHistorical[[#This Row],[GBV New]]="", tblPiNHistorical[[#This Row],[GBV New]]=0), "", tblPiNHistorical[[#This Row],[GBV New]]-tblPiNHistorical[[#This Row],[GBV Old]])</f>
        <v/>
      </c>
      <c r="AN150" s="83" t="str">
        <f>IF(OR(tblPiNHistorical[[#This Row],[Mine Action Old]]="", tblPiNHistorical[[#This Row],[Mine Action Old]]=0, tblPiNHistorical[[#This Row],[Mine Action New]]="", tblPiNHistorical[[#This Row],[Mine Action New]]=0), "", tblPiNHistorical[[#This Row],[Mine Action New]]-tblPiNHistorical[[#This Row],[Mine Action Old]])</f>
        <v/>
      </c>
      <c r="AO150" s="67">
        <f>IF(OR(tblPiNHistorical[[#This Row],[Shelter NFI Old]]="", tblPiNHistorical[[#This Row],[Shelter NFI Old]]=0, tblPiNHistorical[[#This Row],[Shelter NFI New]]="", tblPiNHistorical[[#This Row],[Shelter NFI New]]=0), "", tblPiNHistorical[[#This Row],[Shelter NFI New]]-tblPiNHistorical[[#This Row],[Shelter NFI Old]])</f>
        <v>2281</v>
      </c>
      <c r="AP150" s="111" t="str">
        <f>IF(OR(tblPiNHistorical[[#This Row],[WASH Old]]="", tblPiNHistorical[[#This Row],[WASH Old]]=0, tblPiNHistorical[[#This Row],[WASH New]]="", tblPiNHistorical[[#This Row],[WASH New]]=0), "", tblPiNHistorical[[#This Row],[WASH New]]-tblPiNHistorical[[#This Row],[WASH Old]])</f>
        <v/>
      </c>
      <c r="AQ150" s="110">
        <f>IFERROR(ROUND((tblPiNHistorical[[#This Row],[Site Management - New]] - tblPiNHistorical[[#This Row],[Site Management - Old]])/tblPiNHistorical[[#This Row],[Site Management - Old]], 1), "")</f>
        <v>-1</v>
      </c>
      <c r="AR150" s="66">
        <f>IFERROR(ROUND((tblPiNHistorical[[#This Row],[Education New]]-tblPiNHistorical[[#This Row],[Education Old]])/tblPiNHistorical[[#This Row],[Education Old]], 1), "")</f>
        <v>-1</v>
      </c>
      <c r="AS150" s="66">
        <f>IFERROR(ROUND((tblPiNHistorical[[#This Row],[Food Security and Livlihoods New]]-tblPiNHistorical[[#This Row],[Food Security and Livlihoods Old]])/tblPiNHistorical[[#This Row],[Food Security and Livlihoods Old]], 1), "")</f>
        <v>-1</v>
      </c>
      <c r="AT150" s="66">
        <f>IFERROR(ROUND((tblPiNHistorical[[#This Row],[Health New]]-tblPiNHistorical[[#This Row],[Health Old]])/tblPiNHistorical[[#This Row],[Health Old]], 1), "")</f>
        <v>-1</v>
      </c>
      <c r="AU150" s="66">
        <f>IFERROR(ROUND((tblPiNHistorical[[#This Row],[Nutrition New]]-tblPiNHistorical[[#This Row],[Nutrition Old]])/tblPiNHistorical[[#This Row],[Nutrition Old]], 1), "")</f>
        <v>-1</v>
      </c>
      <c r="AV150" s="66">
        <f>IFERROR(ROUND((tblPiNHistorical[[#This Row],[Protection New]]-tblPiNHistorical[[#This Row],[Protection Old]])/tblPiNHistorical[[#This Row],[Protection Old]], 1), "")</f>
        <v>-1</v>
      </c>
      <c r="AW150" s="84">
        <f>IFERROR(ROUND((tblPiNHistorical[[#This Row],[CP New]]-tblPiNHistorical[[#This Row],[CP Old ]])/tblPiNHistorical[[#This Row],[CP Old ]], 1), "")</f>
        <v>-1</v>
      </c>
      <c r="AX150" s="84">
        <f>IFERROR(ROUND((tblPiNHistorical[[#This Row],[GBV New]]-tblPiNHistorical[[#This Row],[GBV Old]])/tblPiNHistorical[[#This Row],[GBV Old]], 1), "")</f>
        <v>-1</v>
      </c>
      <c r="AY150" s="84" t="str">
        <f>IFERROR(ROUND((tblPiNHistorical[[#This Row],[Mine Action New]]-tblPiNHistorical[[#This Row],[Mine Action Old]])/tblPiNHistorical[[#This Row],[Mine Action Old]], 1), "")</f>
        <v/>
      </c>
      <c r="AZ150" s="66">
        <f>IFERROR(ROUND((tblPiNHistorical[[#This Row],[Shelter NFI New]]-tblPiNHistorical[[#This Row],[Shelter NFI Old]])/tblPiNHistorical[[#This Row],[Shelter NFI Old]], 1), "")</f>
        <v>0.7</v>
      </c>
      <c r="BA150" s="36" t="str">
        <f>IFERROR(ROUND((tblPiNHistorical[[#This Row],[WASH New]]-tblPiNHistorical[[#This Row],[WASH Old]])/tblPiNHistorical[[#This Row],[WASH Old]], 1), "")</f>
        <v/>
      </c>
      <c r="BB150"/>
      <c r="BC150"/>
      <c r="BD150"/>
      <c r="BE150"/>
      <c r="BF150"/>
      <c r="BG150"/>
      <c r="BH150"/>
      <c r="BI150"/>
      <c r="BL150"/>
      <c r="BN150"/>
      <c r="BO150"/>
      <c r="BP150"/>
    </row>
    <row r="151" spans="1:68" x14ac:dyDescent="0.25">
      <c r="A151"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IDPsSD07094</v>
      </c>
      <c r="B151" s="127" t="s">
        <v>188</v>
      </c>
      <c r="C151" s="60" t="s">
        <v>124</v>
      </c>
      <c r="D151" s="60" t="s">
        <v>346</v>
      </c>
      <c r="E151" s="60" t="s">
        <v>347</v>
      </c>
      <c r="F151" s="54"/>
      <c r="G151" s="30"/>
      <c r="H151" s="56">
        <v>5092</v>
      </c>
      <c r="I151" s="37" t="s">
        <v>88</v>
      </c>
      <c r="J151" s="34">
        <v>30</v>
      </c>
      <c r="K151" s="116">
        <v>0</v>
      </c>
      <c r="L151" s="114">
        <v>5092</v>
      </c>
      <c r="M151" s="114">
        <v>5092</v>
      </c>
      <c r="N151" s="114">
        <v>248</v>
      </c>
      <c r="O151" s="114">
        <v>5092</v>
      </c>
      <c r="P151" s="114">
        <v>2801</v>
      </c>
      <c r="Q151" s="114">
        <v>2015</v>
      </c>
      <c r="R151" s="114">
        <v>0</v>
      </c>
      <c r="S151" s="114">
        <v>0</v>
      </c>
      <c r="T151" s="196">
        <v>0</v>
      </c>
      <c r="U151" s="52">
        <f>IFERROR(INDEX(tblPiNAnalysis[[Site Management ]], MATCH(tblPiNHistorical[[#This Row],[ID]], tblPiNAnalysis[ID], 0)), "")</f>
        <v>0</v>
      </c>
      <c r="V151" s="52">
        <f>IFERROR(INDEX(tblPiNAnalysis[Education], MATCH(tblPiNHistorical[[#This Row],[ID]], tblPiNAnalysis[ID], 0)), "")</f>
        <v>0</v>
      </c>
      <c r="W151" s="28">
        <f>IFERROR(INDEX(tblPiNAnalysis[Food Security and Livlihoods], MATCH(tblPiNHistorical[[#This Row],[ID]], tblPiNAnalysis[ID], 0)), "")</f>
        <v>0</v>
      </c>
      <c r="X151" s="28">
        <f>IFERROR(INDEX(tblPiNAnalysis[[Health ]], MATCH(tblPiNHistorical[[#This Row],[ID]], tblPiNAnalysis[ID], 0)), "")</f>
        <v>0</v>
      </c>
      <c r="Y151" s="28">
        <f>IFERROR(INDEX(tblPiNAnalysis[Nutrition], MATCH(tblPiNHistorical[[#This Row],[ID]], tblPiNAnalysis[ID], 0)), "")</f>
        <v>0</v>
      </c>
      <c r="Z151" s="28">
        <f>IFERROR(INDEX(tblPiNAnalysis[Protection], MATCH(tblPiNHistorical[[#This Row],[ID]], tblPiNAnalysis[ID], 0)), "")</f>
        <v>0</v>
      </c>
      <c r="AA151" s="28">
        <f>IFERROR(INDEX(tblPiNAnalysis[CP], MATCH(tblPiNHistorical[[#This Row],[ID]], tblPiNAnalysis[ID], 0)), "")</f>
        <v>0</v>
      </c>
      <c r="AB151" s="83">
        <f>IFERROR(INDEX(tblPiNAnalysis[GBV], MATCH(tblPiNHistorical[[#This Row],[ID]], tblPiNAnalysis[ID], 0)), "")</f>
        <v>0</v>
      </c>
      <c r="AC151" s="28">
        <f>IFERROR(INDEX(tblPiNAnalysis[Mine Action], MATCH(tblPiNHistorical[[#This Row],[ID]], tblPiNAnalysis[ID], 0)), "")</f>
        <v>0</v>
      </c>
      <c r="AD151" s="83">
        <f>IFERROR(INDEX(tblPiNAnalysis[[Shelter NFI ]], MATCH(tblPiNHistorical[[#This Row],[ID]], tblPiNAnalysis[ID], 0)), "")</f>
        <v>4428</v>
      </c>
      <c r="AE151" s="35">
        <f>IFERROR(INDEX(tblPiNAnalysis[WASH], MATCH(tblPiNHistorical[[#This Row],[ID]], tblPiNAnalysis[ID], 0)), "")</f>
        <v>0</v>
      </c>
      <c r="AF151" s="6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151" s="67" t="str">
        <f>IF(OR(tblPiNHistorical[[#This Row],[Education Old]]="", tblPiNHistorical[[#This Row],[Education Old]]=0, tblPiNHistorical[[#This Row],[Education New]]="", tblPiNHistorical[[#This Row],[Education New]]=0), "", tblPiNHistorical[[#This Row],[Education New]]-tblPiNHistorical[[#This Row],[Education Old]])</f>
        <v/>
      </c>
      <c r="AH151" s="67"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151" s="67" t="str">
        <f>IF(OR(tblPiNHistorical[[#This Row],[Health Old]]="", tblPiNHistorical[[#This Row],[Health Old]]=0, tblPiNHistorical[[#This Row],[Health New]]="", tblPiNHistorical[[#This Row],[Health New]]=0), "", tblPiNHistorical[[#This Row],[Health New]]-tblPiNHistorical[[#This Row],[Health Old]])</f>
        <v/>
      </c>
      <c r="AJ151" s="67" t="str">
        <f>IF(OR(tblPiNHistorical[[#This Row],[Nutrition Old]]="", tblPiNHistorical[[#This Row],[Nutrition Old]]=0, tblPiNHistorical[[#This Row],[Nutrition New]]="", tblPiNHistorical[[#This Row],[Nutrition New]]=0), "", tblPiNHistorical[[#This Row],[Nutrition New]]-tblPiNHistorical[[#This Row],[Nutrition Old]])</f>
        <v/>
      </c>
      <c r="AK151" s="67" t="str">
        <f>IF(OR(tblPiNHistorical[[#This Row],[Protection Old]]="", tblPiNHistorical[[#This Row],[Protection Old]]=0, tblPiNHistorical[[#This Row],[Protection New]]="", tblPiNHistorical[[#This Row],[Protection New]]=0), "", tblPiNHistorical[[#This Row],[Protection New]]-tblPiNHistorical[[#This Row],[Protection Old]])</f>
        <v/>
      </c>
      <c r="AL151" s="67" t="str">
        <f>IF(OR(tblPiNHistorical[[#This Row],[CP Old ]]="", tblPiNHistorical[[#This Row],[CP Old ]]=0, tblPiNHistorical[[#This Row],[CP New]]="", tblPiNHistorical[[#This Row],[CP New]]=0), "", tblPiNHistorical[[#This Row],[CP New]]-tblPiNHistorical[[#This Row],[CP Old ]])</f>
        <v/>
      </c>
      <c r="AM151" s="83" t="str">
        <f>IF(OR(tblPiNHistorical[[#This Row],[GBV Old]]="", tblPiNHistorical[[#This Row],[GBV Old]]=0, tblPiNHistorical[[#This Row],[GBV New]]="", tblPiNHistorical[[#This Row],[GBV New]]=0), "", tblPiNHistorical[[#This Row],[GBV New]]-tblPiNHistorical[[#This Row],[GBV Old]])</f>
        <v/>
      </c>
      <c r="AN151" s="83" t="str">
        <f>IF(OR(tblPiNHistorical[[#This Row],[Mine Action Old]]="", tblPiNHistorical[[#This Row],[Mine Action Old]]=0, tblPiNHistorical[[#This Row],[Mine Action New]]="", tblPiNHistorical[[#This Row],[Mine Action New]]=0), "", tblPiNHistorical[[#This Row],[Mine Action New]]-tblPiNHistorical[[#This Row],[Mine Action Old]])</f>
        <v/>
      </c>
      <c r="AO151" s="67" t="str">
        <f>IF(OR(tblPiNHistorical[[#This Row],[Shelter NFI Old]]="", tblPiNHistorical[[#This Row],[Shelter NFI Old]]=0, tblPiNHistorical[[#This Row],[Shelter NFI New]]="", tblPiNHistorical[[#This Row],[Shelter NFI New]]=0), "", tblPiNHistorical[[#This Row],[Shelter NFI New]]-tblPiNHistorical[[#This Row],[Shelter NFI Old]])</f>
        <v/>
      </c>
      <c r="AP151" s="111" t="str">
        <f>IF(OR(tblPiNHistorical[[#This Row],[WASH Old]]="", tblPiNHistorical[[#This Row],[WASH Old]]=0, tblPiNHistorical[[#This Row],[WASH New]]="", tblPiNHistorical[[#This Row],[WASH New]]=0), "", tblPiNHistorical[[#This Row],[WASH New]]-tblPiNHistorical[[#This Row],[WASH Old]])</f>
        <v/>
      </c>
      <c r="AQ151" s="110">
        <f>IFERROR(ROUND((tblPiNHistorical[[#This Row],[Site Management - New]] - tblPiNHistorical[[#This Row],[Site Management - Old]])/tblPiNHistorical[[#This Row],[Site Management - Old]], 1), "")</f>
        <v>-1</v>
      </c>
      <c r="AR151" s="66" t="str">
        <f>IFERROR(ROUND((tblPiNHistorical[[#This Row],[Education New]]-tblPiNHistorical[[#This Row],[Education Old]])/tblPiNHistorical[[#This Row],[Education Old]], 1), "")</f>
        <v/>
      </c>
      <c r="AS151" s="66">
        <f>IFERROR(ROUND((tblPiNHistorical[[#This Row],[Food Security and Livlihoods New]]-tblPiNHistorical[[#This Row],[Food Security and Livlihoods Old]])/tblPiNHistorical[[#This Row],[Food Security and Livlihoods Old]], 1), "")</f>
        <v>-1</v>
      </c>
      <c r="AT151" s="66">
        <f>IFERROR(ROUND((tblPiNHistorical[[#This Row],[Health New]]-tblPiNHistorical[[#This Row],[Health Old]])/tblPiNHistorical[[#This Row],[Health Old]], 1), "")</f>
        <v>-1</v>
      </c>
      <c r="AU151" s="66">
        <f>IFERROR(ROUND((tblPiNHistorical[[#This Row],[Nutrition New]]-tblPiNHistorical[[#This Row],[Nutrition Old]])/tblPiNHistorical[[#This Row],[Nutrition Old]], 1), "")</f>
        <v>-1</v>
      </c>
      <c r="AV151" s="66">
        <f>IFERROR(ROUND((tblPiNHistorical[[#This Row],[Protection New]]-tblPiNHistorical[[#This Row],[Protection Old]])/tblPiNHistorical[[#This Row],[Protection Old]], 1), "")</f>
        <v>-1</v>
      </c>
      <c r="AW151" s="84">
        <f>IFERROR(ROUND((tblPiNHistorical[[#This Row],[CP New]]-tblPiNHistorical[[#This Row],[CP Old ]])/tblPiNHistorical[[#This Row],[CP Old ]], 1), "")</f>
        <v>-1</v>
      </c>
      <c r="AX151" s="84">
        <f>IFERROR(ROUND((tblPiNHistorical[[#This Row],[GBV New]]-tblPiNHistorical[[#This Row],[GBV Old]])/tblPiNHistorical[[#This Row],[GBV Old]], 1), "")</f>
        <v>-1</v>
      </c>
      <c r="AY151" s="84" t="str">
        <f>IFERROR(ROUND((tblPiNHistorical[[#This Row],[Mine Action New]]-tblPiNHistorical[[#This Row],[Mine Action Old]])/tblPiNHistorical[[#This Row],[Mine Action Old]], 1), "")</f>
        <v/>
      </c>
      <c r="AZ151" s="66" t="str">
        <f>IFERROR(ROUND((tblPiNHistorical[[#This Row],[Shelter NFI New]]-tblPiNHistorical[[#This Row],[Shelter NFI Old]])/tblPiNHistorical[[#This Row],[Shelter NFI Old]], 1), "")</f>
        <v/>
      </c>
      <c r="BA151" s="36" t="str">
        <f>IFERROR(ROUND((tblPiNHistorical[[#This Row],[WASH New]]-tblPiNHistorical[[#This Row],[WASH Old]])/tblPiNHistorical[[#This Row],[WASH Old]], 1), "")</f>
        <v/>
      </c>
      <c r="BB151"/>
      <c r="BC151"/>
      <c r="BD151"/>
      <c r="BE151"/>
      <c r="BF151"/>
      <c r="BG151"/>
      <c r="BH151"/>
      <c r="BI151"/>
      <c r="BL151"/>
      <c r="BN151"/>
      <c r="BO151"/>
      <c r="BP151"/>
    </row>
    <row r="152" spans="1:68" x14ac:dyDescent="0.25">
      <c r="A152"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IDPsSD07093</v>
      </c>
      <c r="B152" s="127" t="s">
        <v>188</v>
      </c>
      <c r="C152" s="60" t="s">
        <v>124</v>
      </c>
      <c r="D152" s="60" t="s">
        <v>344</v>
      </c>
      <c r="E152" s="60" t="s">
        <v>345</v>
      </c>
      <c r="F152" s="54"/>
      <c r="G152" s="30"/>
      <c r="H152" s="56">
        <v>20189</v>
      </c>
      <c r="I152" s="37" t="s">
        <v>88</v>
      </c>
      <c r="J152" s="34">
        <v>3908</v>
      </c>
      <c r="K152" s="116">
        <v>0</v>
      </c>
      <c r="L152" s="114">
        <v>20189</v>
      </c>
      <c r="M152" s="114">
        <v>20189</v>
      </c>
      <c r="N152" s="114">
        <v>1389</v>
      </c>
      <c r="O152" s="114">
        <v>20189</v>
      </c>
      <c r="P152" s="114">
        <v>11104</v>
      </c>
      <c r="Q152" s="114">
        <v>7991</v>
      </c>
      <c r="R152" s="114">
        <v>14132.3</v>
      </c>
      <c r="S152" s="114">
        <v>8076</v>
      </c>
      <c r="T152" s="196">
        <v>21261.439679999999</v>
      </c>
      <c r="U152" s="52">
        <f>IFERROR(INDEX(tblPiNAnalysis[[Site Management ]], MATCH(tblPiNHistorical[[#This Row],[ID]], tblPiNAnalysis[ID], 0)), "")</f>
        <v>0</v>
      </c>
      <c r="V152" s="52">
        <f>IFERROR(INDEX(tblPiNAnalysis[Education], MATCH(tblPiNHistorical[[#This Row],[ID]], tblPiNAnalysis[ID], 0)), "")</f>
        <v>0</v>
      </c>
      <c r="W152" s="28">
        <f>IFERROR(INDEX(tblPiNAnalysis[Food Security and Livlihoods], MATCH(tblPiNHistorical[[#This Row],[ID]], tblPiNAnalysis[ID], 0)), "")</f>
        <v>0</v>
      </c>
      <c r="X152" s="28">
        <f>IFERROR(INDEX(tblPiNAnalysis[[Health ]], MATCH(tblPiNHistorical[[#This Row],[ID]], tblPiNAnalysis[ID], 0)), "")</f>
        <v>0</v>
      </c>
      <c r="Y152" s="28">
        <f>IFERROR(INDEX(tblPiNAnalysis[Nutrition], MATCH(tblPiNHistorical[[#This Row],[ID]], tblPiNAnalysis[ID], 0)), "")</f>
        <v>0</v>
      </c>
      <c r="Z152" s="28">
        <f>IFERROR(INDEX(tblPiNAnalysis[Protection], MATCH(tblPiNHistorical[[#This Row],[ID]], tblPiNAnalysis[ID], 0)), "")</f>
        <v>0</v>
      </c>
      <c r="AA152" s="28">
        <f>IFERROR(INDEX(tblPiNAnalysis[CP], MATCH(tblPiNHistorical[[#This Row],[ID]], tblPiNAnalysis[ID], 0)), "")</f>
        <v>0</v>
      </c>
      <c r="AB152" s="83">
        <f>IFERROR(INDEX(tblPiNAnalysis[GBV], MATCH(tblPiNHistorical[[#This Row],[ID]], tblPiNAnalysis[ID], 0)), "")</f>
        <v>0</v>
      </c>
      <c r="AC152" s="28">
        <f>IFERROR(INDEX(tblPiNAnalysis[Mine Action], MATCH(tblPiNHistorical[[#This Row],[ID]], tblPiNAnalysis[ID], 0)), "")</f>
        <v>0</v>
      </c>
      <c r="AD152" s="83">
        <f>IFERROR(INDEX(tblPiNAnalysis[[Shelter NFI ]], MATCH(tblPiNHistorical[[#This Row],[ID]], tblPiNAnalysis[ID], 0)), "")</f>
        <v>11125</v>
      </c>
      <c r="AE152" s="35">
        <f>IFERROR(INDEX(tblPiNAnalysis[WASH], MATCH(tblPiNHistorical[[#This Row],[ID]], tblPiNAnalysis[ID], 0)), "")</f>
        <v>0</v>
      </c>
      <c r="AF152" s="6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152" s="67" t="str">
        <f>IF(OR(tblPiNHistorical[[#This Row],[Education Old]]="", tblPiNHistorical[[#This Row],[Education Old]]=0, tblPiNHistorical[[#This Row],[Education New]]="", tblPiNHistorical[[#This Row],[Education New]]=0), "", tblPiNHistorical[[#This Row],[Education New]]-tblPiNHistorical[[#This Row],[Education Old]])</f>
        <v/>
      </c>
      <c r="AH152" s="67"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152" s="67" t="str">
        <f>IF(OR(tblPiNHistorical[[#This Row],[Health Old]]="", tblPiNHistorical[[#This Row],[Health Old]]=0, tblPiNHistorical[[#This Row],[Health New]]="", tblPiNHistorical[[#This Row],[Health New]]=0), "", tblPiNHistorical[[#This Row],[Health New]]-tblPiNHistorical[[#This Row],[Health Old]])</f>
        <v/>
      </c>
      <c r="AJ152" s="67" t="str">
        <f>IF(OR(tblPiNHistorical[[#This Row],[Nutrition Old]]="", tblPiNHistorical[[#This Row],[Nutrition Old]]=0, tblPiNHistorical[[#This Row],[Nutrition New]]="", tblPiNHistorical[[#This Row],[Nutrition New]]=0), "", tblPiNHistorical[[#This Row],[Nutrition New]]-tblPiNHistorical[[#This Row],[Nutrition Old]])</f>
        <v/>
      </c>
      <c r="AK152" s="67" t="str">
        <f>IF(OR(tblPiNHistorical[[#This Row],[Protection Old]]="", tblPiNHistorical[[#This Row],[Protection Old]]=0, tblPiNHistorical[[#This Row],[Protection New]]="", tblPiNHistorical[[#This Row],[Protection New]]=0), "", tblPiNHistorical[[#This Row],[Protection New]]-tblPiNHistorical[[#This Row],[Protection Old]])</f>
        <v/>
      </c>
      <c r="AL152" s="67" t="str">
        <f>IF(OR(tblPiNHistorical[[#This Row],[CP Old ]]="", tblPiNHistorical[[#This Row],[CP Old ]]=0, tblPiNHistorical[[#This Row],[CP New]]="", tblPiNHistorical[[#This Row],[CP New]]=0), "", tblPiNHistorical[[#This Row],[CP New]]-tblPiNHistorical[[#This Row],[CP Old ]])</f>
        <v/>
      </c>
      <c r="AM152" s="83" t="str">
        <f>IF(OR(tblPiNHistorical[[#This Row],[GBV Old]]="", tblPiNHistorical[[#This Row],[GBV Old]]=0, tblPiNHistorical[[#This Row],[GBV New]]="", tblPiNHistorical[[#This Row],[GBV New]]=0), "", tblPiNHistorical[[#This Row],[GBV New]]-tblPiNHistorical[[#This Row],[GBV Old]])</f>
        <v/>
      </c>
      <c r="AN152" s="83" t="str">
        <f>IF(OR(tblPiNHistorical[[#This Row],[Mine Action Old]]="", tblPiNHistorical[[#This Row],[Mine Action Old]]=0, tblPiNHistorical[[#This Row],[Mine Action New]]="", tblPiNHistorical[[#This Row],[Mine Action New]]=0), "", tblPiNHistorical[[#This Row],[Mine Action New]]-tblPiNHistorical[[#This Row],[Mine Action Old]])</f>
        <v/>
      </c>
      <c r="AO152" s="67">
        <f>IF(OR(tblPiNHistorical[[#This Row],[Shelter NFI Old]]="", tblPiNHistorical[[#This Row],[Shelter NFI Old]]=0, tblPiNHistorical[[#This Row],[Shelter NFI New]]="", tblPiNHistorical[[#This Row],[Shelter NFI New]]=0), "", tblPiNHistorical[[#This Row],[Shelter NFI New]]-tblPiNHistorical[[#This Row],[Shelter NFI Old]])</f>
        <v>3049</v>
      </c>
      <c r="AP152" s="111" t="str">
        <f>IF(OR(tblPiNHistorical[[#This Row],[WASH Old]]="", tblPiNHistorical[[#This Row],[WASH Old]]=0, tblPiNHistorical[[#This Row],[WASH New]]="", tblPiNHistorical[[#This Row],[WASH New]]=0), "", tblPiNHistorical[[#This Row],[WASH New]]-tblPiNHistorical[[#This Row],[WASH Old]])</f>
        <v/>
      </c>
      <c r="AQ152" s="110">
        <f>IFERROR(ROUND((tblPiNHistorical[[#This Row],[Site Management - New]] - tblPiNHistorical[[#This Row],[Site Management - Old]])/tblPiNHistorical[[#This Row],[Site Management - Old]], 1), "")</f>
        <v>-1</v>
      </c>
      <c r="AR152" s="66" t="str">
        <f>IFERROR(ROUND((tblPiNHistorical[[#This Row],[Education New]]-tblPiNHistorical[[#This Row],[Education Old]])/tblPiNHistorical[[#This Row],[Education Old]], 1), "")</f>
        <v/>
      </c>
      <c r="AS152" s="66">
        <f>IFERROR(ROUND((tblPiNHistorical[[#This Row],[Food Security and Livlihoods New]]-tblPiNHistorical[[#This Row],[Food Security and Livlihoods Old]])/tblPiNHistorical[[#This Row],[Food Security and Livlihoods Old]], 1), "")</f>
        <v>-1</v>
      </c>
      <c r="AT152" s="66">
        <f>IFERROR(ROUND((tblPiNHistorical[[#This Row],[Health New]]-tblPiNHistorical[[#This Row],[Health Old]])/tblPiNHistorical[[#This Row],[Health Old]], 1), "")</f>
        <v>-1</v>
      </c>
      <c r="AU152" s="66">
        <f>IFERROR(ROUND((tblPiNHistorical[[#This Row],[Nutrition New]]-tblPiNHistorical[[#This Row],[Nutrition Old]])/tblPiNHistorical[[#This Row],[Nutrition Old]], 1), "")</f>
        <v>-1</v>
      </c>
      <c r="AV152" s="66">
        <f>IFERROR(ROUND((tblPiNHistorical[[#This Row],[Protection New]]-tblPiNHistorical[[#This Row],[Protection Old]])/tblPiNHistorical[[#This Row],[Protection Old]], 1), "")</f>
        <v>-1</v>
      </c>
      <c r="AW152" s="84">
        <f>IFERROR(ROUND((tblPiNHistorical[[#This Row],[CP New]]-tblPiNHistorical[[#This Row],[CP Old ]])/tblPiNHistorical[[#This Row],[CP Old ]], 1), "")</f>
        <v>-1</v>
      </c>
      <c r="AX152" s="84">
        <f>IFERROR(ROUND((tblPiNHistorical[[#This Row],[GBV New]]-tblPiNHistorical[[#This Row],[GBV Old]])/tblPiNHistorical[[#This Row],[GBV Old]], 1), "")</f>
        <v>-1</v>
      </c>
      <c r="AY152" s="84">
        <f>IFERROR(ROUND((tblPiNHistorical[[#This Row],[Mine Action New]]-tblPiNHistorical[[#This Row],[Mine Action Old]])/tblPiNHistorical[[#This Row],[Mine Action Old]], 1), "")</f>
        <v>-1</v>
      </c>
      <c r="AZ152" s="66">
        <f>IFERROR(ROUND((tblPiNHistorical[[#This Row],[Shelter NFI New]]-tblPiNHistorical[[#This Row],[Shelter NFI Old]])/tblPiNHistorical[[#This Row],[Shelter NFI Old]], 1), "")</f>
        <v>0.4</v>
      </c>
      <c r="BA152" s="36">
        <f>IFERROR(ROUND((tblPiNHistorical[[#This Row],[WASH New]]-tblPiNHistorical[[#This Row],[WASH Old]])/tblPiNHistorical[[#This Row],[WASH Old]], 1), "")</f>
        <v>-1</v>
      </c>
      <c r="BB152"/>
      <c r="BC152"/>
      <c r="BD152"/>
      <c r="BE152"/>
      <c r="BF152"/>
      <c r="BG152"/>
      <c r="BH152"/>
      <c r="BI152"/>
      <c r="BL152"/>
      <c r="BN152"/>
      <c r="BO152"/>
      <c r="BP152"/>
    </row>
    <row r="153" spans="1:68" ht="30" x14ac:dyDescent="0.25">
      <c r="A153"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IDPsSD07097</v>
      </c>
      <c r="B153" s="127" t="s">
        <v>188</v>
      </c>
      <c r="C153" s="60" t="s">
        <v>124</v>
      </c>
      <c r="D153" s="60" t="s">
        <v>352</v>
      </c>
      <c r="E153" s="60" t="s">
        <v>353</v>
      </c>
      <c r="F153" s="54"/>
      <c r="G153" s="30"/>
      <c r="H153" s="56">
        <v>21147</v>
      </c>
      <c r="I153" s="37" t="s">
        <v>88</v>
      </c>
      <c r="J153" s="34">
        <v>8188</v>
      </c>
      <c r="K153" s="116">
        <v>8198.6918999999998</v>
      </c>
      <c r="L153" s="114">
        <v>21147</v>
      </c>
      <c r="M153" s="114">
        <v>21147</v>
      </c>
      <c r="N153" s="114">
        <v>2034</v>
      </c>
      <c r="O153" s="114">
        <v>21147</v>
      </c>
      <c r="P153" s="114">
        <v>11631</v>
      </c>
      <c r="Q153" s="114">
        <v>8369</v>
      </c>
      <c r="R153" s="114">
        <v>6344.0999999999995</v>
      </c>
      <c r="S153" s="114">
        <v>8459</v>
      </c>
      <c r="T153" s="196">
        <v>19354.580279999998</v>
      </c>
      <c r="U153" s="52">
        <f>IFERROR(INDEX(tblPiNAnalysis[[Site Management ]], MATCH(tblPiNHistorical[[#This Row],[ID]], tblPiNAnalysis[ID], 0)), "")</f>
        <v>0</v>
      </c>
      <c r="V153" s="52">
        <f>IFERROR(INDEX(tblPiNAnalysis[Education], MATCH(tblPiNHistorical[[#This Row],[ID]], tblPiNAnalysis[ID], 0)), "")</f>
        <v>0</v>
      </c>
      <c r="W153" s="28">
        <f>IFERROR(INDEX(tblPiNAnalysis[Food Security and Livlihoods], MATCH(tblPiNHistorical[[#This Row],[ID]], tblPiNAnalysis[ID], 0)), "")</f>
        <v>0</v>
      </c>
      <c r="X153" s="28">
        <f>IFERROR(INDEX(tblPiNAnalysis[[Health ]], MATCH(tblPiNHistorical[[#This Row],[ID]], tblPiNAnalysis[ID], 0)), "")</f>
        <v>0</v>
      </c>
      <c r="Y153" s="28">
        <f>IFERROR(INDEX(tblPiNAnalysis[Nutrition], MATCH(tblPiNHistorical[[#This Row],[ID]], tblPiNAnalysis[ID], 0)), "")</f>
        <v>0</v>
      </c>
      <c r="Z153" s="28">
        <f>IFERROR(INDEX(tblPiNAnalysis[Protection], MATCH(tblPiNHistorical[[#This Row],[ID]], tblPiNAnalysis[ID], 0)), "")</f>
        <v>0</v>
      </c>
      <c r="AA153" s="28">
        <f>IFERROR(INDEX(tblPiNAnalysis[CP], MATCH(tblPiNHistorical[[#This Row],[ID]], tblPiNAnalysis[ID], 0)), "")</f>
        <v>0</v>
      </c>
      <c r="AB153" s="83">
        <f>IFERROR(INDEX(tblPiNAnalysis[GBV], MATCH(tblPiNHistorical[[#This Row],[ID]], tblPiNAnalysis[ID], 0)), "")</f>
        <v>0</v>
      </c>
      <c r="AC153" s="28">
        <f>IFERROR(INDEX(tblPiNAnalysis[Mine Action], MATCH(tblPiNHistorical[[#This Row],[ID]], tblPiNAnalysis[ID], 0)), "")</f>
        <v>0</v>
      </c>
      <c r="AD153" s="83">
        <f>IFERROR(INDEX(tblPiNAnalysis[[Shelter NFI ]], MATCH(tblPiNHistorical[[#This Row],[ID]], tblPiNAnalysis[ID], 0)), "")</f>
        <v>30198</v>
      </c>
      <c r="AE153" s="35">
        <f>IFERROR(INDEX(tblPiNAnalysis[WASH], MATCH(tblPiNHistorical[[#This Row],[ID]], tblPiNAnalysis[ID], 0)), "")</f>
        <v>0</v>
      </c>
      <c r="AF153" s="6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153" s="67" t="str">
        <f>IF(OR(tblPiNHistorical[[#This Row],[Education Old]]="", tblPiNHistorical[[#This Row],[Education Old]]=0, tblPiNHistorical[[#This Row],[Education New]]="", tblPiNHistorical[[#This Row],[Education New]]=0), "", tblPiNHistorical[[#This Row],[Education New]]-tblPiNHistorical[[#This Row],[Education Old]])</f>
        <v/>
      </c>
      <c r="AH153" s="67"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153" s="67" t="str">
        <f>IF(OR(tblPiNHistorical[[#This Row],[Health Old]]="", tblPiNHistorical[[#This Row],[Health Old]]=0, tblPiNHistorical[[#This Row],[Health New]]="", tblPiNHistorical[[#This Row],[Health New]]=0), "", tblPiNHistorical[[#This Row],[Health New]]-tblPiNHistorical[[#This Row],[Health Old]])</f>
        <v/>
      </c>
      <c r="AJ153" s="67" t="str">
        <f>IF(OR(tblPiNHistorical[[#This Row],[Nutrition Old]]="", tblPiNHistorical[[#This Row],[Nutrition Old]]=0, tblPiNHistorical[[#This Row],[Nutrition New]]="", tblPiNHistorical[[#This Row],[Nutrition New]]=0), "", tblPiNHistorical[[#This Row],[Nutrition New]]-tblPiNHistorical[[#This Row],[Nutrition Old]])</f>
        <v/>
      </c>
      <c r="AK153" s="67" t="str">
        <f>IF(OR(tblPiNHistorical[[#This Row],[Protection Old]]="", tblPiNHistorical[[#This Row],[Protection Old]]=0, tblPiNHistorical[[#This Row],[Protection New]]="", tblPiNHistorical[[#This Row],[Protection New]]=0), "", tblPiNHistorical[[#This Row],[Protection New]]-tblPiNHistorical[[#This Row],[Protection Old]])</f>
        <v/>
      </c>
      <c r="AL153" s="67" t="str">
        <f>IF(OR(tblPiNHistorical[[#This Row],[CP Old ]]="", tblPiNHistorical[[#This Row],[CP Old ]]=0, tblPiNHistorical[[#This Row],[CP New]]="", tblPiNHistorical[[#This Row],[CP New]]=0), "", tblPiNHistorical[[#This Row],[CP New]]-tblPiNHistorical[[#This Row],[CP Old ]])</f>
        <v/>
      </c>
      <c r="AM153" s="83" t="str">
        <f>IF(OR(tblPiNHistorical[[#This Row],[GBV Old]]="", tblPiNHistorical[[#This Row],[GBV Old]]=0, tblPiNHistorical[[#This Row],[GBV New]]="", tblPiNHistorical[[#This Row],[GBV New]]=0), "", tblPiNHistorical[[#This Row],[GBV New]]-tblPiNHistorical[[#This Row],[GBV Old]])</f>
        <v/>
      </c>
      <c r="AN153" s="83" t="str">
        <f>IF(OR(tblPiNHistorical[[#This Row],[Mine Action Old]]="", tblPiNHistorical[[#This Row],[Mine Action Old]]=0, tblPiNHistorical[[#This Row],[Mine Action New]]="", tblPiNHistorical[[#This Row],[Mine Action New]]=0), "", tblPiNHistorical[[#This Row],[Mine Action New]]-tblPiNHistorical[[#This Row],[Mine Action Old]])</f>
        <v/>
      </c>
      <c r="AO153" s="67">
        <f>IF(OR(tblPiNHistorical[[#This Row],[Shelter NFI Old]]="", tblPiNHistorical[[#This Row],[Shelter NFI Old]]=0, tblPiNHistorical[[#This Row],[Shelter NFI New]]="", tblPiNHistorical[[#This Row],[Shelter NFI New]]=0), "", tblPiNHistorical[[#This Row],[Shelter NFI New]]-tblPiNHistorical[[#This Row],[Shelter NFI Old]])</f>
        <v>21739</v>
      </c>
      <c r="AP153" s="111" t="str">
        <f>IF(OR(tblPiNHistorical[[#This Row],[WASH Old]]="", tblPiNHistorical[[#This Row],[WASH Old]]=0, tblPiNHistorical[[#This Row],[WASH New]]="", tblPiNHistorical[[#This Row],[WASH New]]=0), "", tblPiNHistorical[[#This Row],[WASH New]]-tblPiNHistorical[[#This Row],[WASH Old]])</f>
        <v/>
      </c>
      <c r="AQ153" s="110">
        <f>IFERROR(ROUND((tblPiNHistorical[[#This Row],[Site Management - New]] - tblPiNHistorical[[#This Row],[Site Management - Old]])/tblPiNHistorical[[#This Row],[Site Management - Old]], 1), "")</f>
        <v>-1</v>
      </c>
      <c r="AR153" s="66">
        <f>IFERROR(ROUND((tblPiNHistorical[[#This Row],[Education New]]-tblPiNHistorical[[#This Row],[Education Old]])/tblPiNHistorical[[#This Row],[Education Old]], 1), "")</f>
        <v>-1</v>
      </c>
      <c r="AS153" s="66">
        <f>IFERROR(ROUND((tblPiNHistorical[[#This Row],[Food Security and Livlihoods New]]-tblPiNHistorical[[#This Row],[Food Security and Livlihoods Old]])/tblPiNHistorical[[#This Row],[Food Security and Livlihoods Old]], 1), "")</f>
        <v>-1</v>
      </c>
      <c r="AT153" s="66">
        <f>IFERROR(ROUND((tblPiNHistorical[[#This Row],[Health New]]-tblPiNHistorical[[#This Row],[Health Old]])/tblPiNHistorical[[#This Row],[Health Old]], 1), "")</f>
        <v>-1</v>
      </c>
      <c r="AU153" s="66">
        <f>IFERROR(ROUND((tblPiNHistorical[[#This Row],[Nutrition New]]-tblPiNHistorical[[#This Row],[Nutrition Old]])/tblPiNHistorical[[#This Row],[Nutrition Old]], 1), "")</f>
        <v>-1</v>
      </c>
      <c r="AV153" s="66">
        <f>IFERROR(ROUND((tblPiNHistorical[[#This Row],[Protection New]]-tblPiNHistorical[[#This Row],[Protection Old]])/tblPiNHistorical[[#This Row],[Protection Old]], 1), "")</f>
        <v>-1</v>
      </c>
      <c r="AW153" s="84">
        <f>IFERROR(ROUND((tblPiNHistorical[[#This Row],[CP New]]-tblPiNHistorical[[#This Row],[CP Old ]])/tblPiNHistorical[[#This Row],[CP Old ]], 1), "")</f>
        <v>-1</v>
      </c>
      <c r="AX153" s="84">
        <f>IFERROR(ROUND((tblPiNHistorical[[#This Row],[GBV New]]-tblPiNHistorical[[#This Row],[GBV Old]])/tblPiNHistorical[[#This Row],[GBV Old]], 1), "")</f>
        <v>-1</v>
      </c>
      <c r="AY153" s="84">
        <f>IFERROR(ROUND((tblPiNHistorical[[#This Row],[Mine Action New]]-tblPiNHistorical[[#This Row],[Mine Action Old]])/tblPiNHistorical[[#This Row],[Mine Action Old]], 1), "")</f>
        <v>-1</v>
      </c>
      <c r="AZ153" s="66">
        <f>IFERROR(ROUND((tblPiNHistorical[[#This Row],[Shelter NFI New]]-tblPiNHistorical[[#This Row],[Shelter NFI Old]])/tblPiNHistorical[[#This Row],[Shelter NFI Old]], 1), "")</f>
        <v>2.6</v>
      </c>
      <c r="BA153" s="36">
        <f>IFERROR(ROUND((tblPiNHistorical[[#This Row],[WASH New]]-tblPiNHistorical[[#This Row],[WASH Old]])/tblPiNHistorical[[#This Row],[WASH Old]], 1), "")</f>
        <v>-1</v>
      </c>
      <c r="BB153"/>
      <c r="BC153"/>
      <c r="BD153"/>
      <c r="BE153"/>
      <c r="BF153"/>
      <c r="BG153"/>
      <c r="BH153"/>
      <c r="BI153"/>
      <c r="BL153"/>
      <c r="BN153"/>
      <c r="BO153"/>
      <c r="BP153"/>
    </row>
    <row r="154" spans="1:68" ht="30" x14ac:dyDescent="0.25">
      <c r="A154"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IDPsSD07106</v>
      </c>
      <c r="B154" s="127" t="s">
        <v>188</v>
      </c>
      <c r="C154" s="60" t="s">
        <v>124</v>
      </c>
      <c r="D154" s="60" t="s">
        <v>364</v>
      </c>
      <c r="E154" s="60" t="s">
        <v>365</v>
      </c>
      <c r="F154" s="54"/>
      <c r="G154" s="30"/>
      <c r="H154" s="56">
        <v>1994</v>
      </c>
      <c r="I154" s="37" t="s">
        <v>88</v>
      </c>
      <c r="J154" s="34">
        <v>154</v>
      </c>
      <c r="K154" s="116">
        <v>773.07380000000001</v>
      </c>
      <c r="L154" s="114">
        <v>1994</v>
      </c>
      <c r="M154" s="114">
        <v>1994</v>
      </c>
      <c r="N154" s="114">
        <v>596</v>
      </c>
      <c r="O154" s="114">
        <v>1994</v>
      </c>
      <c r="P154" s="114">
        <v>1097</v>
      </c>
      <c r="Q154" s="114">
        <v>686</v>
      </c>
      <c r="R154" s="114">
        <v>0</v>
      </c>
      <c r="S154" s="114">
        <v>0</v>
      </c>
      <c r="T154" s="196">
        <v>0</v>
      </c>
      <c r="U154" s="52">
        <f>IFERROR(INDEX(tblPiNAnalysis[[Site Management ]], MATCH(tblPiNHistorical[[#This Row],[ID]], tblPiNAnalysis[ID], 0)), "")</f>
        <v>0</v>
      </c>
      <c r="V154" s="52">
        <f>IFERROR(INDEX(tblPiNAnalysis[Education], MATCH(tblPiNHistorical[[#This Row],[ID]], tblPiNAnalysis[ID], 0)), "")</f>
        <v>0</v>
      </c>
      <c r="W154" s="28">
        <f>IFERROR(INDEX(tblPiNAnalysis[Food Security and Livlihoods], MATCH(tblPiNHistorical[[#This Row],[ID]], tblPiNAnalysis[ID], 0)), "")</f>
        <v>0</v>
      </c>
      <c r="X154" s="28">
        <f>IFERROR(INDEX(tblPiNAnalysis[[Health ]], MATCH(tblPiNHistorical[[#This Row],[ID]], tblPiNAnalysis[ID], 0)), "")</f>
        <v>0</v>
      </c>
      <c r="Y154" s="28">
        <f>IFERROR(INDEX(tblPiNAnalysis[Nutrition], MATCH(tblPiNHistorical[[#This Row],[ID]], tblPiNAnalysis[ID], 0)), "")</f>
        <v>0</v>
      </c>
      <c r="Z154" s="28">
        <f>IFERROR(INDEX(tblPiNAnalysis[Protection], MATCH(tblPiNHistorical[[#This Row],[ID]], tblPiNAnalysis[ID], 0)), "")</f>
        <v>0</v>
      </c>
      <c r="AA154" s="28">
        <f>IFERROR(INDEX(tblPiNAnalysis[CP], MATCH(tblPiNHistorical[[#This Row],[ID]], tblPiNAnalysis[ID], 0)), "")</f>
        <v>0</v>
      </c>
      <c r="AB154" s="83">
        <f>IFERROR(INDEX(tblPiNAnalysis[GBV], MATCH(tblPiNHistorical[[#This Row],[ID]], tblPiNAnalysis[ID], 0)), "")</f>
        <v>0</v>
      </c>
      <c r="AC154" s="28">
        <f>IFERROR(INDEX(tblPiNAnalysis[Mine Action], MATCH(tblPiNHistorical[[#This Row],[ID]], tblPiNAnalysis[ID], 0)), "")</f>
        <v>0</v>
      </c>
      <c r="AD154" s="83">
        <f>IFERROR(INDEX(tblPiNAnalysis[[Shelter NFI ]], MATCH(tblPiNHistorical[[#This Row],[ID]], tblPiNAnalysis[ID], 0)), "")</f>
        <v>933</v>
      </c>
      <c r="AE154" s="35">
        <f>IFERROR(INDEX(tblPiNAnalysis[WASH], MATCH(tblPiNHistorical[[#This Row],[ID]], tblPiNAnalysis[ID], 0)), "")</f>
        <v>0</v>
      </c>
      <c r="AF154" s="6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154" s="67" t="str">
        <f>IF(OR(tblPiNHistorical[[#This Row],[Education Old]]="", tblPiNHistorical[[#This Row],[Education Old]]=0, tblPiNHistorical[[#This Row],[Education New]]="", tblPiNHistorical[[#This Row],[Education New]]=0), "", tblPiNHistorical[[#This Row],[Education New]]-tblPiNHistorical[[#This Row],[Education Old]])</f>
        <v/>
      </c>
      <c r="AH154" s="67"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154" s="67" t="str">
        <f>IF(OR(tblPiNHistorical[[#This Row],[Health Old]]="", tblPiNHistorical[[#This Row],[Health Old]]=0, tblPiNHistorical[[#This Row],[Health New]]="", tblPiNHistorical[[#This Row],[Health New]]=0), "", tblPiNHistorical[[#This Row],[Health New]]-tblPiNHistorical[[#This Row],[Health Old]])</f>
        <v/>
      </c>
      <c r="AJ154" s="67" t="str">
        <f>IF(OR(tblPiNHistorical[[#This Row],[Nutrition Old]]="", tblPiNHistorical[[#This Row],[Nutrition Old]]=0, tblPiNHistorical[[#This Row],[Nutrition New]]="", tblPiNHistorical[[#This Row],[Nutrition New]]=0), "", tblPiNHistorical[[#This Row],[Nutrition New]]-tblPiNHistorical[[#This Row],[Nutrition Old]])</f>
        <v/>
      </c>
      <c r="AK154" s="67" t="str">
        <f>IF(OR(tblPiNHistorical[[#This Row],[Protection Old]]="", tblPiNHistorical[[#This Row],[Protection Old]]=0, tblPiNHistorical[[#This Row],[Protection New]]="", tblPiNHistorical[[#This Row],[Protection New]]=0), "", tblPiNHistorical[[#This Row],[Protection New]]-tblPiNHistorical[[#This Row],[Protection Old]])</f>
        <v/>
      </c>
      <c r="AL154" s="67" t="str">
        <f>IF(OR(tblPiNHistorical[[#This Row],[CP Old ]]="", tblPiNHistorical[[#This Row],[CP Old ]]=0, tblPiNHistorical[[#This Row],[CP New]]="", tblPiNHistorical[[#This Row],[CP New]]=0), "", tblPiNHistorical[[#This Row],[CP New]]-tblPiNHistorical[[#This Row],[CP Old ]])</f>
        <v/>
      </c>
      <c r="AM154" s="83" t="str">
        <f>IF(OR(tblPiNHistorical[[#This Row],[GBV Old]]="", tblPiNHistorical[[#This Row],[GBV Old]]=0, tblPiNHistorical[[#This Row],[GBV New]]="", tblPiNHistorical[[#This Row],[GBV New]]=0), "", tblPiNHistorical[[#This Row],[GBV New]]-tblPiNHistorical[[#This Row],[GBV Old]])</f>
        <v/>
      </c>
      <c r="AN154" s="83" t="str">
        <f>IF(OR(tblPiNHistorical[[#This Row],[Mine Action Old]]="", tblPiNHistorical[[#This Row],[Mine Action Old]]=0, tblPiNHistorical[[#This Row],[Mine Action New]]="", tblPiNHistorical[[#This Row],[Mine Action New]]=0), "", tblPiNHistorical[[#This Row],[Mine Action New]]-tblPiNHistorical[[#This Row],[Mine Action Old]])</f>
        <v/>
      </c>
      <c r="AO154" s="67" t="str">
        <f>IF(OR(tblPiNHistorical[[#This Row],[Shelter NFI Old]]="", tblPiNHistorical[[#This Row],[Shelter NFI Old]]=0, tblPiNHistorical[[#This Row],[Shelter NFI New]]="", tblPiNHistorical[[#This Row],[Shelter NFI New]]=0), "", tblPiNHistorical[[#This Row],[Shelter NFI New]]-tblPiNHistorical[[#This Row],[Shelter NFI Old]])</f>
        <v/>
      </c>
      <c r="AP154" s="111" t="str">
        <f>IF(OR(tblPiNHistorical[[#This Row],[WASH Old]]="", tblPiNHistorical[[#This Row],[WASH Old]]=0, tblPiNHistorical[[#This Row],[WASH New]]="", tblPiNHistorical[[#This Row],[WASH New]]=0), "", tblPiNHistorical[[#This Row],[WASH New]]-tblPiNHistorical[[#This Row],[WASH Old]])</f>
        <v/>
      </c>
      <c r="AQ154" s="110">
        <f>IFERROR(ROUND((tblPiNHistorical[[#This Row],[Site Management - New]] - tblPiNHistorical[[#This Row],[Site Management - Old]])/tblPiNHistorical[[#This Row],[Site Management - Old]], 1), "")</f>
        <v>-1</v>
      </c>
      <c r="AR154" s="66">
        <f>IFERROR(ROUND((tblPiNHistorical[[#This Row],[Education New]]-tblPiNHistorical[[#This Row],[Education Old]])/tblPiNHistorical[[#This Row],[Education Old]], 1), "")</f>
        <v>-1</v>
      </c>
      <c r="AS154" s="66">
        <f>IFERROR(ROUND((tblPiNHistorical[[#This Row],[Food Security and Livlihoods New]]-tblPiNHistorical[[#This Row],[Food Security and Livlihoods Old]])/tblPiNHistorical[[#This Row],[Food Security and Livlihoods Old]], 1), "")</f>
        <v>-1</v>
      </c>
      <c r="AT154" s="66">
        <f>IFERROR(ROUND((tblPiNHistorical[[#This Row],[Health New]]-tblPiNHistorical[[#This Row],[Health Old]])/tblPiNHistorical[[#This Row],[Health Old]], 1), "")</f>
        <v>-1</v>
      </c>
      <c r="AU154" s="66">
        <f>IFERROR(ROUND((tblPiNHistorical[[#This Row],[Nutrition New]]-tblPiNHistorical[[#This Row],[Nutrition Old]])/tblPiNHistorical[[#This Row],[Nutrition Old]], 1), "")</f>
        <v>-1</v>
      </c>
      <c r="AV154" s="66">
        <f>IFERROR(ROUND((tblPiNHistorical[[#This Row],[Protection New]]-tblPiNHistorical[[#This Row],[Protection Old]])/tblPiNHistorical[[#This Row],[Protection Old]], 1), "")</f>
        <v>-1</v>
      </c>
      <c r="AW154" s="84">
        <f>IFERROR(ROUND((tblPiNHistorical[[#This Row],[CP New]]-tblPiNHistorical[[#This Row],[CP Old ]])/tblPiNHistorical[[#This Row],[CP Old ]], 1), "")</f>
        <v>-1</v>
      </c>
      <c r="AX154" s="84">
        <f>IFERROR(ROUND((tblPiNHistorical[[#This Row],[GBV New]]-tblPiNHistorical[[#This Row],[GBV Old]])/tblPiNHistorical[[#This Row],[GBV Old]], 1), "")</f>
        <v>-1</v>
      </c>
      <c r="AY154" s="84" t="str">
        <f>IFERROR(ROUND((tblPiNHistorical[[#This Row],[Mine Action New]]-tblPiNHistorical[[#This Row],[Mine Action Old]])/tblPiNHistorical[[#This Row],[Mine Action Old]], 1), "")</f>
        <v/>
      </c>
      <c r="AZ154" s="66" t="str">
        <f>IFERROR(ROUND((tblPiNHistorical[[#This Row],[Shelter NFI New]]-tblPiNHistorical[[#This Row],[Shelter NFI Old]])/tblPiNHistorical[[#This Row],[Shelter NFI Old]], 1), "")</f>
        <v/>
      </c>
      <c r="BA154" s="36" t="str">
        <f>IFERROR(ROUND((tblPiNHistorical[[#This Row],[WASH New]]-tblPiNHistorical[[#This Row],[WASH Old]])/tblPiNHistorical[[#This Row],[WASH Old]], 1), "")</f>
        <v/>
      </c>
      <c r="BB154"/>
      <c r="BC154"/>
      <c r="BD154"/>
      <c r="BE154"/>
      <c r="BF154"/>
      <c r="BG154"/>
      <c r="BH154"/>
      <c r="BI154"/>
      <c r="BL154"/>
      <c r="BN154"/>
      <c r="BO154"/>
      <c r="BP154"/>
    </row>
    <row r="155" spans="1:68" x14ac:dyDescent="0.25">
      <c r="A155"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IDPsSD07107</v>
      </c>
      <c r="B155" s="127" t="s">
        <v>188</v>
      </c>
      <c r="C155" s="60" t="s">
        <v>124</v>
      </c>
      <c r="D155" s="60" t="s">
        <v>366</v>
      </c>
      <c r="E155" s="60" t="s">
        <v>367</v>
      </c>
      <c r="F155" s="54"/>
      <c r="G155" s="30"/>
      <c r="H155" s="56">
        <v>4066</v>
      </c>
      <c r="I155" s="37" t="s">
        <v>88</v>
      </c>
      <c r="J155" s="34">
        <v>1299</v>
      </c>
      <c r="K155" s="116">
        <v>1576.3881999999999</v>
      </c>
      <c r="L155" s="114">
        <v>4066</v>
      </c>
      <c r="M155" s="114">
        <v>4066</v>
      </c>
      <c r="N155" s="114">
        <v>220</v>
      </c>
      <c r="O155" s="114">
        <v>4066</v>
      </c>
      <c r="P155" s="114">
        <v>2236</v>
      </c>
      <c r="Q155" s="114">
        <v>1610</v>
      </c>
      <c r="R155" s="114">
        <v>1219.8</v>
      </c>
      <c r="S155" s="114">
        <v>0</v>
      </c>
      <c r="T155" s="196">
        <v>0</v>
      </c>
      <c r="U155" s="52">
        <f>IFERROR(INDEX(tblPiNAnalysis[[Site Management ]], MATCH(tblPiNHistorical[[#This Row],[ID]], tblPiNAnalysis[ID], 0)), "")</f>
        <v>0</v>
      </c>
      <c r="V155" s="52">
        <f>IFERROR(INDEX(tblPiNAnalysis[Education], MATCH(tblPiNHistorical[[#This Row],[ID]], tblPiNAnalysis[ID], 0)), "")</f>
        <v>0</v>
      </c>
      <c r="W155" s="28">
        <f>IFERROR(INDEX(tblPiNAnalysis[Food Security and Livlihoods], MATCH(tblPiNHistorical[[#This Row],[ID]], tblPiNAnalysis[ID], 0)), "")</f>
        <v>0</v>
      </c>
      <c r="X155" s="28">
        <f>IFERROR(INDEX(tblPiNAnalysis[[Health ]], MATCH(tblPiNHistorical[[#This Row],[ID]], tblPiNAnalysis[ID], 0)), "")</f>
        <v>0</v>
      </c>
      <c r="Y155" s="28">
        <f>IFERROR(INDEX(tblPiNAnalysis[Nutrition], MATCH(tblPiNHistorical[[#This Row],[ID]], tblPiNAnalysis[ID], 0)), "")</f>
        <v>0</v>
      </c>
      <c r="Z155" s="28">
        <f>IFERROR(INDEX(tblPiNAnalysis[Protection], MATCH(tblPiNHistorical[[#This Row],[ID]], tblPiNAnalysis[ID], 0)), "")</f>
        <v>0</v>
      </c>
      <c r="AA155" s="28">
        <f>IFERROR(INDEX(tblPiNAnalysis[CP], MATCH(tblPiNHistorical[[#This Row],[ID]], tblPiNAnalysis[ID], 0)), "")</f>
        <v>0</v>
      </c>
      <c r="AB155" s="83">
        <f>IFERROR(INDEX(tblPiNAnalysis[GBV], MATCH(tblPiNHistorical[[#This Row],[ID]], tblPiNAnalysis[ID], 0)), "")</f>
        <v>0</v>
      </c>
      <c r="AC155" s="28">
        <f>IFERROR(INDEX(tblPiNAnalysis[Mine Action], MATCH(tblPiNHistorical[[#This Row],[ID]], tblPiNAnalysis[ID], 0)), "")</f>
        <v>0</v>
      </c>
      <c r="AD155" s="83">
        <f>IFERROR(INDEX(tblPiNAnalysis[[Shelter NFI ]], MATCH(tblPiNHistorical[[#This Row],[ID]], tblPiNAnalysis[ID], 0)), "")</f>
        <v>3117</v>
      </c>
      <c r="AE155" s="35">
        <f>IFERROR(INDEX(tblPiNAnalysis[WASH], MATCH(tblPiNHistorical[[#This Row],[ID]], tblPiNAnalysis[ID], 0)), "")</f>
        <v>0</v>
      </c>
      <c r="AF155" s="6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155" s="67" t="str">
        <f>IF(OR(tblPiNHistorical[[#This Row],[Education Old]]="", tblPiNHistorical[[#This Row],[Education Old]]=0, tblPiNHistorical[[#This Row],[Education New]]="", tblPiNHistorical[[#This Row],[Education New]]=0), "", tblPiNHistorical[[#This Row],[Education New]]-tblPiNHistorical[[#This Row],[Education Old]])</f>
        <v/>
      </c>
      <c r="AH155" s="67"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155" s="67" t="str">
        <f>IF(OR(tblPiNHistorical[[#This Row],[Health Old]]="", tblPiNHistorical[[#This Row],[Health Old]]=0, tblPiNHistorical[[#This Row],[Health New]]="", tblPiNHistorical[[#This Row],[Health New]]=0), "", tblPiNHistorical[[#This Row],[Health New]]-tblPiNHistorical[[#This Row],[Health Old]])</f>
        <v/>
      </c>
      <c r="AJ155" s="67" t="str">
        <f>IF(OR(tblPiNHistorical[[#This Row],[Nutrition Old]]="", tblPiNHistorical[[#This Row],[Nutrition Old]]=0, tblPiNHistorical[[#This Row],[Nutrition New]]="", tblPiNHistorical[[#This Row],[Nutrition New]]=0), "", tblPiNHistorical[[#This Row],[Nutrition New]]-tblPiNHistorical[[#This Row],[Nutrition Old]])</f>
        <v/>
      </c>
      <c r="AK155" s="67" t="str">
        <f>IF(OR(tblPiNHistorical[[#This Row],[Protection Old]]="", tblPiNHistorical[[#This Row],[Protection Old]]=0, tblPiNHistorical[[#This Row],[Protection New]]="", tblPiNHistorical[[#This Row],[Protection New]]=0), "", tblPiNHistorical[[#This Row],[Protection New]]-tblPiNHistorical[[#This Row],[Protection Old]])</f>
        <v/>
      </c>
      <c r="AL155" s="67" t="str">
        <f>IF(OR(tblPiNHistorical[[#This Row],[CP Old ]]="", tblPiNHistorical[[#This Row],[CP Old ]]=0, tblPiNHistorical[[#This Row],[CP New]]="", tblPiNHistorical[[#This Row],[CP New]]=0), "", tblPiNHistorical[[#This Row],[CP New]]-tblPiNHistorical[[#This Row],[CP Old ]])</f>
        <v/>
      </c>
      <c r="AM155" s="83" t="str">
        <f>IF(OR(tblPiNHistorical[[#This Row],[GBV Old]]="", tblPiNHistorical[[#This Row],[GBV Old]]=0, tblPiNHistorical[[#This Row],[GBV New]]="", tblPiNHistorical[[#This Row],[GBV New]]=0), "", tblPiNHistorical[[#This Row],[GBV New]]-tblPiNHistorical[[#This Row],[GBV Old]])</f>
        <v/>
      </c>
      <c r="AN155" s="83" t="str">
        <f>IF(OR(tblPiNHistorical[[#This Row],[Mine Action Old]]="", tblPiNHistorical[[#This Row],[Mine Action Old]]=0, tblPiNHistorical[[#This Row],[Mine Action New]]="", tblPiNHistorical[[#This Row],[Mine Action New]]=0), "", tblPiNHistorical[[#This Row],[Mine Action New]]-tblPiNHistorical[[#This Row],[Mine Action Old]])</f>
        <v/>
      </c>
      <c r="AO155" s="67" t="str">
        <f>IF(OR(tblPiNHistorical[[#This Row],[Shelter NFI Old]]="", tblPiNHistorical[[#This Row],[Shelter NFI Old]]=0, tblPiNHistorical[[#This Row],[Shelter NFI New]]="", tblPiNHistorical[[#This Row],[Shelter NFI New]]=0), "", tblPiNHistorical[[#This Row],[Shelter NFI New]]-tblPiNHistorical[[#This Row],[Shelter NFI Old]])</f>
        <v/>
      </c>
      <c r="AP155" s="111" t="str">
        <f>IF(OR(tblPiNHistorical[[#This Row],[WASH Old]]="", tblPiNHistorical[[#This Row],[WASH Old]]=0, tblPiNHistorical[[#This Row],[WASH New]]="", tblPiNHistorical[[#This Row],[WASH New]]=0), "", tblPiNHistorical[[#This Row],[WASH New]]-tblPiNHistorical[[#This Row],[WASH Old]])</f>
        <v/>
      </c>
      <c r="AQ155" s="110">
        <f>IFERROR(ROUND((tblPiNHistorical[[#This Row],[Site Management - New]] - tblPiNHistorical[[#This Row],[Site Management - Old]])/tblPiNHistorical[[#This Row],[Site Management - Old]], 1), "")</f>
        <v>-1</v>
      </c>
      <c r="AR155" s="66">
        <f>IFERROR(ROUND((tblPiNHistorical[[#This Row],[Education New]]-tblPiNHistorical[[#This Row],[Education Old]])/tblPiNHistorical[[#This Row],[Education Old]], 1), "")</f>
        <v>-1</v>
      </c>
      <c r="AS155" s="66">
        <f>IFERROR(ROUND((tblPiNHistorical[[#This Row],[Food Security and Livlihoods New]]-tblPiNHistorical[[#This Row],[Food Security and Livlihoods Old]])/tblPiNHistorical[[#This Row],[Food Security and Livlihoods Old]], 1), "")</f>
        <v>-1</v>
      </c>
      <c r="AT155" s="66">
        <f>IFERROR(ROUND((tblPiNHistorical[[#This Row],[Health New]]-tblPiNHistorical[[#This Row],[Health Old]])/tblPiNHistorical[[#This Row],[Health Old]], 1), "")</f>
        <v>-1</v>
      </c>
      <c r="AU155" s="66">
        <f>IFERROR(ROUND((tblPiNHistorical[[#This Row],[Nutrition New]]-tblPiNHistorical[[#This Row],[Nutrition Old]])/tblPiNHistorical[[#This Row],[Nutrition Old]], 1), "")</f>
        <v>-1</v>
      </c>
      <c r="AV155" s="66">
        <f>IFERROR(ROUND((tblPiNHistorical[[#This Row],[Protection New]]-tblPiNHistorical[[#This Row],[Protection Old]])/tblPiNHistorical[[#This Row],[Protection Old]], 1), "")</f>
        <v>-1</v>
      </c>
      <c r="AW155" s="84">
        <f>IFERROR(ROUND((tblPiNHistorical[[#This Row],[CP New]]-tblPiNHistorical[[#This Row],[CP Old ]])/tblPiNHistorical[[#This Row],[CP Old ]], 1), "")</f>
        <v>-1</v>
      </c>
      <c r="AX155" s="84">
        <f>IFERROR(ROUND((tblPiNHistorical[[#This Row],[GBV New]]-tblPiNHistorical[[#This Row],[GBV Old]])/tblPiNHistorical[[#This Row],[GBV Old]], 1), "")</f>
        <v>-1</v>
      </c>
      <c r="AY155" s="84">
        <f>IFERROR(ROUND((tblPiNHistorical[[#This Row],[Mine Action New]]-tblPiNHistorical[[#This Row],[Mine Action Old]])/tblPiNHistorical[[#This Row],[Mine Action Old]], 1), "")</f>
        <v>-1</v>
      </c>
      <c r="AZ155" s="66" t="str">
        <f>IFERROR(ROUND((tblPiNHistorical[[#This Row],[Shelter NFI New]]-tblPiNHistorical[[#This Row],[Shelter NFI Old]])/tblPiNHistorical[[#This Row],[Shelter NFI Old]], 1), "")</f>
        <v/>
      </c>
      <c r="BA155" s="36" t="str">
        <f>IFERROR(ROUND((tblPiNHistorical[[#This Row],[WASH New]]-tblPiNHistorical[[#This Row],[WASH Old]])/tblPiNHistorical[[#This Row],[WASH Old]], 1), "")</f>
        <v/>
      </c>
      <c r="BB155"/>
      <c r="BC155"/>
      <c r="BD155"/>
      <c r="BE155"/>
      <c r="BF155"/>
      <c r="BG155"/>
      <c r="BH155"/>
      <c r="BI155"/>
      <c r="BL155"/>
      <c r="BN155"/>
      <c r="BO155"/>
      <c r="BP155"/>
    </row>
    <row r="156" spans="1:68" x14ac:dyDescent="0.25">
      <c r="A156"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IDPsSD07095</v>
      </c>
      <c r="B156" s="127" t="s">
        <v>188</v>
      </c>
      <c r="C156" s="60" t="s">
        <v>124</v>
      </c>
      <c r="D156" s="60" t="s">
        <v>348</v>
      </c>
      <c r="E156" s="60" t="s">
        <v>349</v>
      </c>
      <c r="F156" s="54"/>
      <c r="G156" s="30"/>
      <c r="H156" s="56">
        <v>40105</v>
      </c>
      <c r="I156" s="37" t="s">
        <v>88</v>
      </c>
      <c r="J156" s="34">
        <v>4095</v>
      </c>
      <c r="K156" s="116">
        <v>15548.708499999999</v>
      </c>
      <c r="L156" s="114">
        <v>40105</v>
      </c>
      <c r="M156" s="114">
        <v>40105</v>
      </c>
      <c r="N156" s="114">
        <v>1860</v>
      </c>
      <c r="O156" s="114">
        <v>40105</v>
      </c>
      <c r="P156" s="114">
        <v>22058</v>
      </c>
      <c r="Q156" s="114">
        <v>15874</v>
      </c>
      <c r="R156" s="114">
        <v>12031.5</v>
      </c>
      <c r="S156" s="114">
        <v>16042</v>
      </c>
      <c r="T156" s="196">
        <v>26883.183599999997</v>
      </c>
      <c r="U156" s="52">
        <f>IFERROR(INDEX(tblPiNAnalysis[[Site Management ]], MATCH(tblPiNHistorical[[#This Row],[ID]], tblPiNAnalysis[ID], 0)), "")</f>
        <v>0</v>
      </c>
      <c r="V156" s="52">
        <f>IFERROR(INDEX(tblPiNAnalysis[Education], MATCH(tblPiNHistorical[[#This Row],[ID]], tblPiNAnalysis[ID], 0)), "")</f>
        <v>0</v>
      </c>
      <c r="W156" s="28">
        <f>IFERROR(INDEX(tblPiNAnalysis[Food Security and Livlihoods], MATCH(tblPiNHistorical[[#This Row],[ID]], tblPiNAnalysis[ID], 0)), "")</f>
        <v>0</v>
      </c>
      <c r="X156" s="28">
        <f>IFERROR(INDEX(tblPiNAnalysis[[Health ]], MATCH(tblPiNHistorical[[#This Row],[ID]], tblPiNAnalysis[ID], 0)), "")</f>
        <v>0</v>
      </c>
      <c r="Y156" s="28">
        <f>IFERROR(INDEX(tblPiNAnalysis[Nutrition], MATCH(tblPiNHistorical[[#This Row],[ID]], tblPiNAnalysis[ID], 0)), "")</f>
        <v>0</v>
      </c>
      <c r="Z156" s="28">
        <f>IFERROR(INDEX(tblPiNAnalysis[Protection], MATCH(tblPiNHistorical[[#This Row],[ID]], tblPiNAnalysis[ID], 0)), "")</f>
        <v>0</v>
      </c>
      <c r="AA156" s="28">
        <f>IFERROR(INDEX(tblPiNAnalysis[CP], MATCH(tblPiNHistorical[[#This Row],[ID]], tblPiNAnalysis[ID], 0)), "")</f>
        <v>0</v>
      </c>
      <c r="AB156" s="83">
        <f>IFERROR(INDEX(tblPiNAnalysis[GBV], MATCH(tblPiNHistorical[[#This Row],[ID]], tblPiNAnalysis[ID], 0)), "")</f>
        <v>0</v>
      </c>
      <c r="AC156" s="28">
        <f>IFERROR(INDEX(tblPiNAnalysis[Mine Action], MATCH(tblPiNHistorical[[#This Row],[ID]], tblPiNAnalysis[ID], 0)), "")</f>
        <v>0</v>
      </c>
      <c r="AD156" s="83">
        <f>IFERROR(INDEX(tblPiNAnalysis[[Shelter NFI ]], MATCH(tblPiNHistorical[[#This Row],[ID]], tblPiNAnalysis[ID], 0)), "")</f>
        <v>15837</v>
      </c>
      <c r="AE156" s="35">
        <f>IFERROR(INDEX(tblPiNAnalysis[WASH], MATCH(tblPiNHistorical[[#This Row],[ID]], tblPiNAnalysis[ID], 0)), "")</f>
        <v>0</v>
      </c>
      <c r="AF156" s="6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156" s="67" t="str">
        <f>IF(OR(tblPiNHistorical[[#This Row],[Education Old]]="", tblPiNHistorical[[#This Row],[Education Old]]=0, tblPiNHistorical[[#This Row],[Education New]]="", tblPiNHistorical[[#This Row],[Education New]]=0), "", tblPiNHistorical[[#This Row],[Education New]]-tblPiNHistorical[[#This Row],[Education Old]])</f>
        <v/>
      </c>
      <c r="AH156" s="67"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156" s="67" t="str">
        <f>IF(OR(tblPiNHistorical[[#This Row],[Health Old]]="", tblPiNHistorical[[#This Row],[Health Old]]=0, tblPiNHistorical[[#This Row],[Health New]]="", tblPiNHistorical[[#This Row],[Health New]]=0), "", tblPiNHistorical[[#This Row],[Health New]]-tblPiNHistorical[[#This Row],[Health Old]])</f>
        <v/>
      </c>
      <c r="AJ156" s="67" t="str">
        <f>IF(OR(tblPiNHistorical[[#This Row],[Nutrition Old]]="", tblPiNHistorical[[#This Row],[Nutrition Old]]=0, tblPiNHistorical[[#This Row],[Nutrition New]]="", tblPiNHistorical[[#This Row],[Nutrition New]]=0), "", tblPiNHistorical[[#This Row],[Nutrition New]]-tblPiNHistorical[[#This Row],[Nutrition Old]])</f>
        <v/>
      </c>
      <c r="AK156" s="67" t="str">
        <f>IF(OR(tblPiNHistorical[[#This Row],[Protection Old]]="", tblPiNHistorical[[#This Row],[Protection Old]]=0, tblPiNHistorical[[#This Row],[Protection New]]="", tblPiNHistorical[[#This Row],[Protection New]]=0), "", tblPiNHistorical[[#This Row],[Protection New]]-tblPiNHistorical[[#This Row],[Protection Old]])</f>
        <v/>
      </c>
      <c r="AL156" s="67" t="str">
        <f>IF(OR(tblPiNHistorical[[#This Row],[CP Old ]]="", tblPiNHistorical[[#This Row],[CP Old ]]=0, tblPiNHistorical[[#This Row],[CP New]]="", tblPiNHistorical[[#This Row],[CP New]]=0), "", tblPiNHistorical[[#This Row],[CP New]]-tblPiNHistorical[[#This Row],[CP Old ]])</f>
        <v/>
      </c>
      <c r="AM156" s="83" t="str">
        <f>IF(OR(tblPiNHistorical[[#This Row],[GBV Old]]="", tblPiNHistorical[[#This Row],[GBV Old]]=0, tblPiNHistorical[[#This Row],[GBV New]]="", tblPiNHistorical[[#This Row],[GBV New]]=0), "", tblPiNHistorical[[#This Row],[GBV New]]-tblPiNHistorical[[#This Row],[GBV Old]])</f>
        <v/>
      </c>
      <c r="AN156" s="83" t="str">
        <f>IF(OR(tblPiNHistorical[[#This Row],[Mine Action Old]]="", tblPiNHistorical[[#This Row],[Mine Action Old]]=0, tblPiNHistorical[[#This Row],[Mine Action New]]="", tblPiNHistorical[[#This Row],[Mine Action New]]=0), "", tblPiNHistorical[[#This Row],[Mine Action New]]-tblPiNHistorical[[#This Row],[Mine Action Old]])</f>
        <v/>
      </c>
      <c r="AO156" s="67">
        <f>IF(OR(tblPiNHistorical[[#This Row],[Shelter NFI Old]]="", tblPiNHistorical[[#This Row],[Shelter NFI Old]]=0, tblPiNHistorical[[#This Row],[Shelter NFI New]]="", tblPiNHistorical[[#This Row],[Shelter NFI New]]=0), "", tblPiNHistorical[[#This Row],[Shelter NFI New]]-tblPiNHistorical[[#This Row],[Shelter NFI Old]])</f>
        <v>-205</v>
      </c>
      <c r="AP156" s="111" t="str">
        <f>IF(OR(tblPiNHistorical[[#This Row],[WASH Old]]="", tblPiNHistorical[[#This Row],[WASH Old]]=0, tblPiNHistorical[[#This Row],[WASH New]]="", tblPiNHistorical[[#This Row],[WASH New]]=0), "", tblPiNHistorical[[#This Row],[WASH New]]-tblPiNHistorical[[#This Row],[WASH Old]])</f>
        <v/>
      </c>
      <c r="AQ156" s="110">
        <f>IFERROR(ROUND((tblPiNHistorical[[#This Row],[Site Management - New]] - tblPiNHistorical[[#This Row],[Site Management - Old]])/tblPiNHistorical[[#This Row],[Site Management - Old]], 1), "")</f>
        <v>-1</v>
      </c>
      <c r="AR156" s="66">
        <f>IFERROR(ROUND((tblPiNHistorical[[#This Row],[Education New]]-tblPiNHistorical[[#This Row],[Education Old]])/tblPiNHistorical[[#This Row],[Education Old]], 1), "")</f>
        <v>-1</v>
      </c>
      <c r="AS156" s="66">
        <f>IFERROR(ROUND((tblPiNHistorical[[#This Row],[Food Security and Livlihoods New]]-tblPiNHistorical[[#This Row],[Food Security and Livlihoods Old]])/tblPiNHistorical[[#This Row],[Food Security and Livlihoods Old]], 1), "")</f>
        <v>-1</v>
      </c>
      <c r="AT156" s="66">
        <f>IFERROR(ROUND((tblPiNHistorical[[#This Row],[Health New]]-tblPiNHistorical[[#This Row],[Health Old]])/tblPiNHistorical[[#This Row],[Health Old]], 1), "")</f>
        <v>-1</v>
      </c>
      <c r="AU156" s="66">
        <f>IFERROR(ROUND((tblPiNHistorical[[#This Row],[Nutrition New]]-tblPiNHistorical[[#This Row],[Nutrition Old]])/tblPiNHistorical[[#This Row],[Nutrition Old]], 1), "")</f>
        <v>-1</v>
      </c>
      <c r="AV156" s="66">
        <f>IFERROR(ROUND((tblPiNHistorical[[#This Row],[Protection New]]-tblPiNHistorical[[#This Row],[Protection Old]])/tblPiNHistorical[[#This Row],[Protection Old]], 1), "")</f>
        <v>-1</v>
      </c>
      <c r="AW156" s="84">
        <f>IFERROR(ROUND((tblPiNHistorical[[#This Row],[CP New]]-tblPiNHistorical[[#This Row],[CP Old ]])/tblPiNHistorical[[#This Row],[CP Old ]], 1), "")</f>
        <v>-1</v>
      </c>
      <c r="AX156" s="84">
        <f>IFERROR(ROUND((tblPiNHistorical[[#This Row],[GBV New]]-tblPiNHistorical[[#This Row],[GBV Old]])/tblPiNHistorical[[#This Row],[GBV Old]], 1), "")</f>
        <v>-1</v>
      </c>
      <c r="AY156" s="84">
        <f>IFERROR(ROUND((tblPiNHistorical[[#This Row],[Mine Action New]]-tblPiNHistorical[[#This Row],[Mine Action Old]])/tblPiNHistorical[[#This Row],[Mine Action Old]], 1), "")</f>
        <v>-1</v>
      </c>
      <c r="AZ156" s="66">
        <f>IFERROR(ROUND((tblPiNHistorical[[#This Row],[Shelter NFI New]]-tblPiNHistorical[[#This Row],[Shelter NFI Old]])/tblPiNHistorical[[#This Row],[Shelter NFI Old]], 1), "")</f>
        <v>0</v>
      </c>
      <c r="BA156" s="36">
        <f>IFERROR(ROUND((tblPiNHistorical[[#This Row],[WASH New]]-tblPiNHistorical[[#This Row],[WASH Old]])/tblPiNHistorical[[#This Row],[WASH Old]], 1), "")</f>
        <v>-1</v>
      </c>
      <c r="BB156"/>
      <c r="BC156"/>
      <c r="BD156"/>
      <c r="BE156"/>
      <c r="BF156"/>
      <c r="BG156"/>
      <c r="BH156"/>
      <c r="BI156"/>
      <c r="BL156"/>
      <c r="BN156"/>
      <c r="BO156"/>
      <c r="BP156"/>
    </row>
    <row r="157" spans="1:68" x14ac:dyDescent="0.25">
      <c r="A157"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IDPsSD07108</v>
      </c>
      <c r="B157" s="127" t="s">
        <v>188</v>
      </c>
      <c r="C157" s="60" t="s">
        <v>124</v>
      </c>
      <c r="D157" s="60" t="s">
        <v>368</v>
      </c>
      <c r="E157" s="60" t="s">
        <v>369</v>
      </c>
      <c r="F157" s="54"/>
      <c r="G157" s="30"/>
      <c r="H157" s="56">
        <v>15554</v>
      </c>
      <c r="I157" s="37" t="s">
        <v>88</v>
      </c>
      <c r="J157" s="34">
        <v>9413</v>
      </c>
      <c r="K157" s="116">
        <v>6030.2857999999997</v>
      </c>
      <c r="L157" s="114">
        <v>15554</v>
      </c>
      <c r="M157" s="114">
        <v>15554</v>
      </c>
      <c r="N157" s="114">
        <v>4237</v>
      </c>
      <c r="O157" s="114">
        <v>15554</v>
      </c>
      <c r="P157" s="114">
        <v>8555</v>
      </c>
      <c r="Q157" s="114">
        <v>6157</v>
      </c>
      <c r="R157" s="114">
        <v>4666.2</v>
      </c>
      <c r="S157" s="114">
        <v>6222</v>
      </c>
      <c r="T157" s="196">
        <v>17582.241600000001</v>
      </c>
      <c r="U157" s="52">
        <f>IFERROR(INDEX(tblPiNAnalysis[[Site Management ]], MATCH(tblPiNHistorical[[#This Row],[ID]], tblPiNAnalysis[ID], 0)), "")</f>
        <v>0</v>
      </c>
      <c r="V157" s="52">
        <f>IFERROR(INDEX(tblPiNAnalysis[Education], MATCH(tblPiNHistorical[[#This Row],[ID]], tblPiNAnalysis[ID], 0)), "")</f>
        <v>0</v>
      </c>
      <c r="W157" s="28">
        <f>IFERROR(INDEX(tblPiNAnalysis[Food Security and Livlihoods], MATCH(tblPiNHistorical[[#This Row],[ID]], tblPiNAnalysis[ID], 0)), "")</f>
        <v>0</v>
      </c>
      <c r="X157" s="28">
        <f>IFERROR(INDEX(tblPiNAnalysis[[Health ]], MATCH(tblPiNHistorical[[#This Row],[ID]], tblPiNAnalysis[ID], 0)), "")</f>
        <v>0</v>
      </c>
      <c r="Y157" s="28">
        <f>IFERROR(INDEX(tblPiNAnalysis[Nutrition], MATCH(tblPiNHistorical[[#This Row],[ID]], tblPiNAnalysis[ID], 0)), "")</f>
        <v>0</v>
      </c>
      <c r="Z157" s="28">
        <f>IFERROR(INDEX(tblPiNAnalysis[Protection], MATCH(tblPiNHistorical[[#This Row],[ID]], tblPiNAnalysis[ID], 0)), "")</f>
        <v>0</v>
      </c>
      <c r="AA157" s="28">
        <f>IFERROR(INDEX(tblPiNAnalysis[CP], MATCH(tblPiNHistorical[[#This Row],[ID]], tblPiNAnalysis[ID], 0)), "")</f>
        <v>0</v>
      </c>
      <c r="AB157" s="83">
        <f>IFERROR(INDEX(tblPiNAnalysis[GBV], MATCH(tblPiNHistorical[[#This Row],[ID]], tblPiNAnalysis[ID], 0)), "")</f>
        <v>0</v>
      </c>
      <c r="AC157" s="28">
        <f>IFERROR(INDEX(tblPiNAnalysis[Mine Action], MATCH(tblPiNHistorical[[#This Row],[ID]], tblPiNAnalysis[ID], 0)), "")</f>
        <v>0</v>
      </c>
      <c r="AD157" s="83">
        <f>IFERROR(INDEX(tblPiNAnalysis[[Shelter NFI ]], MATCH(tblPiNHistorical[[#This Row],[ID]], tblPiNAnalysis[ID], 0)), "")</f>
        <v>8084</v>
      </c>
      <c r="AE157" s="35">
        <f>IFERROR(INDEX(tblPiNAnalysis[WASH], MATCH(tblPiNHistorical[[#This Row],[ID]], tblPiNAnalysis[ID], 0)), "")</f>
        <v>0</v>
      </c>
      <c r="AF157" s="6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157" s="67" t="str">
        <f>IF(OR(tblPiNHistorical[[#This Row],[Education Old]]="", tblPiNHistorical[[#This Row],[Education Old]]=0, tblPiNHistorical[[#This Row],[Education New]]="", tblPiNHistorical[[#This Row],[Education New]]=0), "", tblPiNHistorical[[#This Row],[Education New]]-tblPiNHistorical[[#This Row],[Education Old]])</f>
        <v/>
      </c>
      <c r="AH157" s="67"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157" s="67" t="str">
        <f>IF(OR(tblPiNHistorical[[#This Row],[Health Old]]="", tblPiNHistorical[[#This Row],[Health Old]]=0, tblPiNHistorical[[#This Row],[Health New]]="", tblPiNHistorical[[#This Row],[Health New]]=0), "", tblPiNHistorical[[#This Row],[Health New]]-tblPiNHistorical[[#This Row],[Health Old]])</f>
        <v/>
      </c>
      <c r="AJ157" s="67" t="str">
        <f>IF(OR(tblPiNHistorical[[#This Row],[Nutrition Old]]="", tblPiNHistorical[[#This Row],[Nutrition Old]]=0, tblPiNHistorical[[#This Row],[Nutrition New]]="", tblPiNHistorical[[#This Row],[Nutrition New]]=0), "", tblPiNHistorical[[#This Row],[Nutrition New]]-tblPiNHistorical[[#This Row],[Nutrition Old]])</f>
        <v/>
      </c>
      <c r="AK157" s="67" t="str">
        <f>IF(OR(tblPiNHistorical[[#This Row],[Protection Old]]="", tblPiNHistorical[[#This Row],[Protection Old]]=0, tblPiNHistorical[[#This Row],[Protection New]]="", tblPiNHistorical[[#This Row],[Protection New]]=0), "", tblPiNHistorical[[#This Row],[Protection New]]-tblPiNHistorical[[#This Row],[Protection Old]])</f>
        <v/>
      </c>
      <c r="AL157" s="67" t="str">
        <f>IF(OR(tblPiNHistorical[[#This Row],[CP Old ]]="", tblPiNHistorical[[#This Row],[CP Old ]]=0, tblPiNHistorical[[#This Row],[CP New]]="", tblPiNHistorical[[#This Row],[CP New]]=0), "", tblPiNHistorical[[#This Row],[CP New]]-tblPiNHistorical[[#This Row],[CP Old ]])</f>
        <v/>
      </c>
      <c r="AM157" s="83" t="str">
        <f>IF(OR(tblPiNHistorical[[#This Row],[GBV Old]]="", tblPiNHistorical[[#This Row],[GBV Old]]=0, tblPiNHistorical[[#This Row],[GBV New]]="", tblPiNHistorical[[#This Row],[GBV New]]=0), "", tblPiNHistorical[[#This Row],[GBV New]]-tblPiNHistorical[[#This Row],[GBV Old]])</f>
        <v/>
      </c>
      <c r="AN157" s="83" t="str">
        <f>IF(OR(tblPiNHistorical[[#This Row],[Mine Action Old]]="", tblPiNHistorical[[#This Row],[Mine Action Old]]=0, tblPiNHistorical[[#This Row],[Mine Action New]]="", tblPiNHistorical[[#This Row],[Mine Action New]]=0), "", tblPiNHistorical[[#This Row],[Mine Action New]]-tblPiNHistorical[[#This Row],[Mine Action Old]])</f>
        <v/>
      </c>
      <c r="AO157" s="67">
        <f>IF(OR(tblPiNHistorical[[#This Row],[Shelter NFI Old]]="", tblPiNHistorical[[#This Row],[Shelter NFI Old]]=0, tblPiNHistorical[[#This Row],[Shelter NFI New]]="", tblPiNHistorical[[#This Row],[Shelter NFI New]]=0), "", tblPiNHistorical[[#This Row],[Shelter NFI New]]-tblPiNHistorical[[#This Row],[Shelter NFI Old]])</f>
        <v>1862</v>
      </c>
      <c r="AP157" s="111" t="str">
        <f>IF(OR(tblPiNHistorical[[#This Row],[WASH Old]]="", tblPiNHistorical[[#This Row],[WASH Old]]=0, tblPiNHistorical[[#This Row],[WASH New]]="", tblPiNHistorical[[#This Row],[WASH New]]=0), "", tblPiNHistorical[[#This Row],[WASH New]]-tblPiNHistorical[[#This Row],[WASH Old]])</f>
        <v/>
      </c>
      <c r="AQ157" s="110">
        <f>IFERROR(ROUND((tblPiNHistorical[[#This Row],[Site Management - New]] - tblPiNHistorical[[#This Row],[Site Management - Old]])/tblPiNHistorical[[#This Row],[Site Management - Old]], 1), "")</f>
        <v>-1</v>
      </c>
      <c r="AR157" s="66">
        <f>IFERROR(ROUND((tblPiNHistorical[[#This Row],[Education New]]-tblPiNHistorical[[#This Row],[Education Old]])/tblPiNHistorical[[#This Row],[Education Old]], 1), "")</f>
        <v>-1</v>
      </c>
      <c r="AS157" s="66">
        <f>IFERROR(ROUND((tblPiNHistorical[[#This Row],[Food Security and Livlihoods New]]-tblPiNHistorical[[#This Row],[Food Security and Livlihoods Old]])/tblPiNHistorical[[#This Row],[Food Security and Livlihoods Old]], 1), "")</f>
        <v>-1</v>
      </c>
      <c r="AT157" s="66">
        <f>IFERROR(ROUND((tblPiNHistorical[[#This Row],[Health New]]-tblPiNHistorical[[#This Row],[Health Old]])/tblPiNHistorical[[#This Row],[Health Old]], 1), "")</f>
        <v>-1</v>
      </c>
      <c r="AU157" s="66">
        <f>IFERROR(ROUND((tblPiNHistorical[[#This Row],[Nutrition New]]-tblPiNHistorical[[#This Row],[Nutrition Old]])/tblPiNHistorical[[#This Row],[Nutrition Old]], 1), "")</f>
        <v>-1</v>
      </c>
      <c r="AV157" s="66">
        <f>IFERROR(ROUND((tblPiNHistorical[[#This Row],[Protection New]]-tblPiNHistorical[[#This Row],[Protection Old]])/tblPiNHistorical[[#This Row],[Protection Old]], 1), "")</f>
        <v>-1</v>
      </c>
      <c r="AW157" s="84">
        <f>IFERROR(ROUND((tblPiNHistorical[[#This Row],[CP New]]-tblPiNHistorical[[#This Row],[CP Old ]])/tblPiNHistorical[[#This Row],[CP Old ]], 1), "")</f>
        <v>-1</v>
      </c>
      <c r="AX157" s="84">
        <f>IFERROR(ROUND((tblPiNHistorical[[#This Row],[GBV New]]-tblPiNHistorical[[#This Row],[GBV Old]])/tblPiNHistorical[[#This Row],[GBV Old]], 1), "")</f>
        <v>-1</v>
      </c>
      <c r="AY157" s="84">
        <f>IFERROR(ROUND((tblPiNHistorical[[#This Row],[Mine Action New]]-tblPiNHistorical[[#This Row],[Mine Action Old]])/tblPiNHistorical[[#This Row],[Mine Action Old]], 1), "")</f>
        <v>-1</v>
      </c>
      <c r="AZ157" s="66">
        <f>IFERROR(ROUND((tblPiNHistorical[[#This Row],[Shelter NFI New]]-tblPiNHistorical[[#This Row],[Shelter NFI Old]])/tblPiNHistorical[[#This Row],[Shelter NFI Old]], 1), "")</f>
        <v>0.3</v>
      </c>
      <c r="BA157" s="36">
        <f>IFERROR(ROUND((tblPiNHistorical[[#This Row],[WASH New]]-tblPiNHistorical[[#This Row],[WASH Old]])/tblPiNHistorical[[#This Row],[WASH Old]], 1), "")</f>
        <v>-1</v>
      </c>
      <c r="BB157"/>
      <c r="BC157"/>
      <c r="BD157"/>
      <c r="BE157"/>
      <c r="BF157"/>
      <c r="BG157"/>
      <c r="BH157"/>
      <c r="BI157"/>
      <c r="BL157"/>
      <c r="BN157"/>
      <c r="BO157"/>
      <c r="BP157"/>
    </row>
    <row r="158" spans="1:68" x14ac:dyDescent="0.25">
      <c r="A158"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IDPsSD07103</v>
      </c>
      <c r="B158" s="127" t="s">
        <v>188</v>
      </c>
      <c r="C158" s="60" t="s">
        <v>124</v>
      </c>
      <c r="D158" s="60" t="s">
        <v>358</v>
      </c>
      <c r="E158" s="60" t="s">
        <v>359</v>
      </c>
      <c r="F158" s="54"/>
      <c r="G158" s="30"/>
      <c r="H158" s="56">
        <v>7213.35</v>
      </c>
      <c r="I158" s="37" t="s">
        <v>88</v>
      </c>
      <c r="J158" s="34">
        <v>718</v>
      </c>
      <c r="K158" s="116">
        <v>2796.6157950000002</v>
      </c>
      <c r="L158" s="114">
        <v>7213</v>
      </c>
      <c r="M158" s="114">
        <v>7213</v>
      </c>
      <c r="N158" s="114">
        <v>596</v>
      </c>
      <c r="O158" s="114">
        <v>7213</v>
      </c>
      <c r="P158" s="114">
        <v>3967</v>
      </c>
      <c r="Q158" s="114">
        <v>2854</v>
      </c>
      <c r="R158" s="114">
        <v>3606.6750000000002</v>
      </c>
      <c r="S158" s="114">
        <v>2885</v>
      </c>
      <c r="T158" s="196">
        <v>0</v>
      </c>
      <c r="U158" s="52">
        <f>IFERROR(INDEX(tblPiNAnalysis[[Site Management ]], MATCH(tblPiNHistorical[[#This Row],[ID]], tblPiNAnalysis[ID], 0)), "")</f>
        <v>0</v>
      </c>
      <c r="V158" s="52">
        <f>IFERROR(INDEX(tblPiNAnalysis[Education], MATCH(tblPiNHistorical[[#This Row],[ID]], tblPiNAnalysis[ID], 0)), "")</f>
        <v>0</v>
      </c>
      <c r="W158" s="28">
        <f>IFERROR(INDEX(tblPiNAnalysis[Food Security and Livlihoods], MATCH(tblPiNHistorical[[#This Row],[ID]], tblPiNAnalysis[ID], 0)), "")</f>
        <v>0</v>
      </c>
      <c r="X158" s="28">
        <f>IFERROR(INDEX(tblPiNAnalysis[[Health ]], MATCH(tblPiNHistorical[[#This Row],[ID]], tblPiNAnalysis[ID], 0)), "")</f>
        <v>0</v>
      </c>
      <c r="Y158" s="28">
        <f>IFERROR(INDEX(tblPiNAnalysis[Nutrition], MATCH(tblPiNHistorical[[#This Row],[ID]], tblPiNAnalysis[ID], 0)), "")</f>
        <v>0</v>
      </c>
      <c r="Z158" s="28">
        <f>IFERROR(INDEX(tblPiNAnalysis[Protection], MATCH(tblPiNHistorical[[#This Row],[ID]], tblPiNAnalysis[ID], 0)), "")</f>
        <v>0</v>
      </c>
      <c r="AA158" s="28">
        <f>IFERROR(INDEX(tblPiNAnalysis[CP], MATCH(tblPiNHistorical[[#This Row],[ID]], tblPiNAnalysis[ID], 0)), "")</f>
        <v>0</v>
      </c>
      <c r="AB158" s="83">
        <f>IFERROR(INDEX(tblPiNAnalysis[GBV], MATCH(tblPiNHistorical[[#This Row],[ID]], tblPiNAnalysis[ID], 0)), "")</f>
        <v>0</v>
      </c>
      <c r="AC158" s="28">
        <f>IFERROR(INDEX(tblPiNAnalysis[Mine Action], MATCH(tblPiNHistorical[[#This Row],[ID]], tblPiNAnalysis[ID], 0)), "")</f>
        <v>0</v>
      </c>
      <c r="AD158" s="83">
        <f>IFERROR(INDEX(tblPiNAnalysis[[Shelter NFI ]], MATCH(tblPiNHistorical[[#This Row],[ID]], tblPiNAnalysis[ID], 0)), "")</f>
        <v>50326</v>
      </c>
      <c r="AE158" s="35">
        <f>IFERROR(INDEX(tblPiNAnalysis[WASH], MATCH(tblPiNHistorical[[#This Row],[ID]], tblPiNAnalysis[ID], 0)), "")</f>
        <v>0</v>
      </c>
      <c r="AF158" s="6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158" s="67" t="str">
        <f>IF(OR(tblPiNHistorical[[#This Row],[Education Old]]="", tblPiNHistorical[[#This Row],[Education Old]]=0, tblPiNHistorical[[#This Row],[Education New]]="", tblPiNHistorical[[#This Row],[Education New]]=0), "", tblPiNHistorical[[#This Row],[Education New]]-tblPiNHistorical[[#This Row],[Education Old]])</f>
        <v/>
      </c>
      <c r="AH158" s="67"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158" s="67" t="str">
        <f>IF(OR(tblPiNHistorical[[#This Row],[Health Old]]="", tblPiNHistorical[[#This Row],[Health Old]]=0, tblPiNHistorical[[#This Row],[Health New]]="", tblPiNHistorical[[#This Row],[Health New]]=0), "", tblPiNHistorical[[#This Row],[Health New]]-tblPiNHistorical[[#This Row],[Health Old]])</f>
        <v/>
      </c>
      <c r="AJ158" s="67" t="str">
        <f>IF(OR(tblPiNHistorical[[#This Row],[Nutrition Old]]="", tblPiNHistorical[[#This Row],[Nutrition Old]]=0, tblPiNHistorical[[#This Row],[Nutrition New]]="", tblPiNHistorical[[#This Row],[Nutrition New]]=0), "", tblPiNHistorical[[#This Row],[Nutrition New]]-tblPiNHistorical[[#This Row],[Nutrition Old]])</f>
        <v/>
      </c>
      <c r="AK158" s="67" t="str">
        <f>IF(OR(tblPiNHistorical[[#This Row],[Protection Old]]="", tblPiNHistorical[[#This Row],[Protection Old]]=0, tblPiNHistorical[[#This Row],[Protection New]]="", tblPiNHistorical[[#This Row],[Protection New]]=0), "", tblPiNHistorical[[#This Row],[Protection New]]-tblPiNHistorical[[#This Row],[Protection Old]])</f>
        <v/>
      </c>
      <c r="AL158" s="67" t="str">
        <f>IF(OR(tblPiNHistorical[[#This Row],[CP Old ]]="", tblPiNHistorical[[#This Row],[CP Old ]]=0, tblPiNHistorical[[#This Row],[CP New]]="", tblPiNHistorical[[#This Row],[CP New]]=0), "", tblPiNHistorical[[#This Row],[CP New]]-tblPiNHistorical[[#This Row],[CP Old ]])</f>
        <v/>
      </c>
      <c r="AM158" s="83" t="str">
        <f>IF(OR(tblPiNHistorical[[#This Row],[GBV Old]]="", tblPiNHistorical[[#This Row],[GBV Old]]=0, tblPiNHistorical[[#This Row],[GBV New]]="", tblPiNHistorical[[#This Row],[GBV New]]=0), "", tblPiNHistorical[[#This Row],[GBV New]]-tblPiNHistorical[[#This Row],[GBV Old]])</f>
        <v/>
      </c>
      <c r="AN158" s="83" t="str">
        <f>IF(OR(tblPiNHistorical[[#This Row],[Mine Action Old]]="", tblPiNHistorical[[#This Row],[Mine Action Old]]=0, tblPiNHistorical[[#This Row],[Mine Action New]]="", tblPiNHistorical[[#This Row],[Mine Action New]]=0), "", tblPiNHistorical[[#This Row],[Mine Action New]]-tblPiNHistorical[[#This Row],[Mine Action Old]])</f>
        <v/>
      </c>
      <c r="AO158" s="67">
        <f>IF(OR(tblPiNHistorical[[#This Row],[Shelter NFI Old]]="", tblPiNHistorical[[#This Row],[Shelter NFI Old]]=0, tblPiNHistorical[[#This Row],[Shelter NFI New]]="", tblPiNHistorical[[#This Row],[Shelter NFI New]]=0), "", tblPiNHistorical[[#This Row],[Shelter NFI New]]-tblPiNHistorical[[#This Row],[Shelter NFI Old]])</f>
        <v>47441</v>
      </c>
      <c r="AP158" s="111" t="str">
        <f>IF(OR(tblPiNHistorical[[#This Row],[WASH Old]]="", tblPiNHistorical[[#This Row],[WASH Old]]=0, tblPiNHistorical[[#This Row],[WASH New]]="", tblPiNHistorical[[#This Row],[WASH New]]=0), "", tblPiNHistorical[[#This Row],[WASH New]]-tblPiNHistorical[[#This Row],[WASH Old]])</f>
        <v/>
      </c>
      <c r="AQ158" s="110">
        <f>IFERROR(ROUND((tblPiNHistorical[[#This Row],[Site Management - New]] - tblPiNHistorical[[#This Row],[Site Management - Old]])/tblPiNHistorical[[#This Row],[Site Management - Old]], 1), "")</f>
        <v>-1</v>
      </c>
      <c r="AR158" s="66">
        <f>IFERROR(ROUND((tblPiNHistorical[[#This Row],[Education New]]-tblPiNHistorical[[#This Row],[Education Old]])/tblPiNHistorical[[#This Row],[Education Old]], 1), "")</f>
        <v>-1</v>
      </c>
      <c r="AS158" s="66">
        <f>IFERROR(ROUND((tblPiNHistorical[[#This Row],[Food Security and Livlihoods New]]-tblPiNHistorical[[#This Row],[Food Security and Livlihoods Old]])/tblPiNHistorical[[#This Row],[Food Security and Livlihoods Old]], 1), "")</f>
        <v>-1</v>
      </c>
      <c r="AT158" s="66">
        <f>IFERROR(ROUND((tblPiNHistorical[[#This Row],[Health New]]-tblPiNHistorical[[#This Row],[Health Old]])/tblPiNHistorical[[#This Row],[Health Old]], 1), "")</f>
        <v>-1</v>
      </c>
      <c r="AU158" s="66">
        <f>IFERROR(ROUND((tblPiNHistorical[[#This Row],[Nutrition New]]-tblPiNHistorical[[#This Row],[Nutrition Old]])/tblPiNHistorical[[#This Row],[Nutrition Old]], 1), "")</f>
        <v>-1</v>
      </c>
      <c r="AV158" s="66">
        <f>IFERROR(ROUND((tblPiNHistorical[[#This Row],[Protection New]]-tblPiNHistorical[[#This Row],[Protection Old]])/tblPiNHistorical[[#This Row],[Protection Old]], 1), "")</f>
        <v>-1</v>
      </c>
      <c r="AW158" s="84">
        <f>IFERROR(ROUND((tblPiNHistorical[[#This Row],[CP New]]-tblPiNHistorical[[#This Row],[CP Old ]])/tblPiNHistorical[[#This Row],[CP Old ]], 1), "")</f>
        <v>-1</v>
      </c>
      <c r="AX158" s="84">
        <f>IFERROR(ROUND((tblPiNHistorical[[#This Row],[GBV New]]-tblPiNHistorical[[#This Row],[GBV Old]])/tblPiNHistorical[[#This Row],[GBV Old]], 1), "")</f>
        <v>-1</v>
      </c>
      <c r="AY158" s="84">
        <f>IFERROR(ROUND((tblPiNHistorical[[#This Row],[Mine Action New]]-tblPiNHistorical[[#This Row],[Mine Action Old]])/tblPiNHistorical[[#This Row],[Mine Action Old]], 1), "")</f>
        <v>-1</v>
      </c>
      <c r="AZ158" s="66">
        <f>IFERROR(ROUND((tblPiNHistorical[[#This Row],[Shelter NFI New]]-tblPiNHistorical[[#This Row],[Shelter NFI Old]])/tblPiNHistorical[[#This Row],[Shelter NFI Old]], 1), "")</f>
        <v>16.399999999999999</v>
      </c>
      <c r="BA158" s="36" t="str">
        <f>IFERROR(ROUND((tblPiNHistorical[[#This Row],[WASH New]]-tblPiNHistorical[[#This Row],[WASH Old]])/tblPiNHistorical[[#This Row],[WASH Old]], 1), "")</f>
        <v/>
      </c>
      <c r="BB158"/>
      <c r="BC158"/>
      <c r="BD158"/>
      <c r="BE158"/>
      <c r="BF158"/>
      <c r="BG158"/>
      <c r="BH158"/>
      <c r="BI158"/>
      <c r="BL158"/>
      <c r="BN158"/>
      <c r="BO158"/>
      <c r="BP158"/>
    </row>
    <row r="159" spans="1:68" x14ac:dyDescent="0.25">
      <c r="A159"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IDPsSD07096</v>
      </c>
      <c r="B159" s="127" t="s">
        <v>188</v>
      </c>
      <c r="C159" s="60" t="s">
        <v>124</v>
      </c>
      <c r="D159" s="60" t="s">
        <v>350</v>
      </c>
      <c r="E159" s="60" t="s">
        <v>351</v>
      </c>
      <c r="F159" s="54"/>
      <c r="G159" s="30"/>
      <c r="H159" s="56">
        <v>0</v>
      </c>
      <c r="I159" s="37" t="s">
        <v>88</v>
      </c>
      <c r="J159" s="34">
        <v>0</v>
      </c>
      <c r="K159" s="116">
        <v>0</v>
      </c>
      <c r="L159" s="114">
        <v>0</v>
      </c>
      <c r="M159" s="114">
        <v>0</v>
      </c>
      <c r="N159" s="114">
        <v>0</v>
      </c>
      <c r="O159" s="114">
        <v>0</v>
      </c>
      <c r="P159" s="114">
        <v>0</v>
      </c>
      <c r="Q159" s="114">
        <v>0</v>
      </c>
      <c r="R159" s="114">
        <v>0</v>
      </c>
      <c r="S159" s="114">
        <v>0</v>
      </c>
      <c r="T159" s="196">
        <v>0</v>
      </c>
      <c r="U159" s="52">
        <f>IFERROR(INDEX(tblPiNAnalysis[[Site Management ]], MATCH(tblPiNHistorical[[#This Row],[ID]], tblPiNAnalysis[ID], 0)), "")</f>
        <v>0</v>
      </c>
      <c r="V159" s="52">
        <f>IFERROR(INDEX(tblPiNAnalysis[Education], MATCH(tblPiNHistorical[[#This Row],[ID]], tblPiNAnalysis[ID], 0)), "")</f>
        <v>0</v>
      </c>
      <c r="W159" s="28">
        <f>IFERROR(INDEX(tblPiNAnalysis[Food Security and Livlihoods], MATCH(tblPiNHistorical[[#This Row],[ID]], tblPiNAnalysis[ID], 0)), "")</f>
        <v>0</v>
      </c>
      <c r="X159" s="28">
        <f>IFERROR(INDEX(tblPiNAnalysis[[Health ]], MATCH(tblPiNHistorical[[#This Row],[ID]], tblPiNAnalysis[ID], 0)), "")</f>
        <v>0</v>
      </c>
      <c r="Y159" s="28">
        <f>IFERROR(INDEX(tblPiNAnalysis[Nutrition], MATCH(tblPiNHistorical[[#This Row],[ID]], tblPiNAnalysis[ID], 0)), "")</f>
        <v>0</v>
      </c>
      <c r="Z159" s="28">
        <f>IFERROR(INDEX(tblPiNAnalysis[Protection], MATCH(tblPiNHistorical[[#This Row],[ID]], tblPiNAnalysis[ID], 0)), "")</f>
        <v>0</v>
      </c>
      <c r="AA159" s="28">
        <f>IFERROR(INDEX(tblPiNAnalysis[CP], MATCH(tblPiNHistorical[[#This Row],[ID]], tblPiNAnalysis[ID], 0)), "")</f>
        <v>0</v>
      </c>
      <c r="AB159" s="83">
        <f>IFERROR(INDEX(tblPiNAnalysis[GBV], MATCH(tblPiNHistorical[[#This Row],[ID]], tblPiNAnalysis[ID], 0)), "")</f>
        <v>0</v>
      </c>
      <c r="AC159" s="28">
        <f>IFERROR(INDEX(tblPiNAnalysis[Mine Action], MATCH(tblPiNHistorical[[#This Row],[ID]], tblPiNAnalysis[ID], 0)), "")</f>
        <v>0</v>
      </c>
      <c r="AD159" s="83">
        <f>IFERROR(INDEX(tblPiNAnalysis[[Shelter NFI ]], MATCH(tblPiNHistorical[[#This Row],[ID]], tblPiNAnalysis[ID], 0)), "")</f>
        <v>0</v>
      </c>
      <c r="AE159" s="35">
        <f>IFERROR(INDEX(tblPiNAnalysis[WASH], MATCH(tblPiNHistorical[[#This Row],[ID]], tblPiNAnalysis[ID], 0)), "")</f>
        <v>0</v>
      </c>
      <c r="AF159" s="6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159" s="67" t="str">
        <f>IF(OR(tblPiNHistorical[[#This Row],[Education Old]]="", tblPiNHistorical[[#This Row],[Education Old]]=0, tblPiNHistorical[[#This Row],[Education New]]="", tblPiNHistorical[[#This Row],[Education New]]=0), "", tblPiNHistorical[[#This Row],[Education New]]-tblPiNHistorical[[#This Row],[Education Old]])</f>
        <v/>
      </c>
      <c r="AH159" s="67"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159" s="67" t="str">
        <f>IF(OR(tblPiNHistorical[[#This Row],[Health Old]]="", tblPiNHistorical[[#This Row],[Health Old]]=0, tblPiNHistorical[[#This Row],[Health New]]="", tblPiNHistorical[[#This Row],[Health New]]=0), "", tblPiNHistorical[[#This Row],[Health New]]-tblPiNHistorical[[#This Row],[Health Old]])</f>
        <v/>
      </c>
      <c r="AJ159" s="67" t="str">
        <f>IF(OR(tblPiNHistorical[[#This Row],[Nutrition Old]]="", tblPiNHistorical[[#This Row],[Nutrition Old]]=0, tblPiNHistorical[[#This Row],[Nutrition New]]="", tblPiNHistorical[[#This Row],[Nutrition New]]=0), "", tblPiNHistorical[[#This Row],[Nutrition New]]-tblPiNHistorical[[#This Row],[Nutrition Old]])</f>
        <v/>
      </c>
      <c r="AK159" s="67" t="str">
        <f>IF(OR(tblPiNHistorical[[#This Row],[Protection Old]]="", tblPiNHistorical[[#This Row],[Protection Old]]=0, tblPiNHistorical[[#This Row],[Protection New]]="", tblPiNHistorical[[#This Row],[Protection New]]=0), "", tblPiNHistorical[[#This Row],[Protection New]]-tblPiNHistorical[[#This Row],[Protection Old]])</f>
        <v/>
      </c>
      <c r="AL159" s="67" t="str">
        <f>IF(OR(tblPiNHistorical[[#This Row],[CP Old ]]="", tblPiNHistorical[[#This Row],[CP Old ]]=0, tblPiNHistorical[[#This Row],[CP New]]="", tblPiNHistorical[[#This Row],[CP New]]=0), "", tblPiNHistorical[[#This Row],[CP New]]-tblPiNHistorical[[#This Row],[CP Old ]])</f>
        <v/>
      </c>
      <c r="AM159" s="83" t="str">
        <f>IF(OR(tblPiNHistorical[[#This Row],[GBV Old]]="", tblPiNHistorical[[#This Row],[GBV Old]]=0, tblPiNHistorical[[#This Row],[GBV New]]="", tblPiNHistorical[[#This Row],[GBV New]]=0), "", tblPiNHistorical[[#This Row],[GBV New]]-tblPiNHistorical[[#This Row],[GBV Old]])</f>
        <v/>
      </c>
      <c r="AN159" s="83" t="str">
        <f>IF(OR(tblPiNHistorical[[#This Row],[Mine Action Old]]="", tblPiNHistorical[[#This Row],[Mine Action Old]]=0, tblPiNHistorical[[#This Row],[Mine Action New]]="", tblPiNHistorical[[#This Row],[Mine Action New]]=0), "", tblPiNHistorical[[#This Row],[Mine Action New]]-tblPiNHistorical[[#This Row],[Mine Action Old]])</f>
        <v/>
      </c>
      <c r="AO159" s="67" t="str">
        <f>IF(OR(tblPiNHistorical[[#This Row],[Shelter NFI Old]]="", tblPiNHistorical[[#This Row],[Shelter NFI Old]]=0, tblPiNHistorical[[#This Row],[Shelter NFI New]]="", tblPiNHistorical[[#This Row],[Shelter NFI New]]=0), "", tblPiNHistorical[[#This Row],[Shelter NFI New]]-tblPiNHistorical[[#This Row],[Shelter NFI Old]])</f>
        <v/>
      </c>
      <c r="AP159" s="111" t="str">
        <f>IF(OR(tblPiNHistorical[[#This Row],[WASH Old]]="", tblPiNHistorical[[#This Row],[WASH Old]]=0, tblPiNHistorical[[#This Row],[WASH New]]="", tblPiNHistorical[[#This Row],[WASH New]]=0), "", tblPiNHistorical[[#This Row],[WASH New]]-tblPiNHistorical[[#This Row],[WASH Old]])</f>
        <v/>
      </c>
      <c r="AQ159" s="110" t="str">
        <f>IFERROR(ROUND((tblPiNHistorical[[#This Row],[Site Management - New]] - tblPiNHistorical[[#This Row],[Site Management - Old]])/tblPiNHistorical[[#This Row],[Site Management - Old]], 1), "")</f>
        <v/>
      </c>
      <c r="AR159" s="66" t="str">
        <f>IFERROR(ROUND((tblPiNHistorical[[#This Row],[Education New]]-tblPiNHistorical[[#This Row],[Education Old]])/tblPiNHistorical[[#This Row],[Education Old]], 1), "")</f>
        <v/>
      </c>
      <c r="AS159" s="66" t="str">
        <f>IFERROR(ROUND((tblPiNHistorical[[#This Row],[Food Security and Livlihoods New]]-tblPiNHistorical[[#This Row],[Food Security and Livlihoods Old]])/tblPiNHistorical[[#This Row],[Food Security and Livlihoods Old]], 1), "")</f>
        <v/>
      </c>
      <c r="AT159" s="66" t="str">
        <f>IFERROR(ROUND((tblPiNHistorical[[#This Row],[Health New]]-tblPiNHistorical[[#This Row],[Health Old]])/tblPiNHistorical[[#This Row],[Health Old]], 1), "")</f>
        <v/>
      </c>
      <c r="AU159" s="66" t="str">
        <f>IFERROR(ROUND((tblPiNHistorical[[#This Row],[Nutrition New]]-tblPiNHistorical[[#This Row],[Nutrition Old]])/tblPiNHistorical[[#This Row],[Nutrition Old]], 1), "")</f>
        <v/>
      </c>
      <c r="AV159" s="66" t="str">
        <f>IFERROR(ROUND((tblPiNHistorical[[#This Row],[Protection New]]-tblPiNHistorical[[#This Row],[Protection Old]])/tblPiNHistorical[[#This Row],[Protection Old]], 1), "")</f>
        <v/>
      </c>
      <c r="AW159" s="84" t="str">
        <f>IFERROR(ROUND((tblPiNHistorical[[#This Row],[CP New]]-tblPiNHistorical[[#This Row],[CP Old ]])/tblPiNHistorical[[#This Row],[CP Old ]], 1), "")</f>
        <v/>
      </c>
      <c r="AX159" s="84" t="str">
        <f>IFERROR(ROUND((tblPiNHistorical[[#This Row],[GBV New]]-tblPiNHistorical[[#This Row],[GBV Old]])/tblPiNHistorical[[#This Row],[GBV Old]], 1), "")</f>
        <v/>
      </c>
      <c r="AY159" s="84" t="str">
        <f>IFERROR(ROUND((tblPiNHistorical[[#This Row],[Mine Action New]]-tblPiNHistorical[[#This Row],[Mine Action Old]])/tblPiNHistorical[[#This Row],[Mine Action Old]], 1), "")</f>
        <v/>
      </c>
      <c r="AZ159" s="66" t="str">
        <f>IFERROR(ROUND((tblPiNHistorical[[#This Row],[Shelter NFI New]]-tblPiNHistorical[[#This Row],[Shelter NFI Old]])/tblPiNHistorical[[#This Row],[Shelter NFI Old]], 1), "")</f>
        <v/>
      </c>
      <c r="BA159" s="36" t="str">
        <f>IFERROR(ROUND((tblPiNHistorical[[#This Row],[WASH New]]-tblPiNHistorical[[#This Row],[WASH Old]])/tblPiNHistorical[[#This Row],[WASH Old]], 1), "")</f>
        <v/>
      </c>
      <c r="BB159"/>
      <c r="BC159"/>
      <c r="BD159"/>
      <c r="BE159"/>
      <c r="BF159"/>
      <c r="BG159"/>
      <c r="BH159"/>
      <c r="BI159"/>
      <c r="BL159"/>
      <c r="BN159"/>
      <c r="BO159"/>
      <c r="BP159"/>
    </row>
    <row r="160" spans="1:68" x14ac:dyDescent="0.25">
      <c r="A160"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IDPsSD07098</v>
      </c>
      <c r="B160" s="127" t="s">
        <v>188</v>
      </c>
      <c r="C160" s="60" t="s">
        <v>124</v>
      </c>
      <c r="D160" s="60" t="s">
        <v>354</v>
      </c>
      <c r="E160" s="60" t="s">
        <v>355</v>
      </c>
      <c r="F160" s="54"/>
      <c r="G160" s="30"/>
      <c r="H160" s="56">
        <v>72741.600000000006</v>
      </c>
      <c r="I160" s="37" t="s">
        <v>88</v>
      </c>
      <c r="J160" s="34">
        <v>26355</v>
      </c>
      <c r="K160" s="116">
        <v>28201.918320000001</v>
      </c>
      <c r="L160" s="114">
        <v>72741.600000000006</v>
      </c>
      <c r="M160" s="114">
        <v>72741.600000000006</v>
      </c>
      <c r="N160" s="114">
        <v>5603</v>
      </c>
      <c r="O160" s="114">
        <v>72742</v>
      </c>
      <c r="P160" s="114">
        <v>40008</v>
      </c>
      <c r="Q160" s="114">
        <v>28793</v>
      </c>
      <c r="R160" s="114">
        <v>36370.800000000003</v>
      </c>
      <c r="S160" s="114">
        <v>58193</v>
      </c>
      <c r="T160" s="196">
        <v>61146.588959999994</v>
      </c>
      <c r="U160" s="52">
        <f>IFERROR(INDEX(tblPiNAnalysis[[Site Management ]], MATCH(tblPiNHistorical[[#This Row],[ID]], tblPiNAnalysis[ID], 0)), "")</f>
        <v>0</v>
      </c>
      <c r="V160" s="52">
        <f>IFERROR(INDEX(tblPiNAnalysis[Education], MATCH(tblPiNHistorical[[#This Row],[ID]], tblPiNAnalysis[ID], 0)), "")</f>
        <v>0</v>
      </c>
      <c r="W160" s="28">
        <f>IFERROR(INDEX(tblPiNAnalysis[Food Security and Livlihoods], MATCH(tblPiNHistorical[[#This Row],[ID]], tblPiNAnalysis[ID], 0)), "")</f>
        <v>0</v>
      </c>
      <c r="X160" s="28">
        <f>IFERROR(INDEX(tblPiNAnalysis[[Health ]], MATCH(tblPiNHistorical[[#This Row],[ID]], tblPiNAnalysis[ID], 0)), "")</f>
        <v>0</v>
      </c>
      <c r="Y160" s="28">
        <f>IFERROR(INDEX(tblPiNAnalysis[Nutrition], MATCH(tblPiNHistorical[[#This Row],[ID]], tblPiNAnalysis[ID], 0)), "")</f>
        <v>0</v>
      </c>
      <c r="Z160" s="28">
        <f>IFERROR(INDEX(tblPiNAnalysis[Protection], MATCH(tblPiNHistorical[[#This Row],[ID]], tblPiNAnalysis[ID], 0)), "")</f>
        <v>0</v>
      </c>
      <c r="AA160" s="28">
        <f>IFERROR(INDEX(tblPiNAnalysis[CP], MATCH(tblPiNHistorical[[#This Row],[ID]], tblPiNAnalysis[ID], 0)), "")</f>
        <v>0</v>
      </c>
      <c r="AB160" s="83">
        <f>IFERROR(INDEX(tblPiNAnalysis[GBV], MATCH(tblPiNHistorical[[#This Row],[ID]], tblPiNAnalysis[ID], 0)), "")</f>
        <v>0</v>
      </c>
      <c r="AC160" s="28">
        <f>IFERROR(INDEX(tblPiNAnalysis[Mine Action], MATCH(tblPiNHistorical[[#This Row],[ID]], tblPiNAnalysis[ID], 0)), "")</f>
        <v>0</v>
      </c>
      <c r="AD160" s="83">
        <f>IFERROR(INDEX(tblPiNAnalysis[[Shelter NFI ]], MATCH(tblPiNHistorical[[#This Row],[ID]], tblPiNAnalysis[ID], 0)), "")</f>
        <v>45083</v>
      </c>
      <c r="AE160" s="35">
        <f>IFERROR(INDEX(tblPiNAnalysis[WASH], MATCH(tblPiNHistorical[[#This Row],[ID]], tblPiNAnalysis[ID], 0)), "")</f>
        <v>0</v>
      </c>
      <c r="AF160" s="6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160" s="67" t="str">
        <f>IF(OR(tblPiNHistorical[[#This Row],[Education Old]]="", tblPiNHistorical[[#This Row],[Education Old]]=0, tblPiNHistorical[[#This Row],[Education New]]="", tblPiNHistorical[[#This Row],[Education New]]=0), "", tblPiNHistorical[[#This Row],[Education New]]-tblPiNHistorical[[#This Row],[Education Old]])</f>
        <v/>
      </c>
      <c r="AH160" s="67"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160" s="67" t="str">
        <f>IF(OR(tblPiNHistorical[[#This Row],[Health Old]]="", tblPiNHistorical[[#This Row],[Health Old]]=0, tblPiNHistorical[[#This Row],[Health New]]="", tblPiNHistorical[[#This Row],[Health New]]=0), "", tblPiNHistorical[[#This Row],[Health New]]-tblPiNHistorical[[#This Row],[Health Old]])</f>
        <v/>
      </c>
      <c r="AJ160" s="67" t="str">
        <f>IF(OR(tblPiNHistorical[[#This Row],[Nutrition Old]]="", tblPiNHistorical[[#This Row],[Nutrition Old]]=0, tblPiNHistorical[[#This Row],[Nutrition New]]="", tblPiNHistorical[[#This Row],[Nutrition New]]=0), "", tblPiNHistorical[[#This Row],[Nutrition New]]-tblPiNHistorical[[#This Row],[Nutrition Old]])</f>
        <v/>
      </c>
      <c r="AK160" s="67" t="str">
        <f>IF(OR(tblPiNHistorical[[#This Row],[Protection Old]]="", tblPiNHistorical[[#This Row],[Protection Old]]=0, tblPiNHistorical[[#This Row],[Protection New]]="", tblPiNHistorical[[#This Row],[Protection New]]=0), "", tblPiNHistorical[[#This Row],[Protection New]]-tblPiNHistorical[[#This Row],[Protection Old]])</f>
        <v/>
      </c>
      <c r="AL160" s="67" t="str">
        <f>IF(OR(tblPiNHistorical[[#This Row],[CP Old ]]="", tblPiNHistorical[[#This Row],[CP Old ]]=0, tblPiNHistorical[[#This Row],[CP New]]="", tblPiNHistorical[[#This Row],[CP New]]=0), "", tblPiNHistorical[[#This Row],[CP New]]-tblPiNHistorical[[#This Row],[CP Old ]])</f>
        <v/>
      </c>
      <c r="AM160" s="83" t="str">
        <f>IF(OR(tblPiNHistorical[[#This Row],[GBV Old]]="", tblPiNHistorical[[#This Row],[GBV Old]]=0, tblPiNHistorical[[#This Row],[GBV New]]="", tblPiNHistorical[[#This Row],[GBV New]]=0), "", tblPiNHistorical[[#This Row],[GBV New]]-tblPiNHistorical[[#This Row],[GBV Old]])</f>
        <v/>
      </c>
      <c r="AN160" s="83" t="str">
        <f>IF(OR(tblPiNHistorical[[#This Row],[Mine Action Old]]="", tblPiNHistorical[[#This Row],[Mine Action Old]]=0, tblPiNHistorical[[#This Row],[Mine Action New]]="", tblPiNHistorical[[#This Row],[Mine Action New]]=0), "", tblPiNHistorical[[#This Row],[Mine Action New]]-tblPiNHistorical[[#This Row],[Mine Action Old]])</f>
        <v/>
      </c>
      <c r="AO160" s="67">
        <f>IF(OR(tblPiNHistorical[[#This Row],[Shelter NFI Old]]="", tblPiNHistorical[[#This Row],[Shelter NFI Old]]=0, tblPiNHistorical[[#This Row],[Shelter NFI New]]="", tblPiNHistorical[[#This Row],[Shelter NFI New]]=0), "", tblPiNHistorical[[#This Row],[Shelter NFI New]]-tblPiNHistorical[[#This Row],[Shelter NFI Old]])</f>
        <v>-13110</v>
      </c>
      <c r="AP160" s="111" t="str">
        <f>IF(OR(tblPiNHistorical[[#This Row],[WASH Old]]="", tblPiNHistorical[[#This Row],[WASH Old]]=0, tblPiNHistorical[[#This Row],[WASH New]]="", tblPiNHistorical[[#This Row],[WASH New]]=0), "", tblPiNHistorical[[#This Row],[WASH New]]-tblPiNHistorical[[#This Row],[WASH Old]])</f>
        <v/>
      </c>
      <c r="AQ160" s="110">
        <f>IFERROR(ROUND((tblPiNHistorical[[#This Row],[Site Management - New]] - tblPiNHistorical[[#This Row],[Site Management - Old]])/tblPiNHistorical[[#This Row],[Site Management - Old]], 1), "")</f>
        <v>-1</v>
      </c>
      <c r="AR160" s="66">
        <f>IFERROR(ROUND((tblPiNHistorical[[#This Row],[Education New]]-tblPiNHistorical[[#This Row],[Education Old]])/tblPiNHistorical[[#This Row],[Education Old]], 1), "")</f>
        <v>-1</v>
      </c>
      <c r="AS160" s="66">
        <f>IFERROR(ROUND((tblPiNHistorical[[#This Row],[Food Security and Livlihoods New]]-tblPiNHistorical[[#This Row],[Food Security and Livlihoods Old]])/tblPiNHistorical[[#This Row],[Food Security and Livlihoods Old]], 1), "")</f>
        <v>-1</v>
      </c>
      <c r="AT160" s="66">
        <f>IFERROR(ROUND((tblPiNHistorical[[#This Row],[Health New]]-tblPiNHistorical[[#This Row],[Health Old]])/tblPiNHistorical[[#This Row],[Health Old]], 1), "")</f>
        <v>-1</v>
      </c>
      <c r="AU160" s="66">
        <f>IFERROR(ROUND((tblPiNHistorical[[#This Row],[Nutrition New]]-tblPiNHistorical[[#This Row],[Nutrition Old]])/tblPiNHistorical[[#This Row],[Nutrition Old]], 1), "")</f>
        <v>-1</v>
      </c>
      <c r="AV160" s="66">
        <f>IFERROR(ROUND((tblPiNHistorical[[#This Row],[Protection New]]-tblPiNHistorical[[#This Row],[Protection Old]])/tblPiNHistorical[[#This Row],[Protection Old]], 1), "")</f>
        <v>-1</v>
      </c>
      <c r="AW160" s="84">
        <f>IFERROR(ROUND((tblPiNHistorical[[#This Row],[CP New]]-tblPiNHistorical[[#This Row],[CP Old ]])/tblPiNHistorical[[#This Row],[CP Old ]], 1), "")</f>
        <v>-1</v>
      </c>
      <c r="AX160" s="84">
        <f>IFERROR(ROUND((tblPiNHistorical[[#This Row],[GBV New]]-tblPiNHistorical[[#This Row],[GBV Old]])/tblPiNHistorical[[#This Row],[GBV Old]], 1), "")</f>
        <v>-1</v>
      </c>
      <c r="AY160" s="84">
        <f>IFERROR(ROUND((tblPiNHistorical[[#This Row],[Mine Action New]]-tblPiNHistorical[[#This Row],[Mine Action Old]])/tblPiNHistorical[[#This Row],[Mine Action Old]], 1), "")</f>
        <v>-1</v>
      </c>
      <c r="AZ160" s="66">
        <f>IFERROR(ROUND((tblPiNHistorical[[#This Row],[Shelter NFI New]]-tblPiNHistorical[[#This Row],[Shelter NFI Old]])/tblPiNHistorical[[#This Row],[Shelter NFI Old]], 1), "")</f>
        <v>-0.2</v>
      </c>
      <c r="BA160" s="36">
        <f>IFERROR(ROUND((tblPiNHistorical[[#This Row],[WASH New]]-tblPiNHistorical[[#This Row],[WASH Old]])/tblPiNHistorical[[#This Row],[WASH Old]], 1), "")</f>
        <v>-1</v>
      </c>
      <c r="BB160"/>
      <c r="BC160"/>
      <c r="BD160"/>
      <c r="BE160"/>
      <c r="BF160"/>
      <c r="BG160"/>
      <c r="BH160"/>
      <c r="BI160"/>
      <c r="BL160"/>
      <c r="BN160"/>
      <c r="BO160"/>
      <c r="BP160"/>
    </row>
    <row r="161" spans="1:68" x14ac:dyDescent="0.25">
      <c r="A161"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IDPsSD07089</v>
      </c>
      <c r="B161" s="127" t="s">
        <v>188</v>
      </c>
      <c r="C161" s="60" t="s">
        <v>124</v>
      </c>
      <c r="D161" s="60" t="s">
        <v>338</v>
      </c>
      <c r="E161" s="60" t="s">
        <v>339</v>
      </c>
      <c r="F161" s="54"/>
      <c r="G161" s="30"/>
      <c r="H161" s="56">
        <v>16353</v>
      </c>
      <c r="I161" s="37" t="s">
        <v>88</v>
      </c>
      <c r="J161" s="34">
        <v>6643</v>
      </c>
      <c r="K161" s="116">
        <v>6340.0581000000002</v>
      </c>
      <c r="L161" s="114">
        <v>16353</v>
      </c>
      <c r="M161" s="114">
        <v>16353</v>
      </c>
      <c r="N161" s="114">
        <v>1789</v>
      </c>
      <c r="O161" s="114">
        <v>16353</v>
      </c>
      <c r="P161" s="114">
        <v>8994</v>
      </c>
      <c r="Q161" s="114">
        <v>6472</v>
      </c>
      <c r="R161" s="114">
        <v>4905.8999999999996</v>
      </c>
      <c r="S161" s="114">
        <v>6541</v>
      </c>
      <c r="T161" s="196">
        <v>18656.156519999997</v>
      </c>
      <c r="U161" s="52">
        <f>IFERROR(INDEX(tblPiNAnalysis[[Site Management ]], MATCH(tblPiNHistorical[[#This Row],[ID]], tblPiNAnalysis[ID], 0)), "")</f>
        <v>0</v>
      </c>
      <c r="V161" s="52">
        <f>IFERROR(INDEX(tblPiNAnalysis[Education], MATCH(tblPiNHistorical[[#This Row],[ID]], tblPiNAnalysis[ID], 0)), "")</f>
        <v>0</v>
      </c>
      <c r="W161" s="28">
        <f>IFERROR(INDEX(tblPiNAnalysis[Food Security and Livlihoods], MATCH(tblPiNHistorical[[#This Row],[ID]], tblPiNAnalysis[ID], 0)), "")</f>
        <v>0</v>
      </c>
      <c r="X161" s="28">
        <f>IFERROR(INDEX(tblPiNAnalysis[[Health ]], MATCH(tblPiNHistorical[[#This Row],[ID]], tblPiNAnalysis[ID], 0)), "")</f>
        <v>0</v>
      </c>
      <c r="Y161" s="28">
        <f>IFERROR(INDEX(tblPiNAnalysis[Nutrition], MATCH(tblPiNHistorical[[#This Row],[ID]], tblPiNAnalysis[ID], 0)), "")</f>
        <v>0</v>
      </c>
      <c r="Z161" s="28">
        <f>IFERROR(INDEX(tblPiNAnalysis[Protection], MATCH(tblPiNHistorical[[#This Row],[ID]], tblPiNAnalysis[ID], 0)), "")</f>
        <v>0</v>
      </c>
      <c r="AA161" s="28">
        <f>IFERROR(INDEX(tblPiNAnalysis[CP], MATCH(tblPiNHistorical[[#This Row],[ID]], tblPiNAnalysis[ID], 0)), "")</f>
        <v>0</v>
      </c>
      <c r="AB161" s="83">
        <f>IFERROR(INDEX(tblPiNAnalysis[GBV], MATCH(tblPiNHistorical[[#This Row],[ID]], tblPiNAnalysis[ID], 0)), "")</f>
        <v>0</v>
      </c>
      <c r="AC161" s="28">
        <f>IFERROR(INDEX(tblPiNAnalysis[Mine Action], MATCH(tblPiNHistorical[[#This Row],[ID]], tblPiNAnalysis[ID], 0)), "")</f>
        <v>0</v>
      </c>
      <c r="AD161" s="83">
        <f>IFERROR(INDEX(tblPiNAnalysis[[Shelter NFI ]], MATCH(tblPiNHistorical[[#This Row],[ID]], tblPiNAnalysis[ID], 0)), "")</f>
        <v>4535</v>
      </c>
      <c r="AE161" s="35">
        <f>IFERROR(INDEX(tblPiNAnalysis[WASH], MATCH(tblPiNHistorical[[#This Row],[ID]], tblPiNAnalysis[ID], 0)), "")</f>
        <v>0</v>
      </c>
      <c r="AF161" s="6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161" s="67" t="str">
        <f>IF(OR(tblPiNHistorical[[#This Row],[Education Old]]="", tblPiNHistorical[[#This Row],[Education Old]]=0, tblPiNHistorical[[#This Row],[Education New]]="", tblPiNHistorical[[#This Row],[Education New]]=0), "", tblPiNHistorical[[#This Row],[Education New]]-tblPiNHistorical[[#This Row],[Education Old]])</f>
        <v/>
      </c>
      <c r="AH161" s="67"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161" s="67" t="str">
        <f>IF(OR(tblPiNHistorical[[#This Row],[Health Old]]="", tblPiNHistorical[[#This Row],[Health Old]]=0, tblPiNHistorical[[#This Row],[Health New]]="", tblPiNHistorical[[#This Row],[Health New]]=0), "", tblPiNHistorical[[#This Row],[Health New]]-tblPiNHistorical[[#This Row],[Health Old]])</f>
        <v/>
      </c>
      <c r="AJ161" s="67" t="str">
        <f>IF(OR(tblPiNHistorical[[#This Row],[Nutrition Old]]="", tblPiNHistorical[[#This Row],[Nutrition Old]]=0, tblPiNHistorical[[#This Row],[Nutrition New]]="", tblPiNHistorical[[#This Row],[Nutrition New]]=0), "", tblPiNHistorical[[#This Row],[Nutrition New]]-tblPiNHistorical[[#This Row],[Nutrition Old]])</f>
        <v/>
      </c>
      <c r="AK161" s="67" t="str">
        <f>IF(OR(tblPiNHistorical[[#This Row],[Protection Old]]="", tblPiNHistorical[[#This Row],[Protection Old]]=0, tblPiNHistorical[[#This Row],[Protection New]]="", tblPiNHistorical[[#This Row],[Protection New]]=0), "", tblPiNHistorical[[#This Row],[Protection New]]-tblPiNHistorical[[#This Row],[Protection Old]])</f>
        <v/>
      </c>
      <c r="AL161" s="67" t="str">
        <f>IF(OR(tblPiNHistorical[[#This Row],[CP Old ]]="", tblPiNHistorical[[#This Row],[CP Old ]]=0, tblPiNHistorical[[#This Row],[CP New]]="", tblPiNHistorical[[#This Row],[CP New]]=0), "", tblPiNHistorical[[#This Row],[CP New]]-tblPiNHistorical[[#This Row],[CP Old ]])</f>
        <v/>
      </c>
      <c r="AM161" s="83" t="str">
        <f>IF(OR(tblPiNHistorical[[#This Row],[GBV Old]]="", tblPiNHistorical[[#This Row],[GBV Old]]=0, tblPiNHistorical[[#This Row],[GBV New]]="", tblPiNHistorical[[#This Row],[GBV New]]=0), "", tblPiNHistorical[[#This Row],[GBV New]]-tblPiNHistorical[[#This Row],[GBV Old]])</f>
        <v/>
      </c>
      <c r="AN161" s="83" t="str">
        <f>IF(OR(tblPiNHistorical[[#This Row],[Mine Action Old]]="", tblPiNHistorical[[#This Row],[Mine Action Old]]=0, tblPiNHistorical[[#This Row],[Mine Action New]]="", tblPiNHistorical[[#This Row],[Mine Action New]]=0), "", tblPiNHistorical[[#This Row],[Mine Action New]]-tblPiNHistorical[[#This Row],[Mine Action Old]])</f>
        <v/>
      </c>
      <c r="AO161" s="67">
        <f>IF(OR(tblPiNHistorical[[#This Row],[Shelter NFI Old]]="", tblPiNHistorical[[#This Row],[Shelter NFI Old]]=0, tblPiNHistorical[[#This Row],[Shelter NFI New]]="", tblPiNHistorical[[#This Row],[Shelter NFI New]]=0), "", tblPiNHistorical[[#This Row],[Shelter NFI New]]-tblPiNHistorical[[#This Row],[Shelter NFI Old]])</f>
        <v>-2006</v>
      </c>
      <c r="AP161" s="111" t="str">
        <f>IF(OR(tblPiNHistorical[[#This Row],[WASH Old]]="", tblPiNHistorical[[#This Row],[WASH Old]]=0, tblPiNHistorical[[#This Row],[WASH New]]="", tblPiNHistorical[[#This Row],[WASH New]]=0), "", tblPiNHistorical[[#This Row],[WASH New]]-tblPiNHistorical[[#This Row],[WASH Old]])</f>
        <v/>
      </c>
      <c r="AQ161" s="110">
        <f>IFERROR(ROUND((tblPiNHistorical[[#This Row],[Site Management - New]] - tblPiNHistorical[[#This Row],[Site Management - Old]])/tblPiNHistorical[[#This Row],[Site Management - Old]], 1), "")</f>
        <v>-1</v>
      </c>
      <c r="AR161" s="66">
        <f>IFERROR(ROUND((tblPiNHistorical[[#This Row],[Education New]]-tblPiNHistorical[[#This Row],[Education Old]])/tblPiNHistorical[[#This Row],[Education Old]], 1), "")</f>
        <v>-1</v>
      </c>
      <c r="AS161" s="66">
        <f>IFERROR(ROUND((tblPiNHistorical[[#This Row],[Food Security and Livlihoods New]]-tblPiNHistorical[[#This Row],[Food Security and Livlihoods Old]])/tblPiNHistorical[[#This Row],[Food Security and Livlihoods Old]], 1), "")</f>
        <v>-1</v>
      </c>
      <c r="AT161" s="66">
        <f>IFERROR(ROUND((tblPiNHistorical[[#This Row],[Health New]]-tblPiNHistorical[[#This Row],[Health Old]])/tblPiNHistorical[[#This Row],[Health Old]], 1), "")</f>
        <v>-1</v>
      </c>
      <c r="AU161" s="66">
        <f>IFERROR(ROUND((tblPiNHistorical[[#This Row],[Nutrition New]]-tblPiNHistorical[[#This Row],[Nutrition Old]])/tblPiNHistorical[[#This Row],[Nutrition Old]], 1), "")</f>
        <v>-1</v>
      </c>
      <c r="AV161" s="66">
        <f>IFERROR(ROUND((tblPiNHistorical[[#This Row],[Protection New]]-tblPiNHistorical[[#This Row],[Protection Old]])/tblPiNHistorical[[#This Row],[Protection Old]], 1), "")</f>
        <v>-1</v>
      </c>
      <c r="AW161" s="84">
        <f>IFERROR(ROUND((tblPiNHistorical[[#This Row],[CP New]]-tblPiNHistorical[[#This Row],[CP Old ]])/tblPiNHistorical[[#This Row],[CP Old ]], 1), "")</f>
        <v>-1</v>
      </c>
      <c r="AX161" s="84">
        <f>IFERROR(ROUND((tblPiNHistorical[[#This Row],[GBV New]]-tblPiNHistorical[[#This Row],[GBV Old]])/tblPiNHistorical[[#This Row],[GBV Old]], 1), "")</f>
        <v>-1</v>
      </c>
      <c r="AY161" s="84">
        <f>IFERROR(ROUND((tblPiNHistorical[[#This Row],[Mine Action New]]-tblPiNHistorical[[#This Row],[Mine Action Old]])/tblPiNHistorical[[#This Row],[Mine Action Old]], 1), "")</f>
        <v>-1</v>
      </c>
      <c r="AZ161" s="66">
        <f>IFERROR(ROUND((tblPiNHistorical[[#This Row],[Shelter NFI New]]-tblPiNHistorical[[#This Row],[Shelter NFI Old]])/tblPiNHistorical[[#This Row],[Shelter NFI Old]], 1), "")</f>
        <v>-0.3</v>
      </c>
      <c r="BA161" s="36">
        <f>IFERROR(ROUND((tblPiNHistorical[[#This Row],[WASH New]]-tblPiNHistorical[[#This Row],[WASH Old]])/tblPiNHistorical[[#This Row],[WASH Old]], 1), "")</f>
        <v>-1</v>
      </c>
      <c r="BB161"/>
      <c r="BC161"/>
      <c r="BD161"/>
      <c r="BE161"/>
      <c r="BF161"/>
      <c r="BG161"/>
      <c r="BH161"/>
      <c r="BI161"/>
      <c r="BL161"/>
      <c r="BN161"/>
      <c r="BO161"/>
      <c r="BP161"/>
    </row>
    <row r="162" spans="1:68" x14ac:dyDescent="0.25">
      <c r="A162"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IDPsSD07091</v>
      </c>
      <c r="B162" s="127" t="s">
        <v>188</v>
      </c>
      <c r="C162" s="60" t="s">
        <v>124</v>
      </c>
      <c r="D162" s="60" t="s">
        <v>342</v>
      </c>
      <c r="E162" s="60" t="s">
        <v>343</v>
      </c>
      <c r="F162" s="54"/>
      <c r="G162" s="30"/>
      <c r="H162" s="56">
        <v>0</v>
      </c>
      <c r="I162" s="37" t="s">
        <v>88</v>
      </c>
      <c r="J162" s="34">
        <v>0</v>
      </c>
      <c r="K162" s="116">
        <v>0</v>
      </c>
      <c r="L162" s="114">
        <v>0</v>
      </c>
      <c r="M162" s="114">
        <v>0</v>
      </c>
      <c r="N162" s="114">
        <v>0</v>
      </c>
      <c r="O162" s="114">
        <v>0</v>
      </c>
      <c r="P162" s="114">
        <v>0</v>
      </c>
      <c r="Q162" s="114">
        <v>0</v>
      </c>
      <c r="R162" s="114">
        <v>0</v>
      </c>
      <c r="S162" s="114">
        <v>0</v>
      </c>
      <c r="T162" s="196">
        <v>0</v>
      </c>
      <c r="U162" s="52">
        <f>IFERROR(INDEX(tblPiNAnalysis[[Site Management ]], MATCH(tblPiNHistorical[[#This Row],[ID]], tblPiNAnalysis[ID], 0)), "")</f>
        <v>0</v>
      </c>
      <c r="V162" s="52">
        <f>IFERROR(INDEX(tblPiNAnalysis[Education], MATCH(tblPiNHistorical[[#This Row],[ID]], tblPiNAnalysis[ID], 0)), "")</f>
        <v>0</v>
      </c>
      <c r="W162" s="28">
        <f>IFERROR(INDEX(tblPiNAnalysis[Food Security and Livlihoods], MATCH(tblPiNHistorical[[#This Row],[ID]], tblPiNAnalysis[ID], 0)), "")</f>
        <v>0</v>
      </c>
      <c r="X162" s="28">
        <f>IFERROR(INDEX(tblPiNAnalysis[[Health ]], MATCH(tblPiNHistorical[[#This Row],[ID]], tblPiNAnalysis[ID], 0)), "")</f>
        <v>0</v>
      </c>
      <c r="Y162" s="28">
        <f>IFERROR(INDEX(tblPiNAnalysis[Nutrition], MATCH(tblPiNHistorical[[#This Row],[ID]], tblPiNAnalysis[ID], 0)), "")</f>
        <v>0</v>
      </c>
      <c r="Z162" s="28">
        <f>IFERROR(INDEX(tblPiNAnalysis[Protection], MATCH(tblPiNHistorical[[#This Row],[ID]], tblPiNAnalysis[ID], 0)), "")</f>
        <v>0</v>
      </c>
      <c r="AA162" s="28">
        <f>IFERROR(INDEX(tblPiNAnalysis[CP], MATCH(tblPiNHistorical[[#This Row],[ID]], tblPiNAnalysis[ID], 0)), "")</f>
        <v>0</v>
      </c>
      <c r="AB162" s="83">
        <f>IFERROR(INDEX(tblPiNAnalysis[GBV], MATCH(tblPiNHistorical[[#This Row],[ID]], tblPiNAnalysis[ID], 0)), "")</f>
        <v>0</v>
      </c>
      <c r="AC162" s="28">
        <f>IFERROR(INDEX(tblPiNAnalysis[Mine Action], MATCH(tblPiNHistorical[[#This Row],[ID]], tblPiNAnalysis[ID], 0)), "")</f>
        <v>0</v>
      </c>
      <c r="AD162" s="83">
        <f>IFERROR(INDEX(tblPiNAnalysis[[Shelter NFI ]], MATCH(tblPiNHistorical[[#This Row],[ID]], tblPiNAnalysis[ID], 0)), "")</f>
        <v>0</v>
      </c>
      <c r="AE162" s="35">
        <f>IFERROR(INDEX(tblPiNAnalysis[WASH], MATCH(tblPiNHistorical[[#This Row],[ID]], tblPiNAnalysis[ID], 0)), "")</f>
        <v>0</v>
      </c>
      <c r="AF162" s="6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162" s="67" t="str">
        <f>IF(OR(tblPiNHistorical[[#This Row],[Education Old]]="", tblPiNHistorical[[#This Row],[Education Old]]=0, tblPiNHistorical[[#This Row],[Education New]]="", tblPiNHistorical[[#This Row],[Education New]]=0), "", tblPiNHistorical[[#This Row],[Education New]]-tblPiNHistorical[[#This Row],[Education Old]])</f>
        <v/>
      </c>
      <c r="AH162" s="67"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162" s="67" t="str">
        <f>IF(OR(tblPiNHistorical[[#This Row],[Health Old]]="", tblPiNHistorical[[#This Row],[Health Old]]=0, tblPiNHistorical[[#This Row],[Health New]]="", tblPiNHistorical[[#This Row],[Health New]]=0), "", tblPiNHistorical[[#This Row],[Health New]]-tblPiNHistorical[[#This Row],[Health Old]])</f>
        <v/>
      </c>
      <c r="AJ162" s="67" t="str">
        <f>IF(OR(tblPiNHistorical[[#This Row],[Nutrition Old]]="", tblPiNHistorical[[#This Row],[Nutrition Old]]=0, tblPiNHistorical[[#This Row],[Nutrition New]]="", tblPiNHistorical[[#This Row],[Nutrition New]]=0), "", tblPiNHistorical[[#This Row],[Nutrition New]]-tblPiNHistorical[[#This Row],[Nutrition Old]])</f>
        <v/>
      </c>
      <c r="AK162" s="67" t="str">
        <f>IF(OR(tblPiNHistorical[[#This Row],[Protection Old]]="", tblPiNHistorical[[#This Row],[Protection Old]]=0, tblPiNHistorical[[#This Row],[Protection New]]="", tblPiNHistorical[[#This Row],[Protection New]]=0), "", tblPiNHistorical[[#This Row],[Protection New]]-tblPiNHistorical[[#This Row],[Protection Old]])</f>
        <v/>
      </c>
      <c r="AL162" s="67" t="str">
        <f>IF(OR(tblPiNHistorical[[#This Row],[CP Old ]]="", tblPiNHistorical[[#This Row],[CP Old ]]=0, tblPiNHistorical[[#This Row],[CP New]]="", tblPiNHistorical[[#This Row],[CP New]]=0), "", tblPiNHistorical[[#This Row],[CP New]]-tblPiNHistorical[[#This Row],[CP Old ]])</f>
        <v/>
      </c>
      <c r="AM162" s="83" t="str">
        <f>IF(OR(tblPiNHistorical[[#This Row],[GBV Old]]="", tblPiNHistorical[[#This Row],[GBV Old]]=0, tblPiNHistorical[[#This Row],[GBV New]]="", tblPiNHistorical[[#This Row],[GBV New]]=0), "", tblPiNHistorical[[#This Row],[GBV New]]-tblPiNHistorical[[#This Row],[GBV Old]])</f>
        <v/>
      </c>
      <c r="AN162" s="83" t="str">
        <f>IF(OR(tblPiNHistorical[[#This Row],[Mine Action Old]]="", tblPiNHistorical[[#This Row],[Mine Action Old]]=0, tblPiNHistorical[[#This Row],[Mine Action New]]="", tblPiNHistorical[[#This Row],[Mine Action New]]=0), "", tblPiNHistorical[[#This Row],[Mine Action New]]-tblPiNHistorical[[#This Row],[Mine Action Old]])</f>
        <v/>
      </c>
      <c r="AO162" s="67" t="str">
        <f>IF(OR(tblPiNHistorical[[#This Row],[Shelter NFI Old]]="", tblPiNHistorical[[#This Row],[Shelter NFI Old]]=0, tblPiNHistorical[[#This Row],[Shelter NFI New]]="", tblPiNHistorical[[#This Row],[Shelter NFI New]]=0), "", tblPiNHistorical[[#This Row],[Shelter NFI New]]-tblPiNHistorical[[#This Row],[Shelter NFI Old]])</f>
        <v/>
      </c>
      <c r="AP162" s="111" t="str">
        <f>IF(OR(tblPiNHistorical[[#This Row],[WASH Old]]="", tblPiNHistorical[[#This Row],[WASH Old]]=0, tblPiNHistorical[[#This Row],[WASH New]]="", tblPiNHistorical[[#This Row],[WASH New]]=0), "", tblPiNHistorical[[#This Row],[WASH New]]-tblPiNHistorical[[#This Row],[WASH Old]])</f>
        <v/>
      </c>
      <c r="AQ162" s="110" t="str">
        <f>IFERROR(ROUND((tblPiNHistorical[[#This Row],[Site Management - New]] - tblPiNHistorical[[#This Row],[Site Management - Old]])/tblPiNHistorical[[#This Row],[Site Management - Old]], 1), "")</f>
        <v/>
      </c>
      <c r="AR162" s="66" t="str">
        <f>IFERROR(ROUND((tblPiNHistorical[[#This Row],[Education New]]-tblPiNHistorical[[#This Row],[Education Old]])/tblPiNHistorical[[#This Row],[Education Old]], 1), "")</f>
        <v/>
      </c>
      <c r="AS162" s="66" t="str">
        <f>IFERROR(ROUND((tblPiNHistorical[[#This Row],[Food Security and Livlihoods New]]-tblPiNHistorical[[#This Row],[Food Security and Livlihoods Old]])/tblPiNHistorical[[#This Row],[Food Security and Livlihoods Old]], 1), "")</f>
        <v/>
      </c>
      <c r="AT162" s="66" t="str">
        <f>IFERROR(ROUND((tblPiNHistorical[[#This Row],[Health New]]-tblPiNHistorical[[#This Row],[Health Old]])/tblPiNHistorical[[#This Row],[Health Old]], 1), "")</f>
        <v/>
      </c>
      <c r="AU162" s="66" t="str">
        <f>IFERROR(ROUND((tblPiNHistorical[[#This Row],[Nutrition New]]-tblPiNHistorical[[#This Row],[Nutrition Old]])/tblPiNHistorical[[#This Row],[Nutrition Old]], 1), "")</f>
        <v/>
      </c>
      <c r="AV162" s="66" t="str">
        <f>IFERROR(ROUND((tblPiNHistorical[[#This Row],[Protection New]]-tblPiNHistorical[[#This Row],[Protection Old]])/tblPiNHistorical[[#This Row],[Protection Old]], 1), "")</f>
        <v/>
      </c>
      <c r="AW162" s="84" t="str">
        <f>IFERROR(ROUND((tblPiNHistorical[[#This Row],[CP New]]-tblPiNHistorical[[#This Row],[CP Old ]])/tblPiNHistorical[[#This Row],[CP Old ]], 1), "")</f>
        <v/>
      </c>
      <c r="AX162" s="84" t="str">
        <f>IFERROR(ROUND((tblPiNHistorical[[#This Row],[GBV New]]-tblPiNHistorical[[#This Row],[GBV Old]])/tblPiNHistorical[[#This Row],[GBV Old]], 1), "")</f>
        <v/>
      </c>
      <c r="AY162" s="84" t="str">
        <f>IFERROR(ROUND((tblPiNHistorical[[#This Row],[Mine Action New]]-tblPiNHistorical[[#This Row],[Mine Action Old]])/tblPiNHistorical[[#This Row],[Mine Action Old]], 1), "")</f>
        <v/>
      </c>
      <c r="AZ162" s="66" t="str">
        <f>IFERROR(ROUND((tblPiNHistorical[[#This Row],[Shelter NFI New]]-tblPiNHistorical[[#This Row],[Shelter NFI Old]])/tblPiNHistorical[[#This Row],[Shelter NFI Old]], 1), "")</f>
        <v/>
      </c>
      <c r="BA162" s="36" t="str">
        <f>IFERROR(ROUND((tblPiNHistorical[[#This Row],[WASH New]]-tblPiNHistorical[[#This Row],[WASH Old]])/tblPiNHistorical[[#This Row],[WASH Old]], 1), "")</f>
        <v/>
      </c>
      <c r="BB162"/>
      <c r="BC162"/>
      <c r="BD162"/>
      <c r="BE162"/>
      <c r="BF162"/>
      <c r="BG162"/>
      <c r="BH162"/>
      <c r="BI162"/>
      <c r="BL162"/>
      <c r="BN162"/>
      <c r="BO162"/>
      <c r="BP162"/>
    </row>
    <row r="163" spans="1:68" x14ac:dyDescent="0.25">
      <c r="A163"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IDPsSD04115</v>
      </c>
      <c r="B163" s="127" t="s">
        <v>191</v>
      </c>
      <c r="C163" s="60" t="s">
        <v>121</v>
      </c>
      <c r="D163" s="60" t="s">
        <v>277</v>
      </c>
      <c r="E163" s="60" t="s">
        <v>276</v>
      </c>
      <c r="F163" s="54"/>
      <c r="G163" s="30"/>
      <c r="H163" s="56">
        <v>16087.790000000008</v>
      </c>
      <c r="I163" s="37" t="s">
        <v>88</v>
      </c>
      <c r="J163" s="34">
        <v>10914</v>
      </c>
      <c r="K163" s="116">
        <v>6237.2361830000027</v>
      </c>
      <c r="L163" s="114">
        <v>16088</v>
      </c>
      <c r="M163" s="114">
        <v>16087.790000000008</v>
      </c>
      <c r="N163" s="114">
        <v>1473</v>
      </c>
      <c r="O163" s="114">
        <v>16088</v>
      </c>
      <c r="P163" s="114">
        <v>8848</v>
      </c>
      <c r="Q163" s="114">
        <v>7640</v>
      </c>
      <c r="R163" s="114">
        <v>14479.011000000008</v>
      </c>
      <c r="S163" s="114">
        <v>12870</v>
      </c>
      <c r="T163" s="196">
        <v>9399.7739412000046</v>
      </c>
      <c r="U163" s="52">
        <f>IFERROR(INDEX(tblPiNAnalysis[[Site Management ]], MATCH(tblPiNHistorical[[#This Row],[ID]], tblPiNAnalysis[ID], 0)), "")</f>
        <v>0</v>
      </c>
      <c r="V163" s="52">
        <f>IFERROR(INDEX(tblPiNAnalysis[Education], MATCH(tblPiNHistorical[[#This Row],[ID]], tblPiNAnalysis[ID], 0)), "")</f>
        <v>0</v>
      </c>
      <c r="W163" s="28">
        <f>IFERROR(INDEX(tblPiNAnalysis[Food Security and Livlihoods], MATCH(tblPiNHistorical[[#This Row],[ID]], tblPiNAnalysis[ID], 0)), "")</f>
        <v>0</v>
      </c>
      <c r="X163" s="28">
        <f>IFERROR(INDEX(tblPiNAnalysis[[Health ]], MATCH(tblPiNHistorical[[#This Row],[ID]], tblPiNAnalysis[ID], 0)), "")</f>
        <v>0</v>
      </c>
      <c r="Y163" s="28">
        <f>IFERROR(INDEX(tblPiNAnalysis[Nutrition], MATCH(tblPiNHistorical[[#This Row],[ID]], tblPiNAnalysis[ID], 0)), "")</f>
        <v>0</v>
      </c>
      <c r="Z163" s="28">
        <f>IFERROR(INDEX(tblPiNAnalysis[Protection], MATCH(tblPiNHistorical[[#This Row],[ID]], tblPiNAnalysis[ID], 0)), "")</f>
        <v>0</v>
      </c>
      <c r="AA163" s="28">
        <f>IFERROR(INDEX(tblPiNAnalysis[CP], MATCH(tblPiNHistorical[[#This Row],[ID]], tblPiNAnalysis[ID], 0)), "")</f>
        <v>0</v>
      </c>
      <c r="AB163" s="83">
        <f>IFERROR(INDEX(tblPiNAnalysis[GBV], MATCH(tblPiNHistorical[[#This Row],[ID]], tblPiNAnalysis[ID], 0)), "")</f>
        <v>0</v>
      </c>
      <c r="AC163" s="28">
        <f>IFERROR(INDEX(tblPiNAnalysis[Mine Action], MATCH(tblPiNHistorical[[#This Row],[ID]], tblPiNAnalysis[ID], 0)), "")</f>
        <v>0</v>
      </c>
      <c r="AD163" s="83">
        <f>IFERROR(INDEX(tblPiNAnalysis[[Shelter NFI ]], MATCH(tblPiNHistorical[[#This Row],[ID]], tblPiNAnalysis[ID], 0)), "")</f>
        <v>23927</v>
      </c>
      <c r="AE163" s="35">
        <f>IFERROR(INDEX(tblPiNAnalysis[WASH], MATCH(tblPiNHistorical[[#This Row],[ID]], tblPiNAnalysis[ID], 0)), "")</f>
        <v>0</v>
      </c>
      <c r="AF163" s="6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163" s="67" t="str">
        <f>IF(OR(tblPiNHistorical[[#This Row],[Education Old]]="", tblPiNHistorical[[#This Row],[Education Old]]=0, tblPiNHistorical[[#This Row],[Education New]]="", tblPiNHistorical[[#This Row],[Education New]]=0), "", tblPiNHistorical[[#This Row],[Education New]]-tblPiNHistorical[[#This Row],[Education Old]])</f>
        <v/>
      </c>
      <c r="AH163" s="67"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163" s="67" t="str">
        <f>IF(OR(tblPiNHistorical[[#This Row],[Health Old]]="", tblPiNHistorical[[#This Row],[Health Old]]=0, tblPiNHistorical[[#This Row],[Health New]]="", tblPiNHistorical[[#This Row],[Health New]]=0), "", tblPiNHistorical[[#This Row],[Health New]]-tblPiNHistorical[[#This Row],[Health Old]])</f>
        <v/>
      </c>
      <c r="AJ163" s="67" t="str">
        <f>IF(OR(tblPiNHistorical[[#This Row],[Nutrition Old]]="", tblPiNHistorical[[#This Row],[Nutrition Old]]=0, tblPiNHistorical[[#This Row],[Nutrition New]]="", tblPiNHistorical[[#This Row],[Nutrition New]]=0), "", tblPiNHistorical[[#This Row],[Nutrition New]]-tblPiNHistorical[[#This Row],[Nutrition Old]])</f>
        <v/>
      </c>
      <c r="AK163" s="67" t="str">
        <f>IF(OR(tblPiNHistorical[[#This Row],[Protection Old]]="", tblPiNHistorical[[#This Row],[Protection Old]]=0, tblPiNHistorical[[#This Row],[Protection New]]="", tblPiNHistorical[[#This Row],[Protection New]]=0), "", tblPiNHistorical[[#This Row],[Protection New]]-tblPiNHistorical[[#This Row],[Protection Old]])</f>
        <v/>
      </c>
      <c r="AL163" s="67" t="str">
        <f>IF(OR(tblPiNHistorical[[#This Row],[CP Old ]]="", tblPiNHistorical[[#This Row],[CP Old ]]=0, tblPiNHistorical[[#This Row],[CP New]]="", tblPiNHistorical[[#This Row],[CP New]]=0), "", tblPiNHistorical[[#This Row],[CP New]]-tblPiNHistorical[[#This Row],[CP Old ]])</f>
        <v/>
      </c>
      <c r="AM163" s="83" t="str">
        <f>IF(OR(tblPiNHistorical[[#This Row],[GBV Old]]="", tblPiNHistorical[[#This Row],[GBV Old]]=0, tblPiNHistorical[[#This Row],[GBV New]]="", tblPiNHistorical[[#This Row],[GBV New]]=0), "", tblPiNHistorical[[#This Row],[GBV New]]-tblPiNHistorical[[#This Row],[GBV Old]])</f>
        <v/>
      </c>
      <c r="AN163" s="83" t="str">
        <f>IF(OR(tblPiNHistorical[[#This Row],[Mine Action Old]]="", tblPiNHistorical[[#This Row],[Mine Action Old]]=0, tblPiNHistorical[[#This Row],[Mine Action New]]="", tblPiNHistorical[[#This Row],[Mine Action New]]=0), "", tblPiNHistorical[[#This Row],[Mine Action New]]-tblPiNHistorical[[#This Row],[Mine Action Old]])</f>
        <v/>
      </c>
      <c r="AO163" s="67">
        <f>IF(OR(tblPiNHistorical[[#This Row],[Shelter NFI Old]]="", tblPiNHistorical[[#This Row],[Shelter NFI Old]]=0, tblPiNHistorical[[#This Row],[Shelter NFI New]]="", tblPiNHistorical[[#This Row],[Shelter NFI New]]=0), "", tblPiNHistorical[[#This Row],[Shelter NFI New]]-tblPiNHistorical[[#This Row],[Shelter NFI Old]])</f>
        <v>11057</v>
      </c>
      <c r="AP163" s="111" t="str">
        <f>IF(OR(tblPiNHistorical[[#This Row],[WASH Old]]="", tblPiNHistorical[[#This Row],[WASH Old]]=0, tblPiNHistorical[[#This Row],[WASH New]]="", tblPiNHistorical[[#This Row],[WASH New]]=0), "", tblPiNHistorical[[#This Row],[WASH New]]-tblPiNHistorical[[#This Row],[WASH Old]])</f>
        <v/>
      </c>
      <c r="AQ163" s="110">
        <f>IFERROR(ROUND((tblPiNHistorical[[#This Row],[Site Management - New]] - tblPiNHistorical[[#This Row],[Site Management - Old]])/tblPiNHistorical[[#This Row],[Site Management - Old]], 1), "")</f>
        <v>-1</v>
      </c>
      <c r="AR163" s="66">
        <f>IFERROR(ROUND((tblPiNHistorical[[#This Row],[Education New]]-tblPiNHistorical[[#This Row],[Education Old]])/tblPiNHistorical[[#This Row],[Education Old]], 1), "")</f>
        <v>-1</v>
      </c>
      <c r="AS163" s="66">
        <f>IFERROR(ROUND((tblPiNHistorical[[#This Row],[Food Security and Livlihoods New]]-tblPiNHistorical[[#This Row],[Food Security and Livlihoods Old]])/tblPiNHistorical[[#This Row],[Food Security and Livlihoods Old]], 1), "")</f>
        <v>-1</v>
      </c>
      <c r="AT163" s="66">
        <f>IFERROR(ROUND((tblPiNHistorical[[#This Row],[Health New]]-tblPiNHistorical[[#This Row],[Health Old]])/tblPiNHistorical[[#This Row],[Health Old]], 1), "")</f>
        <v>-1</v>
      </c>
      <c r="AU163" s="66">
        <f>IFERROR(ROUND((tblPiNHistorical[[#This Row],[Nutrition New]]-tblPiNHistorical[[#This Row],[Nutrition Old]])/tblPiNHistorical[[#This Row],[Nutrition Old]], 1), "")</f>
        <v>-1</v>
      </c>
      <c r="AV163" s="66">
        <f>IFERROR(ROUND((tblPiNHistorical[[#This Row],[Protection New]]-tblPiNHistorical[[#This Row],[Protection Old]])/tblPiNHistorical[[#This Row],[Protection Old]], 1), "")</f>
        <v>-1</v>
      </c>
      <c r="AW163" s="84">
        <f>IFERROR(ROUND((tblPiNHistorical[[#This Row],[CP New]]-tblPiNHistorical[[#This Row],[CP Old ]])/tblPiNHistorical[[#This Row],[CP Old ]], 1), "")</f>
        <v>-1</v>
      </c>
      <c r="AX163" s="84">
        <f>IFERROR(ROUND((tblPiNHistorical[[#This Row],[GBV New]]-tblPiNHistorical[[#This Row],[GBV Old]])/tblPiNHistorical[[#This Row],[GBV Old]], 1), "")</f>
        <v>-1</v>
      </c>
      <c r="AY163" s="84">
        <f>IFERROR(ROUND((tblPiNHistorical[[#This Row],[Mine Action New]]-tblPiNHistorical[[#This Row],[Mine Action Old]])/tblPiNHistorical[[#This Row],[Mine Action Old]], 1), "")</f>
        <v>-1</v>
      </c>
      <c r="AZ163" s="66">
        <f>IFERROR(ROUND((tblPiNHistorical[[#This Row],[Shelter NFI New]]-tblPiNHistorical[[#This Row],[Shelter NFI Old]])/tblPiNHistorical[[#This Row],[Shelter NFI Old]], 1), "")</f>
        <v>0.9</v>
      </c>
      <c r="BA163" s="36">
        <f>IFERROR(ROUND((tblPiNHistorical[[#This Row],[WASH New]]-tblPiNHistorical[[#This Row],[WASH Old]])/tblPiNHistorical[[#This Row],[WASH Old]], 1), "")</f>
        <v>-1</v>
      </c>
      <c r="BB163"/>
      <c r="BC163"/>
      <c r="BD163"/>
      <c r="BE163"/>
      <c r="BF163"/>
      <c r="BG163"/>
      <c r="BH163"/>
      <c r="BI163"/>
      <c r="BL163"/>
      <c r="BN163"/>
      <c r="BO163"/>
      <c r="BP163"/>
    </row>
    <row r="164" spans="1:68" x14ac:dyDescent="0.25">
      <c r="A164"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IDPsSD04111</v>
      </c>
      <c r="B164" s="127" t="s">
        <v>191</v>
      </c>
      <c r="C164" s="60" t="s">
        <v>121</v>
      </c>
      <c r="D164" s="60" t="s">
        <v>275</v>
      </c>
      <c r="E164" s="60" t="s">
        <v>274</v>
      </c>
      <c r="F164" s="54"/>
      <c r="G164" s="30"/>
      <c r="H164" s="56">
        <v>25648</v>
      </c>
      <c r="I164" s="37" t="s">
        <v>88</v>
      </c>
      <c r="J164" s="34">
        <v>8189</v>
      </c>
      <c r="K164" s="116">
        <v>9943.7296000000006</v>
      </c>
      <c r="L164" s="114">
        <v>25648</v>
      </c>
      <c r="M164" s="114">
        <v>25648</v>
      </c>
      <c r="N164" s="114">
        <v>1312</v>
      </c>
      <c r="O164" s="114">
        <v>25648</v>
      </c>
      <c r="P164" s="114">
        <v>14106</v>
      </c>
      <c r="Q164" s="114">
        <v>12181</v>
      </c>
      <c r="R164" s="114">
        <v>12824</v>
      </c>
      <c r="S164" s="114">
        <v>15389</v>
      </c>
      <c r="T164" s="196">
        <v>19826.929920000002</v>
      </c>
      <c r="U164" s="52">
        <f>IFERROR(INDEX(tblPiNAnalysis[[Site Management ]], MATCH(tblPiNHistorical[[#This Row],[ID]], tblPiNAnalysis[ID], 0)), "")</f>
        <v>0</v>
      </c>
      <c r="V164" s="52">
        <f>IFERROR(INDEX(tblPiNAnalysis[Education], MATCH(tblPiNHistorical[[#This Row],[ID]], tblPiNAnalysis[ID], 0)), "")</f>
        <v>0</v>
      </c>
      <c r="W164" s="28">
        <f>IFERROR(INDEX(tblPiNAnalysis[Food Security and Livlihoods], MATCH(tblPiNHistorical[[#This Row],[ID]], tblPiNAnalysis[ID], 0)), "")</f>
        <v>0</v>
      </c>
      <c r="X164" s="28">
        <f>IFERROR(INDEX(tblPiNAnalysis[[Health ]], MATCH(tblPiNHistorical[[#This Row],[ID]], tblPiNAnalysis[ID], 0)), "")</f>
        <v>0</v>
      </c>
      <c r="Y164" s="28">
        <f>IFERROR(INDEX(tblPiNAnalysis[Nutrition], MATCH(tblPiNHistorical[[#This Row],[ID]], tblPiNAnalysis[ID], 0)), "")</f>
        <v>0</v>
      </c>
      <c r="Z164" s="28">
        <f>IFERROR(INDEX(tblPiNAnalysis[Protection], MATCH(tblPiNHistorical[[#This Row],[ID]], tblPiNAnalysis[ID], 0)), "")</f>
        <v>0</v>
      </c>
      <c r="AA164" s="28">
        <f>IFERROR(INDEX(tblPiNAnalysis[CP], MATCH(tblPiNHistorical[[#This Row],[ID]], tblPiNAnalysis[ID], 0)), "")</f>
        <v>0</v>
      </c>
      <c r="AB164" s="83">
        <f>IFERROR(INDEX(tblPiNAnalysis[GBV], MATCH(tblPiNHistorical[[#This Row],[ID]], tblPiNAnalysis[ID], 0)), "")</f>
        <v>0</v>
      </c>
      <c r="AC164" s="28">
        <f>IFERROR(INDEX(tblPiNAnalysis[Mine Action], MATCH(tblPiNHistorical[[#This Row],[ID]], tblPiNAnalysis[ID], 0)), "")</f>
        <v>0</v>
      </c>
      <c r="AD164" s="83">
        <f>IFERROR(INDEX(tblPiNAnalysis[[Shelter NFI ]], MATCH(tblPiNHistorical[[#This Row],[ID]], tblPiNAnalysis[ID], 0)), "")</f>
        <v>2423</v>
      </c>
      <c r="AE164" s="35">
        <f>IFERROR(INDEX(tblPiNAnalysis[WASH], MATCH(tblPiNHistorical[[#This Row],[ID]], tblPiNAnalysis[ID], 0)), "")</f>
        <v>0</v>
      </c>
      <c r="AF164" s="6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164" s="67" t="str">
        <f>IF(OR(tblPiNHistorical[[#This Row],[Education Old]]="", tblPiNHistorical[[#This Row],[Education Old]]=0, tblPiNHistorical[[#This Row],[Education New]]="", tblPiNHistorical[[#This Row],[Education New]]=0), "", tblPiNHistorical[[#This Row],[Education New]]-tblPiNHistorical[[#This Row],[Education Old]])</f>
        <v/>
      </c>
      <c r="AH164" s="67"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164" s="67" t="str">
        <f>IF(OR(tblPiNHistorical[[#This Row],[Health Old]]="", tblPiNHistorical[[#This Row],[Health Old]]=0, tblPiNHistorical[[#This Row],[Health New]]="", tblPiNHistorical[[#This Row],[Health New]]=0), "", tblPiNHistorical[[#This Row],[Health New]]-tblPiNHistorical[[#This Row],[Health Old]])</f>
        <v/>
      </c>
      <c r="AJ164" s="67" t="str">
        <f>IF(OR(tblPiNHistorical[[#This Row],[Nutrition Old]]="", tblPiNHistorical[[#This Row],[Nutrition Old]]=0, tblPiNHistorical[[#This Row],[Nutrition New]]="", tblPiNHistorical[[#This Row],[Nutrition New]]=0), "", tblPiNHistorical[[#This Row],[Nutrition New]]-tblPiNHistorical[[#This Row],[Nutrition Old]])</f>
        <v/>
      </c>
      <c r="AK164" s="67" t="str">
        <f>IF(OR(tblPiNHistorical[[#This Row],[Protection Old]]="", tblPiNHistorical[[#This Row],[Protection Old]]=0, tblPiNHistorical[[#This Row],[Protection New]]="", tblPiNHistorical[[#This Row],[Protection New]]=0), "", tblPiNHistorical[[#This Row],[Protection New]]-tblPiNHistorical[[#This Row],[Protection Old]])</f>
        <v/>
      </c>
      <c r="AL164" s="67" t="str">
        <f>IF(OR(tblPiNHistorical[[#This Row],[CP Old ]]="", tblPiNHistorical[[#This Row],[CP Old ]]=0, tblPiNHistorical[[#This Row],[CP New]]="", tblPiNHistorical[[#This Row],[CP New]]=0), "", tblPiNHistorical[[#This Row],[CP New]]-tblPiNHistorical[[#This Row],[CP Old ]])</f>
        <v/>
      </c>
      <c r="AM164" s="83" t="str">
        <f>IF(OR(tblPiNHistorical[[#This Row],[GBV Old]]="", tblPiNHistorical[[#This Row],[GBV Old]]=0, tblPiNHistorical[[#This Row],[GBV New]]="", tblPiNHistorical[[#This Row],[GBV New]]=0), "", tblPiNHistorical[[#This Row],[GBV New]]-tblPiNHistorical[[#This Row],[GBV Old]])</f>
        <v/>
      </c>
      <c r="AN164" s="83" t="str">
        <f>IF(OR(tblPiNHistorical[[#This Row],[Mine Action Old]]="", tblPiNHistorical[[#This Row],[Mine Action Old]]=0, tblPiNHistorical[[#This Row],[Mine Action New]]="", tblPiNHistorical[[#This Row],[Mine Action New]]=0), "", tblPiNHistorical[[#This Row],[Mine Action New]]-tblPiNHistorical[[#This Row],[Mine Action Old]])</f>
        <v/>
      </c>
      <c r="AO164" s="67">
        <f>IF(OR(tblPiNHistorical[[#This Row],[Shelter NFI Old]]="", tblPiNHistorical[[#This Row],[Shelter NFI Old]]=0, tblPiNHistorical[[#This Row],[Shelter NFI New]]="", tblPiNHistorical[[#This Row],[Shelter NFI New]]=0), "", tblPiNHistorical[[#This Row],[Shelter NFI New]]-tblPiNHistorical[[#This Row],[Shelter NFI Old]])</f>
        <v>-12966</v>
      </c>
      <c r="AP164" s="111" t="str">
        <f>IF(OR(tblPiNHistorical[[#This Row],[WASH Old]]="", tblPiNHistorical[[#This Row],[WASH Old]]=0, tblPiNHistorical[[#This Row],[WASH New]]="", tblPiNHistorical[[#This Row],[WASH New]]=0), "", tblPiNHistorical[[#This Row],[WASH New]]-tblPiNHistorical[[#This Row],[WASH Old]])</f>
        <v/>
      </c>
      <c r="AQ164" s="110">
        <f>IFERROR(ROUND((tblPiNHistorical[[#This Row],[Site Management - New]] - tblPiNHistorical[[#This Row],[Site Management - Old]])/tblPiNHistorical[[#This Row],[Site Management - Old]], 1), "")</f>
        <v>-1</v>
      </c>
      <c r="AR164" s="66">
        <f>IFERROR(ROUND((tblPiNHistorical[[#This Row],[Education New]]-tblPiNHistorical[[#This Row],[Education Old]])/tblPiNHistorical[[#This Row],[Education Old]], 1), "")</f>
        <v>-1</v>
      </c>
      <c r="AS164" s="66">
        <f>IFERROR(ROUND((tblPiNHistorical[[#This Row],[Food Security and Livlihoods New]]-tblPiNHistorical[[#This Row],[Food Security and Livlihoods Old]])/tblPiNHistorical[[#This Row],[Food Security and Livlihoods Old]], 1), "")</f>
        <v>-1</v>
      </c>
      <c r="AT164" s="66">
        <f>IFERROR(ROUND((tblPiNHistorical[[#This Row],[Health New]]-tblPiNHistorical[[#This Row],[Health Old]])/tblPiNHistorical[[#This Row],[Health Old]], 1), "")</f>
        <v>-1</v>
      </c>
      <c r="AU164" s="66">
        <f>IFERROR(ROUND((tblPiNHistorical[[#This Row],[Nutrition New]]-tblPiNHistorical[[#This Row],[Nutrition Old]])/tblPiNHistorical[[#This Row],[Nutrition Old]], 1), "")</f>
        <v>-1</v>
      </c>
      <c r="AV164" s="66">
        <f>IFERROR(ROUND((tblPiNHistorical[[#This Row],[Protection New]]-tblPiNHistorical[[#This Row],[Protection Old]])/tblPiNHistorical[[#This Row],[Protection Old]], 1), "")</f>
        <v>-1</v>
      </c>
      <c r="AW164" s="84">
        <f>IFERROR(ROUND((tblPiNHistorical[[#This Row],[CP New]]-tblPiNHistorical[[#This Row],[CP Old ]])/tblPiNHistorical[[#This Row],[CP Old ]], 1), "")</f>
        <v>-1</v>
      </c>
      <c r="AX164" s="84">
        <f>IFERROR(ROUND((tblPiNHistorical[[#This Row],[GBV New]]-tblPiNHistorical[[#This Row],[GBV Old]])/tblPiNHistorical[[#This Row],[GBV Old]], 1), "")</f>
        <v>-1</v>
      </c>
      <c r="AY164" s="84">
        <f>IFERROR(ROUND((tblPiNHistorical[[#This Row],[Mine Action New]]-tblPiNHistorical[[#This Row],[Mine Action Old]])/tblPiNHistorical[[#This Row],[Mine Action Old]], 1), "")</f>
        <v>-1</v>
      </c>
      <c r="AZ164" s="66">
        <f>IFERROR(ROUND((tblPiNHistorical[[#This Row],[Shelter NFI New]]-tblPiNHistorical[[#This Row],[Shelter NFI Old]])/tblPiNHistorical[[#This Row],[Shelter NFI Old]], 1), "")</f>
        <v>-0.8</v>
      </c>
      <c r="BA164" s="36">
        <f>IFERROR(ROUND((tblPiNHistorical[[#This Row],[WASH New]]-tblPiNHistorical[[#This Row],[WASH Old]])/tblPiNHistorical[[#This Row],[WASH Old]], 1), "")</f>
        <v>-1</v>
      </c>
      <c r="BB164"/>
      <c r="BC164"/>
      <c r="BD164"/>
      <c r="BE164"/>
      <c r="BF164"/>
      <c r="BG164"/>
      <c r="BH164"/>
      <c r="BI164"/>
      <c r="BL164"/>
      <c r="BN164"/>
      <c r="BO164"/>
      <c r="BP164"/>
    </row>
    <row r="165" spans="1:68" x14ac:dyDescent="0.25">
      <c r="A165"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IDPsSD04121</v>
      </c>
      <c r="B165" s="127" t="s">
        <v>191</v>
      </c>
      <c r="C165" s="60" t="s">
        <v>121</v>
      </c>
      <c r="D165" s="60" t="s">
        <v>279</v>
      </c>
      <c r="E165" s="60" t="s">
        <v>278</v>
      </c>
      <c r="F165" s="54"/>
      <c r="G165" s="30"/>
      <c r="H165" s="56">
        <v>7810</v>
      </c>
      <c r="I165" s="37" t="s">
        <v>88</v>
      </c>
      <c r="J165" s="34">
        <v>4981</v>
      </c>
      <c r="K165" s="116">
        <v>3027.9369999999999</v>
      </c>
      <c r="L165" s="114">
        <v>7810</v>
      </c>
      <c r="M165" s="114">
        <v>7810</v>
      </c>
      <c r="N165" s="114">
        <v>589</v>
      </c>
      <c r="O165" s="114">
        <v>7810</v>
      </c>
      <c r="P165" s="114">
        <v>4296</v>
      </c>
      <c r="Q165" s="114">
        <v>3710</v>
      </c>
      <c r="R165" s="114">
        <v>2343</v>
      </c>
      <c r="S165" s="114">
        <v>4686</v>
      </c>
      <c r="T165" s="196">
        <v>0</v>
      </c>
      <c r="U165" s="52">
        <f>IFERROR(INDEX(tblPiNAnalysis[[Site Management ]], MATCH(tblPiNHistorical[[#This Row],[ID]], tblPiNAnalysis[ID], 0)), "")</f>
        <v>0</v>
      </c>
      <c r="V165" s="52">
        <f>IFERROR(INDEX(tblPiNAnalysis[Education], MATCH(tblPiNHistorical[[#This Row],[ID]], tblPiNAnalysis[ID], 0)), "")</f>
        <v>0</v>
      </c>
      <c r="W165" s="28">
        <f>IFERROR(INDEX(tblPiNAnalysis[Food Security and Livlihoods], MATCH(tblPiNHistorical[[#This Row],[ID]], tblPiNAnalysis[ID], 0)), "")</f>
        <v>0</v>
      </c>
      <c r="X165" s="28">
        <f>IFERROR(INDEX(tblPiNAnalysis[[Health ]], MATCH(tblPiNHistorical[[#This Row],[ID]], tblPiNAnalysis[ID], 0)), "")</f>
        <v>0</v>
      </c>
      <c r="Y165" s="28">
        <f>IFERROR(INDEX(tblPiNAnalysis[Nutrition], MATCH(tblPiNHistorical[[#This Row],[ID]], tblPiNAnalysis[ID], 0)), "")</f>
        <v>0</v>
      </c>
      <c r="Z165" s="28">
        <f>IFERROR(INDEX(tblPiNAnalysis[Protection], MATCH(tblPiNHistorical[[#This Row],[ID]], tblPiNAnalysis[ID], 0)), "")</f>
        <v>0</v>
      </c>
      <c r="AA165" s="28">
        <f>IFERROR(INDEX(tblPiNAnalysis[CP], MATCH(tblPiNHistorical[[#This Row],[ID]], tblPiNAnalysis[ID], 0)), "")</f>
        <v>0</v>
      </c>
      <c r="AB165" s="83">
        <f>IFERROR(INDEX(tblPiNAnalysis[GBV], MATCH(tblPiNHistorical[[#This Row],[ID]], tblPiNAnalysis[ID], 0)), "")</f>
        <v>0</v>
      </c>
      <c r="AC165" s="28">
        <f>IFERROR(INDEX(tblPiNAnalysis[Mine Action], MATCH(tblPiNHistorical[[#This Row],[ID]], tblPiNAnalysis[ID], 0)), "")</f>
        <v>0</v>
      </c>
      <c r="AD165" s="83">
        <f>IFERROR(INDEX(tblPiNAnalysis[[Shelter NFI ]], MATCH(tblPiNHistorical[[#This Row],[ID]], tblPiNAnalysis[ID], 0)), "")</f>
        <v>4996</v>
      </c>
      <c r="AE165" s="35">
        <f>IFERROR(INDEX(tblPiNAnalysis[WASH], MATCH(tblPiNHistorical[[#This Row],[ID]], tblPiNAnalysis[ID], 0)), "")</f>
        <v>0</v>
      </c>
      <c r="AF165" s="6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165" s="67" t="str">
        <f>IF(OR(tblPiNHistorical[[#This Row],[Education Old]]="", tblPiNHistorical[[#This Row],[Education Old]]=0, tblPiNHistorical[[#This Row],[Education New]]="", tblPiNHistorical[[#This Row],[Education New]]=0), "", tblPiNHistorical[[#This Row],[Education New]]-tblPiNHistorical[[#This Row],[Education Old]])</f>
        <v/>
      </c>
      <c r="AH165" s="67"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165" s="67" t="str">
        <f>IF(OR(tblPiNHistorical[[#This Row],[Health Old]]="", tblPiNHistorical[[#This Row],[Health Old]]=0, tblPiNHistorical[[#This Row],[Health New]]="", tblPiNHistorical[[#This Row],[Health New]]=0), "", tblPiNHistorical[[#This Row],[Health New]]-tblPiNHistorical[[#This Row],[Health Old]])</f>
        <v/>
      </c>
      <c r="AJ165" s="67" t="str">
        <f>IF(OR(tblPiNHistorical[[#This Row],[Nutrition Old]]="", tblPiNHistorical[[#This Row],[Nutrition Old]]=0, tblPiNHistorical[[#This Row],[Nutrition New]]="", tblPiNHistorical[[#This Row],[Nutrition New]]=0), "", tblPiNHistorical[[#This Row],[Nutrition New]]-tblPiNHistorical[[#This Row],[Nutrition Old]])</f>
        <v/>
      </c>
      <c r="AK165" s="67" t="str">
        <f>IF(OR(tblPiNHistorical[[#This Row],[Protection Old]]="", tblPiNHistorical[[#This Row],[Protection Old]]=0, tblPiNHistorical[[#This Row],[Protection New]]="", tblPiNHistorical[[#This Row],[Protection New]]=0), "", tblPiNHistorical[[#This Row],[Protection New]]-tblPiNHistorical[[#This Row],[Protection Old]])</f>
        <v/>
      </c>
      <c r="AL165" s="67" t="str">
        <f>IF(OR(tblPiNHistorical[[#This Row],[CP Old ]]="", tblPiNHistorical[[#This Row],[CP Old ]]=0, tblPiNHistorical[[#This Row],[CP New]]="", tblPiNHistorical[[#This Row],[CP New]]=0), "", tblPiNHistorical[[#This Row],[CP New]]-tblPiNHistorical[[#This Row],[CP Old ]])</f>
        <v/>
      </c>
      <c r="AM165" s="83" t="str">
        <f>IF(OR(tblPiNHistorical[[#This Row],[GBV Old]]="", tblPiNHistorical[[#This Row],[GBV Old]]=0, tblPiNHistorical[[#This Row],[GBV New]]="", tblPiNHistorical[[#This Row],[GBV New]]=0), "", tblPiNHistorical[[#This Row],[GBV New]]-tblPiNHistorical[[#This Row],[GBV Old]])</f>
        <v/>
      </c>
      <c r="AN165" s="83" t="str">
        <f>IF(OR(tblPiNHistorical[[#This Row],[Mine Action Old]]="", tblPiNHistorical[[#This Row],[Mine Action Old]]=0, tblPiNHistorical[[#This Row],[Mine Action New]]="", tblPiNHistorical[[#This Row],[Mine Action New]]=0), "", tblPiNHistorical[[#This Row],[Mine Action New]]-tblPiNHistorical[[#This Row],[Mine Action Old]])</f>
        <v/>
      </c>
      <c r="AO165" s="67">
        <f>IF(OR(tblPiNHistorical[[#This Row],[Shelter NFI Old]]="", tblPiNHistorical[[#This Row],[Shelter NFI Old]]=0, tblPiNHistorical[[#This Row],[Shelter NFI New]]="", tblPiNHistorical[[#This Row],[Shelter NFI New]]=0), "", tblPiNHistorical[[#This Row],[Shelter NFI New]]-tblPiNHistorical[[#This Row],[Shelter NFI Old]])</f>
        <v>310</v>
      </c>
      <c r="AP165" s="111" t="str">
        <f>IF(OR(tblPiNHistorical[[#This Row],[WASH Old]]="", tblPiNHistorical[[#This Row],[WASH Old]]=0, tblPiNHistorical[[#This Row],[WASH New]]="", tblPiNHistorical[[#This Row],[WASH New]]=0), "", tblPiNHistorical[[#This Row],[WASH New]]-tblPiNHistorical[[#This Row],[WASH Old]])</f>
        <v/>
      </c>
      <c r="AQ165" s="110">
        <f>IFERROR(ROUND((tblPiNHistorical[[#This Row],[Site Management - New]] - tblPiNHistorical[[#This Row],[Site Management - Old]])/tblPiNHistorical[[#This Row],[Site Management - Old]], 1), "")</f>
        <v>-1</v>
      </c>
      <c r="AR165" s="66">
        <f>IFERROR(ROUND((tblPiNHistorical[[#This Row],[Education New]]-tblPiNHistorical[[#This Row],[Education Old]])/tblPiNHistorical[[#This Row],[Education Old]], 1), "")</f>
        <v>-1</v>
      </c>
      <c r="AS165" s="66">
        <f>IFERROR(ROUND((tblPiNHistorical[[#This Row],[Food Security and Livlihoods New]]-tblPiNHistorical[[#This Row],[Food Security and Livlihoods Old]])/tblPiNHistorical[[#This Row],[Food Security and Livlihoods Old]], 1), "")</f>
        <v>-1</v>
      </c>
      <c r="AT165" s="66">
        <f>IFERROR(ROUND((tblPiNHistorical[[#This Row],[Health New]]-tblPiNHistorical[[#This Row],[Health Old]])/tblPiNHistorical[[#This Row],[Health Old]], 1), "")</f>
        <v>-1</v>
      </c>
      <c r="AU165" s="66">
        <f>IFERROR(ROUND((tblPiNHistorical[[#This Row],[Nutrition New]]-tblPiNHistorical[[#This Row],[Nutrition Old]])/tblPiNHistorical[[#This Row],[Nutrition Old]], 1), "")</f>
        <v>-1</v>
      </c>
      <c r="AV165" s="66">
        <f>IFERROR(ROUND((tblPiNHistorical[[#This Row],[Protection New]]-tblPiNHistorical[[#This Row],[Protection Old]])/tblPiNHistorical[[#This Row],[Protection Old]], 1), "")</f>
        <v>-1</v>
      </c>
      <c r="AW165" s="84">
        <f>IFERROR(ROUND((tblPiNHistorical[[#This Row],[CP New]]-tblPiNHistorical[[#This Row],[CP Old ]])/tblPiNHistorical[[#This Row],[CP Old ]], 1), "")</f>
        <v>-1</v>
      </c>
      <c r="AX165" s="84">
        <f>IFERROR(ROUND((tblPiNHistorical[[#This Row],[GBV New]]-tblPiNHistorical[[#This Row],[GBV Old]])/tblPiNHistorical[[#This Row],[GBV Old]], 1), "")</f>
        <v>-1</v>
      </c>
      <c r="AY165" s="84">
        <f>IFERROR(ROUND((tblPiNHistorical[[#This Row],[Mine Action New]]-tblPiNHistorical[[#This Row],[Mine Action Old]])/tblPiNHistorical[[#This Row],[Mine Action Old]], 1), "")</f>
        <v>-1</v>
      </c>
      <c r="AZ165" s="66">
        <f>IFERROR(ROUND((tblPiNHistorical[[#This Row],[Shelter NFI New]]-tblPiNHistorical[[#This Row],[Shelter NFI Old]])/tblPiNHistorical[[#This Row],[Shelter NFI Old]], 1), "")</f>
        <v>0.1</v>
      </c>
      <c r="BA165" s="36" t="str">
        <f>IFERROR(ROUND((tblPiNHistorical[[#This Row],[WASH New]]-tblPiNHistorical[[#This Row],[WASH Old]])/tblPiNHistorical[[#This Row],[WASH Old]], 1), "")</f>
        <v/>
      </c>
      <c r="BB165"/>
      <c r="BC165"/>
      <c r="BD165"/>
      <c r="BE165"/>
      <c r="BF165"/>
      <c r="BG165"/>
      <c r="BH165"/>
      <c r="BI165"/>
      <c r="BL165"/>
      <c r="BN165"/>
      <c r="BO165"/>
      <c r="BP165"/>
    </row>
    <row r="166" spans="1:68" x14ac:dyDescent="0.25">
      <c r="A166"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IDPsSD04122</v>
      </c>
      <c r="B166" s="127" t="s">
        <v>191</v>
      </c>
      <c r="C166" s="60" t="s">
        <v>121</v>
      </c>
      <c r="D166" s="60" t="s">
        <v>281</v>
      </c>
      <c r="E166" s="60" t="s">
        <v>280</v>
      </c>
      <c r="F166" s="54"/>
      <c r="G166" s="30"/>
      <c r="H166" s="56">
        <v>40567</v>
      </c>
      <c r="I166" s="37" t="s">
        <v>88</v>
      </c>
      <c r="J166" s="34">
        <v>40567</v>
      </c>
      <c r="K166" s="116">
        <v>15727.8259</v>
      </c>
      <c r="L166" s="114">
        <v>40567</v>
      </c>
      <c r="M166" s="114">
        <v>40567</v>
      </c>
      <c r="N166" s="114">
        <v>2175</v>
      </c>
      <c r="O166" s="114">
        <v>40567</v>
      </c>
      <c r="P166" s="114">
        <v>22312</v>
      </c>
      <c r="Q166" s="114">
        <v>16057</v>
      </c>
      <c r="R166" s="114">
        <v>20283.5</v>
      </c>
      <c r="S166" s="114">
        <v>24340</v>
      </c>
      <c r="T166" s="196">
        <v>47331.952919999996</v>
      </c>
      <c r="U166" s="52">
        <f>IFERROR(INDEX(tblPiNAnalysis[[Site Management ]], MATCH(tblPiNHistorical[[#This Row],[ID]], tblPiNAnalysis[ID], 0)), "")</f>
        <v>0</v>
      </c>
      <c r="V166" s="52">
        <f>IFERROR(INDEX(tblPiNAnalysis[Education], MATCH(tblPiNHistorical[[#This Row],[ID]], tblPiNAnalysis[ID], 0)), "")</f>
        <v>0</v>
      </c>
      <c r="W166" s="28">
        <f>IFERROR(INDEX(tblPiNAnalysis[Food Security and Livlihoods], MATCH(tblPiNHistorical[[#This Row],[ID]], tblPiNAnalysis[ID], 0)), "")</f>
        <v>0</v>
      </c>
      <c r="X166" s="28">
        <f>IFERROR(INDEX(tblPiNAnalysis[[Health ]], MATCH(tblPiNHistorical[[#This Row],[ID]], tblPiNAnalysis[ID], 0)), "")</f>
        <v>0</v>
      </c>
      <c r="Y166" s="28">
        <f>IFERROR(INDEX(tblPiNAnalysis[Nutrition], MATCH(tblPiNHistorical[[#This Row],[ID]], tblPiNAnalysis[ID], 0)), "")</f>
        <v>0</v>
      </c>
      <c r="Z166" s="28">
        <f>IFERROR(INDEX(tblPiNAnalysis[Protection], MATCH(tblPiNHistorical[[#This Row],[ID]], tblPiNAnalysis[ID], 0)), "")</f>
        <v>0</v>
      </c>
      <c r="AA166" s="28">
        <f>IFERROR(INDEX(tblPiNAnalysis[CP], MATCH(tblPiNHistorical[[#This Row],[ID]], tblPiNAnalysis[ID], 0)), "")</f>
        <v>0</v>
      </c>
      <c r="AB166" s="83">
        <f>IFERROR(INDEX(tblPiNAnalysis[GBV], MATCH(tblPiNHistorical[[#This Row],[ID]], tblPiNAnalysis[ID], 0)), "")</f>
        <v>0</v>
      </c>
      <c r="AC166" s="28">
        <f>IFERROR(INDEX(tblPiNAnalysis[Mine Action], MATCH(tblPiNHistorical[[#This Row],[ID]], tblPiNAnalysis[ID], 0)), "")</f>
        <v>0</v>
      </c>
      <c r="AD166" s="83">
        <f>IFERROR(INDEX(tblPiNAnalysis[[Shelter NFI ]], MATCH(tblPiNHistorical[[#This Row],[ID]], tblPiNAnalysis[ID], 0)), "")</f>
        <v>18014</v>
      </c>
      <c r="AE166" s="35">
        <f>IFERROR(INDEX(tblPiNAnalysis[WASH], MATCH(tblPiNHistorical[[#This Row],[ID]], tblPiNAnalysis[ID], 0)), "")</f>
        <v>0</v>
      </c>
      <c r="AF166" s="6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166" s="67" t="str">
        <f>IF(OR(tblPiNHistorical[[#This Row],[Education Old]]="", tblPiNHistorical[[#This Row],[Education Old]]=0, tblPiNHistorical[[#This Row],[Education New]]="", tblPiNHistorical[[#This Row],[Education New]]=0), "", tblPiNHistorical[[#This Row],[Education New]]-tblPiNHistorical[[#This Row],[Education Old]])</f>
        <v/>
      </c>
      <c r="AH166" s="67"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166" s="67" t="str">
        <f>IF(OR(tblPiNHistorical[[#This Row],[Health Old]]="", tblPiNHistorical[[#This Row],[Health Old]]=0, tblPiNHistorical[[#This Row],[Health New]]="", tblPiNHistorical[[#This Row],[Health New]]=0), "", tblPiNHistorical[[#This Row],[Health New]]-tblPiNHistorical[[#This Row],[Health Old]])</f>
        <v/>
      </c>
      <c r="AJ166" s="67" t="str">
        <f>IF(OR(tblPiNHistorical[[#This Row],[Nutrition Old]]="", tblPiNHistorical[[#This Row],[Nutrition Old]]=0, tblPiNHistorical[[#This Row],[Nutrition New]]="", tblPiNHistorical[[#This Row],[Nutrition New]]=0), "", tblPiNHistorical[[#This Row],[Nutrition New]]-tblPiNHistorical[[#This Row],[Nutrition Old]])</f>
        <v/>
      </c>
      <c r="AK166" s="67" t="str">
        <f>IF(OR(tblPiNHistorical[[#This Row],[Protection Old]]="", tblPiNHistorical[[#This Row],[Protection Old]]=0, tblPiNHistorical[[#This Row],[Protection New]]="", tblPiNHistorical[[#This Row],[Protection New]]=0), "", tblPiNHistorical[[#This Row],[Protection New]]-tblPiNHistorical[[#This Row],[Protection Old]])</f>
        <v/>
      </c>
      <c r="AL166" s="67" t="str">
        <f>IF(OR(tblPiNHistorical[[#This Row],[CP Old ]]="", tblPiNHistorical[[#This Row],[CP Old ]]=0, tblPiNHistorical[[#This Row],[CP New]]="", tblPiNHistorical[[#This Row],[CP New]]=0), "", tblPiNHistorical[[#This Row],[CP New]]-tblPiNHistorical[[#This Row],[CP Old ]])</f>
        <v/>
      </c>
      <c r="AM166" s="83" t="str">
        <f>IF(OR(tblPiNHistorical[[#This Row],[GBV Old]]="", tblPiNHistorical[[#This Row],[GBV Old]]=0, tblPiNHistorical[[#This Row],[GBV New]]="", tblPiNHistorical[[#This Row],[GBV New]]=0), "", tblPiNHistorical[[#This Row],[GBV New]]-tblPiNHistorical[[#This Row],[GBV Old]])</f>
        <v/>
      </c>
      <c r="AN166" s="83" t="str">
        <f>IF(OR(tblPiNHistorical[[#This Row],[Mine Action Old]]="", tblPiNHistorical[[#This Row],[Mine Action Old]]=0, tblPiNHistorical[[#This Row],[Mine Action New]]="", tblPiNHistorical[[#This Row],[Mine Action New]]=0), "", tblPiNHistorical[[#This Row],[Mine Action New]]-tblPiNHistorical[[#This Row],[Mine Action Old]])</f>
        <v/>
      </c>
      <c r="AO166" s="67">
        <f>IF(OR(tblPiNHistorical[[#This Row],[Shelter NFI Old]]="", tblPiNHistorical[[#This Row],[Shelter NFI Old]]=0, tblPiNHistorical[[#This Row],[Shelter NFI New]]="", tblPiNHistorical[[#This Row],[Shelter NFI New]]=0), "", tblPiNHistorical[[#This Row],[Shelter NFI New]]-tblPiNHistorical[[#This Row],[Shelter NFI Old]])</f>
        <v>-6326</v>
      </c>
      <c r="AP166" s="111" t="str">
        <f>IF(OR(tblPiNHistorical[[#This Row],[WASH Old]]="", tblPiNHistorical[[#This Row],[WASH Old]]=0, tblPiNHistorical[[#This Row],[WASH New]]="", tblPiNHistorical[[#This Row],[WASH New]]=0), "", tblPiNHistorical[[#This Row],[WASH New]]-tblPiNHistorical[[#This Row],[WASH Old]])</f>
        <v/>
      </c>
      <c r="AQ166" s="110">
        <f>IFERROR(ROUND((tblPiNHistorical[[#This Row],[Site Management - New]] - tblPiNHistorical[[#This Row],[Site Management - Old]])/tblPiNHistorical[[#This Row],[Site Management - Old]], 1), "")</f>
        <v>-1</v>
      </c>
      <c r="AR166" s="66">
        <f>IFERROR(ROUND((tblPiNHistorical[[#This Row],[Education New]]-tblPiNHistorical[[#This Row],[Education Old]])/tblPiNHistorical[[#This Row],[Education Old]], 1), "")</f>
        <v>-1</v>
      </c>
      <c r="AS166" s="66">
        <f>IFERROR(ROUND((tblPiNHistorical[[#This Row],[Food Security and Livlihoods New]]-tblPiNHistorical[[#This Row],[Food Security and Livlihoods Old]])/tblPiNHistorical[[#This Row],[Food Security and Livlihoods Old]], 1), "")</f>
        <v>-1</v>
      </c>
      <c r="AT166" s="66">
        <f>IFERROR(ROUND((tblPiNHistorical[[#This Row],[Health New]]-tblPiNHistorical[[#This Row],[Health Old]])/tblPiNHistorical[[#This Row],[Health Old]], 1), "")</f>
        <v>-1</v>
      </c>
      <c r="AU166" s="66">
        <f>IFERROR(ROUND((tblPiNHistorical[[#This Row],[Nutrition New]]-tblPiNHistorical[[#This Row],[Nutrition Old]])/tblPiNHistorical[[#This Row],[Nutrition Old]], 1), "")</f>
        <v>-1</v>
      </c>
      <c r="AV166" s="66">
        <f>IFERROR(ROUND((tblPiNHistorical[[#This Row],[Protection New]]-tblPiNHistorical[[#This Row],[Protection Old]])/tblPiNHistorical[[#This Row],[Protection Old]], 1), "")</f>
        <v>-1</v>
      </c>
      <c r="AW166" s="84">
        <f>IFERROR(ROUND((tblPiNHistorical[[#This Row],[CP New]]-tblPiNHistorical[[#This Row],[CP Old ]])/tblPiNHistorical[[#This Row],[CP Old ]], 1), "")</f>
        <v>-1</v>
      </c>
      <c r="AX166" s="84">
        <f>IFERROR(ROUND((tblPiNHistorical[[#This Row],[GBV New]]-tblPiNHistorical[[#This Row],[GBV Old]])/tblPiNHistorical[[#This Row],[GBV Old]], 1), "")</f>
        <v>-1</v>
      </c>
      <c r="AY166" s="84">
        <f>IFERROR(ROUND((tblPiNHistorical[[#This Row],[Mine Action New]]-tblPiNHistorical[[#This Row],[Mine Action Old]])/tblPiNHistorical[[#This Row],[Mine Action Old]], 1), "")</f>
        <v>-1</v>
      </c>
      <c r="AZ166" s="66">
        <f>IFERROR(ROUND((tblPiNHistorical[[#This Row],[Shelter NFI New]]-tblPiNHistorical[[#This Row],[Shelter NFI Old]])/tblPiNHistorical[[#This Row],[Shelter NFI Old]], 1), "")</f>
        <v>-0.3</v>
      </c>
      <c r="BA166" s="36">
        <f>IFERROR(ROUND((tblPiNHistorical[[#This Row],[WASH New]]-tblPiNHistorical[[#This Row],[WASH Old]])/tblPiNHistorical[[#This Row],[WASH Old]], 1), "")</f>
        <v>-1</v>
      </c>
      <c r="BB166"/>
      <c r="BC166"/>
      <c r="BD166"/>
      <c r="BE166"/>
      <c r="BF166"/>
      <c r="BG166"/>
      <c r="BH166"/>
      <c r="BI166"/>
      <c r="BL166"/>
      <c r="BN166"/>
      <c r="BO166"/>
      <c r="BP166"/>
    </row>
    <row r="167" spans="1:68" x14ac:dyDescent="0.25">
      <c r="A167"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IDPsSD04123</v>
      </c>
      <c r="B167" s="127" t="s">
        <v>191</v>
      </c>
      <c r="C167" s="60" t="s">
        <v>121</v>
      </c>
      <c r="D167" s="60" t="s">
        <v>283</v>
      </c>
      <c r="E167" s="60" t="s">
        <v>282</v>
      </c>
      <c r="F167" s="54"/>
      <c r="G167" s="30"/>
      <c r="H167" s="56">
        <v>51295</v>
      </c>
      <c r="I167" s="37" t="s">
        <v>88</v>
      </c>
      <c r="J167" s="34">
        <v>3276</v>
      </c>
      <c r="K167" s="116">
        <v>19887.071499999998</v>
      </c>
      <c r="L167" s="114">
        <v>51295</v>
      </c>
      <c r="M167" s="114">
        <v>51295</v>
      </c>
      <c r="N167" s="114">
        <v>2436</v>
      </c>
      <c r="O167" s="114">
        <v>51295</v>
      </c>
      <c r="P167" s="114">
        <v>28212</v>
      </c>
      <c r="Q167" s="114">
        <v>20303</v>
      </c>
      <c r="R167" s="114">
        <v>35906.5</v>
      </c>
      <c r="S167" s="114">
        <v>30777</v>
      </c>
      <c r="T167" s="196">
        <v>60175.190400000007</v>
      </c>
      <c r="U167" s="52">
        <f>IFERROR(INDEX(tblPiNAnalysis[[Site Management ]], MATCH(tblPiNHistorical[[#This Row],[ID]], tblPiNAnalysis[ID], 0)), "")</f>
        <v>0</v>
      </c>
      <c r="V167" s="52">
        <f>IFERROR(INDEX(tblPiNAnalysis[Education], MATCH(tblPiNHistorical[[#This Row],[ID]], tblPiNAnalysis[ID], 0)), "")</f>
        <v>0</v>
      </c>
      <c r="W167" s="28">
        <f>IFERROR(INDEX(tblPiNAnalysis[Food Security and Livlihoods], MATCH(tblPiNHistorical[[#This Row],[ID]], tblPiNAnalysis[ID], 0)), "")</f>
        <v>0</v>
      </c>
      <c r="X167" s="28">
        <f>IFERROR(INDEX(tblPiNAnalysis[[Health ]], MATCH(tblPiNHistorical[[#This Row],[ID]], tblPiNAnalysis[ID], 0)), "")</f>
        <v>0</v>
      </c>
      <c r="Y167" s="28">
        <f>IFERROR(INDEX(tblPiNAnalysis[Nutrition], MATCH(tblPiNHistorical[[#This Row],[ID]], tblPiNAnalysis[ID], 0)), "")</f>
        <v>0</v>
      </c>
      <c r="Z167" s="28">
        <f>IFERROR(INDEX(tblPiNAnalysis[Protection], MATCH(tblPiNHistorical[[#This Row],[ID]], tblPiNAnalysis[ID], 0)), "")</f>
        <v>0</v>
      </c>
      <c r="AA167" s="28">
        <f>IFERROR(INDEX(tblPiNAnalysis[CP], MATCH(tblPiNHistorical[[#This Row],[ID]], tblPiNAnalysis[ID], 0)), "")</f>
        <v>0</v>
      </c>
      <c r="AB167" s="83">
        <f>IFERROR(INDEX(tblPiNAnalysis[GBV], MATCH(tblPiNHistorical[[#This Row],[ID]], tblPiNAnalysis[ID], 0)), "")</f>
        <v>0</v>
      </c>
      <c r="AC167" s="28">
        <f>IFERROR(INDEX(tblPiNAnalysis[Mine Action], MATCH(tblPiNHistorical[[#This Row],[ID]], tblPiNAnalysis[ID], 0)), "")</f>
        <v>0</v>
      </c>
      <c r="AD167" s="83">
        <f>IFERROR(INDEX(tblPiNAnalysis[[Shelter NFI ]], MATCH(tblPiNHistorical[[#This Row],[ID]], tblPiNAnalysis[ID], 0)), "")</f>
        <v>53316</v>
      </c>
      <c r="AE167" s="35">
        <f>IFERROR(INDEX(tblPiNAnalysis[WASH], MATCH(tblPiNHistorical[[#This Row],[ID]], tblPiNAnalysis[ID], 0)), "")</f>
        <v>0</v>
      </c>
      <c r="AF167" s="6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167" s="67" t="str">
        <f>IF(OR(tblPiNHistorical[[#This Row],[Education Old]]="", tblPiNHistorical[[#This Row],[Education Old]]=0, tblPiNHistorical[[#This Row],[Education New]]="", tblPiNHistorical[[#This Row],[Education New]]=0), "", tblPiNHistorical[[#This Row],[Education New]]-tblPiNHistorical[[#This Row],[Education Old]])</f>
        <v/>
      </c>
      <c r="AH167" s="67"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167" s="67" t="str">
        <f>IF(OR(tblPiNHistorical[[#This Row],[Health Old]]="", tblPiNHistorical[[#This Row],[Health Old]]=0, tblPiNHistorical[[#This Row],[Health New]]="", tblPiNHistorical[[#This Row],[Health New]]=0), "", tblPiNHistorical[[#This Row],[Health New]]-tblPiNHistorical[[#This Row],[Health Old]])</f>
        <v/>
      </c>
      <c r="AJ167" s="67" t="str">
        <f>IF(OR(tblPiNHistorical[[#This Row],[Nutrition Old]]="", tblPiNHistorical[[#This Row],[Nutrition Old]]=0, tblPiNHistorical[[#This Row],[Nutrition New]]="", tblPiNHistorical[[#This Row],[Nutrition New]]=0), "", tblPiNHistorical[[#This Row],[Nutrition New]]-tblPiNHistorical[[#This Row],[Nutrition Old]])</f>
        <v/>
      </c>
      <c r="AK167" s="67" t="str">
        <f>IF(OR(tblPiNHistorical[[#This Row],[Protection Old]]="", tblPiNHistorical[[#This Row],[Protection Old]]=0, tblPiNHistorical[[#This Row],[Protection New]]="", tblPiNHistorical[[#This Row],[Protection New]]=0), "", tblPiNHistorical[[#This Row],[Protection New]]-tblPiNHistorical[[#This Row],[Protection Old]])</f>
        <v/>
      </c>
      <c r="AL167" s="67" t="str">
        <f>IF(OR(tblPiNHistorical[[#This Row],[CP Old ]]="", tblPiNHistorical[[#This Row],[CP Old ]]=0, tblPiNHistorical[[#This Row],[CP New]]="", tblPiNHistorical[[#This Row],[CP New]]=0), "", tblPiNHistorical[[#This Row],[CP New]]-tblPiNHistorical[[#This Row],[CP Old ]])</f>
        <v/>
      </c>
      <c r="AM167" s="83" t="str">
        <f>IF(OR(tblPiNHistorical[[#This Row],[GBV Old]]="", tblPiNHistorical[[#This Row],[GBV Old]]=0, tblPiNHistorical[[#This Row],[GBV New]]="", tblPiNHistorical[[#This Row],[GBV New]]=0), "", tblPiNHistorical[[#This Row],[GBV New]]-tblPiNHistorical[[#This Row],[GBV Old]])</f>
        <v/>
      </c>
      <c r="AN167" s="83" t="str">
        <f>IF(OR(tblPiNHistorical[[#This Row],[Mine Action Old]]="", tblPiNHistorical[[#This Row],[Mine Action Old]]=0, tblPiNHistorical[[#This Row],[Mine Action New]]="", tblPiNHistorical[[#This Row],[Mine Action New]]=0), "", tblPiNHistorical[[#This Row],[Mine Action New]]-tblPiNHistorical[[#This Row],[Mine Action Old]])</f>
        <v/>
      </c>
      <c r="AO167" s="67">
        <f>IF(OR(tblPiNHistorical[[#This Row],[Shelter NFI Old]]="", tblPiNHistorical[[#This Row],[Shelter NFI Old]]=0, tblPiNHistorical[[#This Row],[Shelter NFI New]]="", tblPiNHistorical[[#This Row],[Shelter NFI New]]=0), "", tblPiNHistorical[[#This Row],[Shelter NFI New]]-tblPiNHistorical[[#This Row],[Shelter NFI Old]])</f>
        <v>22539</v>
      </c>
      <c r="AP167" s="111" t="str">
        <f>IF(OR(tblPiNHistorical[[#This Row],[WASH Old]]="", tblPiNHistorical[[#This Row],[WASH Old]]=0, tblPiNHistorical[[#This Row],[WASH New]]="", tblPiNHistorical[[#This Row],[WASH New]]=0), "", tblPiNHistorical[[#This Row],[WASH New]]-tblPiNHistorical[[#This Row],[WASH Old]])</f>
        <v/>
      </c>
      <c r="AQ167" s="110">
        <f>IFERROR(ROUND((tblPiNHistorical[[#This Row],[Site Management - New]] - tblPiNHistorical[[#This Row],[Site Management - Old]])/tblPiNHistorical[[#This Row],[Site Management - Old]], 1), "")</f>
        <v>-1</v>
      </c>
      <c r="AR167" s="66">
        <f>IFERROR(ROUND((tblPiNHistorical[[#This Row],[Education New]]-tblPiNHistorical[[#This Row],[Education Old]])/tblPiNHistorical[[#This Row],[Education Old]], 1), "")</f>
        <v>-1</v>
      </c>
      <c r="AS167" s="66">
        <f>IFERROR(ROUND((tblPiNHistorical[[#This Row],[Food Security and Livlihoods New]]-tblPiNHistorical[[#This Row],[Food Security and Livlihoods Old]])/tblPiNHistorical[[#This Row],[Food Security and Livlihoods Old]], 1), "")</f>
        <v>-1</v>
      </c>
      <c r="AT167" s="66">
        <f>IFERROR(ROUND((tblPiNHistorical[[#This Row],[Health New]]-tblPiNHistorical[[#This Row],[Health Old]])/tblPiNHistorical[[#This Row],[Health Old]], 1), "")</f>
        <v>-1</v>
      </c>
      <c r="AU167" s="66">
        <f>IFERROR(ROUND((tblPiNHistorical[[#This Row],[Nutrition New]]-tblPiNHistorical[[#This Row],[Nutrition Old]])/tblPiNHistorical[[#This Row],[Nutrition Old]], 1), "")</f>
        <v>-1</v>
      </c>
      <c r="AV167" s="66">
        <f>IFERROR(ROUND((tblPiNHistorical[[#This Row],[Protection New]]-tblPiNHistorical[[#This Row],[Protection Old]])/tblPiNHistorical[[#This Row],[Protection Old]], 1), "")</f>
        <v>-1</v>
      </c>
      <c r="AW167" s="84">
        <f>IFERROR(ROUND((tblPiNHistorical[[#This Row],[CP New]]-tblPiNHistorical[[#This Row],[CP Old ]])/tblPiNHistorical[[#This Row],[CP Old ]], 1), "")</f>
        <v>-1</v>
      </c>
      <c r="AX167" s="84">
        <f>IFERROR(ROUND((tblPiNHistorical[[#This Row],[GBV New]]-tblPiNHistorical[[#This Row],[GBV Old]])/tblPiNHistorical[[#This Row],[GBV Old]], 1), "")</f>
        <v>-1</v>
      </c>
      <c r="AY167" s="84">
        <f>IFERROR(ROUND((tblPiNHistorical[[#This Row],[Mine Action New]]-tblPiNHistorical[[#This Row],[Mine Action Old]])/tblPiNHistorical[[#This Row],[Mine Action Old]], 1), "")</f>
        <v>-1</v>
      </c>
      <c r="AZ167" s="66">
        <f>IFERROR(ROUND((tblPiNHistorical[[#This Row],[Shelter NFI New]]-tblPiNHistorical[[#This Row],[Shelter NFI Old]])/tblPiNHistorical[[#This Row],[Shelter NFI Old]], 1), "")</f>
        <v>0.7</v>
      </c>
      <c r="BA167" s="36">
        <f>IFERROR(ROUND((tblPiNHistorical[[#This Row],[WASH New]]-tblPiNHistorical[[#This Row],[WASH Old]])/tblPiNHistorical[[#This Row],[WASH Old]], 1), "")</f>
        <v>-1</v>
      </c>
      <c r="BB167"/>
      <c r="BC167"/>
      <c r="BD167"/>
      <c r="BE167"/>
      <c r="BF167"/>
      <c r="BG167"/>
      <c r="BH167"/>
      <c r="BI167"/>
      <c r="BL167"/>
      <c r="BN167"/>
      <c r="BO167"/>
      <c r="BP167"/>
    </row>
    <row r="168" spans="1:68" x14ac:dyDescent="0.25">
      <c r="A168"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IDPsSD04125</v>
      </c>
      <c r="B168" s="127" t="s">
        <v>191</v>
      </c>
      <c r="C168" s="60" t="s">
        <v>121</v>
      </c>
      <c r="D168" s="60" t="s">
        <v>285</v>
      </c>
      <c r="E168" s="60" t="s">
        <v>284</v>
      </c>
      <c r="F168" s="54"/>
      <c r="G168" s="30"/>
      <c r="H168" s="56">
        <v>38403.5</v>
      </c>
      <c r="I168" s="37" t="s">
        <v>88</v>
      </c>
      <c r="J168" s="34">
        <v>35351</v>
      </c>
      <c r="K168" s="116">
        <v>14889.03695</v>
      </c>
      <c r="L168" s="114">
        <v>38403.5</v>
      </c>
      <c r="M168" s="114">
        <v>38403.5</v>
      </c>
      <c r="N168" s="114">
        <v>2461</v>
      </c>
      <c r="O168" s="114">
        <v>38404</v>
      </c>
      <c r="P168" s="114">
        <v>21122</v>
      </c>
      <c r="Q168" s="114">
        <v>15200</v>
      </c>
      <c r="R168" s="114">
        <v>11521.05</v>
      </c>
      <c r="S168" s="114">
        <v>23042</v>
      </c>
      <c r="T168" s="196">
        <v>16664.046719999995</v>
      </c>
      <c r="U168" s="52">
        <f>IFERROR(INDEX(tblPiNAnalysis[[Site Management ]], MATCH(tblPiNHistorical[[#This Row],[ID]], tblPiNAnalysis[ID], 0)), "")</f>
        <v>0</v>
      </c>
      <c r="V168" s="52">
        <f>IFERROR(INDEX(tblPiNAnalysis[Education], MATCH(tblPiNHistorical[[#This Row],[ID]], tblPiNAnalysis[ID], 0)), "")</f>
        <v>0</v>
      </c>
      <c r="W168" s="28">
        <f>IFERROR(INDEX(tblPiNAnalysis[Food Security and Livlihoods], MATCH(tblPiNHistorical[[#This Row],[ID]], tblPiNAnalysis[ID], 0)), "")</f>
        <v>0</v>
      </c>
      <c r="X168" s="28">
        <f>IFERROR(INDEX(tblPiNAnalysis[[Health ]], MATCH(tblPiNHistorical[[#This Row],[ID]], tblPiNAnalysis[ID], 0)), "")</f>
        <v>0</v>
      </c>
      <c r="Y168" s="28">
        <f>IFERROR(INDEX(tblPiNAnalysis[Nutrition], MATCH(tblPiNHistorical[[#This Row],[ID]], tblPiNAnalysis[ID], 0)), "")</f>
        <v>0</v>
      </c>
      <c r="Z168" s="28">
        <f>IFERROR(INDEX(tblPiNAnalysis[Protection], MATCH(tblPiNHistorical[[#This Row],[ID]], tblPiNAnalysis[ID], 0)), "")</f>
        <v>0</v>
      </c>
      <c r="AA168" s="28">
        <f>IFERROR(INDEX(tblPiNAnalysis[CP], MATCH(tblPiNHistorical[[#This Row],[ID]], tblPiNAnalysis[ID], 0)), "")</f>
        <v>0</v>
      </c>
      <c r="AB168" s="83">
        <f>IFERROR(INDEX(tblPiNAnalysis[GBV], MATCH(tblPiNHistorical[[#This Row],[ID]], tblPiNAnalysis[ID], 0)), "")</f>
        <v>0</v>
      </c>
      <c r="AC168" s="28">
        <f>IFERROR(INDEX(tblPiNAnalysis[Mine Action], MATCH(tblPiNHistorical[[#This Row],[ID]], tblPiNAnalysis[ID], 0)), "")</f>
        <v>0</v>
      </c>
      <c r="AD168" s="83">
        <f>IFERROR(INDEX(tblPiNAnalysis[[Shelter NFI ]], MATCH(tblPiNHistorical[[#This Row],[ID]], tblPiNAnalysis[ID], 0)), "")</f>
        <v>25790</v>
      </c>
      <c r="AE168" s="35">
        <f>IFERROR(INDEX(tblPiNAnalysis[WASH], MATCH(tblPiNHistorical[[#This Row],[ID]], tblPiNAnalysis[ID], 0)), "")</f>
        <v>0</v>
      </c>
      <c r="AF168" s="6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168" s="67" t="str">
        <f>IF(OR(tblPiNHistorical[[#This Row],[Education Old]]="", tblPiNHistorical[[#This Row],[Education Old]]=0, tblPiNHistorical[[#This Row],[Education New]]="", tblPiNHistorical[[#This Row],[Education New]]=0), "", tblPiNHistorical[[#This Row],[Education New]]-tblPiNHistorical[[#This Row],[Education Old]])</f>
        <v/>
      </c>
      <c r="AH168" s="67"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168" s="67" t="str">
        <f>IF(OR(tblPiNHistorical[[#This Row],[Health Old]]="", tblPiNHistorical[[#This Row],[Health Old]]=0, tblPiNHistorical[[#This Row],[Health New]]="", tblPiNHistorical[[#This Row],[Health New]]=0), "", tblPiNHistorical[[#This Row],[Health New]]-tblPiNHistorical[[#This Row],[Health Old]])</f>
        <v/>
      </c>
      <c r="AJ168" s="67" t="str">
        <f>IF(OR(tblPiNHistorical[[#This Row],[Nutrition Old]]="", tblPiNHistorical[[#This Row],[Nutrition Old]]=0, tblPiNHistorical[[#This Row],[Nutrition New]]="", tblPiNHistorical[[#This Row],[Nutrition New]]=0), "", tblPiNHistorical[[#This Row],[Nutrition New]]-tblPiNHistorical[[#This Row],[Nutrition Old]])</f>
        <v/>
      </c>
      <c r="AK168" s="67" t="str">
        <f>IF(OR(tblPiNHistorical[[#This Row],[Protection Old]]="", tblPiNHistorical[[#This Row],[Protection Old]]=0, tblPiNHistorical[[#This Row],[Protection New]]="", tblPiNHistorical[[#This Row],[Protection New]]=0), "", tblPiNHistorical[[#This Row],[Protection New]]-tblPiNHistorical[[#This Row],[Protection Old]])</f>
        <v/>
      </c>
      <c r="AL168" s="67" t="str">
        <f>IF(OR(tblPiNHistorical[[#This Row],[CP Old ]]="", tblPiNHistorical[[#This Row],[CP Old ]]=0, tblPiNHistorical[[#This Row],[CP New]]="", tblPiNHistorical[[#This Row],[CP New]]=0), "", tblPiNHistorical[[#This Row],[CP New]]-tblPiNHistorical[[#This Row],[CP Old ]])</f>
        <v/>
      </c>
      <c r="AM168" s="83" t="str">
        <f>IF(OR(tblPiNHistorical[[#This Row],[GBV Old]]="", tblPiNHistorical[[#This Row],[GBV Old]]=0, tblPiNHistorical[[#This Row],[GBV New]]="", tblPiNHistorical[[#This Row],[GBV New]]=0), "", tblPiNHistorical[[#This Row],[GBV New]]-tblPiNHistorical[[#This Row],[GBV Old]])</f>
        <v/>
      </c>
      <c r="AN168" s="83" t="str">
        <f>IF(OR(tblPiNHistorical[[#This Row],[Mine Action Old]]="", tblPiNHistorical[[#This Row],[Mine Action Old]]=0, tblPiNHistorical[[#This Row],[Mine Action New]]="", tblPiNHistorical[[#This Row],[Mine Action New]]=0), "", tblPiNHistorical[[#This Row],[Mine Action New]]-tblPiNHistorical[[#This Row],[Mine Action Old]])</f>
        <v/>
      </c>
      <c r="AO168" s="67">
        <f>IF(OR(tblPiNHistorical[[#This Row],[Shelter NFI Old]]="", tblPiNHistorical[[#This Row],[Shelter NFI Old]]=0, tblPiNHistorical[[#This Row],[Shelter NFI New]]="", tblPiNHistorical[[#This Row],[Shelter NFI New]]=0), "", tblPiNHistorical[[#This Row],[Shelter NFI New]]-tblPiNHistorical[[#This Row],[Shelter NFI Old]])</f>
        <v>2748</v>
      </c>
      <c r="AP168" s="111" t="str">
        <f>IF(OR(tblPiNHistorical[[#This Row],[WASH Old]]="", tblPiNHistorical[[#This Row],[WASH Old]]=0, tblPiNHistorical[[#This Row],[WASH New]]="", tblPiNHistorical[[#This Row],[WASH New]]=0), "", tblPiNHistorical[[#This Row],[WASH New]]-tblPiNHistorical[[#This Row],[WASH Old]])</f>
        <v/>
      </c>
      <c r="AQ168" s="110">
        <f>IFERROR(ROUND((tblPiNHistorical[[#This Row],[Site Management - New]] - tblPiNHistorical[[#This Row],[Site Management - Old]])/tblPiNHistorical[[#This Row],[Site Management - Old]], 1), "")</f>
        <v>-1</v>
      </c>
      <c r="AR168" s="66">
        <f>IFERROR(ROUND((tblPiNHistorical[[#This Row],[Education New]]-tblPiNHistorical[[#This Row],[Education Old]])/tblPiNHistorical[[#This Row],[Education Old]], 1), "")</f>
        <v>-1</v>
      </c>
      <c r="AS168" s="66">
        <f>IFERROR(ROUND((tblPiNHistorical[[#This Row],[Food Security and Livlihoods New]]-tblPiNHistorical[[#This Row],[Food Security and Livlihoods Old]])/tblPiNHistorical[[#This Row],[Food Security and Livlihoods Old]], 1), "")</f>
        <v>-1</v>
      </c>
      <c r="AT168" s="66">
        <f>IFERROR(ROUND((tblPiNHistorical[[#This Row],[Health New]]-tblPiNHistorical[[#This Row],[Health Old]])/tblPiNHistorical[[#This Row],[Health Old]], 1), "")</f>
        <v>-1</v>
      </c>
      <c r="AU168" s="66">
        <f>IFERROR(ROUND((tblPiNHistorical[[#This Row],[Nutrition New]]-tblPiNHistorical[[#This Row],[Nutrition Old]])/tblPiNHistorical[[#This Row],[Nutrition Old]], 1), "")</f>
        <v>-1</v>
      </c>
      <c r="AV168" s="66">
        <f>IFERROR(ROUND((tblPiNHistorical[[#This Row],[Protection New]]-tblPiNHistorical[[#This Row],[Protection Old]])/tblPiNHistorical[[#This Row],[Protection Old]], 1), "")</f>
        <v>-1</v>
      </c>
      <c r="AW168" s="84">
        <f>IFERROR(ROUND((tblPiNHistorical[[#This Row],[CP New]]-tblPiNHistorical[[#This Row],[CP Old ]])/tblPiNHistorical[[#This Row],[CP Old ]], 1), "")</f>
        <v>-1</v>
      </c>
      <c r="AX168" s="84">
        <f>IFERROR(ROUND((tblPiNHistorical[[#This Row],[GBV New]]-tblPiNHistorical[[#This Row],[GBV Old]])/tblPiNHistorical[[#This Row],[GBV Old]], 1), "")</f>
        <v>-1</v>
      </c>
      <c r="AY168" s="84">
        <f>IFERROR(ROUND((tblPiNHistorical[[#This Row],[Mine Action New]]-tblPiNHistorical[[#This Row],[Mine Action Old]])/tblPiNHistorical[[#This Row],[Mine Action Old]], 1), "")</f>
        <v>-1</v>
      </c>
      <c r="AZ168" s="66">
        <f>IFERROR(ROUND((tblPiNHistorical[[#This Row],[Shelter NFI New]]-tblPiNHistorical[[#This Row],[Shelter NFI Old]])/tblPiNHistorical[[#This Row],[Shelter NFI Old]], 1), "")</f>
        <v>0.1</v>
      </c>
      <c r="BA168" s="36">
        <f>IFERROR(ROUND((tblPiNHistorical[[#This Row],[WASH New]]-tblPiNHistorical[[#This Row],[WASH Old]])/tblPiNHistorical[[#This Row],[WASH Old]], 1), "")</f>
        <v>-1</v>
      </c>
      <c r="BB168"/>
      <c r="BC168"/>
      <c r="BD168"/>
      <c r="BE168"/>
      <c r="BF168"/>
      <c r="BG168"/>
      <c r="BH168"/>
      <c r="BI168"/>
      <c r="BL168"/>
      <c r="BN168"/>
      <c r="BO168"/>
      <c r="BP168"/>
    </row>
    <row r="169" spans="1:68" x14ac:dyDescent="0.25">
      <c r="A169"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IDPsSD04127</v>
      </c>
      <c r="B169" s="127" t="s">
        <v>191</v>
      </c>
      <c r="C169" s="60" t="s">
        <v>121</v>
      </c>
      <c r="D169" s="60" t="s">
        <v>287</v>
      </c>
      <c r="E169" s="60" t="s">
        <v>286</v>
      </c>
      <c r="F169" s="54"/>
      <c r="G169" s="30"/>
      <c r="H169" s="56">
        <v>38373</v>
      </c>
      <c r="I169" s="37" t="s">
        <v>88</v>
      </c>
      <c r="J169" s="34">
        <v>10479</v>
      </c>
      <c r="K169" s="116">
        <v>14877.212099999999</v>
      </c>
      <c r="L169" s="114">
        <v>38373</v>
      </c>
      <c r="M169" s="114">
        <v>38373</v>
      </c>
      <c r="N169" s="114">
        <v>5143</v>
      </c>
      <c r="O169" s="114">
        <v>21105.15</v>
      </c>
      <c r="P169" s="114">
        <v>21105</v>
      </c>
      <c r="Q169" s="114">
        <v>15189</v>
      </c>
      <c r="R169" s="114">
        <v>0</v>
      </c>
      <c r="S169" s="114">
        <v>23024</v>
      </c>
      <c r="T169" s="196">
        <v>37791.265319999991</v>
      </c>
      <c r="U169" s="52">
        <f>IFERROR(INDEX(tblPiNAnalysis[[Site Management ]], MATCH(tblPiNHistorical[[#This Row],[ID]], tblPiNAnalysis[ID], 0)), "")</f>
        <v>0</v>
      </c>
      <c r="V169" s="52">
        <f>IFERROR(INDEX(tblPiNAnalysis[Education], MATCH(tblPiNHistorical[[#This Row],[ID]], tblPiNAnalysis[ID], 0)), "")</f>
        <v>0</v>
      </c>
      <c r="W169" s="28">
        <f>IFERROR(INDEX(tblPiNAnalysis[Food Security and Livlihoods], MATCH(tblPiNHistorical[[#This Row],[ID]], tblPiNAnalysis[ID], 0)), "")</f>
        <v>0</v>
      </c>
      <c r="X169" s="28">
        <f>IFERROR(INDEX(tblPiNAnalysis[[Health ]], MATCH(tblPiNHistorical[[#This Row],[ID]], tblPiNAnalysis[ID], 0)), "")</f>
        <v>0</v>
      </c>
      <c r="Y169" s="28">
        <f>IFERROR(INDEX(tblPiNAnalysis[Nutrition], MATCH(tblPiNHistorical[[#This Row],[ID]], tblPiNAnalysis[ID], 0)), "")</f>
        <v>0</v>
      </c>
      <c r="Z169" s="28">
        <f>IFERROR(INDEX(tblPiNAnalysis[Protection], MATCH(tblPiNHistorical[[#This Row],[ID]], tblPiNAnalysis[ID], 0)), "")</f>
        <v>0</v>
      </c>
      <c r="AA169" s="28">
        <f>IFERROR(INDEX(tblPiNAnalysis[CP], MATCH(tblPiNHistorical[[#This Row],[ID]], tblPiNAnalysis[ID], 0)), "")</f>
        <v>0</v>
      </c>
      <c r="AB169" s="83">
        <f>IFERROR(INDEX(tblPiNAnalysis[GBV], MATCH(tblPiNHistorical[[#This Row],[ID]], tblPiNAnalysis[ID], 0)), "")</f>
        <v>0</v>
      </c>
      <c r="AC169" s="28">
        <f>IFERROR(INDEX(tblPiNAnalysis[Mine Action], MATCH(tblPiNHistorical[[#This Row],[ID]], tblPiNAnalysis[ID], 0)), "")</f>
        <v>0</v>
      </c>
      <c r="AD169" s="83">
        <f>IFERROR(INDEX(tblPiNAnalysis[[Shelter NFI ]], MATCH(tblPiNHistorical[[#This Row],[ID]], tblPiNAnalysis[ID], 0)), "")</f>
        <v>14122</v>
      </c>
      <c r="AE169" s="35">
        <f>IFERROR(INDEX(tblPiNAnalysis[WASH], MATCH(tblPiNHistorical[[#This Row],[ID]], tblPiNAnalysis[ID], 0)), "")</f>
        <v>0</v>
      </c>
      <c r="AF169" s="6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169" s="67" t="str">
        <f>IF(OR(tblPiNHistorical[[#This Row],[Education Old]]="", tblPiNHistorical[[#This Row],[Education Old]]=0, tblPiNHistorical[[#This Row],[Education New]]="", tblPiNHistorical[[#This Row],[Education New]]=0), "", tblPiNHistorical[[#This Row],[Education New]]-tblPiNHistorical[[#This Row],[Education Old]])</f>
        <v/>
      </c>
      <c r="AH169" s="67"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169" s="67" t="str">
        <f>IF(OR(tblPiNHistorical[[#This Row],[Health Old]]="", tblPiNHistorical[[#This Row],[Health Old]]=0, tblPiNHistorical[[#This Row],[Health New]]="", tblPiNHistorical[[#This Row],[Health New]]=0), "", tblPiNHistorical[[#This Row],[Health New]]-tblPiNHistorical[[#This Row],[Health Old]])</f>
        <v/>
      </c>
      <c r="AJ169" s="67" t="str">
        <f>IF(OR(tblPiNHistorical[[#This Row],[Nutrition Old]]="", tblPiNHistorical[[#This Row],[Nutrition Old]]=0, tblPiNHistorical[[#This Row],[Nutrition New]]="", tblPiNHistorical[[#This Row],[Nutrition New]]=0), "", tblPiNHistorical[[#This Row],[Nutrition New]]-tblPiNHistorical[[#This Row],[Nutrition Old]])</f>
        <v/>
      </c>
      <c r="AK169" s="67" t="str">
        <f>IF(OR(tblPiNHistorical[[#This Row],[Protection Old]]="", tblPiNHistorical[[#This Row],[Protection Old]]=0, tblPiNHistorical[[#This Row],[Protection New]]="", tblPiNHistorical[[#This Row],[Protection New]]=0), "", tblPiNHistorical[[#This Row],[Protection New]]-tblPiNHistorical[[#This Row],[Protection Old]])</f>
        <v/>
      </c>
      <c r="AL169" s="67" t="str">
        <f>IF(OR(tblPiNHistorical[[#This Row],[CP Old ]]="", tblPiNHistorical[[#This Row],[CP Old ]]=0, tblPiNHistorical[[#This Row],[CP New]]="", tblPiNHistorical[[#This Row],[CP New]]=0), "", tblPiNHistorical[[#This Row],[CP New]]-tblPiNHistorical[[#This Row],[CP Old ]])</f>
        <v/>
      </c>
      <c r="AM169" s="83" t="str">
        <f>IF(OR(tblPiNHistorical[[#This Row],[GBV Old]]="", tblPiNHistorical[[#This Row],[GBV Old]]=0, tblPiNHistorical[[#This Row],[GBV New]]="", tblPiNHistorical[[#This Row],[GBV New]]=0), "", tblPiNHistorical[[#This Row],[GBV New]]-tblPiNHistorical[[#This Row],[GBV Old]])</f>
        <v/>
      </c>
      <c r="AN169" s="83" t="str">
        <f>IF(OR(tblPiNHistorical[[#This Row],[Mine Action Old]]="", tblPiNHistorical[[#This Row],[Mine Action Old]]=0, tblPiNHistorical[[#This Row],[Mine Action New]]="", tblPiNHistorical[[#This Row],[Mine Action New]]=0), "", tblPiNHistorical[[#This Row],[Mine Action New]]-tblPiNHistorical[[#This Row],[Mine Action Old]])</f>
        <v/>
      </c>
      <c r="AO169" s="67">
        <f>IF(OR(tblPiNHistorical[[#This Row],[Shelter NFI Old]]="", tblPiNHistorical[[#This Row],[Shelter NFI Old]]=0, tblPiNHistorical[[#This Row],[Shelter NFI New]]="", tblPiNHistorical[[#This Row],[Shelter NFI New]]=0), "", tblPiNHistorical[[#This Row],[Shelter NFI New]]-tblPiNHistorical[[#This Row],[Shelter NFI Old]])</f>
        <v>-8902</v>
      </c>
      <c r="AP169" s="111" t="str">
        <f>IF(OR(tblPiNHistorical[[#This Row],[WASH Old]]="", tblPiNHistorical[[#This Row],[WASH Old]]=0, tblPiNHistorical[[#This Row],[WASH New]]="", tblPiNHistorical[[#This Row],[WASH New]]=0), "", tblPiNHistorical[[#This Row],[WASH New]]-tblPiNHistorical[[#This Row],[WASH Old]])</f>
        <v/>
      </c>
      <c r="AQ169" s="110">
        <f>IFERROR(ROUND((tblPiNHistorical[[#This Row],[Site Management - New]] - tblPiNHistorical[[#This Row],[Site Management - Old]])/tblPiNHistorical[[#This Row],[Site Management - Old]], 1), "")</f>
        <v>-1</v>
      </c>
      <c r="AR169" s="66">
        <f>IFERROR(ROUND((tblPiNHistorical[[#This Row],[Education New]]-tblPiNHistorical[[#This Row],[Education Old]])/tblPiNHistorical[[#This Row],[Education Old]], 1), "")</f>
        <v>-1</v>
      </c>
      <c r="AS169" s="66">
        <f>IFERROR(ROUND((tblPiNHistorical[[#This Row],[Food Security and Livlihoods New]]-tblPiNHistorical[[#This Row],[Food Security and Livlihoods Old]])/tblPiNHistorical[[#This Row],[Food Security and Livlihoods Old]], 1), "")</f>
        <v>-1</v>
      </c>
      <c r="AT169" s="66">
        <f>IFERROR(ROUND((tblPiNHistorical[[#This Row],[Health New]]-tblPiNHistorical[[#This Row],[Health Old]])/tblPiNHistorical[[#This Row],[Health Old]], 1), "")</f>
        <v>-1</v>
      </c>
      <c r="AU169" s="66">
        <f>IFERROR(ROUND((tblPiNHistorical[[#This Row],[Nutrition New]]-tblPiNHistorical[[#This Row],[Nutrition Old]])/tblPiNHistorical[[#This Row],[Nutrition Old]], 1), "")</f>
        <v>-1</v>
      </c>
      <c r="AV169" s="66">
        <f>IFERROR(ROUND((tblPiNHistorical[[#This Row],[Protection New]]-tblPiNHistorical[[#This Row],[Protection Old]])/tblPiNHistorical[[#This Row],[Protection Old]], 1), "")</f>
        <v>-1</v>
      </c>
      <c r="AW169" s="84">
        <f>IFERROR(ROUND((tblPiNHistorical[[#This Row],[CP New]]-tblPiNHistorical[[#This Row],[CP Old ]])/tblPiNHistorical[[#This Row],[CP Old ]], 1), "")</f>
        <v>-1</v>
      </c>
      <c r="AX169" s="84">
        <f>IFERROR(ROUND((tblPiNHistorical[[#This Row],[GBV New]]-tblPiNHistorical[[#This Row],[GBV Old]])/tblPiNHistorical[[#This Row],[GBV Old]], 1), "")</f>
        <v>-1</v>
      </c>
      <c r="AY169" s="84" t="str">
        <f>IFERROR(ROUND((tblPiNHistorical[[#This Row],[Mine Action New]]-tblPiNHistorical[[#This Row],[Mine Action Old]])/tblPiNHistorical[[#This Row],[Mine Action Old]], 1), "")</f>
        <v/>
      </c>
      <c r="AZ169" s="66">
        <f>IFERROR(ROUND((tblPiNHistorical[[#This Row],[Shelter NFI New]]-tblPiNHistorical[[#This Row],[Shelter NFI Old]])/tblPiNHistorical[[#This Row],[Shelter NFI Old]], 1), "")</f>
        <v>-0.4</v>
      </c>
      <c r="BA169" s="36">
        <f>IFERROR(ROUND((tblPiNHistorical[[#This Row],[WASH New]]-tblPiNHistorical[[#This Row],[WASH Old]])/tblPiNHistorical[[#This Row],[WASH Old]], 1), "")</f>
        <v>-1</v>
      </c>
      <c r="BB169"/>
      <c r="BC169"/>
      <c r="BD169"/>
      <c r="BE169"/>
      <c r="BF169"/>
      <c r="BG169"/>
      <c r="BH169"/>
      <c r="BI169"/>
      <c r="BL169"/>
      <c r="BN169"/>
      <c r="BO169"/>
      <c r="BP169"/>
    </row>
    <row r="170" spans="1:68" x14ac:dyDescent="0.25">
      <c r="A170"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IDPsSD04134</v>
      </c>
      <c r="B170" s="127" t="s">
        <v>191</v>
      </c>
      <c r="C170" s="60" t="s">
        <v>121</v>
      </c>
      <c r="D170" s="60" t="s">
        <v>289</v>
      </c>
      <c r="E170" s="60" t="s">
        <v>288</v>
      </c>
      <c r="F170" s="54"/>
      <c r="G170" s="30"/>
      <c r="H170" s="56">
        <v>3564</v>
      </c>
      <c r="I170" s="37" t="s">
        <v>88</v>
      </c>
      <c r="J170" s="34">
        <v>3349</v>
      </c>
      <c r="K170" s="116">
        <v>1381.7628</v>
      </c>
      <c r="L170" s="114">
        <v>3564</v>
      </c>
      <c r="M170" s="114">
        <v>3564</v>
      </c>
      <c r="N170" s="114">
        <v>244</v>
      </c>
      <c r="O170" s="114">
        <v>3564</v>
      </c>
      <c r="P170" s="114">
        <v>1960</v>
      </c>
      <c r="Q170" s="114">
        <v>1410</v>
      </c>
      <c r="R170" s="114">
        <v>1782</v>
      </c>
      <c r="S170" s="114">
        <v>2138</v>
      </c>
      <c r="T170" s="196">
        <v>0</v>
      </c>
      <c r="U170" s="52">
        <f>IFERROR(INDEX(tblPiNAnalysis[[Site Management ]], MATCH(tblPiNHistorical[[#This Row],[ID]], tblPiNAnalysis[ID], 0)), "")</f>
        <v>0</v>
      </c>
      <c r="V170" s="52">
        <f>IFERROR(INDEX(tblPiNAnalysis[Education], MATCH(tblPiNHistorical[[#This Row],[ID]], tblPiNAnalysis[ID], 0)), "")</f>
        <v>0</v>
      </c>
      <c r="W170" s="28">
        <f>IFERROR(INDEX(tblPiNAnalysis[Food Security and Livlihoods], MATCH(tblPiNHistorical[[#This Row],[ID]], tblPiNAnalysis[ID], 0)), "")</f>
        <v>0</v>
      </c>
      <c r="X170" s="28">
        <f>IFERROR(INDEX(tblPiNAnalysis[[Health ]], MATCH(tblPiNHistorical[[#This Row],[ID]], tblPiNAnalysis[ID], 0)), "")</f>
        <v>0</v>
      </c>
      <c r="Y170" s="28">
        <f>IFERROR(INDEX(tblPiNAnalysis[Nutrition], MATCH(tblPiNHistorical[[#This Row],[ID]], tblPiNAnalysis[ID], 0)), "")</f>
        <v>0</v>
      </c>
      <c r="Z170" s="28">
        <f>IFERROR(INDEX(tblPiNAnalysis[Protection], MATCH(tblPiNHistorical[[#This Row],[ID]], tblPiNAnalysis[ID], 0)), "")</f>
        <v>0</v>
      </c>
      <c r="AA170" s="28">
        <f>IFERROR(INDEX(tblPiNAnalysis[CP], MATCH(tblPiNHistorical[[#This Row],[ID]], tblPiNAnalysis[ID], 0)), "")</f>
        <v>0</v>
      </c>
      <c r="AB170" s="83">
        <f>IFERROR(INDEX(tblPiNAnalysis[GBV], MATCH(tblPiNHistorical[[#This Row],[ID]], tblPiNAnalysis[ID], 0)), "")</f>
        <v>0</v>
      </c>
      <c r="AC170" s="28">
        <f>IFERROR(INDEX(tblPiNAnalysis[Mine Action], MATCH(tblPiNHistorical[[#This Row],[ID]], tblPiNAnalysis[ID], 0)), "")</f>
        <v>0</v>
      </c>
      <c r="AD170" s="83">
        <f>IFERROR(INDEX(tblPiNAnalysis[[Shelter NFI ]], MATCH(tblPiNHistorical[[#This Row],[ID]], tblPiNAnalysis[ID], 0)), "")</f>
        <v>11006</v>
      </c>
      <c r="AE170" s="35">
        <f>IFERROR(INDEX(tblPiNAnalysis[WASH], MATCH(tblPiNHistorical[[#This Row],[ID]], tblPiNAnalysis[ID], 0)), "")</f>
        <v>0</v>
      </c>
      <c r="AF170" s="6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170" s="67" t="str">
        <f>IF(OR(tblPiNHistorical[[#This Row],[Education Old]]="", tblPiNHistorical[[#This Row],[Education Old]]=0, tblPiNHistorical[[#This Row],[Education New]]="", tblPiNHistorical[[#This Row],[Education New]]=0), "", tblPiNHistorical[[#This Row],[Education New]]-tblPiNHistorical[[#This Row],[Education Old]])</f>
        <v/>
      </c>
      <c r="AH170" s="67"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170" s="67" t="str">
        <f>IF(OR(tblPiNHistorical[[#This Row],[Health Old]]="", tblPiNHistorical[[#This Row],[Health Old]]=0, tblPiNHistorical[[#This Row],[Health New]]="", tblPiNHistorical[[#This Row],[Health New]]=0), "", tblPiNHistorical[[#This Row],[Health New]]-tblPiNHistorical[[#This Row],[Health Old]])</f>
        <v/>
      </c>
      <c r="AJ170" s="67" t="str">
        <f>IF(OR(tblPiNHistorical[[#This Row],[Nutrition Old]]="", tblPiNHistorical[[#This Row],[Nutrition Old]]=0, tblPiNHistorical[[#This Row],[Nutrition New]]="", tblPiNHistorical[[#This Row],[Nutrition New]]=0), "", tblPiNHistorical[[#This Row],[Nutrition New]]-tblPiNHistorical[[#This Row],[Nutrition Old]])</f>
        <v/>
      </c>
      <c r="AK170" s="67" t="str">
        <f>IF(OR(tblPiNHistorical[[#This Row],[Protection Old]]="", tblPiNHistorical[[#This Row],[Protection Old]]=0, tblPiNHistorical[[#This Row],[Protection New]]="", tblPiNHistorical[[#This Row],[Protection New]]=0), "", tblPiNHistorical[[#This Row],[Protection New]]-tblPiNHistorical[[#This Row],[Protection Old]])</f>
        <v/>
      </c>
      <c r="AL170" s="67" t="str">
        <f>IF(OR(tblPiNHistorical[[#This Row],[CP Old ]]="", tblPiNHistorical[[#This Row],[CP Old ]]=0, tblPiNHistorical[[#This Row],[CP New]]="", tblPiNHistorical[[#This Row],[CP New]]=0), "", tblPiNHistorical[[#This Row],[CP New]]-tblPiNHistorical[[#This Row],[CP Old ]])</f>
        <v/>
      </c>
      <c r="AM170" s="83" t="str">
        <f>IF(OR(tblPiNHistorical[[#This Row],[GBV Old]]="", tblPiNHistorical[[#This Row],[GBV Old]]=0, tblPiNHistorical[[#This Row],[GBV New]]="", tblPiNHistorical[[#This Row],[GBV New]]=0), "", tblPiNHistorical[[#This Row],[GBV New]]-tblPiNHistorical[[#This Row],[GBV Old]])</f>
        <v/>
      </c>
      <c r="AN170" s="83" t="str">
        <f>IF(OR(tblPiNHistorical[[#This Row],[Mine Action Old]]="", tblPiNHistorical[[#This Row],[Mine Action Old]]=0, tblPiNHistorical[[#This Row],[Mine Action New]]="", tblPiNHistorical[[#This Row],[Mine Action New]]=0), "", tblPiNHistorical[[#This Row],[Mine Action New]]-tblPiNHistorical[[#This Row],[Mine Action Old]])</f>
        <v/>
      </c>
      <c r="AO170" s="67">
        <f>IF(OR(tblPiNHistorical[[#This Row],[Shelter NFI Old]]="", tblPiNHistorical[[#This Row],[Shelter NFI Old]]=0, tblPiNHistorical[[#This Row],[Shelter NFI New]]="", tblPiNHistorical[[#This Row],[Shelter NFI New]]=0), "", tblPiNHistorical[[#This Row],[Shelter NFI New]]-tblPiNHistorical[[#This Row],[Shelter NFI Old]])</f>
        <v>8868</v>
      </c>
      <c r="AP170" s="111" t="str">
        <f>IF(OR(tblPiNHistorical[[#This Row],[WASH Old]]="", tblPiNHistorical[[#This Row],[WASH Old]]=0, tblPiNHistorical[[#This Row],[WASH New]]="", tblPiNHistorical[[#This Row],[WASH New]]=0), "", tblPiNHistorical[[#This Row],[WASH New]]-tblPiNHistorical[[#This Row],[WASH Old]])</f>
        <v/>
      </c>
      <c r="AQ170" s="110">
        <f>IFERROR(ROUND((tblPiNHistorical[[#This Row],[Site Management - New]] - tblPiNHistorical[[#This Row],[Site Management - Old]])/tblPiNHistorical[[#This Row],[Site Management - Old]], 1), "")</f>
        <v>-1</v>
      </c>
      <c r="AR170" s="66">
        <f>IFERROR(ROUND((tblPiNHistorical[[#This Row],[Education New]]-tblPiNHistorical[[#This Row],[Education Old]])/tblPiNHistorical[[#This Row],[Education Old]], 1), "")</f>
        <v>-1</v>
      </c>
      <c r="AS170" s="66">
        <f>IFERROR(ROUND((tblPiNHistorical[[#This Row],[Food Security and Livlihoods New]]-tblPiNHistorical[[#This Row],[Food Security and Livlihoods Old]])/tblPiNHistorical[[#This Row],[Food Security and Livlihoods Old]], 1), "")</f>
        <v>-1</v>
      </c>
      <c r="AT170" s="66">
        <f>IFERROR(ROUND((tblPiNHistorical[[#This Row],[Health New]]-tblPiNHistorical[[#This Row],[Health Old]])/tblPiNHistorical[[#This Row],[Health Old]], 1), "")</f>
        <v>-1</v>
      </c>
      <c r="AU170" s="66">
        <f>IFERROR(ROUND((tblPiNHistorical[[#This Row],[Nutrition New]]-tblPiNHistorical[[#This Row],[Nutrition Old]])/tblPiNHistorical[[#This Row],[Nutrition Old]], 1), "")</f>
        <v>-1</v>
      </c>
      <c r="AV170" s="66">
        <f>IFERROR(ROUND((tblPiNHistorical[[#This Row],[Protection New]]-tblPiNHistorical[[#This Row],[Protection Old]])/tblPiNHistorical[[#This Row],[Protection Old]], 1), "")</f>
        <v>-1</v>
      </c>
      <c r="AW170" s="84">
        <f>IFERROR(ROUND((tblPiNHistorical[[#This Row],[CP New]]-tblPiNHistorical[[#This Row],[CP Old ]])/tblPiNHistorical[[#This Row],[CP Old ]], 1), "")</f>
        <v>-1</v>
      </c>
      <c r="AX170" s="84">
        <f>IFERROR(ROUND((tblPiNHistorical[[#This Row],[GBV New]]-tblPiNHistorical[[#This Row],[GBV Old]])/tblPiNHistorical[[#This Row],[GBV Old]], 1), "")</f>
        <v>-1</v>
      </c>
      <c r="AY170" s="84">
        <f>IFERROR(ROUND((tblPiNHistorical[[#This Row],[Mine Action New]]-tblPiNHistorical[[#This Row],[Mine Action Old]])/tblPiNHistorical[[#This Row],[Mine Action Old]], 1), "")</f>
        <v>-1</v>
      </c>
      <c r="AZ170" s="66">
        <f>IFERROR(ROUND((tblPiNHistorical[[#This Row],[Shelter NFI New]]-tblPiNHistorical[[#This Row],[Shelter NFI Old]])/tblPiNHistorical[[#This Row],[Shelter NFI Old]], 1), "")</f>
        <v>4.0999999999999996</v>
      </c>
      <c r="BA170" s="36" t="str">
        <f>IFERROR(ROUND((tblPiNHistorical[[#This Row],[WASH New]]-tblPiNHistorical[[#This Row],[WASH Old]])/tblPiNHistorical[[#This Row],[WASH Old]], 1), "")</f>
        <v/>
      </c>
      <c r="BB170"/>
      <c r="BC170"/>
      <c r="BD170"/>
      <c r="BE170"/>
      <c r="BF170"/>
      <c r="BG170"/>
      <c r="BH170"/>
      <c r="BI170"/>
      <c r="BL170"/>
      <c r="BN170"/>
      <c r="BO170"/>
      <c r="BP170"/>
    </row>
    <row r="171" spans="1:68" x14ac:dyDescent="0.25">
      <c r="A171"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IDPsSD18028</v>
      </c>
      <c r="B171" s="127" t="s">
        <v>194</v>
      </c>
      <c r="C171" s="60" t="s">
        <v>135</v>
      </c>
      <c r="D171" s="60" t="s">
        <v>544</v>
      </c>
      <c r="E171" s="60" t="s">
        <v>545</v>
      </c>
      <c r="F171" s="54"/>
      <c r="G171" s="30"/>
      <c r="H171" s="56">
        <v>9795</v>
      </c>
      <c r="I171" s="37" t="s">
        <v>88</v>
      </c>
      <c r="J171" s="34">
        <v>6040</v>
      </c>
      <c r="K171" s="116">
        <v>3797.5214999999998</v>
      </c>
      <c r="L171" s="114">
        <v>9795</v>
      </c>
      <c r="M171" s="114">
        <v>9795</v>
      </c>
      <c r="N171" s="114">
        <v>977</v>
      </c>
      <c r="O171" s="114">
        <v>9795</v>
      </c>
      <c r="P171" s="114">
        <v>5387</v>
      </c>
      <c r="Q171" s="114">
        <v>3359</v>
      </c>
      <c r="R171" s="114">
        <v>0</v>
      </c>
      <c r="S171" s="114">
        <v>3918</v>
      </c>
      <c r="T171" s="196">
        <v>0</v>
      </c>
      <c r="U171" s="52">
        <f>IFERROR(INDEX(tblPiNAnalysis[[Site Management ]], MATCH(tblPiNHistorical[[#This Row],[ID]], tblPiNAnalysis[ID], 0)), "")</f>
        <v>0</v>
      </c>
      <c r="V171" s="52">
        <f>IFERROR(INDEX(tblPiNAnalysis[Education], MATCH(tblPiNHistorical[[#This Row],[ID]], tblPiNAnalysis[ID], 0)), "")</f>
        <v>0</v>
      </c>
      <c r="W171" s="28">
        <f>IFERROR(INDEX(tblPiNAnalysis[Food Security and Livlihoods], MATCH(tblPiNHistorical[[#This Row],[ID]], tblPiNAnalysis[ID], 0)), "")</f>
        <v>0</v>
      </c>
      <c r="X171" s="28">
        <f>IFERROR(INDEX(tblPiNAnalysis[[Health ]], MATCH(tblPiNHistorical[[#This Row],[ID]], tblPiNAnalysis[ID], 0)), "")</f>
        <v>0</v>
      </c>
      <c r="Y171" s="28">
        <f>IFERROR(INDEX(tblPiNAnalysis[Nutrition], MATCH(tblPiNHistorical[[#This Row],[ID]], tblPiNAnalysis[ID], 0)), "")</f>
        <v>0</v>
      </c>
      <c r="Z171" s="28">
        <f>IFERROR(INDEX(tblPiNAnalysis[Protection], MATCH(tblPiNHistorical[[#This Row],[ID]], tblPiNAnalysis[ID], 0)), "")</f>
        <v>0</v>
      </c>
      <c r="AA171" s="28">
        <f>IFERROR(INDEX(tblPiNAnalysis[CP], MATCH(tblPiNHistorical[[#This Row],[ID]], tblPiNAnalysis[ID], 0)), "")</f>
        <v>0</v>
      </c>
      <c r="AB171" s="83">
        <f>IFERROR(INDEX(tblPiNAnalysis[GBV], MATCH(tblPiNHistorical[[#This Row],[ID]], tblPiNAnalysis[ID], 0)), "")</f>
        <v>0</v>
      </c>
      <c r="AC171" s="28">
        <f>IFERROR(INDEX(tblPiNAnalysis[Mine Action], MATCH(tblPiNHistorical[[#This Row],[ID]], tblPiNAnalysis[ID], 0)), "")</f>
        <v>0</v>
      </c>
      <c r="AD171" s="83">
        <f>IFERROR(INDEX(tblPiNAnalysis[[Shelter NFI ]], MATCH(tblPiNHistorical[[#This Row],[ID]], tblPiNAnalysis[ID], 0)), "")</f>
        <v>11860</v>
      </c>
      <c r="AE171" s="35">
        <f>IFERROR(INDEX(tblPiNAnalysis[WASH], MATCH(tblPiNHistorical[[#This Row],[ID]], tblPiNAnalysis[ID], 0)), "")</f>
        <v>0</v>
      </c>
      <c r="AF171" s="6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171" s="67" t="str">
        <f>IF(OR(tblPiNHistorical[[#This Row],[Education Old]]="", tblPiNHistorical[[#This Row],[Education Old]]=0, tblPiNHistorical[[#This Row],[Education New]]="", tblPiNHistorical[[#This Row],[Education New]]=0), "", tblPiNHistorical[[#This Row],[Education New]]-tblPiNHistorical[[#This Row],[Education Old]])</f>
        <v/>
      </c>
      <c r="AH171" s="67"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171" s="67" t="str">
        <f>IF(OR(tblPiNHistorical[[#This Row],[Health Old]]="", tblPiNHistorical[[#This Row],[Health Old]]=0, tblPiNHistorical[[#This Row],[Health New]]="", tblPiNHistorical[[#This Row],[Health New]]=0), "", tblPiNHistorical[[#This Row],[Health New]]-tblPiNHistorical[[#This Row],[Health Old]])</f>
        <v/>
      </c>
      <c r="AJ171" s="67" t="str">
        <f>IF(OR(tblPiNHistorical[[#This Row],[Nutrition Old]]="", tblPiNHistorical[[#This Row],[Nutrition Old]]=0, tblPiNHistorical[[#This Row],[Nutrition New]]="", tblPiNHistorical[[#This Row],[Nutrition New]]=0), "", tblPiNHistorical[[#This Row],[Nutrition New]]-tblPiNHistorical[[#This Row],[Nutrition Old]])</f>
        <v/>
      </c>
      <c r="AK171" s="67" t="str">
        <f>IF(OR(tblPiNHistorical[[#This Row],[Protection Old]]="", tblPiNHistorical[[#This Row],[Protection Old]]=0, tblPiNHistorical[[#This Row],[Protection New]]="", tblPiNHistorical[[#This Row],[Protection New]]=0), "", tblPiNHistorical[[#This Row],[Protection New]]-tblPiNHistorical[[#This Row],[Protection Old]])</f>
        <v/>
      </c>
      <c r="AL171" s="67" t="str">
        <f>IF(OR(tblPiNHistorical[[#This Row],[CP Old ]]="", tblPiNHistorical[[#This Row],[CP Old ]]=0, tblPiNHistorical[[#This Row],[CP New]]="", tblPiNHistorical[[#This Row],[CP New]]=0), "", tblPiNHistorical[[#This Row],[CP New]]-tblPiNHistorical[[#This Row],[CP Old ]])</f>
        <v/>
      </c>
      <c r="AM171" s="83" t="str">
        <f>IF(OR(tblPiNHistorical[[#This Row],[GBV Old]]="", tblPiNHistorical[[#This Row],[GBV Old]]=0, tblPiNHistorical[[#This Row],[GBV New]]="", tblPiNHistorical[[#This Row],[GBV New]]=0), "", tblPiNHistorical[[#This Row],[GBV New]]-tblPiNHistorical[[#This Row],[GBV Old]])</f>
        <v/>
      </c>
      <c r="AN171" s="83" t="str">
        <f>IF(OR(tblPiNHistorical[[#This Row],[Mine Action Old]]="", tblPiNHistorical[[#This Row],[Mine Action Old]]=0, tblPiNHistorical[[#This Row],[Mine Action New]]="", tblPiNHistorical[[#This Row],[Mine Action New]]=0), "", tblPiNHistorical[[#This Row],[Mine Action New]]-tblPiNHistorical[[#This Row],[Mine Action Old]])</f>
        <v/>
      </c>
      <c r="AO171" s="67">
        <f>IF(OR(tblPiNHistorical[[#This Row],[Shelter NFI Old]]="", tblPiNHistorical[[#This Row],[Shelter NFI Old]]=0, tblPiNHistorical[[#This Row],[Shelter NFI New]]="", tblPiNHistorical[[#This Row],[Shelter NFI New]]=0), "", tblPiNHistorical[[#This Row],[Shelter NFI New]]-tblPiNHistorical[[#This Row],[Shelter NFI Old]])</f>
        <v>7942</v>
      </c>
      <c r="AP171" s="111" t="str">
        <f>IF(OR(tblPiNHistorical[[#This Row],[WASH Old]]="", tblPiNHistorical[[#This Row],[WASH Old]]=0, tblPiNHistorical[[#This Row],[WASH New]]="", tblPiNHistorical[[#This Row],[WASH New]]=0), "", tblPiNHistorical[[#This Row],[WASH New]]-tblPiNHistorical[[#This Row],[WASH Old]])</f>
        <v/>
      </c>
      <c r="AQ171" s="110">
        <f>IFERROR(ROUND((tblPiNHistorical[[#This Row],[Site Management - New]] - tblPiNHistorical[[#This Row],[Site Management - Old]])/tblPiNHistorical[[#This Row],[Site Management - Old]], 1), "")</f>
        <v>-1</v>
      </c>
      <c r="AR171" s="66">
        <f>IFERROR(ROUND((tblPiNHistorical[[#This Row],[Education New]]-tblPiNHistorical[[#This Row],[Education Old]])/tblPiNHistorical[[#This Row],[Education Old]], 1), "")</f>
        <v>-1</v>
      </c>
      <c r="AS171" s="66">
        <f>IFERROR(ROUND((tblPiNHistorical[[#This Row],[Food Security and Livlihoods New]]-tblPiNHistorical[[#This Row],[Food Security and Livlihoods Old]])/tblPiNHistorical[[#This Row],[Food Security and Livlihoods Old]], 1), "")</f>
        <v>-1</v>
      </c>
      <c r="AT171" s="66">
        <f>IFERROR(ROUND((tblPiNHistorical[[#This Row],[Health New]]-tblPiNHistorical[[#This Row],[Health Old]])/tblPiNHistorical[[#This Row],[Health Old]], 1), "")</f>
        <v>-1</v>
      </c>
      <c r="AU171" s="66">
        <f>IFERROR(ROUND((tblPiNHistorical[[#This Row],[Nutrition New]]-tblPiNHistorical[[#This Row],[Nutrition Old]])/tblPiNHistorical[[#This Row],[Nutrition Old]], 1), "")</f>
        <v>-1</v>
      </c>
      <c r="AV171" s="66">
        <f>IFERROR(ROUND((tblPiNHistorical[[#This Row],[Protection New]]-tblPiNHistorical[[#This Row],[Protection Old]])/tblPiNHistorical[[#This Row],[Protection Old]], 1), "")</f>
        <v>-1</v>
      </c>
      <c r="AW171" s="84">
        <f>IFERROR(ROUND((tblPiNHistorical[[#This Row],[CP New]]-tblPiNHistorical[[#This Row],[CP Old ]])/tblPiNHistorical[[#This Row],[CP Old ]], 1), "")</f>
        <v>-1</v>
      </c>
      <c r="AX171" s="84">
        <f>IFERROR(ROUND((tblPiNHistorical[[#This Row],[GBV New]]-tblPiNHistorical[[#This Row],[GBV Old]])/tblPiNHistorical[[#This Row],[GBV Old]], 1), "")</f>
        <v>-1</v>
      </c>
      <c r="AY171" s="84" t="str">
        <f>IFERROR(ROUND((tblPiNHistorical[[#This Row],[Mine Action New]]-tblPiNHistorical[[#This Row],[Mine Action Old]])/tblPiNHistorical[[#This Row],[Mine Action Old]], 1), "")</f>
        <v/>
      </c>
      <c r="AZ171" s="66">
        <f>IFERROR(ROUND((tblPiNHistorical[[#This Row],[Shelter NFI New]]-tblPiNHistorical[[#This Row],[Shelter NFI Old]])/tblPiNHistorical[[#This Row],[Shelter NFI Old]], 1), "")</f>
        <v>2</v>
      </c>
      <c r="BA171" s="36" t="str">
        <f>IFERROR(ROUND((tblPiNHistorical[[#This Row],[WASH New]]-tblPiNHistorical[[#This Row],[WASH Old]])/tblPiNHistorical[[#This Row],[WASH Old]], 1), "")</f>
        <v/>
      </c>
      <c r="BB171"/>
      <c r="BC171"/>
      <c r="BD171"/>
      <c r="BE171"/>
      <c r="BF171"/>
      <c r="BG171"/>
      <c r="BH171"/>
      <c r="BI171"/>
      <c r="BL171"/>
      <c r="BN171"/>
      <c r="BO171"/>
      <c r="BP171"/>
    </row>
    <row r="172" spans="1:68" x14ac:dyDescent="0.25">
      <c r="A172"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IDPsSD18087</v>
      </c>
      <c r="B172" s="127" t="s">
        <v>194</v>
      </c>
      <c r="C172" s="60" t="s">
        <v>135</v>
      </c>
      <c r="D172" s="60" t="s">
        <v>552</v>
      </c>
      <c r="E172" s="60" t="s">
        <v>553</v>
      </c>
      <c r="F172" s="54"/>
      <c r="G172" s="30"/>
      <c r="H172" s="56">
        <v>18772</v>
      </c>
      <c r="I172" s="37" t="s">
        <v>88</v>
      </c>
      <c r="J172" s="34">
        <v>5406</v>
      </c>
      <c r="K172" s="116">
        <v>0</v>
      </c>
      <c r="L172" s="114">
        <v>18772</v>
      </c>
      <c r="M172" s="114">
        <v>18772</v>
      </c>
      <c r="N172" s="114">
        <v>1547</v>
      </c>
      <c r="O172" s="114">
        <v>18772</v>
      </c>
      <c r="P172" s="114">
        <v>10325</v>
      </c>
      <c r="Q172" s="114">
        <v>6440</v>
      </c>
      <c r="R172" s="114">
        <v>0</v>
      </c>
      <c r="S172" s="114">
        <v>0</v>
      </c>
      <c r="T172" s="196">
        <v>19215.019199999999</v>
      </c>
      <c r="U172" s="52">
        <f>IFERROR(INDEX(tblPiNAnalysis[[Site Management ]], MATCH(tblPiNHistorical[[#This Row],[ID]], tblPiNAnalysis[ID], 0)), "")</f>
        <v>0</v>
      </c>
      <c r="V172" s="52">
        <f>IFERROR(INDEX(tblPiNAnalysis[Education], MATCH(tblPiNHistorical[[#This Row],[ID]], tblPiNAnalysis[ID], 0)), "")</f>
        <v>0</v>
      </c>
      <c r="W172" s="28">
        <f>IFERROR(INDEX(tblPiNAnalysis[Food Security and Livlihoods], MATCH(tblPiNHistorical[[#This Row],[ID]], tblPiNAnalysis[ID], 0)), "")</f>
        <v>0</v>
      </c>
      <c r="X172" s="28">
        <f>IFERROR(INDEX(tblPiNAnalysis[[Health ]], MATCH(tblPiNHistorical[[#This Row],[ID]], tblPiNAnalysis[ID], 0)), "")</f>
        <v>0</v>
      </c>
      <c r="Y172" s="28">
        <f>IFERROR(INDEX(tblPiNAnalysis[Nutrition], MATCH(tblPiNHistorical[[#This Row],[ID]], tblPiNAnalysis[ID], 0)), "")</f>
        <v>0</v>
      </c>
      <c r="Z172" s="28">
        <f>IFERROR(INDEX(tblPiNAnalysis[Protection], MATCH(tblPiNHistorical[[#This Row],[ID]], tblPiNAnalysis[ID], 0)), "")</f>
        <v>0</v>
      </c>
      <c r="AA172" s="28">
        <f>IFERROR(INDEX(tblPiNAnalysis[CP], MATCH(tblPiNHistorical[[#This Row],[ID]], tblPiNAnalysis[ID], 0)), "")</f>
        <v>0</v>
      </c>
      <c r="AB172" s="83">
        <f>IFERROR(INDEX(tblPiNAnalysis[GBV], MATCH(tblPiNHistorical[[#This Row],[ID]], tblPiNAnalysis[ID], 0)), "")</f>
        <v>0</v>
      </c>
      <c r="AC172" s="28">
        <f>IFERROR(INDEX(tblPiNAnalysis[Mine Action], MATCH(tblPiNHistorical[[#This Row],[ID]], tblPiNAnalysis[ID], 0)), "")</f>
        <v>0</v>
      </c>
      <c r="AD172" s="83">
        <f>IFERROR(INDEX(tblPiNAnalysis[[Shelter NFI ]], MATCH(tblPiNHistorical[[#This Row],[ID]], tblPiNAnalysis[ID], 0)), "")</f>
        <v>9066</v>
      </c>
      <c r="AE172" s="35">
        <f>IFERROR(INDEX(tblPiNAnalysis[WASH], MATCH(tblPiNHistorical[[#This Row],[ID]], tblPiNAnalysis[ID], 0)), "")</f>
        <v>0</v>
      </c>
      <c r="AF172" s="6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172" s="67" t="str">
        <f>IF(OR(tblPiNHistorical[[#This Row],[Education Old]]="", tblPiNHistorical[[#This Row],[Education Old]]=0, tblPiNHistorical[[#This Row],[Education New]]="", tblPiNHistorical[[#This Row],[Education New]]=0), "", tblPiNHistorical[[#This Row],[Education New]]-tblPiNHistorical[[#This Row],[Education Old]])</f>
        <v/>
      </c>
      <c r="AH172" s="67"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172" s="67" t="str">
        <f>IF(OR(tblPiNHistorical[[#This Row],[Health Old]]="", tblPiNHistorical[[#This Row],[Health Old]]=0, tblPiNHistorical[[#This Row],[Health New]]="", tblPiNHistorical[[#This Row],[Health New]]=0), "", tblPiNHistorical[[#This Row],[Health New]]-tblPiNHistorical[[#This Row],[Health Old]])</f>
        <v/>
      </c>
      <c r="AJ172" s="67" t="str">
        <f>IF(OR(tblPiNHistorical[[#This Row],[Nutrition Old]]="", tblPiNHistorical[[#This Row],[Nutrition Old]]=0, tblPiNHistorical[[#This Row],[Nutrition New]]="", tblPiNHistorical[[#This Row],[Nutrition New]]=0), "", tblPiNHistorical[[#This Row],[Nutrition New]]-tblPiNHistorical[[#This Row],[Nutrition Old]])</f>
        <v/>
      </c>
      <c r="AK172" s="67" t="str">
        <f>IF(OR(tblPiNHistorical[[#This Row],[Protection Old]]="", tblPiNHistorical[[#This Row],[Protection Old]]=0, tblPiNHistorical[[#This Row],[Protection New]]="", tblPiNHistorical[[#This Row],[Protection New]]=0), "", tblPiNHistorical[[#This Row],[Protection New]]-tblPiNHistorical[[#This Row],[Protection Old]])</f>
        <v/>
      </c>
      <c r="AL172" s="67" t="str">
        <f>IF(OR(tblPiNHistorical[[#This Row],[CP Old ]]="", tblPiNHistorical[[#This Row],[CP Old ]]=0, tblPiNHistorical[[#This Row],[CP New]]="", tblPiNHistorical[[#This Row],[CP New]]=0), "", tblPiNHistorical[[#This Row],[CP New]]-tblPiNHistorical[[#This Row],[CP Old ]])</f>
        <v/>
      </c>
      <c r="AM172" s="83" t="str">
        <f>IF(OR(tblPiNHistorical[[#This Row],[GBV Old]]="", tblPiNHistorical[[#This Row],[GBV Old]]=0, tblPiNHistorical[[#This Row],[GBV New]]="", tblPiNHistorical[[#This Row],[GBV New]]=0), "", tblPiNHistorical[[#This Row],[GBV New]]-tblPiNHistorical[[#This Row],[GBV Old]])</f>
        <v/>
      </c>
      <c r="AN172" s="83" t="str">
        <f>IF(OR(tblPiNHistorical[[#This Row],[Mine Action Old]]="", tblPiNHistorical[[#This Row],[Mine Action Old]]=0, tblPiNHistorical[[#This Row],[Mine Action New]]="", tblPiNHistorical[[#This Row],[Mine Action New]]=0), "", tblPiNHistorical[[#This Row],[Mine Action New]]-tblPiNHistorical[[#This Row],[Mine Action Old]])</f>
        <v/>
      </c>
      <c r="AO172" s="67" t="str">
        <f>IF(OR(tblPiNHistorical[[#This Row],[Shelter NFI Old]]="", tblPiNHistorical[[#This Row],[Shelter NFI Old]]=0, tblPiNHistorical[[#This Row],[Shelter NFI New]]="", tblPiNHistorical[[#This Row],[Shelter NFI New]]=0), "", tblPiNHistorical[[#This Row],[Shelter NFI New]]-tblPiNHistorical[[#This Row],[Shelter NFI Old]])</f>
        <v/>
      </c>
      <c r="AP172" s="111" t="str">
        <f>IF(OR(tblPiNHistorical[[#This Row],[WASH Old]]="", tblPiNHistorical[[#This Row],[WASH Old]]=0, tblPiNHistorical[[#This Row],[WASH New]]="", tblPiNHistorical[[#This Row],[WASH New]]=0), "", tblPiNHistorical[[#This Row],[WASH New]]-tblPiNHistorical[[#This Row],[WASH Old]])</f>
        <v/>
      </c>
      <c r="AQ172" s="110">
        <f>IFERROR(ROUND((tblPiNHistorical[[#This Row],[Site Management - New]] - tblPiNHistorical[[#This Row],[Site Management - Old]])/tblPiNHistorical[[#This Row],[Site Management - Old]], 1), "")</f>
        <v>-1</v>
      </c>
      <c r="AR172" s="66" t="str">
        <f>IFERROR(ROUND((tblPiNHistorical[[#This Row],[Education New]]-tblPiNHistorical[[#This Row],[Education Old]])/tblPiNHistorical[[#This Row],[Education Old]], 1), "")</f>
        <v/>
      </c>
      <c r="AS172" s="66">
        <f>IFERROR(ROUND((tblPiNHistorical[[#This Row],[Food Security and Livlihoods New]]-tblPiNHistorical[[#This Row],[Food Security and Livlihoods Old]])/tblPiNHistorical[[#This Row],[Food Security and Livlihoods Old]], 1), "")</f>
        <v>-1</v>
      </c>
      <c r="AT172" s="66">
        <f>IFERROR(ROUND((tblPiNHistorical[[#This Row],[Health New]]-tblPiNHistorical[[#This Row],[Health Old]])/tblPiNHistorical[[#This Row],[Health Old]], 1), "")</f>
        <v>-1</v>
      </c>
      <c r="AU172" s="66">
        <f>IFERROR(ROUND((tblPiNHistorical[[#This Row],[Nutrition New]]-tblPiNHistorical[[#This Row],[Nutrition Old]])/tblPiNHistorical[[#This Row],[Nutrition Old]], 1), "")</f>
        <v>-1</v>
      </c>
      <c r="AV172" s="66">
        <f>IFERROR(ROUND((tblPiNHistorical[[#This Row],[Protection New]]-tblPiNHistorical[[#This Row],[Protection Old]])/tblPiNHistorical[[#This Row],[Protection Old]], 1), "")</f>
        <v>-1</v>
      </c>
      <c r="AW172" s="84">
        <f>IFERROR(ROUND((tblPiNHistorical[[#This Row],[CP New]]-tblPiNHistorical[[#This Row],[CP Old ]])/tblPiNHistorical[[#This Row],[CP Old ]], 1), "")</f>
        <v>-1</v>
      </c>
      <c r="AX172" s="84">
        <f>IFERROR(ROUND((tblPiNHistorical[[#This Row],[GBV New]]-tblPiNHistorical[[#This Row],[GBV Old]])/tblPiNHistorical[[#This Row],[GBV Old]], 1), "")</f>
        <v>-1</v>
      </c>
      <c r="AY172" s="84" t="str">
        <f>IFERROR(ROUND((tblPiNHistorical[[#This Row],[Mine Action New]]-tblPiNHistorical[[#This Row],[Mine Action Old]])/tblPiNHistorical[[#This Row],[Mine Action Old]], 1), "")</f>
        <v/>
      </c>
      <c r="AZ172" s="66" t="str">
        <f>IFERROR(ROUND((tblPiNHistorical[[#This Row],[Shelter NFI New]]-tblPiNHistorical[[#This Row],[Shelter NFI Old]])/tblPiNHistorical[[#This Row],[Shelter NFI Old]], 1), "")</f>
        <v/>
      </c>
      <c r="BA172" s="36">
        <f>IFERROR(ROUND((tblPiNHistorical[[#This Row],[WASH New]]-tblPiNHistorical[[#This Row],[WASH Old]])/tblPiNHistorical[[#This Row],[WASH Old]], 1), "")</f>
        <v>-1</v>
      </c>
      <c r="BB172"/>
      <c r="BC172"/>
      <c r="BD172"/>
      <c r="BE172"/>
      <c r="BF172"/>
      <c r="BG172"/>
      <c r="BH172"/>
      <c r="BI172"/>
      <c r="BL172"/>
      <c r="BN172"/>
      <c r="BO172"/>
      <c r="BP172"/>
    </row>
    <row r="173" spans="1:68" x14ac:dyDescent="0.25">
      <c r="A173"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IDPsSD18103</v>
      </c>
      <c r="B173" s="127" t="s">
        <v>194</v>
      </c>
      <c r="C173" s="60" t="s">
        <v>135</v>
      </c>
      <c r="D173" s="60" t="s">
        <v>560</v>
      </c>
      <c r="E173" s="60" t="s">
        <v>561</v>
      </c>
      <c r="F173" s="54"/>
      <c r="G173" s="30"/>
      <c r="H173" s="56">
        <v>8230</v>
      </c>
      <c r="I173" s="37" t="s">
        <v>88</v>
      </c>
      <c r="J173" s="34">
        <v>0</v>
      </c>
      <c r="K173" s="116">
        <v>3190.7709999999997</v>
      </c>
      <c r="L173" s="114">
        <v>8230</v>
      </c>
      <c r="M173" s="114">
        <v>8230</v>
      </c>
      <c r="N173" s="114">
        <v>1227</v>
      </c>
      <c r="O173" s="114">
        <v>8230</v>
      </c>
      <c r="P173" s="114">
        <v>4527</v>
      </c>
      <c r="Q173" s="114">
        <v>2823</v>
      </c>
      <c r="R173" s="114">
        <v>0</v>
      </c>
      <c r="S173" s="114">
        <v>3292</v>
      </c>
      <c r="T173" s="196">
        <v>0</v>
      </c>
      <c r="U173" s="52">
        <f>IFERROR(INDEX(tblPiNAnalysis[[Site Management ]], MATCH(tblPiNHistorical[[#This Row],[ID]], tblPiNAnalysis[ID], 0)), "")</f>
        <v>0</v>
      </c>
      <c r="V173" s="52">
        <f>IFERROR(INDEX(tblPiNAnalysis[Education], MATCH(tblPiNHistorical[[#This Row],[ID]], tblPiNAnalysis[ID], 0)), "")</f>
        <v>0</v>
      </c>
      <c r="W173" s="28">
        <f>IFERROR(INDEX(tblPiNAnalysis[Food Security and Livlihoods], MATCH(tblPiNHistorical[[#This Row],[ID]], tblPiNAnalysis[ID], 0)), "")</f>
        <v>0</v>
      </c>
      <c r="X173" s="28">
        <f>IFERROR(INDEX(tblPiNAnalysis[[Health ]], MATCH(tblPiNHistorical[[#This Row],[ID]], tblPiNAnalysis[ID], 0)), "")</f>
        <v>0</v>
      </c>
      <c r="Y173" s="28">
        <f>IFERROR(INDEX(tblPiNAnalysis[Nutrition], MATCH(tblPiNHistorical[[#This Row],[ID]], tblPiNAnalysis[ID], 0)), "")</f>
        <v>0</v>
      </c>
      <c r="Z173" s="28">
        <f>IFERROR(INDEX(tblPiNAnalysis[Protection], MATCH(tblPiNHistorical[[#This Row],[ID]], tblPiNAnalysis[ID], 0)), "")</f>
        <v>0</v>
      </c>
      <c r="AA173" s="28">
        <f>IFERROR(INDEX(tblPiNAnalysis[CP], MATCH(tblPiNHistorical[[#This Row],[ID]], tblPiNAnalysis[ID], 0)), "")</f>
        <v>0</v>
      </c>
      <c r="AB173" s="83">
        <f>IFERROR(INDEX(tblPiNAnalysis[GBV], MATCH(tblPiNHistorical[[#This Row],[ID]], tblPiNAnalysis[ID], 0)), "")</f>
        <v>0</v>
      </c>
      <c r="AC173" s="28">
        <f>IFERROR(INDEX(tblPiNAnalysis[Mine Action], MATCH(tblPiNHistorical[[#This Row],[ID]], tblPiNAnalysis[ID], 0)), "")</f>
        <v>0</v>
      </c>
      <c r="AD173" s="83">
        <f>IFERROR(INDEX(tblPiNAnalysis[[Shelter NFI ]], MATCH(tblPiNHistorical[[#This Row],[ID]], tblPiNAnalysis[ID], 0)), "")</f>
        <v>15597</v>
      </c>
      <c r="AE173" s="35">
        <f>IFERROR(INDEX(tblPiNAnalysis[WASH], MATCH(tblPiNHistorical[[#This Row],[ID]], tblPiNAnalysis[ID], 0)), "")</f>
        <v>0</v>
      </c>
      <c r="AF173" s="6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173" s="67" t="str">
        <f>IF(OR(tblPiNHistorical[[#This Row],[Education Old]]="", tblPiNHistorical[[#This Row],[Education Old]]=0, tblPiNHistorical[[#This Row],[Education New]]="", tblPiNHistorical[[#This Row],[Education New]]=0), "", tblPiNHistorical[[#This Row],[Education New]]-tblPiNHistorical[[#This Row],[Education Old]])</f>
        <v/>
      </c>
      <c r="AH173" s="67"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173" s="67" t="str">
        <f>IF(OR(tblPiNHistorical[[#This Row],[Health Old]]="", tblPiNHistorical[[#This Row],[Health Old]]=0, tblPiNHistorical[[#This Row],[Health New]]="", tblPiNHistorical[[#This Row],[Health New]]=0), "", tblPiNHistorical[[#This Row],[Health New]]-tblPiNHistorical[[#This Row],[Health Old]])</f>
        <v/>
      </c>
      <c r="AJ173" s="67" t="str">
        <f>IF(OR(tblPiNHistorical[[#This Row],[Nutrition Old]]="", tblPiNHistorical[[#This Row],[Nutrition Old]]=0, tblPiNHistorical[[#This Row],[Nutrition New]]="", tblPiNHistorical[[#This Row],[Nutrition New]]=0), "", tblPiNHistorical[[#This Row],[Nutrition New]]-tblPiNHistorical[[#This Row],[Nutrition Old]])</f>
        <v/>
      </c>
      <c r="AK173" s="67" t="str">
        <f>IF(OR(tblPiNHistorical[[#This Row],[Protection Old]]="", tblPiNHistorical[[#This Row],[Protection Old]]=0, tblPiNHistorical[[#This Row],[Protection New]]="", tblPiNHistorical[[#This Row],[Protection New]]=0), "", tblPiNHistorical[[#This Row],[Protection New]]-tblPiNHistorical[[#This Row],[Protection Old]])</f>
        <v/>
      </c>
      <c r="AL173" s="67" t="str">
        <f>IF(OR(tblPiNHistorical[[#This Row],[CP Old ]]="", tblPiNHistorical[[#This Row],[CP Old ]]=0, tblPiNHistorical[[#This Row],[CP New]]="", tblPiNHistorical[[#This Row],[CP New]]=0), "", tblPiNHistorical[[#This Row],[CP New]]-tblPiNHistorical[[#This Row],[CP Old ]])</f>
        <v/>
      </c>
      <c r="AM173" s="83" t="str">
        <f>IF(OR(tblPiNHistorical[[#This Row],[GBV Old]]="", tblPiNHistorical[[#This Row],[GBV Old]]=0, tblPiNHistorical[[#This Row],[GBV New]]="", tblPiNHistorical[[#This Row],[GBV New]]=0), "", tblPiNHistorical[[#This Row],[GBV New]]-tblPiNHistorical[[#This Row],[GBV Old]])</f>
        <v/>
      </c>
      <c r="AN173" s="83" t="str">
        <f>IF(OR(tblPiNHistorical[[#This Row],[Mine Action Old]]="", tblPiNHistorical[[#This Row],[Mine Action Old]]=0, tblPiNHistorical[[#This Row],[Mine Action New]]="", tblPiNHistorical[[#This Row],[Mine Action New]]=0), "", tblPiNHistorical[[#This Row],[Mine Action New]]-tblPiNHistorical[[#This Row],[Mine Action Old]])</f>
        <v/>
      </c>
      <c r="AO173" s="67">
        <f>IF(OR(tblPiNHistorical[[#This Row],[Shelter NFI Old]]="", tblPiNHistorical[[#This Row],[Shelter NFI Old]]=0, tblPiNHistorical[[#This Row],[Shelter NFI New]]="", tblPiNHistorical[[#This Row],[Shelter NFI New]]=0), "", tblPiNHistorical[[#This Row],[Shelter NFI New]]-tblPiNHistorical[[#This Row],[Shelter NFI Old]])</f>
        <v>12305</v>
      </c>
      <c r="AP173" s="111" t="str">
        <f>IF(OR(tblPiNHistorical[[#This Row],[WASH Old]]="", tblPiNHistorical[[#This Row],[WASH Old]]=0, tblPiNHistorical[[#This Row],[WASH New]]="", tblPiNHistorical[[#This Row],[WASH New]]=0), "", tblPiNHistorical[[#This Row],[WASH New]]-tblPiNHistorical[[#This Row],[WASH Old]])</f>
        <v/>
      </c>
      <c r="AQ173" s="110" t="str">
        <f>IFERROR(ROUND((tblPiNHistorical[[#This Row],[Site Management - New]] - tblPiNHistorical[[#This Row],[Site Management - Old]])/tblPiNHistorical[[#This Row],[Site Management - Old]], 1), "")</f>
        <v/>
      </c>
      <c r="AR173" s="66">
        <f>IFERROR(ROUND((tblPiNHistorical[[#This Row],[Education New]]-tblPiNHistorical[[#This Row],[Education Old]])/tblPiNHistorical[[#This Row],[Education Old]], 1), "")</f>
        <v>-1</v>
      </c>
      <c r="AS173" s="66">
        <f>IFERROR(ROUND((tblPiNHistorical[[#This Row],[Food Security and Livlihoods New]]-tblPiNHistorical[[#This Row],[Food Security and Livlihoods Old]])/tblPiNHistorical[[#This Row],[Food Security and Livlihoods Old]], 1), "")</f>
        <v>-1</v>
      </c>
      <c r="AT173" s="66">
        <f>IFERROR(ROUND((tblPiNHistorical[[#This Row],[Health New]]-tblPiNHistorical[[#This Row],[Health Old]])/tblPiNHistorical[[#This Row],[Health Old]], 1), "")</f>
        <v>-1</v>
      </c>
      <c r="AU173" s="66">
        <f>IFERROR(ROUND((tblPiNHistorical[[#This Row],[Nutrition New]]-tblPiNHistorical[[#This Row],[Nutrition Old]])/tblPiNHistorical[[#This Row],[Nutrition Old]], 1), "")</f>
        <v>-1</v>
      </c>
      <c r="AV173" s="66">
        <f>IFERROR(ROUND((tblPiNHistorical[[#This Row],[Protection New]]-tblPiNHistorical[[#This Row],[Protection Old]])/tblPiNHistorical[[#This Row],[Protection Old]], 1), "")</f>
        <v>-1</v>
      </c>
      <c r="AW173" s="84">
        <f>IFERROR(ROUND((tblPiNHistorical[[#This Row],[CP New]]-tblPiNHistorical[[#This Row],[CP Old ]])/tblPiNHistorical[[#This Row],[CP Old ]], 1), "")</f>
        <v>-1</v>
      </c>
      <c r="AX173" s="84">
        <f>IFERROR(ROUND((tblPiNHistorical[[#This Row],[GBV New]]-tblPiNHistorical[[#This Row],[GBV Old]])/tblPiNHistorical[[#This Row],[GBV Old]], 1), "")</f>
        <v>-1</v>
      </c>
      <c r="AY173" s="84" t="str">
        <f>IFERROR(ROUND((tblPiNHistorical[[#This Row],[Mine Action New]]-tblPiNHistorical[[#This Row],[Mine Action Old]])/tblPiNHistorical[[#This Row],[Mine Action Old]], 1), "")</f>
        <v/>
      </c>
      <c r="AZ173" s="66">
        <f>IFERROR(ROUND((tblPiNHistorical[[#This Row],[Shelter NFI New]]-tblPiNHistorical[[#This Row],[Shelter NFI Old]])/tblPiNHistorical[[#This Row],[Shelter NFI Old]], 1), "")</f>
        <v>3.7</v>
      </c>
      <c r="BA173" s="36" t="str">
        <f>IFERROR(ROUND((tblPiNHistorical[[#This Row],[WASH New]]-tblPiNHistorical[[#This Row],[WASH Old]])/tblPiNHistorical[[#This Row],[WASH Old]], 1), "")</f>
        <v/>
      </c>
      <c r="BB173"/>
      <c r="BC173"/>
      <c r="BD173"/>
      <c r="BE173"/>
      <c r="BF173"/>
      <c r="BG173"/>
      <c r="BH173"/>
      <c r="BI173"/>
      <c r="BL173"/>
      <c r="BN173"/>
      <c r="BO173"/>
      <c r="BP173"/>
    </row>
    <row r="174" spans="1:68" x14ac:dyDescent="0.25">
      <c r="A174"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IDPsSD18104</v>
      </c>
      <c r="B174" s="127" t="s">
        <v>194</v>
      </c>
      <c r="C174" s="60" t="s">
        <v>135</v>
      </c>
      <c r="D174" s="60" t="s">
        <v>562</v>
      </c>
      <c r="E174" s="60" t="s">
        <v>563</v>
      </c>
      <c r="F174" s="54"/>
      <c r="G174" s="30"/>
      <c r="H174" s="56">
        <v>31158</v>
      </c>
      <c r="I174" s="37" t="s">
        <v>88</v>
      </c>
      <c r="J174" s="34">
        <v>28639</v>
      </c>
      <c r="K174" s="116">
        <v>0</v>
      </c>
      <c r="L174" s="114">
        <v>31158</v>
      </c>
      <c r="M174" s="114">
        <v>31158</v>
      </c>
      <c r="N174" s="114">
        <v>2520</v>
      </c>
      <c r="O174" s="114">
        <v>31158</v>
      </c>
      <c r="P174" s="114">
        <v>17137</v>
      </c>
      <c r="Q174" s="114">
        <v>10687</v>
      </c>
      <c r="R174" s="114">
        <v>0</v>
      </c>
      <c r="S174" s="114">
        <v>12463</v>
      </c>
      <c r="T174" s="196">
        <v>34862.063040000001</v>
      </c>
      <c r="U174" s="52">
        <f>IFERROR(INDEX(tblPiNAnalysis[[Site Management ]], MATCH(tblPiNHistorical[[#This Row],[ID]], tblPiNAnalysis[ID], 0)), "")</f>
        <v>0</v>
      </c>
      <c r="V174" s="52">
        <f>IFERROR(INDEX(tblPiNAnalysis[Education], MATCH(tblPiNHistorical[[#This Row],[ID]], tblPiNAnalysis[ID], 0)), "")</f>
        <v>0</v>
      </c>
      <c r="W174" s="28">
        <f>IFERROR(INDEX(tblPiNAnalysis[Food Security and Livlihoods], MATCH(tblPiNHistorical[[#This Row],[ID]], tblPiNAnalysis[ID], 0)), "")</f>
        <v>0</v>
      </c>
      <c r="X174" s="28">
        <f>IFERROR(INDEX(tblPiNAnalysis[[Health ]], MATCH(tblPiNHistorical[[#This Row],[ID]], tblPiNAnalysis[ID], 0)), "")</f>
        <v>0</v>
      </c>
      <c r="Y174" s="28">
        <f>IFERROR(INDEX(tblPiNAnalysis[Nutrition], MATCH(tblPiNHistorical[[#This Row],[ID]], tblPiNAnalysis[ID], 0)), "")</f>
        <v>0</v>
      </c>
      <c r="Z174" s="28">
        <f>IFERROR(INDEX(tblPiNAnalysis[Protection], MATCH(tblPiNHistorical[[#This Row],[ID]], tblPiNAnalysis[ID], 0)), "")</f>
        <v>0</v>
      </c>
      <c r="AA174" s="28">
        <f>IFERROR(INDEX(tblPiNAnalysis[CP], MATCH(tblPiNHistorical[[#This Row],[ID]], tblPiNAnalysis[ID], 0)), "")</f>
        <v>0</v>
      </c>
      <c r="AB174" s="83">
        <f>IFERROR(INDEX(tblPiNAnalysis[GBV], MATCH(tblPiNHistorical[[#This Row],[ID]], tblPiNAnalysis[ID], 0)), "")</f>
        <v>0</v>
      </c>
      <c r="AC174" s="28">
        <f>IFERROR(INDEX(tblPiNAnalysis[Mine Action], MATCH(tblPiNHistorical[[#This Row],[ID]], tblPiNAnalysis[ID], 0)), "")</f>
        <v>0</v>
      </c>
      <c r="AD174" s="83">
        <f>IFERROR(INDEX(tblPiNAnalysis[[Shelter NFI ]], MATCH(tblPiNHistorical[[#This Row],[ID]], tblPiNAnalysis[ID], 0)), "")</f>
        <v>39683</v>
      </c>
      <c r="AE174" s="35">
        <f>IFERROR(INDEX(tblPiNAnalysis[WASH], MATCH(tblPiNHistorical[[#This Row],[ID]], tblPiNAnalysis[ID], 0)), "")</f>
        <v>0</v>
      </c>
      <c r="AF174" s="6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174" s="67" t="str">
        <f>IF(OR(tblPiNHistorical[[#This Row],[Education Old]]="", tblPiNHistorical[[#This Row],[Education Old]]=0, tblPiNHistorical[[#This Row],[Education New]]="", tblPiNHistorical[[#This Row],[Education New]]=0), "", tblPiNHistorical[[#This Row],[Education New]]-tblPiNHistorical[[#This Row],[Education Old]])</f>
        <v/>
      </c>
      <c r="AH174" s="67"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174" s="67" t="str">
        <f>IF(OR(tblPiNHistorical[[#This Row],[Health Old]]="", tblPiNHistorical[[#This Row],[Health Old]]=0, tblPiNHistorical[[#This Row],[Health New]]="", tblPiNHistorical[[#This Row],[Health New]]=0), "", tblPiNHistorical[[#This Row],[Health New]]-tblPiNHistorical[[#This Row],[Health Old]])</f>
        <v/>
      </c>
      <c r="AJ174" s="67" t="str">
        <f>IF(OR(tblPiNHistorical[[#This Row],[Nutrition Old]]="", tblPiNHistorical[[#This Row],[Nutrition Old]]=0, tblPiNHistorical[[#This Row],[Nutrition New]]="", tblPiNHistorical[[#This Row],[Nutrition New]]=0), "", tblPiNHistorical[[#This Row],[Nutrition New]]-tblPiNHistorical[[#This Row],[Nutrition Old]])</f>
        <v/>
      </c>
      <c r="AK174" s="67" t="str">
        <f>IF(OR(tblPiNHistorical[[#This Row],[Protection Old]]="", tblPiNHistorical[[#This Row],[Protection Old]]=0, tblPiNHistorical[[#This Row],[Protection New]]="", tblPiNHistorical[[#This Row],[Protection New]]=0), "", tblPiNHistorical[[#This Row],[Protection New]]-tblPiNHistorical[[#This Row],[Protection Old]])</f>
        <v/>
      </c>
      <c r="AL174" s="67" t="str">
        <f>IF(OR(tblPiNHistorical[[#This Row],[CP Old ]]="", tblPiNHistorical[[#This Row],[CP Old ]]=0, tblPiNHistorical[[#This Row],[CP New]]="", tblPiNHistorical[[#This Row],[CP New]]=0), "", tblPiNHistorical[[#This Row],[CP New]]-tblPiNHistorical[[#This Row],[CP Old ]])</f>
        <v/>
      </c>
      <c r="AM174" s="83" t="str">
        <f>IF(OR(tblPiNHistorical[[#This Row],[GBV Old]]="", tblPiNHistorical[[#This Row],[GBV Old]]=0, tblPiNHistorical[[#This Row],[GBV New]]="", tblPiNHistorical[[#This Row],[GBV New]]=0), "", tblPiNHistorical[[#This Row],[GBV New]]-tblPiNHistorical[[#This Row],[GBV Old]])</f>
        <v/>
      </c>
      <c r="AN174" s="83" t="str">
        <f>IF(OR(tblPiNHistorical[[#This Row],[Mine Action Old]]="", tblPiNHistorical[[#This Row],[Mine Action Old]]=0, tblPiNHistorical[[#This Row],[Mine Action New]]="", tblPiNHistorical[[#This Row],[Mine Action New]]=0), "", tblPiNHistorical[[#This Row],[Mine Action New]]-tblPiNHistorical[[#This Row],[Mine Action Old]])</f>
        <v/>
      </c>
      <c r="AO174" s="67">
        <f>IF(OR(tblPiNHistorical[[#This Row],[Shelter NFI Old]]="", tblPiNHistorical[[#This Row],[Shelter NFI Old]]=0, tblPiNHistorical[[#This Row],[Shelter NFI New]]="", tblPiNHistorical[[#This Row],[Shelter NFI New]]=0), "", tblPiNHistorical[[#This Row],[Shelter NFI New]]-tblPiNHistorical[[#This Row],[Shelter NFI Old]])</f>
        <v>27220</v>
      </c>
      <c r="AP174" s="111" t="str">
        <f>IF(OR(tblPiNHistorical[[#This Row],[WASH Old]]="", tblPiNHistorical[[#This Row],[WASH Old]]=0, tblPiNHistorical[[#This Row],[WASH New]]="", tblPiNHistorical[[#This Row],[WASH New]]=0), "", tblPiNHistorical[[#This Row],[WASH New]]-tblPiNHistorical[[#This Row],[WASH Old]])</f>
        <v/>
      </c>
      <c r="AQ174" s="110">
        <f>IFERROR(ROUND((tblPiNHistorical[[#This Row],[Site Management - New]] - tblPiNHistorical[[#This Row],[Site Management - Old]])/tblPiNHistorical[[#This Row],[Site Management - Old]], 1), "")</f>
        <v>-1</v>
      </c>
      <c r="AR174" s="66" t="str">
        <f>IFERROR(ROUND((tblPiNHistorical[[#This Row],[Education New]]-tblPiNHistorical[[#This Row],[Education Old]])/tblPiNHistorical[[#This Row],[Education Old]], 1), "")</f>
        <v/>
      </c>
      <c r="AS174" s="66">
        <f>IFERROR(ROUND((tblPiNHistorical[[#This Row],[Food Security and Livlihoods New]]-tblPiNHistorical[[#This Row],[Food Security and Livlihoods Old]])/tblPiNHistorical[[#This Row],[Food Security and Livlihoods Old]], 1), "")</f>
        <v>-1</v>
      </c>
      <c r="AT174" s="66">
        <f>IFERROR(ROUND((tblPiNHistorical[[#This Row],[Health New]]-tblPiNHistorical[[#This Row],[Health Old]])/tblPiNHistorical[[#This Row],[Health Old]], 1), "")</f>
        <v>-1</v>
      </c>
      <c r="AU174" s="66">
        <f>IFERROR(ROUND((tblPiNHistorical[[#This Row],[Nutrition New]]-tblPiNHistorical[[#This Row],[Nutrition Old]])/tblPiNHistorical[[#This Row],[Nutrition Old]], 1), "")</f>
        <v>-1</v>
      </c>
      <c r="AV174" s="66">
        <f>IFERROR(ROUND((tblPiNHistorical[[#This Row],[Protection New]]-tblPiNHistorical[[#This Row],[Protection Old]])/tblPiNHistorical[[#This Row],[Protection Old]], 1), "")</f>
        <v>-1</v>
      </c>
      <c r="AW174" s="84">
        <f>IFERROR(ROUND((tblPiNHistorical[[#This Row],[CP New]]-tblPiNHistorical[[#This Row],[CP Old ]])/tblPiNHistorical[[#This Row],[CP Old ]], 1), "")</f>
        <v>-1</v>
      </c>
      <c r="AX174" s="84">
        <f>IFERROR(ROUND((tblPiNHistorical[[#This Row],[GBV New]]-tblPiNHistorical[[#This Row],[GBV Old]])/tblPiNHistorical[[#This Row],[GBV Old]], 1), "")</f>
        <v>-1</v>
      </c>
      <c r="AY174" s="84" t="str">
        <f>IFERROR(ROUND((tblPiNHistorical[[#This Row],[Mine Action New]]-tblPiNHistorical[[#This Row],[Mine Action Old]])/tblPiNHistorical[[#This Row],[Mine Action Old]], 1), "")</f>
        <v/>
      </c>
      <c r="AZ174" s="66">
        <f>IFERROR(ROUND((tblPiNHistorical[[#This Row],[Shelter NFI New]]-tblPiNHistorical[[#This Row],[Shelter NFI Old]])/tblPiNHistorical[[#This Row],[Shelter NFI Old]], 1), "")</f>
        <v>2.2000000000000002</v>
      </c>
      <c r="BA174" s="36">
        <f>IFERROR(ROUND((tblPiNHistorical[[#This Row],[WASH New]]-tblPiNHistorical[[#This Row],[WASH Old]])/tblPiNHistorical[[#This Row],[WASH Old]], 1), "")</f>
        <v>-1</v>
      </c>
      <c r="BB174"/>
      <c r="BC174"/>
      <c r="BD174"/>
      <c r="BE174"/>
      <c r="BF174"/>
      <c r="BG174"/>
      <c r="BH174"/>
      <c r="BI174"/>
      <c r="BL174"/>
      <c r="BN174"/>
      <c r="BO174"/>
      <c r="BP174"/>
    </row>
    <row r="175" spans="1:68" x14ac:dyDescent="0.25">
      <c r="A175"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IDPsSD18105</v>
      </c>
      <c r="B175" s="127" t="s">
        <v>194</v>
      </c>
      <c r="C175" s="60" t="s">
        <v>135</v>
      </c>
      <c r="D175" s="60" t="s">
        <v>564</v>
      </c>
      <c r="E175" s="60" t="s">
        <v>565</v>
      </c>
      <c r="F175" s="54"/>
      <c r="G175" s="30"/>
      <c r="H175" s="56">
        <v>4108</v>
      </c>
      <c r="I175" s="37" t="s">
        <v>88</v>
      </c>
      <c r="J175" s="34">
        <v>0</v>
      </c>
      <c r="K175" s="116">
        <v>1592.6715999999999</v>
      </c>
      <c r="L175" s="114">
        <v>4108</v>
      </c>
      <c r="M175" s="114">
        <v>4108</v>
      </c>
      <c r="N175" s="114">
        <v>345</v>
      </c>
      <c r="O175" s="114">
        <v>4108</v>
      </c>
      <c r="P175" s="114">
        <v>2259</v>
      </c>
      <c r="Q175" s="114">
        <v>1408</v>
      </c>
      <c r="R175" s="114">
        <v>0</v>
      </c>
      <c r="S175" s="114">
        <v>0</v>
      </c>
      <c r="T175" s="196">
        <v>0</v>
      </c>
      <c r="U175" s="52">
        <f>IFERROR(INDEX(tblPiNAnalysis[[Site Management ]], MATCH(tblPiNHistorical[[#This Row],[ID]], tblPiNAnalysis[ID], 0)), "")</f>
        <v>0</v>
      </c>
      <c r="V175" s="52">
        <f>IFERROR(INDEX(tblPiNAnalysis[Education], MATCH(tblPiNHistorical[[#This Row],[ID]], tblPiNAnalysis[ID], 0)), "")</f>
        <v>0</v>
      </c>
      <c r="W175" s="28">
        <f>IFERROR(INDEX(tblPiNAnalysis[Food Security and Livlihoods], MATCH(tblPiNHistorical[[#This Row],[ID]], tblPiNAnalysis[ID], 0)), "")</f>
        <v>0</v>
      </c>
      <c r="X175" s="28">
        <f>IFERROR(INDEX(tblPiNAnalysis[[Health ]], MATCH(tblPiNHistorical[[#This Row],[ID]], tblPiNAnalysis[ID], 0)), "")</f>
        <v>0</v>
      </c>
      <c r="Y175" s="28">
        <f>IFERROR(INDEX(tblPiNAnalysis[Nutrition], MATCH(tblPiNHistorical[[#This Row],[ID]], tblPiNAnalysis[ID], 0)), "")</f>
        <v>0</v>
      </c>
      <c r="Z175" s="28">
        <f>IFERROR(INDEX(tblPiNAnalysis[Protection], MATCH(tblPiNHistorical[[#This Row],[ID]], tblPiNAnalysis[ID], 0)), "")</f>
        <v>0</v>
      </c>
      <c r="AA175" s="28">
        <f>IFERROR(INDEX(tblPiNAnalysis[CP], MATCH(tblPiNHistorical[[#This Row],[ID]], tblPiNAnalysis[ID], 0)), "")</f>
        <v>0</v>
      </c>
      <c r="AB175" s="83">
        <f>IFERROR(INDEX(tblPiNAnalysis[GBV], MATCH(tblPiNHistorical[[#This Row],[ID]], tblPiNAnalysis[ID], 0)), "")</f>
        <v>0</v>
      </c>
      <c r="AC175" s="28">
        <f>IFERROR(INDEX(tblPiNAnalysis[Mine Action], MATCH(tblPiNHistorical[[#This Row],[ID]], tblPiNAnalysis[ID], 0)), "")</f>
        <v>0</v>
      </c>
      <c r="AD175" s="83">
        <f>IFERROR(INDEX(tblPiNAnalysis[[Shelter NFI ]], MATCH(tblPiNHistorical[[#This Row],[ID]], tblPiNAnalysis[ID], 0)), "")</f>
        <v>1754</v>
      </c>
      <c r="AE175" s="35">
        <f>IFERROR(INDEX(tblPiNAnalysis[WASH], MATCH(tblPiNHistorical[[#This Row],[ID]], tblPiNAnalysis[ID], 0)), "")</f>
        <v>0</v>
      </c>
      <c r="AF175" s="6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175" s="67" t="str">
        <f>IF(OR(tblPiNHistorical[[#This Row],[Education Old]]="", tblPiNHistorical[[#This Row],[Education Old]]=0, tblPiNHistorical[[#This Row],[Education New]]="", tblPiNHistorical[[#This Row],[Education New]]=0), "", tblPiNHistorical[[#This Row],[Education New]]-tblPiNHistorical[[#This Row],[Education Old]])</f>
        <v/>
      </c>
      <c r="AH175" s="67"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175" s="67" t="str">
        <f>IF(OR(tblPiNHistorical[[#This Row],[Health Old]]="", tblPiNHistorical[[#This Row],[Health Old]]=0, tblPiNHistorical[[#This Row],[Health New]]="", tblPiNHistorical[[#This Row],[Health New]]=0), "", tblPiNHistorical[[#This Row],[Health New]]-tblPiNHistorical[[#This Row],[Health Old]])</f>
        <v/>
      </c>
      <c r="AJ175" s="67" t="str">
        <f>IF(OR(tblPiNHistorical[[#This Row],[Nutrition Old]]="", tblPiNHistorical[[#This Row],[Nutrition Old]]=0, tblPiNHistorical[[#This Row],[Nutrition New]]="", tblPiNHistorical[[#This Row],[Nutrition New]]=0), "", tblPiNHistorical[[#This Row],[Nutrition New]]-tblPiNHistorical[[#This Row],[Nutrition Old]])</f>
        <v/>
      </c>
      <c r="AK175" s="67" t="str">
        <f>IF(OR(tblPiNHistorical[[#This Row],[Protection Old]]="", tblPiNHistorical[[#This Row],[Protection Old]]=0, tblPiNHistorical[[#This Row],[Protection New]]="", tblPiNHistorical[[#This Row],[Protection New]]=0), "", tblPiNHistorical[[#This Row],[Protection New]]-tblPiNHistorical[[#This Row],[Protection Old]])</f>
        <v/>
      </c>
      <c r="AL175" s="67" t="str">
        <f>IF(OR(tblPiNHistorical[[#This Row],[CP Old ]]="", tblPiNHistorical[[#This Row],[CP Old ]]=0, tblPiNHistorical[[#This Row],[CP New]]="", tblPiNHistorical[[#This Row],[CP New]]=0), "", tblPiNHistorical[[#This Row],[CP New]]-tblPiNHistorical[[#This Row],[CP Old ]])</f>
        <v/>
      </c>
      <c r="AM175" s="83" t="str">
        <f>IF(OR(tblPiNHistorical[[#This Row],[GBV Old]]="", tblPiNHistorical[[#This Row],[GBV Old]]=0, tblPiNHistorical[[#This Row],[GBV New]]="", tblPiNHistorical[[#This Row],[GBV New]]=0), "", tblPiNHistorical[[#This Row],[GBV New]]-tblPiNHistorical[[#This Row],[GBV Old]])</f>
        <v/>
      </c>
      <c r="AN175" s="83" t="str">
        <f>IF(OR(tblPiNHistorical[[#This Row],[Mine Action Old]]="", tblPiNHistorical[[#This Row],[Mine Action Old]]=0, tblPiNHistorical[[#This Row],[Mine Action New]]="", tblPiNHistorical[[#This Row],[Mine Action New]]=0), "", tblPiNHistorical[[#This Row],[Mine Action New]]-tblPiNHistorical[[#This Row],[Mine Action Old]])</f>
        <v/>
      </c>
      <c r="AO175" s="67" t="str">
        <f>IF(OR(tblPiNHistorical[[#This Row],[Shelter NFI Old]]="", tblPiNHistorical[[#This Row],[Shelter NFI Old]]=0, tblPiNHistorical[[#This Row],[Shelter NFI New]]="", tblPiNHistorical[[#This Row],[Shelter NFI New]]=0), "", tblPiNHistorical[[#This Row],[Shelter NFI New]]-tblPiNHistorical[[#This Row],[Shelter NFI Old]])</f>
        <v/>
      </c>
      <c r="AP175" s="111" t="str">
        <f>IF(OR(tblPiNHistorical[[#This Row],[WASH Old]]="", tblPiNHistorical[[#This Row],[WASH Old]]=0, tblPiNHistorical[[#This Row],[WASH New]]="", tblPiNHistorical[[#This Row],[WASH New]]=0), "", tblPiNHistorical[[#This Row],[WASH New]]-tblPiNHistorical[[#This Row],[WASH Old]])</f>
        <v/>
      </c>
      <c r="AQ175" s="110" t="str">
        <f>IFERROR(ROUND((tblPiNHistorical[[#This Row],[Site Management - New]] - tblPiNHistorical[[#This Row],[Site Management - Old]])/tblPiNHistorical[[#This Row],[Site Management - Old]], 1), "")</f>
        <v/>
      </c>
      <c r="AR175" s="66">
        <f>IFERROR(ROUND((tblPiNHistorical[[#This Row],[Education New]]-tblPiNHistorical[[#This Row],[Education Old]])/tblPiNHistorical[[#This Row],[Education Old]], 1), "")</f>
        <v>-1</v>
      </c>
      <c r="AS175" s="66">
        <f>IFERROR(ROUND((tblPiNHistorical[[#This Row],[Food Security and Livlihoods New]]-tblPiNHistorical[[#This Row],[Food Security and Livlihoods Old]])/tblPiNHistorical[[#This Row],[Food Security and Livlihoods Old]], 1), "")</f>
        <v>-1</v>
      </c>
      <c r="AT175" s="66">
        <f>IFERROR(ROUND((tblPiNHistorical[[#This Row],[Health New]]-tblPiNHistorical[[#This Row],[Health Old]])/tblPiNHistorical[[#This Row],[Health Old]], 1), "")</f>
        <v>-1</v>
      </c>
      <c r="AU175" s="66">
        <f>IFERROR(ROUND((tblPiNHistorical[[#This Row],[Nutrition New]]-tblPiNHistorical[[#This Row],[Nutrition Old]])/tblPiNHistorical[[#This Row],[Nutrition Old]], 1), "")</f>
        <v>-1</v>
      </c>
      <c r="AV175" s="66">
        <f>IFERROR(ROUND((tblPiNHistorical[[#This Row],[Protection New]]-tblPiNHistorical[[#This Row],[Protection Old]])/tblPiNHistorical[[#This Row],[Protection Old]], 1), "")</f>
        <v>-1</v>
      </c>
      <c r="AW175" s="84">
        <f>IFERROR(ROUND((tblPiNHistorical[[#This Row],[CP New]]-tblPiNHistorical[[#This Row],[CP Old ]])/tblPiNHistorical[[#This Row],[CP Old ]], 1), "")</f>
        <v>-1</v>
      </c>
      <c r="AX175" s="84">
        <f>IFERROR(ROUND((tblPiNHistorical[[#This Row],[GBV New]]-tblPiNHistorical[[#This Row],[GBV Old]])/tblPiNHistorical[[#This Row],[GBV Old]], 1), "")</f>
        <v>-1</v>
      </c>
      <c r="AY175" s="84" t="str">
        <f>IFERROR(ROUND((tblPiNHistorical[[#This Row],[Mine Action New]]-tblPiNHistorical[[#This Row],[Mine Action Old]])/tblPiNHistorical[[#This Row],[Mine Action Old]], 1), "")</f>
        <v/>
      </c>
      <c r="AZ175" s="66" t="str">
        <f>IFERROR(ROUND((tblPiNHistorical[[#This Row],[Shelter NFI New]]-tblPiNHistorical[[#This Row],[Shelter NFI Old]])/tblPiNHistorical[[#This Row],[Shelter NFI Old]], 1), "")</f>
        <v/>
      </c>
      <c r="BA175" s="36" t="str">
        <f>IFERROR(ROUND((tblPiNHistorical[[#This Row],[WASH New]]-tblPiNHistorical[[#This Row],[WASH Old]])/tblPiNHistorical[[#This Row],[WASH Old]], 1), "")</f>
        <v/>
      </c>
      <c r="BB175"/>
      <c r="BC175"/>
      <c r="BD175"/>
      <c r="BE175"/>
      <c r="BF175"/>
      <c r="BG175"/>
      <c r="BH175"/>
      <c r="BI175"/>
      <c r="BL175"/>
      <c r="BN175"/>
      <c r="BO175"/>
      <c r="BP175"/>
    </row>
    <row r="176" spans="1:68" x14ac:dyDescent="0.25">
      <c r="A176"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IDPsSD18102</v>
      </c>
      <c r="B176" s="127" t="s">
        <v>194</v>
      </c>
      <c r="C176" s="60" t="s">
        <v>135</v>
      </c>
      <c r="D176" s="60" t="s">
        <v>558</v>
      </c>
      <c r="E176" s="60" t="s">
        <v>559</v>
      </c>
      <c r="F176" s="54"/>
      <c r="G176" s="30"/>
      <c r="H176" s="56">
        <v>21876</v>
      </c>
      <c r="I176" s="37" t="s">
        <v>88</v>
      </c>
      <c r="J176" s="34">
        <v>17466</v>
      </c>
      <c r="K176" s="116">
        <v>8481.3251999999993</v>
      </c>
      <c r="L176" s="114">
        <v>21876</v>
      </c>
      <c r="M176" s="114">
        <v>21876</v>
      </c>
      <c r="N176" s="114">
        <v>2233</v>
      </c>
      <c r="O176" s="114">
        <v>21876</v>
      </c>
      <c r="P176" s="114">
        <v>12032</v>
      </c>
      <c r="Q176" s="114">
        <v>7503</v>
      </c>
      <c r="R176" s="114">
        <v>6562.8</v>
      </c>
      <c r="S176" s="114">
        <v>13126</v>
      </c>
      <c r="T176" s="196">
        <v>25723.550879999999</v>
      </c>
      <c r="U176" s="52">
        <f>IFERROR(INDEX(tblPiNAnalysis[[Site Management ]], MATCH(tblPiNHistorical[[#This Row],[ID]], tblPiNAnalysis[ID], 0)), "")</f>
        <v>0</v>
      </c>
      <c r="V176" s="52">
        <f>IFERROR(INDEX(tblPiNAnalysis[Education], MATCH(tblPiNHistorical[[#This Row],[ID]], tblPiNAnalysis[ID], 0)), "")</f>
        <v>0</v>
      </c>
      <c r="W176" s="28">
        <f>IFERROR(INDEX(tblPiNAnalysis[Food Security and Livlihoods], MATCH(tblPiNHistorical[[#This Row],[ID]], tblPiNAnalysis[ID], 0)), "")</f>
        <v>0</v>
      </c>
      <c r="X176" s="28">
        <f>IFERROR(INDEX(tblPiNAnalysis[[Health ]], MATCH(tblPiNHistorical[[#This Row],[ID]], tblPiNAnalysis[ID], 0)), "")</f>
        <v>0</v>
      </c>
      <c r="Y176" s="28">
        <f>IFERROR(INDEX(tblPiNAnalysis[Nutrition], MATCH(tblPiNHistorical[[#This Row],[ID]], tblPiNAnalysis[ID], 0)), "")</f>
        <v>0</v>
      </c>
      <c r="Z176" s="28">
        <f>IFERROR(INDEX(tblPiNAnalysis[Protection], MATCH(tblPiNHistorical[[#This Row],[ID]], tblPiNAnalysis[ID], 0)), "")</f>
        <v>0</v>
      </c>
      <c r="AA176" s="28">
        <f>IFERROR(INDEX(tblPiNAnalysis[CP], MATCH(tblPiNHistorical[[#This Row],[ID]], tblPiNAnalysis[ID], 0)), "")</f>
        <v>0</v>
      </c>
      <c r="AB176" s="83">
        <f>IFERROR(INDEX(tblPiNAnalysis[GBV], MATCH(tblPiNHistorical[[#This Row],[ID]], tblPiNAnalysis[ID], 0)), "")</f>
        <v>0</v>
      </c>
      <c r="AC176" s="28">
        <f>IFERROR(INDEX(tblPiNAnalysis[Mine Action], MATCH(tblPiNHistorical[[#This Row],[ID]], tblPiNAnalysis[ID], 0)), "")</f>
        <v>0</v>
      </c>
      <c r="AD176" s="83">
        <f>IFERROR(INDEX(tblPiNAnalysis[[Shelter NFI ]], MATCH(tblPiNHistorical[[#This Row],[ID]], tblPiNAnalysis[ID], 0)), "")</f>
        <v>15894</v>
      </c>
      <c r="AE176" s="35">
        <f>IFERROR(INDEX(tblPiNAnalysis[WASH], MATCH(tblPiNHistorical[[#This Row],[ID]], tblPiNAnalysis[ID], 0)), "")</f>
        <v>0</v>
      </c>
      <c r="AF176" s="6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176" s="67" t="str">
        <f>IF(OR(tblPiNHistorical[[#This Row],[Education Old]]="", tblPiNHistorical[[#This Row],[Education Old]]=0, tblPiNHistorical[[#This Row],[Education New]]="", tblPiNHistorical[[#This Row],[Education New]]=0), "", tblPiNHistorical[[#This Row],[Education New]]-tblPiNHistorical[[#This Row],[Education Old]])</f>
        <v/>
      </c>
      <c r="AH176" s="67"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176" s="67" t="str">
        <f>IF(OR(tblPiNHistorical[[#This Row],[Health Old]]="", tblPiNHistorical[[#This Row],[Health Old]]=0, tblPiNHistorical[[#This Row],[Health New]]="", tblPiNHistorical[[#This Row],[Health New]]=0), "", tblPiNHistorical[[#This Row],[Health New]]-tblPiNHistorical[[#This Row],[Health Old]])</f>
        <v/>
      </c>
      <c r="AJ176" s="67" t="str">
        <f>IF(OR(tblPiNHistorical[[#This Row],[Nutrition Old]]="", tblPiNHistorical[[#This Row],[Nutrition Old]]=0, tblPiNHistorical[[#This Row],[Nutrition New]]="", tblPiNHistorical[[#This Row],[Nutrition New]]=0), "", tblPiNHistorical[[#This Row],[Nutrition New]]-tblPiNHistorical[[#This Row],[Nutrition Old]])</f>
        <v/>
      </c>
      <c r="AK176" s="67" t="str">
        <f>IF(OR(tblPiNHistorical[[#This Row],[Protection Old]]="", tblPiNHistorical[[#This Row],[Protection Old]]=0, tblPiNHistorical[[#This Row],[Protection New]]="", tblPiNHistorical[[#This Row],[Protection New]]=0), "", tblPiNHistorical[[#This Row],[Protection New]]-tblPiNHistorical[[#This Row],[Protection Old]])</f>
        <v/>
      </c>
      <c r="AL176" s="67" t="str">
        <f>IF(OR(tblPiNHistorical[[#This Row],[CP Old ]]="", tblPiNHistorical[[#This Row],[CP Old ]]=0, tblPiNHistorical[[#This Row],[CP New]]="", tblPiNHistorical[[#This Row],[CP New]]=0), "", tblPiNHistorical[[#This Row],[CP New]]-tblPiNHistorical[[#This Row],[CP Old ]])</f>
        <v/>
      </c>
      <c r="AM176" s="83" t="str">
        <f>IF(OR(tblPiNHistorical[[#This Row],[GBV Old]]="", tblPiNHistorical[[#This Row],[GBV Old]]=0, tblPiNHistorical[[#This Row],[GBV New]]="", tblPiNHistorical[[#This Row],[GBV New]]=0), "", tblPiNHistorical[[#This Row],[GBV New]]-tblPiNHistorical[[#This Row],[GBV Old]])</f>
        <v/>
      </c>
      <c r="AN176" s="83" t="str">
        <f>IF(OR(tblPiNHistorical[[#This Row],[Mine Action Old]]="", tblPiNHistorical[[#This Row],[Mine Action Old]]=0, tblPiNHistorical[[#This Row],[Mine Action New]]="", tblPiNHistorical[[#This Row],[Mine Action New]]=0), "", tblPiNHistorical[[#This Row],[Mine Action New]]-tblPiNHistorical[[#This Row],[Mine Action Old]])</f>
        <v/>
      </c>
      <c r="AO176" s="67">
        <f>IF(OR(tblPiNHistorical[[#This Row],[Shelter NFI Old]]="", tblPiNHistorical[[#This Row],[Shelter NFI Old]]=0, tblPiNHistorical[[#This Row],[Shelter NFI New]]="", tblPiNHistorical[[#This Row],[Shelter NFI New]]=0), "", tblPiNHistorical[[#This Row],[Shelter NFI New]]-tblPiNHistorical[[#This Row],[Shelter NFI Old]])</f>
        <v>2768</v>
      </c>
      <c r="AP176" s="111" t="str">
        <f>IF(OR(tblPiNHistorical[[#This Row],[WASH Old]]="", tblPiNHistorical[[#This Row],[WASH Old]]=0, tblPiNHistorical[[#This Row],[WASH New]]="", tblPiNHistorical[[#This Row],[WASH New]]=0), "", tblPiNHistorical[[#This Row],[WASH New]]-tblPiNHistorical[[#This Row],[WASH Old]])</f>
        <v/>
      </c>
      <c r="AQ176" s="110">
        <f>IFERROR(ROUND((tblPiNHistorical[[#This Row],[Site Management - New]] - tblPiNHistorical[[#This Row],[Site Management - Old]])/tblPiNHistorical[[#This Row],[Site Management - Old]], 1), "")</f>
        <v>-1</v>
      </c>
      <c r="AR176" s="66">
        <f>IFERROR(ROUND((tblPiNHistorical[[#This Row],[Education New]]-tblPiNHistorical[[#This Row],[Education Old]])/tblPiNHistorical[[#This Row],[Education Old]], 1), "")</f>
        <v>-1</v>
      </c>
      <c r="AS176" s="66">
        <f>IFERROR(ROUND((tblPiNHistorical[[#This Row],[Food Security and Livlihoods New]]-tblPiNHistorical[[#This Row],[Food Security and Livlihoods Old]])/tblPiNHistorical[[#This Row],[Food Security and Livlihoods Old]], 1), "")</f>
        <v>-1</v>
      </c>
      <c r="AT176" s="66">
        <f>IFERROR(ROUND((tblPiNHistorical[[#This Row],[Health New]]-tblPiNHistorical[[#This Row],[Health Old]])/tblPiNHistorical[[#This Row],[Health Old]], 1), "")</f>
        <v>-1</v>
      </c>
      <c r="AU176" s="66">
        <f>IFERROR(ROUND((tblPiNHistorical[[#This Row],[Nutrition New]]-tblPiNHistorical[[#This Row],[Nutrition Old]])/tblPiNHistorical[[#This Row],[Nutrition Old]], 1), "")</f>
        <v>-1</v>
      </c>
      <c r="AV176" s="66">
        <f>IFERROR(ROUND((tblPiNHistorical[[#This Row],[Protection New]]-tblPiNHistorical[[#This Row],[Protection Old]])/tblPiNHistorical[[#This Row],[Protection Old]], 1), "")</f>
        <v>-1</v>
      </c>
      <c r="AW176" s="84">
        <f>IFERROR(ROUND((tblPiNHistorical[[#This Row],[CP New]]-tblPiNHistorical[[#This Row],[CP Old ]])/tblPiNHistorical[[#This Row],[CP Old ]], 1), "")</f>
        <v>-1</v>
      </c>
      <c r="AX176" s="84">
        <f>IFERROR(ROUND((tblPiNHistorical[[#This Row],[GBV New]]-tblPiNHistorical[[#This Row],[GBV Old]])/tblPiNHistorical[[#This Row],[GBV Old]], 1), "")</f>
        <v>-1</v>
      </c>
      <c r="AY176" s="84">
        <f>IFERROR(ROUND((tblPiNHistorical[[#This Row],[Mine Action New]]-tblPiNHistorical[[#This Row],[Mine Action Old]])/tblPiNHistorical[[#This Row],[Mine Action Old]], 1), "")</f>
        <v>-1</v>
      </c>
      <c r="AZ176" s="66">
        <f>IFERROR(ROUND((tblPiNHistorical[[#This Row],[Shelter NFI New]]-tblPiNHistorical[[#This Row],[Shelter NFI Old]])/tblPiNHistorical[[#This Row],[Shelter NFI Old]], 1), "")</f>
        <v>0.2</v>
      </c>
      <c r="BA176" s="36">
        <f>IFERROR(ROUND((tblPiNHistorical[[#This Row],[WASH New]]-tblPiNHistorical[[#This Row],[WASH Old]])/tblPiNHistorical[[#This Row],[WASH Old]], 1), "")</f>
        <v>-1</v>
      </c>
      <c r="BB176"/>
      <c r="BC176"/>
      <c r="BD176"/>
      <c r="BE176"/>
      <c r="BF176"/>
      <c r="BG176"/>
      <c r="BH176"/>
      <c r="BI176"/>
      <c r="BL176"/>
      <c r="BN176"/>
      <c r="BO176"/>
      <c r="BP176"/>
    </row>
    <row r="177" spans="1:68" x14ac:dyDescent="0.25">
      <c r="A177"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IDPsSD18106</v>
      </c>
      <c r="B177" s="127" t="s">
        <v>194</v>
      </c>
      <c r="C177" s="60" t="s">
        <v>135</v>
      </c>
      <c r="D177" s="60" t="s">
        <v>566</v>
      </c>
      <c r="E177" s="60" t="s">
        <v>567</v>
      </c>
      <c r="F177" s="54"/>
      <c r="G177" s="30"/>
      <c r="H177" s="56">
        <v>4362</v>
      </c>
      <c r="I177" s="37" t="s">
        <v>88</v>
      </c>
      <c r="J177" s="34">
        <v>2324</v>
      </c>
      <c r="K177" s="116">
        <v>1691.1474000000001</v>
      </c>
      <c r="L177" s="114">
        <v>4362</v>
      </c>
      <c r="M177" s="114">
        <v>4362</v>
      </c>
      <c r="N177" s="114">
        <v>417</v>
      </c>
      <c r="O177" s="114">
        <v>4362</v>
      </c>
      <c r="P177" s="114">
        <v>2399</v>
      </c>
      <c r="Q177" s="114">
        <v>0</v>
      </c>
      <c r="R177" s="114">
        <v>0</v>
      </c>
      <c r="S177" s="114">
        <v>0</v>
      </c>
      <c r="T177" s="196">
        <v>0</v>
      </c>
      <c r="U177" s="52">
        <f>IFERROR(INDEX(tblPiNAnalysis[[Site Management ]], MATCH(tblPiNHistorical[[#This Row],[ID]], tblPiNAnalysis[ID], 0)), "")</f>
        <v>0</v>
      </c>
      <c r="V177" s="52">
        <f>IFERROR(INDEX(tblPiNAnalysis[Education], MATCH(tblPiNHistorical[[#This Row],[ID]], tblPiNAnalysis[ID], 0)), "")</f>
        <v>0</v>
      </c>
      <c r="W177" s="28">
        <f>IFERROR(INDEX(tblPiNAnalysis[Food Security and Livlihoods], MATCH(tblPiNHistorical[[#This Row],[ID]], tblPiNAnalysis[ID], 0)), "")</f>
        <v>0</v>
      </c>
      <c r="X177" s="28">
        <f>IFERROR(INDEX(tblPiNAnalysis[[Health ]], MATCH(tblPiNHistorical[[#This Row],[ID]], tblPiNAnalysis[ID], 0)), "")</f>
        <v>0</v>
      </c>
      <c r="Y177" s="28">
        <f>IFERROR(INDEX(tblPiNAnalysis[Nutrition], MATCH(tblPiNHistorical[[#This Row],[ID]], tblPiNAnalysis[ID], 0)), "")</f>
        <v>0</v>
      </c>
      <c r="Z177" s="28">
        <f>IFERROR(INDEX(tblPiNAnalysis[Protection], MATCH(tblPiNHistorical[[#This Row],[ID]], tblPiNAnalysis[ID], 0)), "")</f>
        <v>0</v>
      </c>
      <c r="AA177" s="28">
        <f>IFERROR(INDEX(tblPiNAnalysis[CP], MATCH(tblPiNHistorical[[#This Row],[ID]], tblPiNAnalysis[ID], 0)), "")</f>
        <v>0</v>
      </c>
      <c r="AB177" s="83">
        <f>IFERROR(INDEX(tblPiNAnalysis[GBV], MATCH(tblPiNHistorical[[#This Row],[ID]], tblPiNAnalysis[ID], 0)), "")</f>
        <v>0</v>
      </c>
      <c r="AC177" s="28">
        <f>IFERROR(INDEX(tblPiNAnalysis[Mine Action], MATCH(tblPiNHistorical[[#This Row],[ID]], tblPiNAnalysis[ID], 0)), "")</f>
        <v>0</v>
      </c>
      <c r="AD177" s="83">
        <f>IFERROR(INDEX(tblPiNAnalysis[[Shelter NFI ]], MATCH(tblPiNHistorical[[#This Row],[ID]], tblPiNAnalysis[ID], 0)), "")</f>
        <v>5917</v>
      </c>
      <c r="AE177" s="35">
        <f>IFERROR(INDEX(tblPiNAnalysis[WASH], MATCH(tblPiNHistorical[[#This Row],[ID]], tblPiNAnalysis[ID], 0)), "")</f>
        <v>0</v>
      </c>
      <c r="AF177" s="6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177" s="67" t="str">
        <f>IF(OR(tblPiNHistorical[[#This Row],[Education Old]]="", tblPiNHistorical[[#This Row],[Education Old]]=0, tblPiNHistorical[[#This Row],[Education New]]="", tblPiNHistorical[[#This Row],[Education New]]=0), "", tblPiNHistorical[[#This Row],[Education New]]-tblPiNHistorical[[#This Row],[Education Old]])</f>
        <v/>
      </c>
      <c r="AH177" s="67"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177" s="67" t="str">
        <f>IF(OR(tblPiNHistorical[[#This Row],[Health Old]]="", tblPiNHistorical[[#This Row],[Health Old]]=0, tblPiNHistorical[[#This Row],[Health New]]="", tblPiNHistorical[[#This Row],[Health New]]=0), "", tblPiNHistorical[[#This Row],[Health New]]-tblPiNHistorical[[#This Row],[Health Old]])</f>
        <v/>
      </c>
      <c r="AJ177" s="67" t="str">
        <f>IF(OR(tblPiNHistorical[[#This Row],[Nutrition Old]]="", tblPiNHistorical[[#This Row],[Nutrition Old]]=0, tblPiNHistorical[[#This Row],[Nutrition New]]="", tblPiNHistorical[[#This Row],[Nutrition New]]=0), "", tblPiNHistorical[[#This Row],[Nutrition New]]-tblPiNHistorical[[#This Row],[Nutrition Old]])</f>
        <v/>
      </c>
      <c r="AK177" s="67" t="str">
        <f>IF(OR(tblPiNHistorical[[#This Row],[Protection Old]]="", tblPiNHistorical[[#This Row],[Protection Old]]=0, tblPiNHistorical[[#This Row],[Protection New]]="", tblPiNHistorical[[#This Row],[Protection New]]=0), "", tblPiNHistorical[[#This Row],[Protection New]]-tblPiNHistorical[[#This Row],[Protection Old]])</f>
        <v/>
      </c>
      <c r="AL177" s="67" t="str">
        <f>IF(OR(tblPiNHistorical[[#This Row],[CP Old ]]="", tblPiNHistorical[[#This Row],[CP Old ]]=0, tblPiNHistorical[[#This Row],[CP New]]="", tblPiNHistorical[[#This Row],[CP New]]=0), "", tblPiNHistorical[[#This Row],[CP New]]-tblPiNHistorical[[#This Row],[CP Old ]])</f>
        <v/>
      </c>
      <c r="AM177" s="83" t="str">
        <f>IF(OR(tblPiNHistorical[[#This Row],[GBV Old]]="", tblPiNHistorical[[#This Row],[GBV Old]]=0, tblPiNHistorical[[#This Row],[GBV New]]="", tblPiNHistorical[[#This Row],[GBV New]]=0), "", tblPiNHistorical[[#This Row],[GBV New]]-tblPiNHistorical[[#This Row],[GBV Old]])</f>
        <v/>
      </c>
      <c r="AN177" s="83" t="str">
        <f>IF(OR(tblPiNHistorical[[#This Row],[Mine Action Old]]="", tblPiNHistorical[[#This Row],[Mine Action Old]]=0, tblPiNHistorical[[#This Row],[Mine Action New]]="", tblPiNHistorical[[#This Row],[Mine Action New]]=0), "", tblPiNHistorical[[#This Row],[Mine Action New]]-tblPiNHistorical[[#This Row],[Mine Action Old]])</f>
        <v/>
      </c>
      <c r="AO177" s="67" t="str">
        <f>IF(OR(tblPiNHistorical[[#This Row],[Shelter NFI Old]]="", tblPiNHistorical[[#This Row],[Shelter NFI Old]]=0, tblPiNHistorical[[#This Row],[Shelter NFI New]]="", tblPiNHistorical[[#This Row],[Shelter NFI New]]=0), "", tblPiNHistorical[[#This Row],[Shelter NFI New]]-tblPiNHistorical[[#This Row],[Shelter NFI Old]])</f>
        <v/>
      </c>
      <c r="AP177" s="111" t="str">
        <f>IF(OR(tblPiNHistorical[[#This Row],[WASH Old]]="", tblPiNHistorical[[#This Row],[WASH Old]]=0, tblPiNHistorical[[#This Row],[WASH New]]="", tblPiNHistorical[[#This Row],[WASH New]]=0), "", tblPiNHistorical[[#This Row],[WASH New]]-tblPiNHistorical[[#This Row],[WASH Old]])</f>
        <v/>
      </c>
      <c r="AQ177" s="110">
        <f>IFERROR(ROUND((tblPiNHistorical[[#This Row],[Site Management - New]] - tblPiNHistorical[[#This Row],[Site Management - Old]])/tblPiNHistorical[[#This Row],[Site Management - Old]], 1), "")</f>
        <v>-1</v>
      </c>
      <c r="AR177" s="66">
        <f>IFERROR(ROUND((tblPiNHistorical[[#This Row],[Education New]]-tblPiNHistorical[[#This Row],[Education Old]])/tblPiNHistorical[[#This Row],[Education Old]], 1), "")</f>
        <v>-1</v>
      </c>
      <c r="AS177" s="66">
        <f>IFERROR(ROUND((tblPiNHistorical[[#This Row],[Food Security and Livlihoods New]]-tblPiNHistorical[[#This Row],[Food Security and Livlihoods Old]])/tblPiNHistorical[[#This Row],[Food Security and Livlihoods Old]], 1), "")</f>
        <v>-1</v>
      </c>
      <c r="AT177" s="66">
        <f>IFERROR(ROUND((tblPiNHistorical[[#This Row],[Health New]]-tblPiNHistorical[[#This Row],[Health Old]])/tblPiNHistorical[[#This Row],[Health Old]], 1), "")</f>
        <v>-1</v>
      </c>
      <c r="AU177" s="66">
        <f>IFERROR(ROUND((tblPiNHistorical[[#This Row],[Nutrition New]]-tblPiNHistorical[[#This Row],[Nutrition Old]])/tblPiNHistorical[[#This Row],[Nutrition Old]], 1), "")</f>
        <v>-1</v>
      </c>
      <c r="AV177" s="66">
        <f>IFERROR(ROUND((tblPiNHistorical[[#This Row],[Protection New]]-tblPiNHistorical[[#This Row],[Protection Old]])/tblPiNHistorical[[#This Row],[Protection Old]], 1), "")</f>
        <v>-1</v>
      </c>
      <c r="AW177" s="84">
        <f>IFERROR(ROUND((tblPiNHistorical[[#This Row],[CP New]]-tblPiNHistorical[[#This Row],[CP Old ]])/tblPiNHistorical[[#This Row],[CP Old ]], 1), "")</f>
        <v>-1</v>
      </c>
      <c r="AX177" s="84" t="str">
        <f>IFERROR(ROUND((tblPiNHistorical[[#This Row],[GBV New]]-tblPiNHistorical[[#This Row],[GBV Old]])/tblPiNHistorical[[#This Row],[GBV Old]], 1), "")</f>
        <v/>
      </c>
      <c r="AY177" s="84" t="str">
        <f>IFERROR(ROUND((tblPiNHistorical[[#This Row],[Mine Action New]]-tblPiNHistorical[[#This Row],[Mine Action Old]])/tblPiNHistorical[[#This Row],[Mine Action Old]], 1), "")</f>
        <v/>
      </c>
      <c r="AZ177" s="66" t="str">
        <f>IFERROR(ROUND((tblPiNHistorical[[#This Row],[Shelter NFI New]]-tblPiNHistorical[[#This Row],[Shelter NFI Old]])/tblPiNHistorical[[#This Row],[Shelter NFI Old]], 1), "")</f>
        <v/>
      </c>
      <c r="BA177" s="36" t="str">
        <f>IFERROR(ROUND((tblPiNHistorical[[#This Row],[WASH New]]-tblPiNHistorical[[#This Row],[WASH Old]])/tblPiNHistorical[[#This Row],[WASH Old]], 1), "")</f>
        <v/>
      </c>
      <c r="BB177"/>
      <c r="BC177"/>
      <c r="BD177"/>
      <c r="BE177"/>
      <c r="BF177"/>
      <c r="BG177"/>
      <c r="BH177"/>
      <c r="BI177"/>
      <c r="BL177"/>
      <c r="BN177"/>
      <c r="BO177"/>
      <c r="BP177"/>
    </row>
    <row r="178" spans="1:68" x14ac:dyDescent="0.25">
      <c r="A178"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IDPsSD18022</v>
      </c>
      <c r="B178" s="127" t="s">
        <v>194</v>
      </c>
      <c r="C178" s="60" t="s">
        <v>135</v>
      </c>
      <c r="D178" s="60" t="s">
        <v>542</v>
      </c>
      <c r="E178" s="60" t="s">
        <v>543</v>
      </c>
      <c r="F178" s="54"/>
      <c r="G178" s="30"/>
      <c r="H178" s="56">
        <v>35968</v>
      </c>
      <c r="I178" s="37" t="s">
        <v>88</v>
      </c>
      <c r="J178" s="34">
        <v>4963</v>
      </c>
      <c r="K178" s="116">
        <v>13944.793599999999</v>
      </c>
      <c r="L178" s="114">
        <v>35968</v>
      </c>
      <c r="M178" s="114">
        <v>35968</v>
      </c>
      <c r="N178" s="114">
        <v>4113</v>
      </c>
      <c r="O178" s="114">
        <v>35968</v>
      </c>
      <c r="P178" s="114">
        <v>19782</v>
      </c>
      <c r="Q178" s="114">
        <v>12338</v>
      </c>
      <c r="R178" s="114">
        <v>10790.4</v>
      </c>
      <c r="S178" s="114">
        <v>21581</v>
      </c>
      <c r="T178" s="196">
        <v>40904.248319999999</v>
      </c>
      <c r="U178" s="52">
        <f>IFERROR(INDEX(tblPiNAnalysis[[Site Management ]], MATCH(tblPiNHistorical[[#This Row],[ID]], tblPiNAnalysis[ID], 0)), "")</f>
        <v>0</v>
      </c>
      <c r="V178" s="52">
        <f>IFERROR(INDEX(tblPiNAnalysis[Education], MATCH(tblPiNHistorical[[#This Row],[ID]], tblPiNAnalysis[ID], 0)), "")</f>
        <v>0</v>
      </c>
      <c r="W178" s="28">
        <f>IFERROR(INDEX(tblPiNAnalysis[Food Security and Livlihoods], MATCH(tblPiNHistorical[[#This Row],[ID]], tblPiNAnalysis[ID], 0)), "")</f>
        <v>0</v>
      </c>
      <c r="X178" s="28">
        <f>IFERROR(INDEX(tblPiNAnalysis[[Health ]], MATCH(tblPiNHistorical[[#This Row],[ID]], tblPiNAnalysis[ID], 0)), "")</f>
        <v>0</v>
      </c>
      <c r="Y178" s="28">
        <f>IFERROR(INDEX(tblPiNAnalysis[Nutrition], MATCH(tblPiNHistorical[[#This Row],[ID]], tblPiNAnalysis[ID], 0)), "")</f>
        <v>0</v>
      </c>
      <c r="Z178" s="28">
        <f>IFERROR(INDEX(tblPiNAnalysis[Protection], MATCH(tblPiNHistorical[[#This Row],[ID]], tblPiNAnalysis[ID], 0)), "")</f>
        <v>0</v>
      </c>
      <c r="AA178" s="28">
        <f>IFERROR(INDEX(tblPiNAnalysis[CP], MATCH(tblPiNHistorical[[#This Row],[ID]], tblPiNAnalysis[ID], 0)), "")</f>
        <v>0</v>
      </c>
      <c r="AB178" s="83">
        <f>IFERROR(INDEX(tblPiNAnalysis[GBV], MATCH(tblPiNHistorical[[#This Row],[ID]], tblPiNAnalysis[ID], 0)), "")</f>
        <v>0</v>
      </c>
      <c r="AC178" s="28">
        <f>IFERROR(INDEX(tblPiNAnalysis[Mine Action], MATCH(tblPiNHistorical[[#This Row],[ID]], tblPiNAnalysis[ID], 0)), "")</f>
        <v>0</v>
      </c>
      <c r="AD178" s="83">
        <f>IFERROR(INDEX(tblPiNAnalysis[[Shelter NFI ]], MATCH(tblPiNHistorical[[#This Row],[ID]], tblPiNAnalysis[ID], 0)), "")</f>
        <v>18968</v>
      </c>
      <c r="AE178" s="35">
        <f>IFERROR(INDEX(tblPiNAnalysis[WASH], MATCH(tblPiNHistorical[[#This Row],[ID]], tblPiNAnalysis[ID], 0)), "")</f>
        <v>0</v>
      </c>
      <c r="AF178" s="6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178" s="67" t="str">
        <f>IF(OR(tblPiNHistorical[[#This Row],[Education Old]]="", tblPiNHistorical[[#This Row],[Education Old]]=0, tblPiNHistorical[[#This Row],[Education New]]="", tblPiNHistorical[[#This Row],[Education New]]=0), "", tblPiNHistorical[[#This Row],[Education New]]-tblPiNHistorical[[#This Row],[Education Old]])</f>
        <v/>
      </c>
      <c r="AH178" s="67"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178" s="67" t="str">
        <f>IF(OR(tblPiNHistorical[[#This Row],[Health Old]]="", tblPiNHistorical[[#This Row],[Health Old]]=0, tblPiNHistorical[[#This Row],[Health New]]="", tblPiNHistorical[[#This Row],[Health New]]=0), "", tblPiNHistorical[[#This Row],[Health New]]-tblPiNHistorical[[#This Row],[Health Old]])</f>
        <v/>
      </c>
      <c r="AJ178" s="67" t="str">
        <f>IF(OR(tblPiNHistorical[[#This Row],[Nutrition Old]]="", tblPiNHistorical[[#This Row],[Nutrition Old]]=0, tblPiNHistorical[[#This Row],[Nutrition New]]="", tblPiNHistorical[[#This Row],[Nutrition New]]=0), "", tblPiNHistorical[[#This Row],[Nutrition New]]-tblPiNHistorical[[#This Row],[Nutrition Old]])</f>
        <v/>
      </c>
      <c r="AK178" s="67" t="str">
        <f>IF(OR(tblPiNHistorical[[#This Row],[Protection Old]]="", tblPiNHistorical[[#This Row],[Protection Old]]=0, tblPiNHistorical[[#This Row],[Protection New]]="", tblPiNHistorical[[#This Row],[Protection New]]=0), "", tblPiNHistorical[[#This Row],[Protection New]]-tblPiNHistorical[[#This Row],[Protection Old]])</f>
        <v/>
      </c>
      <c r="AL178" s="67" t="str">
        <f>IF(OR(tblPiNHistorical[[#This Row],[CP Old ]]="", tblPiNHistorical[[#This Row],[CP Old ]]=0, tblPiNHistorical[[#This Row],[CP New]]="", tblPiNHistorical[[#This Row],[CP New]]=0), "", tblPiNHistorical[[#This Row],[CP New]]-tblPiNHistorical[[#This Row],[CP Old ]])</f>
        <v/>
      </c>
      <c r="AM178" s="83" t="str">
        <f>IF(OR(tblPiNHistorical[[#This Row],[GBV Old]]="", tblPiNHistorical[[#This Row],[GBV Old]]=0, tblPiNHistorical[[#This Row],[GBV New]]="", tblPiNHistorical[[#This Row],[GBV New]]=0), "", tblPiNHistorical[[#This Row],[GBV New]]-tblPiNHistorical[[#This Row],[GBV Old]])</f>
        <v/>
      </c>
      <c r="AN178" s="83" t="str">
        <f>IF(OR(tblPiNHistorical[[#This Row],[Mine Action Old]]="", tblPiNHistorical[[#This Row],[Mine Action Old]]=0, tblPiNHistorical[[#This Row],[Mine Action New]]="", tblPiNHistorical[[#This Row],[Mine Action New]]=0), "", tblPiNHistorical[[#This Row],[Mine Action New]]-tblPiNHistorical[[#This Row],[Mine Action Old]])</f>
        <v/>
      </c>
      <c r="AO178" s="67">
        <f>IF(OR(tblPiNHistorical[[#This Row],[Shelter NFI Old]]="", tblPiNHistorical[[#This Row],[Shelter NFI Old]]=0, tblPiNHistorical[[#This Row],[Shelter NFI New]]="", tblPiNHistorical[[#This Row],[Shelter NFI New]]=0), "", tblPiNHistorical[[#This Row],[Shelter NFI New]]-tblPiNHistorical[[#This Row],[Shelter NFI Old]])</f>
        <v>-2613</v>
      </c>
      <c r="AP178" s="111" t="str">
        <f>IF(OR(tblPiNHistorical[[#This Row],[WASH Old]]="", tblPiNHistorical[[#This Row],[WASH Old]]=0, tblPiNHistorical[[#This Row],[WASH New]]="", tblPiNHistorical[[#This Row],[WASH New]]=0), "", tblPiNHistorical[[#This Row],[WASH New]]-tblPiNHistorical[[#This Row],[WASH Old]])</f>
        <v/>
      </c>
      <c r="AQ178" s="110">
        <f>IFERROR(ROUND((tblPiNHistorical[[#This Row],[Site Management - New]] - tblPiNHistorical[[#This Row],[Site Management - Old]])/tblPiNHistorical[[#This Row],[Site Management - Old]], 1), "")</f>
        <v>-1</v>
      </c>
      <c r="AR178" s="66">
        <f>IFERROR(ROUND((tblPiNHistorical[[#This Row],[Education New]]-tblPiNHistorical[[#This Row],[Education Old]])/tblPiNHistorical[[#This Row],[Education Old]], 1), "")</f>
        <v>-1</v>
      </c>
      <c r="AS178" s="66">
        <f>IFERROR(ROUND((tblPiNHistorical[[#This Row],[Food Security and Livlihoods New]]-tblPiNHistorical[[#This Row],[Food Security and Livlihoods Old]])/tblPiNHistorical[[#This Row],[Food Security and Livlihoods Old]], 1), "")</f>
        <v>-1</v>
      </c>
      <c r="AT178" s="66">
        <f>IFERROR(ROUND((tblPiNHistorical[[#This Row],[Health New]]-tblPiNHistorical[[#This Row],[Health Old]])/tblPiNHistorical[[#This Row],[Health Old]], 1), "")</f>
        <v>-1</v>
      </c>
      <c r="AU178" s="66">
        <f>IFERROR(ROUND((tblPiNHistorical[[#This Row],[Nutrition New]]-tblPiNHistorical[[#This Row],[Nutrition Old]])/tblPiNHistorical[[#This Row],[Nutrition Old]], 1), "")</f>
        <v>-1</v>
      </c>
      <c r="AV178" s="66">
        <f>IFERROR(ROUND((tblPiNHistorical[[#This Row],[Protection New]]-tblPiNHistorical[[#This Row],[Protection Old]])/tblPiNHistorical[[#This Row],[Protection Old]], 1), "")</f>
        <v>-1</v>
      </c>
      <c r="AW178" s="84">
        <f>IFERROR(ROUND((tblPiNHistorical[[#This Row],[CP New]]-tblPiNHistorical[[#This Row],[CP Old ]])/tblPiNHistorical[[#This Row],[CP Old ]], 1), "")</f>
        <v>-1</v>
      </c>
      <c r="AX178" s="84">
        <f>IFERROR(ROUND((tblPiNHistorical[[#This Row],[GBV New]]-tblPiNHistorical[[#This Row],[GBV Old]])/tblPiNHistorical[[#This Row],[GBV Old]], 1), "")</f>
        <v>-1</v>
      </c>
      <c r="AY178" s="84">
        <f>IFERROR(ROUND((tblPiNHistorical[[#This Row],[Mine Action New]]-tblPiNHistorical[[#This Row],[Mine Action Old]])/tblPiNHistorical[[#This Row],[Mine Action Old]], 1), "")</f>
        <v>-1</v>
      </c>
      <c r="AZ178" s="66">
        <f>IFERROR(ROUND((tblPiNHistorical[[#This Row],[Shelter NFI New]]-tblPiNHistorical[[#This Row],[Shelter NFI Old]])/tblPiNHistorical[[#This Row],[Shelter NFI Old]], 1), "")</f>
        <v>-0.1</v>
      </c>
      <c r="BA178" s="36">
        <f>IFERROR(ROUND((tblPiNHistorical[[#This Row],[WASH New]]-tblPiNHistorical[[#This Row],[WASH Old]])/tblPiNHistorical[[#This Row],[WASH Old]], 1), "")</f>
        <v>-1</v>
      </c>
      <c r="BB178"/>
      <c r="BC178"/>
      <c r="BD178"/>
      <c r="BE178"/>
      <c r="BF178"/>
      <c r="BG178"/>
      <c r="BH178"/>
      <c r="BI178"/>
      <c r="BL178"/>
      <c r="BN178"/>
      <c r="BO178"/>
      <c r="BP178"/>
    </row>
    <row r="179" spans="1:68" x14ac:dyDescent="0.25">
      <c r="A179"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IDPsSD18086</v>
      </c>
      <c r="B179" s="127" t="s">
        <v>194</v>
      </c>
      <c r="C179" s="60" t="s">
        <v>135</v>
      </c>
      <c r="D179" s="60" t="s">
        <v>550</v>
      </c>
      <c r="E179" s="60" t="s">
        <v>551</v>
      </c>
      <c r="F179" s="54"/>
      <c r="G179" s="30"/>
      <c r="H179" s="56">
        <v>17906</v>
      </c>
      <c r="I179" s="37" t="s">
        <v>88</v>
      </c>
      <c r="J179" s="34">
        <v>8391</v>
      </c>
      <c r="K179" s="116">
        <v>6942.1561999999994</v>
      </c>
      <c r="L179" s="114">
        <v>17906</v>
      </c>
      <c r="M179" s="114">
        <v>17906</v>
      </c>
      <c r="N179" s="114">
        <v>1343</v>
      </c>
      <c r="O179" s="114">
        <v>17906</v>
      </c>
      <c r="P179" s="114">
        <v>9848</v>
      </c>
      <c r="Q179" s="114">
        <v>7088</v>
      </c>
      <c r="R179" s="114">
        <v>5371.8</v>
      </c>
      <c r="S179" s="114">
        <v>7162</v>
      </c>
      <c r="T179" s="196">
        <v>11523.585359999999</v>
      </c>
      <c r="U179" s="52">
        <f>IFERROR(INDEX(tblPiNAnalysis[[Site Management ]], MATCH(tblPiNHistorical[[#This Row],[ID]], tblPiNAnalysis[ID], 0)), "")</f>
        <v>0</v>
      </c>
      <c r="V179" s="52">
        <f>IFERROR(INDEX(tblPiNAnalysis[Education], MATCH(tblPiNHistorical[[#This Row],[ID]], tblPiNAnalysis[ID], 0)), "")</f>
        <v>0</v>
      </c>
      <c r="W179" s="28">
        <f>IFERROR(INDEX(tblPiNAnalysis[Food Security and Livlihoods], MATCH(tblPiNHistorical[[#This Row],[ID]], tblPiNAnalysis[ID], 0)), "")</f>
        <v>0</v>
      </c>
      <c r="X179" s="28">
        <f>IFERROR(INDEX(tblPiNAnalysis[[Health ]], MATCH(tblPiNHistorical[[#This Row],[ID]], tblPiNAnalysis[ID], 0)), "")</f>
        <v>0</v>
      </c>
      <c r="Y179" s="28">
        <f>IFERROR(INDEX(tblPiNAnalysis[Nutrition], MATCH(tblPiNHistorical[[#This Row],[ID]], tblPiNAnalysis[ID], 0)), "")</f>
        <v>0</v>
      </c>
      <c r="Z179" s="28">
        <f>IFERROR(INDEX(tblPiNAnalysis[Protection], MATCH(tblPiNHistorical[[#This Row],[ID]], tblPiNAnalysis[ID], 0)), "")</f>
        <v>0</v>
      </c>
      <c r="AA179" s="28">
        <f>IFERROR(INDEX(tblPiNAnalysis[CP], MATCH(tblPiNHistorical[[#This Row],[ID]], tblPiNAnalysis[ID], 0)), "")</f>
        <v>0</v>
      </c>
      <c r="AB179" s="83">
        <f>IFERROR(INDEX(tblPiNAnalysis[GBV], MATCH(tblPiNHistorical[[#This Row],[ID]], tblPiNAnalysis[ID], 0)), "")</f>
        <v>0</v>
      </c>
      <c r="AC179" s="28">
        <f>IFERROR(INDEX(tblPiNAnalysis[Mine Action], MATCH(tblPiNHistorical[[#This Row],[ID]], tblPiNAnalysis[ID], 0)), "")</f>
        <v>0</v>
      </c>
      <c r="AD179" s="83">
        <f>IFERROR(INDEX(tblPiNAnalysis[[Shelter NFI ]], MATCH(tblPiNHistorical[[#This Row],[ID]], tblPiNAnalysis[ID], 0)), "")</f>
        <v>20590</v>
      </c>
      <c r="AE179" s="35">
        <f>IFERROR(INDEX(tblPiNAnalysis[WASH], MATCH(tblPiNHistorical[[#This Row],[ID]], tblPiNAnalysis[ID], 0)), "")</f>
        <v>0</v>
      </c>
      <c r="AF179" s="6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179" s="67" t="str">
        <f>IF(OR(tblPiNHistorical[[#This Row],[Education Old]]="", tblPiNHistorical[[#This Row],[Education Old]]=0, tblPiNHistorical[[#This Row],[Education New]]="", tblPiNHistorical[[#This Row],[Education New]]=0), "", tblPiNHistorical[[#This Row],[Education New]]-tblPiNHistorical[[#This Row],[Education Old]])</f>
        <v/>
      </c>
      <c r="AH179" s="67"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179" s="67" t="str">
        <f>IF(OR(tblPiNHistorical[[#This Row],[Health Old]]="", tblPiNHistorical[[#This Row],[Health Old]]=0, tblPiNHistorical[[#This Row],[Health New]]="", tblPiNHistorical[[#This Row],[Health New]]=0), "", tblPiNHistorical[[#This Row],[Health New]]-tblPiNHistorical[[#This Row],[Health Old]])</f>
        <v/>
      </c>
      <c r="AJ179" s="67" t="str">
        <f>IF(OR(tblPiNHistorical[[#This Row],[Nutrition Old]]="", tblPiNHistorical[[#This Row],[Nutrition Old]]=0, tblPiNHistorical[[#This Row],[Nutrition New]]="", tblPiNHistorical[[#This Row],[Nutrition New]]=0), "", tblPiNHistorical[[#This Row],[Nutrition New]]-tblPiNHistorical[[#This Row],[Nutrition Old]])</f>
        <v/>
      </c>
      <c r="AK179" s="67" t="str">
        <f>IF(OR(tblPiNHistorical[[#This Row],[Protection Old]]="", tblPiNHistorical[[#This Row],[Protection Old]]=0, tblPiNHistorical[[#This Row],[Protection New]]="", tblPiNHistorical[[#This Row],[Protection New]]=0), "", tblPiNHistorical[[#This Row],[Protection New]]-tblPiNHistorical[[#This Row],[Protection Old]])</f>
        <v/>
      </c>
      <c r="AL179" s="67" t="str">
        <f>IF(OR(tblPiNHistorical[[#This Row],[CP Old ]]="", tblPiNHistorical[[#This Row],[CP Old ]]=0, tblPiNHistorical[[#This Row],[CP New]]="", tblPiNHistorical[[#This Row],[CP New]]=0), "", tblPiNHistorical[[#This Row],[CP New]]-tblPiNHistorical[[#This Row],[CP Old ]])</f>
        <v/>
      </c>
      <c r="AM179" s="83" t="str">
        <f>IF(OR(tblPiNHistorical[[#This Row],[GBV Old]]="", tblPiNHistorical[[#This Row],[GBV Old]]=0, tblPiNHistorical[[#This Row],[GBV New]]="", tblPiNHistorical[[#This Row],[GBV New]]=0), "", tblPiNHistorical[[#This Row],[GBV New]]-tblPiNHistorical[[#This Row],[GBV Old]])</f>
        <v/>
      </c>
      <c r="AN179" s="83" t="str">
        <f>IF(OR(tblPiNHistorical[[#This Row],[Mine Action Old]]="", tblPiNHistorical[[#This Row],[Mine Action Old]]=0, tblPiNHistorical[[#This Row],[Mine Action New]]="", tblPiNHistorical[[#This Row],[Mine Action New]]=0), "", tblPiNHistorical[[#This Row],[Mine Action New]]-tblPiNHistorical[[#This Row],[Mine Action Old]])</f>
        <v/>
      </c>
      <c r="AO179" s="67">
        <f>IF(OR(tblPiNHistorical[[#This Row],[Shelter NFI Old]]="", tblPiNHistorical[[#This Row],[Shelter NFI Old]]=0, tblPiNHistorical[[#This Row],[Shelter NFI New]]="", tblPiNHistorical[[#This Row],[Shelter NFI New]]=0), "", tblPiNHistorical[[#This Row],[Shelter NFI New]]-tblPiNHistorical[[#This Row],[Shelter NFI Old]])</f>
        <v>13428</v>
      </c>
      <c r="AP179" s="111" t="str">
        <f>IF(OR(tblPiNHistorical[[#This Row],[WASH Old]]="", tblPiNHistorical[[#This Row],[WASH Old]]=0, tblPiNHistorical[[#This Row],[WASH New]]="", tblPiNHistorical[[#This Row],[WASH New]]=0), "", tblPiNHistorical[[#This Row],[WASH New]]-tblPiNHistorical[[#This Row],[WASH Old]])</f>
        <v/>
      </c>
      <c r="AQ179" s="110">
        <f>IFERROR(ROUND((tblPiNHistorical[[#This Row],[Site Management - New]] - tblPiNHistorical[[#This Row],[Site Management - Old]])/tblPiNHistorical[[#This Row],[Site Management - Old]], 1), "")</f>
        <v>-1</v>
      </c>
      <c r="AR179" s="66">
        <f>IFERROR(ROUND((tblPiNHistorical[[#This Row],[Education New]]-tblPiNHistorical[[#This Row],[Education Old]])/tblPiNHistorical[[#This Row],[Education Old]], 1), "")</f>
        <v>-1</v>
      </c>
      <c r="AS179" s="66">
        <f>IFERROR(ROUND((tblPiNHistorical[[#This Row],[Food Security and Livlihoods New]]-tblPiNHistorical[[#This Row],[Food Security and Livlihoods Old]])/tblPiNHistorical[[#This Row],[Food Security and Livlihoods Old]], 1), "")</f>
        <v>-1</v>
      </c>
      <c r="AT179" s="66">
        <f>IFERROR(ROUND((tblPiNHistorical[[#This Row],[Health New]]-tblPiNHistorical[[#This Row],[Health Old]])/tblPiNHistorical[[#This Row],[Health Old]], 1), "")</f>
        <v>-1</v>
      </c>
      <c r="AU179" s="66">
        <f>IFERROR(ROUND((tblPiNHistorical[[#This Row],[Nutrition New]]-tblPiNHistorical[[#This Row],[Nutrition Old]])/tblPiNHistorical[[#This Row],[Nutrition Old]], 1), "")</f>
        <v>-1</v>
      </c>
      <c r="AV179" s="66">
        <f>IFERROR(ROUND((tblPiNHistorical[[#This Row],[Protection New]]-tblPiNHistorical[[#This Row],[Protection Old]])/tblPiNHistorical[[#This Row],[Protection Old]], 1), "")</f>
        <v>-1</v>
      </c>
      <c r="AW179" s="84">
        <f>IFERROR(ROUND((tblPiNHistorical[[#This Row],[CP New]]-tblPiNHistorical[[#This Row],[CP Old ]])/tblPiNHistorical[[#This Row],[CP Old ]], 1), "")</f>
        <v>-1</v>
      </c>
      <c r="AX179" s="84">
        <f>IFERROR(ROUND((tblPiNHistorical[[#This Row],[GBV New]]-tblPiNHistorical[[#This Row],[GBV Old]])/tblPiNHistorical[[#This Row],[GBV Old]], 1), "")</f>
        <v>-1</v>
      </c>
      <c r="AY179" s="84">
        <f>IFERROR(ROUND((tblPiNHistorical[[#This Row],[Mine Action New]]-tblPiNHistorical[[#This Row],[Mine Action Old]])/tblPiNHistorical[[#This Row],[Mine Action Old]], 1), "")</f>
        <v>-1</v>
      </c>
      <c r="AZ179" s="66">
        <f>IFERROR(ROUND((tblPiNHistorical[[#This Row],[Shelter NFI New]]-tblPiNHistorical[[#This Row],[Shelter NFI Old]])/tblPiNHistorical[[#This Row],[Shelter NFI Old]], 1), "")</f>
        <v>1.9</v>
      </c>
      <c r="BA179" s="36">
        <f>IFERROR(ROUND((tblPiNHistorical[[#This Row],[WASH New]]-tblPiNHistorical[[#This Row],[WASH Old]])/tblPiNHistorical[[#This Row],[WASH Old]], 1), "")</f>
        <v>-1</v>
      </c>
      <c r="BB179"/>
      <c r="BC179"/>
      <c r="BD179"/>
      <c r="BE179"/>
      <c r="BF179"/>
      <c r="BG179"/>
      <c r="BH179"/>
      <c r="BI179"/>
      <c r="BL179"/>
      <c r="BN179"/>
      <c r="BO179"/>
      <c r="BP179"/>
    </row>
    <row r="180" spans="1:68" x14ac:dyDescent="0.25">
      <c r="A180"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IDPsSD18092</v>
      </c>
      <c r="B180" s="127" t="s">
        <v>194</v>
      </c>
      <c r="C180" s="60" t="s">
        <v>135</v>
      </c>
      <c r="D180" s="60" t="s">
        <v>554</v>
      </c>
      <c r="E180" s="60" t="s">
        <v>555</v>
      </c>
      <c r="F180" s="54"/>
      <c r="G180" s="30"/>
      <c r="H180" s="56">
        <v>7189</v>
      </c>
      <c r="I180" s="37" t="s">
        <v>88</v>
      </c>
      <c r="J180" s="34">
        <v>2605</v>
      </c>
      <c r="K180" s="116">
        <v>2787.1752999999999</v>
      </c>
      <c r="L180" s="114">
        <v>7189</v>
      </c>
      <c r="M180" s="114">
        <v>7189</v>
      </c>
      <c r="N180" s="114">
        <v>688</v>
      </c>
      <c r="O180" s="114">
        <v>7189</v>
      </c>
      <c r="P180" s="114">
        <v>3954</v>
      </c>
      <c r="Q180" s="114">
        <v>2466</v>
      </c>
      <c r="R180" s="114">
        <v>2156.6999999999998</v>
      </c>
      <c r="S180" s="114">
        <v>2876</v>
      </c>
      <c r="T180" s="196">
        <v>0</v>
      </c>
      <c r="U180" s="52">
        <f>IFERROR(INDEX(tblPiNAnalysis[[Site Management ]], MATCH(tblPiNHistorical[[#This Row],[ID]], tblPiNAnalysis[ID], 0)), "")</f>
        <v>0</v>
      </c>
      <c r="V180" s="52">
        <f>IFERROR(INDEX(tblPiNAnalysis[Education], MATCH(tblPiNHistorical[[#This Row],[ID]], tblPiNAnalysis[ID], 0)), "")</f>
        <v>0</v>
      </c>
      <c r="W180" s="28">
        <f>IFERROR(INDEX(tblPiNAnalysis[Food Security and Livlihoods], MATCH(tblPiNHistorical[[#This Row],[ID]], tblPiNAnalysis[ID], 0)), "")</f>
        <v>0</v>
      </c>
      <c r="X180" s="28">
        <f>IFERROR(INDEX(tblPiNAnalysis[[Health ]], MATCH(tblPiNHistorical[[#This Row],[ID]], tblPiNAnalysis[ID], 0)), "")</f>
        <v>0</v>
      </c>
      <c r="Y180" s="28">
        <f>IFERROR(INDEX(tblPiNAnalysis[Nutrition], MATCH(tblPiNHistorical[[#This Row],[ID]], tblPiNAnalysis[ID], 0)), "")</f>
        <v>0</v>
      </c>
      <c r="Z180" s="28">
        <f>IFERROR(INDEX(tblPiNAnalysis[Protection], MATCH(tblPiNHistorical[[#This Row],[ID]], tblPiNAnalysis[ID], 0)), "")</f>
        <v>0</v>
      </c>
      <c r="AA180" s="28">
        <f>IFERROR(INDEX(tblPiNAnalysis[CP], MATCH(tblPiNHistorical[[#This Row],[ID]], tblPiNAnalysis[ID], 0)), "")</f>
        <v>0</v>
      </c>
      <c r="AB180" s="83">
        <f>IFERROR(INDEX(tblPiNAnalysis[GBV], MATCH(tblPiNHistorical[[#This Row],[ID]], tblPiNAnalysis[ID], 0)), "")</f>
        <v>0</v>
      </c>
      <c r="AC180" s="28">
        <f>IFERROR(INDEX(tblPiNAnalysis[Mine Action], MATCH(tblPiNHistorical[[#This Row],[ID]], tblPiNAnalysis[ID], 0)), "")</f>
        <v>0</v>
      </c>
      <c r="AD180" s="83">
        <f>IFERROR(INDEX(tblPiNAnalysis[[Shelter NFI ]], MATCH(tblPiNHistorical[[#This Row],[ID]], tblPiNAnalysis[ID], 0)), "")</f>
        <v>4314</v>
      </c>
      <c r="AE180" s="35">
        <f>IFERROR(INDEX(tblPiNAnalysis[WASH], MATCH(tblPiNHistorical[[#This Row],[ID]], tblPiNAnalysis[ID], 0)), "")</f>
        <v>0</v>
      </c>
      <c r="AF180" s="6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180" s="67" t="str">
        <f>IF(OR(tblPiNHistorical[[#This Row],[Education Old]]="", tblPiNHistorical[[#This Row],[Education Old]]=0, tblPiNHistorical[[#This Row],[Education New]]="", tblPiNHistorical[[#This Row],[Education New]]=0), "", tblPiNHistorical[[#This Row],[Education New]]-tblPiNHistorical[[#This Row],[Education Old]])</f>
        <v/>
      </c>
      <c r="AH180" s="67"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180" s="67" t="str">
        <f>IF(OR(tblPiNHistorical[[#This Row],[Health Old]]="", tblPiNHistorical[[#This Row],[Health Old]]=0, tblPiNHistorical[[#This Row],[Health New]]="", tblPiNHistorical[[#This Row],[Health New]]=0), "", tblPiNHistorical[[#This Row],[Health New]]-tblPiNHistorical[[#This Row],[Health Old]])</f>
        <v/>
      </c>
      <c r="AJ180" s="67" t="str">
        <f>IF(OR(tblPiNHistorical[[#This Row],[Nutrition Old]]="", tblPiNHistorical[[#This Row],[Nutrition Old]]=0, tblPiNHistorical[[#This Row],[Nutrition New]]="", tblPiNHistorical[[#This Row],[Nutrition New]]=0), "", tblPiNHistorical[[#This Row],[Nutrition New]]-tblPiNHistorical[[#This Row],[Nutrition Old]])</f>
        <v/>
      </c>
      <c r="AK180" s="67" t="str">
        <f>IF(OR(tblPiNHistorical[[#This Row],[Protection Old]]="", tblPiNHistorical[[#This Row],[Protection Old]]=0, tblPiNHistorical[[#This Row],[Protection New]]="", tblPiNHistorical[[#This Row],[Protection New]]=0), "", tblPiNHistorical[[#This Row],[Protection New]]-tblPiNHistorical[[#This Row],[Protection Old]])</f>
        <v/>
      </c>
      <c r="AL180" s="67" t="str">
        <f>IF(OR(tblPiNHistorical[[#This Row],[CP Old ]]="", tblPiNHistorical[[#This Row],[CP Old ]]=0, tblPiNHistorical[[#This Row],[CP New]]="", tblPiNHistorical[[#This Row],[CP New]]=0), "", tblPiNHistorical[[#This Row],[CP New]]-tblPiNHistorical[[#This Row],[CP Old ]])</f>
        <v/>
      </c>
      <c r="AM180" s="83" t="str">
        <f>IF(OR(tblPiNHistorical[[#This Row],[GBV Old]]="", tblPiNHistorical[[#This Row],[GBV Old]]=0, tblPiNHistorical[[#This Row],[GBV New]]="", tblPiNHistorical[[#This Row],[GBV New]]=0), "", tblPiNHistorical[[#This Row],[GBV New]]-tblPiNHistorical[[#This Row],[GBV Old]])</f>
        <v/>
      </c>
      <c r="AN180" s="83" t="str">
        <f>IF(OR(tblPiNHistorical[[#This Row],[Mine Action Old]]="", tblPiNHistorical[[#This Row],[Mine Action Old]]=0, tblPiNHistorical[[#This Row],[Mine Action New]]="", tblPiNHistorical[[#This Row],[Mine Action New]]=0), "", tblPiNHistorical[[#This Row],[Mine Action New]]-tblPiNHistorical[[#This Row],[Mine Action Old]])</f>
        <v/>
      </c>
      <c r="AO180" s="67">
        <f>IF(OR(tblPiNHistorical[[#This Row],[Shelter NFI Old]]="", tblPiNHistorical[[#This Row],[Shelter NFI Old]]=0, tblPiNHistorical[[#This Row],[Shelter NFI New]]="", tblPiNHistorical[[#This Row],[Shelter NFI New]]=0), "", tblPiNHistorical[[#This Row],[Shelter NFI New]]-tblPiNHistorical[[#This Row],[Shelter NFI Old]])</f>
        <v>1438</v>
      </c>
      <c r="AP180" s="111" t="str">
        <f>IF(OR(tblPiNHistorical[[#This Row],[WASH Old]]="", tblPiNHistorical[[#This Row],[WASH Old]]=0, tblPiNHistorical[[#This Row],[WASH New]]="", tblPiNHistorical[[#This Row],[WASH New]]=0), "", tblPiNHistorical[[#This Row],[WASH New]]-tblPiNHistorical[[#This Row],[WASH Old]])</f>
        <v/>
      </c>
      <c r="AQ180" s="110">
        <f>IFERROR(ROUND((tblPiNHistorical[[#This Row],[Site Management - New]] - tblPiNHistorical[[#This Row],[Site Management - Old]])/tblPiNHistorical[[#This Row],[Site Management - Old]], 1), "")</f>
        <v>-1</v>
      </c>
      <c r="AR180" s="66">
        <f>IFERROR(ROUND((tblPiNHistorical[[#This Row],[Education New]]-tblPiNHistorical[[#This Row],[Education Old]])/tblPiNHistorical[[#This Row],[Education Old]], 1), "")</f>
        <v>-1</v>
      </c>
      <c r="AS180" s="66">
        <f>IFERROR(ROUND((tblPiNHistorical[[#This Row],[Food Security and Livlihoods New]]-tblPiNHistorical[[#This Row],[Food Security and Livlihoods Old]])/tblPiNHistorical[[#This Row],[Food Security and Livlihoods Old]], 1), "")</f>
        <v>-1</v>
      </c>
      <c r="AT180" s="66">
        <f>IFERROR(ROUND((tblPiNHistorical[[#This Row],[Health New]]-tblPiNHistorical[[#This Row],[Health Old]])/tblPiNHistorical[[#This Row],[Health Old]], 1), "")</f>
        <v>-1</v>
      </c>
      <c r="AU180" s="66">
        <f>IFERROR(ROUND((tblPiNHistorical[[#This Row],[Nutrition New]]-tblPiNHistorical[[#This Row],[Nutrition Old]])/tblPiNHistorical[[#This Row],[Nutrition Old]], 1), "")</f>
        <v>-1</v>
      </c>
      <c r="AV180" s="66">
        <f>IFERROR(ROUND((tblPiNHistorical[[#This Row],[Protection New]]-tblPiNHistorical[[#This Row],[Protection Old]])/tblPiNHistorical[[#This Row],[Protection Old]], 1), "")</f>
        <v>-1</v>
      </c>
      <c r="AW180" s="84">
        <f>IFERROR(ROUND((tblPiNHistorical[[#This Row],[CP New]]-tblPiNHistorical[[#This Row],[CP Old ]])/tblPiNHistorical[[#This Row],[CP Old ]], 1), "")</f>
        <v>-1</v>
      </c>
      <c r="AX180" s="84">
        <f>IFERROR(ROUND((tblPiNHistorical[[#This Row],[GBV New]]-tblPiNHistorical[[#This Row],[GBV Old]])/tblPiNHistorical[[#This Row],[GBV Old]], 1), "")</f>
        <v>-1</v>
      </c>
      <c r="AY180" s="84">
        <f>IFERROR(ROUND((tblPiNHistorical[[#This Row],[Mine Action New]]-tblPiNHistorical[[#This Row],[Mine Action Old]])/tblPiNHistorical[[#This Row],[Mine Action Old]], 1), "")</f>
        <v>-1</v>
      </c>
      <c r="AZ180" s="66">
        <f>IFERROR(ROUND((tblPiNHistorical[[#This Row],[Shelter NFI New]]-tblPiNHistorical[[#This Row],[Shelter NFI Old]])/tblPiNHistorical[[#This Row],[Shelter NFI Old]], 1), "")</f>
        <v>0.5</v>
      </c>
      <c r="BA180" s="36" t="str">
        <f>IFERROR(ROUND((tblPiNHistorical[[#This Row],[WASH New]]-tblPiNHistorical[[#This Row],[WASH Old]])/tblPiNHistorical[[#This Row],[WASH Old]], 1), "")</f>
        <v/>
      </c>
      <c r="BB180"/>
      <c r="BC180"/>
      <c r="BD180"/>
      <c r="BE180"/>
      <c r="BF180"/>
      <c r="BG180"/>
      <c r="BH180"/>
      <c r="BI180"/>
      <c r="BL180"/>
      <c r="BN180"/>
      <c r="BO180"/>
      <c r="BP180"/>
    </row>
    <row r="181" spans="1:68" x14ac:dyDescent="0.25">
      <c r="A181"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IDPsSD18100</v>
      </c>
      <c r="B181" s="127" t="s">
        <v>194</v>
      </c>
      <c r="C181" s="60" t="s">
        <v>135</v>
      </c>
      <c r="D181" s="60" t="s">
        <v>556</v>
      </c>
      <c r="E181" s="60" t="s">
        <v>557</v>
      </c>
      <c r="F181" s="54"/>
      <c r="G181" s="30"/>
      <c r="H181" s="56">
        <v>14214</v>
      </c>
      <c r="I181" s="37" t="s">
        <v>88</v>
      </c>
      <c r="J181" s="34">
        <v>0</v>
      </c>
      <c r="K181" s="116">
        <v>5510.7677999999996</v>
      </c>
      <c r="L181" s="114">
        <v>14214</v>
      </c>
      <c r="M181" s="114">
        <v>14214</v>
      </c>
      <c r="N181" s="114">
        <v>1535</v>
      </c>
      <c r="O181" s="114">
        <v>14214</v>
      </c>
      <c r="P181" s="114">
        <v>7818</v>
      </c>
      <c r="Q181" s="114">
        <v>4877</v>
      </c>
      <c r="R181" s="114">
        <v>0</v>
      </c>
      <c r="S181" s="114">
        <v>5686</v>
      </c>
      <c r="T181" s="196">
        <v>15421.052879999999</v>
      </c>
      <c r="U181" s="52">
        <f>IFERROR(INDEX(tblPiNAnalysis[[Site Management ]], MATCH(tblPiNHistorical[[#This Row],[ID]], tblPiNAnalysis[ID], 0)), "")</f>
        <v>0</v>
      </c>
      <c r="V181" s="52">
        <f>IFERROR(INDEX(tblPiNAnalysis[Education], MATCH(tblPiNHistorical[[#This Row],[ID]], tblPiNAnalysis[ID], 0)), "")</f>
        <v>0</v>
      </c>
      <c r="W181" s="28">
        <f>IFERROR(INDEX(tblPiNAnalysis[Food Security and Livlihoods], MATCH(tblPiNHistorical[[#This Row],[ID]], tblPiNAnalysis[ID], 0)), "")</f>
        <v>0</v>
      </c>
      <c r="X181" s="28">
        <f>IFERROR(INDEX(tblPiNAnalysis[[Health ]], MATCH(tblPiNHistorical[[#This Row],[ID]], tblPiNAnalysis[ID], 0)), "")</f>
        <v>0</v>
      </c>
      <c r="Y181" s="28">
        <f>IFERROR(INDEX(tblPiNAnalysis[Nutrition], MATCH(tblPiNHistorical[[#This Row],[ID]], tblPiNAnalysis[ID], 0)), "")</f>
        <v>0</v>
      </c>
      <c r="Z181" s="28">
        <f>IFERROR(INDEX(tblPiNAnalysis[Protection], MATCH(tblPiNHistorical[[#This Row],[ID]], tblPiNAnalysis[ID], 0)), "")</f>
        <v>0</v>
      </c>
      <c r="AA181" s="28">
        <f>IFERROR(INDEX(tblPiNAnalysis[CP], MATCH(tblPiNHistorical[[#This Row],[ID]], tblPiNAnalysis[ID], 0)), "")</f>
        <v>0</v>
      </c>
      <c r="AB181" s="83">
        <f>IFERROR(INDEX(tblPiNAnalysis[GBV], MATCH(tblPiNHistorical[[#This Row],[ID]], tblPiNAnalysis[ID], 0)), "")</f>
        <v>0</v>
      </c>
      <c r="AC181" s="28">
        <f>IFERROR(INDEX(tblPiNAnalysis[Mine Action], MATCH(tblPiNHistorical[[#This Row],[ID]], tblPiNAnalysis[ID], 0)), "")</f>
        <v>0</v>
      </c>
      <c r="AD181" s="83">
        <f>IFERROR(INDEX(tblPiNAnalysis[[Shelter NFI ]], MATCH(tblPiNHistorical[[#This Row],[ID]], tblPiNAnalysis[ID], 0)), "")</f>
        <v>27581</v>
      </c>
      <c r="AE181" s="35">
        <f>IFERROR(INDEX(tblPiNAnalysis[WASH], MATCH(tblPiNHistorical[[#This Row],[ID]], tblPiNAnalysis[ID], 0)), "")</f>
        <v>0</v>
      </c>
      <c r="AF181" s="6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181" s="67" t="str">
        <f>IF(OR(tblPiNHistorical[[#This Row],[Education Old]]="", tblPiNHistorical[[#This Row],[Education Old]]=0, tblPiNHistorical[[#This Row],[Education New]]="", tblPiNHistorical[[#This Row],[Education New]]=0), "", tblPiNHistorical[[#This Row],[Education New]]-tblPiNHistorical[[#This Row],[Education Old]])</f>
        <v/>
      </c>
      <c r="AH181" s="67"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181" s="67" t="str">
        <f>IF(OR(tblPiNHistorical[[#This Row],[Health Old]]="", tblPiNHistorical[[#This Row],[Health Old]]=0, tblPiNHistorical[[#This Row],[Health New]]="", tblPiNHistorical[[#This Row],[Health New]]=0), "", tblPiNHistorical[[#This Row],[Health New]]-tblPiNHistorical[[#This Row],[Health Old]])</f>
        <v/>
      </c>
      <c r="AJ181" s="67" t="str">
        <f>IF(OR(tblPiNHistorical[[#This Row],[Nutrition Old]]="", tblPiNHistorical[[#This Row],[Nutrition Old]]=0, tblPiNHistorical[[#This Row],[Nutrition New]]="", tblPiNHistorical[[#This Row],[Nutrition New]]=0), "", tblPiNHistorical[[#This Row],[Nutrition New]]-tblPiNHistorical[[#This Row],[Nutrition Old]])</f>
        <v/>
      </c>
      <c r="AK181" s="67" t="str">
        <f>IF(OR(tblPiNHistorical[[#This Row],[Protection Old]]="", tblPiNHistorical[[#This Row],[Protection Old]]=0, tblPiNHistorical[[#This Row],[Protection New]]="", tblPiNHistorical[[#This Row],[Protection New]]=0), "", tblPiNHistorical[[#This Row],[Protection New]]-tblPiNHistorical[[#This Row],[Protection Old]])</f>
        <v/>
      </c>
      <c r="AL181" s="67" t="str">
        <f>IF(OR(tblPiNHistorical[[#This Row],[CP Old ]]="", tblPiNHistorical[[#This Row],[CP Old ]]=0, tblPiNHistorical[[#This Row],[CP New]]="", tblPiNHistorical[[#This Row],[CP New]]=0), "", tblPiNHistorical[[#This Row],[CP New]]-tblPiNHistorical[[#This Row],[CP Old ]])</f>
        <v/>
      </c>
      <c r="AM181" s="83" t="str">
        <f>IF(OR(tblPiNHistorical[[#This Row],[GBV Old]]="", tblPiNHistorical[[#This Row],[GBV Old]]=0, tblPiNHistorical[[#This Row],[GBV New]]="", tblPiNHistorical[[#This Row],[GBV New]]=0), "", tblPiNHistorical[[#This Row],[GBV New]]-tblPiNHistorical[[#This Row],[GBV Old]])</f>
        <v/>
      </c>
      <c r="AN181" s="83" t="str">
        <f>IF(OR(tblPiNHistorical[[#This Row],[Mine Action Old]]="", tblPiNHistorical[[#This Row],[Mine Action Old]]=0, tblPiNHistorical[[#This Row],[Mine Action New]]="", tblPiNHistorical[[#This Row],[Mine Action New]]=0), "", tblPiNHistorical[[#This Row],[Mine Action New]]-tblPiNHistorical[[#This Row],[Mine Action Old]])</f>
        <v/>
      </c>
      <c r="AO181" s="67">
        <f>IF(OR(tblPiNHistorical[[#This Row],[Shelter NFI Old]]="", tblPiNHistorical[[#This Row],[Shelter NFI Old]]=0, tblPiNHistorical[[#This Row],[Shelter NFI New]]="", tblPiNHistorical[[#This Row],[Shelter NFI New]]=0), "", tblPiNHistorical[[#This Row],[Shelter NFI New]]-tblPiNHistorical[[#This Row],[Shelter NFI Old]])</f>
        <v>21895</v>
      </c>
      <c r="AP181" s="111" t="str">
        <f>IF(OR(tblPiNHistorical[[#This Row],[WASH Old]]="", tblPiNHistorical[[#This Row],[WASH Old]]=0, tblPiNHistorical[[#This Row],[WASH New]]="", tblPiNHistorical[[#This Row],[WASH New]]=0), "", tblPiNHistorical[[#This Row],[WASH New]]-tblPiNHistorical[[#This Row],[WASH Old]])</f>
        <v/>
      </c>
      <c r="AQ181" s="110" t="str">
        <f>IFERROR(ROUND((tblPiNHistorical[[#This Row],[Site Management - New]] - tblPiNHistorical[[#This Row],[Site Management - Old]])/tblPiNHistorical[[#This Row],[Site Management - Old]], 1), "")</f>
        <v/>
      </c>
      <c r="AR181" s="66">
        <f>IFERROR(ROUND((tblPiNHistorical[[#This Row],[Education New]]-tblPiNHistorical[[#This Row],[Education Old]])/tblPiNHistorical[[#This Row],[Education Old]], 1), "")</f>
        <v>-1</v>
      </c>
      <c r="AS181" s="66">
        <f>IFERROR(ROUND((tblPiNHistorical[[#This Row],[Food Security and Livlihoods New]]-tblPiNHistorical[[#This Row],[Food Security and Livlihoods Old]])/tblPiNHistorical[[#This Row],[Food Security and Livlihoods Old]], 1), "")</f>
        <v>-1</v>
      </c>
      <c r="AT181" s="66">
        <f>IFERROR(ROUND((tblPiNHistorical[[#This Row],[Health New]]-tblPiNHistorical[[#This Row],[Health Old]])/tblPiNHistorical[[#This Row],[Health Old]], 1), "")</f>
        <v>-1</v>
      </c>
      <c r="AU181" s="66">
        <f>IFERROR(ROUND((tblPiNHistorical[[#This Row],[Nutrition New]]-tblPiNHistorical[[#This Row],[Nutrition Old]])/tblPiNHistorical[[#This Row],[Nutrition Old]], 1), "")</f>
        <v>-1</v>
      </c>
      <c r="AV181" s="66">
        <f>IFERROR(ROUND((tblPiNHistorical[[#This Row],[Protection New]]-tblPiNHistorical[[#This Row],[Protection Old]])/tblPiNHistorical[[#This Row],[Protection Old]], 1), "")</f>
        <v>-1</v>
      </c>
      <c r="AW181" s="84">
        <f>IFERROR(ROUND((tblPiNHistorical[[#This Row],[CP New]]-tblPiNHistorical[[#This Row],[CP Old ]])/tblPiNHistorical[[#This Row],[CP Old ]], 1), "")</f>
        <v>-1</v>
      </c>
      <c r="AX181" s="84">
        <f>IFERROR(ROUND((tblPiNHistorical[[#This Row],[GBV New]]-tblPiNHistorical[[#This Row],[GBV Old]])/tblPiNHistorical[[#This Row],[GBV Old]], 1), "")</f>
        <v>-1</v>
      </c>
      <c r="AY181" s="84" t="str">
        <f>IFERROR(ROUND((tblPiNHistorical[[#This Row],[Mine Action New]]-tblPiNHistorical[[#This Row],[Mine Action Old]])/tblPiNHistorical[[#This Row],[Mine Action Old]], 1), "")</f>
        <v/>
      </c>
      <c r="AZ181" s="66">
        <f>IFERROR(ROUND((tblPiNHistorical[[#This Row],[Shelter NFI New]]-tblPiNHistorical[[#This Row],[Shelter NFI Old]])/tblPiNHistorical[[#This Row],[Shelter NFI Old]], 1), "")</f>
        <v>3.9</v>
      </c>
      <c r="BA181" s="36">
        <f>IFERROR(ROUND((tblPiNHistorical[[#This Row],[WASH New]]-tblPiNHistorical[[#This Row],[WASH Old]])/tblPiNHistorical[[#This Row],[WASH Old]], 1), "")</f>
        <v>-1</v>
      </c>
      <c r="BB181"/>
      <c r="BC181"/>
      <c r="BD181"/>
      <c r="BE181"/>
      <c r="BF181"/>
      <c r="BG181"/>
      <c r="BH181"/>
      <c r="BI181"/>
      <c r="BL181"/>
      <c r="BN181"/>
      <c r="BO181"/>
      <c r="BP181"/>
    </row>
    <row r="182" spans="1:68" x14ac:dyDescent="0.25">
      <c r="A182"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IDPsSD18021</v>
      </c>
      <c r="B182" s="127" t="s">
        <v>194</v>
      </c>
      <c r="C182" s="60" t="s">
        <v>135</v>
      </c>
      <c r="D182" s="60" t="s">
        <v>540</v>
      </c>
      <c r="E182" s="60" t="s">
        <v>541</v>
      </c>
      <c r="F182" s="54"/>
      <c r="G182" s="30"/>
      <c r="H182" s="56">
        <v>12124</v>
      </c>
      <c r="I182" s="37" t="s">
        <v>88</v>
      </c>
      <c r="J182" s="34">
        <v>1149</v>
      </c>
      <c r="K182" s="116">
        <v>0</v>
      </c>
      <c r="L182" s="114">
        <v>12124</v>
      </c>
      <c r="M182" s="114">
        <v>12124</v>
      </c>
      <c r="N182" s="114">
        <v>1387</v>
      </c>
      <c r="O182" s="114">
        <v>12124</v>
      </c>
      <c r="P182" s="114">
        <v>6668</v>
      </c>
      <c r="Q182" s="114">
        <v>4159</v>
      </c>
      <c r="R182" s="114">
        <v>0</v>
      </c>
      <c r="S182" s="114">
        <v>4850</v>
      </c>
      <c r="T182" s="196">
        <v>14014.859040000001</v>
      </c>
      <c r="U182" s="52">
        <f>IFERROR(INDEX(tblPiNAnalysis[[Site Management ]], MATCH(tblPiNHistorical[[#This Row],[ID]], tblPiNAnalysis[ID], 0)), "")</f>
        <v>0</v>
      </c>
      <c r="V182" s="52">
        <f>IFERROR(INDEX(tblPiNAnalysis[Education], MATCH(tblPiNHistorical[[#This Row],[ID]], tblPiNAnalysis[ID], 0)), "")</f>
        <v>0</v>
      </c>
      <c r="W182" s="28">
        <f>IFERROR(INDEX(tblPiNAnalysis[Food Security and Livlihoods], MATCH(tblPiNHistorical[[#This Row],[ID]], tblPiNAnalysis[ID], 0)), "")</f>
        <v>0</v>
      </c>
      <c r="X182" s="28">
        <f>IFERROR(INDEX(tblPiNAnalysis[[Health ]], MATCH(tblPiNHistorical[[#This Row],[ID]], tblPiNAnalysis[ID], 0)), "")</f>
        <v>0</v>
      </c>
      <c r="Y182" s="28">
        <f>IFERROR(INDEX(tblPiNAnalysis[Nutrition], MATCH(tblPiNHistorical[[#This Row],[ID]], tblPiNAnalysis[ID], 0)), "")</f>
        <v>0</v>
      </c>
      <c r="Z182" s="28">
        <f>IFERROR(INDEX(tblPiNAnalysis[Protection], MATCH(tblPiNHistorical[[#This Row],[ID]], tblPiNAnalysis[ID], 0)), "")</f>
        <v>0</v>
      </c>
      <c r="AA182" s="28">
        <f>IFERROR(INDEX(tblPiNAnalysis[CP], MATCH(tblPiNHistorical[[#This Row],[ID]], tblPiNAnalysis[ID], 0)), "")</f>
        <v>0</v>
      </c>
      <c r="AB182" s="83">
        <f>IFERROR(INDEX(tblPiNAnalysis[GBV], MATCH(tblPiNHistorical[[#This Row],[ID]], tblPiNAnalysis[ID], 0)), "")</f>
        <v>0</v>
      </c>
      <c r="AC182" s="28">
        <f>IFERROR(INDEX(tblPiNAnalysis[Mine Action], MATCH(tblPiNHistorical[[#This Row],[ID]], tblPiNAnalysis[ID], 0)), "")</f>
        <v>0</v>
      </c>
      <c r="AD182" s="83">
        <f>IFERROR(INDEX(tblPiNAnalysis[[Shelter NFI ]], MATCH(tblPiNHistorical[[#This Row],[ID]], tblPiNAnalysis[ID], 0)), "")</f>
        <v>7573</v>
      </c>
      <c r="AE182" s="35">
        <f>IFERROR(INDEX(tblPiNAnalysis[WASH], MATCH(tblPiNHistorical[[#This Row],[ID]], tblPiNAnalysis[ID], 0)), "")</f>
        <v>0</v>
      </c>
      <c r="AF182" s="6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182" s="67" t="str">
        <f>IF(OR(tblPiNHistorical[[#This Row],[Education Old]]="", tblPiNHistorical[[#This Row],[Education Old]]=0, tblPiNHistorical[[#This Row],[Education New]]="", tblPiNHistorical[[#This Row],[Education New]]=0), "", tblPiNHistorical[[#This Row],[Education New]]-tblPiNHistorical[[#This Row],[Education Old]])</f>
        <v/>
      </c>
      <c r="AH182" s="67"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182" s="67" t="str">
        <f>IF(OR(tblPiNHistorical[[#This Row],[Health Old]]="", tblPiNHistorical[[#This Row],[Health Old]]=0, tblPiNHistorical[[#This Row],[Health New]]="", tblPiNHistorical[[#This Row],[Health New]]=0), "", tblPiNHistorical[[#This Row],[Health New]]-tblPiNHistorical[[#This Row],[Health Old]])</f>
        <v/>
      </c>
      <c r="AJ182" s="67" t="str">
        <f>IF(OR(tblPiNHistorical[[#This Row],[Nutrition Old]]="", tblPiNHistorical[[#This Row],[Nutrition Old]]=0, tblPiNHistorical[[#This Row],[Nutrition New]]="", tblPiNHistorical[[#This Row],[Nutrition New]]=0), "", tblPiNHistorical[[#This Row],[Nutrition New]]-tblPiNHistorical[[#This Row],[Nutrition Old]])</f>
        <v/>
      </c>
      <c r="AK182" s="67" t="str">
        <f>IF(OR(tblPiNHistorical[[#This Row],[Protection Old]]="", tblPiNHistorical[[#This Row],[Protection Old]]=0, tblPiNHistorical[[#This Row],[Protection New]]="", tblPiNHistorical[[#This Row],[Protection New]]=0), "", tblPiNHistorical[[#This Row],[Protection New]]-tblPiNHistorical[[#This Row],[Protection Old]])</f>
        <v/>
      </c>
      <c r="AL182" s="67" t="str">
        <f>IF(OR(tblPiNHistorical[[#This Row],[CP Old ]]="", tblPiNHistorical[[#This Row],[CP Old ]]=0, tblPiNHistorical[[#This Row],[CP New]]="", tblPiNHistorical[[#This Row],[CP New]]=0), "", tblPiNHistorical[[#This Row],[CP New]]-tblPiNHistorical[[#This Row],[CP Old ]])</f>
        <v/>
      </c>
      <c r="AM182" s="83" t="str">
        <f>IF(OR(tblPiNHistorical[[#This Row],[GBV Old]]="", tblPiNHistorical[[#This Row],[GBV Old]]=0, tblPiNHistorical[[#This Row],[GBV New]]="", tblPiNHistorical[[#This Row],[GBV New]]=0), "", tblPiNHistorical[[#This Row],[GBV New]]-tblPiNHistorical[[#This Row],[GBV Old]])</f>
        <v/>
      </c>
      <c r="AN182" s="83" t="str">
        <f>IF(OR(tblPiNHistorical[[#This Row],[Mine Action Old]]="", tblPiNHistorical[[#This Row],[Mine Action Old]]=0, tblPiNHistorical[[#This Row],[Mine Action New]]="", tblPiNHistorical[[#This Row],[Mine Action New]]=0), "", tblPiNHistorical[[#This Row],[Mine Action New]]-tblPiNHistorical[[#This Row],[Mine Action Old]])</f>
        <v/>
      </c>
      <c r="AO182" s="67">
        <f>IF(OR(tblPiNHistorical[[#This Row],[Shelter NFI Old]]="", tblPiNHistorical[[#This Row],[Shelter NFI Old]]=0, tblPiNHistorical[[#This Row],[Shelter NFI New]]="", tblPiNHistorical[[#This Row],[Shelter NFI New]]=0), "", tblPiNHistorical[[#This Row],[Shelter NFI New]]-tblPiNHistorical[[#This Row],[Shelter NFI Old]])</f>
        <v>2723</v>
      </c>
      <c r="AP182" s="111" t="str">
        <f>IF(OR(tblPiNHistorical[[#This Row],[WASH Old]]="", tblPiNHistorical[[#This Row],[WASH Old]]=0, tblPiNHistorical[[#This Row],[WASH New]]="", tblPiNHistorical[[#This Row],[WASH New]]=0), "", tblPiNHistorical[[#This Row],[WASH New]]-tblPiNHistorical[[#This Row],[WASH Old]])</f>
        <v/>
      </c>
      <c r="AQ182" s="110">
        <f>IFERROR(ROUND((tblPiNHistorical[[#This Row],[Site Management - New]] - tblPiNHistorical[[#This Row],[Site Management - Old]])/tblPiNHistorical[[#This Row],[Site Management - Old]], 1), "")</f>
        <v>-1</v>
      </c>
      <c r="AR182" s="66" t="str">
        <f>IFERROR(ROUND((tblPiNHistorical[[#This Row],[Education New]]-tblPiNHistorical[[#This Row],[Education Old]])/tblPiNHistorical[[#This Row],[Education Old]], 1), "")</f>
        <v/>
      </c>
      <c r="AS182" s="66">
        <f>IFERROR(ROUND((tblPiNHistorical[[#This Row],[Food Security and Livlihoods New]]-tblPiNHistorical[[#This Row],[Food Security and Livlihoods Old]])/tblPiNHistorical[[#This Row],[Food Security and Livlihoods Old]], 1), "")</f>
        <v>-1</v>
      </c>
      <c r="AT182" s="66">
        <f>IFERROR(ROUND((tblPiNHistorical[[#This Row],[Health New]]-tblPiNHistorical[[#This Row],[Health Old]])/tblPiNHistorical[[#This Row],[Health Old]], 1), "")</f>
        <v>-1</v>
      </c>
      <c r="AU182" s="66">
        <f>IFERROR(ROUND((tblPiNHistorical[[#This Row],[Nutrition New]]-tblPiNHistorical[[#This Row],[Nutrition Old]])/tblPiNHistorical[[#This Row],[Nutrition Old]], 1), "")</f>
        <v>-1</v>
      </c>
      <c r="AV182" s="66">
        <f>IFERROR(ROUND((tblPiNHistorical[[#This Row],[Protection New]]-tblPiNHistorical[[#This Row],[Protection Old]])/tblPiNHistorical[[#This Row],[Protection Old]], 1), "")</f>
        <v>-1</v>
      </c>
      <c r="AW182" s="84">
        <f>IFERROR(ROUND((tblPiNHistorical[[#This Row],[CP New]]-tblPiNHistorical[[#This Row],[CP Old ]])/tblPiNHistorical[[#This Row],[CP Old ]], 1), "")</f>
        <v>-1</v>
      </c>
      <c r="AX182" s="84">
        <f>IFERROR(ROUND((tblPiNHistorical[[#This Row],[GBV New]]-tblPiNHistorical[[#This Row],[GBV Old]])/tblPiNHistorical[[#This Row],[GBV Old]], 1), "")</f>
        <v>-1</v>
      </c>
      <c r="AY182" s="84" t="str">
        <f>IFERROR(ROUND((tblPiNHistorical[[#This Row],[Mine Action New]]-tblPiNHistorical[[#This Row],[Mine Action Old]])/tblPiNHistorical[[#This Row],[Mine Action Old]], 1), "")</f>
        <v/>
      </c>
      <c r="AZ182" s="66">
        <f>IFERROR(ROUND((tblPiNHistorical[[#This Row],[Shelter NFI New]]-tblPiNHistorical[[#This Row],[Shelter NFI Old]])/tblPiNHistorical[[#This Row],[Shelter NFI Old]], 1), "")</f>
        <v>0.6</v>
      </c>
      <c r="BA182" s="36">
        <f>IFERROR(ROUND((tblPiNHistorical[[#This Row],[WASH New]]-tblPiNHistorical[[#This Row],[WASH Old]])/tblPiNHistorical[[#This Row],[WASH Old]], 1), "")</f>
        <v>-1</v>
      </c>
      <c r="BB182"/>
      <c r="BC182"/>
      <c r="BD182"/>
      <c r="BE182"/>
      <c r="BF182"/>
      <c r="BG182"/>
      <c r="BH182"/>
      <c r="BI182"/>
      <c r="BL182"/>
      <c r="BN182"/>
      <c r="BO182"/>
      <c r="BP182"/>
    </row>
    <row r="183" spans="1:68" x14ac:dyDescent="0.25">
      <c r="A183"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IDPsSD18085</v>
      </c>
      <c r="B183" s="127" t="s">
        <v>194</v>
      </c>
      <c r="C183" s="60" t="s">
        <v>135</v>
      </c>
      <c r="D183" s="60" t="s">
        <v>548</v>
      </c>
      <c r="E183" s="60" t="s">
        <v>549</v>
      </c>
      <c r="F183" s="54"/>
      <c r="G183" s="30"/>
      <c r="H183" s="56">
        <v>11730</v>
      </c>
      <c r="I183" s="37" t="s">
        <v>88</v>
      </c>
      <c r="J183" s="34">
        <v>7740</v>
      </c>
      <c r="K183" s="116">
        <v>4547.7209999999995</v>
      </c>
      <c r="L183" s="114">
        <v>11730</v>
      </c>
      <c r="M183" s="114">
        <v>11730</v>
      </c>
      <c r="N183" s="114">
        <v>748</v>
      </c>
      <c r="O183" s="114">
        <v>11730</v>
      </c>
      <c r="P183" s="114">
        <v>6452</v>
      </c>
      <c r="Q183" s="114">
        <v>0</v>
      </c>
      <c r="R183" s="114">
        <v>0</v>
      </c>
      <c r="S183" s="114">
        <v>4692</v>
      </c>
      <c r="T183" s="196">
        <v>4898.4479999999994</v>
      </c>
      <c r="U183" s="52">
        <f>IFERROR(INDEX(tblPiNAnalysis[[Site Management ]], MATCH(tblPiNHistorical[[#This Row],[ID]], tblPiNAnalysis[ID], 0)), "")</f>
        <v>0</v>
      </c>
      <c r="V183" s="52">
        <f>IFERROR(INDEX(tblPiNAnalysis[Education], MATCH(tblPiNHistorical[[#This Row],[ID]], tblPiNAnalysis[ID], 0)), "")</f>
        <v>0</v>
      </c>
      <c r="W183" s="28">
        <f>IFERROR(INDEX(tblPiNAnalysis[Food Security and Livlihoods], MATCH(tblPiNHistorical[[#This Row],[ID]], tblPiNAnalysis[ID], 0)), "")</f>
        <v>0</v>
      </c>
      <c r="X183" s="28">
        <f>IFERROR(INDEX(tblPiNAnalysis[[Health ]], MATCH(tblPiNHistorical[[#This Row],[ID]], tblPiNAnalysis[ID], 0)), "")</f>
        <v>0</v>
      </c>
      <c r="Y183" s="28">
        <f>IFERROR(INDEX(tblPiNAnalysis[Nutrition], MATCH(tblPiNHistorical[[#This Row],[ID]], tblPiNAnalysis[ID], 0)), "")</f>
        <v>0</v>
      </c>
      <c r="Z183" s="28">
        <f>IFERROR(INDEX(tblPiNAnalysis[Protection], MATCH(tblPiNHistorical[[#This Row],[ID]], tblPiNAnalysis[ID], 0)), "")</f>
        <v>0</v>
      </c>
      <c r="AA183" s="28">
        <f>IFERROR(INDEX(tblPiNAnalysis[CP], MATCH(tblPiNHistorical[[#This Row],[ID]], tblPiNAnalysis[ID], 0)), "")</f>
        <v>0</v>
      </c>
      <c r="AB183" s="83">
        <f>IFERROR(INDEX(tblPiNAnalysis[GBV], MATCH(tblPiNHistorical[[#This Row],[ID]], tblPiNAnalysis[ID], 0)), "")</f>
        <v>0</v>
      </c>
      <c r="AC183" s="28">
        <f>IFERROR(INDEX(tblPiNAnalysis[Mine Action], MATCH(tblPiNHistorical[[#This Row],[ID]], tblPiNAnalysis[ID], 0)), "")</f>
        <v>0</v>
      </c>
      <c r="AD183" s="83">
        <f>IFERROR(INDEX(tblPiNAnalysis[[Shelter NFI ]], MATCH(tblPiNHistorical[[#This Row],[ID]], tblPiNAnalysis[ID], 0)), "")</f>
        <v>10962</v>
      </c>
      <c r="AE183" s="35">
        <f>IFERROR(INDEX(tblPiNAnalysis[WASH], MATCH(tblPiNHistorical[[#This Row],[ID]], tblPiNAnalysis[ID], 0)), "")</f>
        <v>0</v>
      </c>
      <c r="AF183" s="6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183" s="67" t="str">
        <f>IF(OR(tblPiNHistorical[[#This Row],[Education Old]]="", tblPiNHistorical[[#This Row],[Education Old]]=0, tblPiNHistorical[[#This Row],[Education New]]="", tblPiNHistorical[[#This Row],[Education New]]=0), "", tblPiNHistorical[[#This Row],[Education New]]-tblPiNHistorical[[#This Row],[Education Old]])</f>
        <v/>
      </c>
      <c r="AH183" s="67"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183" s="67" t="str">
        <f>IF(OR(tblPiNHistorical[[#This Row],[Health Old]]="", tblPiNHistorical[[#This Row],[Health Old]]=0, tblPiNHistorical[[#This Row],[Health New]]="", tblPiNHistorical[[#This Row],[Health New]]=0), "", tblPiNHistorical[[#This Row],[Health New]]-tblPiNHistorical[[#This Row],[Health Old]])</f>
        <v/>
      </c>
      <c r="AJ183" s="67" t="str">
        <f>IF(OR(tblPiNHistorical[[#This Row],[Nutrition Old]]="", tblPiNHistorical[[#This Row],[Nutrition Old]]=0, tblPiNHistorical[[#This Row],[Nutrition New]]="", tblPiNHistorical[[#This Row],[Nutrition New]]=0), "", tblPiNHistorical[[#This Row],[Nutrition New]]-tblPiNHistorical[[#This Row],[Nutrition Old]])</f>
        <v/>
      </c>
      <c r="AK183" s="67" t="str">
        <f>IF(OR(tblPiNHistorical[[#This Row],[Protection Old]]="", tblPiNHistorical[[#This Row],[Protection Old]]=0, tblPiNHistorical[[#This Row],[Protection New]]="", tblPiNHistorical[[#This Row],[Protection New]]=0), "", tblPiNHistorical[[#This Row],[Protection New]]-tblPiNHistorical[[#This Row],[Protection Old]])</f>
        <v/>
      </c>
      <c r="AL183" s="67" t="str">
        <f>IF(OR(tblPiNHistorical[[#This Row],[CP Old ]]="", tblPiNHistorical[[#This Row],[CP Old ]]=0, tblPiNHistorical[[#This Row],[CP New]]="", tblPiNHistorical[[#This Row],[CP New]]=0), "", tblPiNHistorical[[#This Row],[CP New]]-tblPiNHistorical[[#This Row],[CP Old ]])</f>
        <v/>
      </c>
      <c r="AM183" s="83" t="str">
        <f>IF(OR(tblPiNHistorical[[#This Row],[GBV Old]]="", tblPiNHistorical[[#This Row],[GBV Old]]=0, tblPiNHistorical[[#This Row],[GBV New]]="", tblPiNHistorical[[#This Row],[GBV New]]=0), "", tblPiNHistorical[[#This Row],[GBV New]]-tblPiNHistorical[[#This Row],[GBV Old]])</f>
        <v/>
      </c>
      <c r="AN183" s="83" t="str">
        <f>IF(OR(tblPiNHistorical[[#This Row],[Mine Action Old]]="", tblPiNHistorical[[#This Row],[Mine Action Old]]=0, tblPiNHistorical[[#This Row],[Mine Action New]]="", tblPiNHistorical[[#This Row],[Mine Action New]]=0), "", tblPiNHistorical[[#This Row],[Mine Action New]]-tblPiNHistorical[[#This Row],[Mine Action Old]])</f>
        <v/>
      </c>
      <c r="AO183" s="67">
        <f>IF(OR(tblPiNHistorical[[#This Row],[Shelter NFI Old]]="", tblPiNHistorical[[#This Row],[Shelter NFI Old]]=0, tblPiNHistorical[[#This Row],[Shelter NFI New]]="", tblPiNHistorical[[#This Row],[Shelter NFI New]]=0), "", tblPiNHistorical[[#This Row],[Shelter NFI New]]-tblPiNHistorical[[#This Row],[Shelter NFI Old]])</f>
        <v>6270</v>
      </c>
      <c r="AP183" s="111" t="str">
        <f>IF(OR(tblPiNHistorical[[#This Row],[WASH Old]]="", tblPiNHistorical[[#This Row],[WASH Old]]=0, tblPiNHistorical[[#This Row],[WASH New]]="", tblPiNHistorical[[#This Row],[WASH New]]=0), "", tblPiNHistorical[[#This Row],[WASH New]]-tblPiNHistorical[[#This Row],[WASH Old]])</f>
        <v/>
      </c>
      <c r="AQ183" s="110">
        <f>IFERROR(ROUND((tblPiNHistorical[[#This Row],[Site Management - New]] - tblPiNHistorical[[#This Row],[Site Management - Old]])/tblPiNHistorical[[#This Row],[Site Management - Old]], 1), "")</f>
        <v>-1</v>
      </c>
      <c r="AR183" s="66">
        <f>IFERROR(ROUND((tblPiNHistorical[[#This Row],[Education New]]-tblPiNHistorical[[#This Row],[Education Old]])/tblPiNHistorical[[#This Row],[Education Old]], 1), "")</f>
        <v>-1</v>
      </c>
      <c r="AS183" s="66">
        <f>IFERROR(ROUND((tblPiNHistorical[[#This Row],[Food Security and Livlihoods New]]-tblPiNHistorical[[#This Row],[Food Security and Livlihoods Old]])/tblPiNHistorical[[#This Row],[Food Security and Livlihoods Old]], 1), "")</f>
        <v>-1</v>
      </c>
      <c r="AT183" s="66">
        <f>IFERROR(ROUND((tblPiNHistorical[[#This Row],[Health New]]-tblPiNHistorical[[#This Row],[Health Old]])/tblPiNHistorical[[#This Row],[Health Old]], 1), "")</f>
        <v>-1</v>
      </c>
      <c r="AU183" s="66">
        <f>IFERROR(ROUND((tblPiNHistorical[[#This Row],[Nutrition New]]-tblPiNHistorical[[#This Row],[Nutrition Old]])/tblPiNHistorical[[#This Row],[Nutrition Old]], 1), "")</f>
        <v>-1</v>
      </c>
      <c r="AV183" s="66">
        <f>IFERROR(ROUND((tblPiNHistorical[[#This Row],[Protection New]]-tblPiNHistorical[[#This Row],[Protection Old]])/tblPiNHistorical[[#This Row],[Protection Old]], 1), "")</f>
        <v>-1</v>
      </c>
      <c r="AW183" s="84">
        <f>IFERROR(ROUND((tblPiNHistorical[[#This Row],[CP New]]-tblPiNHistorical[[#This Row],[CP Old ]])/tblPiNHistorical[[#This Row],[CP Old ]], 1), "")</f>
        <v>-1</v>
      </c>
      <c r="AX183" s="84" t="str">
        <f>IFERROR(ROUND((tblPiNHistorical[[#This Row],[GBV New]]-tblPiNHistorical[[#This Row],[GBV Old]])/tblPiNHistorical[[#This Row],[GBV Old]], 1), "")</f>
        <v/>
      </c>
      <c r="AY183" s="84" t="str">
        <f>IFERROR(ROUND((tblPiNHistorical[[#This Row],[Mine Action New]]-tblPiNHistorical[[#This Row],[Mine Action Old]])/tblPiNHistorical[[#This Row],[Mine Action Old]], 1), "")</f>
        <v/>
      </c>
      <c r="AZ183" s="66">
        <f>IFERROR(ROUND((tblPiNHistorical[[#This Row],[Shelter NFI New]]-tblPiNHistorical[[#This Row],[Shelter NFI Old]])/tblPiNHistorical[[#This Row],[Shelter NFI Old]], 1), "")</f>
        <v>1.3</v>
      </c>
      <c r="BA183" s="36">
        <f>IFERROR(ROUND((tblPiNHistorical[[#This Row],[WASH New]]-tblPiNHistorical[[#This Row],[WASH Old]])/tblPiNHistorical[[#This Row],[WASH Old]], 1), "")</f>
        <v>-1</v>
      </c>
      <c r="BB183"/>
      <c r="BC183"/>
      <c r="BD183"/>
      <c r="BE183"/>
      <c r="BF183"/>
      <c r="BG183"/>
      <c r="BH183"/>
      <c r="BI183"/>
      <c r="BL183"/>
      <c r="BN183"/>
      <c r="BO183"/>
      <c r="BP183"/>
    </row>
    <row r="184" spans="1:68" x14ac:dyDescent="0.25">
      <c r="A184"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IDPsSD18029</v>
      </c>
      <c r="B184" s="127" t="s">
        <v>194</v>
      </c>
      <c r="C184" s="60" t="s">
        <v>135</v>
      </c>
      <c r="D184" s="60" t="s">
        <v>546</v>
      </c>
      <c r="E184" s="60" t="s">
        <v>547</v>
      </c>
      <c r="F184" s="54"/>
      <c r="G184" s="30"/>
      <c r="H184" s="56">
        <v>4603</v>
      </c>
      <c r="I184" s="37" t="s">
        <v>88</v>
      </c>
      <c r="J184" s="34">
        <v>812</v>
      </c>
      <c r="K184" s="116">
        <v>0</v>
      </c>
      <c r="L184" s="114">
        <v>4603</v>
      </c>
      <c r="M184" s="114">
        <v>4603</v>
      </c>
      <c r="N184" s="114">
        <v>506</v>
      </c>
      <c r="O184" s="114">
        <v>4603</v>
      </c>
      <c r="P184" s="114">
        <v>2532</v>
      </c>
      <c r="Q184" s="114">
        <v>1579</v>
      </c>
      <c r="R184" s="114">
        <v>0</v>
      </c>
      <c r="S184" s="114">
        <v>0</v>
      </c>
      <c r="T184" s="196">
        <v>0</v>
      </c>
      <c r="U184" s="52">
        <f>IFERROR(INDEX(tblPiNAnalysis[[Site Management ]], MATCH(tblPiNHistorical[[#This Row],[ID]], tblPiNAnalysis[ID], 0)), "")</f>
        <v>0</v>
      </c>
      <c r="V184" s="52">
        <f>IFERROR(INDEX(tblPiNAnalysis[Education], MATCH(tblPiNHistorical[[#This Row],[ID]], tblPiNAnalysis[ID], 0)), "")</f>
        <v>0</v>
      </c>
      <c r="W184" s="28">
        <f>IFERROR(INDEX(tblPiNAnalysis[Food Security and Livlihoods], MATCH(tblPiNHistorical[[#This Row],[ID]], tblPiNAnalysis[ID], 0)), "")</f>
        <v>0</v>
      </c>
      <c r="X184" s="28">
        <f>IFERROR(INDEX(tblPiNAnalysis[[Health ]], MATCH(tblPiNHistorical[[#This Row],[ID]], tblPiNAnalysis[ID], 0)), "")</f>
        <v>0</v>
      </c>
      <c r="Y184" s="28">
        <f>IFERROR(INDEX(tblPiNAnalysis[Nutrition], MATCH(tblPiNHistorical[[#This Row],[ID]], tblPiNAnalysis[ID], 0)), "")</f>
        <v>0</v>
      </c>
      <c r="Z184" s="28">
        <f>IFERROR(INDEX(tblPiNAnalysis[Protection], MATCH(tblPiNHistorical[[#This Row],[ID]], tblPiNAnalysis[ID], 0)), "")</f>
        <v>0</v>
      </c>
      <c r="AA184" s="28">
        <f>IFERROR(INDEX(tblPiNAnalysis[CP], MATCH(tblPiNHistorical[[#This Row],[ID]], tblPiNAnalysis[ID], 0)), "")</f>
        <v>0</v>
      </c>
      <c r="AB184" s="83">
        <f>IFERROR(INDEX(tblPiNAnalysis[GBV], MATCH(tblPiNHistorical[[#This Row],[ID]], tblPiNAnalysis[ID], 0)), "")</f>
        <v>0</v>
      </c>
      <c r="AC184" s="28">
        <f>IFERROR(INDEX(tblPiNAnalysis[Mine Action], MATCH(tblPiNHistorical[[#This Row],[ID]], tblPiNAnalysis[ID], 0)), "")</f>
        <v>0</v>
      </c>
      <c r="AD184" s="83">
        <f>IFERROR(INDEX(tblPiNAnalysis[[Shelter NFI ]], MATCH(tblPiNHistorical[[#This Row],[ID]], tblPiNAnalysis[ID], 0)), "")</f>
        <v>3668</v>
      </c>
      <c r="AE184" s="35">
        <f>IFERROR(INDEX(tblPiNAnalysis[WASH], MATCH(tblPiNHistorical[[#This Row],[ID]], tblPiNAnalysis[ID], 0)), "")</f>
        <v>0</v>
      </c>
      <c r="AF184" s="6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184" s="67" t="str">
        <f>IF(OR(tblPiNHistorical[[#This Row],[Education Old]]="", tblPiNHistorical[[#This Row],[Education Old]]=0, tblPiNHistorical[[#This Row],[Education New]]="", tblPiNHistorical[[#This Row],[Education New]]=0), "", tblPiNHistorical[[#This Row],[Education New]]-tblPiNHistorical[[#This Row],[Education Old]])</f>
        <v/>
      </c>
      <c r="AH184" s="67"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184" s="67" t="str">
        <f>IF(OR(tblPiNHistorical[[#This Row],[Health Old]]="", tblPiNHistorical[[#This Row],[Health Old]]=0, tblPiNHistorical[[#This Row],[Health New]]="", tblPiNHistorical[[#This Row],[Health New]]=0), "", tblPiNHistorical[[#This Row],[Health New]]-tblPiNHistorical[[#This Row],[Health Old]])</f>
        <v/>
      </c>
      <c r="AJ184" s="67" t="str">
        <f>IF(OR(tblPiNHistorical[[#This Row],[Nutrition Old]]="", tblPiNHistorical[[#This Row],[Nutrition Old]]=0, tblPiNHistorical[[#This Row],[Nutrition New]]="", tblPiNHistorical[[#This Row],[Nutrition New]]=0), "", tblPiNHistorical[[#This Row],[Nutrition New]]-tblPiNHistorical[[#This Row],[Nutrition Old]])</f>
        <v/>
      </c>
      <c r="AK184" s="67" t="str">
        <f>IF(OR(tblPiNHistorical[[#This Row],[Protection Old]]="", tblPiNHistorical[[#This Row],[Protection Old]]=0, tblPiNHistorical[[#This Row],[Protection New]]="", tblPiNHistorical[[#This Row],[Protection New]]=0), "", tblPiNHistorical[[#This Row],[Protection New]]-tblPiNHistorical[[#This Row],[Protection Old]])</f>
        <v/>
      </c>
      <c r="AL184" s="67" t="str">
        <f>IF(OR(tblPiNHistorical[[#This Row],[CP Old ]]="", tblPiNHistorical[[#This Row],[CP Old ]]=0, tblPiNHistorical[[#This Row],[CP New]]="", tblPiNHistorical[[#This Row],[CP New]]=0), "", tblPiNHistorical[[#This Row],[CP New]]-tblPiNHistorical[[#This Row],[CP Old ]])</f>
        <v/>
      </c>
      <c r="AM184" s="83" t="str">
        <f>IF(OR(tblPiNHistorical[[#This Row],[GBV Old]]="", tblPiNHistorical[[#This Row],[GBV Old]]=0, tblPiNHistorical[[#This Row],[GBV New]]="", tblPiNHistorical[[#This Row],[GBV New]]=0), "", tblPiNHistorical[[#This Row],[GBV New]]-tblPiNHistorical[[#This Row],[GBV Old]])</f>
        <v/>
      </c>
      <c r="AN184" s="83" t="str">
        <f>IF(OR(tblPiNHistorical[[#This Row],[Mine Action Old]]="", tblPiNHistorical[[#This Row],[Mine Action Old]]=0, tblPiNHistorical[[#This Row],[Mine Action New]]="", tblPiNHistorical[[#This Row],[Mine Action New]]=0), "", tblPiNHistorical[[#This Row],[Mine Action New]]-tblPiNHistorical[[#This Row],[Mine Action Old]])</f>
        <v/>
      </c>
      <c r="AO184" s="67" t="str">
        <f>IF(OR(tblPiNHistorical[[#This Row],[Shelter NFI Old]]="", tblPiNHistorical[[#This Row],[Shelter NFI Old]]=0, tblPiNHistorical[[#This Row],[Shelter NFI New]]="", tblPiNHistorical[[#This Row],[Shelter NFI New]]=0), "", tblPiNHistorical[[#This Row],[Shelter NFI New]]-tblPiNHistorical[[#This Row],[Shelter NFI Old]])</f>
        <v/>
      </c>
      <c r="AP184" s="111" t="str">
        <f>IF(OR(tblPiNHistorical[[#This Row],[WASH Old]]="", tblPiNHistorical[[#This Row],[WASH Old]]=0, tblPiNHistorical[[#This Row],[WASH New]]="", tblPiNHistorical[[#This Row],[WASH New]]=0), "", tblPiNHistorical[[#This Row],[WASH New]]-tblPiNHistorical[[#This Row],[WASH Old]])</f>
        <v/>
      </c>
      <c r="AQ184" s="110">
        <f>IFERROR(ROUND((tblPiNHistorical[[#This Row],[Site Management - New]] - tblPiNHistorical[[#This Row],[Site Management - Old]])/tblPiNHistorical[[#This Row],[Site Management - Old]], 1), "")</f>
        <v>-1</v>
      </c>
      <c r="AR184" s="66" t="str">
        <f>IFERROR(ROUND((tblPiNHistorical[[#This Row],[Education New]]-tblPiNHistorical[[#This Row],[Education Old]])/tblPiNHistorical[[#This Row],[Education Old]], 1), "")</f>
        <v/>
      </c>
      <c r="AS184" s="66">
        <f>IFERROR(ROUND((tblPiNHistorical[[#This Row],[Food Security and Livlihoods New]]-tblPiNHistorical[[#This Row],[Food Security and Livlihoods Old]])/tblPiNHistorical[[#This Row],[Food Security and Livlihoods Old]], 1), "")</f>
        <v>-1</v>
      </c>
      <c r="AT184" s="66">
        <f>IFERROR(ROUND((tblPiNHistorical[[#This Row],[Health New]]-tblPiNHistorical[[#This Row],[Health Old]])/tblPiNHistorical[[#This Row],[Health Old]], 1), "")</f>
        <v>-1</v>
      </c>
      <c r="AU184" s="66">
        <f>IFERROR(ROUND((tblPiNHistorical[[#This Row],[Nutrition New]]-tblPiNHistorical[[#This Row],[Nutrition Old]])/tblPiNHistorical[[#This Row],[Nutrition Old]], 1), "")</f>
        <v>-1</v>
      </c>
      <c r="AV184" s="66">
        <f>IFERROR(ROUND((tblPiNHistorical[[#This Row],[Protection New]]-tblPiNHistorical[[#This Row],[Protection Old]])/tblPiNHistorical[[#This Row],[Protection Old]], 1), "")</f>
        <v>-1</v>
      </c>
      <c r="AW184" s="84">
        <f>IFERROR(ROUND((tblPiNHistorical[[#This Row],[CP New]]-tblPiNHistorical[[#This Row],[CP Old ]])/tblPiNHistorical[[#This Row],[CP Old ]], 1), "")</f>
        <v>-1</v>
      </c>
      <c r="AX184" s="84">
        <f>IFERROR(ROUND((tblPiNHistorical[[#This Row],[GBV New]]-tblPiNHistorical[[#This Row],[GBV Old]])/tblPiNHistorical[[#This Row],[GBV Old]], 1), "")</f>
        <v>-1</v>
      </c>
      <c r="AY184" s="84" t="str">
        <f>IFERROR(ROUND((tblPiNHistorical[[#This Row],[Mine Action New]]-tblPiNHistorical[[#This Row],[Mine Action Old]])/tblPiNHistorical[[#This Row],[Mine Action Old]], 1), "")</f>
        <v/>
      </c>
      <c r="AZ184" s="66" t="str">
        <f>IFERROR(ROUND((tblPiNHistorical[[#This Row],[Shelter NFI New]]-tblPiNHistorical[[#This Row],[Shelter NFI Old]])/tblPiNHistorical[[#This Row],[Shelter NFI Old]], 1), "")</f>
        <v/>
      </c>
      <c r="BA184" s="36" t="str">
        <f>IFERROR(ROUND((tblPiNHistorical[[#This Row],[WASH New]]-tblPiNHistorical[[#This Row],[WASH Old]])/tblPiNHistorical[[#This Row],[WASH Old]], 1), "")</f>
        <v/>
      </c>
      <c r="BB184"/>
      <c r="BC184"/>
      <c r="BD184"/>
      <c r="BE184"/>
      <c r="BF184"/>
      <c r="BG184"/>
      <c r="BH184"/>
      <c r="BI184"/>
      <c r="BL184"/>
      <c r="BN184"/>
      <c r="BO184"/>
      <c r="BP184"/>
    </row>
    <row r="185" spans="1:68" x14ac:dyDescent="0.25">
      <c r="A185"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IDPsSD09044</v>
      </c>
      <c r="B185" s="127" t="s">
        <v>197</v>
      </c>
      <c r="C185" s="60" t="s">
        <v>126</v>
      </c>
      <c r="D185" s="60" t="s">
        <v>384</v>
      </c>
      <c r="E185" s="60" t="s">
        <v>385</v>
      </c>
      <c r="F185" s="54"/>
      <c r="G185" s="30"/>
      <c r="H185" s="56">
        <v>70232</v>
      </c>
      <c r="I185" s="37" t="s">
        <v>88</v>
      </c>
      <c r="J185" s="34">
        <v>1545</v>
      </c>
      <c r="K185" s="116">
        <v>27228.946400000001</v>
      </c>
      <c r="L185" s="114">
        <v>70232</v>
      </c>
      <c r="M185" s="114">
        <v>70232</v>
      </c>
      <c r="N185" s="114">
        <v>4543</v>
      </c>
      <c r="O185" s="114">
        <v>70232</v>
      </c>
      <c r="P185" s="114">
        <v>38628</v>
      </c>
      <c r="Q185" s="114">
        <v>27798</v>
      </c>
      <c r="R185" s="114">
        <v>0</v>
      </c>
      <c r="S185" s="114">
        <v>42139</v>
      </c>
      <c r="T185" s="196">
        <v>53129.103360000001</v>
      </c>
      <c r="U185" s="52">
        <f>IFERROR(INDEX(tblPiNAnalysis[[Site Management ]], MATCH(tblPiNHistorical[[#This Row],[ID]], tblPiNAnalysis[ID], 0)), "")</f>
        <v>0</v>
      </c>
      <c r="V185" s="52">
        <f>IFERROR(INDEX(tblPiNAnalysis[Education], MATCH(tblPiNHistorical[[#This Row],[ID]], tblPiNAnalysis[ID], 0)), "")</f>
        <v>0</v>
      </c>
      <c r="W185" s="28">
        <f>IFERROR(INDEX(tblPiNAnalysis[Food Security and Livlihoods], MATCH(tblPiNHistorical[[#This Row],[ID]], tblPiNAnalysis[ID], 0)), "")</f>
        <v>0</v>
      </c>
      <c r="X185" s="28">
        <f>IFERROR(INDEX(tblPiNAnalysis[[Health ]], MATCH(tblPiNHistorical[[#This Row],[ID]], tblPiNAnalysis[ID], 0)), "")</f>
        <v>0</v>
      </c>
      <c r="Y185" s="28">
        <f>IFERROR(INDEX(tblPiNAnalysis[Nutrition], MATCH(tblPiNHistorical[[#This Row],[ID]], tblPiNAnalysis[ID], 0)), "")</f>
        <v>0</v>
      </c>
      <c r="Z185" s="28">
        <f>IFERROR(INDEX(tblPiNAnalysis[Protection], MATCH(tblPiNHistorical[[#This Row],[ID]], tblPiNAnalysis[ID], 0)), "")</f>
        <v>0</v>
      </c>
      <c r="AA185" s="28">
        <f>IFERROR(INDEX(tblPiNAnalysis[CP], MATCH(tblPiNHistorical[[#This Row],[ID]], tblPiNAnalysis[ID], 0)), "")</f>
        <v>0</v>
      </c>
      <c r="AB185" s="83">
        <f>IFERROR(INDEX(tblPiNAnalysis[GBV], MATCH(tblPiNHistorical[[#This Row],[ID]], tblPiNAnalysis[ID], 0)), "")</f>
        <v>0</v>
      </c>
      <c r="AC185" s="28">
        <f>IFERROR(INDEX(tblPiNAnalysis[Mine Action], MATCH(tblPiNHistorical[[#This Row],[ID]], tblPiNAnalysis[ID], 0)), "")</f>
        <v>0</v>
      </c>
      <c r="AD185" s="83">
        <f>IFERROR(INDEX(tblPiNAnalysis[[Shelter NFI ]], MATCH(tblPiNHistorical[[#This Row],[ID]], tblPiNAnalysis[ID], 0)), "")</f>
        <v>51905</v>
      </c>
      <c r="AE185" s="35">
        <f>IFERROR(INDEX(tblPiNAnalysis[WASH], MATCH(tblPiNHistorical[[#This Row],[ID]], tblPiNAnalysis[ID], 0)), "")</f>
        <v>0</v>
      </c>
      <c r="AF185" s="6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185" s="67" t="str">
        <f>IF(OR(tblPiNHistorical[[#This Row],[Education Old]]="", tblPiNHistorical[[#This Row],[Education Old]]=0, tblPiNHistorical[[#This Row],[Education New]]="", tblPiNHistorical[[#This Row],[Education New]]=0), "", tblPiNHistorical[[#This Row],[Education New]]-tblPiNHistorical[[#This Row],[Education Old]])</f>
        <v/>
      </c>
      <c r="AH185" s="67"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185" s="67" t="str">
        <f>IF(OR(tblPiNHistorical[[#This Row],[Health Old]]="", tblPiNHistorical[[#This Row],[Health Old]]=0, tblPiNHistorical[[#This Row],[Health New]]="", tblPiNHistorical[[#This Row],[Health New]]=0), "", tblPiNHistorical[[#This Row],[Health New]]-tblPiNHistorical[[#This Row],[Health Old]])</f>
        <v/>
      </c>
      <c r="AJ185" s="67" t="str">
        <f>IF(OR(tblPiNHistorical[[#This Row],[Nutrition Old]]="", tblPiNHistorical[[#This Row],[Nutrition Old]]=0, tblPiNHistorical[[#This Row],[Nutrition New]]="", tblPiNHistorical[[#This Row],[Nutrition New]]=0), "", tblPiNHistorical[[#This Row],[Nutrition New]]-tblPiNHistorical[[#This Row],[Nutrition Old]])</f>
        <v/>
      </c>
      <c r="AK185" s="67" t="str">
        <f>IF(OR(tblPiNHistorical[[#This Row],[Protection Old]]="", tblPiNHistorical[[#This Row],[Protection Old]]=0, tblPiNHistorical[[#This Row],[Protection New]]="", tblPiNHistorical[[#This Row],[Protection New]]=0), "", tblPiNHistorical[[#This Row],[Protection New]]-tblPiNHistorical[[#This Row],[Protection Old]])</f>
        <v/>
      </c>
      <c r="AL185" s="67" t="str">
        <f>IF(OR(tblPiNHistorical[[#This Row],[CP Old ]]="", tblPiNHistorical[[#This Row],[CP Old ]]=0, tblPiNHistorical[[#This Row],[CP New]]="", tblPiNHistorical[[#This Row],[CP New]]=0), "", tblPiNHistorical[[#This Row],[CP New]]-tblPiNHistorical[[#This Row],[CP Old ]])</f>
        <v/>
      </c>
      <c r="AM185" s="83" t="str">
        <f>IF(OR(tblPiNHistorical[[#This Row],[GBV Old]]="", tblPiNHistorical[[#This Row],[GBV Old]]=0, tblPiNHistorical[[#This Row],[GBV New]]="", tblPiNHistorical[[#This Row],[GBV New]]=0), "", tblPiNHistorical[[#This Row],[GBV New]]-tblPiNHistorical[[#This Row],[GBV Old]])</f>
        <v/>
      </c>
      <c r="AN185" s="83" t="str">
        <f>IF(OR(tblPiNHistorical[[#This Row],[Mine Action Old]]="", tblPiNHistorical[[#This Row],[Mine Action Old]]=0, tblPiNHistorical[[#This Row],[Mine Action New]]="", tblPiNHistorical[[#This Row],[Mine Action New]]=0), "", tblPiNHistorical[[#This Row],[Mine Action New]]-tblPiNHistorical[[#This Row],[Mine Action Old]])</f>
        <v/>
      </c>
      <c r="AO185" s="67">
        <f>IF(OR(tblPiNHistorical[[#This Row],[Shelter NFI Old]]="", tblPiNHistorical[[#This Row],[Shelter NFI Old]]=0, tblPiNHistorical[[#This Row],[Shelter NFI New]]="", tblPiNHistorical[[#This Row],[Shelter NFI New]]=0), "", tblPiNHistorical[[#This Row],[Shelter NFI New]]-tblPiNHistorical[[#This Row],[Shelter NFI Old]])</f>
        <v>9766</v>
      </c>
      <c r="AP185" s="111" t="str">
        <f>IF(OR(tblPiNHistorical[[#This Row],[WASH Old]]="", tblPiNHistorical[[#This Row],[WASH Old]]=0, tblPiNHistorical[[#This Row],[WASH New]]="", tblPiNHistorical[[#This Row],[WASH New]]=0), "", tblPiNHistorical[[#This Row],[WASH New]]-tblPiNHistorical[[#This Row],[WASH Old]])</f>
        <v/>
      </c>
      <c r="AQ185" s="110">
        <f>IFERROR(ROUND((tblPiNHistorical[[#This Row],[Site Management - New]] - tblPiNHistorical[[#This Row],[Site Management - Old]])/tblPiNHistorical[[#This Row],[Site Management - Old]], 1), "")</f>
        <v>-1</v>
      </c>
      <c r="AR185" s="66">
        <f>IFERROR(ROUND((tblPiNHistorical[[#This Row],[Education New]]-tblPiNHistorical[[#This Row],[Education Old]])/tblPiNHistorical[[#This Row],[Education Old]], 1), "")</f>
        <v>-1</v>
      </c>
      <c r="AS185" s="66">
        <f>IFERROR(ROUND((tblPiNHistorical[[#This Row],[Food Security and Livlihoods New]]-tblPiNHistorical[[#This Row],[Food Security and Livlihoods Old]])/tblPiNHistorical[[#This Row],[Food Security and Livlihoods Old]], 1), "")</f>
        <v>-1</v>
      </c>
      <c r="AT185" s="66">
        <f>IFERROR(ROUND((tblPiNHistorical[[#This Row],[Health New]]-tblPiNHistorical[[#This Row],[Health Old]])/tblPiNHistorical[[#This Row],[Health Old]], 1), "")</f>
        <v>-1</v>
      </c>
      <c r="AU185" s="66">
        <f>IFERROR(ROUND((tblPiNHistorical[[#This Row],[Nutrition New]]-tblPiNHistorical[[#This Row],[Nutrition Old]])/tblPiNHistorical[[#This Row],[Nutrition Old]], 1), "")</f>
        <v>-1</v>
      </c>
      <c r="AV185" s="66">
        <f>IFERROR(ROUND((tblPiNHistorical[[#This Row],[Protection New]]-tblPiNHistorical[[#This Row],[Protection Old]])/tblPiNHistorical[[#This Row],[Protection Old]], 1), "")</f>
        <v>-1</v>
      </c>
      <c r="AW185" s="84">
        <f>IFERROR(ROUND((tblPiNHistorical[[#This Row],[CP New]]-tblPiNHistorical[[#This Row],[CP Old ]])/tblPiNHistorical[[#This Row],[CP Old ]], 1), "")</f>
        <v>-1</v>
      </c>
      <c r="AX185" s="84">
        <f>IFERROR(ROUND((tblPiNHistorical[[#This Row],[GBV New]]-tblPiNHistorical[[#This Row],[GBV Old]])/tblPiNHistorical[[#This Row],[GBV Old]], 1), "")</f>
        <v>-1</v>
      </c>
      <c r="AY185" s="84" t="str">
        <f>IFERROR(ROUND((tblPiNHistorical[[#This Row],[Mine Action New]]-tblPiNHistorical[[#This Row],[Mine Action Old]])/tblPiNHistorical[[#This Row],[Mine Action Old]], 1), "")</f>
        <v/>
      </c>
      <c r="AZ185" s="66">
        <f>IFERROR(ROUND((tblPiNHistorical[[#This Row],[Shelter NFI New]]-tblPiNHistorical[[#This Row],[Shelter NFI Old]])/tblPiNHistorical[[#This Row],[Shelter NFI Old]], 1), "")</f>
        <v>0.2</v>
      </c>
      <c r="BA185" s="36">
        <f>IFERROR(ROUND((tblPiNHistorical[[#This Row],[WASH New]]-tblPiNHistorical[[#This Row],[WASH Old]])/tblPiNHistorical[[#This Row],[WASH Old]], 1), "")</f>
        <v>-1</v>
      </c>
      <c r="BB185"/>
      <c r="BC185"/>
      <c r="BD185"/>
      <c r="BE185"/>
      <c r="BF185"/>
      <c r="BG185"/>
      <c r="BH185"/>
      <c r="BI185"/>
      <c r="BL185"/>
      <c r="BN185"/>
      <c r="BO185"/>
      <c r="BP185"/>
    </row>
    <row r="186" spans="1:68" x14ac:dyDescent="0.25">
      <c r="A186"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IDPsSD09051</v>
      </c>
      <c r="B186" s="127" t="s">
        <v>197</v>
      </c>
      <c r="C186" s="60" t="s">
        <v>126</v>
      </c>
      <c r="D186" s="60" t="s">
        <v>398</v>
      </c>
      <c r="E186" s="60" t="s">
        <v>399</v>
      </c>
      <c r="F186" s="54"/>
      <c r="G186" s="30"/>
      <c r="H186" s="56">
        <v>92993</v>
      </c>
      <c r="I186" s="37" t="s">
        <v>88</v>
      </c>
      <c r="J186" s="34">
        <v>64900</v>
      </c>
      <c r="K186" s="116">
        <v>36053.386099999996</v>
      </c>
      <c r="L186" s="114">
        <v>92993</v>
      </c>
      <c r="M186" s="114">
        <v>92993</v>
      </c>
      <c r="N186" s="114">
        <v>8835</v>
      </c>
      <c r="O186" s="114">
        <v>92993</v>
      </c>
      <c r="P186" s="114">
        <v>51146</v>
      </c>
      <c r="Q186" s="114">
        <v>36806</v>
      </c>
      <c r="R186" s="114">
        <v>0</v>
      </c>
      <c r="S186" s="114">
        <v>55796</v>
      </c>
      <c r="T186" s="196">
        <v>68349.854999999996</v>
      </c>
      <c r="U186" s="52">
        <f>IFERROR(INDEX(tblPiNAnalysis[[Site Management ]], MATCH(tblPiNHistorical[[#This Row],[ID]], tblPiNAnalysis[ID], 0)), "")</f>
        <v>0</v>
      </c>
      <c r="V186" s="52">
        <f>IFERROR(INDEX(tblPiNAnalysis[Education], MATCH(tblPiNHistorical[[#This Row],[ID]], tblPiNAnalysis[ID], 0)), "")</f>
        <v>0</v>
      </c>
      <c r="W186" s="28">
        <f>IFERROR(INDEX(tblPiNAnalysis[Food Security and Livlihoods], MATCH(tblPiNHistorical[[#This Row],[ID]], tblPiNAnalysis[ID], 0)), "")</f>
        <v>0</v>
      </c>
      <c r="X186" s="28">
        <f>IFERROR(INDEX(tblPiNAnalysis[[Health ]], MATCH(tblPiNHistorical[[#This Row],[ID]], tblPiNAnalysis[ID], 0)), "")</f>
        <v>0</v>
      </c>
      <c r="Y186" s="28">
        <f>IFERROR(INDEX(tblPiNAnalysis[Nutrition], MATCH(tblPiNHistorical[[#This Row],[ID]], tblPiNAnalysis[ID], 0)), "")</f>
        <v>0</v>
      </c>
      <c r="Z186" s="28">
        <f>IFERROR(INDEX(tblPiNAnalysis[Protection], MATCH(tblPiNHistorical[[#This Row],[ID]], tblPiNAnalysis[ID], 0)), "")</f>
        <v>0</v>
      </c>
      <c r="AA186" s="28">
        <f>IFERROR(INDEX(tblPiNAnalysis[CP], MATCH(tblPiNHistorical[[#This Row],[ID]], tblPiNAnalysis[ID], 0)), "")</f>
        <v>0</v>
      </c>
      <c r="AB186" s="83">
        <f>IFERROR(INDEX(tblPiNAnalysis[GBV], MATCH(tblPiNHistorical[[#This Row],[ID]], tblPiNAnalysis[ID], 0)), "")</f>
        <v>0</v>
      </c>
      <c r="AC186" s="28">
        <f>IFERROR(INDEX(tblPiNAnalysis[Mine Action], MATCH(tblPiNHistorical[[#This Row],[ID]], tblPiNAnalysis[ID], 0)), "")</f>
        <v>0</v>
      </c>
      <c r="AD186" s="83">
        <f>IFERROR(INDEX(tblPiNAnalysis[[Shelter NFI ]], MATCH(tblPiNHistorical[[#This Row],[ID]], tblPiNAnalysis[ID], 0)), "")</f>
        <v>108828</v>
      </c>
      <c r="AE186" s="35">
        <f>IFERROR(INDEX(tblPiNAnalysis[WASH], MATCH(tblPiNHistorical[[#This Row],[ID]], tblPiNAnalysis[ID], 0)), "")</f>
        <v>0</v>
      </c>
      <c r="AF186" s="6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186" s="67" t="str">
        <f>IF(OR(tblPiNHistorical[[#This Row],[Education Old]]="", tblPiNHistorical[[#This Row],[Education Old]]=0, tblPiNHistorical[[#This Row],[Education New]]="", tblPiNHistorical[[#This Row],[Education New]]=0), "", tblPiNHistorical[[#This Row],[Education New]]-tblPiNHistorical[[#This Row],[Education Old]])</f>
        <v/>
      </c>
      <c r="AH186" s="67"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186" s="67" t="str">
        <f>IF(OR(tblPiNHistorical[[#This Row],[Health Old]]="", tblPiNHistorical[[#This Row],[Health Old]]=0, tblPiNHistorical[[#This Row],[Health New]]="", tblPiNHistorical[[#This Row],[Health New]]=0), "", tblPiNHistorical[[#This Row],[Health New]]-tblPiNHistorical[[#This Row],[Health Old]])</f>
        <v/>
      </c>
      <c r="AJ186" s="67" t="str">
        <f>IF(OR(tblPiNHistorical[[#This Row],[Nutrition Old]]="", tblPiNHistorical[[#This Row],[Nutrition Old]]=0, tblPiNHistorical[[#This Row],[Nutrition New]]="", tblPiNHistorical[[#This Row],[Nutrition New]]=0), "", tblPiNHistorical[[#This Row],[Nutrition New]]-tblPiNHistorical[[#This Row],[Nutrition Old]])</f>
        <v/>
      </c>
      <c r="AK186" s="67" t="str">
        <f>IF(OR(tblPiNHistorical[[#This Row],[Protection Old]]="", tblPiNHistorical[[#This Row],[Protection Old]]=0, tblPiNHistorical[[#This Row],[Protection New]]="", tblPiNHistorical[[#This Row],[Protection New]]=0), "", tblPiNHistorical[[#This Row],[Protection New]]-tblPiNHistorical[[#This Row],[Protection Old]])</f>
        <v/>
      </c>
      <c r="AL186" s="67" t="str">
        <f>IF(OR(tblPiNHistorical[[#This Row],[CP Old ]]="", tblPiNHistorical[[#This Row],[CP Old ]]=0, tblPiNHistorical[[#This Row],[CP New]]="", tblPiNHistorical[[#This Row],[CP New]]=0), "", tblPiNHistorical[[#This Row],[CP New]]-tblPiNHistorical[[#This Row],[CP Old ]])</f>
        <v/>
      </c>
      <c r="AM186" s="83" t="str">
        <f>IF(OR(tblPiNHistorical[[#This Row],[GBV Old]]="", tblPiNHistorical[[#This Row],[GBV Old]]=0, tblPiNHistorical[[#This Row],[GBV New]]="", tblPiNHistorical[[#This Row],[GBV New]]=0), "", tblPiNHistorical[[#This Row],[GBV New]]-tblPiNHistorical[[#This Row],[GBV Old]])</f>
        <v/>
      </c>
      <c r="AN186" s="83" t="str">
        <f>IF(OR(tblPiNHistorical[[#This Row],[Mine Action Old]]="", tblPiNHistorical[[#This Row],[Mine Action Old]]=0, tblPiNHistorical[[#This Row],[Mine Action New]]="", tblPiNHistorical[[#This Row],[Mine Action New]]=0), "", tblPiNHistorical[[#This Row],[Mine Action New]]-tblPiNHistorical[[#This Row],[Mine Action Old]])</f>
        <v/>
      </c>
      <c r="AO186" s="67">
        <f>IF(OR(tblPiNHistorical[[#This Row],[Shelter NFI Old]]="", tblPiNHistorical[[#This Row],[Shelter NFI Old]]=0, tblPiNHistorical[[#This Row],[Shelter NFI New]]="", tblPiNHistorical[[#This Row],[Shelter NFI New]]=0), "", tblPiNHistorical[[#This Row],[Shelter NFI New]]-tblPiNHistorical[[#This Row],[Shelter NFI Old]])</f>
        <v>53032</v>
      </c>
      <c r="AP186" s="111" t="str">
        <f>IF(OR(tblPiNHistorical[[#This Row],[WASH Old]]="", tblPiNHistorical[[#This Row],[WASH Old]]=0, tblPiNHistorical[[#This Row],[WASH New]]="", tblPiNHistorical[[#This Row],[WASH New]]=0), "", tblPiNHistorical[[#This Row],[WASH New]]-tblPiNHistorical[[#This Row],[WASH Old]])</f>
        <v/>
      </c>
      <c r="AQ186" s="110">
        <f>IFERROR(ROUND((tblPiNHistorical[[#This Row],[Site Management - New]] - tblPiNHistorical[[#This Row],[Site Management - Old]])/tblPiNHistorical[[#This Row],[Site Management - Old]], 1), "")</f>
        <v>-1</v>
      </c>
      <c r="AR186" s="66">
        <f>IFERROR(ROUND((tblPiNHistorical[[#This Row],[Education New]]-tblPiNHistorical[[#This Row],[Education Old]])/tblPiNHistorical[[#This Row],[Education Old]], 1), "")</f>
        <v>-1</v>
      </c>
      <c r="AS186" s="66">
        <f>IFERROR(ROUND((tblPiNHistorical[[#This Row],[Food Security and Livlihoods New]]-tblPiNHistorical[[#This Row],[Food Security and Livlihoods Old]])/tblPiNHistorical[[#This Row],[Food Security and Livlihoods Old]], 1), "")</f>
        <v>-1</v>
      </c>
      <c r="AT186" s="66">
        <f>IFERROR(ROUND((tblPiNHistorical[[#This Row],[Health New]]-tblPiNHistorical[[#This Row],[Health Old]])/tblPiNHistorical[[#This Row],[Health Old]], 1), "")</f>
        <v>-1</v>
      </c>
      <c r="AU186" s="66">
        <f>IFERROR(ROUND((tblPiNHistorical[[#This Row],[Nutrition New]]-tblPiNHistorical[[#This Row],[Nutrition Old]])/tblPiNHistorical[[#This Row],[Nutrition Old]], 1), "")</f>
        <v>-1</v>
      </c>
      <c r="AV186" s="66">
        <f>IFERROR(ROUND((tblPiNHistorical[[#This Row],[Protection New]]-tblPiNHistorical[[#This Row],[Protection Old]])/tblPiNHistorical[[#This Row],[Protection Old]], 1), "")</f>
        <v>-1</v>
      </c>
      <c r="AW186" s="84">
        <f>IFERROR(ROUND((tblPiNHistorical[[#This Row],[CP New]]-tblPiNHistorical[[#This Row],[CP Old ]])/tblPiNHistorical[[#This Row],[CP Old ]], 1), "")</f>
        <v>-1</v>
      </c>
      <c r="AX186" s="84">
        <f>IFERROR(ROUND((tblPiNHistorical[[#This Row],[GBV New]]-tblPiNHistorical[[#This Row],[GBV Old]])/tblPiNHistorical[[#This Row],[GBV Old]], 1), "")</f>
        <v>-1</v>
      </c>
      <c r="AY186" s="84" t="str">
        <f>IFERROR(ROUND((tblPiNHistorical[[#This Row],[Mine Action New]]-tblPiNHistorical[[#This Row],[Mine Action Old]])/tblPiNHistorical[[#This Row],[Mine Action Old]], 1), "")</f>
        <v/>
      </c>
      <c r="AZ186" s="66">
        <f>IFERROR(ROUND((tblPiNHistorical[[#This Row],[Shelter NFI New]]-tblPiNHistorical[[#This Row],[Shelter NFI Old]])/tblPiNHistorical[[#This Row],[Shelter NFI Old]], 1), "")</f>
        <v>1</v>
      </c>
      <c r="BA186" s="36">
        <f>IFERROR(ROUND((tblPiNHistorical[[#This Row],[WASH New]]-tblPiNHistorical[[#This Row],[WASH Old]])/tblPiNHistorical[[#This Row],[WASH Old]], 1), "")</f>
        <v>-1</v>
      </c>
      <c r="BB186"/>
      <c r="BC186"/>
      <c r="BD186"/>
      <c r="BE186"/>
      <c r="BF186"/>
      <c r="BG186"/>
      <c r="BH186"/>
      <c r="BI186"/>
      <c r="BL186"/>
      <c r="BN186"/>
      <c r="BO186"/>
      <c r="BP186"/>
    </row>
    <row r="187" spans="1:68" x14ac:dyDescent="0.25">
      <c r="A187"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IDPsSD09050</v>
      </c>
      <c r="B187" s="127" t="s">
        <v>197</v>
      </c>
      <c r="C187" s="60" t="s">
        <v>126</v>
      </c>
      <c r="D187" s="60" t="s">
        <v>396</v>
      </c>
      <c r="E187" s="60" t="s">
        <v>397</v>
      </c>
      <c r="F187" s="54"/>
      <c r="G187" s="30"/>
      <c r="H187" s="56">
        <v>29922</v>
      </c>
      <c r="I187" s="37" t="s">
        <v>88</v>
      </c>
      <c r="J187" s="34">
        <v>827</v>
      </c>
      <c r="K187" s="116">
        <v>0</v>
      </c>
      <c r="L187" s="114">
        <v>29922</v>
      </c>
      <c r="M187" s="114">
        <v>29922</v>
      </c>
      <c r="N187" s="114">
        <v>1375</v>
      </c>
      <c r="O187" s="114">
        <v>29922</v>
      </c>
      <c r="P187" s="114">
        <v>16457</v>
      </c>
      <c r="Q187" s="114">
        <v>11842</v>
      </c>
      <c r="R187" s="114">
        <v>0</v>
      </c>
      <c r="S187" s="114">
        <v>11969</v>
      </c>
      <c r="T187" s="196">
        <v>9220.7635199999986</v>
      </c>
      <c r="U187" s="52">
        <f>IFERROR(INDEX(tblPiNAnalysis[[Site Management ]], MATCH(tblPiNHistorical[[#This Row],[ID]], tblPiNAnalysis[ID], 0)), "")</f>
        <v>0</v>
      </c>
      <c r="V187" s="52">
        <f>IFERROR(INDEX(tblPiNAnalysis[Education], MATCH(tblPiNHistorical[[#This Row],[ID]], tblPiNAnalysis[ID], 0)), "")</f>
        <v>0</v>
      </c>
      <c r="W187" s="28">
        <f>IFERROR(INDEX(tblPiNAnalysis[Food Security and Livlihoods], MATCH(tblPiNHistorical[[#This Row],[ID]], tblPiNAnalysis[ID], 0)), "")</f>
        <v>0</v>
      </c>
      <c r="X187" s="28">
        <f>IFERROR(INDEX(tblPiNAnalysis[[Health ]], MATCH(tblPiNHistorical[[#This Row],[ID]], tblPiNAnalysis[ID], 0)), "")</f>
        <v>0</v>
      </c>
      <c r="Y187" s="28">
        <f>IFERROR(INDEX(tblPiNAnalysis[Nutrition], MATCH(tblPiNHistorical[[#This Row],[ID]], tblPiNAnalysis[ID], 0)), "")</f>
        <v>0</v>
      </c>
      <c r="Z187" s="28">
        <f>IFERROR(INDEX(tblPiNAnalysis[Protection], MATCH(tblPiNHistorical[[#This Row],[ID]], tblPiNAnalysis[ID], 0)), "")</f>
        <v>0</v>
      </c>
      <c r="AA187" s="28">
        <f>IFERROR(INDEX(tblPiNAnalysis[CP], MATCH(tblPiNHistorical[[#This Row],[ID]], tblPiNAnalysis[ID], 0)), "")</f>
        <v>0</v>
      </c>
      <c r="AB187" s="83">
        <f>IFERROR(INDEX(tblPiNAnalysis[GBV], MATCH(tblPiNHistorical[[#This Row],[ID]], tblPiNAnalysis[ID], 0)), "")</f>
        <v>0</v>
      </c>
      <c r="AC187" s="28">
        <f>IFERROR(INDEX(tblPiNAnalysis[Mine Action], MATCH(tblPiNHistorical[[#This Row],[ID]], tblPiNAnalysis[ID], 0)), "")</f>
        <v>0</v>
      </c>
      <c r="AD187" s="83">
        <f>IFERROR(INDEX(tblPiNAnalysis[[Shelter NFI ]], MATCH(tblPiNHistorical[[#This Row],[ID]], tblPiNAnalysis[ID], 0)), "")</f>
        <v>9920</v>
      </c>
      <c r="AE187" s="35">
        <f>IFERROR(INDEX(tblPiNAnalysis[WASH], MATCH(tblPiNHistorical[[#This Row],[ID]], tblPiNAnalysis[ID], 0)), "")</f>
        <v>0</v>
      </c>
      <c r="AF187" s="6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187" s="67" t="str">
        <f>IF(OR(tblPiNHistorical[[#This Row],[Education Old]]="", tblPiNHistorical[[#This Row],[Education Old]]=0, tblPiNHistorical[[#This Row],[Education New]]="", tblPiNHistorical[[#This Row],[Education New]]=0), "", tblPiNHistorical[[#This Row],[Education New]]-tblPiNHistorical[[#This Row],[Education Old]])</f>
        <v/>
      </c>
      <c r="AH187" s="67"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187" s="67" t="str">
        <f>IF(OR(tblPiNHistorical[[#This Row],[Health Old]]="", tblPiNHistorical[[#This Row],[Health Old]]=0, tblPiNHistorical[[#This Row],[Health New]]="", tblPiNHistorical[[#This Row],[Health New]]=0), "", tblPiNHistorical[[#This Row],[Health New]]-tblPiNHistorical[[#This Row],[Health Old]])</f>
        <v/>
      </c>
      <c r="AJ187" s="67" t="str">
        <f>IF(OR(tblPiNHistorical[[#This Row],[Nutrition Old]]="", tblPiNHistorical[[#This Row],[Nutrition Old]]=0, tblPiNHistorical[[#This Row],[Nutrition New]]="", tblPiNHistorical[[#This Row],[Nutrition New]]=0), "", tblPiNHistorical[[#This Row],[Nutrition New]]-tblPiNHistorical[[#This Row],[Nutrition Old]])</f>
        <v/>
      </c>
      <c r="AK187" s="67" t="str">
        <f>IF(OR(tblPiNHistorical[[#This Row],[Protection Old]]="", tblPiNHistorical[[#This Row],[Protection Old]]=0, tblPiNHistorical[[#This Row],[Protection New]]="", tblPiNHistorical[[#This Row],[Protection New]]=0), "", tblPiNHistorical[[#This Row],[Protection New]]-tblPiNHistorical[[#This Row],[Protection Old]])</f>
        <v/>
      </c>
      <c r="AL187" s="67" t="str">
        <f>IF(OR(tblPiNHistorical[[#This Row],[CP Old ]]="", tblPiNHistorical[[#This Row],[CP Old ]]=0, tblPiNHistorical[[#This Row],[CP New]]="", tblPiNHistorical[[#This Row],[CP New]]=0), "", tblPiNHistorical[[#This Row],[CP New]]-tblPiNHistorical[[#This Row],[CP Old ]])</f>
        <v/>
      </c>
      <c r="AM187" s="83" t="str">
        <f>IF(OR(tblPiNHistorical[[#This Row],[GBV Old]]="", tblPiNHistorical[[#This Row],[GBV Old]]=0, tblPiNHistorical[[#This Row],[GBV New]]="", tblPiNHistorical[[#This Row],[GBV New]]=0), "", tblPiNHistorical[[#This Row],[GBV New]]-tblPiNHistorical[[#This Row],[GBV Old]])</f>
        <v/>
      </c>
      <c r="AN187" s="83" t="str">
        <f>IF(OR(tblPiNHistorical[[#This Row],[Mine Action Old]]="", tblPiNHistorical[[#This Row],[Mine Action Old]]=0, tblPiNHistorical[[#This Row],[Mine Action New]]="", tblPiNHistorical[[#This Row],[Mine Action New]]=0), "", tblPiNHistorical[[#This Row],[Mine Action New]]-tblPiNHistorical[[#This Row],[Mine Action Old]])</f>
        <v/>
      </c>
      <c r="AO187" s="67">
        <f>IF(OR(tblPiNHistorical[[#This Row],[Shelter NFI Old]]="", tblPiNHistorical[[#This Row],[Shelter NFI Old]]=0, tblPiNHistorical[[#This Row],[Shelter NFI New]]="", tblPiNHistorical[[#This Row],[Shelter NFI New]]=0), "", tblPiNHistorical[[#This Row],[Shelter NFI New]]-tblPiNHistorical[[#This Row],[Shelter NFI Old]])</f>
        <v>-2049</v>
      </c>
      <c r="AP187" s="111" t="str">
        <f>IF(OR(tblPiNHistorical[[#This Row],[WASH Old]]="", tblPiNHistorical[[#This Row],[WASH Old]]=0, tblPiNHistorical[[#This Row],[WASH New]]="", tblPiNHistorical[[#This Row],[WASH New]]=0), "", tblPiNHistorical[[#This Row],[WASH New]]-tblPiNHistorical[[#This Row],[WASH Old]])</f>
        <v/>
      </c>
      <c r="AQ187" s="110">
        <f>IFERROR(ROUND((tblPiNHistorical[[#This Row],[Site Management - New]] - tblPiNHistorical[[#This Row],[Site Management - Old]])/tblPiNHistorical[[#This Row],[Site Management - Old]], 1), "")</f>
        <v>-1</v>
      </c>
      <c r="AR187" s="66" t="str">
        <f>IFERROR(ROUND((tblPiNHistorical[[#This Row],[Education New]]-tblPiNHistorical[[#This Row],[Education Old]])/tblPiNHistorical[[#This Row],[Education Old]], 1), "")</f>
        <v/>
      </c>
      <c r="AS187" s="66">
        <f>IFERROR(ROUND((tblPiNHistorical[[#This Row],[Food Security and Livlihoods New]]-tblPiNHistorical[[#This Row],[Food Security and Livlihoods Old]])/tblPiNHistorical[[#This Row],[Food Security and Livlihoods Old]], 1), "")</f>
        <v>-1</v>
      </c>
      <c r="AT187" s="66">
        <f>IFERROR(ROUND((tblPiNHistorical[[#This Row],[Health New]]-tblPiNHistorical[[#This Row],[Health Old]])/tblPiNHistorical[[#This Row],[Health Old]], 1), "")</f>
        <v>-1</v>
      </c>
      <c r="AU187" s="66">
        <f>IFERROR(ROUND((tblPiNHistorical[[#This Row],[Nutrition New]]-tblPiNHistorical[[#This Row],[Nutrition Old]])/tblPiNHistorical[[#This Row],[Nutrition Old]], 1), "")</f>
        <v>-1</v>
      </c>
      <c r="AV187" s="66">
        <f>IFERROR(ROUND((tblPiNHistorical[[#This Row],[Protection New]]-tblPiNHistorical[[#This Row],[Protection Old]])/tblPiNHistorical[[#This Row],[Protection Old]], 1), "")</f>
        <v>-1</v>
      </c>
      <c r="AW187" s="84">
        <f>IFERROR(ROUND((tblPiNHistorical[[#This Row],[CP New]]-tblPiNHistorical[[#This Row],[CP Old ]])/tblPiNHistorical[[#This Row],[CP Old ]], 1), "")</f>
        <v>-1</v>
      </c>
      <c r="AX187" s="84">
        <f>IFERROR(ROUND((tblPiNHistorical[[#This Row],[GBV New]]-tblPiNHistorical[[#This Row],[GBV Old]])/tblPiNHistorical[[#This Row],[GBV Old]], 1), "")</f>
        <v>-1</v>
      </c>
      <c r="AY187" s="84" t="str">
        <f>IFERROR(ROUND((tblPiNHistorical[[#This Row],[Mine Action New]]-tblPiNHistorical[[#This Row],[Mine Action Old]])/tblPiNHistorical[[#This Row],[Mine Action Old]], 1), "")</f>
        <v/>
      </c>
      <c r="AZ187" s="66">
        <f>IFERROR(ROUND((tblPiNHistorical[[#This Row],[Shelter NFI New]]-tblPiNHistorical[[#This Row],[Shelter NFI Old]])/tblPiNHistorical[[#This Row],[Shelter NFI Old]], 1), "")</f>
        <v>-0.2</v>
      </c>
      <c r="BA187" s="36">
        <f>IFERROR(ROUND((tblPiNHistorical[[#This Row],[WASH New]]-tblPiNHistorical[[#This Row],[WASH Old]])/tblPiNHistorical[[#This Row],[WASH Old]], 1), "")</f>
        <v>-1</v>
      </c>
      <c r="BB187"/>
      <c r="BC187"/>
      <c r="BD187"/>
      <c r="BE187"/>
      <c r="BF187"/>
      <c r="BG187"/>
      <c r="BH187"/>
      <c r="BI187"/>
      <c r="BL187"/>
      <c r="BN187"/>
      <c r="BO187"/>
      <c r="BP187"/>
    </row>
    <row r="188" spans="1:68" ht="30" x14ac:dyDescent="0.25">
      <c r="A188"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IDPsSD09049</v>
      </c>
      <c r="B188" s="127" t="s">
        <v>197</v>
      </c>
      <c r="C188" s="60" t="s">
        <v>126</v>
      </c>
      <c r="D188" s="60" t="s">
        <v>394</v>
      </c>
      <c r="E188" s="60" t="s">
        <v>395</v>
      </c>
      <c r="F188" s="54"/>
      <c r="G188" s="30"/>
      <c r="H188" s="56">
        <v>50395</v>
      </c>
      <c r="I188" s="37" t="s">
        <v>88</v>
      </c>
      <c r="J188" s="34">
        <v>42691</v>
      </c>
      <c r="K188" s="116">
        <v>19538.141499999998</v>
      </c>
      <c r="L188" s="114">
        <v>50395</v>
      </c>
      <c r="M188" s="114">
        <v>50395</v>
      </c>
      <c r="N188" s="114">
        <v>4268</v>
      </c>
      <c r="O188" s="114">
        <v>50395</v>
      </c>
      <c r="P188" s="114">
        <v>27717</v>
      </c>
      <c r="Q188" s="114">
        <v>19946</v>
      </c>
      <c r="R188" s="114">
        <v>0</v>
      </c>
      <c r="S188" s="114">
        <v>30237</v>
      </c>
      <c r="T188" s="196">
        <v>55690.506600000008</v>
      </c>
      <c r="U188" s="52">
        <f>IFERROR(INDEX(tblPiNAnalysis[[Site Management ]], MATCH(tblPiNHistorical[[#This Row],[ID]], tblPiNAnalysis[ID], 0)), "")</f>
        <v>0</v>
      </c>
      <c r="V188" s="52">
        <f>IFERROR(INDEX(tblPiNAnalysis[Education], MATCH(tblPiNHistorical[[#This Row],[ID]], tblPiNAnalysis[ID], 0)), "")</f>
        <v>0</v>
      </c>
      <c r="W188" s="28">
        <f>IFERROR(INDEX(tblPiNAnalysis[Food Security and Livlihoods], MATCH(tblPiNHistorical[[#This Row],[ID]], tblPiNAnalysis[ID], 0)), "")</f>
        <v>0</v>
      </c>
      <c r="X188" s="28">
        <f>IFERROR(INDEX(tblPiNAnalysis[[Health ]], MATCH(tblPiNHistorical[[#This Row],[ID]], tblPiNAnalysis[ID], 0)), "")</f>
        <v>0</v>
      </c>
      <c r="Y188" s="28">
        <f>IFERROR(INDEX(tblPiNAnalysis[Nutrition], MATCH(tblPiNHistorical[[#This Row],[ID]], tblPiNAnalysis[ID], 0)), "")</f>
        <v>0</v>
      </c>
      <c r="Z188" s="28">
        <f>IFERROR(INDEX(tblPiNAnalysis[Protection], MATCH(tblPiNHistorical[[#This Row],[ID]], tblPiNAnalysis[ID], 0)), "")</f>
        <v>0</v>
      </c>
      <c r="AA188" s="28">
        <f>IFERROR(INDEX(tblPiNAnalysis[CP], MATCH(tblPiNHistorical[[#This Row],[ID]], tblPiNAnalysis[ID], 0)), "")</f>
        <v>0</v>
      </c>
      <c r="AB188" s="83">
        <f>IFERROR(INDEX(tblPiNAnalysis[GBV], MATCH(tblPiNHistorical[[#This Row],[ID]], tblPiNAnalysis[ID], 0)), "")</f>
        <v>0</v>
      </c>
      <c r="AC188" s="28">
        <f>IFERROR(INDEX(tblPiNAnalysis[Mine Action], MATCH(tblPiNHistorical[[#This Row],[ID]], tblPiNAnalysis[ID], 0)), "")</f>
        <v>0</v>
      </c>
      <c r="AD188" s="83">
        <f>IFERROR(INDEX(tblPiNAnalysis[[Shelter NFI ]], MATCH(tblPiNHistorical[[#This Row],[ID]], tblPiNAnalysis[ID], 0)), "")</f>
        <v>43010</v>
      </c>
      <c r="AE188" s="35">
        <f>IFERROR(INDEX(tblPiNAnalysis[WASH], MATCH(tblPiNHistorical[[#This Row],[ID]], tblPiNAnalysis[ID], 0)), "")</f>
        <v>0</v>
      </c>
      <c r="AF188" s="6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188" s="67" t="str">
        <f>IF(OR(tblPiNHistorical[[#This Row],[Education Old]]="", tblPiNHistorical[[#This Row],[Education Old]]=0, tblPiNHistorical[[#This Row],[Education New]]="", tblPiNHistorical[[#This Row],[Education New]]=0), "", tblPiNHistorical[[#This Row],[Education New]]-tblPiNHistorical[[#This Row],[Education Old]])</f>
        <v/>
      </c>
      <c r="AH188" s="67"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188" s="67" t="str">
        <f>IF(OR(tblPiNHistorical[[#This Row],[Health Old]]="", tblPiNHistorical[[#This Row],[Health Old]]=0, tblPiNHistorical[[#This Row],[Health New]]="", tblPiNHistorical[[#This Row],[Health New]]=0), "", tblPiNHistorical[[#This Row],[Health New]]-tblPiNHistorical[[#This Row],[Health Old]])</f>
        <v/>
      </c>
      <c r="AJ188" s="67" t="str">
        <f>IF(OR(tblPiNHistorical[[#This Row],[Nutrition Old]]="", tblPiNHistorical[[#This Row],[Nutrition Old]]=0, tblPiNHistorical[[#This Row],[Nutrition New]]="", tblPiNHistorical[[#This Row],[Nutrition New]]=0), "", tblPiNHistorical[[#This Row],[Nutrition New]]-tblPiNHistorical[[#This Row],[Nutrition Old]])</f>
        <v/>
      </c>
      <c r="AK188" s="67" t="str">
        <f>IF(OR(tblPiNHistorical[[#This Row],[Protection Old]]="", tblPiNHistorical[[#This Row],[Protection Old]]=0, tblPiNHistorical[[#This Row],[Protection New]]="", tblPiNHistorical[[#This Row],[Protection New]]=0), "", tblPiNHistorical[[#This Row],[Protection New]]-tblPiNHistorical[[#This Row],[Protection Old]])</f>
        <v/>
      </c>
      <c r="AL188" s="67" t="str">
        <f>IF(OR(tblPiNHistorical[[#This Row],[CP Old ]]="", tblPiNHistorical[[#This Row],[CP Old ]]=0, tblPiNHistorical[[#This Row],[CP New]]="", tblPiNHistorical[[#This Row],[CP New]]=0), "", tblPiNHistorical[[#This Row],[CP New]]-tblPiNHistorical[[#This Row],[CP Old ]])</f>
        <v/>
      </c>
      <c r="AM188" s="83" t="str">
        <f>IF(OR(tblPiNHistorical[[#This Row],[GBV Old]]="", tblPiNHistorical[[#This Row],[GBV Old]]=0, tblPiNHistorical[[#This Row],[GBV New]]="", tblPiNHistorical[[#This Row],[GBV New]]=0), "", tblPiNHistorical[[#This Row],[GBV New]]-tblPiNHistorical[[#This Row],[GBV Old]])</f>
        <v/>
      </c>
      <c r="AN188" s="83" t="str">
        <f>IF(OR(tblPiNHistorical[[#This Row],[Mine Action Old]]="", tblPiNHistorical[[#This Row],[Mine Action Old]]=0, tblPiNHistorical[[#This Row],[Mine Action New]]="", tblPiNHistorical[[#This Row],[Mine Action New]]=0), "", tblPiNHistorical[[#This Row],[Mine Action New]]-tblPiNHistorical[[#This Row],[Mine Action Old]])</f>
        <v/>
      </c>
      <c r="AO188" s="67">
        <f>IF(OR(tblPiNHistorical[[#This Row],[Shelter NFI Old]]="", tblPiNHistorical[[#This Row],[Shelter NFI Old]]=0, tblPiNHistorical[[#This Row],[Shelter NFI New]]="", tblPiNHistorical[[#This Row],[Shelter NFI New]]=0), "", tblPiNHistorical[[#This Row],[Shelter NFI New]]-tblPiNHistorical[[#This Row],[Shelter NFI Old]])</f>
        <v>12773</v>
      </c>
      <c r="AP188" s="111" t="str">
        <f>IF(OR(tblPiNHistorical[[#This Row],[WASH Old]]="", tblPiNHistorical[[#This Row],[WASH Old]]=0, tblPiNHistorical[[#This Row],[WASH New]]="", tblPiNHistorical[[#This Row],[WASH New]]=0), "", tblPiNHistorical[[#This Row],[WASH New]]-tblPiNHistorical[[#This Row],[WASH Old]])</f>
        <v/>
      </c>
      <c r="AQ188" s="110">
        <f>IFERROR(ROUND((tblPiNHistorical[[#This Row],[Site Management - New]] - tblPiNHistorical[[#This Row],[Site Management - Old]])/tblPiNHistorical[[#This Row],[Site Management - Old]], 1), "")</f>
        <v>-1</v>
      </c>
      <c r="AR188" s="66">
        <f>IFERROR(ROUND((tblPiNHistorical[[#This Row],[Education New]]-tblPiNHistorical[[#This Row],[Education Old]])/tblPiNHistorical[[#This Row],[Education Old]], 1), "")</f>
        <v>-1</v>
      </c>
      <c r="AS188" s="66">
        <f>IFERROR(ROUND((tblPiNHistorical[[#This Row],[Food Security and Livlihoods New]]-tblPiNHistorical[[#This Row],[Food Security and Livlihoods Old]])/tblPiNHistorical[[#This Row],[Food Security and Livlihoods Old]], 1), "")</f>
        <v>-1</v>
      </c>
      <c r="AT188" s="66">
        <f>IFERROR(ROUND((tblPiNHistorical[[#This Row],[Health New]]-tblPiNHistorical[[#This Row],[Health Old]])/tblPiNHistorical[[#This Row],[Health Old]], 1), "")</f>
        <v>-1</v>
      </c>
      <c r="AU188" s="66">
        <f>IFERROR(ROUND((tblPiNHistorical[[#This Row],[Nutrition New]]-tblPiNHistorical[[#This Row],[Nutrition Old]])/tblPiNHistorical[[#This Row],[Nutrition Old]], 1), "")</f>
        <v>-1</v>
      </c>
      <c r="AV188" s="66">
        <f>IFERROR(ROUND((tblPiNHistorical[[#This Row],[Protection New]]-tblPiNHistorical[[#This Row],[Protection Old]])/tblPiNHistorical[[#This Row],[Protection Old]], 1), "")</f>
        <v>-1</v>
      </c>
      <c r="AW188" s="84">
        <f>IFERROR(ROUND((tblPiNHistorical[[#This Row],[CP New]]-tblPiNHistorical[[#This Row],[CP Old ]])/tblPiNHistorical[[#This Row],[CP Old ]], 1), "")</f>
        <v>-1</v>
      </c>
      <c r="AX188" s="84">
        <f>IFERROR(ROUND((tblPiNHistorical[[#This Row],[GBV New]]-tblPiNHistorical[[#This Row],[GBV Old]])/tblPiNHistorical[[#This Row],[GBV Old]], 1), "")</f>
        <v>-1</v>
      </c>
      <c r="AY188" s="84" t="str">
        <f>IFERROR(ROUND((tblPiNHistorical[[#This Row],[Mine Action New]]-tblPiNHistorical[[#This Row],[Mine Action Old]])/tblPiNHistorical[[#This Row],[Mine Action Old]], 1), "")</f>
        <v/>
      </c>
      <c r="AZ188" s="66">
        <f>IFERROR(ROUND((tblPiNHistorical[[#This Row],[Shelter NFI New]]-tblPiNHistorical[[#This Row],[Shelter NFI Old]])/tblPiNHistorical[[#This Row],[Shelter NFI Old]], 1), "")</f>
        <v>0.4</v>
      </c>
      <c r="BA188" s="36">
        <f>IFERROR(ROUND((tblPiNHistorical[[#This Row],[WASH New]]-tblPiNHistorical[[#This Row],[WASH Old]])/tblPiNHistorical[[#This Row],[WASH Old]], 1), "")</f>
        <v>-1</v>
      </c>
      <c r="BB188"/>
      <c r="BC188"/>
      <c r="BD188"/>
      <c r="BE188"/>
      <c r="BF188"/>
      <c r="BG188"/>
      <c r="BH188"/>
      <c r="BI188"/>
      <c r="BL188"/>
      <c r="BN188"/>
      <c r="BO188"/>
      <c r="BP188"/>
    </row>
    <row r="189" spans="1:68" x14ac:dyDescent="0.25">
      <c r="A189"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IDPsSD09052</v>
      </c>
      <c r="B189" s="127" t="s">
        <v>197</v>
      </c>
      <c r="C189" s="60" t="s">
        <v>126</v>
      </c>
      <c r="D189" s="60" t="s">
        <v>400</v>
      </c>
      <c r="E189" s="60" t="s">
        <v>401</v>
      </c>
      <c r="F189" s="54"/>
      <c r="G189" s="30"/>
      <c r="H189" s="56">
        <v>4085</v>
      </c>
      <c r="I189" s="37" t="s">
        <v>88</v>
      </c>
      <c r="J189" s="34">
        <v>0</v>
      </c>
      <c r="K189" s="116">
        <v>0</v>
      </c>
      <c r="L189" s="114">
        <v>4085</v>
      </c>
      <c r="M189" s="114">
        <v>4085</v>
      </c>
      <c r="N189" s="114">
        <v>349</v>
      </c>
      <c r="O189" s="114">
        <v>4085</v>
      </c>
      <c r="P189" s="114">
        <v>2247</v>
      </c>
      <c r="Q189" s="114">
        <v>1402</v>
      </c>
      <c r="R189" s="114">
        <v>0</v>
      </c>
      <c r="S189" s="114">
        <v>0</v>
      </c>
      <c r="T189" s="196">
        <v>4142.1900000000005</v>
      </c>
      <c r="U189" s="52">
        <f>IFERROR(INDEX(tblPiNAnalysis[[Site Management ]], MATCH(tblPiNHistorical[[#This Row],[ID]], tblPiNAnalysis[ID], 0)), "")</f>
        <v>0</v>
      </c>
      <c r="V189" s="52">
        <f>IFERROR(INDEX(tblPiNAnalysis[Education], MATCH(tblPiNHistorical[[#This Row],[ID]], tblPiNAnalysis[ID], 0)), "")</f>
        <v>0</v>
      </c>
      <c r="W189" s="28">
        <f>IFERROR(INDEX(tblPiNAnalysis[Food Security and Livlihoods], MATCH(tblPiNHistorical[[#This Row],[ID]], tblPiNAnalysis[ID], 0)), "")</f>
        <v>0</v>
      </c>
      <c r="X189" s="28">
        <f>IFERROR(INDEX(tblPiNAnalysis[[Health ]], MATCH(tblPiNHistorical[[#This Row],[ID]], tblPiNAnalysis[ID], 0)), "")</f>
        <v>0</v>
      </c>
      <c r="Y189" s="28">
        <f>IFERROR(INDEX(tblPiNAnalysis[Nutrition], MATCH(tblPiNHistorical[[#This Row],[ID]], tblPiNAnalysis[ID], 0)), "")</f>
        <v>0</v>
      </c>
      <c r="Z189" s="28">
        <f>IFERROR(INDEX(tblPiNAnalysis[Protection], MATCH(tblPiNHistorical[[#This Row],[ID]], tblPiNAnalysis[ID], 0)), "")</f>
        <v>0</v>
      </c>
      <c r="AA189" s="28">
        <f>IFERROR(INDEX(tblPiNAnalysis[CP], MATCH(tblPiNHistorical[[#This Row],[ID]], tblPiNAnalysis[ID], 0)), "")</f>
        <v>0</v>
      </c>
      <c r="AB189" s="83">
        <f>IFERROR(INDEX(tblPiNAnalysis[GBV], MATCH(tblPiNHistorical[[#This Row],[ID]], tblPiNAnalysis[ID], 0)), "")</f>
        <v>0</v>
      </c>
      <c r="AC189" s="28">
        <f>IFERROR(INDEX(tblPiNAnalysis[Mine Action], MATCH(tblPiNHistorical[[#This Row],[ID]], tblPiNAnalysis[ID], 0)), "")</f>
        <v>0</v>
      </c>
      <c r="AD189" s="83">
        <f>IFERROR(INDEX(tblPiNAnalysis[[Shelter NFI ]], MATCH(tblPiNHistorical[[#This Row],[ID]], tblPiNAnalysis[ID], 0)), "")</f>
        <v>16779</v>
      </c>
      <c r="AE189" s="35">
        <f>IFERROR(INDEX(tblPiNAnalysis[WASH], MATCH(tblPiNHistorical[[#This Row],[ID]], tblPiNAnalysis[ID], 0)), "")</f>
        <v>0</v>
      </c>
      <c r="AF189" s="6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189" s="67" t="str">
        <f>IF(OR(tblPiNHistorical[[#This Row],[Education Old]]="", tblPiNHistorical[[#This Row],[Education Old]]=0, tblPiNHistorical[[#This Row],[Education New]]="", tblPiNHistorical[[#This Row],[Education New]]=0), "", tblPiNHistorical[[#This Row],[Education New]]-tblPiNHistorical[[#This Row],[Education Old]])</f>
        <v/>
      </c>
      <c r="AH189" s="67"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189" s="67" t="str">
        <f>IF(OR(tblPiNHistorical[[#This Row],[Health Old]]="", tblPiNHistorical[[#This Row],[Health Old]]=0, tblPiNHistorical[[#This Row],[Health New]]="", tblPiNHistorical[[#This Row],[Health New]]=0), "", tblPiNHistorical[[#This Row],[Health New]]-tblPiNHistorical[[#This Row],[Health Old]])</f>
        <v/>
      </c>
      <c r="AJ189" s="67" t="str">
        <f>IF(OR(tblPiNHistorical[[#This Row],[Nutrition Old]]="", tblPiNHistorical[[#This Row],[Nutrition Old]]=0, tblPiNHistorical[[#This Row],[Nutrition New]]="", tblPiNHistorical[[#This Row],[Nutrition New]]=0), "", tblPiNHistorical[[#This Row],[Nutrition New]]-tblPiNHistorical[[#This Row],[Nutrition Old]])</f>
        <v/>
      </c>
      <c r="AK189" s="67" t="str">
        <f>IF(OR(tblPiNHistorical[[#This Row],[Protection Old]]="", tblPiNHistorical[[#This Row],[Protection Old]]=0, tblPiNHistorical[[#This Row],[Protection New]]="", tblPiNHistorical[[#This Row],[Protection New]]=0), "", tblPiNHistorical[[#This Row],[Protection New]]-tblPiNHistorical[[#This Row],[Protection Old]])</f>
        <v/>
      </c>
      <c r="AL189" s="67" t="str">
        <f>IF(OR(tblPiNHistorical[[#This Row],[CP Old ]]="", tblPiNHistorical[[#This Row],[CP Old ]]=0, tblPiNHistorical[[#This Row],[CP New]]="", tblPiNHistorical[[#This Row],[CP New]]=0), "", tblPiNHistorical[[#This Row],[CP New]]-tblPiNHistorical[[#This Row],[CP Old ]])</f>
        <v/>
      </c>
      <c r="AM189" s="83" t="str">
        <f>IF(OR(tblPiNHistorical[[#This Row],[GBV Old]]="", tblPiNHistorical[[#This Row],[GBV Old]]=0, tblPiNHistorical[[#This Row],[GBV New]]="", tblPiNHistorical[[#This Row],[GBV New]]=0), "", tblPiNHistorical[[#This Row],[GBV New]]-tblPiNHistorical[[#This Row],[GBV Old]])</f>
        <v/>
      </c>
      <c r="AN189" s="83" t="str">
        <f>IF(OR(tblPiNHistorical[[#This Row],[Mine Action Old]]="", tblPiNHistorical[[#This Row],[Mine Action Old]]=0, tblPiNHistorical[[#This Row],[Mine Action New]]="", tblPiNHistorical[[#This Row],[Mine Action New]]=0), "", tblPiNHistorical[[#This Row],[Mine Action New]]-tblPiNHistorical[[#This Row],[Mine Action Old]])</f>
        <v/>
      </c>
      <c r="AO189" s="67" t="str">
        <f>IF(OR(tblPiNHistorical[[#This Row],[Shelter NFI Old]]="", tblPiNHistorical[[#This Row],[Shelter NFI Old]]=0, tblPiNHistorical[[#This Row],[Shelter NFI New]]="", tblPiNHistorical[[#This Row],[Shelter NFI New]]=0), "", tblPiNHistorical[[#This Row],[Shelter NFI New]]-tblPiNHistorical[[#This Row],[Shelter NFI Old]])</f>
        <v/>
      </c>
      <c r="AP189" s="111" t="str">
        <f>IF(OR(tblPiNHistorical[[#This Row],[WASH Old]]="", tblPiNHistorical[[#This Row],[WASH Old]]=0, tblPiNHistorical[[#This Row],[WASH New]]="", tblPiNHistorical[[#This Row],[WASH New]]=0), "", tblPiNHistorical[[#This Row],[WASH New]]-tblPiNHistorical[[#This Row],[WASH Old]])</f>
        <v/>
      </c>
      <c r="AQ189" s="110" t="str">
        <f>IFERROR(ROUND((tblPiNHistorical[[#This Row],[Site Management - New]] - tblPiNHistorical[[#This Row],[Site Management - Old]])/tblPiNHistorical[[#This Row],[Site Management - Old]], 1), "")</f>
        <v/>
      </c>
      <c r="AR189" s="66" t="str">
        <f>IFERROR(ROUND((tblPiNHistorical[[#This Row],[Education New]]-tblPiNHistorical[[#This Row],[Education Old]])/tblPiNHistorical[[#This Row],[Education Old]], 1), "")</f>
        <v/>
      </c>
      <c r="AS189" s="66">
        <f>IFERROR(ROUND((tblPiNHistorical[[#This Row],[Food Security and Livlihoods New]]-tblPiNHistorical[[#This Row],[Food Security and Livlihoods Old]])/tblPiNHistorical[[#This Row],[Food Security and Livlihoods Old]], 1), "")</f>
        <v>-1</v>
      </c>
      <c r="AT189" s="66">
        <f>IFERROR(ROUND((tblPiNHistorical[[#This Row],[Health New]]-tblPiNHistorical[[#This Row],[Health Old]])/tblPiNHistorical[[#This Row],[Health Old]], 1), "")</f>
        <v>-1</v>
      </c>
      <c r="AU189" s="66">
        <f>IFERROR(ROUND((tblPiNHistorical[[#This Row],[Nutrition New]]-tblPiNHistorical[[#This Row],[Nutrition Old]])/tblPiNHistorical[[#This Row],[Nutrition Old]], 1), "")</f>
        <v>-1</v>
      </c>
      <c r="AV189" s="66">
        <f>IFERROR(ROUND((tblPiNHistorical[[#This Row],[Protection New]]-tblPiNHistorical[[#This Row],[Protection Old]])/tblPiNHistorical[[#This Row],[Protection Old]], 1), "")</f>
        <v>-1</v>
      </c>
      <c r="AW189" s="84">
        <f>IFERROR(ROUND((tblPiNHistorical[[#This Row],[CP New]]-tblPiNHistorical[[#This Row],[CP Old ]])/tblPiNHistorical[[#This Row],[CP Old ]], 1), "")</f>
        <v>-1</v>
      </c>
      <c r="AX189" s="84">
        <f>IFERROR(ROUND((tblPiNHistorical[[#This Row],[GBV New]]-tblPiNHistorical[[#This Row],[GBV Old]])/tblPiNHistorical[[#This Row],[GBV Old]], 1), "")</f>
        <v>-1</v>
      </c>
      <c r="AY189" s="84" t="str">
        <f>IFERROR(ROUND((tblPiNHistorical[[#This Row],[Mine Action New]]-tblPiNHistorical[[#This Row],[Mine Action Old]])/tblPiNHistorical[[#This Row],[Mine Action Old]], 1), "")</f>
        <v/>
      </c>
      <c r="AZ189" s="66" t="str">
        <f>IFERROR(ROUND((tblPiNHistorical[[#This Row],[Shelter NFI New]]-tblPiNHistorical[[#This Row],[Shelter NFI Old]])/tblPiNHistorical[[#This Row],[Shelter NFI Old]], 1), "")</f>
        <v/>
      </c>
      <c r="BA189" s="36">
        <f>IFERROR(ROUND((tblPiNHistorical[[#This Row],[WASH New]]-tblPiNHistorical[[#This Row],[WASH Old]])/tblPiNHistorical[[#This Row],[WASH Old]], 1), "")</f>
        <v>-1</v>
      </c>
      <c r="BB189"/>
      <c r="BC189"/>
      <c r="BD189"/>
      <c r="BE189"/>
      <c r="BF189"/>
      <c r="BG189"/>
      <c r="BH189"/>
      <c r="BI189"/>
      <c r="BL189"/>
      <c r="BN189"/>
      <c r="BO189"/>
      <c r="BP189"/>
    </row>
    <row r="190" spans="1:68" x14ac:dyDescent="0.25">
      <c r="A190"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IDPsSD09047</v>
      </c>
      <c r="B190" s="127" t="s">
        <v>197</v>
      </c>
      <c r="C190" s="60" t="s">
        <v>126</v>
      </c>
      <c r="D190" s="60" t="s">
        <v>390</v>
      </c>
      <c r="E190" s="60" t="s">
        <v>391</v>
      </c>
      <c r="F190" s="54"/>
      <c r="G190" s="30"/>
      <c r="H190" s="56">
        <v>21256</v>
      </c>
      <c r="I190" s="37" t="s">
        <v>88</v>
      </c>
      <c r="J190" s="34">
        <v>1923</v>
      </c>
      <c r="K190" s="116">
        <v>0</v>
      </c>
      <c r="L190" s="114">
        <v>21256</v>
      </c>
      <c r="M190" s="114">
        <v>21256</v>
      </c>
      <c r="N190" s="114">
        <v>2195</v>
      </c>
      <c r="O190" s="114">
        <v>21256</v>
      </c>
      <c r="P190" s="114">
        <v>11691</v>
      </c>
      <c r="Q190" s="114">
        <v>8413</v>
      </c>
      <c r="R190" s="114">
        <v>0</v>
      </c>
      <c r="S190" s="114">
        <v>8502</v>
      </c>
      <c r="T190" s="196">
        <v>13312.20768</v>
      </c>
      <c r="U190" s="52">
        <f>IFERROR(INDEX(tblPiNAnalysis[[Site Management ]], MATCH(tblPiNHistorical[[#This Row],[ID]], tblPiNAnalysis[ID], 0)), "")</f>
        <v>0</v>
      </c>
      <c r="V190" s="52">
        <f>IFERROR(INDEX(tblPiNAnalysis[Education], MATCH(tblPiNHistorical[[#This Row],[ID]], tblPiNAnalysis[ID], 0)), "")</f>
        <v>0</v>
      </c>
      <c r="W190" s="28">
        <f>IFERROR(INDEX(tblPiNAnalysis[Food Security and Livlihoods], MATCH(tblPiNHistorical[[#This Row],[ID]], tblPiNAnalysis[ID], 0)), "")</f>
        <v>0</v>
      </c>
      <c r="X190" s="28">
        <f>IFERROR(INDEX(tblPiNAnalysis[[Health ]], MATCH(tblPiNHistorical[[#This Row],[ID]], tblPiNAnalysis[ID], 0)), "")</f>
        <v>0</v>
      </c>
      <c r="Y190" s="28">
        <f>IFERROR(INDEX(tblPiNAnalysis[Nutrition], MATCH(tblPiNHistorical[[#This Row],[ID]], tblPiNAnalysis[ID], 0)), "")</f>
        <v>0</v>
      </c>
      <c r="Z190" s="28">
        <f>IFERROR(INDEX(tblPiNAnalysis[Protection], MATCH(tblPiNHistorical[[#This Row],[ID]], tblPiNAnalysis[ID], 0)), "")</f>
        <v>0</v>
      </c>
      <c r="AA190" s="28">
        <f>IFERROR(INDEX(tblPiNAnalysis[CP], MATCH(tblPiNHistorical[[#This Row],[ID]], tblPiNAnalysis[ID], 0)), "")</f>
        <v>0</v>
      </c>
      <c r="AB190" s="83">
        <f>IFERROR(INDEX(tblPiNAnalysis[GBV], MATCH(tblPiNHistorical[[#This Row],[ID]], tblPiNAnalysis[ID], 0)), "")</f>
        <v>0</v>
      </c>
      <c r="AC190" s="28">
        <f>IFERROR(INDEX(tblPiNAnalysis[Mine Action], MATCH(tblPiNHistorical[[#This Row],[ID]], tblPiNAnalysis[ID], 0)), "")</f>
        <v>0</v>
      </c>
      <c r="AD190" s="83">
        <f>IFERROR(INDEX(tblPiNAnalysis[[Shelter NFI ]], MATCH(tblPiNHistorical[[#This Row],[ID]], tblPiNAnalysis[ID], 0)), "")</f>
        <v>67578</v>
      </c>
      <c r="AE190" s="35">
        <f>IFERROR(INDEX(tblPiNAnalysis[WASH], MATCH(tblPiNHistorical[[#This Row],[ID]], tblPiNAnalysis[ID], 0)), "")</f>
        <v>0</v>
      </c>
      <c r="AF190" s="6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190" s="67" t="str">
        <f>IF(OR(tblPiNHistorical[[#This Row],[Education Old]]="", tblPiNHistorical[[#This Row],[Education Old]]=0, tblPiNHistorical[[#This Row],[Education New]]="", tblPiNHistorical[[#This Row],[Education New]]=0), "", tblPiNHistorical[[#This Row],[Education New]]-tblPiNHistorical[[#This Row],[Education Old]])</f>
        <v/>
      </c>
      <c r="AH190" s="67"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190" s="67" t="str">
        <f>IF(OR(tblPiNHistorical[[#This Row],[Health Old]]="", tblPiNHistorical[[#This Row],[Health Old]]=0, tblPiNHistorical[[#This Row],[Health New]]="", tblPiNHistorical[[#This Row],[Health New]]=0), "", tblPiNHistorical[[#This Row],[Health New]]-tblPiNHistorical[[#This Row],[Health Old]])</f>
        <v/>
      </c>
      <c r="AJ190" s="67" t="str">
        <f>IF(OR(tblPiNHistorical[[#This Row],[Nutrition Old]]="", tblPiNHistorical[[#This Row],[Nutrition Old]]=0, tblPiNHistorical[[#This Row],[Nutrition New]]="", tblPiNHistorical[[#This Row],[Nutrition New]]=0), "", tblPiNHistorical[[#This Row],[Nutrition New]]-tblPiNHistorical[[#This Row],[Nutrition Old]])</f>
        <v/>
      </c>
      <c r="AK190" s="67" t="str">
        <f>IF(OR(tblPiNHistorical[[#This Row],[Protection Old]]="", tblPiNHistorical[[#This Row],[Protection Old]]=0, tblPiNHistorical[[#This Row],[Protection New]]="", tblPiNHistorical[[#This Row],[Protection New]]=0), "", tblPiNHistorical[[#This Row],[Protection New]]-tblPiNHistorical[[#This Row],[Protection Old]])</f>
        <v/>
      </c>
      <c r="AL190" s="67" t="str">
        <f>IF(OR(tblPiNHistorical[[#This Row],[CP Old ]]="", tblPiNHistorical[[#This Row],[CP Old ]]=0, tblPiNHistorical[[#This Row],[CP New]]="", tblPiNHistorical[[#This Row],[CP New]]=0), "", tblPiNHistorical[[#This Row],[CP New]]-tblPiNHistorical[[#This Row],[CP Old ]])</f>
        <v/>
      </c>
      <c r="AM190" s="83" t="str">
        <f>IF(OR(tblPiNHistorical[[#This Row],[GBV Old]]="", tblPiNHistorical[[#This Row],[GBV Old]]=0, tblPiNHistorical[[#This Row],[GBV New]]="", tblPiNHistorical[[#This Row],[GBV New]]=0), "", tblPiNHistorical[[#This Row],[GBV New]]-tblPiNHistorical[[#This Row],[GBV Old]])</f>
        <v/>
      </c>
      <c r="AN190" s="83" t="str">
        <f>IF(OR(tblPiNHistorical[[#This Row],[Mine Action Old]]="", tblPiNHistorical[[#This Row],[Mine Action Old]]=0, tblPiNHistorical[[#This Row],[Mine Action New]]="", tblPiNHistorical[[#This Row],[Mine Action New]]=0), "", tblPiNHistorical[[#This Row],[Mine Action New]]-tblPiNHistorical[[#This Row],[Mine Action Old]])</f>
        <v/>
      </c>
      <c r="AO190" s="67">
        <f>IF(OR(tblPiNHistorical[[#This Row],[Shelter NFI Old]]="", tblPiNHistorical[[#This Row],[Shelter NFI Old]]=0, tblPiNHistorical[[#This Row],[Shelter NFI New]]="", tblPiNHistorical[[#This Row],[Shelter NFI New]]=0), "", tblPiNHistorical[[#This Row],[Shelter NFI New]]-tblPiNHistorical[[#This Row],[Shelter NFI Old]])</f>
        <v>59076</v>
      </c>
      <c r="AP190" s="111" t="str">
        <f>IF(OR(tblPiNHistorical[[#This Row],[WASH Old]]="", tblPiNHistorical[[#This Row],[WASH Old]]=0, tblPiNHistorical[[#This Row],[WASH New]]="", tblPiNHistorical[[#This Row],[WASH New]]=0), "", tblPiNHistorical[[#This Row],[WASH New]]-tblPiNHistorical[[#This Row],[WASH Old]])</f>
        <v/>
      </c>
      <c r="AQ190" s="110">
        <f>IFERROR(ROUND((tblPiNHistorical[[#This Row],[Site Management - New]] - tblPiNHistorical[[#This Row],[Site Management - Old]])/tblPiNHistorical[[#This Row],[Site Management - Old]], 1), "")</f>
        <v>-1</v>
      </c>
      <c r="AR190" s="66" t="str">
        <f>IFERROR(ROUND((tblPiNHistorical[[#This Row],[Education New]]-tblPiNHistorical[[#This Row],[Education Old]])/tblPiNHistorical[[#This Row],[Education Old]], 1), "")</f>
        <v/>
      </c>
      <c r="AS190" s="66">
        <f>IFERROR(ROUND((tblPiNHistorical[[#This Row],[Food Security and Livlihoods New]]-tblPiNHistorical[[#This Row],[Food Security and Livlihoods Old]])/tblPiNHistorical[[#This Row],[Food Security and Livlihoods Old]], 1), "")</f>
        <v>-1</v>
      </c>
      <c r="AT190" s="66">
        <f>IFERROR(ROUND((tblPiNHistorical[[#This Row],[Health New]]-tblPiNHistorical[[#This Row],[Health Old]])/tblPiNHistorical[[#This Row],[Health Old]], 1), "")</f>
        <v>-1</v>
      </c>
      <c r="AU190" s="66">
        <f>IFERROR(ROUND((tblPiNHistorical[[#This Row],[Nutrition New]]-tblPiNHistorical[[#This Row],[Nutrition Old]])/tblPiNHistorical[[#This Row],[Nutrition Old]], 1), "")</f>
        <v>-1</v>
      </c>
      <c r="AV190" s="66">
        <f>IFERROR(ROUND((tblPiNHistorical[[#This Row],[Protection New]]-tblPiNHistorical[[#This Row],[Protection Old]])/tblPiNHistorical[[#This Row],[Protection Old]], 1), "")</f>
        <v>-1</v>
      </c>
      <c r="AW190" s="84">
        <f>IFERROR(ROUND((tblPiNHistorical[[#This Row],[CP New]]-tblPiNHistorical[[#This Row],[CP Old ]])/tblPiNHistorical[[#This Row],[CP Old ]], 1), "")</f>
        <v>-1</v>
      </c>
      <c r="AX190" s="84">
        <f>IFERROR(ROUND((tblPiNHistorical[[#This Row],[GBV New]]-tblPiNHistorical[[#This Row],[GBV Old]])/tblPiNHistorical[[#This Row],[GBV Old]], 1), "")</f>
        <v>-1</v>
      </c>
      <c r="AY190" s="84" t="str">
        <f>IFERROR(ROUND((tblPiNHistorical[[#This Row],[Mine Action New]]-tblPiNHistorical[[#This Row],[Mine Action Old]])/tblPiNHistorical[[#This Row],[Mine Action Old]], 1), "")</f>
        <v/>
      </c>
      <c r="AZ190" s="66">
        <f>IFERROR(ROUND((tblPiNHistorical[[#This Row],[Shelter NFI New]]-tblPiNHistorical[[#This Row],[Shelter NFI Old]])/tblPiNHistorical[[#This Row],[Shelter NFI Old]], 1), "")</f>
        <v>6.9</v>
      </c>
      <c r="BA190" s="36">
        <f>IFERROR(ROUND((tblPiNHistorical[[#This Row],[WASH New]]-tblPiNHistorical[[#This Row],[WASH Old]])/tblPiNHistorical[[#This Row],[WASH Old]], 1), "")</f>
        <v>-1</v>
      </c>
      <c r="BB190"/>
      <c r="BC190"/>
      <c r="BD190"/>
      <c r="BE190"/>
      <c r="BF190"/>
      <c r="BG190"/>
      <c r="BH190"/>
      <c r="BI190"/>
      <c r="BL190"/>
      <c r="BN190"/>
      <c r="BO190"/>
      <c r="BP190"/>
    </row>
    <row r="191" spans="1:68" x14ac:dyDescent="0.25">
      <c r="A191"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IDPsSD09046</v>
      </c>
      <c r="B191" s="127" t="s">
        <v>197</v>
      </c>
      <c r="C191" s="60" t="s">
        <v>126</v>
      </c>
      <c r="D191" s="60" t="s">
        <v>388</v>
      </c>
      <c r="E191" s="60" t="s">
        <v>389</v>
      </c>
      <c r="F191" s="54"/>
      <c r="G191" s="30"/>
      <c r="H191" s="56">
        <v>21720</v>
      </c>
      <c r="I191" s="37" t="s">
        <v>88</v>
      </c>
      <c r="J191" s="34">
        <v>3928</v>
      </c>
      <c r="K191" s="116">
        <v>0</v>
      </c>
      <c r="L191" s="114">
        <v>21720</v>
      </c>
      <c r="M191" s="114">
        <v>21720</v>
      </c>
      <c r="N191" s="114">
        <v>1477</v>
      </c>
      <c r="O191" s="114">
        <v>21720</v>
      </c>
      <c r="P191" s="114">
        <v>11946</v>
      </c>
      <c r="Q191" s="114">
        <v>8597</v>
      </c>
      <c r="R191" s="114">
        <v>0</v>
      </c>
      <c r="S191" s="114">
        <v>8688</v>
      </c>
      <c r="T191" s="196">
        <v>7123.2911999999997</v>
      </c>
      <c r="U191" s="52">
        <f>IFERROR(INDEX(tblPiNAnalysis[[Site Management ]], MATCH(tblPiNHistorical[[#This Row],[ID]], tblPiNAnalysis[ID], 0)), "")</f>
        <v>0</v>
      </c>
      <c r="V191" s="52">
        <f>IFERROR(INDEX(tblPiNAnalysis[Education], MATCH(tblPiNHistorical[[#This Row],[ID]], tblPiNAnalysis[ID], 0)), "")</f>
        <v>0</v>
      </c>
      <c r="W191" s="28">
        <f>IFERROR(INDEX(tblPiNAnalysis[Food Security and Livlihoods], MATCH(tblPiNHistorical[[#This Row],[ID]], tblPiNAnalysis[ID], 0)), "")</f>
        <v>0</v>
      </c>
      <c r="X191" s="28">
        <f>IFERROR(INDEX(tblPiNAnalysis[[Health ]], MATCH(tblPiNHistorical[[#This Row],[ID]], tblPiNAnalysis[ID], 0)), "")</f>
        <v>0</v>
      </c>
      <c r="Y191" s="28">
        <f>IFERROR(INDEX(tblPiNAnalysis[Nutrition], MATCH(tblPiNHistorical[[#This Row],[ID]], tblPiNAnalysis[ID], 0)), "")</f>
        <v>0</v>
      </c>
      <c r="Z191" s="28">
        <f>IFERROR(INDEX(tblPiNAnalysis[Protection], MATCH(tblPiNHistorical[[#This Row],[ID]], tblPiNAnalysis[ID], 0)), "")</f>
        <v>0</v>
      </c>
      <c r="AA191" s="28">
        <f>IFERROR(INDEX(tblPiNAnalysis[CP], MATCH(tblPiNHistorical[[#This Row],[ID]], tblPiNAnalysis[ID], 0)), "")</f>
        <v>0</v>
      </c>
      <c r="AB191" s="83">
        <f>IFERROR(INDEX(tblPiNAnalysis[GBV], MATCH(tblPiNHistorical[[#This Row],[ID]], tblPiNAnalysis[ID], 0)), "")</f>
        <v>0</v>
      </c>
      <c r="AC191" s="28">
        <f>IFERROR(INDEX(tblPiNAnalysis[Mine Action], MATCH(tblPiNHistorical[[#This Row],[ID]], tblPiNAnalysis[ID], 0)), "")</f>
        <v>0</v>
      </c>
      <c r="AD191" s="83">
        <f>IFERROR(INDEX(tblPiNAnalysis[[Shelter NFI ]], MATCH(tblPiNHistorical[[#This Row],[ID]], tblPiNAnalysis[ID], 0)), "")</f>
        <v>85971</v>
      </c>
      <c r="AE191" s="35">
        <f>IFERROR(INDEX(tblPiNAnalysis[WASH], MATCH(tblPiNHistorical[[#This Row],[ID]], tblPiNAnalysis[ID], 0)), "")</f>
        <v>0</v>
      </c>
      <c r="AF191" s="6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191" s="67" t="str">
        <f>IF(OR(tblPiNHistorical[[#This Row],[Education Old]]="", tblPiNHistorical[[#This Row],[Education Old]]=0, tblPiNHistorical[[#This Row],[Education New]]="", tblPiNHistorical[[#This Row],[Education New]]=0), "", tblPiNHistorical[[#This Row],[Education New]]-tblPiNHistorical[[#This Row],[Education Old]])</f>
        <v/>
      </c>
      <c r="AH191" s="67"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191" s="67" t="str">
        <f>IF(OR(tblPiNHistorical[[#This Row],[Health Old]]="", tblPiNHistorical[[#This Row],[Health Old]]=0, tblPiNHistorical[[#This Row],[Health New]]="", tblPiNHistorical[[#This Row],[Health New]]=0), "", tblPiNHistorical[[#This Row],[Health New]]-tblPiNHistorical[[#This Row],[Health Old]])</f>
        <v/>
      </c>
      <c r="AJ191" s="67" t="str">
        <f>IF(OR(tblPiNHistorical[[#This Row],[Nutrition Old]]="", tblPiNHistorical[[#This Row],[Nutrition Old]]=0, tblPiNHistorical[[#This Row],[Nutrition New]]="", tblPiNHistorical[[#This Row],[Nutrition New]]=0), "", tblPiNHistorical[[#This Row],[Nutrition New]]-tblPiNHistorical[[#This Row],[Nutrition Old]])</f>
        <v/>
      </c>
      <c r="AK191" s="67" t="str">
        <f>IF(OR(tblPiNHistorical[[#This Row],[Protection Old]]="", tblPiNHistorical[[#This Row],[Protection Old]]=0, tblPiNHistorical[[#This Row],[Protection New]]="", tblPiNHistorical[[#This Row],[Protection New]]=0), "", tblPiNHistorical[[#This Row],[Protection New]]-tblPiNHistorical[[#This Row],[Protection Old]])</f>
        <v/>
      </c>
      <c r="AL191" s="67" t="str">
        <f>IF(OR(tblPiNHistorical[[#This Row],[CP Old ]]="", tblPiNHistorical[[#This Row],[CP Old ]]=0, tblPiNHistorical[[#This Row],[CP New]]="", tblPiNHistorical[[#This Row],[CP New]]=0), "", tblPiNHistorical[[#This Row],[CP New]]-tblPiNHistorical[[#This Row],[CP Old ]])</f>
        <v/>
      </c>
      <c r="AM191" s="83" t="str">
        <f>IF(OR(tblPiNHistorical[[#This Row],[GBV Old]]="", tblPiNHistorical[[#This Row],[GBV Old]]=0, tblPiNHistorical[[#This Row],[GBV New]]="", tblPiNHistorical[[#This Row],[GBV New]]=0), "", tblPiNHistorical[[#This Row],[GBV New]]-tblPiNHistorical[[#This Row],[GBV Old]])</f>
        <v/>
      </c>
      <c r="AN191" s="83" t="str">
        <f>IF(OR(tblPiNHistorical[[#This Row],[Mine Action Old]]="", tblPiNHistorical[[#This Row],[Mine Action Old]]=0, tblPiNHistorical[[#This Row],[Mine Action New]]="", tblPiNHistorical[[#This Row],[Mine Action New]]=0), "", tblPiNHistorical[[#This Row],[Mine Action New]]-tblPiNHistorical[[#This Row],[Mine Action Old]])</f>
        <v/>
      </c>
      <c r="AO191" s="67">
        <f>IF(OR(tblPiNHistorical[[#This Row],[Shelter NFI Old]]="", tblPiNHistorical[[#This Row],[Shelter NFI Old]]=0, tblPiNHistorical[[#This Row],[Shelter NFI New]]="", tblPiNHistorical[[#This Row],[Shelter NFI New]]=0), "", tblPiNHistorical[[#This Row],[Shelter NFI New]]-tblPiNHistorical[[#This Row],[Shelter NFI Old]])</f>
        <v>77283</v>
      </c>
      <c r="AP191" s="111" t="str">
        <f>IF(OR(tblPiNHistorical[[#This Row],[WASH Old]]="", tblPiNHistorical[[#This Row],[WASH Old]]=0, tblPiNHistorical[[#This Row],[WASH New]]="", tblPiNHistorical[[#This Row],[WASH New]]=0), "", tblPiNHistorical[[#This Row],[WASH New]]-tblPiNHistorical[[#This Row],[WASH Old]])</f>
        <v/>
      </c>
      <c r="AQ191" s="110">
        <f>IFERROR(ROUND((tblPiNHistorical[[#This Row],[Site Management - New]] - tblPiNHistorical[[#This Row],[Site Management - Old]])/tblPiNHistorical[[#This Row],[Site Management - Old]], 1), "")</f>
        <v>-1</v>
      </c>
      <c r="AR191" s="66" t="str">
        <f>IFERROR(ROUND((tblPiNHistorical[[#This Row],[Education New]]-tblPiNHistorical[[#This Row],[Education Old]])/tblPiNHistorical[[#This Row],[Education Old]], 1), "")</f>
        <v/>
      </c>
      <c r="AS191" s="66">
        <f>IFERROR(ROUND((tblPiNHistorical[[#This Row],[Food Security and Livlihoods New]]-tblPiNHistorical[[#This Row],[Food Security and Livlihoods Old]])/tblPiNHistorical[[#This Row],[Food Security and Livlihoods Old]], 1), "")</f>
        <v>-1</v>
      </c>
      <c r="AT191" s="66">
        <f>IFERROR(ROUND((tblPiNHistorical[[#This Row],[Health New]]-tblPiNHistorical[[#This Row],[Health Old]])/tblPiNHistorical[[#This Row],[Health Old]], 1), "")</f>
        <v>-1</v>
      </c>
      <c r="AU191" s="66">
        <f>IFERROR(ROUND((tblPiNHistorical[[#This Row],[Nutrition New]]-tblPiNHistorical[[#This Row],[Nutrition Old]])/tblPiNHistorical[[#This Row],[Nutrition Old]], 1), "")</f>
        <v>-1</v>
      </c>
      <c r="AV191" s="66">
        <f>IFERROR(ROUND((tblPiNHistorical[[#This Row],[Protection New]]-tblPiNHistorical[[#This Row],[Protection Old]])/tblPiNHistorical[[#This Row],[Protection Old]], 1), "")</f>
        <v>-1</v>
      </c>
      <c r="AW191" s="84">
        <f>IFERROR(ROUND((tblPiNHistorical[[#This Row],[CP New]]-tblPiNHistorical[[#This Row],[CP Old ]])/tblPiNHistorical[[#This Row],[CP Old ]], 1), "")</f>
        <v>-1</v>
      </c>
      <c r="AX191" s="84">
        <f>IFERROR(ROUND((tblPiNHistorical[[#This Row],[GBV New]]-tblPiNHistorical[[#This Row],[GBV Old]])/tblPiNHistorical[[#This Row],[GBV Old]], 1), "")</f>
        <v>-1</v>
      </c>
      <c r="AY191" s="84" t="str">
        <f>IFERROR(ROUND((tblPiNHistorical[[#This Row],[Mine Action New]]-tblPiNHistorical[[#This Row],[Mine Action Old]])/tblPiNHistorical[[#This Row],[Mine Action Old]], 1), "")</f>
        <v/>
      </c>
      <c r="AZ191" s="66">
        <f>IFERROR(ROUND((tblPiNHistorical[[#This Row],[Shelter NFI New]]-tblPiNHistorical[[#This Row],[Shelter NFI Old]])/tblPiNHistorical[[#This Row],[Shelter NFI Old]], 1), "")</f>
        <v>8.9</v>
      </c>
      <c r="BA191" s="36">
        <f>IFERROR(ROUND((tblPiNHistorical[[#This Row],[WASH New]]-tblPiNHistorical[[#This Row],[WASH Old]])/tblPiNHistorical[[#This Row],[WASH Old]], 1), "")</f>
        <v>-1</v>
      </c>
      <c r="BB191"/>
      <c r="BC191"/>
      <c r="BD191"/>
      <c r="BE191"/>
      <c r="BF191"/>
      <c r="BG191"/>
      <c r="BH191"/>
      <c r="BI191"/>
      <c r="BL191"/>
      <c r="BN191"/>
      <c r="BO191"/>
      <c r="BP191"/>
    </row>
    <row r="192" spans="1:68" x14ac:dyDescent="0.25">
      <c r="A192"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IDPsSD09048</v>
      </c>
      <c r="B192" s="127" t="s">
        <v>197</v>
      </c>
      <c r="C192" s="60" t="s">
        <v>126</v>
      </c>
      <c r="D192" s="60" t="s">
        <v>392</v>
      </c>
      <c r="E192" s="60" t="s">
        <v>393</v>
      </c>
      <c r="F192" s="54"/>
      <c r="G192" s="30"/>
      <c r="H192" s="56">
        <v>19986</v>
      </c>
      <c r="I192" s="37" t="s">
        <v>88</v>
      </c>
      <c r="J192" s="34">
        <v>322</v>
      </c>
      <c r="K192" s="116">
        <v>0</v>
      </c>
      <c r="L192" s="114">
        <v>19986</v>
      </c>
      <c r="M192" s="114">
        <v>19986</v>
      </c>
      <c r="N192" s="114">
        <v>1095</v>
      </c>
      <c r="O192" s="114">
        <v>19986</v>
      </c>
      <c r="P192" s="114">
        <v>10992</v>
      </c>
      <c r="Q192" s="114">
        <v>7911</v>
      </c>
      <c r="R192" s="114">
        <v>0</v>
      </c>
      <c r="S192" s="114">
        <v>7994</v>
      </c>
      <c r="T192" s="196">
        <v>20831.807519999998</v>
      </c>
      <c r="U192" s="52">
        <f>IFERROR(INDEX(tblPiNAnalysis[[Site Management ]], MATCH(tblPiNHistorical[[#This Row],[ID]], tblPiNAnalysis[ID], 0)), "")</f>
        <v>0</v>
      </c>
      <c r="V192" s="52">
        <f>IFERROR(INDEX(tblPiNAnalysis[Education], MATCH(tblPiNHistorical[[#This Row],[ID]], tblPiNAnalysis[ID], 0)), "")</f>
        <v>0</v>
      </c>
      <c r="W192" s="28">
        <f>IFERROR(INDEX(tblPiNAnalysis[Food Security and Livlihoods], MATCH(tblPiNHistorical[[#This Row],[ID]], tblPiNAnalysis[ID], 0)), "")</f>
        <v>0</v>
      </c>
      <c r="X192" s="28">
        <f>IFERROR(INDEX(tblPiNAnalysis[[Health ]], MATCH(tblPiNHistorical[[#This Row],[ID]], tblPiNAnalysis[ID], 0)), "")</f>
        <v>0</v>
      </c>
      <c r="Y192" s="28">
        <f>IFERROR(INDEX(tblPiNAnalysis[Nutrition], MATCH(tblPiNHistorical[[#This Row],[ID]], tblPiNAnalysis[ID], 0)), "")</f>
        <v>0</v>
      </c>
      <c r="Z192" s="28">
        <f>IFERROR(INDEX(tblPiNAnalysis[Protection], MATCH(tblPiNHistorical[[#This Row],[ID]], tblPiNAnalysis[ID], 0)), "")</f>
        <v>0</v>
      </c>
      <c r="AA192" s="28">
        <f>IFERROR(INDEX(tblPiNAnalysis[CP], MATCH(tblPiNHistorical[[#This Row],[ID]], tblPiNAnalysis[ID], 0)), "")</f>
        <v>0</v>
      </c>
      <c r="AB192" s="83">
        <f>IFERROR(INDEX(tblPiNAnalysis[GBV], MATCH(tblPiNHistorical[[#This Row],[ID]], tblPiNAnalysis[ID], 0)), "")</f>
        <v>0</v>
      </c>
      <c r="AC192" s="28">
        <f>IFERROR(INDEX(tblPiNAnalysis[Mine Action], MATCH(tblPiNHistorical[[#This Row],[ID]], tblPiNAnalysis[ID], 0)), "")</f>
        <v>0</v>
      </c>
      <c r="AD192" s="83">
        <f>IFERROR(INDEX(tblPiNAnalysis[[Shelter NFI ]], MATCH(tblPiNHistorical[[#This Row],[ID]], tblPiNAnalysis[ID], 0)), "")</f>
        <v>5926</v>
      </c>
      <c r="AE192" s="35">
        <f>IFERROR(INDEX(tblPiNAnalysis[WASH], MATCH(tblPiNHistorical[[#This Row],[ID]], tblPiNAnalysis[ID], 0)), "")</f>
        <v>0</v>
      </c>
      <c r="AF192" s="6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192" s="67" t="str">
        <f>IF(OR(tblPiNHistorical[[#This Row],[Education Old]]="", tblPiNHistorical[[#This Row],[Education Old]]=0, tblPiNHistorical[[#This Row],[Education New]]="", tblPiNHistorical[[#This Row],[Education New]]=0), "", tblPiNHistorical[[#This Row],[Education New]]-tblPiNHistorical[[#This Row],[Education Old]])</f>
        <v/>
      </c>
      <c r="AH192" s="67"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192" s="67" t="str">
        <f>IF(OR(tblPiNHistorical[[#This Row],[Health Old]]="", tblPiNHistorical[[#This Row],[Health Old]]=0, tblPiNHistorical[[#This Row],[Health New]]="", tblPiNHistorical[[#This Row],[Health New]]=0), "", tblPiNHistorical[[#This Row],[Health New]]-tblPiNHistorical[[#This Row],[Health Old]])</f>
        <v/>
      </c>
      <c r="AJ192" s="67" t="str">
        <f>IF(OR(tblPiNHistorical[[#This Row],[Nutrition Old]]="", tblPiNHistorical[[#This Row],[Nutrition Old]]=0, tblPiNHistorical[[#This Row],[Nutrition New]]="", tblPiNHistorical[[#This Row],[Nutrition New]]=0), "", tblPiNHistorical[[#This Row],[Nutrition New]]-tblPiNHistorical[[#This Row],[Nutrition Old]])</f>
        <v/>
      </c>
      <c r="AK192" s="67" t="str">
        <f>IF(OR(tblPiNHistorical[[#This Row],[Protection Old]]="", tblPiNHistorical[[#This Row],[Protection Old]]=0, tblPiNHistorical[[#This Row],[Protection New]]="", tblPiNHistorical[[#This Row],[Protection New]]=0), "", tblPiNHistorical[[#This Row],[Protection New]]-tblPiNHistorical[[#This Row],[Protection Old]])</f>
        <v/>
      </c>
      <c r="AL192" s="67" t="str">
        <f>IF(OR(tblPiNHistorical[[#This Row],[CP Old ]]="", tblPiNHistorical[[#This Row],[CP Old ]]=0, tblPiNHistorical[[#This Row],[CP New]]="", tblPiNHistorical[[#This Row],[CP New]]=0), "", tblPiNHistorical[[#This Row],[CP New]]-tblPiNHistorical[[#This Row],[CP Old ]])</f>
        <v/>
      </c>
      <c r="AM192" s="83" t="str">
        <f>IF(OR(tblPiNHistorical[[#This Row],[GBV Old]]="", tblPiNHistorical[[#This Row],[GBV Old]]=0, tblPiNHistorical[[#This Row],[GBV New]]="", tblPiNHistorical[[#This Row],[GBV New]]=0), "", tblPiNHistorical[[#This Row],[GBV New]]-tblPiNHistorical[[#This Row],[GBV Old]])</f>
        <v/>
      </c>
      <c r="AN192" s="83" t="str">
        <f>IF(OR(tblPiNHistorical[[#This Row],[Mine Action Old]]="", tblPiNHistorical[[#This Row],[Mine Action Old]]=0, tblPiNHistorical[[#This Row],[Mine Action New]]="", tblPiNHistorical[[#This Row],[Mine Action New]]=0), "", tblPiNHistorical[[#This Row],[Mine Action New]]-tblPiNHistorical[[#This Row],[Mine Action Old]])</f>
        <v/>
      </c>
      <c r="AO192" s="67">
        <f>IF(OR(tblPiNHistorical[[#This Row],[Shelter NFI Old]]="", tblPiNHistorical[[#This Row],[Shelter NFI Old]]=0, tblPiNHistorical[[#This Row],[Shelter NFI New]]="", tblPiNHistorical[[#This Row],[Shelter NFI New]]=0), "", tblPiNHistorical[[#This Row],[Shelter NFI New]]-tblPiNHistorical[[#This Row],[Shelter NFI Old]])</f>
        <v>-2068</v>
      </c>
      <c r="AP192" s="111" t="str">
        <f>IF(OR(tblPiNHistorical[[#This Row],[WASH Old]]="", tblPiNHistorical[[#This Row],[WASH Old]]=0, tblPiNHistorical[[#This Row],[WASH New]]="", tblPiNHistorical[[#This Row],[WASH New]]=0), "", tblPiNHistorical[[#This Row],[WASH New]]-tblPiNHistorical[[#This Row],[WASH Old]])</f>
        <v/>
      </c>
      <c r="AQ192" s="110">
        <f>IFERROR(ROUND((tblPiNHistorical[[#This Row],[Site Management - New]] - tblPiNHistorical[[#This Row],[Site Management - Old]])/tblPiNHistorical[[#This Row],[Site Management - Old]], 1), "")</f>
        <v>-1</v>
      </c>
      <c r="AR192" s="66" t="str">
        <f>IFERROR(ROUND((tblPiNHistorical[[#This Row],[Education New]]-tblPiNHistorical[[#This Row],[Education Old]])/tblPiNHistorical[[#This Row],[Education Old]], 1), "")</f>
        <v/>
      </c>
      <c r="AS192" s="66">
        <f>IFERROR(ROUND((tblPiNHistorical[[#This Row],[Food Security and Livlihoods New]]-tblPiNHistorical[[#This Row],[Food Security and Livlihoods Old]])/tblPiNHistorical[[#This Row],[Food Security and Livlihoods Old]], 1), "")</f>
        <v>-1</v>
      </c>
      <c r="AT192" s="66">
        <f>IFERROR(ROUND((tblPiNHistorical[[#This Row],[Health New]]-tblPiNHistorical[[#This Row],[Health Old]])/tblPiNHistorical[[#This Row],[Health Old]], 1), "")</f>
        <v>-1</v>
      </c>
      <c r="AU192" s="66">
        <f>IFERROR(ROUND((tblPiNHistorical[[#This Row],[Nutrition New]]-tblPiNHistorical[[#This Row],[Nutrition Old]])/tblPiNHistorical[[#This Row],[Nutrition Old]], 1), "")</f>
        <v>-1</v>
      </c>
      <c r="AV192" s="66">
        <f>IFERROR(ROUND((tblPiNHistorical[[#This Row],[Protection New]]-tblPiNHistorical[[#This Row],[Protection Old]])/tblPiNHistorical[[#This Row],[Protection Old]], 1), "")</f>
        <v>-1</v>
      </c>
      <c r="AW192" s="84">
        <f>IFERROR(ROUND((tblPiNHistorical[[#This Row],[CP New]]-tblPiNHistorical[[#This Row],[CP Old ]])/tblPiNHistorical[[#This Row],[CP Old ]], 1), "")</f>
        <v>-1</v>
      </c>
      <c r="AX192" s="84">
        <f>IFERROR(ROUND((tblPiNHistorical[[#This Row],[GBV New]]-tblPiNHistorical[[#This Row],[GBV Old]])/tblPiNHistorical[[#This Row],[GBV Old]], 1), "")</f>
        <v>-1</v>
      </c>
      <c r="AY192" s="84" t="str">
        <f>IFERROR(ROUND((tblPiNHistorical[[#This Row],[Mine Action New]]-tblPiNHistorical[[#This Row],[Mine Action Old]])/tblPiNHistorical[[#This Row],[Mine Action Old]], 1), "")</f>
        <v/>
      </c>
      <c r="AZ192" s="66">
        <f>IFERROR(ROUND((tblPiNHistorical[[#This Row],[Shelter NFI New]]-tblPiNHistorical[[#This Row],[Shelter NFI Old]])/tblPiNHistorical[[#This Row],[Shelter NFI Old]], 1), "")</f>
        <v>-0.3</v>
      </c>
      <c r="BA192" s="36">
        <f>IFERROR(ROUND((tblPiNHistorical[[#This Row],[WASH New]]-tblPiNHistorical[[#This Row],[WASH Old]])/tblPiNHistorical[[#This Row],[WASH Old]], 1), "")</f>
        <v>-1</v>
      </c>
      <c r="BB192"/>
      <c r="BC192"/>
      <c r="BD192"/>
      <c r="BE192"/>
      <c r="BF192"/>
      <c r="BG192"/>
      <c r="BH192"/>
      <c r="BI192"/>
      <c r="BL192"/>
      <c r="BN192"/>
      <c r="BO192"/>
      <c r="BP192"/>
    </row>
    <row r="193" spans="1:68" x14ac:dyDescent="0.25">
      <c r="A193"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IDPsSD09045</v>
      </c>
      <c r="B193" s="127" t="s">
        <v>197</v>
      </c>
      <c r="C193" s="60" t="s">
        <v>126</v>
      </c>
      <c r="D193" s="60" t="s">
        <v>386</v>
      </c>
      <c r="E193" s="60" t="s">
        <v>387</v>
      </c>
      <c r="F193" s="54"/>
      <c r="G193" s="30"/>
      <c r="H193" s="56">
        <v>20065</v>
      </c>
      <c r="I193" s="37" t="s">
        <v>88</v>
      </c>
      <c r="J193" s="34">
        <v>625</v>
      </c>
      <c r="K193" s="116">
        <v>0</v>
      </c>
      <c r="L193" s="114">
        <v>20065</v>
      </c>
      <c r="M193" s="114">
        <v>20065</v>
      </c>
      <c r="N193" s="114">
        <v>735</v>
      </c>
      <c r="O193" s="114">
        <v>20065</v>
      </c>
      <c r="P193" s="114">
        <v>11036</v>
      </c>
      <c r="Q193" s="114">
        <v>7941</v>
      </c>
      <c r="R193" s="114">
        <v>0</v>
      </c>
      <c r="S193" s="114">
        <v>8026</v>
      </c>
      <c r="T193" s="196">
        <v>15308.7924</v>
      </c>
      <c r="U193" s="52">
        <f>IFERROR(INDEX(tblPiNAnalysis[[Site Management ]], MATCH(tblPiNHistorical[[#This Row],[ID]], tblPiNAnalysis[ID], 0)), "")</f>
        <v>0</v>
      </c>
      <c r="V193" s="52">
        <f>IFERROR(INDEX(tblPiNAnalysis[Education], MATCH(tblPiNHistorical[[#This Row],[ID]], tblPiNAnalysis[ID], 0)), "")</f>
        <v>0</v>
      </c>
      <c r="W193" s="28">
        <f>IFERROR(INDEX(tblPiNAnalysis[Food Security and Livlihoods], MATCH(tblPiNHistorical[[#This Row],[ID]], tblPiNAnalysis[ID], 0)), "")</f>
        <v>0</v>
      </c>
      <c r="X193" s="28">
        <f>IFERROR(INDEX(tblPiNAnalysis[[Health ]], MATCH(tblPiNHistorical[[#This Row],[ID]], tblPiNAnalysis[ID], 0)), "")</f>
        <v>0</v>
      </c>
      <c r="Y193" s="28">
        <f>IFERROR(INDEX(tblPiNAnalysis[Nutrition], MATCH(tblPiNHistorical[[#This Row],[ID]], tblPiNAnalysis[ID], 0)), "")</f>
        <v>0</v>
      </c>
      <c r="Z193" s="28">
        <f>IFERROR(INDEX(tblPiNAnalysis[Protection], MATCH(tblPiNHistorical[[#This Row],[ID]], tblPiNAnalysis[ID], 0)), "")</f>
        <v>0</v>
      </c>
      <c r="AA193" s="28">
        <f>IFERROR(INDEX(tblPiNAnalysis[CP], MATCH(tblPiNHistorical[[#This Row],[ID]], tblPiNAnalysis[ID], 0)), "")</f>
        <v>0</v>
      </c>
      <c r="AB193" s="83">
        <f>IFERROR(INDEX(tblPiNAnalysis[GBV], MATCH(tblPiNHistorical[[#This Row],[ID]], tblPiNAnalysis[ID], 0)), "")</f>
        <v>0</v>
      </c>
      <c r="AC193" s="28">
        <f>IFERROR(INDEX(tblPiNAnalysis[Mine Action], MATCH(tblPiNHistorical[[#This Row],[ID]], tblPiNAnalysis[ID], 0)), "")</f>
        <v>0</v>
      </c>
      <c r="AD193" s="83">
        <f>IFERROR(INDEX(tblPiNAnalysis[[Shelter NFI ]], MATCH(tblPiNHistorical[[#This Row],[ID]], tblPiNAnalysis[ID], 0)), "")</f>
        <v>5249</v>
      </c>
      <c r="AE193" s="35">
        <f>IFERROR(INDEX(tblPiNAnalysis[WASH], MATCH(tblPiNHistorical[[#This Row],[ID]], tblPiNAnalysis[ID], 0)), "")</f>
        <v>0</v>
      </c>
      <c r="AF193" s="6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193" s="67" t="str">
        <f>IF(OR(tblPiNHistorical[[#This Row],[Education Old]]="", tblPiNHistorical[[#This Row],[Education Old]]=0, tblPiNHistorical[[#This Row],[Education New]]="", tblPiNHistorical[[#This Row],[Education New]]=0), "", tblPiNHistorical[[#This Row],[Education New]]-tblPiNHistorical[[#This Row],[Education Old]])</f>
        <v/>
      </c>
      <c r="AH193" s="67"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193" s="67" t="str">
        <f>IF(OR(tblPiNHistorical[[#This Row],[Health Old]]="", tblPiNHistorical[[#This Row],[Health Old]]=0, tblPiNHistorical[[#This Row],[Health New]]="", tblPiNHistorical[[#This Row],[Health New]]=0), "", tblPiNHistorical[[#This Row],[Health New]]-tblPiNHistorical[[#This Row],[Health Old]])</f>
        <v/>
      </c>
      <c r="AJ193" s="67" t="str">
        <f>IF(OR(tblPiNHistorical[[#This Row],[Nutrition Old]]="", tblPiNHistorical[[#This Row],[Nutrition Old]]=0, tblPiNHistorical[[#This Row],[Nutrition New]]="", tblPiNHistorical[[#This Row],[Nutrition New]]=0), "", tblPiNHistorical[[#This Row],[Nutrition New]]-tblPiNHistorical[[#This Row],[Nutrition Old]])</f>
        <v/>
      </c>
      <c r="AK193" s="67" t="str">
        <f>IF(OR(tblPiNHistorical[[#This Row],[Protection Old]]="", tblPiNHistorical[[#This Row],[Protection Old]]=0, tblPiNHistorical[[#This Row],[Protection New]]="", tblPiNHistorical[[#This Row],[Protection New]]=0), "", tblPiNHistorical[[#This Row],[Protection New]]-tblPiNHistorical[[#This Row],[Protection Old]])</f>
        <v/>
      </c>
      <c r="AL193" s="67" t="str">
        <f>IF(OR(tblPiNHistorical[[#This Row],[CP Old ]]="", tblPiNHistorical[[#This Row],[CP Old ]]=0, tblPiNHistorical[[#This Row],[CP New]]="", tblPiNHistorical[[#This Row],[CP New]]=0), "", tblPiNHistorical[[#This Row],[CP New]]-tblPiNHistorical[[#This Row],[CP Old ]])</f>
        <v/>
      </c>
      <c r="AM193" s="83" t="str">
        <f>IF(OR(tblPiNHistorical[[#This Row],[GBV Old]]="", tblPiNHistorical[[#This Row],[GBV Old]]=0, tblPiNHistorical[[#This Row],[GBV New]]="", tblPiNHistorical[[#This Row],[GBV New]]=0), "", tblPiNHistorical[[#This Row],[GBV New]]-tblPiNHistorical[[#This Row],[GBV Old]])</f>
        <v/>
      </c>
      <c r="AN193" s="83" t="str">
        <f>IF(OR(tblPiNHistorical[[#This Row],[Mine Action Old]]="", tblPiNHistorical[[#This Row],[Mine Action Old]]=0, tblPiNHistorical[[#This Row],[Mine Action New]]="", tblPiNHistorical[[#This Row],[Mine Action New]]=0), "", tblPiNHistorical[[#This Row],[Mine Action New]]-tblPiNHistorical[[#This Row],[Mine Action Old]])</f>
        <v/>
      </c>
      <c r="AO193" s="67">
        <f>IF(OR(tblPiNHistorical[[#This Row],[Shelter NFI Old]]="", tblPiNHistorical[[#This Row],[Shelter NFI Old]]=0, tblPiNHistorical[[#This Row],[Shelter NFI New]]="", tblPiNHistorical[[#This Row],[Shelter NFI New]]=0), "", tblPiNHistorical[[#This Row],[Shelter NFI New]]-tblPiNHistorical[[#This Row],[Shelter NFI Old]])</f>
        <v>-2777</v>
      </c>
      <c r="AP193" s="111" t="str">
        <f>IF(OR(tblPiNHistorical[[#This Row],[WASH Old]]="", tblPiNHistorical[[#This Row],[WASH Old]]=0, tblPiNHistorical[[#This Row],[WASH New]]="", tblPiNHistorical[[#This Row],[WASH New]]=0), "", tblPiNHistorical[[#This Row],[WASH New]]-tblPiNHistorical[[#This Row],[WASH Old]])</f>
        <v/>
      </c>
      <c r="AQ193" s="110">
        <f>IFERROR(ROUND((tblPiNHistorical[[#This Row],[Site Management - New]] - tblPiNHistorical[[#This Row],[Site Management - Old]])/tblPiNHistorical[[#This Row],[Site Management - Old]], 1), "")</f>
        <v>-1</v>
      </c>
      <c r="AR193" s="66" t="str">
        <f>IFERROR(ROUND((tblPiNHistorical[[#This Row],[Education New]]-tblPiNHistorical[[#This Row],[Education Old]])/tblPiNHistorical[[#This Row],[Education Old]], 1), "")</f>
        <v/>
      </c>
      <c r="AS193" s="66">
        <f>IFERROR(ROUND((tblPiNHistorical[[#This Row],[Food Security and Livlihoods New]]-tblPiNHistorical[[#This Row],[Food Security and Livlihoods Old]])/tblPiNHistorical[[#This Row],[Food Security and Livlihoods Old]], 1), "")</f>
        <v>-1</v>
      </c>
      <c r="AT193" s="66">
        <f>IFERROR(ROUND((tblPiNHistorical[[#This Row],[Health New]]-tblPiNHistorical[[#This Row],[Health Old]])/tblPiNHistorical[[#This Row],[Health Old]], 1), "")</f>
        <v>-1</v>
      </c>
      <c r="AU193" s="66">
        <f>IFERROR(ROUND((tblPiNHistorical[[#This Row],[Nutrition New]]-tblPiNHistorical[[#This Row],[Nutrition Old]])/tblPiNHistorical[[#This Row],[Nutrition Old]], 1), "")</f>
        <v>-1</v>
      </c>
      <c r="AV193" s="66">
        <f>IFERROR(ROUND((tblPiNHistorical[[#This Row],[Protection New]]-tblPiNHistorical[[#This Row],[Protection Old]])/tblPiNHistorical[[#This Row],[Protection Old]], 1), "")</f>
        <v>-1</v>
      </c>
      <c r="AW193" s="84">
        <f>IFERROR(ROUND((tblPiNHistorical[[#This Row],[CP New]]-tblPiNHistorical[[#This Row],[CP Old ]])/tblPiNHistorical[[#This Row],[CP Old ]], 1), "")</f>
        <v>-1</v>
      </c>
      <c r="AX193" s="84">
        <f>IFERROR(ROUND((tblPiNHistorical[[#This Row],[GBV New]]-tblPiNHistorical[[#This Row],[GBV Old]])/tblPiNHistorical[[#This Row],[GBV Old]], 1), "")</f>
        <v>-1</v>
      </c>
      <c r="AY193" s="84" t="str">
        <f>IFERROR(ROUND((tblPiNHistorical[[#This Row],[Mine Action New]]-tblPiNHistorical[[#This Row],[Mine Action Old]])/tblPiNHistorical[[#This Row],[Mine Action Old]], 1), "")</f>
        <v/>
      </c>
      <c r="AZ193" s="66">
        <f>IFERROR(ROUND((tblPiNHistorical[[#This Row],[Shelter NFI New]]-tblPiNHistorical[[#This Row],[Shelter NFI Old]])/tblPiNHistorical[[#This Row],[Shelter NFI Old]], 1), "")</f>
        <v>-0.3</v>
      </c>
      <c r="BA193" s="36">
        <f>IFERROR(ROUND((tblPiNHistorical[[#This Row],[WASH New]]-tblPiNHistorical[[#This Row],[WASH Old]])/tblPiNHistorical[[#This Row],[WASH Old]], 1), "")</f>
        <v>-1</v>
      </c>
      <c r="BB193"/>
      <c r="BC193"/>
      <c r="BD193"/>
      <c r="BE193"/>
      <c r="BF193"/>
      <c r="BG193"/>
      <c r="BH193"/>
      <c r="BI193"/>
      <c r="BL193"/>
      <c r="BN193"/>
      <c r="BO193"/>
      <c r="BP193"/>
    </row>
    <row r="194" spans="1:68" ht="38.25" x14ac:dyDescent="0.25">
      <c r="A194"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RefugeesSD19101</v>
      </c>
      <c r="B194" s="127" t="s">
        <v>144</v>
      </c>
      <c r="C194" s="60" t="s">
        <v>136</v>
      </c>
      <c r="D194" s="60" t="s">
        <v>574</v>
      </c>
      <c r="E194" s="60" t="s">
        <v>573</v>
      </c>
      <c r="F194" s="54"/>
      <c r="G194" s="30"/>
      <c r="H194" s="56">
        <v>0</v>
      </c>
      <c r="I194" s="37" t="s">
        <v>90</v>
      </c>
      <c r="J194" s="34">
        <v>0</v>
      </c>
      <c r="K194" s="116">
        <v>0</v>
      </c>
      <c r="L194" s="114">
        <v>0</v>
      </c>
      <c r="M194" s="114">
        <v>0</v>
      </c>
      <c r="N194" s="114">
        <v>0</v>
      </c>
      <c r="O194" s="114">
        <v>0</v>
      </c>
      <c r="P194" s="114">
        <v>0</v>
      </c>
      <c r="Q194" s="114">
        <v>0</v>
      </c>
      <c r="R194" s="114">
        <v>0</v>
      </c>
      <c r="S194" s="114">
        <v>0</v>
      </c>
      <c r="T194" s="196">
        <v>0</v>
      </c>
      <c r="U194" s="52" t="str">
        <f>IFERROR(INDEX(tblPiNAnalysis[[Site Management ]], MATCH(tblPiNHistorical[[#This Row],[ID]], tblPiNAnalysis[ID], 0)), "")</f>
        <v/>
      </c>
      <c r="V194" s="52" t="str">
        <f>IFERROR(INDEX(tblPiNAnalysis[Education], MATCH(tblPiNHistorical[[#This Row],[ID]], tblPiNAnalysis[ID], 0)), "")</f>
        <v/>
      </c>
      <c r="W194" s="28" t="str">
        <f>IFERROR(INDEX(tblPiNAnalysis[Food Security and Livlihoods], MATCH(tblPiNHistorical[[#This Row],[ID]], tblPiNAnalysis[ID], 0)), "")</f>
        <v/>
      </c>
      <c r="X194" s="28" t="str">
        <f>IFERROR(INDEX(tblPiNAnalysis[[Health ]], MATCH(tblPiNHistorical[[#This Row],[ID]], tblPiNAnalysis[ID], 0)), "")</f>
        <v/>
      </c>
      <c r="Y194" s="28" t="str">
        <f>IFERROR(INDEX(tblPiNAnalysis[Nutrition], MATCH(tblPiNHistorical[[#This Row],[ID]], tblPiNAnalysis[ID], 0)), "")</f>
        <v/>
      </c>
      <c r="Z194" s="28" t="str">
        <f>IFERROR(INDEX(tblPiNAnalysis[Protection], MATCH(tblPiNHistorical[[#This Row],[ID]], tblPiNAnalysis[ID], 0)), "")</f>
        <v/>
      </c>
      <c r="AA194" s="28" t="str">
        <f>IFERROR(INDEX(tblPiNAnalysis[CP], MATCH(tblPiNHistorical[[#This Row],[ID]], tblPiNAnalysis[ID], 0)), "")</f>
        <v/>
      </c>
      <c r="AB194" s="83" t="str">
        <f>IFERROR(INDEX(tblPiNAnalysis[GBV], MATCH(tblPiNHistorical[[#This Row],[ID]], tblPiNAnalysis[ID], 0)), "")</f>
        <v/>
      </c>
      <c r="AC194" s="28" t="str">
        <f>IFERROR(INDEX(tblPiNAnalysis[Mine Action], MATCH(tblPiNHistorical[[#This Row],[ID]], tblPiNAnalysis[ID], 0)), "")</f>
        <v/>
      </c>
      <c r="AD194" s="83" t="str">
        <f>IFERROR(INDEX(tblPiNAnalysis[[Shelter NFI ]], MATCH(tblPiNHistorical[[#This Row],[ID]], tblPiNAnalysis[ID], 0)), "")</f>
        <v/>
      </c>
      <c r="AE194" s="35" t="str">
        <f>IFERROR(INDEX(tblPiNAnalysis[WASH], MATCH(tblPiNHistorical[[#This Row],[ID]], tblPiNAnalysis[ID], 0)), "")</f>
        <v/>
      </c>
      <c r="AF194" s="6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194" s="67" t="str">
        <f>IF(OR(tblPiNHistorical[[#This Row],[Education Old]]="", tblPiNHistorical[[#This Row],[Education Old]]=0, tblPiNHistorical[[#This Row],[Education New]]="", tblPiNHistorical[[#This Row],[Education New]]=0), "", tblPiNHistorical[[#This Row],[Education New]]-tblPiNHistorical[[#This Row],[Education Old]])</f>
        <v/>
      </c>
      <c r="AH194" s="67"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194" s="67" t="str">
        <f>IF(OR(tblPiNHistorical[[#This Row],[Health Old]]="", tblPiNHistorical[[#This Row],[Health Old]]=0, tblPiNHistorical[[#This Row],[Health New]]="", tblPiNHistorical[[#This Row],[Health New]]=0), "", tblPiNHistorical[[#This Row],[Health New]]-tblPiNHistorical[[#This Row],[Health Old]])</f>
        <v/>
      </c>
      <c r="AJ194" s="67" t="str">
        <f>IF(OR(tblPiNHistorical[[#This Row],[Nutrition Old]]="", tblPiNHistorical[[#This Row],[Nutrition Old]]=0, tblPiNHistorical[[#This Row],[Nutrition New]]="", tblPiNHistorical[[#This Row],[Nutrition New]]=0), "", tblPiNHistorical[[#This Row],[Nutrition New]]-tblPiNHistorical[[#This Row],[Nutrition Old]])</f>
        <v/>
      </c>
      <c r="AK194" s="67" t="str">
        <f>IF(OR(tblPiNHistorical[[#This Row],[Protection Old]]="", tblPiNHistorical[[#This Row],[Protection Old]]=0, tblPiNHistorical[[#This Row],[Protection New]]="", tblPiNHistorical[[#This Row],[Protection New]]=0), "", tblPiNHistorical[[#This Row],[Protection New]]-tblPiNHistorical[[#This Row],[Protection Old]])</f>
        <v/>
      </c>
      <c r="AL194" s="67" t="str">
        <f>IF(OR(tblPiNHistorical[[#This Row],[CP Old ]]="", tblPiNHistorical[[#This Row],[CP Old ]]=0, tblPiNHistorical[[#This Row],[CP New]]="", tblPiNHistorical[[#This Row],[CP New]]=0), "", tblPiNHistorical[[#This Row],[CP New]]-tblPiNHistorical[[#This Row],[CP Old ]])</f>
        <v/>
      </c>
      <c r="AM194" s="83" t="str">
        <f>IF(OR(tblPiNHistorical[[#This Row],[GBV Old]]="", tblPiNHistorical[[#This Row],[GBV Old]]=0, tblPiNHistorical[[#This Row],[GBV New]]="", tblPiNHistorical[[#This Row],[GBV New]]=0), "", tblPiNHistorical[[#This Row],[GBV New]]-tblPiNHistorical[[#This Row],[GBV Old]])</f>
        <v/>
      </c>
      <c r="AN194" s="83" t="str">
        <f>IF(OR(tblPiNHistorical[[#This Row],[Mine Action Old]]="", tblPiNHistorical[[#This Row],[Mine Action Old]]=0, tblPiNHistorical[[#This Row],[Mine Action New]]="", tblPiNHistorical[[#This Row],[Mine Action New]]=0), "", tblPiNHistorical[[#This Row],[Mine Action New]]-tblPiNHistorical[[#This Row],[Mine Action Old]])</f>
        <v/>
      </c>
      <c r="AO194" s="67" t="str">
        <f>IF(OR(tblPiNHistorical[[#This Row],[Shelter NFI Old]]="", tblPiNHistorical[[#This Row],[Shelter NFI Old]]=0, tblPiNHistorical[[#This Row],[Shelter NFI New]]="", tblPiNHistorical[[#This Row],[Shelter NFI New]]=0), "", tblPiNHistorical[[#This Row],[Shelter NFI New]]-tblPiNHistorical[[#This Row],[Shelter NFI Old]])</f>
        <v/>
      </c>
      <c r="AP194" s="111" t="str">
        <f>IF(OR(tblPiNHistorical[[#This Row],[WASH Old]]="", tblPiNHistorical[[#This Row],[WASH Old]]=0, tblPiNHistorical[[#This Row],[WASH New]]="", tblPiNHistorical[[#This Row],[WASH New]]=0), "", tblPiNHistorical[[#This Row],[WASH New]]-tblPiNHistorical[[#This Row],[WASH Old]])</f>
        <v/>
      </c>
      <c r="AQ194" s="110" t="str">
        <f>IFERROR(ROUND((tblPiNHistorical[[#This Row],[Site Management - New]] - tblPiNHistorical[[#This Row],[Site Management - Old]])/tblPiNHistorical[[#This Row],[Site Management - Old]], 1), "")</f>
        <v/>
      </c>
      <c r="AR194" s="66" t="str">
        <f>IFERROR(ROUND((tblPiNHistorical[[#This Row],[Education New]]-tblPiNHistorical[[#This Row],[Education Old]])/tblPiNHistorical[[#This Row],[Education Old]], 1), "")</f>
        <v/>
      </c>
      <c r="AS194" s="66" t="str">
        <f>IFERROR(ROUND((tblPiNHistorical[[#This Row],[Food Security and Livlihoods New]]-tblPiNHistorical[[#This Row],[Food Security and Livlihoods Old]])/tblPiNHistorical[[#This Row],[Food Security and Livlihoods Old]], 1), "")</f>
        <v/>
      </c>
      <c r="AT194" s="66" t="str">
        <f>IFERROR(ROUND((tblPiNHistorical[[#This Row],[Health New]]-tblPiNHistorical[[#This Row],[Health Old]])/tblPiNHistorical[[#This Row],[Health Old]], 1), "")</f>
        <v/>
      </c>
      <c r="AU194" s="66" t="str">
        <f>IFERROR(ROUND((tblPiNHistorical[[#This Row],[Nutrition New]]-tblPiNHistorical[[#This Row],[Nutrition Old]])/tblPiNHistorical[[#This Row],[Nutrition Old]], 1), "")</f>
        <v/>
      </c>
      <c r="AV194" s="66" t="str">
        <f>IFERROR(ROUND((tblPiNHistorical[[#This Row],[Protection New]]-tblPiNHistorical[[#This Row],[Protection Old]])/tblPiNHistorical[[#This Row],[Protection Old]], 1), "")</f>
        <v/>
      </c>
      <c r="AW194" s="84" t="str">
        <f>IFERROR(ROUND((tblPiNHistorical[[#This Row],[CP New]]-tblPiNHistorical[[#This Row],[CP Old ]])/tblPiNHistorical[[#This Row],[CP Old ]], 1), "")</f>
        <v/>
      </c>
      <c r="AX194" s="84" t="str">
        <f>IFERROR(ROUND((tblPiNHistorical[[#This Row],[GBV New]]-tblPiNHistorical[[#This Row],[GBV Old]])/tblPiNHistorical[[#This Row],[GBV Old]], 1), "")</f>
        <v/>
      </c>
      <c r="AY194" s="84" t="str">
        <f>IFERROR(ROUND((tblPiNHistorical[[#This Row],[Mine Action New]]-tblPiNHistorical[[#This Row],[Mine Action Old]])/tblPiNHistorical[[#This Row],[Mine Action Old]], 1), "")</f>
        <v/>
      </c>
      <c r="AZ194" s="66" t="str">
        <f>IFERROR(ROUND((tblPiNHistorical[[#This Row],[Shelter NFI New]]-tblPiNHistorical[[#This Row],[Shelter NFI Old]])/tblPiNHistorical[[#This Row],[Shelter NFI Old]], 1), "")</f>
        <v/>
      </c>
      <c r="BA194" s="36" t="str">
        <f>IFERROR(ROUND((tblPiNHistorical[[#This Row],[WASH New]]-tblPiNHistorical[[#This Row],[WASH Old]])/tblPiNHistorical[[#This Row],[WASH Old]], 1), "")</f>
        <v/>
      </c>
      <c r="BB194"/>
      <c r="BC194"/>
      <c r="BD194"/>
      <c r="BE194"/>
      <c r="BF194"/>
      <c r="BG194"/>
      <c r="BH194"/>
      <c r="BI194"/>
      <c r="BL194"/>
      <c r="BN194"/>
      <c r="BO194"/>
      <c r="BP194"/>
    </row>
    <row r="195" spans="1:68" ht="38.25" x14ac:dyDescent="0.25">
      <c r="A195"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RefugeesSD15034</v>
      </c>
      <c r="B195" s="127" t="s">
        <v>147</v>
      </c>
      <c r="C195" s="60" t="s">
        <v>132</v>
      </c>
      <c r="D195" s="60" t="s">
        <v>504</v>
      </c>
      <c r="E195" s="60" t="s">
        <v>505</v>
      </c>
      <c r="F195" s="54"/>
      <c r="G195" s="30"/>
      <c r="H195" s="56">
        <v>19254</v>
      </c>
      <c r="I195" s="37" t="s">
        <v>90</v>
      </c>
      <c r="J195" s="34">
        <v>0</v>
      </c>
      <c r="K195" s="116">
        <v>3496</v>
      </c>
      <c r="L195" s="114">
        <v>19234</v>
      </c>
      <c r="M195" s="114">
        <v>13271</v>
      </c>
      <c r="N195" s="114">
        <v>1755</v>
      </c>
      <c r="O195" s="114">
        <v>19234</v>
      </c>
      <c r="P195" s="114">
        <v>173.10599999999999</v>
      </c>
      <c r="Q195" s="114">
        <v>1634.89</v>
      </c>
      <c r="R195" s="114">
        <v>0</v>
      </c>
      <c r="S195" s="114">
        <v>7694</v>
      </c>
      <c r="T195" s="196">
        <v>14056</v>
      </c>
      <c r="U195" s="52" t="str">
        <f>IFERROR(INDEX(tblPiNAnalysis[[Site Management ]], MATCH(tblPiNHistorical[[#This Row],[ID]], tblPiNAnalysis[ID], 0)), "")</f>
        <v/>
      </c>
      <c r="V195" s="52" t="str">
        <f>IFERROR(INDEX(tblPiNAnalysis[Education], MATCH(tblPiNHistorical[[#This Row],[ID]], tblPiNAnalysis[ID], 0)), "")</f>
        <v/>
      </c>
      <c r="W195" s="28" t="str">
        <f>IFERROR(INDEX(tblPiNAnalysis[Food Security and Livlihoods], MATCH(tblPiNHistorical[[#This Row],[ID]], tblPiNAnalysis[ID], 0)), "")</f>
        <v/>
      </c>
      <c r="X195" s="28" t="str">
        <f>IFERROR(INDEX(tblPiNAnalysis[[Health ]], MATCH(tblPiNHistorical[[#This Row],[ID]], tblPiNAnalysis[ID], 0)), "")</f>
        <v/>
      </c>
      <c r="Y195" s="28" t="str">
        <f>IFERROR(INDEX(tblPiNAnalysis[Nutrition], MATCH(tblPiNHistorical[[#This Row],[ID]], tblPiNAnalysis[ID], 0)), "")</f>
        <v/>
      </c>
      <c r="Z195" s="28" t="str">
        <f>IFERROR(INDEX(tblPiNAnalysis[Protection], MATCH(tblPiNHistorical[[#This Row],[ID]], tblPiNAnalysis[ID], 0)), "")</f>
        <v/>
      </c>
      <c r="AA195" s="28" t="str">
        <f>IFERROR(INDEX(tblPiNAnalysis[CP], MATCH(tblPiNHistorical[[#This Row],[ID]], tblPiNAnalysis[ID], 0)), "")</f>
        <v/>
      </c>
      <c r="AB195" s="83" t="str">
        <f>IFERROR(INDEX(tblPiNAnalysis[GBV], MATCH(tblPiNHistorical[[#This Row],[ID]], tblPiNAnalysis[ID], 0)), "")</f>
        <v/>
      </c>
      <c r="AC195" s="28" t="str">
        <f>IFERROR(INDEX(tblPiNAnalysis[Mine Action], MATCH(tblPiNHistorical[[#This Row],[ID]], tblPiNAnalysis[ID], 0)), "")</f>
        <v/>
      </c>
      <c r="AD195" s="83" t="str">
        <f>IFERROR(INDEX(tblPiNAnalysis[[Shelter NFI ]], MATCH(tblPiNHistorical[[#This Row],[ID]], tblPiNAnalysis[ID], 0)), "")</f>
        <v/>
      </c>
      <c r="AE195" s="35" t="str">
        <f>IFERROR(INDEX(tblPiNAnalysis[WASH], MATCH(tblPiNHistorical[[#This Row],[ID]], tblPiNAnalysis[ID], 0)), "")</f>
        <v/>
      </c>
      <c r="AF195" s="6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195" s="67" t="str">
        <f>IF(OR(tblPiNHistorical[[#This Row],[Education Old]]="", tblPiNHistorical[[#This Row],[Education Old]]=0, tblPiNHistorical[[#This Row],[Education New]]="", tblPiNHistorical[[#This Row],[Education New]]=0), "", tblPiNHistorical[[#This Row],[Education New]]-tblPiNHistorical[[#This Row],[Education Old]])</f>
        <v/>
      </c>
      <c r="AH195" s="67"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195" s="67" t="str">
        <f>IF(OR(tblPiNHistorical[[#This Row],[Health Old]]="", tblPiNHistorical[[#This Row],[Health Old]]=0, tblPiNHistorical[[#This Row],[Health New]]="", tblPiNHistorical[[#This Row],[Health New]]=0), "", tblPiNHistorical[[#This Row],[Health New]]-tblPiNHistorical[[#This Row],[Health Old]])</f>
        <v/>
      </c>
      <c r="AJ195" s="67" t="str">
        <f>IF(OR(tblPiNHistorical[[#This Row],[Nutrition Old]]="", tblPiNHistorical[[#This Row],[Nutrition Old]]=0, tblPiNHistorical[[#This Row],[Nutrition New]]="", tblPiNHistorical[[#This Row],[Nutrition New]]=0), "", tblPiNHistorical[[#This Row],[Nutrition New]]-tblPiNHistorical[[#This Row],[Nutrition Old]])</f>
        <v/>
      </c>
      <c r="AK195" s="67" t="str">
        <f>IF(OR(tblPiNHistorical[[#This Row],[Protection Old]]="", tblPiNHistorical[[#This Row],[Protection Old]]=0, tblPiNHistorical[[#This Row],[Protection New]]="", tblPiNHistorical[[#This Row],[Protection New]]=0), "", tblPiNHistorical[[#This Row],[Protection New]]-tblPiNHistorical[[#This Row],[Protection Old]])</f>
        <v/>
      </c>
      <c r="AL195" s="67" t="str">
        <f>IF(OR(tblPiNHistorical[[#This Row],[CP Old ]]="", tblPiNHistorical[[#This Row],[CP Old ]]=0, tblPiNHistorical[[#This Row],[CP New]]="", tblPiNHistorical[[#This Row],[CP New]]=0), "", tblPiNHistorical[[#This Row],[CP New]]-tblPiNHistorical[[#This Row],[CP Old ]])</f>
        <v/>
      </c>
      <c r="AM195" s="83" t="str">
        <f>IF(OR(tblPiNHistorical[[#This Row],[GBV Old]]="", tblPiNHistorical[[#This Row],[GBV Old]]=0, tblPiNHistorical[[#This Row],[GBV New]]="", tblPiNHistorical[[#This Row],[GBV New]]=0), "", tblPiNHistorical[[#This Row],[GBV New]]-tblPiNHistorical[[#This Row],[GBV Old]])</f>
        <v/>
      </c>
      <c r="AN195" s="83" t="str">
        <f>IF(OR(tblPiNHistorical[[#This Row],[Mine Action Old]]="", tblPiNHistorical[[#This Row],[Mine Action Old]]=0, tblPiNHistorical[[#This Row],[Mine Action New]]="", tblPiNHistorical[[#This Row],[Mine Action New]]=0), "", tblPiNHistorical[[#This Row],[Mine Action New]]-tblPiNHistorical[[#This Row],[Mine Action Old]])</f>
        <v/>
      </c>
      <c r="AO195" s="67" t="str">
        <f>IF(OR(tblPiNHistorical[[#This Row],[Shelter NFI Old]]="", tblPiNHistorical[[#This Row],[Shelter NFI Old]]=0, tblPiNHistorical[[#This Row],[Shelter NFI New]]="", tblPiNHistorical[[#This Row],[Shelter NFI New]]=0), "", tblPiNHistorical[[#This Row],[Shelter NFI New]]-tblPiNHistorical[[#This Row],[Shelter NFI Old]])</f>
        <v/>
      </c>
      <c r="AP195" s="111" t="str">
        <f>IF(OR(tblPiNHistorical[[#This Row],[WASH Old]]="", tblPiNHistorical[[#This Row],[WASH Old]]=0, tblPiNHistorical[[#This Row],[WASH New]]="", tblPiNHistorical[[#This Row],[WASH New]]=0), "", tblPiNHistorical[[#This Row],[WASH New]]-tblPiNHistorical[[#This Row],[WASH Old]])</f>
        <v/>
      </c>
      <c r="AQ195" s="110" t="str">
        <f>IFERROR(ROUND((tblPiNHistorical[[#This Row],[Site Management - New]] - tblPiNHistorical[[#This Row],[Site Management - Old]])/tblPiNHistorical[[#This Row],[Site Management - Old]], 1), "")</f>
        <v/>
      </c>
      <c r="AR195" s="66" t="str">
        <f>IFERROR(ROUND((tblPiNHistorical[[#This Row],[Education New]]-tblPiNHistorical[[#This Row],[Education Old]])/tblPiNHistorical[[#This Row],[Education Old]], 1), "")</f>
        <v/>
      </c>
      <c r="AS195" s="66" t="str">
        <f>IFERROR(ROUND((tblPiNHistorical[[#This Row],[Food Security and Livlihoods New]]-tblPiNHistorical[[#This Row],[Food Security and Livlihoods Old]])/tblPiNHistorical[[#This Row],[Food Security and Livlihoods Old]], 1), "")</f>
        <v/>
      </c>
      <c r="AT195" s="66" t="str">
        <f>IFERROR(ROUND((tblPiNHistorical[[#This Row],[Health New]]-tblPiNHistorical[[#This Row],[Health Old]])/tblPiNHistorical[[#This Row],[Health Old]], 1), "")</f>
        <v/>
      </c>
      <c r="AU195" s="66" t="str">
        <f>IFERROR(ROUND((tblPiNHistorical[[#This Row],[Nutrition New]]-tblPiNHistorical[[#This Row],[Nutrition Old]])/tblPiNHistorical[[#This Row],[Nutrition Old]], 1), "")</f>
        <v/>
      </c>
      <c r="AV195" s="66" t="str">
        <f>IFERROR(ROUND((tblPiNHistorical[[#This Row],[Protection New]]-tblPiNHistorical[[#This Row],[Protection Old]])/tblPiNHistorical[[#This Row],[Protection Old]], 1), "")</f>
        <v/>
      </c>
      <c r="AW195" s="84" t="str">
        <f>IFERROR(ROUND((tblPiNHistorical[[#This Row],[CP New]]-tblPiNHistorical[[#This Row],[CP Old ]])/tblPiNHistorical[[#This Row],[CP Old ]], 1), "")</f>
        <v/>
      </c>
      <c r="AX195" s="84" t="str">
        <f>IFERROR(ROUND((tblPiNHistorical[[#This Row],[GBV New]]-tblPiNHistorical[[#This Row],[GBV Old]])/tblPiNHistorical[[#This Row],[GBV Old]], 1), "")</f>
        <v/>
      </c>
      <c r="AY195" s="84" t="str">
        <f>IFERROR(ROUND((tblPiNHistorical[[#This Row],[Mine Action New]]-tblPiNHistorical[[#This Row],[Mine Action Old]])/tblPiNHistorical[[#This Row],[Mine Action Old]], 1), "")</f>
        <v/>
      </c>
      <c r="AZ195" s="66" t="str">
        <f>IFERROR(ROUND((tblPiNHistorical[[#This Row],[Shelter NFI New]]-tblPiNHistorical[[#This Row],[Shelter NFI Old]])/tblPiNHistorical[[#This Row],[Shelter NFI Old]], 1), "")</f>
        <v/>
      </c>
      <c r="BA195" s="36" t="str">
        <f>IFERROR(ROUND((tblPiNHistorical[[#This Row],[WASH New]]-tblPiNHistorical[[#This Row],[WASH Old]])/tblPiNHistorical[[#This Row],[WASH Old]], 1), "")</f>
        <v/>
      </c>
      <c r="BB195"/>
      <c r="BC195"/>
      <c r="BD195"/>
      <c r="BE195"/>
      <c r="BF195"/>
      <c r="BG195"/>
      <c r="BH195"/>
      <c r="BI195"/>
      <c r="BL195"/>
      <c r="BN195"/>
      <c r="BO195"/>
      <c r="BP195"/>
    </row>
    <row r="196" spans="1:68" ht="38.25" x14ac:dyDescent="0.25">
      <c r="A196"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RefugeesSD15035</v>
      </c>
      <c r="B196" s="127" t="s">
        <v>147</v>
      </c>
      <c r="C196" s="60" t="s">
        <v>132</v>
      </c>
      <c r="D196" s="60" t="s">
        <v>506</v>
      </c>
      <c r="E196" s="60" t="s">
        <v>507</v>
      </c>
      <c r="F196" s="54"/>
      <c r="G196" s="30"/>
      <c r="H196" s="56">
        <v>138</v>
      </c>
      <c r="I196" s="37" t="s">
        <v>90</v>
      </c>
      <c r="J196" s="34">
        <v>0</v>
      </c>
      <c r="K196" s="116">
        <v>0</v>
      </c>
      <c r="L196" s="114">
        <v>138</v>
      </c>
      <c r="M196" s="114">
        <v>95</v>
      </c>
      <c r="N196" s="114">
        <v>12</v>
      </c>
      <c r="O196" s="114">
        <v>138</v>
      </c>
      <c r="P196" s="114">
        <v>1.242</v>
      </c>
      <c r="Q196" s="114">
        <v>11.73</v>
      </c>
      <c r="R196" s="114">
        <v>0</v>
      </c>
      <c r="S196" s="114">
        <v>0</v>
      </c>
      <c r="T196" s="196">
        <v>114</v>
      </c>
      <c r="U196" s="52" t="str">
        <f>IFERROR(INDEX(tblPiNAnalysis[[Site Management ]], MATCH(tblPiNHistorical[[#This Row],[ID]], tblPiNAnalysis[ID], 0)), "")</f>
        <v/>
      </c>
      <c r="V196" s="52" t="str">
        <f>IFERROR(INDEX(tblPiNAnalysis[Education], MATCH(tblPiNHistorical[[#This Row],[ID]], tblPiNAnalysis[ID], 0)), "")</f>
        <v/>
      </c>
      <c r="W196" s="28" t="str">
        <f>IFERROR(INDEX(tblPiNAnalysis[Food Security and Livlihoods], MATCH(tblPiNHistorical[[#This Row],[ID]], tblPiNAnalysis[ID], 0)), "")</f>
        <v/>
      </c>
      <c r="X196" s="28" t="str">
        <f>IFERROR(INDEX(tblPiNAnalysis[[Health ]], MATCH(tblPiNHistorical[[#This Row],[ID]], tblPiNAnalysis[ID], 0)), "")</f>
        <v/>
      </c>
      <c r="Y196" s="28" t="str">
        <f>IFERROR(INDEX(tblPiNAnalysis[Nutrition], MATCH(tblPiNHistorical[[#This Row],[ID]], tblPiNAnalysis[ID], 0)), "")</f>
        <v/>
      </c>
      <c r="Z196" s="28" t="str">
        <f>IFERROR(INDEX(tblPiNAnalysis[Protection], MATCH(tblPiNHistorical[[#This Row],[ID]], tblPiNAnalysis[ID], 0)), "")</f>
        <v/>
      </c>
      <c r="AA196" s="28" t="str">
        <f>IFERROR(INDEX(tblPiNAnalysis[CP], MATCH(tblPiNHistorical[[#This Row],[ID]], tblPiNAnalysis[ID], 0)), "")</f>
        <v/>
      </c>
      <c r="AB196" s="83" t="str">
        <f>IFERROR(INDEX(tblPiNAnalysis[GBV], MATCH(tblPiNHistorical[[#This Row],[ID]], tblPiNAnalysis[ID], 0)), "")</f>
        <v/>
      </c>
      <c r="AC196" s="28" t="str">
        <f>IFERROR(INDEX(tblPiNAnalysis[Mine Action], MATCH(tblPiNHistorical[[#This Row],[ID]], tblPiNAnalysis[ID], 0)), "")</f>
        <v/>
      </c>
      <c r="AD196" s="83" t="str">
        <f>IFERROR(INDEX(tblPiNAnalysis[[Shelter NFI ]], MATCH(tblPiNHistorical[[#This Row],[ID]], tblPiNAnalysis[ID], 0)), "")</f>
        <v/>
      </c>
      <c r="AE196" s="35" t="str">
        <f>IFERROR(INDEX(tblPiNAnalysis[WASH], MATCH(tblPiNHistorical[[#This Row],[ID]], tblPiNAnalysis[ID], 0)), "")</f>
        <v/>
      </c>
      <c r="AF196" s="6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196" s="67" t="str">
        <f>IF(OR(tblPiNHistorical[[#This Row],[Education Old]]="", tblPiNHistorical[[#This Row],[Education Old]]=0, tblPiNHistorical[[#This Row],[Education New]]="", tblPiNHistorical[[#This Row],[Education New]]=0), "", tblPiNHistorical[[#This Row],[Education New]]-tblPiNHistorical[[#This Row],[Education Old]])</f>
        <v/>
      </c>
      <c r="AH196" s="67"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196" s="67" t="str">
        <f>IF(OR(tblPiNHistorical[[#This Row],[Health Old]]="", tblPiNHistorical[[#This Row],[Health Old]]=0, tblPiNHistorical[[#This Row],[Health New]]="", tblPiNHistorical[[#This Row],[Health New]]=0), "", tblPiNHistorical[[#This Row],[Health New]]-tblPiNHistorical[[#This Row],[Health Old]])</f>
        <v/>
      </c>
      <c r="AJ196" s="67" t="str">
        <f>IF(OR(tblPiNHistorical[[#This Row],[Nutrition Old]]="", tblPiNHistorical[[#This Row],[Nutrition Old]]=0, tblPiNHistorical[[#This Row],[Nutrition New]]="", tblPiNHistorical[[#This Row],[Nutrition New]]=0), "", tblPiNHistorical[[#This Row],[Nutrition New]]-tblPiNHistorical[[#This Row],[Nutrition Old]])</f>
        <v/>
      </c>
      <c r="AK196" s="67" t="str">
        <f>IF(OR(tblPiNHistorical[[#This Row],[Protection Old]]="", tblPiNHistorical[[#This Row],[Protection Old]]=0, tblPiNHistorical[[#This Row],[Protection New]]="", tblPiNHistorical[[#This Row],[Protection New]]=0), "", tblPiNHistorical[[#This Row],[Protection New]]-tblPiNHistorical[[#This Row],[Protection Old]])</f>
        <v/>
      </c>
      <c r="AL196" s="67" t="str">
        <f>IF(OR(tblPiNHistorical[[#This Row],[CP Old ]]="", tblPiNHistorical[[#This Row],[CP Old ]]=0, tblPiNHistorical[[#This Row],[CP New]]="", tblPiNHistorical[[#This Row],[CP New]]=0), "", tblPiNHistorical[[#This Row],[CP New]]-tblPiNHistorical[[#This Row],[CP Old ]])</f>
        <v/>
      </c>
      <c r="AM196" s="83" t="str">
        <f>IF(OR(tblPiNHistorical[[#This Row],[GBV Old]]="", tblPiNHistorical[[#This Row],[GBV Old]]=0, tblPiNHistorical[[#This Row],[GBV New]]="", tblPiNHistorical[[#This Row],[GBV New]]=0), "", tblPiNHistorical[[#This Row],[GBV New]]-tblPiNHistorical[[#This Row],[GBV Old]])</f>
        <v/>
      </c>
      <c r="AN196" s="83" t="str">
        <f>IF(OR(tblPiNHistorical[[#This Row],[Mine Action Old]]="", tblPiNHistorical[[#This Row],[Mine Action Old]]=0, tblPiNHistorical[[#This Row],[Mine Action New]]="", tblPiNHistorical[[#This Row],[Mine Action New]]=0), "", tblPiNHistorical[[#This Row],[Mine Action New]]-tblPiNHistorical[[#This Row],[Mine Action Old]])</f>
        <v/>
      </c>
      <c r="AO196" s="67" t="str">
        <f>IF(OR(tblPiNHistorical[[#This Row],[Shelter NFI Old]]="", tblPiNHistorical[[#This Row],[Shelter NFI Old]]=0, tblPiNHistorical[[#This Row],[Shelter NFI New]]="", tblPiNHistorical[[#This Row],[Shelter NFI New]]=0), "", tblPiNHistorical[[#This Row],[Shelter NFI New]]-tblPiNHistorical[[#This Row],[Shelter NFI Old]])</f>
        <v/>
      </c>
      <c r="AP196" s="111" t="str">
        <f>IF(OR(tblPiNHistorical[[#This Row],[WASH Old]]="", tblPiNHistorical[[#This Row],[WASH Old]]=0, tblPiNHistorical[[#This Row],[WASH New]]="", tblPiNHistorical[[#This Row],[WASH New]]=0), "", tblPiNHistorical[[#This Row],[WASH New]]-tblPiNHistorical[[#This Row],[WASH Old]])</f>
        <v/>
      </c>
      <c r="AQ196" s="110" t="str">
        <f>IFERROR(ROUND((tblPiNHistorical[[#This Row],[Site Management - New]] - tblPiNHistorical[[#This Row],[Site Management - Old]])/tblPiNHistorical[[#This Row],[Site Management - Old]], 1), "")</f>
        <v/>
      </c>
      <c r="AR196" s="66" t="str">
        <f>IFERROR(ROUND((tblPiNHistorical[[#This Row],[Education New]]-tblPiNHistorical[[#This Row],[Education Old]])/tblPiNHistorical[[#This Row],[Education Old]], 1), "")</f>
        <v/>
      </c>
      <c r="AS196" s="66" t="str">
        <f>IFERROR(ROUND((tblPiNHistorical[[#This Row],[Food Security and Livlihoods New]]-tblPiNHistorical[[#This Row],[Food Security and Livlihoods Old]])/tblPiNHistorical[[#This Row],[Food Security and Livlihoods Old]], 1), "")</f>
        <v/>
      </c>
      <c r="AT196" s="66" t="str">
        <f>IFERROR(ROUND((tblPiNHistorical[[#This Row],[Health New]]-tblPiNHistorical[[#This Row],[Health Old]])/tblPiNHistorical[[#This Row],[Health Old]], 1), "")</f>
        <v/>
      </c>
      <c r="AU196" s="66" t="str">
        <f>IFERROR(ROUND((tblPiNHistorical[[#This Row],[Nutrition New]]-tblPiNHistorical[[#This Row],[Nutrition Old]])/tblPiNHistorical[[#This Row],[Nutrition Old]], 1), "")</f>
        <v/>
      </c>
      <c r="AV196" s="66" t="str">
        <f>IFERROR(ROUND((tblPiNHistorical[[#This Row],[Protection New]]-tblPiNHistorical[[#This Row],[Protection Old]])/tblPiNHistorical[[#This Row],[Protection Old]], 1), "")</f>
        <v/>
      </c>
      <c r="AW196" s="84" t="str">
        <f>IFERROR(ROUND((tblPiNHistorical[[#This Row],[CP New]]-tblPiNHistorical[[#This Row],[CP Old ]])/tblPiNHistorical[[#This Row],[CP Old ]], 1), "")</f>
        <v/>
      </c>
      <c r="AX196" s="84" t="str">
        <f>IFERROR(ROUND((tblPiNHistorical[[#This Row],[GBV New]]-tblPiNHistorical[[#This Row],[GBV Old]])/tblPiNHistorical[[#This Row],[GBV Old]], 1), "")</f>
        <v/>
      </c>
      <c r="AY196" s="84" t="str">
        <f>IFERROR(ROUND((tblPiNHistorical[[#This Row],[Mine Action New]]-tblPiNHistorical[[#This Row],[Mine Action Old]])/tblPiNHistorical[[#This Row],[Mine Action Old]], 1), "")</f>
        <v/>
      </c>
      <c r="AZ196" s="66" t="str">
        <f>IFERROR(ROUND((tblPiNHistorical[[#This Row],[Shelter NFI New]]-tblPiNHistorical[[#This Row],[Shelter NFI Old]])/tblPiNHistorical[[#This Row],[Shelter NFI Old]], 1), "")</f>
        <v/>
      </c>
      <c r="BA196" s="36" t="str">
        <f>IFERROR(ROUND((tblPiNHistorical[[#This Row],[WASH New]]-tblPiNHistorical[[#This Row],[WASH Old]])/tblPiNHistorical[[#This Row],[WASH Old]], 1), "")</f>
        <v/>
      </c>
      <c r="BB196"/>
      <c r="BC196"/>
      <c r="BD196"/>
      <c r="BE196"/>
      <c r="BF196"/>
      <c r="BG196"/>
      <c r="BH196"/>
      <c r="BI196"/>
      <c r="BL196"/>
      <c r="BN196"/>
      <c r="BO196"/>
      <c r="BP196"/>
    </row>
    <row r="197" spans="1:68" ht="38.25" x14ac:dyDescent="0.25">
      <c r="A197"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RefugeesSD15036</v>
      </c>
      <c r="B197" s="127" t="s">
        <v>147</v>
      </c>
      <c r="C197" s="60" t="s">
        <v>132</v>
      </c>
      <c r="D197" s="60" t="s">
        <v>508</v>
      </c>
      <c r="E197" s="60" t="s">
        <v>509</v>
      </c>
      <c r="F197" s="54"/>
      <c r="G197" s="30"/>
      <c r="H197" s="56">
        <v>28</v>
      </c>
      <c r="I197" s="37" t="s">
        <v>90</v>
      </c>
      <c r="J197" s="34">
        <v>0</v>
      </c>
      <c r="K197" s="116">
        <v>28</v>
      </c>
      <c r="L197" s="114">
        <v>28</v>
      </c>
      <c r="M197" s="114">
        <v>19</v>
      </c>
      <c r="N197" s="114">
        <v>2</v>
      </c>
      <c r="O197" s="114">
        <v>28</v>
      </c>
      <c r="P197" s="114">
        <v>0.252</v>
      </c>
      <c r="Q197" s="114">
        <v>2.3800000000000003</v>
      </c>
      <c r="R197" s="114">
        <v>0</v>
      </c>
      <c r="S197" s="114">
        <v>0</v>
      </c>
      <c r="T197" s="196">
        <v>19</v>
      </c>
      <c r="U197" s="52" t="str">
        <f>IFERROR(INDEX(tblPiNAnalysis[[Site Management ]], MATCH(tblPiNHistorical[[#This Row],[ID]], tblPiNAnalysis[ID], 0)), "")</f>
        <v/>
      </c>
      <c r="V197" s="52" t="str">
        <f>IFERROR(INDEX(tblPiNAnalysis[Education], MATCH(tblPiNHistorical[[#This Row],[ID]], tblPiNAnalysis[ID], 0)), "")</f>
        <v/>
      </c>
      <c r="W197" s="28" t="str">
        <f>IFERROR(INDEX(tblPiNAnalysis[Food Security and Livlihoods], MATCH(tblPiNHistorical[[#This Row],[ID]], tblPiNAnalysis[ID], 0)), "")</f>
        <v/>
      </c>
      <c r="X197" s="28" t="str">
        <f>IFERROR(INDEX(tblPiNAnalysis[[Health ]], MATCH(tblPiNHistorical[[#This Row],[ID]], tblPiNAnalysis[ID], 0)), "")</f>
        <v/>
      </c>
      <c r="Y197" s="28" t="str">
        <f>IFERROR(INDEX(tblPiNAnalysis[Nutrition], MATCH(tblPiNHistorical[[#This Row],[ID]], tblPiNAnalysis[ID], 0)), "")</f>
        <v/>
      </c>
      <c r="Z197" s="28" t="str">
        <f>IFERROR(INDEX(tblPiNAnalysis[Protection], MATCH(tblPiNHistorical[[#This Row],[ID]], tblPiNAnalysis[ID], 0)), "")</f>
        <v/>
      </c>
      <c r="AA197" s="28" t="str">
        <f>IFERROR(INDEX(tblPiNAnalysis[CP], MATCH(tblPiNHistorical[[#This Row],[ID]], tblPiNAnalysis[ID], 0)), "")</f>
        <v/>
      </c>
      <c r="AB197" s="83" t="str">
        <f>IFERROR(INDEX(tblPiNAnalysis[GBV], MATCH(tblPiNHistorical[[#This Row],[ID]], tblPiNAnalysis[ID], 0)), "")</f>
        <v/>
      </c>
      <c r="AC197" s="28" t="str">
        <f>IFERROR(INDEX(tblPiNAnalysis[Mine Action], MATCH(tblPiNHistorical[[#This Row],[ID]], tblPiNAnalysis[ID], 0)), "")</f>
        <v/>
      </c>
      <c r="AD197" s="83" t="str">
        <f>IFERROR(INDEX(tblPiNAnalysis[[Shelter NFI ]], MATCH(tblPiNHistorical[[#This Row],[ID]], tblPiNAnalysis[ID], 0)), "")</f>
        <v/>
      </c>
      <c r="AE197" s="35" t="str">
        <f>IFERROR(INDEX(tblPiNAnalysis[WASH], MATCH(tblPiNHistorical[[#This Row],[ID]], tblPiNAnalysis[ID], 0)), "")</f>
        <v/>
      </c>
      <c r="AF197" s="6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197" s="67" t="str">
        <f>IF(OR(tblPiNHistorical[[#This Row],[Education Old]]="", tblPiNHistorical[[#This Row],[Education Old]]=0, tblPiNHistorical[[#This Row],[Education New]]="", tblPiNHistorical[[#This Row],[Education New]]=0), "", tblPiNHistorical[[#This Row],[Education New]]-tblPiNHistorical[[#This Row],[Education Old]])</f>
        <v/>
      </c>
      <c r="AH197" s="67"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197" s="67" t="str">
        <f>IF(OR(tblPiNHistorical[[#This Row],[Health Old]]="", tblPiNHistorical[[#This Row],[Health Old]]=0, tblPiNHistorical[[#This Row],[Health New]]="", tblPiNHistorical[[#This Row],[Health New]]=0), "", tblPiNHistorical[[#This Row],[Health New]]-tblPiNHistorical[[#This Row],[Health Old]])</f>
        <v/>
      </c>
      <c r="AJ197" s="67" t="str">
        <f>IF(OR(tblPiNHistorical[[#This Row],[Nutrition Old]]="", tblPiNHistorical[[#This Row],[Nutrition Old]]=0, tblPiNHistorical[[#This Row],[Nutrition New]]="", tblPiNHistorical[[#This Row],[Nutrition New]]=0), "", tblPiNHistorical[[#This Row],[Nutrition New]]-tblPiNHistorical[[#This Row],[Nutrition Old]])</f>
        <v/>
      </c>
      <c r="AK197" s="67" t="str">
        <f>IF(OR(tblPiNHistorical[[#This Row],[Protection Old]]="", tblPiNHistorical[[#This Row],[Protection Old]]=0, tblPiNHistorical[[#This Row],[Protection New]]="", tblPiNHistorical[[#This Row],[Protection New]]=0), "", tblPiNHistorical[[#This Row],[Protection New]]-tblPiNHistorical[[#This Row],[Protection Old]])</f>
        <v/>
      </c>
      <c r="AL197" s="67" t="str">
        <f>IF(OR(tblPiNHistorical[[#This Row],[CP Old ]]="", tblPiNHistorical[[#This Row],[CP Old ]]=0, tblPiNHistorical[[#This Row],[CP New]]="", tblPiNHistorical[[#This Row],[CP New]]=0), "", tblPiNHistorical[[#This Row],[CP New]]-tblPiNHistorical[[#This Row],[CP Old ]])</f>
        <v/>
      </c>
      <c r="AM197" s="83" t="str">
        <f>IF(OR(tblPiNHistorical[[#This Row],[GBV Old]]="", tblPiNHistorical[[#This Row],[GBV Old]]=0, tblPiNHistorical[[#This Row],[GBV New]]="", tblPiNHistorical[[#This Row],[GBV New]]=0), "", tblPiNHistorical[[#This Row],[GBV New]]-tblPiNHistorical[[#This Row],[GBV Old]])</f>
        <v/>
      </c>
      <c r="AN197" s="83" t="str">
        <f>IF(OR(tblPiNHistorical[[#This Row],[Mine Action Old]]="", tblPiNHistorical[[#This Row],[Mine Action Old]]=0, tblPiNHistorical[[#This Row],[Mine Action New]]="", tblPiNHistorical[[#This Row],[Mine Action New]]=0), "", tblPiNHistorical[[#This Row],[Mine Action New]]-tblPiNHistorical[[#This Row],[Mine Action Old]])</f>
        <v/>
      </c>
      <c r="AO197" s="67" t="str">
        <f>IF(OR(tblPiNHistorical[[#This Row],[Shelter NFI Old]]="", tblPiNHistorical[[#This Row],[Shelter NFI Old]]=0, tblPiNHistorical[[#This Row],[Shelter NFI New]]="", tblPiNHistorical[[#This Row],[Shelter NFI New]]=0), "", tblPiNHistorical[[#This Row],[Shelter NFI New]]-tblPiNHistorical[[#This Row],[Shelter NFI Old]])</f>
        <v/>
      </c>
      <c r="AP197" s="111" t="str">
        <f>IF(OR(tblPiNHistorical[[#This Row],[WASH Old]]="", tblPiNHistorical[[#This Row],[WASH Old]]=0, tblPiNHistorical[[#This Row],[WASH New]]="", tblPiNHistorical[[#This Row],[WASH New]]=0), "", tblPiNHistorical[[#This Row],[WASH New]]-tblPiNHistorical[[#This Row],[WASH Old]])</f>
        <v/>
      </c>
      <c r="AQ197" s="110" t="str">
        <f>IFERROR(ROUND((tblPiNHistorical[[#This Row],[Site Management - New]] - tblPiNHistorical[[#This Row],[Site Management - Old]])/tblPiNHistorical[[#This Row],[Site Management - Old]], 1), "")</f>
        <v/>
      </c>
      <c r="AR197" s="66" t="str">
        <f>IFERROR(ROUND((tblPiNHistorical[[#This Row],[Education New]]-tblPiNHistorical[[#This Row],[Education Old]])/tblPiNHistorical[[#This Row],[Education Old]], 1), "")</f>
        <v/>
      </c>
      <c r="AS197" s="66" t="str">
        <f>IFERROR(ROUND((tblPiNHistorical[[#This Row],[Food Security and Livlihoods New]]-tblPiNHistorical[[#This Row],[Food Security and Livlihoods Old]])/tblPiNHistorical[[#This Row],[Food Security and Livlihoods Old]], 1), "")</f>
        <v/>
      </c>
      <c r="AT197" s="66" t="str">
        <f>IFERROR(ROUND((tblPiNHistorical[[#This Row],[Health New]]-tblPiNHistorical[[#This Row],[Health Old]])/tblPiNHistorical[[#This Row],[Health Old]], 1), "")</f>
        <v/>
      </c>
      <c r="AU197" s="66" t="str">
        <f>IFERROR(ROUND((tblPiNHistorical[[#This Row],[Nutrition New]]-tblPiNHistorical[[#This Row],[Nutrition Old]])/tblPiNHistorical[[#This Row],[Nutrition Old]], 1), "")</f>
        <v/>
      </c>
      <c r="AV197" s="66" t="str">
        <f>IFERROR(ROUND((tblPiNHistorical[[#This Row],[Protection New]]-tblPiNHistorical[[#This Row],[Protection Old]])/tblPiNHistorical[[#This Row],[Protection Old]], 1), "")</f>
        <v/>
      </c>
      <c r="AW197" s="84" t="str">
        <f>IFERROR(ROUND((tblPiNHistorical[[#This Row],[CP New]]-tblPiNHistorical[[#This Row],[CP Old ]])/tblPiNHistorical[[#This Row],[CP Old ]], 1), "")</f>
        <v/>
      </c>
      <c r="AX197" s="84" t="str">
        <f>IFERROR(ROUND((tblPiNHistorical[[#This Row],[GBV New]]-tblPiNHistorical[[#This Row],[GBV Old]])/tblPiNHistorical[[#This Row],[GBV Old]], 1), "")</f>
        <v/>
      </c>
      <c r="AY197" s="84" t="str">
        <f>IFERROR(ROUND((tblPiNHistorical[[#This Row],[Mine Action New]]-tblPiNHistorical[[#This Row],[Mine Action Old]])/tblPiNHistorical[[#This Row],[Mine Action Old]], 1), "")</f>
        <v/>
      </c>
      <c r="AZ197" s="66" t="str">
        <f>IFERROR(ROUND((tblPiNHistorical[[#This Row],[Shelter NFI New]]-tblPiNHistorical[[#This Row],[Shelter NFI Old]])/tblPiNHistorical[[#This Row],[Shelter NFI Old]], 1), "")</f>
        <v/>
      </c>
      <c r="BA197" s="36" t="str">
        <f>IFERROR(ROUND((tblPiNHistorical[[#This Row],[WASH New]]-tblPiNHistorical[[#This Row],[WASH Old]])/tblPiNHistorical[[#This Row],[WASH Old]], 1), "")</f>
        <v/>
      </c>
      <c r="BB197"/>
      <c r="BC197"/>
      <c r="BD197"/>
      <c r="BE197"/>
      <c r="BF197"/>
      <c r="BG197"/>
      <c r="BH197"/>
      <c r="BI197"/>
      <c r="BL197"/>
      <c r="BN197"/>
      <c r="BO197"/>
      <c r="BP197"/>
    </row>
    <row r="198" spans="1:68" ht="38.25" x14ac:dyDescent="0.25">
      <c r="A198"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RefugeesSD15037</v>
      </c>
      <c r="B198" s="127" t="s">
        <v>147</v>
      </c>
      <c r="C198" s="60" t="s">
        <v>132</v>
      </c>
      <c r="D198" s="60" t="s">
        <v>510</v>
      </c>
      <c r="E198" s="60" t="s">
        <v>511</v>
      </c>
      <c r="F198" s="54"/>
      <c r="G198" s="30"/>
      <c r="H198" s="56">
        <v>0</v>
      </c>
      <c r="I198" s="37" t="s">
        <v>90</v>
      </c>
      <c r="J198" s="34">
        <v>0</v>
      </c>
      <c r="K198" s="116">
        <v>0</v>
      </c>
      <c r="L198" s="114">
        <v>0</v>
      </c>
      <c r="M198" s="114">
        <v>0</v>
      </c>
      <c r="N198" s="114">
        <v>0</v>
      </c>
      <c r="O198" s="114">
        <v>0</v>
      </c>
      <c r="P198" s="114">
        <v>0</v>
      </c>
      <c r="Q198" s="114">
        <v>0</v>
      </c>
      <c r="R198" s="114">
        <v>0</v>
      </c>
      <c r="S198" s="114">
        <v>0</v>
      </c>
      <c r="T198" s="196">
        <v>0</v>
      </c>
      <c r="U198" s="52" t="str">
        <f>IFERROR(INDEX(tblPiNAnalysis[[Site Management ]], MATCH(tblPiNHistorical[[#This Row],[ID]], tblPiNAnalysis[ID], 0)), "")</f>
        <v/>
      </c>
      <c r="V198" s="52" t="str">
        <f>IFERROR(INDEX(tblPiNAnalysis[Education], MATCH(tblPiNHistorical[[#This Row],[ID]], tblPiNAnalysis[ID], 0)), "")</f>
        <v/>
      </c>
      <c r="W198" s="28" t="str">
        <f>IFERROR(INDEX(tblPiNAnalysis[Food Security and Livlihoods], MATCH(tblPiNHistorical[[#This Row],[ID]], tblPiNAnalysis[ID], 0)), "")</f>
        <v/>
      </c>
      <c r="X198" s="28" t="str">
        <f>IFERROR(INDEX(tblPiNAnalysis[[Health ]], MATCH(tblPiNHistorical[[#This Row],[ID]], tblPiNAnalysis[ID], 0)), "")</f>
        <v/>
      </c>
      <c r="Y198" s="28" t="str">
        <f>IFERROR(INDEX(tblPiNAnalysis[Nutrition], MATCH(tblPiNHistorical[[#This Row],[ID]], tblPiNAnalysis[ID], 0)), "")</f>
        <v/>
      </c>
      <c r="Z198" s="28" t="str">
        <f>IFERROR(INDEX(tblPiNAnalysis[Protection], MATCH(tblPiNHistorical[[#This Row],[ID]], tblPiNAnalysis[ID], 0)), "")</f>
        <v/>
      </c>
      <c r="AA198" s="28" t="str">
        <f>IFERROR(INDEX(tblPiNAnalysis[CP], MATCH(tblPiNHistorical[[#This Row],[ID]], tblPiNAnalysis[ID], 0)), "")</f>
        <v/>
      </c>
      <c r="AB198" s="83" t="str">
        <f>IFERROR(INDEX(tblPiNAnalysis[GBV], MATCH(tblPiNHistorical[[#This Row],[ID]], tblPiNAnalysis[ID], 0)), "")</f>
        <v/>
      </c>
      <c r="AC198" s="28" t="str">
        <f>IFERROR(INDEX(tblPiNAnalysis[Mine Action], MATCH(tblPiNHistorical[[#This Row],[ID]], tblPiNAnalysis[ID], 0)), "")</f>
        <v/>
      </c>
      <c r="AD198" s="83" t="str">
        <f>IFERROR(INDEX(tblPiNAnalysis[[Shelter NFI ]], MATCH(tblPiNHistorical[[#This Row],[ID]], tblPiNAnalysis[ID], 0)), "")</f>
        <v/>
      </c>
      <c r="AE198" s="35" t="str">
        <f>IFERROR(INDEX(tblPiNAnalysis[WASH], MATCH(tblPiNHistorical[[#This Row],[ID]], tblPiNAnalysis[ID], 0)), "")</f>
        <v/>
      </c>
      <c r="AF198" s="6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198" s="67" t="str">
        <f>IF(OR(tblPiNHistorical[[#This Row],[Education Old]]="", tblPiNHistorical[[#This Row],[Education Old]]=0, tblPiNHistorical[[#This Row],[Education New]]="", tblPiNHistorical[[#This Row],[Education New]]=0), "", tblPiNHistorical[[#This Row],[Education New]]-tblPiNHistorical[[#This Row],[Education Old]])</f>
        <v/>
      </c>
      <c r="AH198" s="67"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198" s="67" t="str">
        <f>IF(OR(tblPiNHistorical[[#This Row],[Health Old]]="", tblPiNHistorical[[#This Row],[Health Old]]=0, tblPiNHistorical[[#This Row],[Health New]]="", tblPiNHistorical[[#This Row],[Health New]]=0), "", tblPiNHistorical[[#This Row],[Health New]]-tblPiNHistorical[[#This Row],[Health Old]])</f>
        <v/>
      </c>
      <c r="AJ198" s="67" t="str">
        <f>IF(OR(tblPiNHistorical[[#This Row],[Nutrition Old]]="", tblPiNHistorical[[#This Row],[Nutrition Old]]=0, tblPiNHistorical[[#This Row],[Nutrition New]]="", tblPiNHistorical[[#This Row],[Nutrition New]]=0), "", tblPiNHistorical[[#This Row],[Nutrition New]]-tblPiNHistorical[[#This Row],[Nutrition Old]])</f>
        <v/>
      </c>
      <c r="AK198" s="67" t="str">
        <f>IF(OR(tblPiNHistorical[[#This Row],[Protection Old]]="", tblPiNHistorical[[#This Row],[Protection Old]]=0, tblPiNHistorical[[#This Row],[Protection New]]="", tblPiNHistorical[[#This Row],[Protection New]]=0), "", tblPiNHistorical[[#This Row],[Protection New]]-tblPiNHistorical[[#This Row],[Protection Old]])</f>
        <v/>
      </c>
      <c r="AL198" s="67" t="str">
        <f>IF(OR(tblPiNHistorical[[#This Row],[CP Old ]]="", tblPiNHistorical[[#This Row],[CP Old ]]=0, tblPiNHistorical[[#This Row],[CP New]]="", tblPiNHistorical[[#This Row],[CP New]]=0), "", tblPiNHistorical[[#This Row],[CP New]]-tblPiNHistorical[[#This Row],[CP Old ]])</f>
        <v/>
      </c>
      <c r="AM198" s="83" t="str">
        <f>IF(OR(tblPiNHistorical[[#This Row],[GBV Old]]="", tblPiNHistorical[[#This Row],[GBV Old]]=0, tblPiNHistorical[[#This Row],[GBV New]]="", tblPiNHistorical[[#This Row],[GBV New]]=0), "", tblPiNHistorical[[#This Row],[GBV New]]-tblPiNHistorical[[#This Row],[GBV Old]])</f>
        <v/>
      </c>
      <c r="AN198" s="83" t="str">
        <f>IF(OR(tblPiNHistorical[[#This Row],[Mine Action Old]]="", tblPiNHistorical[[#This Row],[Mine Action Old]]=0, tblPiNHistorical[[#This Row],[Mine Action New]]="", tblPiNHistorical[[#This Row],[Mine Action New]]=0), "", tblPiNHistorical[[#This Row],[Mine Action New]]-tblPiNHistorical[[#This Row],[Mine Action Old]])</f>
        <v/>
      </c>
      <c r="AO198" s="67" t="str">
        <f>IF(OR(tblPiNHistorical[[#This Row],[Shelter NFI Old]]="", tblPiNHistorical[[#This Row],[Shelter NFI Old]]=0, tblPiNHistorical[[#This Row],[Shelter NFI New]]="", tblPiNHistorical[[#This Row],[Shelter NFI New]]=0), "", tblPiNHistorical[[#This Row],[Shelter NFI New]]-tblPiNHistorical[[#This Row],[Shelter NFI Old]])</f>
        <v/>
      </c>
      <c r="AP198" s="111" t="str">
        <f>IF(OR(tblPiNHistorical[[#This Row],[WASH Old]]="", tblPiNHistorical[[#This Row],[WASH Old]]=0, tblPiNHistorical[[#This Row],[WASH New]]="", tblPiNHistorical[[#This Row],[WASH New]]=0), "", tblPiNHistorical[[#This Row],[WASH New]]-tblPiNHistorical[[#This Row],[WASH Old]])</f>
        <v/>
      </c>
      <c r="AQ198" s="110" t="str">
        <f>IFERROR(ROUND((tblPiNHistorical[[#This Row],[Site Management - New]] - tblPiNHistorical[[#This Row],[Site Management - Old]])/tblPiNHistorical[[#This Row],[Site Management - Old]], 1), "")</f>
        <v/>
      </c>
      <c r="AR198" s="66" t="str">
        <f>IFERROR(ROUND((tblPiNHistorical[[#This Row],[Education New]]-tblPiNHistorical[[#This Row],[Education Old]])/tblPiNHistorical[[#This Row],[Education Old]], 1), "")</f>
        <v/>
      </c>
      <c r="AS198" s="66" t="str">
        <f>IFERROR(ROUND((tblPiNHistorical[[#This Row],[Food Security and Livlihoods New]]-tblPiNHistorical[[#This Row],[Food Security and Livlihoods Old]])/tblPiNHistorical[[#This Row],[Food Security and Livlihoods Old]], 1), "")</f>
        <v/>
      </c>
      <c r="AT198" s="66" t="str">
        <f>IFERROR(ROUND((tblPiNHistorical[[#This Row],[Health New]]-tblPiNHistorical[[#This Row],[Health Old]])/tblPiNHistorical[[#This Row],[Health Old]], 1), "")</f>
        <v/>
      </c>
      <c r="AU198" s="66" t="str">
        <f>IFERROR(ROUND((tblPiNHistorical[[#This Row],[Nutrition New]]-tblPiNHistorical[[#This Row],[Nutrition Old]])/tblPiNHistorical[[#This Row],[Nutrition Old]], 1), "")</f>
        <v/>
      </c>
      <c r="AV198" s="66" t="str">
        <f>IFERROR(ROUND((tblPiNHistorical[[#This Row],[Protection New]]-tblPiNHistorical[[#This Row],[Protection Old]])/tblPiNHistorical[[#This Row],[Protection Old]], 1), "")</f>
        <v/>
      </c>
      <c r="AW198" s="84" t="str">
        <f>IFERROR(ROUND((tblPiNHistorical[[#This Row],[CP New]]-tblPiNHistorical[[#This Row],[CP Old ]])/tblPiNHistorical[[#This Row],[CP Old ]], 1), "")</f>
        <v/>
      </c>
      <c r="AX198" s="84" t="str">
        <f>IFERROR(ROUND((tblPiNHistorical[[#This Row],[GBV New]]-tblPiNHistorical[[#This Row],[GBV Old]])/tblPiNHistorical[[#This Row],[GBV Old]], 1), "")</f>
        <v/>
      </c>
      <c r="AY198" s="84" t="str">
        <f>IFERROR(ROUND((tblPiNHistorical[[#This Row],[Mine Action New]]-tblPiNHistorical[[#This Row],[Mine Action Old]])/tblPiNHistorical[[#This Row],[Mine Action Old]], 1), "")</f>
        <v/>
      </c>
      <c r="AZ198" s="66" t="str">
        <f>IFERROR(ROUND((tblPiNHistorical[[#This Row],[Shelter NFI New]]-tblPiNHistorical[[#This Row],[Shelter NFI Old]])/tblPiNHistorical[[#This Row],[Shelter NFI Old]], 1), "")</f>
        <v/>
      </c>
      <c r="BA198" s="36" t="str">
        <f>IFERROR(ROUND((tblPiNHistorical[[#This Row],[WASH New]]-tblPiNHistorical[[#This Row],[WASH Old]])/tblPiNHistorical[[#This Row],[WASH Old]], 1), "")</f>
        <v/>
      </c>
      <c r="BB198"/>
      <c r="BC198"/>
      <c r="BD198"/>
      <c r="BE198"/>
      <c r="BF198"/>
      <c r="BG198"/>
      <c r="BH198"/>
      <c r="BI198"/>
      <c r="BL198"/>
      <c r="BN198"/>
      <c r="BO198"/>
      <c r="BP198"/>
    </row>
    <row r="199" spans="1:68" ht="38.25" x14ac:dyDescent="0.25">
      <c r="A199"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RefugeesSD15031</v>
      </c>
      <c r="B199" s="134" t="s">
        <v>147</v>
      </c>
      <c r="C199" s="124" t="s">
        <v>132</v>
      </c>
      <c r="D199" s="124" t="s">
        <v>498</v>
      </c>
      <c r="E199" s="59" t="s">
        <v>499</v>
      </c>
      <c r="F199" s="54"/>
      <c r="G199" s="29"/>
      <c r="H199" s="53">
        <v>138</v>
      </c>
      <c r="I199" s="53" t="s">
        <v>90</v>
      </c>
      <c r="J199" s="34">
        <v>0</v>
      </c>
      <c r="K199" s="116">
        <v>0</v>
      </c>
      <c r="L199" s="114">
        <v>138</v>
      </c>
      <c r="M199" s="114">
        <v>95</v>
      </c>
      <c r="N199" s="114">
        <v>12</v>
      </c>
      <c r="O199" s="114">
        <v>138</v>
      </c>
      <c r="P199" s="114">
        <v>1.242</v>
      </c>
      <c r="Q199" s="114">
        <v>11.73</v>
      </c>
      <c r="R199" s="114">
        <v>0</v>
      </c>
      <c r="S199" s="114">
        <v>0</v>
      </c>
      <c r="T199" s="196">
        <v>77</v>
      </c>
      <c r="U199" s="52" t="str">
        <f>IFERROR(INDEX(tblPiNAnalysis[[Site Management ]], MATCH(tblPiNHistorical[[#This Row],[ID]], tblPiNAnalysis[ID], 0)), "")</f>
        <v/>
      </c>
      <c r="V199" s="52" t="str">
        <f>IFERROR(INDEX(tblPiNAnalysis[Education], MATCH(tblPiNHistorical[[#This Row],[ID]], tblPiNAnalysis[ID], 0)), "")</f>
        <v/>
      </c>
      <c r="W199" s="28" t="str">
        <f>IFERROR(INDEX(tblPiNAnalysis[Food Security and Livlihoods], MATCH(tblPiNHistorical[[#This Row],[ID]], tblPiNAnalysis[ID], 0)), "")</f>
        <v/>
      </c>
      <c r="X199" s="28" t="str">
        <f>IFERROR(INDEX(tblPiNAnalysis[[Health ]], MATCH(tblPiNHistorical[[#This Row],[ID]], tblPiNAnalysis[ID], 0)), "")</f>
        <v/>
      </c>
      <c r="Y199" s="28" t="str">
        <f>IFERROR(INDEX(tblPiNAnalysis[Nutrition], MATCH(tblPiNHistorical[[#This Row],[ID]], tblPiNAnalysis[ID], 0)), "")</f>
        <v/>
      </c>
      <c r="Z199" s="28" t="str">
        <f>IFERROR(INDEX(tblPiNAnalysis[Protection], MATCH(tblPiNHistorical[[#This Row],[ID]], tblPiNAnalysis[ID], 0)), "")</f>
        <v/>
      </c>
      <c r="AA199" s="28" t="str">
        <f>IFERROR(INDEX(tblPiNAnalysis[CP], MATCH(tblPiNHistorical[[#This Row],[ID]], tblPiNAnalysis[ID], 0)), "")</f>
        <v/>
      </c>
      <c r="AB199" s="83" t="str">
        <f>IFERROR(INDEX(tblPiNAnalysis[GBV], MATCH(tblPiNHistorical[[#This Row],[ID]], tblPiNAnalysis[ID], 0)), "")</f>
        <v/>
      </c>
      <c r="AC199" s="28" t="str">
        <f>IFERROR(INDEX(tblPiNAnalysis[Mine Action], MATCH(tblPiNHistorical[[#This Row],[ID]], tblPiNAnalysis[ID], 0)), "")</f>
        <v/>
      </c>
      <c r="AD199" s="83" t="str">
        <f>IFERROR(INDEX(tblPiNAnalysis[[Shelter NFI ]], MATCH(tblPiNHistorical[[#This Row],[ID]], tblPiNAnalysis[ID], 0)), "")</f>
        <v/>
      </c>
      <c r="AE199" s="28" t="str">
        <f>IFERROR(INDEX(tblPiNAnalysis[WASH], MATCH(tblPiNHistorical[[#This Row],[ID]], tblPiNAnalysis[ID], 0)), "")</f>
        <v/>
      </c>
      <c r="AF199"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199" s="136" t="str">
        <f>IF(OR(tblPiNHistorical[[#This Row],[Education Old]]="", tblPiNHistorical[[#This Row],[Education Old]]=0, tblPiNHistorical[[#This Row],[Education New]]="", tblPiNHistorical[[#This Row],[Education New]]=0), "", tblPiNHistorical[[#This Row],[Education New]]-tblPiNHistorical[[#This Row],[Education Old]])</f>
        <v/>
      </c>
      <c r="AH199"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199" s="137" t="str">
        <f>IF(OR(tblPiNHistorical[[#This Row],[Health Old]]="", tblPiNHistorical[[#This Row],[Health Old]]=0, tblPiNHistorical[[#This Row],[Health New]]="", tblPiNHistorical[[#This Row],[Health New]]=0), "", tblPiNHistorical[[#This Row],[Health New]]-tblPiNHistorical[[#This Row],[Health Old]])</f>
        <v/>
      </c>
      <c r="AJ199" s="136" t="str">
        <f>IF(OR(tblPiNHistorical[[#This Row],[Nutrition Old]]="", tblPiNHistorical[[#This Row],[Nutrition Old]]=0, tblPiNHistorical[[#This Row],[Nutrition New]]="", tblPiNHistorical[[#This Row],[Nutrition New]]=0), "", tblPiNHistorical[[#This Row],[Nutrition New]]-tblPiNHistorical[[#This Row],[Nutrition Old]])</f>
        <v/>
      </c>
      <c r="AK199" s="136" t="str">
        <f>IF(OR(tblPiNHistorical[[#This Row],[Protection Old]]="", tblPiNHistorical[[#This Row],[Protection Old]]=0, tblPiNHistorical[[#This Row],[Protection New]]="", tblPiNHistorical[[#This Row],[Protection New]]=0), "", tblPiNHistorical[[#This Row],[Protection New]]-tblPiNHistorical[[#This Row],[Protection Old]])</f>
        <v/>
      </c>
      <c r="AL199" s="136" t="str">
        <f>IF(OR(tblPiNHistorical[[#This Row],[CP Old ]]="", tblPiNHistorical[[#This Row],[CP Old ]]=0, tblPiNHistorical[[#This Row],[CP New]]="", tblPiNHistorical[[#This Row],[CP New]]=0), "", tblPiNHistorical[[#This Row],[CP New]]-tblPiNHistorical[[#This Row],[CP Old ]])</f>
        <v/>
      </c>
      <c r="AM199" s="83" t="str">
        <f>IF(OR(tblPiNHistorical[[#This Row],[GBV Old]]="", tblPiNHistorical[[#This Row],[GBV Old]]=0, tblPiNHistorical[[#This Row],[GBV New]]="", tblPiNHistorical[[#This Row],[GBV New]]=0), "", tblPiNHistorical[[#This Row],[GBV New]]-tblPiNHistorical[[#This Row],[GBV Old]])</f>
        <v/>
      </c>
      <c r="AN199" s="83" t="str">
        <f>IF(OR(tblPiNHistorical[[#This Row],[Mine Action Old]]="", tblPiNHistorical[[#This Row],[Mine Action Old]]=0, tblPiNHistorical[[#This Row],[Mine Action New]]="", tblPiNHistorical[[#This Row],[Mine Action New]]=0), "", tblPiNHistorical[[#This Row],[Mine Action New]]-tblPiNHistorical[[#This Row],[Mine Action Old]])</f>
        <v/>
      </c>
      <c r="AO199" s="136" t="str">
        <f>IF(OR(tblPiNHistorical[[#This Row],[Shelter NFI Old]]="", tblPiNHistorical[[#This Row],[Shelter NFI Old]]=0, tblPiNHistorical[[#This Row],[Shelter NFI New]]="", tblPiNHistorical[[#This Row],[Shelter NFI New]]=0), "", tblPiNHistorical[[#This Row],[Shelter NFI New]]-tblPiNHistorical[[#This Row],[Shelter NFI Old]])</f>
        <v/>
      </c>
      <c r="AP199" s="138" t="str">
        <f>IF(OR(tblPiNHistorical[[#This Row],[WASH Old]]="", tblPiNHistorical[[#This Row],[WASH Old]]=0, tblPiNHistorical[[#This Row],[WASH New]]="", tblPiNHistorical[[#This Row],[WASH New]]=0), "", tblPiNHistorical[[#This Row],[WASH New]]-tblPiNHistorical[[#This Row],[WASH Old]])</f>
        <v/>
      </c>
      <c r="AQ199" s="139" t="str">
        <f>IFERROR(ROUND((tblPiNHistorical[[#This Row],[Site Management - New]] - tblPiNHistorical[[#This Row],[Site Management - Old]])/tblPiNHistorical[[#This Row],[Site Management - Old]], 1), "")</f>
        <v/>
      </c>
      <c r="AR199" s="140" t="str">
        <f>IFERROR(ROUND((tblPiNHistorical[[#This Row],[Education New]]-tblPiNHistorical[[#This Row],[Education Old]])/tblPiNHistorical[[#This Row],[Education Old]], 1), "")</f>
        <v/>
      </c>
      <c r="AS199" s="141" t="str">
        <f>IFERROR(ROUND((tblPiNHistorical[[#This Row],[Food Security and Livlihoods New]]-tblPiNHistorical[[#This Row],[Food Security and Livlihoods Old]])/tblPiNHistorical[[#This Row],[Food Security and Livlihoods Old]], 1), "")</f>
        <v/>
      </c>
      <c r="AT199" s="142" t="str">
        <f>IFERROR(ROUND((tblPiNHistorical[[#This Row],[Health New]]-tblPiNHistorical[[#This Row],[Health Old]])/tblPiNHistorical[[#This Row],[Health Old]], 1), "")</f>
        <v/>
      </c>
      <c r="AU199" s="140" t="str">
        <f>IFERROR(ROUND((tblPiNHistorical[[#This Row],[Nutrition New]]-tblPiNHistorical[[#This Row],[Nutrition Old]])/tblPiNHistorical[[#This Row],[Nutrition Old]], 1), "")</f>
        <v/>
      </c>
      <c r="AV199" s="140" t="str">
        <f>IFERROR(ROUND((tblPiNHistorical[[#This Row],[Protection New]]-tblPiNHistorical[[#This Row],[Protection Old]])/tblPiNHistorical[[#This Row],[Protection Old]], 1), "")</f>
        <v/>
      </c>
      <c r="AW199" s="84" t="str">
        <f>IFERROR(ROUND((tblPiNHistorical[[#This Row],[CP New]]-tblPiNHistorical[[#This Row],[CP Old ]])/tblPiNHistorical[[#This Row],[CP Old ]], 1), "")</f>
        <v/>
      </c>
      <c r="AX199" s="84" t="str">
        <f>IFERROR(ROUND((tblPiNHistorical[[#This Row],[GBV New]]-tblPiNHistorical[[#This Row],[GBV Old]])/tblPiNHistorical[[#This Row],[GBV Old]], 1), "")</f>
        <v/>
      </c>
      <c r="AY199" s="84" t="str">
        <f>IFERROR(ROUND((tblPiNHistorical[[#This Row],[Mine Action New]]-tblPiNHistorical[[#This Row],[Mine Action Old]])/tblPiNHistorical[[#This Row],[Mine Action Old]], 1), "")</f>
        <v/>
      </c>
      <c r="AZ199" s="140" t="str">
        <f>IFERROR(ROUND((tblPiNHistorical[[#This Row],[Shelter NFI New]]-tblPiNHistorical[[#This Row],[Shelter NFI Old]])/tblPiNHistorical[[#This Row],[Shelter NFI Old]], 1), "")</f>
        <v/>
      </c>
      <c r="BA199" s="31" t="str">
        <f>IFERROR(ROUND((tblPiNHistorical[[#This Row],[WASH New]]-tblPiNHistorical[[#This Row],[WASH Old]])/tblPiNHistorical[[#This Row],[WASH Old]], 1), "")</f>
        <v/>
      </c>
      <c r="BB199" s="20"/>
      <c r="BC199" s="46"/>
      <c r="BD199" s="20"/>
      <c r="BE199" s="46"/>
      <c r="BF199" s="20"/>
      <c r="BG199" s="46"/>
      <c r="BI199" s="16"/>
      <c r="BL199" s="16"/>
      <c r="BN199" s="22"/>
      <c r="BO199" s="20"/>
      <c r="BP199" s="16"/>
    </row>
    <row r="200" spans="1:68" ht="38.25" x14ac:dyDescent="0.25">
      <c r="A200"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RefugeesSD15030</v>
      </c>
      <c r="B200" s="134" t="s">
        <v>147</v>
      </c>
      <c r="C200" s="124" t="s">
        <v>132</v>
      </c>
      <c r="D200" s="124" t="s">
        <v>496</v>
      </c>
      <c r="E200" s="59" t="s">
        <v>497</v>
      </c>
      <c r="F200" s="54"/>
      <c r="G200" s="29"/>
      <c r="H200" s="53">
        <v>138</v>
      </c>
      <c r="I200" s="53" t="s">
        <v>90</v>
      </c>
      <c r="J200" s="34">
        <v>0</v>
      </c>
      <c r="K200" s="116">
        <v>42</v>
      </c>
      <c r="L200" s="114">
        <v>138</v>
      </c>
      <c r="M200" s="114">
        <v>95</v>
      </c>
      <c r="N200" s="114">
        <v>12</v>
      </c>
      <c r="O200" s="114">
        <v>138</v>
      </c>
      <c r="P200" s="114">
        <v>1.242</v>
      </c>
      <c r="Q200" s="114">
        <v>11.73</v>
      </c>
      <c r="R200" s="114">
        <v>0</v>
      </c>
      <c r="S200" s="114">
        <v>0</v>
      </c>
      <c r="T200" s="196">
        <v>55</v>
      </c>
      <c r="U200" s="52" t="str">
        <f>IFERROR(INDEX(tblPiNAnalysis[[Site Management ]], MATCH(tblPiNHistorical[[#This Row],[ID]], tblPiNAnalysis[ID], 0)), "")</f>
        <v/>
      </c>
      <c r="V200" s="52" t="str">
        <f>IFERROR(INDEX(tblPiNAnalysis[Education], MATCH(tblPiNHistorical[[#This Row],[ID]], tblPiNAnalysis[ID], 0)), "")</f>
        <v/>
      </c>
      <c r="W200" s="28" t="str">
        <f>IFERROR(INDEX(tblPiNAnalysis[Food Security and Livlihoods], MATCH(tblPiNHistorical[[#This Row],[ID]], tblPiNAnalysis[ID], 0)), "")</f>
        <v/>
      </c>
      <c r="X200" s="28" t="str">
        <f>IFERROR(INDEX(tblPiNAnalysis[[Health ]], MATCH(tblPiNHistorical[[#This Row],[ID]], tblPiNAnalysis[ID], 0)), "")</f>
        <v/>
      </c>
      <c r="Y200" s="28" t="str">
        <f>IFERROR(INDEX(tblPiNAnalysis[Nutrition], MATCH(tblPiNHistorical[[#This Row],[ID]], tblPiNAnalysis[ID], 0)), "")</f>
        <v/>
      </c>
      <c r="Z200" s="28" t="str">
        <f>IFERROR(INDEX(tblPiNAnalysis[Protection], MATCH(tblPiNHistorical[[#This Row],[ID]], tblPiNAnalysis[ID], 0)), "")</f>
        <v/>
      </c>
      <c r="AA200" s="28" t="str">
        <f>IFERROR(INDEX(tblPiNAnalysis[CP], MATCH(tblPiNHistorical[[#This Row],[ID]], tblPiNAnalysis[ID], 0)), "")</f>
        <v/>
      </c>
      <c r="AB200" s="83" t="str">
        <f>IFERROR(INDEX(tblPiNAnalysis[GBV], MATCH(tblPiNHistorical[[#This Row],[ID]], tblPiNAnalysis[ID], 0)), "")</f>
        <v/>
      </c>
      <c r="AC200" s="28" t="str">
        <f>IFERROR(INDEX(tblPiNAnalysis[Mine Action], MATCH(tblPiNHistorical[[#This Row],[ID]], tblPiNAnalysis[ID], 0)), "")</f>
        <v/>
      </c>
      <c r="AD200" s="83" t="str">
        <f>IFERROR(INDEX(tblPiNAnalysis[[Shelter NFI ]], MATCH(tblPiNHistorical[[#This Row],[ID]], tblPiNAnalysis[ID], 0)), "")</f>
        <v/>
      </c>
      <c r="AE200" s="28" t="str">
        <f>IFERROR(INDEX(tblPiNAnalysis[WASH], MATCH(tblPiNHistorical[[#This Row],[ID]], tblPiNAnalysis[ID], 0)), "")</f>
        <v/>
      </c>
      <c r="AF200"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200" s="136" t="str">
        <f>IF(OR(tblPiNHistorical[[#This Row],[Education Old]]="", tblPiNHistorical[[#This Row],[Education Old]]=0, tblPiNHistorical[[#This Row],[Education New]]="", tblPiNHistorical[[#This Row],[Education New]]=0), "", tblPiNHistorical[[#This Row],[Education New]]-tblPiNHistorical[[#This Row],[Education Old]])</f>
        <v/>
      </c>
      <c r="AH200"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200" s="137" t="str">
        <f>IF(OR(tblPiNHistorical[[#This Row],[Health Old]]="", tblPiNHistorical[[#This Row],[Health Old]]=0, tblPiNHistorical[[#This Row],[Health New]]="", tblPiNHistorical[[#This Row],[Health New]]=0), "", tblPiNHistorical[[#This Row],[Health New]]-tblPiNHistorical[[#This Row],[Health Old]])</f>
        <v/>
      </c>
      <c r="AJ200" s="136" t="str">
        <f>IF(OR(tblPiNHistorical[[#This Row],[Nutrition Old]]="", tblPiNHistorical[[#This Row],[Nutrition Old]]=0, tblPiNHistorical[[#This Row],[Nutrition New]]="", tblPiNHistorical[[#This Row],[Nutrition New]]=0), "", tblPiNHistorical[[#This Row],[Nutrition New]]-tblPiNHistorical[[#This Row],[Nutrition Old]])</f>
        <v/>
      </c>
      <c r="AK200" s="136" t="str">
        <f>IF(OR(tblPiNHistorical[[#This Row],[Protection Old]]="", tblPiNHistorical[[#This Row],[Protection Old]]=0, tblPiNHistorical[[#This Row],[Protection New]]="", tblPiNHistorical[[#This Row],[Protection New]]=0), "", tblPiNHistorical[[#This Row],[Protection New]]-tblPiNHistorical[[#This Row],[Protection Old]])</f>
        <v/>
      </c>
      <c r="AL200" s="136" t="str">
        <f>IF(OR(tblPiNHistorical[[#This Row],[CP Old ]]="", tblPiNHistorical[[#This Row],[CP Old ]]=0, tblPiNHistorical[[#This Row],[CP New]]="", tblPiNHistorical[[#This Row],[CP New]]=0), "", tblPiNHistorical[[#This Row],[CP New]]-tblPiNHistorical[[#This Row],[CP Old ]])</f>
        <v/>
      </c>
      <c r="AM200" s="83" t="str">
        <f>IF(OR(tblPiNHistorical[[#This Row],[GBV Old]]="", tblPiNHistorical[[#This Row],[GBV Old]]=0, tblPiNHistorical[[#This Row],[GBV New]]="", tblPiNHistorical[[#This Row],[GBV New]]=0), "", tblPiNHistorical[[#This Row],[GBV New]]-tblPiNHistorical[[#This Row],[GBV Old]])</f>
        <v/>
      </c>
      <c r="AN200" s="83" t="str">
        <f>IF(OR(tblPiNHistorical[[#This Row],[Mine Action Old]]="", tblPiNHistorical[[#This Row],[Mine Action Old]]=0, tblPiNHistorical[[#This Row],[Mine Action New]]="", tblPiNHistorical[[#This Row],[Mine Action New]]=0), "", tblPiNHistorical[[#This Row],[Mine Action New]]-tblPiNHistorical[[#This Row],[Mine Action Old]])</f>
        <v/>
      </c>
      <c r="AO200" s="136" t="str">
        <f>IF(OR(tblPiNHistorical[[#This Row],[Shelter NFI Old]]="", tblPiNHistorical[[#This Row],[Shelter NFI Old]]=0, tblPiNHistorical[[#This Row],[Shelter NFI New]]="", tblPiNHistorical[[#This Row],[Shelter NFI New]]=0), "", tblPiNHistorical[[#This Row],[Shelter NFI New]]-tblPiNHistorical[[#This Row],[Shelter NFI Old]])</f>
        <v/>
      </c>
      <c r="AP200" s="138" t="str">
        <f>IF(OR(tblPiNHistorical[[#This Row],[WASH Old]]="", tblPiNHistorical[[#This Row],[WASH Old]]=0, tblPiNHistorical[[#This Row],[WASH New]]="", tblPiNHistorical[[#This Row],[WASH New]]=0), "", tblPiNHistorical[[#This Row],[WASH New]]-tblPiNHistorical[[#This Row],[WASH Old]])</f>
        <v/>
      </c>
      <c r="AQ200" s="139" t="str">
        <f>IFERROR(ROUND((tblPiNHistorical[[#This Row],[Site Management - New]] - tblPiNHistorical[[#This Row],[Site Management - Old]])/tblPiNHistorical[[#This Row],[Site Management - Old]], 1), "")</f>
        <v/>
      </c>
      <c r="AR200" s="140" t="str">
        <f>IFERROR(ROUND((tblPiNHistorical[[#This Row],[Education New]]-tblPiNHistorical[[#This Row],[Education Old]])/tblPiNHistorical[[#This Row],[Education Old]], 1), "")</f>
        <v/>
      </c>
      <c r="AS200" s="141" t="str">
        <f>IFERROR(ROUND((tblPiNHistorical[[#This Row],[Food Security and Livlihoods New]]-tblPiNHistorical[[#This Row],[Food Security and Livlihoods Old]])/tblPiNHistorical[[#This Row],[Food Security and Livlihoods Old]], 1), "")</f>
        <v/>
      </c>
      <c r="AT200" s="142" t="str">
        <f>IFERROR(ROUND((tblPiNHistorical[[#This Row],[Health New]]-tblPiNHistorical[[#This Row],[Health Old]])/tblPiNHistorical[[#This Row],[Health Old]], 1), "")</f>
        <v/>
      </c>
      <c r="AU200" s="140" t="str">
        <f>IFERROR(ROUND((tblPiNHistorical[[#This Row],[Nutrition New]]-tblPiNHistorical[[#This Row],[Nutrition Old]])/tblPiNHistorical[[#This Row],[Nutrition Old]], 1), "")</f>
        <v/>
      </c>
      <c r="AV200" s="140" t="str">
        <f>IFERROR(ROUND((tblPiNHistorical[[#This Row],[Protection New]]-tblPiNHistorical[[#This Row],[Protection Old]])/tblPiNHistorical[[#This Row],[Protection Old]], 1), "")</f>
        <v/>
      </c>
      <c r="AW200" s="84" t="str">
        <f>IFERROR(ROUND((tblPiNHistorical[[#This Row],[CP New]]-tblPiNHistorical[[#This Row],[CP Old ]])/tblPiNHistorical[[#This Row],[CP Old ]], 1), "")</f>
        <v/>
      </c>
      <c r="AX200" s="84" t="str">
        <f>IFERROR(ROUND((tblPiNHistorical[[#This Row],[GBV New]]-tblPiNHistorical[[#This Row],[GBV Old]])/tblPiNHistorical[[#This Row],[GBV Old]], 1), "")</f>
        <v/>
      </c>
      <c r="AY200" s="84" t="str">
        <f>IFERROR(ROUND((tblPiNHistorical[[#This Row],[Mine Action New]]-tblPiNHistorical[[#This Row],[Mine Action Old]])/tblPiNHistorical[[#This Row],[Mine Action Old]], 1), "")</f>
        <v/>
      </c>
      <c r="AZ200" s="140" t="str">
        <f>IFERROR(ROUND((tblPiNHistorical[[#This Row],[Shelter NFI New]]-tblPiNHistorical[[#This Row],[Shelter NFI Old]])/tblPiNHistorical[[#This Row],[Shelter NFI Old]], 1), "")</f>
        <v/>
      </c>
      <c r="BA200" s="31" t="str">
        <f>IFERROR(ROUND((tblPiNHistorical[[#This Row],[WASH New]]-tblPiNHistorical[[#This Row],[WASH Old]])/tblPiNHistorical[[#This Row],[WASH Old]], 1), "")</f>
        <v/>
      </c>
      <c r="BB200" s="20"/>
      <c r="BC200" s="46"/>
      <c r="BD200" s="20"/>
      <c r="BE200" s="46"/>
      <c r="BF200" s="20"/>
      <c r="BG200" s="46"/>
      <c r="BI200" s="16"/>
      <c r="BL200" s="16"/>
      <c r="BN200" s="22"/>
      <c r="BO200" s="20"/>
      <c r="BP200" s="16"/>
    </row>
    <row r="201" spans="1:68" ht="38.25" x14ac:dyDescent="0.25">
      <c r="A201"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RefugeesSD15033</v>
      </c>
      <c r="B201" s="134" t="s">
        <v>147</v>
      </c>
      <c r="C201" s="124" t="s">
        <v>132</v>
      </c>
      <c r="D201" s="124" t="s">
        <v>502</v>
      </c>
      <c r="E201" s="59" t="s">
        <v>503</v>
      </c>
      <c r="F201" s="54"/>
      <c r="G201" s="29"/>
      <c r="H201" s="53">
        <v>166</v>
      </c>
      <c r="I201" s="53" t="s">
        <v>90</v>
      </c>
      <c r="J201" s="34">
        <v>0</v>
      </c>
      <c r="K201" s="116">
        <v>0</v>
      </c>
      <c r="L201" s="114">
        <v>166</v>
      </c>
      <c r="M201" s="114">
        <v>81</v>
      </c>
      <c r="N201" s="114">
        <v>14</v>
      </c>
      <c r="O201" s="114">
        <v>166</v>
      </c>
      <c r="P201" s="114">
        <v>1.494</v>
      </c>
      <c r="Q201" s="114">
        <v>14.110000000000001</v>
      </c>
      <c r="R201" s="114">
        <v>0</v>
      </c>
      <c r="S201" s="114">
        <v>0</v>
      </c>
      <c r="T201" s="196">
        <v>78</v>
      </c>
      <c r="U201" s="52" t="str">
        <f>IFERROR(INDEX(tblPiNAnalysis[[Site Management ]], MATCH(tblPiNHistorical[[#This Row],[ID]], tblPiNAnalysis[ID], 0)), "")</f>
        <v/>
      </c>
      <c r="V201" s="52" t="str">
        <f>IFERROR(INDEX(tblPiNAnalysis[Education], MATCH(tblPiNHistorical[[#This Row],[ID]], tblPiNAnalysis[ID], 0)), "")</f>
        <v/>
      </c>
      <c r="W201" s="28" t="str">
        <f>IFERROR(INDEX(tblPiNAnalysis[Food Security and Livlihoods], MATCH(tblPiNHistorical[[#This Row],[ID]], tblPiNAnalysis[ID], 0)), "")</f>
        <v/>
      </c>
      <c r="X201" s="28" t="str">
        <f>IFERROR(INDEX(tblPiNAnalysis[[Health ]], MATCH(tblPiNHistorical[[#This Row],[ID]], tblPiNAnalysis[ID], 0)), "")</f>
        <v/>
      </c>
      <c r="Y201" s="28" t="str">
        <f>IFERROR(INDEX(tblPiNAnalysis[Nutrition], MATCH(tblPiNHistorical[[#This Row],[ID]], tblPiNAnalysis[ID], 0)), "")</f>
        <v/>
      </c>
      <c r="Z201" s="28" t="str">
        <f>IFERROR(INDEX(tblPiNAnalysis[Protection], MATCH(tblPiNHistorical[[#This Row],[ID]], tblPiNAnalysis[ID], 0)), "")</f>
        <v/>
      </c>
      <c r="AA201" s="28" t="str">
        <f>IFERROR(INDEX(tblPiNAnalysis[CP], MATCH(tblPiNHistorical[[#This Row],[ID]], tblPiNAnalysis[ID], 0)), "")</f>
        <v/>
      </c>
      <c r="AB201" s="83" t="str">
        <f>IFERROR(INDEX(tblPiNAnalysis[GBV], MATCH(tblPiNHistorical[[#This Row],[ID]], tblPiNAnalysis[ID], 0)), "")</f>
        <v/>
      </c>
      <c r="AC201" s="28" t="str">
        <f>IFERROR(INDEX(tblPiNAnalysis[Mine Action], MATCH(tblPiNHistorical[[#This Row],[ID]], tblPiNAnalysis[ID], 0)), "")</f>
        <v/>
      </c>
      <c r="AD201" s="83" t="str">
        <f>IFERROR(INDEX(tblPiNAnalysis[[Shelter NFI ]], MATCH(tblPiNHistorical[[#This Row],[ID]], tblPiNAnalysis[ID], 0)), "")</f>
        <v/>
      </c>
      <c r="AE201" s="28" t="str">
        <f>IFERROR(INDEX(tblPiNAnalysis[WASH], MATCH(tblPiNHistorical[[#This Row],[ID]], tblPiNAnalysis[ID], 0)), "")</f>
        <v/>
      </c>
      <c r="AF201"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201" s="136" t="str">
        <f>IF(OR(tblPiNHistorical[[#This Row],[Education Old]]="", tblPiNHistorical[[#This Row],[Education Old]]=0, tblPiNHistorical[[#This Row],[Education New]]="", tblPiNHistorical[[#This Row],[Education New]]=0), "", tblPiNHistorical[[#This Row],[Education New]]-tblPiNHistorical[[#This Row],[Education Old]])</f>
        <v/>
      </c>
      <c r="AH201"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201" s="137" t="str">
        <f>IF(OR(tblPiNHistorical[[#This Row],[Health Old]]="", tblPiNHistorical[[#This Row],[Health Old]]=0, tblPiNHistorical[[#This Row],[Health New]]="", tblPiNHistorical[[#This Row],[Health New]]=0), "", tblPiNHistorical[[#This Row],[Health New]]-tblPiNHistorical[[#This Row],[Health Old]])</f>
        <v/>
      </c>
      <c r="AJ201" s="136" t="str">
        <f>IF(OR(tblPiNHistorical[[#This Row],[Nutrition Old]]="", tblPiNHistorical[[#This Row],[Nutrition Old]]=0, tblPiNHistorical[[#This Row],[Nutrition New]]="", tblPiNHistorical[[#This Row],[Nutrition New]]=0), "", tblPiNHistorical[[#This Row],[Nutrition New]]-tblPiNHistorical[[#This Row],[Nutrition Old]])</f>
        <v/>
      </c>
      <c r="AK201" s="136" t="str">
        <f>IF(OR(tblPiNHistorical[[#This Row],[Protection Old]]="", tblPiNHistorical[[#This Row],[Protection Old]]=0, tblPiNHistorical[[#This Row],[Protection New]]="", tblPiNHistorical[[#This Row],[Protection New]]=0), "", tblPiNHistorical[[#This Row],[Protection New]]-tblPiNHistorical[[#This Row],[Protection Old]])</f>
        <v/>
      </c>
      <c r="AL201" s="136" t="str">
        <f>IF(OR(tblPiNHistorical[[#This Row],[CP Old ]]="", tblPiNHistorical[[#This Row],[CP Old ]]=0, tblPiNHistorical[[#This Row],[CP New]]="", tblPiNHistorical[[#This Row],[CP New]]=0), "", tblPiNHistorical[[#This Row],[CP New]]-tblPiNHistorical[[#This Row],[CP Old ]])</f>
        <v/>
      </c>
      <c r="AM201" s="83" t="str">
        <f>IF(OR(tblPiNHistorical[[#This Row],[GBV Old]]="", tblPiNHistorical[[#This Row],[GBV Old]]=0, tblPiNHistorical[[#This Row],[GBV New]]="", tblPiNHistorical[[#This Row],[GBV New]]=0), "", tblPiNHistorical[[#This Row],[GBV New]]-tblPiNHistorical[[#This Row],[GBV Old]])</f>
        <v/>
      </c>
      <c r="AN201" s="83" t="str">
        <f>IF(OR(tblPiNHistorical[[#This Row],[Mine Action Old]]="", tblPiNHistorical[[#This Row],[Mine Action Old]]=0, tblPiNHistorical[[#This Row],[Mine Action New]]="", tblPiNHistorical[[#This Row],[Mine Action New]]=0), "", tblPiNHistorical[[#This Row],[Mine Action New]]-tblPiNHistorical[[#This Row],[Mine Action Old]])</f>
        <v/>
      </c>
      <c r="AO201" s="136" t="str">
        <f>IF(OR(tblPiNHistorical[[#This Row],[Shelter NFI Old]]="", tblPiNHistorical[[#This Row],[Shelter NFI Old]]=0, tblPiNHistorical[[#This Row],[Shelter NFI New]]="", tblPiNHistorical[[#This Row],[Shelter NFI New]]=0), "", tblPiNHistorical[[#This Row],[Shelter NFI New]]-tblPiNHistorical[[#This Row],[Shelter NFI Old]])</f>
        <v/>
      </c>
      <c r="AP201" s="138" t="str">
        <f>IF(OR(tblPiNHistorical[[#This Row],[WASH Old]]="", tblPiNHistorical[[#This Row],[WASH Old]]=0, tblPiNHistorical[[#This Row],[WASH New]]="", tblPiNHistorical[[#This Row],[WASH New]]=0), "", tblPiNHistorical[[#This Row],[WASH New]]-tblPiNHistorical[[#This Row],[WASH Old]])</f>
        <v/>
      </c>
      <c r="AQ201" s="139" t="str">
        <f>IFERROR(ROUND((tblPiNHistorical[[#This Row],[Site Management - New]] - tblPiNHistorical[[#This Row],[Site Management - Old]])/tblPiNHistorical[[#This Row],[Site Management - Old]], 1), "")</f>
        <v/>
      </c>
      <c r="AR201" s="140" t="str">
        <f>IFERROR(ROUND((tblPiNHistorical[[#This Row],[Education New]]-tblPiNHistorical[[#This Row],[Education Old]])/tblPiNHistorical[[#This Row],[Education Old]], 1), "")</f>
        <v/>
      </c>
      <c r="AS201" s="141" t="str">
        <f>IFERROR(ROUND((tblPiNHistorical[[#This Row],[Food Security and Livlihoods New]]-tblPiNHistorical[[#This Row],[Food Security and Livlihoods Old]])/tblPiNHistorical[[#This Row],[Food Security and Livlihoods Old]], 1), "")</f>
        <v/>
      </c>
      <c r="AT201" s="142" t="str">
        <f>IFERROR(ROUND((tblPiNHistorical[[#This Row],[Health New]]-tblPiNHistorical[[#This Row],[Health Old]])/tblPiNHistorical[[#This Row],[Health Old]], 1), "")</f>
        <v/>
      </c>
      <c r="AU201" s="140" t="str">
        <f>IFERROR(ROUND((tblPiNHistorical[[#This Row],[Nutrition New]]-tblPiNHistorical[[#This Row],[Nutrition Old]])/tblPiNHistorical[[#This Row],[Nutrition Old]], 1), "")</f>
        <v/>
      </c>
      <c r="AV201" s="140" t="str">
        <f>IFERROR(ROUND((tblPiNHistorical[[#This Row],[Protection New]]-tblPiNHistorical[[#This Row],[Protection Old]])/tblPiNHistorical[[#This Row],[Protection Old]], 1), "")</f>
        <v/>
      </c>
      <c r="AW201" s="84" t="str">
        <f>IFERROR(ROUND((tblPiNHistorical[[#This Row],[CP New]]-tblPiNHistorical[[#This Row],[CP Old ]])/tblPiNHistorical[[#This Row],[CP Old ]], 1), "")</f>
        <v/>
      </c>
      <c r="AX201" s="84" t="str">
        <f>IFERROR(ROUND((tblPiNHistorical[[#This Row],[GBV New]]-tblPiNHistorical[[#This Row],[GBV Old]])/tblPiNHistorical[[#This Row],[GBV Old]], 1), "")</f>
        <v/>
      </c>
      <c r="AY201" s="84" t="str">
        <f>IFERROR(ROUND((tblPiNHistorical[[#This Row],[Mine Action New]]-tblPiNHistorical[[#This Row],[Mine Action Old]])/tblPiNHistorical[[#This Row],[Mine Action Old]], 1), "")</f>
        <v/>
      </c>
      <c r="AZ201" s="140" t="str">
        <f>IFERROR(ROUND((tblPiNHistorical[[#This Row],[Shelter NFI New]]-tblPiNHistorical[[#This Row],[Shelter NFI Old]])/tblPiNHistorical[[#This Row],[Shelter NFI Old]], 1), "")</f>
        <v/>
      </c>
      <c r="BA201" s="31" t="str">
        <f>IFERROR(ROUND((tblPiNHistorical[[#This Row],[WASH New]]-tblPiNHistorical[[#This Row],[WASH Old]])/tblPiNHistorical[[#This Row],[WASH Old]], 1), "")</f>
        <v/>
      </c>
      <c r="BB201" s="20"/>
      <c r="BC201" s="46"/>
      <c r="BD201" s="20"/>
      <c r="BE201" s="46"/>
      <c r="BF201" s="20"/>
      <c r="BG201" s="46"/>
      <c r="BI201" s="16"/>
      <c r="BL201" s="16"/>
      <c r="BN201" s="22"/>
      <c r="BO201" s="20"/>
      <c r="BP201" s="16"/>
    </row>
    <row r="202" spans="1:68" ht="38.25" x14ac:dyDescent="0.25">
      <c r="A202"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RefugeesSD15032</v>
      </c>
      <c r="B202" s="134" t="s">
        <v>147</v>
      </c>
      <c r="C202" s="124" t="s">
        <v>132</v>
      </c>
      <c r="D202" s="124" t="s">
        <v>500</v>
      </c>
      <c r="E202" s="59" t="s">
        <v>501</v>
      </c>
      <c r="F202" s="54"/>
      <c r="G202" s="29"/>
      <c r="H202" s="53">
        <v>14</v>
      </c>
      <c r="I202" s="53" t="s">
        <v>90</v>
      </c>
      <c r="J202" s="34">
        <v>0</v>
      </c>
      <c r="K202" s="116">
        <v>0</v>
      </c>
      <c r="L202" s="114">
        <v>14</v>
      </c>
      <c r="M202" s="114">
        <v>7</v>
      </c>
      <c r="N202" s="114">
        <v>1</v>
      </c>
      <c r="O202" s="114">
        <v>14</v>
      </c>
      <c r="P202" s="114">
        <v>0.126</v>
      </c>
      <c r="Q202" s="114">
        <v>1.1900000000000002</v>
      </c>
      <c r="R202" s="114">
        <v>0</v>
      </c>
      <c r="S202" s="114">
        <v>0</v>
      </c>
      <c r="T202" s="196">
        <v>7</v>
      </c>
      <c r="U202" s="52" t="str">
        <f>IFERROR(INDEX(tblPiNAnalysis[[Site Management ]], MATCH(tblPiNHistorical[[#This Row],[ID]], tblPiNAnalysis[ID], 0)), "")</f>
        <v/>
      </c>
      <c r="V202" s="52" t="str">
        <f>IFERROR(INDEX(tblPiNAnalysis[Education], MATCH(tblPiNHistorical[[#This Row],[ID]], tblPiNAnalysis[ID], 0)), "")</f>
        <v/>
      </c>
      <c r="W202" s="28" t="str">
        <f>IFERROR(INDEX(tblPiNAnalysis[Food Security and Livlihoods], MATCH(tblPiNHistorical[[#This Row],[ID]], tblPiNAnalysis[ID], 0)), "")</f>
        <v/>
      </c>
      <c r="X202" s="28" t="str">
        <f>IFERROR(INDEX(tblPiNAnalysis[[Health ]], MATCH(tblPiNHistorical[[#This Row],[ID]], tblPiNAnalysis[ID], 0)), "")</f>
        <v/>
      </c>
      <c r="Y202" s="28" t="str">
        <f>IFERROR(INDEX(tblPiNAnalysis[Nutrition], MATCH(tblPiNHistorical[[#This Row],[ID]], tblPiNAnalysis[ID], 0)), "")</f>
        <v/>
      </c>
      <c r="Z202" s="28" t="str">
        <f>IFERROR(INDEX(tblPiNAnalysis[Protection], MATCH(tblPiNHistorical[[#This Row],[ID]], tblPiNAnalysis[ID], 0)), "")</f>
        <v/>
      </c>
      <c r="AA202" s="28" t="str">
        <f>IFERROR(INDEX(tblPiNAnalysis[CP], MATCH(tblPiNHistorical[[#This Row],[ID]], tblPiNAnalysis[ID], 0)), "")</f>
        <v/>
      </c>
      <c r="AB202" s="83" t="str">
        <f>IFERROR(INDEX(tblPiNAnalysis[GBV], MATCH(tblPiNHistorical[[#This Row],[ID]], tblPiNAnalysis[ID], 0)), "")</f>
        <v/>
      </c>
      <c r="AC202" s="28" t="str">
        <f>IFERROR(INDEX(tblPiNAnalysis[Mine Action], MATCH(tblPiNHistorical[[#This Row],[ID]], tblPiNAnalysis[ID], 0)), "")</f>
        <v/>
      </c>
      <c r="AD202" s="83" t="str">
        <f>IFERROR(INDEX(tblPiNAnalysis[[Shelter NFI ]], MATCH(tblPiNHistorical[[#This Row],[ID]], tblPiNAnalysis[ID], 0)), "")</f>
        <v/>
      </c>
      <c r="AE202" s="28" t="str">
        <f>IFERROR(INDEX(tblPiNAnalysis[WASH], MATCH(tblPiNHistorical[[#This Row],[ID]], tblPiNAnalysis[ID], 0)), "")</f>
        <v/>
      </c>
      <c r="AF202"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202" s="136" t="str">
        <f>IF(OR(tblPiNHistorical[[#This Row],[Education Old]]="", tblPiNHistorical[[#This Row],[Education Old]]=0, tblPiNHistorical[[#This Row],[Education New]]="", tblPiNHistorical[[#This Row],[Education New]]=0), "", tblPiNHistorical[[#This Row],[Education New]]-tblPiNHistorical[[#This Row],[Education Old]])</f>
        <v/>
      </c>
      <c r="AH202"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202" s="137" t="str">
        <f>IF(OR(tblPiNHistorical[[#This Row],[Health Old]]="", tblPiNHistorical[[#This Row],[Health Old]]=0, tblPiNHistorical[[#This Row],[Health New]]="", tblPiNHistorical[[#This Row],[Health New]]=0), "", tblPiNHistorical[[#This Row],[Health New]]-tblPiNHistorical[[#This Row],[Health Old]])</f>
        <v/>
      </c>
      <c r="AJ202" s="136" t="str">
        <f>IF(OR(tblPiNHistorical[[#This Row],[Nutrition Old]]="", tblPiNHistorical[[#This Row],[Nutrition Old]]=0, tblPiNHistorical[[#This Row],[Nutrition New]]="", tblPiNHistorical[[#This Row],[Nutrition New]]=0), "", tblPiNHistorical[[#This Row],[Nutrition New]]-tblPiNHistorical[[#This Row],[Nutrition Old]])</f>
        <v/>
      </c>
      <c r="AK202" s="136" t="str">
        <f>IF(OR(tblPiNHistorical[[#This Row],[Protection Old]]="", tblPiNHistorical[[#This Row],[Protection Old]]=0, tblPiNHistorical[[#This Row],[Protection New]]="", tblPiNHistorical[[#This Row],[Protection New]]=0), "", tblPiNHistorical[[#This Row],[Protection New]]-tblPiNHistorical[[#This Row],[Protection Old]])</f>
        <v/>
      </c>
      <c r="AL202" s="136" t="str">
        <f>IF(OR(tblPiNHistorical[[#This Row],[CP Old ]]="", tblPiNHistorical[[#This Row],[CP Old ]]=0, tblPiNHistorical[[#This Row],[CP New]]="", tblPiNHistorical[[#This Row],[CP New]]=0), "", tblPiNHistorical[[#This Row],[CP New]]-tblPiNHistorical[[#This Row],[CP Old ]])</f>
        <v/>
      </c>
      <c r="AM202" s="83" t="str">
        <f>IF(OR(tblPiNHistorical[[#This Row],[GBV Old]]="", tblPiNHistorical[[#This Row],[GBV Old]]=0, tblPiNHistorical[[#This Row],[GBV New]]="", tblPiNHistorical[[#This Row],[GBV New]]=0), "", tblPiNHistorical[[#This Row],[GBV New]]-tblPiNHistorical[[#This Row],[GBV Old]])</f>
        <v/>
      </c>
      <c r="AN202" s="83" t="str">
        <f>IF(OR(tblPiNHistorical[[#This Row],[Mine Action Old]]="", tblPiNHistorical[[#This Row],[Mine Action Old]]=0, tblPiNHistorical[[#This Row],[Mine Action New]]="", tblPiNHistorical[[#This Row],[Mine Action New]]=0), "", tblPiNHistorical[[#This Row],[Mine Action New]]-tblPiNHistorical[[#This Row],[Mine Action Old]])</f>
        <v/>
      </c>
      <c r="AO202" s="136" t="str">
        <f>IF(OR(tblPiNHistorical[[#This Row],[Shelter NFI Old]]="", tblPiNHistorical[[#This Row],[Shelter NFI Old]]=0, tblPiNHistorical[[#This Row],[Shelter NFI New]]="", tblPiNHistorical[[#This Row],[Shelter NFI New]]=0), "", tblPiNHistorical[[#This Row],[Shelter NFI New]]-tblPiNHistorical[[#This Row],[Shelter NFI Old]])</f>
        <v/>
      </c>
      <c r="AP202" s="138" t="str">
        <f>IF(OR(tblPiNHistorical[[#This Row],[WASH Old]]="", tblPiNHistorical[[#This Row],[WASH Old]]=0, tblPiNHistorical[[#This Row],[WASH New]]="", tblPiNHistorical[[#This Row],[WASH New]]=0), "", tblPiNHistorical[[#This Row],[WASH New]]-tblPiNHistorical[[#This Row],[WASH Old]])</f>
        <v/>
      </c>
      <c r="AQ202" s="139" t="str">
        <f>IFERROR(ROUND((tblPiNHistorical[[#This Row],[Site Management - New]] - tblPiNHistorical[[#This Row],[Site Management - Old]])/tblPiNHistorical[[#This Row],[Site Management - Old]], 1), "")</f>
        <v/>
      </c>
      <c r="AR202" s="140" t="str">
        <f>IFERROR(ROUND((tblPiNHistorical[[#This Row],[Education New]]-tblPiNHistorical[[#This Row],[Education Old]])/tblPiNHistorical[[#This Row],[Education Old]], 1), "")</f>
        <v/>
      </c>
      <c r="AS202" s="141" t="str">
        <f>IFERROR(ROUND((tblPiNHistorical[[#This Row],[Food Security and Livlihoods New]]-tblPiNHistorical[[#This Row],[Food Security and Livlihoods Old]])/tblPiNHistorical[[#This Row],[Food Security and Livlihoods Old]], 1), "")</f>
        <v/>
      </c>
      <c r="AT202" s="142" t="str">
        <f>IFERROR(ROUND((tblPiNHistorical[[#This Row],[Health New]]-tblPiNHistorical[[#This Row],[Health Old]])/tblPiNHistorical[[#This Row],[Health Old]], 1), "")</f>
        <v/>
      </c>
      <c r="AU202" s="140" t="str">
        <f>IFERROR(ROUND((tblPiNHistorical[[#This Row],[Nutrition New]]-tblPiNHistorical[[#This Row],[Nutrition Old]])/tblPiNHistorical[[#This Row],[Nutrition Old]], 1), "")</f>
        <v/>
      </c>
      <c r="AV202" s="140" t="str">
        <f>IFERROR(ROUND((tblPiNHistorical[[#This Row],[Protection New]]-tblPiNHistorical[[#This Row],[Protection Old]])/tblPiNHistorical[[#This Row],[Protection Old]], 1), "")</f>
        <v/>
      </c>
      <c r="AW202" s="84" t="str">
        <f>IFERROR(ROUND((tblPiNHistorical[[#This Row],[CP New]]-tblPiNHistorical[[#This Row],[CP Old ]])/tblPiNHistorical[[#This Row],[CP Old ]], 1), "")</f>
        <v/>
      </c>
      <c r="AX202" s="84" t="str">
        <f>IFERROR(ROUND((tblPiNHistorical[[#This Row],[GBV New]]-tblPiNHistorical[[#This Row],[GBV Old]])/tblPiNHistorical[[#This Row],[GBV Old]], 1), "")</f>
        <v/>
      </c>
      <c r="AY202" s="84" t="str">
        <f>IFERROR(ROUND((tblPiNHistorical[[#This Row],[Mine Action New]]-tblPiNHistorical[[#This Row],[Mine Action Old]])/tblPiNHistorical[[#This Row],[Mine Action Old]], 1), "")</f>
        <v/>
      </c>
      <c r="AZ202" s="140" t="str">
        <f>IFERROR(ROUND((tblPiNHistorical[[#This Row],[Shelter NFI New]]-tblPiNHistorical[[#This Row],[Shelter NFI Old]])/tblPiNHistorical[[#This Row],[Shelter NFI Old]], 1), "")</f>
        <v/>
      </c>
      <c r="BA202" s="31" t="str">
        <f>IFERROR(ROUND((tblPiNHistorical[[#This Row],[WASH New]]-tblPiNHistorical[[#This Row],[WASH Old]])/tblPiNHistorical[[#This Row],[WASH Old]], 1), "")</f>
        <v/>
      </c>
      <c r="BB202" s="20"/>
      <c r="BC202" s="46"/>
      <c r="BD202" s="20"/>
      <c r="BE202" s="46"/>
      <c r="BF202" s="20"/>
      <c r="BG202" s="46"/>
      <c r="BI202" s="16"/>
      <c r="BL202" s="16"/>
      <c r="BN202" s="22"/>
      <c r="BO202" s="20"/>
      <c r="BP202" s="16"/>
    </row>
    <row r="203" spans="1:68" ht="38.25" x14ac:dyDescent="0.25">
      <c r="A203"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RefugeesSD08106</v>
      </c>
      <c r="B203" s="134" t="s">
        <v>150</v>
      </c>
      <c r="C203" s="124" t="s">
        <v>125</v>
      </c>
      <c r="D203" s="124" t="s">
        <v>374</v>
      </c>
      <c r="E203" s="59" t="s">
        <v>375</v>
      </c>
      <c r="F203" s="54"/>
      <c r="G203" s="29"/>
      <c r="H203" s="53">
        <v>0</v>
      </c>
      <c r="I203" s="53" t="s">
        <v>90</v>
      </c>
      <c r="J203" s="34">
        <v>0</v>
      </c>
      <c r="K203" s="116">
        <v>0</v>
      </c>
      <c r="L203" s="114">
        <v>0</v>
      </c>
      <c r="M203" s="114">
        <v>0</v>
      </c>
      <c r="N203" s="114">
        <v>0</v>
      </c>
      <c r="O203" s="114">
        <v>0</v>
      </c>
      <c r="P203" s="114">
        <v>0</v>
      </c>
      <c r="Q203" s="114">
        <v>0</v>
      </c>
      <c r="R203" s="114">
        <v>0</v>
      </c>
      <c r="S203" s="114">
        <v>0</v>
      </c>
      <c r="T203" s="196">
        <v>0</v>
      </c>
      <c r="U203" s="52" t="str">
        <f>IFERROR(INDEX(tblPiNAnalysis[[Site Management ]], MATCH(tblPiNHistorical[[#This Row],[ID]], tblPiNAnalysis[ID], 0)), "")</f>
        <v/>
      </c>
      <c r="V203" s="52" t="str">
        <f>IFERROR(INDEX(tblPiNAnalysis[Education], MATCH(tblPiNHistorical[[#This Row],[ID]], tblPiNAnalysis[ID], 0)), "")</f>
        <v/>
      </c>
      <c r="W203" s="28" t="str">
        <f>IFERROR(INDEX(tblPiNAnalysis[Food Security and Livlihoods], MATCH(tblPiNHistorical[[#This Row],[ID]], tblPiNAnalysis[ID], 0)), "")</f>
        <v/>
      </c>
      <c r="X203" s="28" t="str">
        <f>IFERROR(INDEX(tblPiNAnalysis[[Health ]], MATCH(tblPiNHistorical[[#This Row],[ID]], tblPiNAnalysis[ID], 0)), "")</f>
        <v/>
      </c>
      <c r="Y203" s="28" t="str">
        <f>IFERROR(INDEX(tblPiNAnalysis[Nutrition], MATCH(tblPiNHistorical[[#This Row],[ID]], tblPiNAnalysis[ID], 0)), "")</f>
        <v/>
      </c>
      <c r="Z203" s="28" t="str">
        <f>IFERROR(INDEX(tblPiNAnalysis[Protection], MATCH(tblPiNHistorical[[#This Row],[ID]], tblPiNAnalysis[ID], 0)), "")</f>
        <v/>
      </c>
      <c r="AA203" s="28" t="str">
        <f>IFERROR(INDEX(tblPiNAnalysis[CP], MATCH(tblPiNHistorical[[#This Row],[ID]], tblPiNAnalysis[ID], 0)), "")</f>
        <v/>
      </c>
      <c r="AB203" s="83" t="str">
        <f>IFERROR(INDEX(tblPiNAnalysis[GBV], MATCH(tblPiNHistorical[[#This Row],[ID]], tblPiNAnalysis[ID], 0)), "")</f>
        <v/>
      </c>
      <c r="AC203" s="28" t="str">
        <f>IFERROR(INDEX(tblPiNAnalysis[Mine Action], MATCH(tblPiNHistorical[[#This Row],[ID]], tblPiNAnalysis[ID], 0)), "")</f>
        <v/>
      </c>
      <c r="AD203" s="83" t="str">
        <f>IFERROR(INDEX(tblPiNAnalysis[[Shelter NFI ]], MATCH(tblPiNHistorical[[#This Row],[ID]], tblPiNAnalysis[ID], 0)), "")</f>
        <v/>
      </c>
      <c r="AE203" s="28" t="str">
        <f>IFERROR(INDEX(tblPiNAnalysis[WASH], MATCH(tblPiNHistorical[[#This Row],[ID]], tblPiNAnalysis[ID], 0)), "")</f>
        <v/>
      </c>
      <c r="AF203"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203" s="136" t="str">
        <f>IF(OR(tblPiNHistorical[[#This Row],[Education Old]]="", tblPiNHistorical[[#This Row],[Education Old]]=0, tblPiNHistorical[[#This Row],[Education New]]="", tblPiNHistorical[[#This Row],[Education New]]=0), "", tblPiNHistorical[[#This Row],[Education New]]-tblPiNHistorical[[#This Row],[Education Old]])</f>
        <v/>
      </c>
      <c r="AH203"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203" s="137" t="str">
        <f>IF(OR(tblPiNHistorical[[#This Row],[Health Old]]="", tblPiNHistorical[[#This Row],[Health Old]]=0, tblPiNHistorical[[#This Row],[Health New]]="", tblPiNHistorical[[#This Row],[Health New]]=0), "", tblPiNHistorical[[#This Row],[Health New]]-tblPiNHistorical[[#This Row],[Health Old]])</f>
        <v/>
      </c>
      <c r="AJ203" s="136" t="str">
        <f>IF(OR(tblPiNHistorical[[#This Row],[Nutrition Old]]="", tblPiNHistorical[[#This Row],[Nutrition Old]]=0, tblPiNHistorical[[#This Row],[Nutrition New]]="", tblPiNHistorical[[#This Row],[Nutrition New]]=0), "", tblPiNHistorical[[#This Row],[Nutrition New]]-tblPiNHistorical[[#This Row],[Nutrition Old]])</f>
        <v/>
      </c>
      <c r="AK203" s="136" t="str">
        <f>IF(OR(tblPiNHistorical[[#This Row],[Protection Old]]="", tblPiNHistorical[[#This Row],[Protection Old]]=0, tblPiNHistorical[[#This Row],[Protection New]]="", tblPiNHistorical[[#This Row],[Protection New]]=0), "", tblPiNHistorical[[#This Row],[Protection New]]-tblPiNHistorical[[#This Row],[Protection Old]])</f>
        <v/>
      </c>
      <c r="AL203" s="136" t="str">
        <f>IF(OR(tblPiNHistorical[[#This Row],[CP Old ]]="", tblPiNHistorical[[#This Row],[CP Old ]]=0, tblPiNHistorical[[#This Row],[CP New]]="", tblPiNHistorical[[#This Row],[CP New]]=0), "", tblPiNHistorical[[#This Row],[CP New]]-tblPiNHistorical[[#This Row],[CP Old ]])</f>
        <v/>
      </c>
      <c r="AM203" s="83" t="str">
        <f>IF(OR(tblPiNHistorical[[#This Row],[GBV Old]]="", tblPiNHistorical[[#This Row],[GBV Old]]=0, tblPiNHistorical[[#This Row],[GBV New]]="", tblPiNHistorical[[#This Row],[GBV New]]=0), "", tblPiNHistorical[[#This Row],[GBV New]]-tblPiNHistorical[[#This Row],[GBV Old]])</f>
        <v/>
      </c>
      <c r="AN203" s="83" t="str">
        <f>IF(OR(tblPiNHistorical[[#This Row],[Mine Action Old]]="", tblPiNHistorical[[#This Row],[Mine Action Old]]=0, tblPiNHistorical[[#This Row],[Mine Action New]]="", tblPiNHistorical[[#This Row],[Mine Action New]]=0), "", tblPiNHistorical[[#This Row],[Mine Action New]]-tblPiNHistorical[[#This Row],[Mine Action Old]])</f>
        <v/>
      </c>
      <c r="AO203" s="136" t="str">
        <f>IF(OR(tblPiNHistorical[[#This Row],[Shelter NFI Old]]="", tblPiNHistorical[[#This Row],[Shelter NFI Old]]=0, tblPiNHistorical[[#This Row],[Shelter NFI New]]="", tblPiNHistorical[[#This Row],[Shelter NFI New]]=0), "", tblPiNHistorical[[#This Row],[Shelter NFI New]]-tblPiNHistorical[[#This Row],[Shelter NFI Old]])</f>
        <v/>
      </c>
      <c r="AP203" s="138" t="str">
        <f>IF(OR(tblPiNHistorical[[#This Row],[WASH Old]]="", tblPiNHistorical[[#This Row],[WASH Old]]=0, tblPiNHistorical[[#This Row],[WASH New]]="", tblPiNHistorical[[#This Row],[WASH New]]=0), "", tblPiNHistorical[[#This Row],[WASH New]]-tblPiNHistorical[[#This Row],[WASH Old]])</f>
        <v/>
      </c>
      <c r="AQ203" s="139" t="str">
        <f>IFERROR(ROUND((tblPiNHistorical[[#This Row],[Site Management - New]] - tblPiNHistorical[[#This Row],[Site Management - Old]])/tblPiNHistorical[[#This Row],[Site Management - Old]], 1), "")</f>
        <v/>
      </c>
      <c r="AR203" s="140" t="str">
        <f>IFERROR(ROUND((tblPiNHistorical[[#This Row],[Education New]]-tblPiNHistorical[[#This Row],[Education Old]])/tblPiNHistorical[[#This Row],[Education Old]], 1), "")</f>
        <v/>
      </c>
      <c r="AS203" s="141" t="str">
        <f>IFERROR(ROUND((tblPiNHistorical[[#This Row],[Food Security and Livlihoods New]]-tblPiNHistorical[[#This Row],[Food Security and Livlihoods Old]])/tblPiNHistorical[[#This Row],[Food Security and Livlihoods Old]], 1), "")</f>
        <v/>
      </c>
      <c r="AT203" s="142" t="str">
        <f>IFERROR(ROUND((tblPiNHistorical[[#This Row],[Health New]]-tblPiNHistorical[[#This Row],[Health Old]])/tblPiNHistorical[[#This Row],[Health Old]], 1), "")</f>
        <v/>
      </c>
      <c r="AU203" s="140" t="str">
        <f>IFERROR(ROUND((tblPiNHistorical[[#This Row],[Nutrition New]]-tblPiNHistorical[[#This Row],[Nutrition Old]])/tblPiNHistorical[[#This Row],[Nutrition Old]], 1), "")</f>
        <v/>
      </c>
      <c r="AV203" s="140" t="str">
        <f>IFERROR(ROUND((tblPiNHistorical[[#This Row],[Protection New]]-tblPiNHistorical[[#This Row],[Protection Old]])/tblPiNHistorical[[#This Row],[Protection Old]], 1), "")</f>
        <v/>
      </c>
      <c r="AW203" s="84" t="str">
        <f>IFERROR(ROUND((tblPiNHistorical[[#This Row],[CP New]]-tblPiNHistorical[[#This Row],[CP Old ]])/tblPiNHistorical[[#This Row],[CP Old ]], 1), "")</f>
        <v/>
      </c>
      <c r="AX203" s="84" t="str">
        <f>IFERROR(ROUND((tblPiNHistorical[[#This Row],[GBV New]]-tblPiNHistorical[[#This Row],[GBV Old]])/tblPiNHistorical[[#This Row],[GBV Old]], 1), "")</f>
        <v/>
      </c>
      <c r="AY203" s="84" t="str">
        <f>IFERROR(ROUND((tblPiNHistorical[[#This Row],[Mine Action New]]-tblPiNHistorical[[#This Row],[Mine Action Old]])/tblPiNHistorical[[#This Row],[Mine Action Old]], 1), "")</f>
        <v/>
      </c>
      <c r="AZ203" s="140" t="str">
        <f>IFERROR(ROUND((tblPiNHistorical[[#This Row],[Shelter NFI New]]-tblPiNHistorical[[#This Row],[Shelter NFI Old]])/tblPiNHistorical[[#This Row],[Shelter NFI Old]], 1), "")</f>
        <v/>
      </c>
      <c r="BA203" s="31" t="str">
        <f>IFERROR(ROUND((tblPiNHistorical[[#This Row],[WASH New]]-tblPiNHistorical[[#This Row],[WASH Old]])/tblPiNHistorical[[#This Row],[WASH Old]], 1), "")</f>
        <v/>
      </c>
      <c r="BB203" s="20"/>
      <c r="BC203" s="46"/>
      <c r="BD203" s="20"/>
      <c r="BE203" s="46"/>
      <c r="BF203" s="20"/>
      <c r="BG203" s="46"/>
      <c r="BI203" s="16"/>
      <c r="BL203" s="16"/>
      <c r="BN203" s="22"/>
      <c r="BO203" s="20"/>
      <c r="BP203" s="16"/>
    </row>
    <row r="204" spans="1:68" ht="38.25" x14ac:dyDescent="0.25">
      <c r="A204"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RefugeesSD08107</v>
      </c>
      <c r="B204" s="134" t="s">
        <v>150</v>
      </c>
      <c r="C204" s="124" t="s">
        <v>125</v>
      </c>
      <c r="D204" s="124" t="s">
        <v>376</v>
      </c>
      <c r="E204" s="59" t="s">
        <v>377</v>
      </c>
      <c r="F204" s="54"/>
      <c r="G204" s="29"/>
      <c r="H204" s="53">
        <v>1</v>
      </c>
      <c r="I204" s="53" t="s">
        <v>90</v>
      </c>
      <c r="J204" s="34">
        <v>0</v>
      </c>
      <c r="K204" s="116">
        <v>0</v>
      </c>
      <c r="L204" s="114">
        <v>1</v>
      </c>
      <c r="M204" s="114">
        <v>1</v>
      </c>
      <c r="N204" s="114">
        <v>0</v>
      </c>
      <c r="O204" s="114">
        <v>1</v>
      </c>
      <c r="P204" s="114">
        <v>8.9999999999999993E-3</v>
      </c>
      <c r="Q204" s="114">
        <v>8.5000000000000006E-2</v>
      </c>
      <c r="R204" s="114">
        <v>0</v>
      </c>
      <c r="S204" s="114">
        <v>0</v>
      </c>
      <c r="T204" s="196">
        <v>1</v>
      </c>
      <c r="U204" s="52" t="str">
        <f>IFERROR(INDEX(tblPiNAnalysis[[Site Management ]], MATCH(tblPiNHistorical[[#This Row],[ID]], tblPiNAnalysis[ID], 0)), "")</f>
        <v/>
      </c>
      <c r="V204" s="52" t="str">
        <f>IFERROR(INDEX(tblPiNAnalysis[Education], MATCH(tblPiNHistorical[[#This Row],[ID]], tblPiNAnalysis[ID], 0)), "")</f>
        <v/>
      </c>
      <c r="W204" s="28" t="str">
        <f>IFERROR(INDEX(tblPiNAnalysis[Food Security and Livlihoods], MATCH(tblPiNHistorical[[#This Row],[ID]], tblPiNAnalysis[ID], 0)), "")</f>
        <v/>
      </c>
      <c r="X204" s="28" t="str">
        <f>IFERROR(INDEX(tblPiNAnalysis[[Health ]], MATCH(tblPiNHistorical[[#This Row],[ID]], tblPiNAnalysis[ID], 0)), "")</f>
        <v/>
      </c>
      <c r="Y204" s="28" t="str">
        <f>IFERROR(INDEX(tblPiNAnalysis[Nutrition], MATCH(tblPiNHistorical[[#This Row],[ID]], tblPiNAnalysis[ID], 0)), "")</f>
        <v/>
      </c>
      <c r="Z204" s="28" t="str">
        <f>IFERROR(INDEX(tblPiNAnalysis[Protection], MATCH(tblPiNHistorical[[#This Row],[ID]], tblPiNAnalysis[ID], 0)), "")</f>
        <v/>
      </c>
      <c r="AA204" s="28" t="str">
        <f>IFERROR(INDEX(tblPiNAnalysis[CP], MATCH(tblPiNHistorical[[#This Row],[ID]], tblPiNAnalysis[ID], 0)), "")</f>
        <v/>
      </c>
      <c r="AB204" s="83" t="str">
        <f>IFERROR(INDEX(tblPiNAnalysis[GBV], MATCH(tblPiNHistorical[[#This Row],[ID]], tblPiNAnalysis[ID], 0)), "")</f>
        <v/>
      </c>
      <c r="AC204" s="28" t="str">
        <f>IFERROR(INDEX(tblPiNAnalysis[Mine Action], MATCH(tblPiNHistorical[[#This Row],[ID]], tblPiNAnalysis[ID], 0)), "")</f>
        <v/>
      </c>
      <c r="AD204" s="83" t="str">
        <f>IFERROR(INDEX(tblPiNAnalysis[[Shelter NFI ]], MATCH(tblPiNHistorical[[#This Row],[ID]], tblPiNAnalysis[ID], 0)), "")</f>
        <v/>
      </c>
      <c r="AE204" s="28" t="str">
        <f>IFERROR(INDEX(tblPiNAnalysis[WASH], MATCH(tblPiNHistorical[[#This Row],[ID]], tblPiNAnalysis[ID], 0)), "")</f>
        <v/>
      </c>
      <c r="AF204"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204" s="136" t="str">
        <f>IF(OR(tblPiNHistorical[[#This Row],[Education Old]]="", tblPiNHistorical[[#This Row],[Education Old]]=0, tblPiNHistorical[[#This Row],[Education New]]="", tblPiNHistorical[[#This Row],[Education New]]=0), "", tblPiNHistorical[[#This Row],[Education New]]-tblPiNHistorical[[#This Row],[Education Old]])</f>
        <v/>
      </c>
      <c r="AH204"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204" s="137" t="str">
        <f>IF(OR(tblPiNHistorical[[#This Row],[Health Old]]="", tblPiNHistorical[[#This Row],[Health Old]]=0, tblPiNHistorical[[#This Row],[Health New]]="", tblPiNHistorical[[#This Row],[Health New]]=0), "", tblPiNHistorical[[#This Row],[Health New]]-tblPiNHistorical[[#This Row],[Health Old]])</f>
        <v/>
      </c>
      <c r="AJ204" s="136" t="str">
        <f>IF(OR(tblPiNHistorical[[#This Row],[Nutrition Old]]="", tblPiNHistorical[[#This Row],[Nutrition Old]]=0, tblPiNHistorical[[#This Row],[Nutrition New]]="", tblPiNHistorical[[#This Row],[Nutrition New]]=0), "", tblPiNHistorical[[#This Row],[Nutrition New]]-tblPiNHistorical[[#This Row],[Nutrition Old]])</f>
        <v/>
      </c>
      <c r="AK204" s="136" t="str">
        <f>IF(OR(tblPiNHistorical[[#This Row],[Protection Old]]="", tblPiNHistorical[[#This Row],[Protection Old]]=0, tblPiNHistorical[[#This Row],[Protection New]]="", tblPiNHistorical[[#This Row],[Protection New]]=0), "", tblPiNHistorical[[#This Row],[Protection New]]-tblPiNHistorical[[#This Row],[Protection Old]])</f>
        <v/>
      </c>
      <c r="AL204" s="136" t="str">
        <f>IF(OR(tblPiNHistorical[[#This Row],[CP Old ]]="", tblPiNHistorical[[#This Row],[CP Old ]]=0, tblPiNHistorical[[#This Row],[CP New]]="", tblPiNHistorical[[#This Row],[CP New]]=0), "", tblPiNHistorical[[#This Row],[CP New]]-tblPiNHistorical[[#This Row],[CP Old ]])</f>
        <v/>
      </c>
      <c r="AM204" s="83" t="str">
        <f>IF(OR(tblPiNHistorical[[#This Row],[GBV Old]]="", tblPiNHistorical[[#This Row],[GBV Old]]=0, tblPiNHistorical[[#This Row],[GBV New]]="", tblPiNHistorical[[#This Row],[GBV New]]=0), "", tblPiNHistorical[[#This Row],[GBV New]]-tblPiNHistorical[[#This Row],[GBV Old]])</f>
        <v/>
      </c>
      <c r="AN204" s="83" t="str">
        <f>IF(OR(tblPiNHistorical[[#This Row],[Mine Action Old]]="", tblPiNHistorical[[#This Row],[Mine Action Old]]=0, tblPiNHistorical[[#This Row],[Mine Action New]]="", tblPiNHistorical[[#This Row],[Mine Action New]]=0), "", tblPiNHistorical[[#This Row],[Mine Action New]]-tblPiNHistorical[[#This Row],[Mine Action Old]])</f>
        <v/>
      </c>
      <c r="AO204" s="136" t="str">
        <f>IF(OR(tblPiNHistorical[[#This Row],[Shelter NFI Old]]="", tblPiNHistorical[[#This Row],[Shelter NFI Old]]=0, tblPiNHistorical[[#This Row],[Shelter NFI New]]="", tblPiNHistorical[[#This Row],[Shelter NFI New]]=0), "", tblPiNHistorical[[#This Row],[Shelter NFI New]]-tblPiNHistorical[[#This Row],[Shelter NFI Old]])</f>
        <v/>
      </c>
      <c r="AP204" s="138" t="str">
        <f>IF(OR(tblPiNHistorical[[#This Row],[WASH Old]]="", tblPiNHistorical[[#This Row],[WASH Old]]=0, tblPiNHistorical[[#This Row],[WASH New]]="", tblPiNHistorical[[#This Row],[WASH New]]=0), "", tblPiNHistorical[[#This Row],[WASH New]]-tblPiNHistorical[[#This Row],[WASH Old]])</f>
        <v/>
      </c>
      <c r="AQ204" s="139" t="str">
        <f>IFERROR(ROUND((tblPiNHistorical[[#This Row],[Site Management - New]] - tblPiNHistorical[[#This Row],[Site Management - Old]])/tblPiNHistorical[[#This Row],[Site Management - Old]], 1), "")</f>
        <v/>
      </c>
      <c r="AR204" s="140" t="str">
        <f>IFERROR(ROUND((tblPiNHistorical[[#This Row],[Education New]]-tblPiNHistorical[[#This Row],[Education Old]])/tblPiNHistorical[[#This Row],[Education Old]], 1), "")</f>
        <v/>
      </c>
      <c r="AS204" s="141" t="str">
        <f>IFERROR(ROUND((tblPiNHistorical[[#This Row],[Food Security and Livlihoods New]]-tblPiNHistorical[[#This Row],[Food Security and Livlihoods Old]])/tblPiNHistorical[[#This Row],[Food Security and Livlihoods Old]], 1), "")</f>
        <v/>
      </c>
      <c r="AT204" s="142" t="str">
        <f>IFERROR(ROUND((tblPiNHistorical[[#This Row],[Health New]]-tblPiNHistorical[[#This Row],[Health Old]])/tblPiNHistorical[[#This Row],[Health Old]], 1), "")</f>
        <v/>
      </c>
      <c r="AU204" s="140" t="str">
        <f>IFERROR(ROUND((tblPiNHistorical[[#This Row],[Nutrition New]]-tblPiNHistorical[[#This Row],[Nutrition Old]])/tblPiNHistorical[[#This Row],[Nutrition Old]], 1), "")</f>
        <v/>
      </c>
      <c r="AV204" s="140" t="str">
        <f>IFERROR(ROUND((tblPiNHistorical[[#This Row],[Protection New]]-tblPiNHistorical[[#This Row],[Protection Old]])/tblPiNHistorical[[#This Row],[Protection Old]], 1), "")</f>
        <v/>
      </c>
      <c r="AW204" s="84" t="str">
        <f>IFERROR(ROUND((tblPiNHistorical[[#This Row],[CP New]]-tblPiNHistorical[[#This Row],[CP Old ]])/tblPiNHistorical[[#This Row],[CP Old ]], 1), "")</f>
        <v/>
      </c>
      <c r="AX204" s="84" t="str">
        <f>IFERROR(ROUND((tblPiNHistorical[[#This Row],[GBV New]]-tblPiNHistorical[[#This Row],[GBV Old]])/tblPiNHistorical[[#This Row],[GBV Old]], 1), "")</f>
        <v/>
      </c>
      <c r="AY204" s="84" t="str">
        <f>IFERROR(ROUND((tblPiNHistorical[[#This Row],[Mine Action New]]-tblPiNHistorical[[#This Row],[Mine Action Old]])/tblPiNHistorical[[#This Row],[Mine Action Old]], 1), "")</f>
        <v/>
      </c>
      <c r="AZ204" s="140" t="str">
        <f>IFERROR(ROUND((tblPiNHistorical[[#This Row],[Shelter NFI New]]-tblPiNHistorical[[#This Row],[Shelter NFI Old]])/tblPiNHistorical[[#This Row],[Shelter NFI Old]], 1), "")</f>
        <v/>
      </c>
      <c r="BA204" s="31" t="str">
        <f>IFERROR(ROUND((tblPiNHistorical[[#This Row],[WASH New]]-tblPiNHistorical[[#This Row],[WASH Old]])/tblPiNHistorical[[#This Row],[WASH Old]], 1), "")</f>
        <v/>
      </c>
      <c r="BB204" s="20"/>
      <c r="BC204" s="46"/>
      <c r="BD204" s="20"/>
      <c r="BE204" s="46"/>
      <c r="BF204" s="20"/>
      <c r="BG204" s="46"/>
      <c r="BI204" s="16"/>
      <c r="BL204" s="16"/>
      <c r="BN204" s="22"/>
      <c r="BO204" s="20"/>
      <c r="BP204" s="16"/>
    </row>
    <row r="205" spans="1:68" ht="38.25" x14ac:dyDescent="0.25">
      <c r="A205"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RefugeesSD08108</v>
      </c>
      <c r="B205" s="134" t="s">
        <v>150</v>
      </c>
      <c r="C205" s="124" t="s">
        <v>125</v>
      </c>
      <c r="D205" s="124" t="s">
        <v>378</v>
      </c>
      <c r="E205" s="59" t="s">
        <v>379</v>
      </c>
      <c r="F205" s="54"/>
      <c r="G205" s="29"/>
      <c r="H205" s="53">
        <v>0</v>
      </c>
      <c r="I205" s="53" t="s">
        <v>90</v>
      </c>
      <c r="J205" s="34">
        <v>0</v>
      </c>
      <c r="K205" s="116">
        <v>0</v>
      </c>
      <c r="L205" s="114">
        <v>0</v>
      </c>
      <c r="M205" s="114">
        <v>0</v>
      </c>
      <c r="N205" s="114">
        <v>0</v>
      </c>
      <c r="O205" s="114">
        <v>0</v>
      </c>
      <c r="P205" s="114">
        <v>0</v>
      </c>
      <c r="Q205" s="114">
        <v>0</v>
      </c>
      <c r="R205" s="114">
        <v>0</v>
      </c>
      <c r="S205" s="114">
        <v>0</v>
      </c>
      <c r="T205" s="196">
        <v>0</v>
      </c>
      <c r="U205" s="52" t="str">
        <f>IFERROR(INDEX(tblPiNAnalysis[[Site Management ]], MATCH(tblPiNHistorical[[#This Row],[ID]], tblPiNAnalysis[ID], 0)), "")</f>
        <v/>
      </c>
      <c r="V205" s="52" t="str">
        <f>IFERROR(INDEX(tblPiNAnalysis[Education], MATCH(tblPiNHistorical[[#This Row],[ID]], tblPiNAnalysis[ID], 0)), "")</f>
        <v/>
      </c>
      <c r="W205" s="28" t="str">
        <f>IFERROR(INDEX(tblPiNAnalysis[Food Security and Livlihoods], MATCH(tblPiNHistorical[[#This Row],[ID]], tblPiNAnalysis[ID], 0)), "")</f>
        <v/>
      </c>
      <c r="X205" s="28" t="str">
        <f>IFERROR(INDEX(tblPiNAnalysis[[Health ]], MATCH(tblPiNHistorical[[#This Row],[ID]], tblPiNAnalysis[ID], 0)), "")</f>
        <v/>
      </c>
      <c r="Y205" s="28" t="str">
        <f>IFERROR(INDEX(tblPiNAnalysis[Nutrition], MATCH(tblPiNHistorical[[#This Row],[ID]], tblPiNAnalysis[ID], 0)), "")</f>
        <v/>
      </c>
      <c r="Z205" s="28" t="str">
        <f>IFERROR(INDEX(tblPiNAnalysis[Protection], MATCH(tblPiNHistorical[[#This Row],[ID]], tblPiNAnalysis[ID], 0)), "")</f>
        <v/>
      </c>
      <c r="AA205" s="28" t="str">
        <f>IFERROR(INDEX(tblPiNAnalysis[CP], MATCH(tblPiNHistorical[[#This Row],[ID]], tblPiNAnalysis[ID], 0)), "")</f>
        <v/>
      </c>
      <c r="AB205" s="83" t="str">
        <f>IFERROR(INDEX(tblPiNAnalysis[GBV], MATCH(tblPiNHistorical[[#This Row],[ID]], tblPiNAnalysis[ID], 0)), "")</f>
        <v/>
      </c>
      <c r="AC205" s="28" t="str">
        <f>IFERROR(INDEX(tblPiNAnalysis[Mine Action], MATCH(tblPiNHistorical[[#This Row],[ID]], tblPiNAnalysis[ID], 0)), "")</f>
        <v/>
      </c>
      <c r="AD205" s="83" t="str">
        <f>IFERROR(INDEX(tblPiNAnalysis[[Shelter NFI ]], MATCH(tblPiNHistorical[[#This Row],[ID]], tblPiNAnalysis[ID], 0)), "")</f>
        <v/>
      </c>
      <c r="AE205" s="28" t="str">
        <f>IFERROR(INDEX(tblPiNAnalysis[WASH], MATCH(tblPiNHistorical[[#This Row],[ID]], tblPiNAnalysis[ID], 0)), "")</f>
        <v/>
      </c>
      <c r="AF205"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205" s="136" t="str">
        <f>IF(OR(tblPiNHistorical[[#This Row],[Education Old]]="", tblPiNHistorical[[#This Row],[Education Old]]=0, tblPiNHistorical[[#This Row],[Education New]]="", tblPiNHistorical[[#This Row],[Education New]]=0), "", tblPiNHistorical[[#This Row],[Education New]]-tblPiNHistorical[[#This Row],[Education Old]])</f>
        <v/>
      </c>
      <c r="AH205"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205" s="137" t="str">
        <f>IF(OR(tblPiNHistorical[[#This Row],[Health Old]]="", tblPiNHistorical[[#This Row],[Health Old]]=0, tblPiNHistorical[[#This Row],[Health New]]="", tblPiNHistorical[[#This Row],[Health New]]=0), "", tblPiNHistorical[[#This Row],[Health New]]-tblPiNHistorical[[#This Row],[Health Old]])</f>
        <v/>
      </c>
      <c r="AJ205" s="136" t="str">
        <f>IF(OR(tblPiNHistorical[[#This Row],[Nutrition Old]]="", tblPiNHistorical[[#This Row],[Nutrition Old]]=0, tblPiNHistorical[[#This Row],[Nutrition New]]="", tblPiNHistorical[[#This Row],[Nutrition New]]=0), "", tblPiNHistorical[[#This Row],[Nutrition New]]-tblPiNHistorical[[#This Row],[Nutrition Old]])</f>
        <v/>
      </c>
      <c r="AK205" s="136" t="str">
        <f>IF(OR(tblPiNHistorical[[#This Row],[Protection Old]]="", tblPiNHistorical[[#This Row],[Protection Old]]=0, tblPiNHistorical[[#This Row],[Protection New]]="", tblPiNHistorical[[#This Row],[Protection New]]=0), "", tblPiNHistorical[[#This Row],[Protection New]]-tblPiNHistorical[[#This Row],[Protection Old]])</f>
        <v/>
      </c>
      <c r="AL205" s="136" t="str">
        <f>IF(OR(tblPiNHistorical[[#This Row],[CP Old ]]="", tblPiNHistorical[[#This Row],[CP Old ]]=0, tblPiNHistorical[[#This Row],[CP New]]="", tblPiNHistorical[[#This Row],[CP New]]=0), "", tblPiNHistorical[[#This Row],[CP New]]-tblPiNHistorical[[#This Row],[CP Old ]])</f>
        <v/>
      </c>
      <c r="AM205" s="83" t="str">
        <f>IF(OR(tblPiNHistorical[[#This Row],[GBV Old]]="", tblPiNHistorical[[#This Row],[GBV Old]]=0, tblPiNHistorical[[#This Row],[GBV New]]="", tblPiNHistorical[[#This Row],[GBV New]]=0), "", tblPiNHistorical[[#This Row],[GBV New]]-tblPiNHistorical[[#This Row],[GBV Old]])</f>
        <v/>
      </c>
      <c r="AN205" s="83" t="str">
        <f>IF(OR(tblPiNHistorical[[#This Row],[Mine Action Old]]="", tblPiNHistorical[[#This Row],[Mine Action Old]]=0, tblPiNHistorical[[#This Row],[Mine Action New]]="", tblPiNHistorical[[#This Row],[Mine Action New]]=0), "", tblPiNHistorical[[#This Row],[Mine Action New]]-tblPiNHistorical[[#This Row],[Mine Action Old]])</f>
        <v/>
      </c>
      <c r="AO205" s="136" t="str">
        <f>IF(OR(tblPiNHistorical[[#This Row],[Shelter NFI Old]]="", tblPiNHistorical[[#This Row],[Shelter NFI Old]]=0, tblPiNHistorical[[#This Row],[Shelter NFI New]]="", tblPiNHistorical[[#This Row],[Shelter NFI New]]=0), "", tblPiNHistorical[[#This Row],[Shelter NFI New]]-tblPiNHistorical[[#This Row],[Shelter NFI Old]])</f>
        <v/>
      </c>
      <c r="AP205" s="138" t="str">
        <f>IF(OR(tblPiNHistorical[[#This Row],[WASH Old]]="", tblPiNHistorical[[#This Row],[WASH Old]]=0, tblPiNHistorical[[#This Row],[WASH New]]="", tblPiNHistorical[[#This Row],[WASH New]]=0), "", tblPiNHistorical[[#This Row],[WASH New]]-tblPiNHistorical[[#This Row],[WASH Old]])</f>
        <v/>
      </c>
      <c r="AQ205" s="139" t="str">
        <f>IFERROR(ROUND((tblPiNHistorical[[#This Row],[Site Management - New]] - tblPiNHistorical[[#This Row],[Site Management - Old]])/tblPiNHistorical[[#This Row],[Site Management - Old]], 1), "")</f>
        <v/>
      </c>
      <c r="AR205" s="140" t="str">
        <f>IFERROR(ROUND((tblPiNHistorical[[#This Row],[Education New]]-tblPiNHistorical[[#This Row],[Education Old]])/tblPiNHistorical[[#This Row],[Education Old]], 1), "")</f>
        <v/>
      </c>
      <c r="AS205" s="141" t="str">
        <f>IFERROR(ROUND((tblPiNHistorical[[#This Row],[Food Security and Livlihoods New]]-tblPiNHistorical[[#This Row],[Food Security and Livlihoods Old]])/tblPiNHistorical[[#This Row],[Food Security and Livlihoods Old]], 1), "")</f>
        <v/>
      </c>
      <c r="AT205" s="142" t="str">
        <f>IFERROR(ROUND((tblPiNHistorical[[#This Row],[Health New]]-tblPiNHistorical[[#This Row],[Health Old]])/tblPiNHistorical[[#This Row],[Health Old]], 1), "")</f>
        <v/>
      </c>
      <c r="AU205" s="140" t="str">
        <f>IFERROR(ROUND((tblPiNHistorical[[#This Row],[Nutrition New]]-tblPiNHistorical[[#This Row],[Nutrition Old]])/tblPiNHistorical[[#This Row],[Nutrition Old]], 1), "")</f>
        <v/>
      </c>
      <c r="AV205" s="140" t="str">
        <f>IFERROR(ROUND((tblPiNHistorical[[#This Row],[Protection New]]-tblPiNHistorical[[#This Row],[Protection Old]])/tblPiNHistorical[[#This Row],[Protection Old]], 1), "")</f>
        <v/>
      </c>
      <c r="AW205" s="84" t="str">
        <f>IFERROR(ROUND((tblPiNHistorical[[#This Row],[CP New]]-tblPiNHistorical[[#This Row],[CP Old ]])/tblPiNHistorical[[#This Row],[CP Old ]], 1), "")</f>
        <v/>
      </c>
      <c r="AX205" s="84" t="str">
        <f>IFERROR(ROUND((tblPiNHistorical[[#This Row],[GBV New]]-tblPiNHistorical[[#This Row],[GBV Old]])/tblPiNHistorical[[#This Row],[GBV Old]], 1), "")</f>
        <v/>
      </c>
      <c r="AY205" s="84" t="str">
        <f>IFERROR(ROUND((tblPiNHistorical[[#This Row],[Mine Action New]]-tblPiNHistorical[[#This Row],[Mine Action Old]])/tblPiNHistorical[[#This Row],[Mine Action Old]], 1), "")</f>
        <v/>
      </c>
      <c r="AZ205" s="140" t="str">
        <f>IFERROR(ROUND((tblPiNHistorical[[#This Row],[Shelter NFI New]]-tblPiNHistorical[[#This Row],[Shelter NFI Old]])/tblPiNHistorical[[#This Row],[Shelter NFI Old]], 1), "")</f>
        <v/>
      </c>
      <c r="BA205" s="31" t="str">
        <f>IFERROR(ROUND((tblPiNHistorical[[#This Row],[WASH New]]-tblPiNHistorical[[#This Row],[WASH Old]])/tblPiNHistorical[[#This Row],[WASH Old]], 1), "")</f>
        <v/>
      </c>
      <c r="BB205" s="20"/>
      <c r="BC205" s="46"/>
      <c r="BD205" s="20"/>
      <c r="BE205" s="46"/>
      <c r="BF205" s="20"/>
      <c r="BG205" s="46"/>
      <c r="BI205" s="16"/>
      <c r="BL205" s="16"/>
      <c r="BN205" s="22"/>
      <c r="BO205" s="20"/>
      <c r="BP205" s="16"/>
    </row>
    <row r="206" spans="1:68" ht="38.25" x14ac:dyDescent="0.25">
      <c r="A206"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RefugeesSD08104</v>
      </c>
      <c r="B206" s="134" t="s">
        <v>150</v>
      </c>
      <c r="C206" s="124" t="s">
        <v>125</v>
      </c>
      <c r="D206" s="124" t="s">
        <v>370</v>
      </c>
      <c r="E206" s="59" t="s">
        <v>371</v>
      </c>
      <c r="F206" s="54"/>
      <c r="G206" s="29"/>
      <c r="H206" s="53">
        <v>0</v>
      </c>
      <c r="I206" s="53" t="s">
        <v>90</v>
      </c>
      <c r="J206" s="34">
        <v>0</v>
      </c>
      <c r="K206" s="116">
        <v>0</v>
      </c>
      <c r="L206" s="114">
        <v>0</v>
      </c>
      <c r="M206" s="114">
        <v>0</v>
      </c>
      <c r="N206" s="114">
        <v>0</v>
      </c>
      <c r="O206" s="114">
        <v>0</v>
      </c>
      <c r="P206" s="114">
        <v>0</v>
      </c>
      <c r="Q206" s="114">
        <v>0</v>
      </c>
      <c r="R206" s="114">
        <v>0</v>
      </c>
      <c r="S206" s="114">
        <v>0</v>
      </c>
      <c r="T206" s="196">
        <v>0</v>
      </c>
      <c r="U206" s="52" t="str">
        <f>IFERROR(INDEX(tblPiNAnalysis[[Site Management ]], MATCH(tblPiNHistorical[[#This Row],[ID]], tblPiNAnalysis[ID], 0)), "")</f>
        <v/>
      </c>
      <c r="V206" s="52" t="str">
        <f>IFERROR(INDEX(tblPiNAnalysis[Education], MATCH(tblPiNHistorical[[#This Row],[ID]], tblPiNAnalysis[ID], 0)), "")</f>
        <v/>
      </c>
      <c r="W206" s="28" t="str">
        <f>IFERROR(INDEX(tblPiNAnalysis[Food Security and Livlihoods], MATCH(tblPiNHistorical[[#This Row],[ID]], tblPiNAnalysis[ID], 0)), "")</f>
        <v/>
      </c>
      <c r="X206" s="28" t="str">
        <f>IFERROR(INDEX(tblPiNAnalysis[[Health ]], MATCH(tblPiNHistorical[[#This Row],[ID]], tblPiNAnalysis[ID], 0)), "")</f>
        <v/>
      </c>
      <c r="Y206" s="28" t="str">
        <f>IFERROR(INDEX(tblPiNAnalysis[Nutrition], MATCH(tblPiNHistorical[[#This Row],[ID]], tblPiNAnalysis[ID], 0)), "")</f>
        <v/>
      </c>
      <c r="Z206" s="28" t="str">
        <f>IFERROR(INDEX(tblPiNAnalysis[Protection], MATCH(tblPiNHistorical[[#This Row],[ID]], tblPiNAnalysis[ID], 0)), "")</f>
        <v/>
      </c>
      <c r="AA206" s="28" t="str">
        <f>IFERROR(INDEX(tblPiNAnalysis[CP], MATCH(tblPiNHistorical[[#This Row],[ID]], tblPiNAnalysis[ID], 0)), "")</f>
        <v/>
      </c>
      <c r="AB206" s="83" t="str">
        <f>IFERROR(INDEX(tblPiNAnalysis[GBV], MATCH(tblPiNHistorical[[#This Row],[ID]], tblPiNAnalysis[ID], 0)), "")</f>
        <v/>
      </c>
      <c r="AC206" s="28" t="str">
        <f>IFERROR(INDEX(tblPiNAnalysis[Mine Action], MATCH(tblPiNHistorical[[#This Row],[ID]], tblPiNAnalysis[ID], 0)), "")</f>
        <v/>
      </c>
      <c r="AD206" s="83" t="str">
        <f>IFERROR(INDEX(tblPiNAnalysis[[Shelter NFI ]], MATCH(tblPiNHistorical[[#This Row],[ID]], tblPiNAnalysis[ID], 0)), "")</f>
        <v/>
      </c>
      <c r="AE206" s="28" t="str">
        <f>IFERROR(INDEX(tblPiNAnalysis[WASH], MATCH(tblPiNHistorical[[#This Row],[ID]], tblPiNAnalysis[ID], 0)), "")</f>
        <v/>
      </c>
      <c r="AF206"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206" s="136" t="str">
        <f>IF(OR(tblPiNHistorical[[#This Row],[Education Old]]="", tblPiNHistorical[[#This Row],[Education Old]]=0, tblPiNHistorical[[#This Row],[Education New]]="", tblPiNHistorical[[#This Row],[Education New]]=0), "", tblPiNHistorical[[#This Row],[Education New]]-tblPiNHistorical[[#This Row],[Education Old]])</f>
        <v/>
      </c>
      <c r="AH206"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206" s="137" t="str">
        <f>IF(OR(tblPiNHistorical[[#This Row],[Health Old]]="", tblPiNHistorical[[#This Row],[Health Old]]=0, tblPiNHistorical[[#This Row],[Health New]]="", tblPiNHistorical[[#This Row],[Health New]]=0), "", tblPiNHistorical[[#This Row],[Health New]]-tblPiNHistorical[[#This Row],[Health Old]])</f>
        <v/>
      </c>
      <c r="AJ206" s="136" t="str">
        <f>IF(OR(tblPiNHistorical[[#This Row],[Nutrition Old]]="", tblPiNHistorical[[#This Row],[Nutrition Old]]=0, tblPiNHistorical[[#This Row],[Nutrition New]]="", tblPiNHistorical[[#This Row],[Nutrition New]]=0), "", tblPiNHistorical[[#This Row],[Nutrition New]]-tblPiNHistorical[[#This Row],[Nutrition Old]])</f>
        <v/>
      </c>
      <c r="AK206" s="136" t="str">
        <f>IF(OR(tblPiNHistorical[[#This Row],[Protection Old]]="", tblPiNHistorical[[#This Row],[Protection Old]]=0, tblPiNHistorical[[#This Row],[Protection New]]="", tblPiNHistorical[[#This Row],[Protection New]]=0), "", tblPiNHistorical[[#This Row],[Protection New]]-tblPiNHistorical[[#This Row],[Protection Old]])</f>
        <v/>
      </c>
      <c r="AL206" s="136" t="str">
        <f>IF(OR(tblPiNHistorical[[#This Row],[CP Old ]]="", tblPiNHistorical[[#This Row],[CP Old ]]=0, tblPiNHistorical[[#This Row],[CP New]]="", tblPiNHistorical[[#This Row],[CP New]]=0), "", tblPiNHistorical[[#This Row],[CP New]]-tblPiNHistorical[[#This Row],[CP Old ]])</f>
        <v/>
      </c>
      <c r="AM206" s="83" t="str">
        <f>IF(OR(tblPiNHistorical[[#This Row],[GBV Old]]="", tblPiNHistorical[[#This Row],[GBV Old]]=0, tblPiNHistorical[[#This Row],[GBV New]]="", tblPiNHistorical[[#This Row],[GBV New]]=0), "", tblPiNHistorical[[#This Row],[GBV New]]-tblPiNHistorical[[#This Row],[GBV Old]])</f>
        <v/>
      </c>
      <c r="AN206" s="83" t="str">
        <f>IF(OR(tblPiNHistorical[[#This Row],[Mine Action Old]]="", tblPiNHistorical[[#This Row],[Mine Action Old]]=0, tblPiNHistorical[[#This Row],[Mine Action New]]="", tblPiNHistorical[[#This Row],[Mine Action New]]=0), "", tblPiNHistorical[[#This Row],[Mine Action New]]-tblPiNHistorical[[#This Row],[Mine Action Old]])</f>
        <v/>
      </c>
      <c r="AO206" s="136" t="str">
        <f>IF(OR(tblPiNHistorical[[#This Row],[Shelter NFI Old]]="", tblPiNHistorical[[#This Row],[Shelter NFI Old]]=0, tblPiNHistorical[[#This Row],[Shelter NFI New]]="", tblPiNHistorical[[#This Row],[Shelter NFI New]]=0), "", tblPiNHistorical[[#This Row],[Shelter NFI New]]-tblPiNHistorical[[#This Row],[Shelter NFI Old]])</f>
        <v/>
      </c>
      <c r="AP206" s="138" t="str">
        <f>IF(OR(tblPiNHistorical[[#This Row],[WASH Old]]="", tblPiNHistorical[[#This Row],[WASH Old]]=0, tblPiNHistorical[[#This Row],[WASH New]]="", tblPiNHistorical[[#This Row],[WASH New]]=0), "", tblPiNHistorical[[#This Row],[WASH New]]-tblPiNHistorical[[#This Row],[WASH Old]])</f>
        <v/>
      </c>
      <c r="AQ206" s="139" t="str">
        <f>IFERROR(ROUND((tblPiNHistorical[[#This Row],[Site Management - New]] - tblPiNHistorical[[#This Row],[Site Management - Old]])/tblPiNHistorical[[#This Row],[Site Management - Old]], 1), "")</f>
        <v/>
      </c>
      <c r="AR206" s="140" t="str">
        <f>IFERROR(ROUND((tblPiNHistorical[[#This Row],[Education New]]-tblPiNHistorical[[#This Row],[Education Old]])/tblPiNHistorical[[#This Row],[Education Old]], 1), "")</f>
        <v/>
      </c>
      <c r="AS206" s="141" t="str">
        <f>IFERROR(ROUND((tblPiNHistorical[[#This Row],[Food Security and Livlihoods New]]-tblPiNHistorical[[#This Row],[Food Security and Livlihoods Old]])/tblPiNHistorical[[#This Row],[Food Security and Livlihoods Old]], 1), "")</f>
        <v/>
      </c>
      <c r="AT206" s="142" t="str">
        <f>IFERROR(ROUND((tblPiNHistorical[[#This Row],[Health New]]-tblPiNHistorical[[#This Row],[Health Old]])/tblPiNHistorical[[#This Row],[Health Old]], 1), "")</f>
        <v/>
      </c>
      <c r="AU206" s="140" t="str">
        <f>IFERROR(ROUND((tblPiNHistorical[[#This Row],[Nutrition New]]-tblPiNHistorical[[#This Row],[Nutrition Old]])/tblPiNHistorical[[#This Row],[Nutrition Old]], 1), "")</f>
        <v/>
      </c>
      <c r="AV206" s="140" t="str">
        <f>IFERROR(ROUND((tblPiNHistorical[[#This Row],[Protection New]]-tblPiNHistorical[[#This Row],[Protection Old]])/tblPiNHistorical[[#This Row],[Protection Old]], 1), "")</f>
        <v/>
      </c>
      <c r="AW206" s="84" t="str">
        <f>IFERROR(ROUND((tblPiNHistorical[[#This Row],[CP New]]-tblPiNHistorical[[#This Row],[CP Old ]])/tblPiNHistorical[[#This Row],[CP Old ]], 1), "")</f>
        <v/>
      </c>
      <c r="AX206" s="84" t="str">
        <f>IFERROR(ROUND((tblPiNHistorical[[#This Row],[GBV New]]-tblPiNHistorical[[#This Row],[GBV Old]])/tblPiNHistorical[[#This Row],[GBV Old]], 1), "")</f>
        <v/>
      </c>
      <c r="AY206" s="84" t="str">
        <f>IFERROR(ROUND((tblPiNHistorical[[#This Row],[Mine Action New]]-tblPiNHistorical[[#This Row],[Mine Action Old]])/tblPiNHistorical[[#This Row],[Mine Action Old]], 1), "")</f>
        <v/>
      </c>
      <c r="AZ206" s="140" t="str">
        <f>IFERROR(ROUND((tblPiNHistorical[[#This Row],[Shelter NFI New]]-tblPiNHistorical[[#This Row],[Shelter NFI Old]])/tblPiNHistorical[[#This Row],[Shelter NFI Old]], 1), "")</f>
        <v/>
      </c>
      <c r="BA206" s="31" t="str">
        <f>IFERROR(ROUND((tblPiNHistorical[[#This Row],[WASH New]]-tblPiNHistorical[[#This Row],[WASH Old]])/tblPiNHistorical[[#This Row],[WASH Old]], 1), "")</f>
        <v/>
      </c>
      <c r="BB206" s="20"/>
      <c r="BC206" s="46"/>
      <c r="BD206" s="20"/>
      <c r="BE206" s="46"/>
      <c r="BF206" s="20"/>
      <c r="BG206" s="46"/>
      <c r="BI206" s="16"/>
      <c r="BL206" s="16"/>
      <c r="BN206" s="22"/>
      <c r="BO206" s="20"/>
      <c r="BP206" s="16"/>
    </row>
    <row r="207" spans="1:68" ht="38.25" x14ac:dyDescent="0.25">
      <c r="A207"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RefugeesSD08105</v>
      </c>
      <c r="B207" s="134" t="s">
        <v>150</v>
      </c>
      <c r="C207" s="124" t="s">
        <v>125</v>
      </c>
      <c r="D207" s="124" t="s">
        <v>372</v>
      </c>
      <c r="E207" s="59" t="s">
        <v>373</v>
      </c>
      <c r="F207" s="54"/>
      <c r="G207" s="29"/>
      <c r="H207" s="53">
        <v>559</v>
      </c>
      <c r="I207" s="53" t="s">
        <v>90</v>
      </c>
      <c r="J207" s="34">
        <v>0</v>
      </c>
      <c r="K207" s="116">
        <v>0</v>
      </c>
      <c r="L207" s="114">
        <v>559</v>
      </c>
      <c r="M207" s="114">
        <v>386</v>
      </c>
      <c r="N207" s="114">
        <v>52</v>
      </c>
      <c r="O207" s="114">
        <v>559</v>
      </c>
      <c r="P207" s="114">
        <v>5.0309999999999997</v>
      </c>
      <c r="Q207" s="114">
        <v>47.515000000000001</v>
      </c>
      <c r="R207" s="114">
        <v>111.80000000000001</v>
      </c>
      <c r="S207" s="114">
        <v>224</v>
      </c>
      <c r="T207" s="196">
        <v>358</v>
      </c>
      <c r="U207" s="52" t="str">
        <f>IFERROR(INDEX(tblPiNAnalysis[[Site Management ]], MATCH(tblPiNHistorical[[#This Row],[ID]], tblPiNAnalysis[ID], 0)), "")</f>
        <v/>
      </c>
      <c r="V207" s="52" t="str">
        <f>IFERROR(INDEX(tblPiNAnalysis[Education], MATCH(tblPiNHistorical[[#This Row],[ID]], tblPiNAnalysis[ID], 0)), "")</f>
        <v/>
      </c>
      <c r="W207" s="28" t="str">
        <f>IFERROR(INDEX(tblPiNAnalysis[Food Security and Livlihoods], MATCH(tblPiNHistorical[[#This Row],[ID]], tblPiNAnalysis[ID], 0)), "")</f>
        <v/>
      </c>
      <c r="X207" s="28" t="str">
        <f>IFERROR(INDEX(tblPiNAnalysis[[Health ]], MATCH(tblPiNHistorical[[#This Row],[ID]], tblPiNAnalysis[ID], 0)), "")</f>
        <v/>
      </c>
      <c r="Y207" s="28" t="str">
        <f>IFERROR(INDEX(tblPiNAnalysis[Nutrition], MATCH(tblPiNHistorical[[#This Row],[ID]], tblPiNAnalysis[ID], 0)), "")</f>
        <v/>
      </c>
      <c r="Z207" s="28" t="str">
        <f>IFERROR(INDEX(tblPiNAnalysis[Protection], MATCH(tblPiNHistorical[[#This Row],[ID]], tblPiNAnalysis[ID], 0)), "")</f>
        <v/>
      </c>
      <c r="AA207" s="28" t="str">
        <f>IFERROR(INDEX(tblPiNAnalysis[CP], MATCH(tblPiNHistorical[[#This Row],[ID]], tblPiNAnalysis[ID], 0)), "")</f>
        <v/>
      </c>
      <c r="AB207" s="83" t="str">
        <f>IFERROR(INDEX(tblPiNAnalysis[GBV], MATCH(tblPiNHistorical[[#This Row],[ID]], tblPiNAnalysis[ID], 0)), "")</f>
        <v/>
      </c>
      <c r="AC207" s="28" t="str">
        <f>IFERROR(INDEX(tblPiNAnalysis[Mine Action], MATCH(tblPiNHistorical[[#This Row],[ID]], tblPiNAnalysis[ID], 0)), "")</f>
        <v/>
      </c>
      <c r="AD207" s="83" t="str">
        <f>IFERROR(INDEX(tblPiNAnalysis[[Shelter NFI ]], MATCH(tblPiNHistorical[[#This Row],[ID]], tblPiNAnalysis[ID], 0)), "")</f>
        <v/>
      </c>
      <c r="AE207" s="28" t="str">
        <f>IFERROR(INDEX(tblPiNAnalysis[WASH], MATCH(tblPiNHistorical[[#This Row],[ID]], tblPiNAnalysis[ID], 0)), "")</f>
        <v/>
      </c>
      <c r="AF207"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207" s="136" t="str">
        <f>IF(OR(tblPiNHistorical[[#This Row],[Education Old]]="", tblPiNHistorical[[#This Row],[Education Old]]=0, tblPiNHistorical[[#This Row],[Education New]]="", tblPiNHistorical[[#This Row],[Education New]]=0), "", tblPiNHistorical[[#This Row],[Education New]]-tblPiNHistorical[[#This Row],[Education Old]])</f>
        <v/>
      </c>
      <c r="AH207"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207" s="137" t="str">
        <f>IF(OR(tblPiNHistorical[[#This Row],[Health Old]]="", tblPiNHistorical[[#This Row],[Health Old]]=0, tblPiNHistorical[[#This Row],[Health New]]="", tblPiNHistorical[[#This Row],[Health New]]=0), "", tblPiNHistorical[[#This Row],[Health New]]-tblPiNHistorical[[#This Row],[Health Old]])</f>
        <v/>
      </c>
      <c r="AJ207" s="136" t="str">
        <f>IF(OR(tblPiNHistorical[[#This Row],[Nutrition Old]]="", tblPiNHistorical[[#This Row],[Nutrition Old]]=0, tblPiNHistorical[[#This Row],[Nutrition New]]="", tblPiNHistorical[[#This Row],[Nutrition New]]=0), "", tblPiNHistorical[[#This Row],[Nutrition New]]-tblPiNHistorical[[#This Row],[Nutrition Old]])</f>
        <v/>
      </c>
      <c r="AK207" s="136" t="str">
        <f>IF(OR(tblPiNHistorical[[#This Row],[Protection Old]]="", tblPiNHistorical[[#This Row],[Protection Old]]=0, tblPiNHistorical[[#This Row],[Protection New]]="", tblPiNHistorical[[#This Row],[Protection New]]=0), "", tblPiNHistorical[[#This Row],[Protection New]]-tblPiNHistorical[[#This Row],[Protection Old]])</f>
        <v/>
      </c>
      <c r="AL207" s="136" t="str">
        <f>IF(OR(tblPiNHistorical[[#This Row],[CP Old ]]="", tblPiNHistorical[[#This Row],[CP Old ]]=0, tblPiNHistorical[[#This Row],[CP New]]="", tblPiNHistorical[[#This Row],[CP New]]=0), "", tblPiNHistorical[[#This Row],[CP New]]-tblPiNHistorical[[#This Row],[CP Old ]])</f>
        <v/>
      </c>
      <c r="AM207" s="83" t="str">
        <f>IF(OR(tblPiNHistorical[[#This Row],[GBV Old]]="", tblPiNHistorical[[#This Row],[GBV Old]]=0, tblPiNHistorical[[#This Row],[GBV New]]="", tblPiNHistorical[[#This Row],[GBV New]]=0), "", tblPiNHistorical[[#This Row],[GBV New]]-tblPiNHistorical[[#This Row],[GBV Old]])</f>
        <v/>
      </c>
      <c r="AN207" s="83" t="str">
        <f>IF(OR(tblPiNHistorical[[#This Row],[Mine Action Old]]="", tblPiNHistorical[[#This Row],[Mine Action Old]]=0, tblPiNHistorical[[#This Row],[Mine Action New]]="", tblPiNHistorical[[#This Row],[Mine Action New]]=0), "", tblPiNHistorical[[#This Row],[Mine Action New]]-tblPiNHistorical[[#This Row],[Mine Action Old]])</f>
        <v/>
      </c>
      <c r="AO207" s="136" t="str">
        <f>IF(OR(tblPiNHistorical[[#This Row],[Shelter NFI Old]]="", tblPiNHistorical[[#This Row],[Shelter NFI Old]]=0, tblPiNHistorical[[#This Row],[Shelter NFI New]]="", tblPiNHistorical[[#This Row],[Shelter NFI New]]=0), "", tblPiNHistorical[[#This Row],[Shelter NFI New]]-tblPiNHistorical[[#This Row],[Shelter NFI Old]])</f>
        <v/>
      </c>
      <c r="AP207" s="138" t="str">
        <f>IF(OR(tblPiNHistorical[[#This Row],[WASH Old]]="", tblPiNHistorical[[#This Row],[WASH Old]]=0, tblPiNHistorical[[#This Row],[WASH New]]="", tblPiNHistorical[[#This Row],[WASH New]]=0), "", tblPiNHistorical[[#This Row],[WASH New]]-tblPiNHistorical[[#This Row],[WASH Old]])</f>
        <v/>
      </c>
      <c r="AQ207" s="139" t="str">
        <f>IFERROR(ROUND((tblPiNHistorical[[#This Row],[Site Management - New]] - tblPiNHistorical[[#This Row],[Site Management - Old]])/tblPiNHistorical[[#This Row],[Site Management - Old]], 1), "")</f>
        <v/>
      </c>
      <c r="AR207" s="140" t="str">
        <f>IFERROR(ROUND((tblPiNHistorical[[#This Row],[Education New]]-tblPiNHistorical[[#This Row],[Education Old]])/tblPiNHistorical[[#This Row],[Education Old]], 1), "")</f>
        <v/>
      </c>
      <c r="AS207" s="141" t="str">
        <f>IFERROR(ROUND((tblPiNHistorical[[#This Row],[Food Security and Livlihoods New]]-tblPiNHistorical[[#This Row],[Food Security and Livlihoods Old]])/tblPiNHistorical[[#This Row],[Food Security and Livlihoods Old]], 1), "")</f>
        <v/>
      </c>
      <c r="AT207" s="142" t="str">
        <f>IFERROR(ROUND((tblPiNHistorical[[#This Row],[Health New]]-tblPiNHistorical[[#This Row],[Health Old]])/tblPiNHistorical[[#This Row],[Health Old]], 1), "")</f>
        <v/>
      </c>
      <c r="AU207" s="140" t="str">
        <f>IFERROR(ROUND((tblPiNHistorical[[#This Row],[Nutrition New]]-tblPiNHistorical[[#This Row],[Nutrition Old]])/tblPiNHistorical[[#This Row],[Nutrition Old]], 1), "")</f>
        <v/>
      </c>
      <c r="AV207" s="140" t="str">
        <f>IFERROR(ROUND((tblPiNHistorical[[#This Row],[Protection New]]-tblPiNHistorical[[#This Row],[Protection Old]])/tblPiNHistorical[[#This Row],[Protection Old]], 1), "")</f>
        <v/>
      </c>
      <c r="AW207" s="84" t="str">
        <f>IFERROR(ROUND((tblPiNHistorical[[#This Row],[CP New]]-tblPiNHistorical[[#This Row],[CP Old ]])/tblPiNHistorical[[#This Row],[CP Old ]], 1), "")</f>
        <v/>
      </c>
      <c r="AX207" s="84" t="str">
        <f>IFERROR(ROUND((tblPiNHistorical[[#This Row],[GBV New]]-tblPiNHistorical[[#This Row],[GBV Old]])/tblPiNHistorical[[#This Row],[GBV Old]], 1), "")</f>
        <v/>
      </c>
      <c r="AY207" s="84" t="str">
        <f>IFERROR(ROUND((tblPiNHistorical[[#This Row],[Mine Action New]]-tblPiNHistorical[[#This Row],[Mine Action Old]])/tblPiNHistorical[[#This Row],[Mine Action Old]], 1), "")</f>
        <v/>
      </c>
      <c r="AZ207" s="140" t="str">
        <f>IFERROR(ROUND((tblPiNHistorical[[#This Row],[Shelter NFI New]]-tblPiNHistorical[[#This Row],[Shelter NFI Old]])/tblPiNHistorical[[#This Row],[Shelter NFI Old]], 1), "")</f>
        <v/>
      </c>
      <c r="BA207" s="31" t="str">
        <f>IFERROR(ROUND((tblPiNHistorical[[#This Row],[WASH New]]-tblPiNHistorical[[#This Row],[WASH Old]])/tblPiNHistorical[[#This Row],[WASH Old]], 1), "")</f>
        <v/>
      </c>
      <c r="BB207" s="20"/>
      <c r="BC207" s="46"/>
      <c r="BD207" s="20"/>
      <c r="BE207" s="46"/>
      <c r="BF207" s="20"/>
      <c r="BG207" s="46"/>
      <c r="BI207" s="16"/>
      <c r="BL207" s="16"/>
      <c r="BN207" s="22"/>
      <c r="BO207" s="20"/>
      <c r="BP207" s="16"/>
    </row>
    <row r="208" spans="1:68" ht="38.25" x14ac:dyDescent="0.25">
      <c r="A208"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RefugeesSD08109</v>
      </c>
      <c r="B208" s="134" t="s">
        <v>150</v>
      </c>
      <c r="C208" s="124" t="s">
        <v>125</v>
      </c>
      <c r="D208" s="124" t="s">
        <v>380</v>
      </c>
      <c r="E208" s="59" t="s">
        <v>381</v>
      </c>
      <c r="F208" s="54"/>
      <c r="G208" s="29"/>
      <c r="H208" s="53">
        <v>0</v>
      </c>
      <c r="I208" s="53" t="s">
        <v>90</v>
      </c>
      <c r="J208" s="34">
        <v>0</v>
      </c>
      <c r="K208" s="116">
        <v>0</v>
      </c>
      <c r="L208" s="114">
        <v>0</v>
      </c>
      <c r="M208" s="114">
        <v>0</v>
      </c>
      <c r="N208" s="114">
        <v>0</v>
      </c>
      <c r="O208" s="114">
        <v>0</v>
      </c>
      <c r="P208" s="114">
        <v>0</v>
      </c>
      <c r="Q208" s="114">
        <v>0</v>
      </c>
      <c r="R208" s="114">
        <v>0</v>
      </c>
      <c r="S208" s="114">
        <v>0</v>
      </c>
      <c r="T208" s="196">
        <v>0</v>
      </c>
      <c r="U208" s="52" t="str">
        <f>IFERROR(INDEX(tblPiNAnalysis[[Site Management ]], MATCH(tblPiNHistorical[[#This Row],[ID]], tblPiNAnalysis[ID], 0)), "")</f>
        <v/>
      </c>
      <c r="V208" s="52" t="str">
        <f>IFERROR(INDEX(tblPiNAnalysis[Education], MATCH(tblPiNHistorical[[#This Row],[ID]], tblPiNAnalysis[ID], 0)), "")</f>
        <v/>
      </c>
      <c r="W208" s="28" t="str">
        <f>IFERROR(INDEX(tblPiNAnalysis[Food Security and Livlihoods], MATCH(tblPiNHistorical[[#This Row],[ID]], tblPiNAnalysis[ID], 0)), "")</f>
        <v/>
      </c>
      <c r="X208" s="28" t="str">
        <f>IFERROR(INDEX(tblPiNAnalysis[[Health ]], MATCH(tblPiNHistorical[[#This Row],[ID]], tblPiNAnalysis[ID], 0)), "")</f>
        <v/>
      </c>
      <c r="Y208" s="28" t="str">
        <f>IFERROR(INDEX(tblPiNAnalysis[Nutrition], MATCH(tblPiNHistorical[[#This Row],[ID]], tblPiNAnalysis[ID], 0)), "")</f>
        <v/>
      </c>
      <c r="Z208" s="28" t="str">
        <f>IFERROR(INDEX(tblPiNAnalysis[Protection], MATCH(tblPiNHistorical[[#This Row],[ID]], tblPiNAnalysis[ID], 0)), "")</f>
        <v/>
      </c>
      <c r="AA208" s="28" t="str">
        <f>IFERROR(INDEX(tblPiNAnalysis[CP], MATCH(tblPiNHistorical[[#This Row],[ID]], tblPiNAnalysis[ID], 0)), "")</f>
        <v/>
      </c>
      <c r="AB208" s="83" t="str">
        <f>IFERROR(INDEX(tblPiNAnalysis[GBV], MATCH(tblPiNHistorical[[#This Row],[ID]], tblPiNAnalysis[ID], 0)), "")</f>
        <v/>
      </c>
      <c r="AC208" s="28" t="str">
        <f>IFERROR(INDEX(tblPiNAnalysis[Mine Action], MATCH(tblPiNHistorical[[#This Row],[ID]], tblPiNAnalysis[ID], 0)), "")</f>
        <v/>
      </c>
      <c r="AD208" s="83" t="str">
        <f>IFERROR(INDEX(tblPiNAnalysis[[Shelter NFI ]], MATCH(tblPiNHistorical[[#This Row],[ID]], tblPiNAnalysis[ID], 0)), "")</f>
        <v/>
      </c>
      <c r="AE208" s="28" t="str">
        <f>IFERROR(INDEX(tblPiNAnalysis[WASH], MATCH(tblPiNHistorical[[#This Row],[ID]], tblPiNAnalysis[ID], 0)), "")</f>
        <v/>
      </c>
      <c r="AF208"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208" s="136" t="str">
        <f>IF(OR(tblPiNHistorical[[#This Row],[Education Old]]="", tblPiNHistorical[[#This Row],[Education Old]]=0, tblPiNHistorical[[#This Row],[Education New]]="", tblPiNHistorical[[#This Row],[Education New]]=0), "", tblPiNHistorical[[#This Row],[Education New]]-tblPiNHistorical[[#This Row],[Education Old]])</f>
        <v/>
      </c>
      <c r="AH208"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208" s="137" t="str">
        <f>IF(OR(tblPiNHistorical[[#This Row],[Health Old]]="", tblPiNHistorical[[#This Row],[Health Old]]=0, tblPiNHistorical[[#This Row],[Health New]]="", tblPiNHistorical[[#This Row],[Health New]]=0), "", tblPiNHistorical[[#This Row],[Health New]]-tblPiNHistorical[[#This Row],[Health Old]])</f>
        <v/>
      </c>
      <c r="AJ208" s="136" t="str">
        <f>IF(OR(tblPiNHistorical[[#This Row],[Nutrition Old]]="", tblPiNHistorical[[#This Row],[Nutrition Old]]=0, tblPiNHistorical[[#This Row],[Nutrition New]]="", tblPiNHistorical[[#This Row],[Nutrition New]]=0), "", tblPiNHistorical[[#This Row],[Nutrition New]]-tblPiNHistorical[[#This Row],[Nutrition Old]])</f>
        <v/>
      </c>
      <c r="AK208" s="136" t="str">
        <f>IF(OR(tblPiNHistorical[[#This Row],[Protection Old]]="", tblPiNHistorical[[#This Row],[Protection Old]]=0, tblPiNHistorical[[#This Row],[Protection New]]="", tblPiNHistorical[[#This Row],[Protection New]]=0), "", tblPiNHistorical[[#This Row],[Protection New]]-tblPiNHistorical[[#This Row],[Protection Old]])</f>
        <v/>
      </c>
      <c r="AL208" s="136" t="str">
        <f>IF(OR(tblPiNHistorical[[#This Row],[CP Old ]]="", tblPiNHistorical[[#This Row],[CP Old ]]=0, tblPiNHistorical[[#This Row],[CP New]]="", tblPiNHistorical[[#This Row],[CP New]]=0), "", tblPiNHistorical[[#This Row],[CP New]]-tblPiNHistorical[[#This Row],[CP Old ]])</f>
        <v/>
      </c>
      <c r="AM208" s="83" t="str">
        <f>IF(OR(tblPiNHistorical[[#This Row],[GBV Old]]="", tblPiNHistorical[[#This Row],[GBV Old]]=0, tblPiNHistorical[[#This Row],[GBV New]]="", tblPiNHistorical[[#This Row],[GBV New]]=0), "", tblPiNHistorical[[#This Row],[GBV New]]-tblPiNHistorical[[#This Row],[GBV Old]])</f>
        <v/>
      </c>
      <c r="AN208" s="83" t="str">
        <f>IF(OR(tblPiNHistorical[[#This Row],[Mine Action Old]]="", tblPiNHistorical[[#This Row],[Mine Action Old]]=0, tblPiNHistorical[[#This Row],[Mine Action New]]="", tblPiNHistorical[[#This Row],[Mine Action New]]=0), "", tblPiNHistorical[[#This Row],[Mine Action New]]-tblPiNHistorical[[#This Row],[Mine Action Old]])</f>
        <v/>
      </c>
      <c r="AO208" s="136" t="str">
        <f>IF(OR(tblPiNHistorical[[#This Row],[Shelter NFI Old]]="", tblPiNHistorical[[#This Row],[Shelter NFI Old]]=0, tblPiNHistorical[[#This Row],[Shelter NFI New]]="", tblPiNHistorical[[#This Row],[Shelter NFI New]]=0), "", tblPiNHistorical[[#This Row],[Shelter NFI New]]-tblPiNHistorical[[#This Row],[Shelter NFI Old]])</f>
        <v/>
      </c>
      <c r="AP208" s="138" t="str">
        <f>IF(OR(tblPiNHistorical[[#This Row],[WASH Old]]="", tblPiNHistorical[[#This Row],[WASH Old]]=0, tblPiNHistorical[[#This Row],[WASH New]]="", tblPiNHistorical[[#This Row],[WASH New]]=0), "", tblPiNHistorical[[#This Row],[WASH New]]-tblPiNHistorical[[#This Row],[WASH Old]])</f>
        <v/>
      </c>
      <c r="AQ208" s="139" t="str">
        <f>IFERROR(ROUND((tblPiNHistorical[[#This Row],[Site Management - New]] - tblPiNHistorical[[#This Row],[Site Management - Old]])/tblPiNHistorical[[#This Row],[Site Management - Old]], 1), "")</f>
        <v/>
      </c>
      <c r="AR208" s="140" t="str">
        <f>IFERROR(ROUND((tblPiNHistorical[[#This Row],[Education New]]-tblPiNHistorical[[#This Row],[Education Old]])/tblPiNHistorical[[#This Row],[Education Old]], 1), "")</f>
        <v/>
      </c>
      <c r="AS208" s="141" t="str">
        <f>IFERROR(ROUND((tblPiNHistorical[[#This Row],[Food Security and Livlihoods New]]-tblPiNHistorical[[#This Row],[Food Security and Livlihoods Old]])/tblPiNHistorical[[#This Row],[Food Security and Livlihoods Old]], 1), "")</f>
        <v/>
      </c>
      <c r="AT208" s="142" t="str">
        <f>IFERROR(ROUND((tblPiNHistorical[[#This Row],[Health New]]-tblPiNHistorical[[#This Row],[Health Old]])/tblPiNHistorical[[#This Row],[Health Old]], 1), "")</f>
        <v/>
      </c>
      <c r="AU208" s="140" t="str">
        <f>IFERROR(ROUND((tblPiNHistorical[[#This Row],[Nutrition New]]-tblPiNHistorical[[#This Row],[Nutrition Old]])/tblPiNHistorical[[#This Row],[Nutrition Old]], 1), "")</f>
        <v/>
      </c>
      <c r="AV208" s="140" t="str">
        <f>IFERROR(ROUND((tblPiNHistorical[[#This Row],[Protection New]]-tblPiNHistorical[[#This Row],[Protection Old]])/tblPiNHistorical[[#This Row],[Protection Old]], 1), "")</f>
        <v/>
      </c>
      <c r="AW208" s="84" t="str">
        <f>IFERROR(ROUND((tblPiNHistorical[[#This Row],[CP New]]-tblPiNHistorical[[#This Row],[CP Old ]])/tblPiNHistorical[[#This Row],[CP Old ]], 1), "")</f>
        <v/>
      </c>
      <c r="AX208" s="84" t="str">
        <f>IFERROR(ROUND((tblPiNHistorical[[#This Row],[GBV New]]-tblPiNHistorical[[#This Row],[GBV Old]])/tblPiNHistorical[[#This Row],[GBV Old]], 1), "")</f>
        <v/>
      </c>
      <c r="AY208" s="84" t="str">
        <f>IFERROR(ROUND((tblPiNHistorical[[#This Row],[Mine Action New]]-tblPiNHistorical[[#This Row],[Mine Action Old]])/tblPiNHistorical[[#This Row],[Mine Action Old]], 1), "")</f>
        <v/>
      </c>
      <c r="AZ208" s="140" t="str">
        <f>IFERROR(ROUND((tblPiNHistorical[[#This Row],[Shelter NFI New]]-tblPiNHistorical[[#This Row],[Shelter NFI Old]])/tblPiNHistorical[[#This Row],[Shelter NFI Old]], 1), "")</f>
        <v/>
      </c>
      <c r="BA208" s="31" t="str">
        <f>IFERROR(ROUND((tblPiNHistorical[[#This Row],[WASH New]]-tblPiNHistorical[[#This Row],[WASH Old]])/tblPiNHistorical[[#This Row],[WASH Old]], 1), "")</f>
        <v/>
      </c>
      <c r="BB208" s="20"/>
      <c r="BC208" s="46"/>
      <c r="BD208" s="20"/>
      <c r="BE208" s="46"/>
      <c r="BF208" s="20"/>
      <c r="BG208" s="46"/>
      <c r="BI208" s="16"/>
      <c r="BL208" s="16"/>
      <c r="BN208" s="22"/>
      <c r="BO208" s="20"/>
      <c r="BP208" s="16"/>
    </row>
    <row r="209" spans="1:53" ht="38.25" x14ac:dyDescent="0.25">
      <c r="A209"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RefugeesSD08110</v>
      </c>
      <c r="B209" s="134" t="s">
        <v>150</v>
      </c>
      <c r="C209" s="124" t="s">
        <v>125</v>
      </c>
      <c r="D209" s="124" t="s">
        <v>382</v>
      </c>
      <c r="E209" s="59" t="s">
        <v>383</v>
      </c>
      <c r="F209" s="54"/>
      <c r="G209" s="29"/>
      <c r="H209" s="53">
        <v>12539</v>
      </c>
      <c r="I209" s="53" t="s">
        <v>90</v>
      </c>
      <c r="J209" s="34">
        <v>0</v>
      </c>
      <c r="K209" s="116">
        <v>4885</v>
      </c>
      <c r="L209" s="114">
        <v>12539</v>
      </c>
      <c r="M209" s="114">
        <v>12163</v>
      </c>
      <c r="N209" s="114">
        <v>1145</v>
      </c>
      <c r="O209" s="114">
        <v>12539</v>
      </c>
      <c r="P209" s="114">
        <v>840.11300000000006</v>
      </c>
      <c r="Q209" s="114">
        <v>3109.672</v>
      </c>
      <c r="R209" s="114">
        <v>0</v>
      </c>
      <c r="S209" s="114">
        <v>7523</v>
      </c>
      <c r="T209" s="196">
        <v>3794</v>
      </c>
      <c r="U209" s="52" t="str">
        <f>IFERROR(INDEX(tblPiNAnalysis[[Site Management ]], MATCH(tblPiNHistorical[[#This Row],[ID]], tblPiNAnalysis[ID], 0)), "")</f>
        <v/>
      </c>
      <c r="V209" s="52" t="str">
        <f>IFERROR(INDEX(tblPiNAnalysis[Education], MATCH(tblPiNHistorical[[#This Row],[ID]], tblPiNAnalysis[ID], 0)), "")</f>
        <v/>
      </c>
      <c r="W209" s="28" t="str">
        <f>IFERROR(INDEX(tblPiNAnalysis[Food Security and Livlihoods], MATCH(tblPiNHistorical[[#This Row],[ID]], tblPiNAnalysis[ID], 0)), "")</f>
        <v/>
      </c>
      <c r="X209" s="28" t="str">
        <f>IFERROR(INDEX(tblPiNAnalysis[[Health ]], MATCH(tblPiNHistorical[[#This Row],[ID]], tblPiNAnalysis[ID], 0)), "")</f>
        <v/>
      </c>
      <c r="Y209" s="28" t="str">
        <f>IFERROR(INDEX(tblPiNAnalysis[Nutrition], MATCH(tblPiNHistorical[[#This Row],[ID]], tblPiNAnalysis[ID], 0)), "")</f>
        <v/>
      </c>
      <c r="Z209" s="28" t="str">
        <f>IFERROR(INDEX(tblPiNAnalysis[Protection], MATCH(tblPiNHistorical[[#This Row],[ID]], tblPiNAnalysis[ID], 0)), "")</f>
        <v/>
      </c>
      <c r="AA209" s="28" t="str">
        <f>IFERROR(INDEX(tblPiNAnalysis[CP], MATCH(tblPiNHistorical[[#This Row],[ID]], tblPiNAnalysis[ID], 0)), "")</f>
        <v/>
      </c>
      <c r="AB209" s="83" t="str">
        <f>IFERROR(INDEX(tblPiNAnalysis[GBV], MATCH(tblPiNHistorical[[#This Row],[ID]], tblPiNAnalysis[ID], 0)), "")</f>
        <v/>
      </c>
      <c r="AC209" s="28" t="str">
        <f>IFERROR(INDEX(tblPiNAnalysis[Mine Action], MATCH(tblPiNHistorical[[#This Row],[ID]], tblPiNAnalysis[ID], 0)), "")</f>
        <v/>
      </c>
      <c r="AD209" s="83" t="str">
        <f>IFERROR(INDEX(tblPiNAnalysis[[Shelter NFI ]], MATCH(tblPiNHistorical[[#This Row],[ID]], tblPiNAnalysis[ID], 0)), "")</f>
        <v/>
      </c>
      <c r="AE209" s="28" t="str">
        <f>IFERROR(INDEX(tblPiNAnalysis[WASH], MATCH(tblPiNHistorical[[#This Row],[ID]], tblPiNAnalysis[ID], 0)), "")</f>
        <v/>
      </c>
      <c r="AF209"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209" s="136" t="str">
        <f>IF(OR(tblPiNHistorical[[#This Row],[Education Old]]="", tblPiNHistorical[[#This Row],[Education Old]]=0, tblPiNHistorical[[#This Row],[Education New]]="", tblPiNHistorical[[#This Row],[Education New]]=0), "", tblPiNHistorical[[#This Row],[Education New]]-tblPiNHistorical[[#This Row],[Education Old]])</f>
        <v/>
      </c>
      <c r="AH209"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209" s="137" t="str">
        <f>IF(OR(tblPiNHistorical[[#This Row],[Health Old]]="", tblPiNHistorical[[#This Row],[Health Old]]=0, tblPiNHistorical[[#This Row],[Health New]]="", tblPiNHistorical[[#This Row],[Health New]]=0), "", tblPiNHistorical[[#This Row],[Health New]]-tblPiNHistorical[[#This Row],[Health Old]])</f>
        <v/>
      </c>
      <c r="AJ209" s="136" t="str">
        <f>IF(OR(tblPiNHistorical[[#This Row],[Nutrition Old]]="", tblPiNHistorical[[#This Row],[Nutrition Old]]=0, tblPiNHistorical[[#This Row],[Nutrition New]]="", tblPiNHistorical[[#This Row],[Nutrition New]]=0), "", tblPiNHistorical[[#This Row],[Nutrition New]]-tblPiNHistorical[[#This Row],[Nutrition Old]])</f>
        <v/>
      </c>
      <c r="AK209" s="136" t="str">
        <f>IF(OR(tblPiNHistorical[[#This Row],[Protection Old]]="", tblPiNHistorical[[#This Row],[Protection Old]]=0, tblPiNHistorical[[#This Row],[Protection New]]="", tblPiNHistorical[[#This Row],[Protection New]]=0), "", tblPiNHistorical[[#This Row],[Protection New]]-tblPiNHistorical[[#This Row],[Protection Old]])</f>
        <v/>
      </c>
      <c r="AL209" s="136" t="str">
        <f>IF(OR(tblPiNHistorical[[#This Row],[CP Old ]]="", tblPiNHistorical[[#This Row],[CP Old ]]=0, tblPiNHistorical[[#This Row],[CP New]]="", tblPiNHistorical[[#This Row],[CP New]]=0), "", tblPiNHistorical[[#This Row],[CP New]]-tblPiNHistorical[[#This Row],[CP Old ]])</f>
        <v/>
      </c>
      <c r="AM209" s="83" t="str">
        <f>IF(OR(tblPiNHistorical[[#This Row],[GBV Old]]="", tblPiNHistorical[[#This Row],[GBV Old]]=0, tblPiNHistorical[[#This Row],[GBV New]]="", tblPiNHistorical[[#This Row],[GBV New]]=0), "", tblPiNHistorical[[#This Row],[GBV New]]-tblPiNHistorical[[#This Row],[GBV Old]])</f>
        <v/>
      </c>
      <c r="AN209" s="83" t="str">
        <f>IF(OR(tblPiNHistorical[[#This Row],[Mine Action Old]]="", tblPiNHistorical[[#This Row],[Mine Action Old]]=0, tblPiNHistorical[[#This Row],[Mine Action New]]="", tblPiNHistorical[[#This Row],[Mine Action New]]=0), "", tblPiNHistorical[[#This Row],[Mine Action New]]-tblPiNHistorical[[#This Row],[Mine Action Old]])</f>
        <v/>
      </c>
      <c r="AO209" s="136" t="str">
        <f>IF(OR(tblPiNHistorical[[#This Row],[Shelter NFI Old]]="", tblPiNHistorical[[#This Row],[Shelter NFI Old]]=0, tblPiNHistorical[[#This Row],[Shelter NFI New]]="", tblPiNHistorical[[#This Row],[Shelter NFI New]]=0), "", tblPiNHistorical[[#This Row],[Shelter NFI New]]-tblPiNHistorical[[#This Row],[Shelter NFI Old]])</f>
        <v/>
      </c>
      <c r="AP209" s="138" t="str">
        <f>IF(OR(tblPiNHistorical[[#This Row],[WASH Old]]="", tblPiNHistorical[[#This Row],[WASH Old]]=0, tblPiNHistorical[[#This Row],[WASH New]]="", tblPiNHistorical[[#This Row],[WASH New]]=0), "", tblPiNHistorical[[#This Row],[WASH New]]-tblPiNHistorical[[#This Row],[WASH Old]])</f>
        <v/>
      </c>
      <c r="AQ209" s="139" t="str">
        <f>IFERROR(ROUND((tblPiNHistorical[[#This Row],[Site Management - New]] - tblPiNHistorical[[#This Row],[Site Management - Old]])/tblPiNHistorical[[#This Row],[Site Management - Old]], 1), "")</f>
        <v/>
      </c>
      <c r="AR209" s="140" t="str">
        <f>IFERROR(ROUND((tblPiNHistorical[[#This Row],[Education New]]-tblPiNHistorical[[#This Row],[Education Old]])/tblPiNHistorical[[#This Row],[Education Old]], 1), "")</f>
        <v/>
      </c>
      <c r="AS209" s="141" t="str">
        <f>IFERROR(ROUND((tblPiNHistorical[[#This Row],[Food Security and Livlihoods New]]-tblPiNHistorical[[#This Row],[Food Security and Livlihoods Old]])/tblPiNHistorical[[#This Row],[Food Security and Livlihoods Old]], 1), "")</f>
        <v/>
      </c>
      <c r="AT209" s="142" t="str">
        <f>IFERROR(ROUND((tblPiNHistorical[[#This Row],[Health New]]-tblPiNHistorical[[#This Row],[Health Old]])/tblPiNHistorical[[#This Row],[Health Old]], 1), "")</f>
        <v/>
      </c>
      <c r="AU209" s="140" t="str">
        <f>IFERROR(ROUND((tblPiNHistorical[[#This Row],[Nutrition New]]-tblPiNHistorical[[#This Row],[Nutrition Old]])/tblPiNHistorical[[#This Row],[Nutrition Old]], 1), "")</f>
        <v/>
      </c>
      <c r="AV209" s="140" t="str">
        <f>IFERROR(ROUND((tblPiNHistorical[[#This Row],[Protection New]]-tblPiNHistorical[[#This Row],[Protection Old]])/tblPiNHistorical[[#This Row],[Protection Old]], 1), "")</f>
        <v/>
      </c>
      <c r="AW209" s="84" t="str">
        <f>IFERROR(ROUND((tblPiNHistorical[[#This Row],[CP New]]-tblPiNHistorical[[#This Row],[CP Old ]])/tblPiNHistorical[[#This Row],[CP Old ]], 1), "")</f>
        <v/>
      </c>
      <c r="AX209" s="84" t="str">
        <f>IFERROR(ROUND((tblPiNHistorical[[#This Row],[GBV New]]-tblPiNHistorical[[#This Row],[GBV Old]])/tblPiNHistorical[[#This Row],[GBV Old]], 1), "")</f>
        <v/>
      </c>
      <c r="AY209" s="84" t="str">
        <f>IFERROR(ROUND((tblPiNHistorical[[#This Row],[Mine Action New]]-tblPiNHistorical[[#This Row],[Mine Action Old]])/tblPiNHistorical[[#This Row],[Mine Action Old]], 1), "")</f>
        <v/>
      </c>
      <c r="AZ209" s="140" t="str">
        <f>IFERROR(ROUND((tblPiNHistorical[[#This Row],[Shelter NFI New]]-tblPiNHistorical[[#This Row],[Shelter NFI Old]])/tblPiNHistorical[[#This Row],[Shelter NFI Old]], 1), "")</f>
        <v/>
      </c>
      <c r="BA209" s="31" t="str">
        <f>IFERROR(ROUND((tblPiNHistorical[[#This Row],[WASH New]]-tblPiNHistorical[[#This Row],[WASH Old]])/tblPiNHistorical[[#This Row],[WASH Old]], 1), "")</f>
        <v/>
      </c>
    </row>
    <row r="210" spans="1:53" ht="38.25" x14ac:dyDescent="0.25">
      <c r="A210"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RefugeesSD06110</v>
      </c>
      <c r="B210" s="134" t="s">
        <v>141</v>
      </c>
      <c r="C210" s="124" t="s">
        <v>123</v>
      </c>
      <c r="D210" s="124" t="s">
        <v>143</v>
      </c>
      <c r="E210" s="59" t="s">
        <v>142</v>
      </c>
      <c r="F210" s="54"/>
      <c r="G210" s="29"/>
      <c r="H210" s="53">
        <v>3741</v>
      </c>
      <c r="I210" s="53" t="s">
        <v>90</v>
      </c>
      <c r="J210" s="34">
        <v>0</v>
      </c>
      <c r="K210" s="116">
        <v>1371</v>
      </c>
      <c r="L210" s="114">
        <v>3741</v>
      </c>
      <c r="M210" s="114">
        <v>2581</v>
      </c>
      <c r="N210" s="114">
        <v>342</v>
      </c>
      <c r="O210" s="114">
        <v>3741</v>
      </c>
      <c r="P210" s="114">
        <v>445.17899999999997</v>
      </c>
      <c r="Q210" s="114">
        <v>2109.924</v>
      </c>
      <c r="R210" s="114">
        <v>748.2</v>
      </c>
      <c r="S210" s="114">
        <v>1496</v>
      </c>
      <c r="T210" s="196">
        <v>3185</v>
      </c>
      <c r="U210" s="52" t="str">
        <f>IFERROR(INDEX(tblPiNAnalysis[[Site Management ]], MATCH(tblPiNHistorical[[#This Row],[ID]], tblPiNAnalysis[ID], 0)), "")</f>
        <v/>
      </c>
      <c r="V210" s="52" t="str">
        <f>IFERROR(INDEX(tblPiNAnalysis[Education], MATCH(tblPiNHistorical[[#This Row],[ID]], tblPiNAnalysis[ID], 0)), "")</f>
        <v/>
      </c>
      <c r="W210" s="28" t="str">
        <f>IFERROR(INDEX(tblPiNAnalysis[Food Security and Livlihoods], MATCH(tblPiNHistorical[[#This Row],[ID]], tblPiNAnalysis[ID], 0)), "")</f>
        <v/>
      </c>
      <c r="X210" s="28" t="str">
        <f>IFERROR(INDEX(tblPiNAnalysis[[Health ]], MATCH(tblPiNHistorical[[#This Row],[ID]], tblPiNAnalysis[ID], 0)), "")</f>
        <v/>
      </c>
      <c r="Y210" s="28" t="str">
        <f>IFERROR(INDEX(tblPiNAnalysis[Nutrition], MATCH(tblPiNHistorical[[#This Row],[ID]], tblPiNAnalysis[ID], 0)), "")</f>
        <v/>
      </c>
      <c r="Z210" s="28" t="str">
        <f>IFERROR(INDEX(tblPiNAnalysis[Protection], MATCH(tblPiNHistorical[[#This Row],[ID]], tblPiNAnalysis[ID], 0)), "")</f>
        <v/>
      </c>
      <c r="AA210" s="28" t="str">
        <f>IFERROR(INDEX(tblPiNAnalysis[CP], MATCH(tblPiNHistorical[[#This Row],[ID]], tblPiNAnalysis[ID], 0)), "")</f>
        <v/>
      </c>
      <c r="AB210" s="83" t="str">
        <f>IFERROR(INDEX(tblPiNAnalysis[GBV], MATCH(tblPiNHistorical[[#This Row],[ID]], tblPiNAnalysis[ID], 0)), "")</f>
        <v/>
      </c>
      <c r="AC210" s="28" t="str">
        <f>IFERROR(INDEX(tblPiNAnalysis[Mine Action], MATCH(tblPiNHistorical[[#This Row],[ID]], tblPiNAnalysis[ID], 0)), "")</f>
        <v/>
      </c>
      <c r="AD210" s="83" t="str">
        <f>IFERROR(INDEX(tblPiNAnalysis[[Shelter NFI ]], MATCH(tblPiNHistorical[[#This Row],[ID]], tblPiNAnalysis[ID], 0)), "")</f>
        <v/>
      </c>
      <c r="AE210" s="28" t="str">
        <f>IFERROR(INDEX(tblPiNAnalysis[WASH], MATCH(tblPiNHistorical[[#This Row],[ID]], tblPiNAnalysis[ID], 0)), "")</f>
        <v/>
      </c>
      <c r="AF210"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210" s="136" t="str">
        <f>IF(OR(tblPiNHistorical[[#This Row],[Education Old]]="", tblPiNHistorical[[#This Row],[Education Old]]=0, tblPiNHistorical[[#This Row],[Education New]]="", tblPiNHistorical[[#This Row],[Education New]]=0), "", tblPiNHistorical[[#This Row],[Education New]]-tblPiNHistorical[[#This Row],[Education Old]])</f>
        <v/>
      </c>
      <c r="AH210"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210" s="137" t="str">
        <f>IF(OR(tblPiNHistorical[[#This Row],[Health Old]]="", tblPiNHistorical[[#This Row],[Health Old]]=0, tblPiNHistorical[[#This Row],[Health New]]="", tblPiNHistorical[[#This Row],[Health New]]=0), "", tblPiNHistorical[[#This Row],[Health New]]-tblPiNHistorical[[#This Row],[Health Old]])</f>
        <v/>
      </c>
      <c r="AJ210" s="136" t="str">
        <f>IF(OR(tblPiNHistorical[[#This Row],[Nutrition Old]]="", tblPiNHistorical[[#This Row],[Nutrition Old]]=0, tblPiNHistorical[[#This Row],[Nutrition New]]="", tblPiNHistorical[[#This Row],[Nutrition New]]=0), "", tblPiNHistorical[[#This Row],[Nutrition New]]-tblPiNHistorical[[#This Row],[Nutrition Old]])</f>
        <v/>
      </c>
      <c r="AK210" s="136" t="str">
        <f>IF(OR(tblPiNHistorical[[#This Row],[Protection Old]]="", tblPiNHistorical[[#This Row],[Protection Old]]=0, tblPiNHistorical[[#This Row],[Protection New]]="", tblPiNHistorical[[#This Row],[Protection New]]=0), "", tblPiNHistorical[[#This Row],[Protection New]]-tblPiNHistorical[[#This Row],[Protection Old]])</f>
        <v/>
      </c>
      <c r="AL210" s="136" t="str">
        <f>IF(OR(tblPiNHistorical[[#This Row],[CP Old ]]="", tblPiNHistorical[[#This Row],[CP Old ]]=0, tblPiNHistorical[[#This Row],[CP New]]="", tblPiNHistorical[[#This Row],[CP New]]=0), "", tblPiNHistorical[[#This Row],[CP New]]-tblPiNHistorical[[#This Row],[CP Old ]])</f>
        <v/>
      </c>
      <c r="AM210" s="83" t="str">
        <f>IF(OR(tblPiNHistorical[[#This Row],[GBV Old]]="", tblPiNHistorical[[#This Row],[GBV Old]]=0, tblPiNHistorical[[#This Row],[GBV New]]="", tblPiNHistorical[[#This Row],[GBV New]]=0), "", tblPiNHistorical[[#This Row],[GBV New]]-tblPiNHistorical[[#This Row],[GBV Old]])</f>
        <v/>
      </c>
      <c r="AN210" s="83" t="str">
        <f>IF(OR(tblPiNHistorical[[#This Row],[Mine Action Old]]="", tblPiNHistorical[[#This Row],[Mine Action Old]]=0, tblPiNHistorical[[#This Row],[Mine Action New]]="", tblPiNHistorical[[#This Row],[Mine Action New]]=0), "", tblPiNHistorical[[#This Row],[Mine Action New]]-tblPiNHistorical[[#This Row],[Mine Action Old]])</f>
        <v/>
      </c>
      <c r="AO210" s="136" t="str">
        <f>IF(OR(tblPiNHistorical[[#This Row],[Shelter NFI Old]]="", tblPiNHistorical[[#This Row],[Shelter NFI Old]]=0, tblPiNHistorical[[#This Row],[Shelter NFI New]]="", tblPiNHistorical[[#This Row],[Shelter NFI New]]=0), "", tblPiNHistorical[[#This Row],[Shelter NFI New]]-tblPiNHistorical[[#This Row],[Shelter NFI Old]])</f>
        <v/>
      </c>
      <c r="AP210" s="138" t="str">
        <f>IF(OR(tblPiNHistorical[[#This Row],[WASH Old]]="", tblPiNHistorical[[#This Row],[WASH Old]]=0, tblPiNHistorical[[#This Row],[WASH New]]="", tblPiNHistorical[[#This Row],[WASH New]]=0), "", tblPiNHistorical[[#This Row],[WASH New]]-tblPiNHistorical[[#This Row],[WASH Old]])</f>
        <v/>
      </c>
      <c r="AQ210" s="139" t="str">
        <f>IFERROR(ROUND((tblPiNHistorical[[#This Row],[Site Management - New]] - tblPiNHistorical[[#This Row],[Site Management - Old]])/tblPiNHistorical[[#This Row],[Site Management - Old]], 1), "")</f>
        <v/>
      </c>
      <c r="AR210" s="140" t="str">
        <f>IFERROR(ROUND((tblPiNHistorical[[#This Row],[Education New]]-tblPiNHistorical[[#This Row],[Education Old]])/tblPiNHistorical[[#This Row],[Education Old]], 1), "")</f>
        <v/>
      </c>
      <c r="AS210" s="141" t="str">
        <f>IFERROR(ROUND((tblPiNHistorical[[#This Row],[Food Security and Livlihoods New]]-tblPiNHistorical[[#This Row],[Food Security and Livlihoods Old]])/tblPiNHistorical[[#This Row],[Food Security and Livlihoods Old]], 1), "")</f>
        <v/>
      </c>
      <c r="AT210" s="142" t="str">
        <f>IFERROR(ROUND((tblPiNHistorical[[#This Row],[Health New]]-tblPiNHistorical[[#This Row],[Health Old]])/tblPiNHistorical[[#This Row],[Health Old]], 1), "")</f>
        <v/>
      </c>
      <c r="AU210" s="140" t="str">
        <f>IFERROR(ROUND((tblPiNHistorical[[#This Row],[Nutrition New]]-tblPiNHistorical[[#This Row],[Nutrition Old]])/tblPiNHistorical[[#This Row],[Nutrition Old]], 1), "")</f>
        <v/>
      </c>
      <c r="AV210" s="140" t="str">
        <f>IFERROR(ROUND((tblPiNHistorical[[#This Row],[Protection New]]-tblPiNHistorical[[#This Row],[Protection Old]])/tblPiNHistorical[[#This Row],[Protection Old]], 1), "")</f>
        <v/>
      </c>
      <c r="AW210" s="84" t="str">
        <f>IFERROR(ROUND((tblPiNHistorical[[#This Row],[CP New]]-tblPiNHistorical[[#This Row],[CP Old ]])/tblPiNHistorical[[#This Row],[CP Old ]], 1), "")</f>
        <v/>
      </c>
      <c r="AX210" s="84" t="str">
        <f>IFERROR(ROUND((tblPiNHistorical[[#This Row],[GBV New]]-tblPiNHistorical[[#This Row],[GBV Old]])/tblPiNHistorical[[#This Row],[GBV Old]], 1), "")</f>
        <v/>
      </c>
      <c r="AY210" s="84" t="str">
        <f>IFERROR(ROUND((tblPiNHistorical[[#This Row],[Mine Action New]]-tblPiNHistorical[[#This Row],[Mine Action Old]])/tblPiNHistorical[[#This Row],[Mine Action Old]], 1), "")</f>
        <v/>
      </c>
      <c r="AZ210" s="140" t="str">
        <f>IFERROR(ROUND((tblPiNHistorical[[#This Row],[Shelter NFI New]]-tblPiNHistorical[[#This Row],[Shelter NFI Old]])/tblPiNHistorical[[#This Row],[Shelter NFI Old]], 1), "")</f>
        <v/>
      </c>
      <c r="BA210" s="31" t="str">
        <f>IFERROR(ROUND((tblPiNHistorical[[#This Row],[WASH New]]-tblPiNHistorical[[#This Row],[WASH Old]])/tblPiNHistorical[[#This Row],[WASH Old]], 1), "")</f>
        <v/>
      </c>
    </row>
    <row r="211" spans="1:53" ht="38.25" x14ac:dyDescent="0.25">
      <c r="A211"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RefugeesSD06112</v>
      </c>
      <c r="B211" s="134" t="s">
        <v>141</v>
      </c>
      <c r="C211" s="124" t="s">
        <v>123</v>
      </c>
      <c r="D211" s="124" t="s">
        <v>146</v>
      </c>
      <c r="E211" s="59" t="s">
        <v>145</v>
      </c>
      <c r="F211" s="54"/>
      <c r="G211" s="29"/>
      <c r="H211" s="53">
        <v>0</v>
      </c>
      <c r="I211" s="53" t="s">
        <v>90</v>
      </c>
      <c r="J211" s="34">
        <v>0</v>
      </c>
      <c r="K211" s="116">
        <v>0</v>
      </c>
      <c r="L211" s="114">
        <v>0</v>
      </c>
      <c r="M211" s="114">
        <v>0</v>
      </c>
      <c r="N211" s="114">
        <v>0</v>
      </c>
      <c r="O211" s="114">
        <v>0</v>
      </c>
      <c r="P211" s="114">
        <v>0</v>
      </c>
      <c r="Q211" s="114">
        <v>0</v>
      </c>
      <c r="R211" s="114">
        <v>0</v>
      </c>
      <c r="S211" s="114">
        <v>0</v>
      </c>
      <c r="T211" s="196">
        <v>0</v>
      </c>
      <c r="U211" s="52" t="str">
        <f>IFERROR(INDEX(tblPiNAnalysis[[Site Management ]], MATCH(tblPiNHistorical[[#This Row],[ID]], tblPiNAnalysis[ID], 0)), "")</f>
        <v/>
      </c>
      <c r="V211" s="52" t="str">
        <f>IFERROR(INDEX(tblPiNAnalysis[Education], MATCH(tblPiNHistorical[[#This Row],[ID]], tblPiNAnalysis[ID], 0)), "")</f>
        <v/>
      </c>
      <c r="W211" s="28" t="str">
        <f>IFERROR(INDEX(tblPiNAnalysis[Food Security and Livlihoods], MATCH(tblPiNHistorical[[#This Row],[ID]], tblPiNAnalysis[ID], 0)), "")</f>
        <v/>
      </c>
      <c r="X211" s="28" t="str">
        <f>IFERROR(INDEX(tblPiNAnalysis[[Health ]], MATCH(tblPiNHistorical[[#This Row],[ID]], tblPiNAnalysis[ID], 0)), "")</f>
        <v/>
      </c>
      <c r="Y211" s="28" t="str">
        <f>IFERROR(INDEX(tblPiNAnalysis[Nutrition], MATCH(tblPiNHistorical[[#This Row],[ID]], tblPiNAnalysis[ID], 0)), "")</f>
        <v/>
      </c>
      <c r="Z211" s="28" t="str">
        <f>IFERROR(INDEX(tblPiNAnalysis[Protection], MATCH(tblPiNHistorical[[#This Row],[ID]], tblPiNAnalysis[ID], 0)), "")</f>
        <v/>
      </c>
      <c r="AA211" s="28" t="str">
        <f>IFERROR(INDEX(tblPiNAnalysis[CP], MATCH(tblPiNHistorical[[#This Row],[ID]], tblPiNAnalysis[ID], 0)), "")</f>
        <v/>
      </c>
      <c r="AB211" s="83" t="str">
        <f>IFERROR(INDEX(tblPiNAnalysis[GBV], MATCH(tblPiNHistorical[[#This Row],[ID]], tblPiNAnalysis[ID], 0)), "")</f>
        <v/>
      </c>
      <c r="AC211" s="28" t="str">
        <f>IFERROR(INDEX(tblPiNAnalysis[Mine Action], MATCH(tblPiNHistorical[[#This Row],[ID]], tblPiNAnalysis[ID], 0)), "")</f>
        <v/>
      </c>
      <c r="AD211" s="83" t="str">
        <f>IFERROR(INDEX(tblPiNAnalysis[[Shelter NFI ]], MATCH(tblPiNHistorical[[#This Row],[ID]], tblPiNAnalysis[ID], 0)), "")</f>
        <v/>
      </c>
      <c r="AE211" s="28" t="str">
        <f>IFERROR(INDEX(tblPiNAnalysis[WASH], MATCH(tblPiNHistorical[[#This Row],[ID]], tblPiNAnalysis[ID], 0)), "")</f>
        <v/>
      </c>
      <c r="AF211"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211" s="136" t="str">
        <f>IF(OR(tblPiNHistorical[[#This Row],[Education Old]]="", tblPiNHistorical[[#This Row],[Education Old]]=0, tblPiNHistorical[[#This Row],[Education New]]="", tblPiNHistorical[[#This Row],[Education New]]=0), "", tblPiNHistorical[[#This Row],[Education New]]-tblPiNHistorical[[#This Row],[Education Old]])</f>
        <v/>
      </c>
      <c r="AH211"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211" s="137" t="str">
        <f>IF(OR(tblPiNHistorical[[#This Row],[Health Old]]="", tblPiNHistorical[[#This Row],[Health Old]]=0, tblPiNHistorical[[#This Row],[Health New]]="", tblPiNHistorical[[#This Row],[Health New]]=0), "", tblPiNHistorical[[#This Row],[Health New]]-tblPiNHistorical[[#This Row],[Health Old]])</f>
        <v/>
      </c>
      <c r="AJ211" s="136" t="str">
        <f>IF(OR(tblPiNHistorical[[#This Row],[Nutrition Old]]="", tblPiNHistorical[[#This Row],[Nutrition Old]]=0, tblPiNHistorical[[#This Row],[Nutrition New]]="", tblPiNHistorical[[#This Row],[Nutrition New]]=0), "", tblPiNHistorical[[#This Row],[Nutrition New]]-tblPiNHistorical[[#This Row],[Nutrition Old]])</f>
        <v/>
      </c>
      <c r="AK211" s="136" t="str">
        <f>IF(OR(tblPiNHistorical[[#This Row],[Protection Old]]="", tblPiNHistorical[[#This Row],[Protection Old]]=0, tblPiNHistorical[[#This Row],[Protection New]]="", tblPiNHistorical[[#This Row],[Protection New]]=0), "", tblPiNHistorical[[#This Row],[Protection New]]-tblPiNHistorical[[#This Row],[Protection Old]])</f>
        <v/>
      </c>
      <c r="AL211" s="136" t="str">
        <f>IF(OR(tblPiNHistorical[[#This Row],[CP Old ]]="", tblPiNHistorical[[#This Row],[CP Old ]]=0, tblPiNHistorical[[#This Row],[CP New]]="", tblPiNHistorical[[#This Row],[CP New]]=0), "", tblPiNHistorical[[#This Row],[CP New]]-tblPiNHistorical[[#This Row],[CP Old ]])</f>
        <v/>
      </c>
      <c r="AM211" s="83" t="str">
        <f>IF(OR(tblPiNHistorical[[#This Row],[GBV Old]]="", tblPiNHistorical[[#This Row],[GBV Old]]=0, tblPiNHistorical[[#This Row],[GBV New]]="", tblPiNHistorical[[#This Row],[GBV New]]=0), "", tblPiNHistorical[[#This Row],[GBV New]]-tblPiNHistorical[[#This Row],[GBV Old]])</f>
        <v/>
      </c>
      <c r="AN211" s="83" t="str">
        <f>IF(OR(tblPiNHistorical[[#This Row],[Mine Action Old]]="", tblPiNHistorical[[#This Row],[Mine Action Old]]=0, tblPiNHistorical[[#This Row],[Mine Action New]]="", tblPiNHistorical[[#This Row],[Mine Action New]]=0), "", tblPiNHistorical[[#This Row],[Mine Action New]]-tblPiNHistorical[[#This Row],[Mine Action Old]])</f>
        <v/>
      </c>
      <c r="AO211" s="136" t="str">
        <f>IF(OR(tblPiNHistorical[[#This Row],[Shelter NFI Old]]="", tblPiNHistorical[[#This Row],[Shelter NFI Old]]=0, tblPiNHistorical[[#This Row],[Shelter NFI New]]="", tblPiNHistorical[[#This Row],[Shelter NFI New]]=0), "", tblPiNHistorical[[#This Row],[Shelter NFI New]]-tblPiNHistorical[[#This Row],[Shelter NFI Old]])</f>
        <v/>
      </c>
      <c r="AP211" s="138" t="str">
        <f>IF(OR(tblPiNHistorical[[#This Row],[WASH Old]]="", tblPiNHistorical[[#This Row],[WASH Old]]=0, tblPiNHistorical[[#This Row],[WASH New]]="", tblPiNHistorical[[#This Row],[WASH New]]=0), "", tblPiNHistorical[[#This Row],[WASH New]]-tblPiNHistorical[[#This Row],[WASH Old]])</f>
        <v/>
      </c>
      <c r="AQ211" s="139" t="str">
        <f>IFERROR(ROUND((tblPiNHistorical[[#This Row],[Site Management - New]] - tblPiNHistorical[[#This Row],[Site Management - Old]])/tblPiNHistorical[[#This Row],[Site Management - Old]], 1), "")</f>
        <v/>
      </c>
      <c r="AR211" s="140" t="str">
        <f>IFERROR(ROUND((tblPiNHistorical[[#This Row],[Education New]]-tblPiNHistorical[[#This Row],[Education Old]])/tblPiNHistorical[[#This Row],[Education Old]], 1), "")</f>
        <v/>
      </c>
      <c r="AS211" s="141" t="str">
        <f>IFERROR(ROUND((tblPiNHistorical[[#This Row],[Food Security and Livlihoods New]]-tblPiNHistorical[[#This Row],[Food Security and Livlihoods Old]])/tblPiNHistorical[[#This Row],[Food Security and Livlihoods Old]], 1), "")</f>
        <v/>
      </c>
      <c r="AT211" s="142" t="str">
        <f>IFERROR(ROUND((tblPiNHistorical[[#This Row],[Health New]]-tblPiNHistorical[[#This Row],[Health Old]])/tblPiNHistorical[[#This Row],[Health Old]], 1), "")</f>
        <v/>
      </c>
      <c r="AU211" s="140" t="str">
        <f>IFERROR(ROUND((tblPiNHistorical[[#This Row],[Nutrition New]]-tblPiNHistorical[[#This Row],[Nutrition Old]])/tblPiNHistorical[[#This Row],[Nutrition Old]], 1), "")</f>
        <v/>
      </c>
      <c r="AV211" s="140" t="str">
        <f>IFERROR(ROUND((tblPiNHistorical[[#This Row],[Protection New]]-tblPiNHistorical[[#This Row],[Protection Old]])/tblPiNHistorical[[#This Row],[Protection Old]], 1), "")</f>
        <v/>
      </c>
      <c r="AW211" s="84" t="str">
        <f>IFERROR(ROUND((tblPiNHistorical[[#This Row],[CP New]]-tblPiNHistorical[[#This Row],[CP Old ]])/tblPiNHistorical[[#This Row],[CP Old ]], 1), "")</f>
        <v/>
      </c>
      <c r="AX211" s="84" t="str">
        <f>IFERROR(ROUND((tblPiNHistorical[[#This Row],[GBV New]]-tblPiNHistorical[[#This Row],[GBV Old]])/tblPiNHistorical[[#This Row],[GBV Old]], 1), "")</f>
        <v/>
      </c>
      <c r="AY211" s="84" t="str">
        <f>IFERROR(ROUND((tblPiNHistorical[[#This Row],[Mine Action New]]-tblPiNHistorical[[#This Row],[Mine Action Old]])/tblPiNHistorical[[#This Row],[Mine Action Old]], 1), "")</f>
        <v/>
      </c>
      <c r="AZ211" s="140" t="str">
        <f>IFERROR(ROUND((tblPiNHistorical[[#This Row],[Shelter NFI New]]-tblPiNHistorical[[#This Row],[Shelter NFI Old]])/tblPiNHistorical[[#This Row],[Shelter NFI Old]], 1), "")</f>
        <v/>
      </c>
      <c r="BA211" s="31" t="str">
        <f>IFERROR(ROUND((tblPiNHistorical[[#This Row],[WASH New]]-tblPiNHistorical[[#This Row],[WASH Old]])/tblPiNHistorical[[#This Row],[WASH Old]], 1), "")</f>
        <v/>
      </c>
    </row>
    <row r="212" spans="1:53" ht="38.25" x14ac:dyDescent="0.25">
      <c r="A212"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RefugeesSD06131</v>
      </c>
      <c r="B212" s="134" t="s">
        <v>141</v>
      </c>
      <c r="C212" s="124" t="s">
        <v>123</v>
      </c>
      <c r="D212" s="124" t="s">
        <v>152</v>
      </c>
      <c r="E212" s="59" t="s">
        <v>151</v>
      </c>
      <c r="F212" s="54"/>
      <c r="G212" s="29"/>
      <c r="H212" s="53">
        <v>0</v>
      </c>
      <c r="I212" s="53" t="s">
        <v>90</v>
      </c>
      <c r="J212" s="34">
        <v>0</v>
      </c>
      <c r="K212" s="116">
        <v>0</v>
      </c>
      <c r="L212" s="114">
        <v>0</v>
      </c>
      <c r="M212" s="114">
        <v>0</v>
      </c>
      <c r="N212" s="114">
        <v>0</v>
      </c>
      <c r="O212" s="114">
        <v>0</v>
      </c>
      <c r="P212" s="114">
        <v>0</v>
      </c>
      <c r="Q212" s="114">
        <v>0</v>
      </c>
      <c r="R212" s="114">
        <v>0</v>
      </c>
      <c r="S212" s="114">
        <v>0</v>
      </c>
      <c r="T212" s="196">
        <v>0</v>
      </c>
      <c r="U212" s="52" t="str">
        <f>IFERROR(INDEX(tblPiNAnalysis[[Site Management ]], MATCH(tblPiNHistorical[[#This Row],[ID]], tblPiNAnalysis[ID], 0)), "")</f>
        <v/>
      </c>
      <c r="V212" s="52" t="str">
        <f>IFERROR(INDEX(tblPiNAnalysis[Education], MATCH(tblPiNHistorical[[#This Row],[ID]], tblPiNAnalysis[ID], 0)), "")</f>
        <v/>
      </c>
      <c r="W212" s="28" t="str">
        <f>IFERROR(INDEX(tblPiNAnalysis[Food Security and Livlihoods], MATCH(tblPiNHistorical[[#This Row],[ID]], tblPiNAnalysis[ID], 0)), "")</f>
        <v/>
      </c>
      <c r="X212" s="28" t="str">
        <f>IFERROR(INDEX(tblPiNAnalysis[[Health ]], MATCH(tblPiNHistorical[[#This Row],[ID]], tblPiNAnalysis[ID], 0)), "")</f>
        <v/>
      </c>
      <c r="Y212" s="28" t="str">
        <f>IFERROR(INDEX(tblPiNAnalysis[Nutrition], MATCH(tblPiNHistorical[[#This Row],[ID]], tblPiNAnalysis[ID], 0)), "")</f>
        <v/>
      </c>
      <c r="Z212" s="28" t="str">
        <f>IFERROR(INDEX(tblPiNAnalysis[Protection], MATCH(tblPiNHistorical[[#This Row],[ID]], tblPiNAnalysis[ID], 0)), "")</f>
        <v/>
      </c>
      <c r="AA212" s="28" t="str">
        <f>IFERROR(INDEX(tblPiNAnalysis[CP], MATCH(tblPiNHistorical[[#This Row],[ID]], tblPiNAnalysis[ID], 0)), "")</f>
        <v/>
      </c>
      <c r="AB212" s="83" t="str">
        <f>IFERROR(INDEX(tblPiNAnalysis[GBV], MATCH(tblPiNHistorical[[#This Row],[ID]], tblPiNAnalysis[ID], 0)), "")</f>
        <v/>
      </c>
      <c r="AC212" s="28" t="str">
        <f>IFERROR(INDEX(tblPiNAnalysis[Mine Action], MATCH(tblPiNHistorical[[#This Row],[ID]], tblPiNAnalysis[ID], 0)), "")</f>
        <v/>
      </c>
      <c r="AD212" s="83" t="str">
        <f>IFERROR(INDEX(tblPiNAnalysis[[Shelter NFI ]], MATCH(tblPiNHistorical[[#This Row],[ID]], tblPiNAnalysis[ID], 0)), "")</f>
        <v/>
      </c>
      <c r="AE212" s="28" t="str">
        <f>IFERROR(INDEX(tblPiNAnalysis[WASH], MATCH(tblPiNHistorical[[#This Row],[ID]], tblPiNAnalysis[ID], 0)), "")</f>
        <v/>
      </c>
      <c r="AF212"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212" s="136" t="str">
        <f>IF(OR(tblPiNHistorical[[#This Row],[Education Old]]="", tblPiNHistorical[[#This Row],[Education Old]]=0, tblPiNHistorical[[#This Row],[Education New]]="", tblPiNHistorical[[#This Row],[Education New]]=0), "", tblPiNHistorical[[#This Row],[Education New]]-tblPiNHistorical[[#This Row],[Education Old]])</f>
        <v/>
      </c>
      <c r="AH212"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212" s="137" t="str">
        <f>IF(OR(tblPiNHistorical[[#This Row],[Health Old]]="", tblPiNHistorical[[#This Row],[Health Old]]=0, tblPiNHistorical[[#This Row],[Health New]]="", tblPiNHistorical[[#This Row],[Health New]]=0), "", tblPiNHistorical[[#This Row],[Health New]]-tblPiNHistorical[[#This Row],[Health Old]])</f>
        <v/>
      </c>
      <c r="AJ212" s="136" t="str">
        <f>IF(OR(tblPiNHistorical[[#This Row],[Nutrition Old]]="", tblPiNHistorical[[#This Row],[Nutrition Old]]=0, tblPiNHistorical[[#This Row],[Nutrition New]]="", tblPiNHistorical[[#This Row],[Nutrition New]]=0), "", tblPiNHistorical[[#This Row],[Nutrition New]]-tblPiNHistorical[[#This Row],[Nutrition Old]])</f>
        <v/>
      </c>
      <c r="AK212" s="136" t="str">
        <f>IF(OR(tblPiNHistorical[[#This Row],[Protection Old]]="", tblPiNHistorical[[#This Row],[Protection Old]]=0, tblPiNHistorical[[#This Row],[Protection New]]="", tblPiNHistorical[[#This Row],[Protection New]]=0), "", tblPiNHistorical[[#This Row],[Protection New]]-tblPiNHistorical[[#This Row],[Protection Old]])</f>
        <v/>
      </c>
      <c r="AL212" s="136" t="str">
        <f>IF(OR(tblPiNHistorical[[#This Row],[CP Old ]]="", tblPiNHistorical[[#This Row],[CP Old ]]=0, tblPiNHistorical[[#This Row],[CP New]]="", tblPiNHistorical[[#This Row],[CP New]]=0), "", tblPiNHistorical[[#This Row],[CP New]]-tblPiNHistorical[[#This Row],[CP Old ]])</f>
        <v/>
      </c>
      <c r="AM212" s="83" t="str">
        <f>IF(OR(tblPiNHistorical[[#This Row],[GBV Old]]="", tblPiNHistorical[[#This Row],[GBV Old]]=0, tblPiNHistorical[[#This Row],[GBV New]]="", tblPiNHistorical[[#This Row],[GBV New]]=0), "", tblPiNHistorical[[#This Row],[GBV New]]-tblPiNHistorical[[#This Row],[GBV Old]])</f>
        <v/>
      </c>
      <c r="AN212" s="83" t="str">
        <f>IF(OR(tblPiNHistorical[[#This Row],[Mine Action Old]]="", tblPiNHistorical[[#This Row],[Mine Action Old]]=0, tblPiNHistorical[[#This Row],[Mine Action New]]="", tblPiNHistorical[[#This Row],[Mine Action New]]=0), "", tblPiNHistorical[[#This Row],[Mine Action New]]-tblPiNHistorical[[#This Row],[Mine Action Old]])</f>
        <v/>
      </c>
      <c r="AO212" s="136" t="str">
        <f>IF(OR(tblPiNHistorical[[#This Row],[Shelter NFI Old]]="", tblPiNHistorical[[#This Row],[Shelter NFI Old]]=0, tblPiNHistorical[[#This Row],[Shelter NFI New]]="", tblPiNHistorical[[#This Row],[Shelter NFI New]]=0), "", tblPiNHistorical[[#This Row],[Shelter NFI New]]-tblPiNHistorical[[#This Row],[Shelter NFI Old]])</f>
        <v/>
      </c>
      <c r="AP212" s="138" t="str">
        <f>IF(OR(tblPiNHistorical[[#This Row],[WASH Old]]="", tblPiNHistorical[[#This Row],[WASH Old]]=0, tblPiNHistorical[[#This Row],[WASH New]]="", tblPiNHistorical[[#This Row],[WASH New]]=0), "", tblPiNHistorical[[#This Row],[WASH New]]-tblPiNHistorical[[#This Row],[WASH Old]])</f>
        <v/>
      </c>
      <c r="AQ212" s="139" t="str">
        <f>IFERROR(ROUND((tblPiNHistorical[[#This Row],[Site Management - New]] - tblPiNHistorical[[#This Row],[Site Management - Old]])/tblPiNHistorical[[#This Row],[Site Management - Old]], 1), "")</f>
        <v/>
      </c>
      <c r="AR212" s="140" t="str">
        <f>IFERROR(ROUND((tblPiNHistorical[[#This Row],[Education New]]-tblPiNHistorical[[#This Row],[Education Old]])/tblPiNHistorical[[#This Row],[Education Old]], 1), "")</f>
        <v/>
      </c>
      <c r="AS212" s="141" t="str">
        <f>IFERROR(ROUND((tblPiNHistorical[[#This Row],[Food Security and Livlihoods New]]-tblPiNHistorical[[#This Row],[Food Security and Livlihoods Old]])/tblPiNHistorical[[#This Row],[Food Security and Livlihoods Old]], 1), "")</f>
        <v/>
      </c>
      <c r="AT212" s="142" t="str">
        <f>IFERROR(ROUND((tblPiNHistorical[[#This Row],[Health New]]-tblPiNHistorical[[#This Row],[Health Old]])/tblPiNHistorical[[#This Row],[Health Old]], 1), "")</f>
        <v/>
      </c>
      <c r="AU212" s="140" t="str">
        <f>IFERROR(ROUND((tblPiNHistorical[[#This Row],[Nutrition New]]-tblPiNHistorical[[#This Row],[Nutrition Old]])/tblPiNHistorical[[#This Row],[Nutrition Old]], 1), "")</f>
        <v/>
      </c>
      <c r="AV212" s="140" t="str">
        <f>IFERROR(ROUND((tblPiNHistorical[[#This Row],[Protection New]]-tblPiNHistorical[[#This Row],[Protection Old]])/tblPiNHistorical[[#This Row],[Protection Old]], 1), "")</f>
        <v/>
      </c>
      <c r="AW212" s="84" t="str">
        <f>IFERROR(ROUND((tblPiNHistorical[[#This Row],[CP New]]-tblPiNHistorical[[#This Row],[CP Old ]])/tblPiNHistorical[[#This Row],[CP Old ]], 1), "")</f>
        <v/>
      </c>
      <c r="AX212" s="84" t="str">
        <f>IFERROR(ROUND((tblPiNHistorical[[#This Row],[GBV New]]-tblPiNHistorical[[#This Row],[GBV Old]])/tblPiNHistorical[[#This Row],[GBV Old]], 1), "")</f>
        <v/>
      </c>
      <c r="AY212" s="84" t="str">
        <f>IFERROR(ROUND((tblPiNHistorical[[#This Row],[Mine Action New]]-tblPiNHistorical[[#This Row],[Mine Action Old]])/tblPiNHistorical[[#This Row],[Mine Action Old]], 1), "")</f>
        <v/>
      </c>
      <c r="AZ212" s="140" t="str">
        <f>IFERROR(ROUND((tblPiNHistorical[[#This Row],[Shelter NFI New]]-tblPiNHistorical[[#This Row],[Shelter NFI Old]])/tblPiNHistorical[[#This Row],[Shelter NFI Old]], 1), "")</f>
        <v/>
      </c>
      <c r="BA212" s="31" t="str">
        <f>IFERROR(ROUND((tblPiNHistorical[[#This Row],[WASH New]]-tblPiNHistorical[[#This Row],[WASH Old]])/tblPiNHistorical[[#This Row],[WASH Old]], 1), "")</f>
        <v/>
      </c>
    </row>
    <row r="213" spans="1:53" ht="38.25" x14ac:dyDescent="0.25">
      <c r="A213"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RefugeesSD06130</v>
      </c>
      <c r="B213" s="134" t="s">
        <v>141</v>
      </c>
      <c r="C213" s="124" t="s">
        <v>123</v>
      </c>
      <c r="D213" s="124" t="s">
        <v>149</v>
      </c>
      <c r="E213" s="59" t="s">
        <v>148</v>
      </c>
      <c r="F213" s="54"/>
      <c r="G213" s="29"/>
      <c r="H213" s="53">
        <v>6</v>
      </c>
      <c r="I213" s="53" t="s">
        <v>90</v>
      </c>
      <c r="J213" s="34">
        <v>0</v>
      </c>
      <c r="K213" s="116">
        <v>2</v>
      </c>
      <c r="L213" s="114">
        <v>6</v>
      </c>
      <c r="M213" s="114">
        <v>3</v>
      </c>
      <c r="N213" s="114">
        <v>0</v>
      </c>
      <c r="O213" s="114">
        <v>6</v>
      </c>
      <c r="P213" s="114">
        <v>0.71399999999999997</v>
      </c>
      <c r="Q213" s="114">
        <v>1.9980000000000002</v>
      </c>
      <c r="R213" s="114">
        <v>0</v>
      </c>
      <c r="S213" s="114">
        <v>0</v>
      </c>
      <c r="T213" s="196">
        <v>5</v>
      </c>
      <c r="U213" s="52" t="str">
        <f>IFERROR(INDEX(tblPiNAnalysis[[Site Management ]], MATCH(tblPiNHistorical[[#This Row],[ID]], tblPiNAnalysis[ID], 0)), "")</f>
        <v/>
      </c>
      <c r="V213" s="52" t="str">
        <f>IFERROR(INDEX(tblPiNAnalysis[Education], MATCH(tblPiNHistorical[[#This Row],[ID]], tblPiNAnalysis[ID], 0)), "")</f>
        <v/>
      </c>
      <c r="W213" s="28" t="str">
        <f>IFERROR(INDEX(tblPiNAnalysis[Food Security and Livlihoods], MATCH(tblPiNHistorical[[#This Row],[ID]], tblPiNAnalysis[ID], 0)), "")</f>
        <v/>
      </c>
      <c r="X213" s="28" t="str">
        <f>IFERROR(INDEX(tblPiNAnalysis[[Health ]], MATCH(tblPiNHistorical[[#This Row],[ID]], tblPiNAnalysis[ID], 0)), "")</f>
        <v/>
      </c>
      <c r="Y213" s="28" t="str">
        <f>IFERROR(INDEX(tblPiNAnalysis[Nutrition], MATCH(tblPiNHistorical[[#This Row],[ID]], tblPiNAnalysis[ID], 0)), "")</f>
        <v/>
      </c>
      <c r="Z213" s="28" t="str">
        <f>IFERROR(INDEX(tblPiNAnalysis[Protection], MATCH(tblPiNHistorical[[#This Row],[ID]], tblPiNAnalysis[ID], 0)), "")</f>
        <v/>
      </c>
      <c r="AA213" s="28" t="str">
        <f>IFERROR(INDEX(tblPiNAnalysis[CP], MATCH(tblPiNHistorical[[#This Row],[ID]], tblPiNAnalysis[ID], 0)), "")</f>
        <v/>
      </c>
      <c r="AB213" s="83" t="str">
        <f>IFERROR(INDEX(tblPiNAnalysis[GBV], MATCH(tblPiNHistorical[[#This Row],[ID]], tblPiNAnalysis[ID], 0)), "")</f>
        <v/>
      </c>
      <c r="AC213" s="28" t="str">
        <f>IFERROR(INDEX(tblPiNAnalysis[Mine Action], MATCH(tblPiNHistorical[[#This Row],[ID]], tblPiNAnalysis[ID], 0)), "")</f>
        <v/>
      </c>
      <c r="AD213" s="83" t="str">
        <f>IFERROR(INDEX(tblPiNAnalysis[[Shelter NFI ]], MATCH(tblPiNHistorical[[#This Row],[ID]], tblPiNAnalysis[ID], 0)), "")</f>
        <v/>
      </c>
      <c r="AE213" s="28" t="str">
        <f>IFERROR(INDEX(tblPiNAnalysis[WASH], MATCH(tblPiNHistorical[[#This Row],[ID]], tblPiNAnalysis[ID], 0)), "")</f>
        <v/>
      </c>
      <c r="AF213"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213" s="136" t="str">
        <f>IF(OR(tblPiNHistorical[[#This Row],[Education Old]]="", tblPiNHistorical[[#This Row],[Education Old]]=0, tblPiNHistorical[[#This Row],[Education New]]="", tblPiNHistorical[[#This Row],[Education New]]=0), "", tblPiNHistorical[[#This Row],[Education New]]-tblPiNHistorical[[#This Row],[Education Old]])</f>
        <v/>
      </c>
      <c r="AH213"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213" s="137" t="str">
        <f>IF(OR(tblPiNHistorical[[#This Row],[Health Old]]="", tblPiNHistorical[[#This Row],[Health Old]]=0, tblPiNHistorical[[#This Row],[Health New]]="", tblPiNHistorical[[#This Row],[Health New]]=0), "", tblPiNHistorical[[#This Row],[Health New]]-tblPiNHistorical[[#This Row],[Health Old]])</f>
        <v/>
      </c>
      <c r="AJ213" s="136" t="str">
        <f>IF(OR(tblPiNHistorical[[#This Row],[Nutrition Old]]="", tblPiNHistorical[[#This Row],[Nutrition Old]]=0, tblPiNHistorical[[#This Row],[Nutrition New]]="", tblPiNHistorical[[#This Row],[Nutrition New]]=0), "", tblPiNHistorical[[#This Row],[Nutrition New]]-tblPiNHistorical[[#This Row],[Nutrition Old]])</f>
        <v/>
      </c>
      <c r="AK213" s="136" t="str">
        <f>IF(OR(tblPiNHistorical[[#This Row],[Protection Old]]="", tblPiNHistorical[[#This Row],[Protection Old]]=0, tblPiNHistorical[[#This Row],[Protection New]]="", tblPiNHistorical[[#This Row],[Protection New]]=0), "", tblPiNHistorical[[#This Row],[Protection New]]-tblPiNHistorical[[#This Row],[Protection Old]])</f>
        <v/>
      </c>
      <c r="AL213" s="136" t="str">
        <f>IF(OR(tblPiNHistorical[[#This Row],[CP Old ]]="", tblPiNHistorical[[#This Row],[CP Old ]]=0, tblPiNHistorical[[#This Row],[CP New]]="", tblPiNHistorical[[#This Row],[CP New]]=0), "", tblPiNHistorical[[#This Row],[CP New]]-tblPiNHistorical[[#This Row],[CP Old ]])</f>
        <v/>
      </c>
      <c r="AM213" s="83" t="str">
        <f>IF(OR(tblPiNHistorical[[#This Row],[GBV Old]]="", tblPiNHistorical[[#This Row],[GBV Old]]=0, tblPiNHistorical[[#This Row],[GBV New]]="", tblPiNHistorical[[#This Row],[GBV New]]=0), "", tblPiNHistorical[[#This Row],[GBV New]]-tblPiNHistorical[[#This Row],[GBV Old]])</f>
        <v/>
      </c>
      <c r="AN213" s="83" t="str">
        <f>IF(OR(tblPiNHistorical[[#This Row],[Mine Action Old]]="", tblPiNHistorical[[#This Row],[Mine Action Old]]=0, tblPiNHistorical[[#This Row],[Mine Action New]]="", tblPiNHistorical[[#This Row],[Mine Action New]]=0), "", tblPiNHistorical[[#This Row],[Mine Action New]]-tblPiNHistorical[[#This Row],[Mine Action Old]])</f>
        <v/>
      </c>
      <c r="AO213" s="136" t="str">
        <f>IF(OR(tblPiNHistorical[[#This Row],[Shelter NFI Old]]="", tblPiNHistorical[[#This Row],[Shelter NFI Old]]=0, tblPiNHistorical[[#This Row],[Shelter NFI New]]="", tblPiNHistorical[[#This Row],[Shelter NFI New]]=0), "", tblPiNHistorical[[#This Row],[Shelter NFI New]]-tblPiNHistorical[[#This Row],[Shelter NFI Old]])</f>
        <v/>
      </c>
      <c r="AP213" s="138" t="str">
        <f>IF(OR(tblPiNHistorical[[#This Row],[WASH Old]]="", tblPiNHistorical[[#This Row],[WASH Old]]=0, tblPiNHistorical[[#This Row],[WASH New]]="", tblPiNHistorical[[#This Row],[WASH New]]=0), "", tblPiNHistorical[[#This Row],[WASH New]]-tblPiNHistorical[[#This Row],[WASH Old]])</f>
        <v/>
      </c>
      <c r="AQ213" s="139" t="str">
        <f>IFERROR(ROUND((tblPiNHistorical[[#This Row],[Site Management - New]] - tblPiNHistorical[[#This Row],[Site Management - Old]])/tblPiNHistorical[[#This Row],[Site Management - Old]], 1), "")</f>
        <v/>
      </c>
      <c r="AR213" s="140" t="str">
        <f>IFERROR(ROUND((tblPiNHistorical[[#This Row],[Education New]]-tblPiNHistorical[[#This Row],[Education Old]])/tblPiNHistorical[[#This Row],[Education Old]], 1), "")</f>
        <v/>
      </c>
      <c r="AS213" s="141" t="str">
        <f>IFERROR(ROUND((tblPiNHistorical[[#This Row],[Food Security and Livlihoods New]]-tblPiNHistorical[[#This Row],[Food Security and Livlihoods Old]])/tblPiNHistorical[[#This Row],[Food Security and Livlihoods Old]], 1), "")</f>
        <v/>
      </c>
      <c r="AT213" s="142" t="str">
        <f>IFERROR(ROUND((tblPiNHistorical[[#This Row],[Health New]]-tblPiNHistorical[[#This Row],[Health Old]])/tblPiNHistorical[[#This Row],[Health Old]], 1), "")</f>
        <v/>
      </c>
      <c r="AU213" s="140" t="str">
        <f>IFERROR(ROUND((tblPiNHistorical[[#This Row],[Nutrition New]]-tblPiNHistorical[[#This Row],[Nutrition Old]])/tblPiNHistorical[[#This Row],[Nutrition Old]], 1), "")</f>
        <v/>
      </c>
      <c r="AV213" s="140" t="str">
        <f>IFERROR(ROUND((tblPiNHistorical[[#This Row],[Protection New]]-tblPiNHistorical[[#This Row],[Protection Old]])/tblPiNHistorical[[#This Row],[Protection Old]], 1), "")</f>
        <v/>
      </c>
      <c r="AW213" s="84" t="str">
        <f>IFERROR(ROUND((tblPiNHistorical[[#This Row],[CP New]]-tblPiNHistorical[[#This Row],[CP Old ]])/tblPiNHistorical[[#This Row],[CP Old ]], 1), "")</f>
        <v/>
      </c>
      <c r="AX213" s="84" t="str">
        <f>IFERROR(ROUND((tblPiNHistorical[[#This Row],[GBV New]]-tblPiNHistorical[[#This Row],[GBV Old]])/tblPiNHistorical[[#This Row],[GBV Old]], 1), "")</f>
        <v/>
      </c>
      <c r="AY213" s="84" t="str">
        <f>IFERROR(ROUND((tblPiNHistorical[[#This Row],[Mine Action New]]-tblPiNHistorical[[#This Row],[Mine Action Old]])/tblPiNHistorical[[#This Row],[Mine Action Old]], 1), "")</f>
        <v/>
      </c>
      <c r="AZ213" s="140" t="str">
        <f>IFERROR(ROUND((tblPiNHistorical[[#This Row],[Shelter NFI New]]-tblPiNHistorical[[#This Row],[Shelter NFI Old]])/tblPiNHistorical[[#This Row],[Shelter NFI Old]], 1), "")</f>
        <v/>
      </c>
      <c r="BA213" s="31" t="str">
        <f>IFERROR(ROUND((tblPiNHistorical[[#This Row],[WASH New]]-tblPiNHistorical[[#This Row],[WASH Old]])/tblPiNHistorical[[#This Row],[WASH Old]], 1), "")</f>
        <v/>
      </c>
    </row>
    <row r="214" spans="1:53" ht="38.25" x14ac:dyDescent="0.25">
      <c r="A214"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RefugeesSD06132</v>
      </c>
      <c r="B214" s="134" t="s">
        <v>141</v>
      </c>
      <c r="C214" s="124" t="s">
        <v>123</v>
      </c>
      <c r="D214" s="124" t="s">
        <v>154</v>
      </c>
      <c r="E214" s="59" t="s">
        <v>153</v>
      </c>
      <c r="F214" s="54"/>
      <c r="G214" s="29"/>
      <c r="H214" s="53">
        <v>0</v>
      </c>
      <c r="I214" s="53" t="s">
        <v>90</v>
      </c>
      <c r="J214" s="34">
        <v>0</v>
      </c>
      <c r="K214" s="116">
        <v>0</v>
      </c>
      <c r="L214" s="114">
        <v>0</v>
      </c>
      <c r="M214" s="114">
        <v>0</v>
      </c>
      <c r="N214" s="114">
        <v>0</v>
      </c>
      <c r="O214" s="114">
        <v>0</v>
      </c>
      <c r="P214" s="114">
        <v>0</v>
      </c>
      <c r="Q214" s="114">
        <v>0</v>
      </c>
      <c r="R214" s="114">
        <v>0</v>
      </c>
      <c r="S214" s="114">
        <v>0</v>
      </c>
      <c r="T214" s="196">
        <v>0</v>
      </c>
      <c r="U214" s="52" t="str">
        <f>IFERROR(INDEX(tblPiNAnalysis[[Site Management ]], MATCH(tblPiNHistorical[[#This Row],[ID]], tblPiNAnalysis[ID], 0)), "")</f>
        <v/>
      </c>
      <c r="V214" s="52" t="str">
        <f>IFERROR(INDEX(tblPiNAnalysis[Education], MATCH(tblPiNHistorical[[#This Row],[ID]], tblPiNAnalysis[ID], 0)), "")</f>
        <v/>
      </c>
      <c r="W214" s="28" t="str">
        <f>IFERROR(INDEX(tblPiNAnalysis[Food Security and Livlihoods], MATCH(tblPiNHistorical[[#This Row],[ID]], tblPiNAnalysis[ID], 0)), "")</f>
        <v/>
      </c>
      <c r="X214" s="28" t="str">
        <f>IFERROR(INDEX(tblPiNAnalysis[[Health ]], MATCH(tblPiNHistorical[[#This Row],[ID]], tblPiNAnalysis[ID], 0)), "")</f>
        <v/>
      </c>
      <c r="Y214" s="28" t="str">
        <f>IFERROR(INDEX(tblPiNAnalysis[Nutrition], MATCH(tblPiNHistorical[[#This Row],[ID]], tblPiNAnalysis[ID], 0)), "")</f>
        <v/>
      </c>
      <c r="Z214" s="28" t="str">
        <f>IFERROR(INDEX(tblPiNAnalysis[Protection], MATCH(tblPiNHistorical[[#This Row],[ID]], tblPiNAnalysis[ID], 0)), "")</f>
        <v/>
      </c>
      <c r="AA214" s="28" t="str">
        <f>IFERROR(INDEX(tblPiNAnalysis[CP], MATCH(tblPiNHistorical[[#This Row],[ID]], tblPiNAnalysis[ID], 0)), "")</f>
        <v/>
      </c>
      <c r="AB214" s="83" t="str">
        <f>IFERROR(INDEX(tblPiNAnalysis[GBV], MATCH(tblPiNHistorical[[#This Row],[ID]], tblPiNAnalysis[ID], 0)), "")</f>
        <v/>
      </c>
      <c r="AC214" s="28" t="str">
        <f>IFERROR(INDEX(tblPiNAnalysis[Mine Action], MATCH(tblPiNHistorical[[#This Row],[ID]], tblPiNAnalysis[ID], 0)), "")</f>
        <v/>
      </c>
      <c r="AD214" s="83" t="str">
        <f>IFERROR(INDEX(tblPiNAnalysis[[Shelter NFI ]], MATCH(tblPiNHistorical[[#This Row],[ID]], tblPiNAnalysis[ID], 0)), "")</f>
        <v/>
      </c>
      <c r="AE214" s="28" t="str">
        <f>IFERROR(INDEX(tblPiNAnalysis[WASH], MATCH(tblPiNHistorical[[#This Row],[ID]], tblPiNAnalysis[ID], 0)), "")</f>
        <v/>
      </c>
      <c r="AF214"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214" s="136" t="str">
        <f>IF(OR(tblPiNHistorical[[#This Row],[Education Old]]="", tblPiNHistorical[[#This Row],[Education Old]]=0, tblPiNHistorical[[#This Row],[Education New]]="", tblPiNHistorical[[#This Row],[Education New]]=0), "", tblPiNHistorical[[#This Row],[Education New]]-tblPiNHistorical[[#This Row],[Education Old]])</f>
        <v/>
      </c>
      <c r="AH214"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214" s="137" t="str">
        <f>IF(OR(tblPiNHistorical[[#This Row],[Health Old]]="", tblPiNHistorical[[#This Row],[Health Old]]=0, tblPiNHistorical[[#This Row],[Health New]]="", tblPiNHistorical[[#This Row],[Health New]]=0), "", tblPiNHistorical[[#This Row],[Health New]]-tblPiNHistorical[[#This Row],[Health Old]])</f>
        <v/>
      </c>
      <c r="AJ214" s="136" t="str">
        <f>IF(OR(tblPiNHistorical[[#This Row],[Nutrition Old]]="", tblPiNHistorical[[#This Row],[Nutrition Old]]=0, tblPiNHistorical[[#This Row],[Nutrition New]]="", tblPiNHistorical[[#This Row],[Nutrition New]]=0), "", tblPiNHistorical[[#This Row],[Nutrition New]]-tblPiNHistorical[[#This Row],[Nutrition Old]])</f>
        <v/>
      </c>
      <c r="AK214" s="136" t="str">
        <f>IF(OR(tblPiNHistorical[[#This Row],[Protection Old]]="", tblPiNHistorical[[#This Row],[Protection Old]]=0, tblPiNHistorical[[#This Row],[Protection New]]="", tblPiNHistorical[[#This Row],[Protection New]]=0), "", tblPiNHistorical[[#This Row],[Protection New]]-tblPiNHistorical[[#This Row],[Protection Old]])</f>
        <v/>
      </c>
      <c r="AL214" s="136" t="str">
        <f>IF(OR(tblPiNHistorical[[#This Row],[CP Old ]]="", tblPiNHistorical[[#This Row],[CP Old ]]=0, tblPiNHistorical[[#This Row],[CP New]]="", tblPiNHistorical[[#This Row],[CP New]]=0), "", tblPiNHistorical[[#This Row],[CP New]]-tblPiNHistorical[[#This Row],[CP Old ]])</f>
        <v/>
      </c>
      <c r="AM214" s="83" t="str">
        <f>IF(OR(tblPiNHistorical[[#This Row],[GBV Old]]="", tblPiNHistorical[[#This Row],[GBV Old]]=0, tblPiNHistorical[[#This Row],[GBV New]]="", tblPiNHistorical[[#This Row],[GBV New]]=0), "", tblPiNHistorical[[#This Row],[GBV New]]-tblPiNHistorical[[#This Row],[GBV Old]])</f>
        <v/>
      </c>
      <c r="AN214" s="83" t="str">
        <f>IF(OR(tblPiNHistorical[[#This Row],[Mine Action Old]]="", tblPiNHistorical[[#This Row],[Mine Action Old]]=0, tblPiNHistorical[[#This Row],[Mine Action New]]="", tblPiNHistorical[[#This Row],[Mine Action New]]=0), "", tblPiNHistorical[[#This Row],[Mine Action New]]-tblPiNHistorical[[#This Row],[Mine Action Old]])</f>
        <v/>
      </c>
      <c r="AO214" s="136" t="str">
        <f>IF(OR(tblPiNHistorical[[#This Row],[Shelter NFI Old]]="", tblPiNHistorical[[#This Row],[Shelter NFI Old]]=0, tblPiNHistorical[[#This Row],[Shelter NFI New]]="", tblPiNHistorical[[#This Row],[Shelter NFI New]]=0), "", tblPiNHistorical[[#This Row],[Shelter NFI New]]-tblPiNHistorical[[#This Row],[Shelter NFI Old]])</f>
        <v/>
      </c>
      <c r="AP214" s="138" t="str">
        <f>IF(OR(tblPiNHistorical[[#This Row],[WASH Old]]="", tblPiNHistorical[[#This Row],[WASH Old]]=0, tblPiNHistorical[[#This Row],[WASH New]]="", tblPiNHistorical[[#This Row],[WASH New]]=0), "", tblPiNHistorical[[#This Row],[WASH New]]-tblPiNHistorical[[#This Row],[WASH Old]])</f>
        <v/>
      </c>
      <c r="AQ214" s="139" t="str">
        <f>IFERROR(ROUND((tblPiNHistorical[[#This Row],[Site Management - New]] - tblPiNHistorical[[#This Row],[Site Management - Old]])/tblPiNHistorical[[#This Row],[Site Management - Old]], 1), "")</f>
        <v/>
      </c>
      <c r="AR214" s="140" t="str">
        <f>IFERROR(ROUND((tblPiNHistorical[[#This Row],[Education New]]-tblPiNHistorical[[#This Row],[Education Old]])/tblPiNHistorical[[#This Row],[Education Old]], 1), "")</f>
        <v/>
      </c>
      <c r="AS214" s="141" t="str">
        <f>IFERROR(ROUND((tblPiNHistorical[[#This Row],[Food Security and Livlihoods New]]-tblPiNHistorical[[#This Row],[Food Security and Livlihoods Old]])/tblPiNHistorical[[#This Row],[Food Security and Livlihoods Old]], 1), "")</f>
        <v/>
      </c>
      <c r="AT214" s="142" t="str">
        <f>IFERROR(ROUND((tblPiNHistorical[[#This Row],[Health New]]-tblPiNHistorical[[#This Row],[Health Old]])/tblPiNHistorical[[#This Row],[Health Old]], 1), "")</f>
        <v/>
      </c>
      <c r="AU214" s="140" t="str">
        <f>IFERROR(ROUND((tblPiNHistorical[[#This Row],[Nutrition New]]-tblPiNHistorical[[#This Row],[Nutrition Old]])/tblPiNHistorical[[#This Row],[Nutrition Old]], 1), "")</f>
        <v/>
      </c>
      <c r="AV214" s="140" t="str">
        <f>IFERROR(ROUND((tblPiNHistorical[[#This Row],[Protection New]]-tblPiNHistorical[[#This Row],[Protection Old]])/tblPiNHistorical[[#This Row],[Protection Old]], 1), "")</f>
        <v/>
      </c>
      <c r="AW214" s="84" t="str">
        <f>IFERROR(ROUND((tblPiNHistorical[[#This Row],[CP New]]-tblPiNHistorical[[#This Row],[CP Old ]])/tblPiNHistorical[[#This Row],[CP Old ]], 1), "")</f>
        <v/>
      </c>
      <c r="AX214" s="84" t="str">
        <f>IFERROR(ROUND((tblPiNHistorical[[#This Row],[GBV New]]-tblPiNHistorical[[#This Row],[GBV Old]])/tblPiNHistorical[[#This Row],[GBV Old]], 1), "")</f>
        <v/>
      </c>
      <c r="AY214" s="84" t="str">
        <f>IFERROR(ROUND((tblPiNHistorical[[#This Row],[Mine Action New]]-tblPiNHistorical[[#This Row],[Mine Action Old]])/tblPiNHistorical[[#This Row],[Mine Action Old]], 1), "")</f>
        <v/>
      </c>
      <c r="AZ214" s="140" t="str">
        <f>IFERROR(ROUND((tblPiNHistorical[[#This Row],[Shelter NFI New]]-tblPiNHistorical[[#This Row],[Shelter NFI Old]])/tblPiNHistorical[[#This Row],[Shelter NFI Old]], 1), "")</f>
        <v/>
      </c>
      <c r="BA214" s="31" t="str">
        <f>IFERROR(ROUND((tblPiNHistorical[[#This Row],[WASH New]]-tblPiNHistorical[[#This Row],[WASH Old]])/tblPiNHistorical[[#This Row],[WASH Old]], 1), "")</f>
        <v/>
      </c>
    </row>
    <row r="215" spans="1:53" ht="38.25" x14ac:dyDescent="0.25">
      <c r="A215"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RefugeesSD06135</v>
      </c>
      <c r="B215" s="134" t="s">
        <v>141</v>
      </c>
      <c r="C215" s="124" t="s">
        <v>123</v>
      </c>
      <c r="D215" s="124" t="s">
        <v>157</v>
      </c>
      <c r="E215" s="59" t="s">
        <v>156</v>
      </c>
      <c r="F215" s="54"/>
      <c r="G215" s="29"/>
      <c r="H215" s="53">
        <v>0</v>
      </c>
      <c r="I215" s="53" t="s">
        <v>90</v>
      </c>
      <c r="J215" s="34">
        <v>0</v>
      </c>
      <c r="K215" s="116">
        <v>0</v>
      </c>
      <c r="L215" s="114">
        <v>0</v>
      </c>
      <c r="M215" s="114">
        <v>0</v>
      </c>
      <c r="N215" s="114">
        <v>0</v>
      </c>
      <c r="O215" s="114">
        <v>0</v>
      </c>
      <c r="P215" s="114">
        <v>0</v>
      </c>
      <c r="Q215" s="114">
        <v>0</v>
      </c>
      <c r="R215" s="114">
        <v>0</v>
      </c>
      <c r="S215" s="114">
        <v>0</v>
      </c>
      <c r="T215" s="196">
        <v>0</v>
      </c>
      <c r="U215" s="52" t="str">
        <f>IFERROR(INDEX(tblPiNAnalysis[[Site Management ]], MATCH(tblPiNHistorical[[#This Row],[ID]], tblPiNAnalysis[ID], 0)), "")</f>
        <v/>
      </c>
      <c r="V215" s="52" t="str">
        <f>IFERROR(INDEX(tblPiNAnalysis[Education], MATCH(tblPiNHistorical[[#This Row],[ID]], tblPiNAnalysis[ID], 0)), "")</f>
        <v/>
      </c>
      <c r="W215" s="28" t="str">
        <f>IFERROR(INDEX(tblPiNAnalysis[Food Security and Livlihoods], MATCH(tblPiNHistorical[[#This Row],[ID]], tblPiNAnalysis[ID], 0)), "")</f>
        <v/>
      </c>
      <c r="X215" s="28" t="str">
        <f>IFERROR(INDEX(tblPiNAnalysis[[Health ]], MATCH(tblPiNHistorical[[#This Row],[ID]], tblPiNAnalysis[ID], 0)), "")</f>
        <v/>
      </c>
      <c r="Y215" s="28" t="str">
        <f>IFERROR(INDEX(tblPiNAnalysis[Nutrition], MATCH(tblPiNHistorical[[#This Row],[ID]], tblPiNAnalysis[ID], 0)), "")</f>
        <v/>
      </c>
      <c r="Z215" s="28" t="str">
        <f>IFERROR(INDEX(tblPiNAnalysis[Protection], MATCH(tblPiNHistorical[[#This Row],[ID]], tblPiNAnalysis[ID], 0)), "")</f>
        <v/>
      </c>
      <c r="AA215" s="28" t="str">
        <f>IFERROR(INDEX(tblPiNAnalysis[CP], MATCH(tblPiNHistorical[[#This Row],[ID]], tblPiNAnalysis[ID], 0)), "")</f>
        <v/>
      </c>
      <c r="AB215" s="83" t="str">
        <f>IFERROR(INDEX(tblPiNAnalysis[GBV], MATCH(tblPiNHistorical[[#This Row],[ID]], tblPiNAnalysis[ID], 0)), "")</f>
        <v/>
      </c>
      <c r="AC215" s="28" t="str">
        <f>IFERROR(INDEX(tblPiNAnalysis[Mine Action], MATCH(tblPiNHistorical[[#This Row],[ID]], tblPiNAnalysis[ID], 0)), "")</f>
        <v/>
      </c>
      <c r="AD215" s="83" t="str">
        <f>IFERROR(INDEX(tblPiNAnalysis[[Shelter NFI ]], MATCH(tblPiNHistorical[[#This Row],[ID]], tblPiNAnalysis[ID], 0)), "")</f>
        <v/>
      </c>
      <c r="AE215" s="28" t="str">
        <f>IFERROR(INDEX(tblPiNAnalysis[WASH], MATCH(tblPiNHistorical[[#This Row],[ID]], tblPiNAnalysis[ID], 0)), "")</f>
        <v/>
      </c>
      <c r="AF215"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215" s="136" t="str">
        <f>IF(OR(tblPiNHistorical[[#This Row],[Education Old]]="", tblPiNHistorical[[#This Row],[Education Old]]=0, tblPiNHistorical[[#This Row],[Education New]]="", tblPiNHistorical[[#This Row],[Education New]]=0), "", tblPiNHistorical[[#This Row],[Education New]]-tblPiNHistorical[[#This Row],[Education Old]])</f>
        <v/>
      </c>
      <c r="AH215"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215" s="137" t="str">
        <f>IF(OR(tblPiNHistorical[[#This Row],[Health Old]]="", tblPiNHistorical[[#This Row],[Health Old]]=0, tblPiNHistorical[[#This Row],[Health New]]="", tblPiNHistorical[[#This Row],[Health New]]=0), "", tblPiNHistorical[[#This Row],[Health New]]-tblPiNHistorical[[#This Row],[Health Old]])</f>
        <v/>
      </c>
      <c r="AJ215" s="136" t="str">
        <f>IF(OR(tblPiNHistorical[[#This Row],[Nutrition Old]]="", tblPiNHistorical[[#This Row],[Nutrition Old]]=0, tblPiNHistorical[[#This Row],[Nutrition New]]="", tblPiNHistorical[[#This Row],[Nutrition New]]=0), "", tblPiNHistorical[[#This Row],[Nutrition New]]-tblPiNHistorical[[#This Row],[Nutrition Old]])</f>
        <v/>
      </c>
      <c r="AK215" s="136" t="str">
        <f>IF(OR(tblPiNHistorical[[#This Row],[Protection Old]]="", tblPiNHistorical[[#This Row],[Protection Old]]=0, tblPiNHistorical[[#This Row],[Protection New]]="", tblPiNHistorical[[#This Row],[Protection New]]=0), "", tblPiNHistorical[[#This Row],[Protection New]]-tblPiNHistorical[[#This Row],[Protection Old]])</f>
        <v/>
      </c>
      <c r="AL215" s="136" t="str">
        <f>IF(OR(tblPiNHistorical[[#This Row],[CP Old ]]="", tblPiNHistorical[[#This Row],[CP Old ]]=0, tblPiNHistorical[[#This Row],[CP New]]="", tblPiNHistorical[[#This Row],[CP New]]=0), "", tblPiNHistorical[[#This Row],[CP New]]-tblPiNHistorical[[#This Row],[CP Old ]])</f>
        <v/>
      </c>
      <c r="AM215" s="83" t="str">
        <f>IF(OR(tblPiNHistorical[[#This Row],[GBV Old]]="", tblPiNHistorical[[#This Row],[GBV Old]]=0, tblPiNHistorical[[#This Row],[GBV New]]="", tblPiNHistorical[[#This Row],[GBV New]]=0), "", tblPiNHistorical[[#This Row],[GBV New]]-tblPiNHistorical[[#This Row],[GBV Old]])</f>
        <v/>
      </c>
      <c r="AN215" s="83" t="str">
        <f>IF(OR(tblPiNHistorical[[#This Row],[Mine Action Old]]="", tblPiNHistorical[[#This Row],[Mine Action Old]]=0, tblPiNHistorical[[#This Row],[Mine Action New]]="", tblPiNHistorical[[#This Row],[Mine Action New]]=0), "", tblPiNHistorical[[#This Row],[Mine Action New]]-tblPiNHistorical[[#This Row],[Mine Action Old]])</f>
        <v/>
      </c>
      <c r="AO215" s="136" t="str">
        <f>IF(OR(tblPiNHistorical[[#This Row],[Shelter NFI Old]]="", tblPiNHistorical[[#This Row],[Shelter NFI Old]]=0, tblPiNHistorical[[#This Row],[Shelter NFI New]]="", tblPiNHistorical[[#This Row],[Shelter NFI New]]=0), "", tblPiNHistorical[[#This Row],[Shelter NFI New]]-tblPiNHistorical[[#This Row],[Shelter NFI Old]])</f>
        <v/>
      </c>
      <c r="AP215" s="138" t="str">
        <f>IF(OR(tblPiNHistorical[[#This Row],[WASH Old]]="", tblPiNHistorical[[#This Row],[WASH Old]]=0, tblPiNHistorical[[#This Row],[WASH New]]="", tblPiNHistorical[[#This Row],[WASH New]]=0), "", tblPiNHistorical[[#This Row],[WASH New]]-tblPiNHistorical[[#This Row],[WASH Old]])</f>
        <v/>
      </c>
      <c r="AQ215" s="139" t="str">
        <f>IFERROR(ROUND((tblPiNHistorical[[#This Row],[Site Management - New]] - tblPiNHistorical[[#This Row],[Site Management - Old]])/tblPiNHistorical[[#This Row],[Site Management - Old]], 1), "")</f>
        <v/>
      </c>
      <c r="AR215" s="140" t="str">
        <f>IFERROR(ROUND((tblPiNHistorical[[#This Row],[Education New]]-tblPiNHistorical[[#This Row],[Education Old]])/tblPiNHistorical[[#This Row],[Education Old]], 1), "")</f>
        <v/>
      </c>
      <c r="AS215" s="141" t="str">
        <f>IFERROR(ROUND((tblPiNHistorical[[#This Row],[Food Security and Livlihoods New]]-tblPiNHistorical[[#This Row],[Food Security and Livlihoods Old]])/tblPiNHistorical[[#This Row],[Food Security and Livlihoods Old]], 1), "")</f>
        <v/>
      </c>
      <c r="AT215" s="142" t="str">
        <f>IFERROR(ROUND((tblPiNHistorical[[#This Row],[Health New]]-tblPiNHistorical[[#This Row],[Health Old]])/tblPiNHistorical[[#This Row],[Health Old]], 1), "")</f>
        <v/>
      </c>
      <c r="AU215" s="140" t="str">
        <f>IFERROR(ROUND((tblPiNHistorical[[#This Row],[Nutrition New]]-tblPiNHistorical[[#This Row],[Nutrition Old]])/tblPiNHistorical[[#This Row],[Nutrition Old]], 1), "")</f>
        <v/>
      </c>
      <c r="AV215" s="140" t="str">
        <f>IFERROR(ROUND((tblPiNHistorical[[#This Row],[Protection New]]-tblPiNHistorical[[#This Row],[Protection Old]])/tblPiNHistorical[[#This Row],[Protection Old]], 1), "")</f>
        <v/>
      </c>
      <c r="AW215" s="84" t="str">
        <f>IFERROR(ROUND((tblPiNHistorical[[#This Row],[CP New]]-tblPiNHistorical[[#This Row],[CP Old ]])/tblPiNHistorical[[#This Row],[CP Old ]], 1), "")</f>
        <v/>
      </c>
      <c r="AX215" s="84" t="str">
        <f>IFERROR(ROUND((tblPiNHistorical[[#This Row],[GBV New]]-tblPiNHistorical[[#This Row],[GBV Old]])/tblPiNHistorical[[#This Row],[GBV Old]], 1), "")</f>
        <v/>
      </c>
      <c r="AY215" s="84" t="str">
        <f>IFERROR(ROUND((tblPiNHistorical[[#This Row],[Mine Action New]]-tblPiNHistorical[[#This Row],[Mine Action Old]])/tblPiNHistorical[[#This Row],[Mine Action Old]], 1), "")</f>
        <v/>
      </c>
      <c r="AZ215" s="140" t="str">
        <f>IFERROR(ROUND((tblPiNHistorical[[#This Row],[Shelter NFI New]]-tblPiNHistorical[[#This Row],[Shelter NFI Old]])/tblPiNHistorical[[#This Row],[Shelter NFI Old]], 1), "")</f>
        <v/>
      </c>
      <c r="BA215" s="31" t="str">
        <f>IFERROR(ROUND((tblPiNHistorical[[#This Row],[WASH New]]-tblPiNHistorical[[#This Row],[WASH Old]])/tblPiNHistorical[[#This Row],[WASH Old]], 1), "")</f>
        <v/>
      </c>
    </row>
    <row r="216" spans="1:53" ht="38.25" x14ac:dyDescent="0.25">
      <c r="A216"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RefugeesSD06137</v>
      </c>
      <c r="B216" s="134" t="s">
        <v>141</v>
      </c>
      <c r="C216" s="124" t="s">
        <v>123</v>
      </c>
      <c r="D216" s="124" t="s">
        <v>160</v>
      </c>
      <c r="E216" s="59" t="s">
        <v>159</v>
      </c>
      <c r="F216" s="54"/>
      <c r="G216" s="29"/>
      <c r="H216" s="53">
        <v>0</v>
      </c>
      <c r="I216" s="53" t="s">
        <v>90</v>
      </c>
      <c r="J216" s="34">
        <v>0</v>
      </c>
      <c r="K216" s="116">
        <v>0</v>
      </c>
      <c r="L216" s="114">
        <v>0</v>
      </c>
      <c r="M216" s="114">
        <v>0</v>
      </c>
      <c r="N216" s="114">
        <v>0</v>
      </c>
      <c r="O216" s="114">
        <v>0</v>
      </c>
      <c r="P216" s="114">
        <v>0</v>
      </c>
      <c r="Q216" s="114">
        <v>0</v>
      </c>
      <c r="R216" s="114">
        <v>0</v>
      </c>
      <c r="S216" s="114">
        <v>0</v>
      </c>
      <c r="T216" s="196">
        <v>0</v>
      </c>
      <c r="U216" s="52" t="str">
        <f>IFERROR(INDEX(tblPiNAnalysis[[Site Management ]], MATCH(tblPiNHistorical[[#This Row],[ID]], tblPiNAnalysis[ID], 0)), "")</f>
        <v/>
      </c>
      <c r="V216" s="52" t="str">
        <f>IFERROR(INDEX(tblPiNAnalysis[Education], MATCH(tblPiNHistorical[[#This Row],[ID]], tblPiNAnalysis[ID], 0)), "")</f>
        <v/>
      </c>
      <c r="W216" s="28" t="str">
        <f>IFERROR(INDEX(tblPiNAnalysis[Food Security and Livlihoods], MATCH(tblPiNHistorical[[#This Row],[ID]], tblPiNAnalysis[ID], 0)), "")</f>
        <v/>
      </c>
      <c r="X216" s="28" t="str">
        <f>IFERROR(INDEX(tblPiNAnalysis[[Health ]], MATCH(tblPiNHistorical[[#This Row],[ID]], tblPiNAnalysis[ID], 0)), "")</f>
        <v/>
      </c>
      <c r="Y216" s="28" t="str">
        <f>IFERROR(INDEX(tblPiNAnalysis[Nutrition], MATCH(tblPiNHistorical[[#This Row],[ID]], tblPiNAnalysis[ID], 0)), "")</f>
        <v/>
      </c>
      <c r="Z216" s="28" t="str">
        <f>IFERROR(INDEX(tblPiNAnalysis[Protection], MATCH(tblPiNHistorical[[#This Row],[ID]], tblPiNAnalysis[ID], 0)), "")</f>
        <v/>
      </c>
      <c r="AA216" s="28" t="str">
        <f>IFERROR(INDEX(tblPiNAnalysis[CP], MATCH(tblPiNHistorical[[#This Row],[ID]], tblPiNAnalysis[ID], 0)), "")</f>
        <v/>
      </c>
      <c r="AB216" s="83" t="str">
        <f>IFERROR(INDEX(tblPiNAnalysis[GBV], MATCH(tblPiNHistorical[[#This Row],[ID]], tblPiNAnalysis[ID], 0)), "")</f>
        <v/>
      </c>
      <c r="AC216" s="28" t="str">
        <f>IFERROR(INDEX(tblPiNAnalysis[Mine Action], MATCH(tblPiNHistorical[[#This Row],[ID]], tblPiNAnalysis[ID], 0)), "")</f>
        <v/>
      </c>
      <c r="AD216" s="83" t="str">
        <f>IFERROR(INDEX(tblPiNAnalysis[[Shelter NFI ]], MATCH(tblPiNHistorical[[#This Row],[ID]], tblPiNAnalysis[ID], 0)), "")</f>
        <v/>
      </c>
      <c r="AE216" s="28" t="str">
        <f>IFERROR(INDEX(tblPiNAnalysis[WASH], MATCH(tblPiNHistorical[[#This Row],[ID]], tblPiNAnalysis[ID], 0)), "")</f>
        <v/>
      </c>
      <c r="AF216"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216" s="136" t="str">
        <f>IF(OR(tblPiNHistorical[[#This Row],[Education Old]]="", tblPiNHistorical[[#This Row],[Education Old]]=0, tblPiNHistorical[[#This Row],[Education New]]="", tblPiNHistorical[[#This Row],[Education New]]=0), "", tblPiNHistorical[[#This Row],[Education New]]-tblPiNHistorical[[#This Row],[Education Old]])</f>
        <v/>
      </c>
      <c r="AH216"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216" s="137" t="str">
        <f>IF(OR(tblPiNHistorical[[#This Row],[Health Old]]="", tblPiNHistorical[[#This Row],[Health Old]]=0, tblPiNHistorical[[#This Row],[Health New]]="", tblPiNHistorical[[#This Row],[Health New]]=0), "", tblPiNHistorical[[#This Row],[Health New]]-tblPiNHistorical[[#This Row],[Health Old]])</f>
        <v/>
      </c>
      <c r="AJ216" s="136" t="str">
        <f>IF(OR(tblPiNHistorical[[#This Row],[Nutrition Old]]="", tblPiNHistorical[[#This Row],[Nutrition Old]]=0, tblPiNHistorical[[#This Row],[Nutrition New]]="", tblPiNHistorical[[#This Row],[Nutrition New]]=0), "", tblPiNHistorical[[#This Row],[Nutrition New]]-tblPiNHistorical[[#This Row],[Nutrition Old]])</f>
        <v/>
      </c>
      <c r="AK216" s="136" t="str">
        <f>IF(OR(tblPiNHistorical[[#This Row],[Protection Old]]="", tblPiNHistorical[[#This Row],[Protection Old]]=0, tblPiNHistorical[[#This Row],[Protection New]]="", tblPiNHistorical[[#This Row],[Protection New]]=0), "", tblPiNHistorical[[#This Row],[Protection New]]-tblPiNHistorical[[#This Row],[Protection Old]])</f>
        <v/>
      </c>
      <c r="AL216" s="136" t="str">
        <f>IF(OR(tblPiNHistorical[[#This Row],[CP Old ]]="", tblPiNHistorical[[#This Row],[CP Old ]]=0, tblPiNHistorical[[#This Row],[CP New]]="", tblPiNHistorical[[#This Row],[CP New]]=0), "", tblPiNHistorical[[#This Row],[CP New]]-tblPiNHistorical[[#This Row],[CP Old ]])</f>
        <v/>
      </c>
      <c r="AM216" s="83" t="str">
        <f>IF(OR(tblPiNHistorical[[#This Row],[GBV Old]]="", tblPiNHistorical[[#This Row],[GBV Old]]=0, tblPiNHistorical[[#This Row],[GBV New]]="", tblPiNHistorical[[#This Row],[GBV New]]=0), "", tblPiNHistorical[[#This Row],[GBV New]]-tblPiNHistorical[[#This Row],[GBV Old]])</f>
        <v/>
      </c>
      <c r="AN216" s="83" t="str">
        <f>IF(OR(tblPiNHistorical[[#This Row],[Mine Action Old]]="", tblPiNHistorical[[#This Row],[Mine Action Old]]=0, tblPiNHistorical[[#This Row],[Mine Action New]]="", tblPiNHistorical[[#This Row],[Mine Action New]]=0), "", tblPiNHistorical[[#This Row],[Mine Action New]]-tblPiNHistorical[[#This Row],[Mine Action Old]])</f>
        <v/>
      </c>
      <c r="AO216" s="136" t="str">
        <f>IF(OR(tblPiNHistorical[[#This Row],[Shelter NFI Old]]="", tblPiNHistorical[[#This Row],[Shelter NFI Old]]=0, tblPiNHistorical[[#This Row],[Shelter NFI New]]="", tblPiNHistorical[[#This Row],[Shelter NFI New]]=0), "", tblPiNHistorical[[#This Row],[Shelter NFI New]]-tblPiNHistorical[[#This Row],[Shelter NFI Old]])</f>
        <v/>
      </c>
      <c r="AP216" s="138" t="str">
        <f>IF(OR(tblPiNHistorical[[#This Row],[WASH Old]]="", tblPiNHistorical[[#This Row],[WASH Old]]=0, tblPiNHistorical[[#This Row],[WASH New]]="", tblPiNHistorical[[#This Row],[WASH New]]=0), "", tblPiNHistorical[[#This Row],[WASH New]]-tblPiNHistorical[[#This Row],[WASH Old]])</f>
        <v/>
      </c>
      <c r="AQ216" s="139" t="str">
        <f>IFERROR(ROUND((tblPiNHistorical[[#This Row],[Site Management - New]] - tblPiNHistorical[[#This Row],[Site Management - Old]])/tblPiNHistorical[[#This Row],[Site Management - Old]], 1), "")</f>
        <v/>
      </c>
      <c r="AR216" s="140" t="str">
        <f>IFERROR(ROUND((tblPiNHistorical[[#This Row],[Education New]]-tblPiNHistorical[[#This Row],[Education Old]])/tblPiNHistorical[[#This Row],[Education Old]], 1), "")</f>
        <v/>
      </c>
      <c r="AS216" s="141" t="str">
        <f>IFERROR(ROUND((tblPiNHistorical[[#This Row],[Food Security and Livlihoods New]]-tblPiNHistorical[[#This Row],[Food Security and Livlihoods Old]])/tblPiNHistorical[[#This Row],[Food Security and Livlihoods Old]], 1), "")</f>
        <v/>
      </c>
      <c r="AT216" s="142" t="str">
        <f>IFERROR(ROUND((tblPiNHistorical[[#This Row],[Health New]]-tblPiNHistorical[[#This Row],[Health Old]])/tblPiNHistorical[[#This Row],[Health Old]], 1), "")</f>
        <v/>
      </c>
      <c r="AU216" s="140" t="str">
        <f>IFERROR(ROUND((tblPiNHistorical[[#This Row],[Nutrition New]]-tblPiNHistorical[[#This Row],[Nutrition Old]])/tblPiNHistorical[[#This Row],[Nutrition Old]], 1), "")</f>
        <v/>
      </c>
      <c r="AV216" s="140" t="str">
        <f>IFERROR(ROUND((tblPiNHistorical[[#This Row],[Protection New]]-tblPiNHistorical[[#This Row],[Protection Old]])/tblPiNHistorical[[#This Row],[Protection Old]], 1), "")</f>
        <v/>
      </c>
      <c r="AW216" s="84" t="str">
        <f>IFERROR(ROUND((tblPiNHistorical[[#This Row],[CP New]]-tblPiNHistorical[[#This Row],[CP Old ]])/tblPiNHistorical[[#This Row],[CP Old ]], 1), "")</f>
        <v/>
      </c>
      <c r="AX216" s="84" t="str">
        <f>IFERROR(ROUND((tblPiNHistorical[[#This Row],[GBV New]]-tblPiNHistorical[[#This Row],[GBV Old]])/tblPiNHistorical[[#This Row],[GBV Old]], 1), "")</f>
        <v/>
      </c>
      <c r="AY216" s="84" t="str">
        <f>IFERROR(ROUND((tblPiNHistorical[[#This Row],[Mine Action New]]-tblPiNHistorical[[#This Row],[Mine Action Old]])/tblPiNHistorical[[#This Row],[Mine Action Old]], 1), "")</f>
        <v/>
      </c>
      <c r="AZ216" s="140" t="str">
        <f>IFERROR(ROUND((tblPiNHistorical[[#This Row],[Shelter NFI New]]-tblPiNHistorical[[#This Row],[Shelter NFI Old]])/tblPiNHistorical[[#This Row],[Shelter NFI Old]], 1), "")</f>
        <v/>
      </c>
      <c r="BA216" s="31" t="str">
        <f>IFERROR(ROUND((tblPiNHistorical[[#This Row],[WASH New]]-tblPiNHistorical[[#This Row],[WASH Old]])/tblPiNHistorical[[#This Row],[WASH Old]], 1), "")</f>
        <v/>
      </c>
    </row>
    <row r="217" spans="1:53" ht="38.25" x14ac:dyDescent="0.25">
      <c r="A217"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RefugeesSD06139</v>
      </c>
      <c r="B217" s="134" t="s">
        <v>141</v>
      </c>
      <c r="C217" s="124" t="s">
        <v>123</v>
      </c>
      <c r="D217" s="124" t="s">
        <v>166</v>
      </c>
      <c r="E217" s="59" t="s">
        <v>165</v>
      </c>
      <c r="F217" s="54"/>
      <c r="G217" s="29"/>
      <c r="H217" s="53">
        <v>0</v>
      </c>
      <c r="I217" s="53" t="s">
        <v>90</v>
      </c>
      <c r="J217" s="34">
        <v>0</v>
      </c>
      <c r="K217" s="116">
        <v>0</v>
      </c>
      <c r="L217" s="114">
        <v>0</v>
      </c>
      <c r="M217" s="114">
        <v>0</v>
      </c>
      <c r="N217" s="114">
        <v>0</v>
      </c>
      <c r="O217" s="114">
        <v>0</v>
      </c>
      <c r="P217" s="114">
        <v>0</v>
      </c>
      <c r="Q217" s="114">
        <v>0</v>
      </c>
      <c r="R217" s="114">
        <v>0</v>
      </c>
      <c r="S217" s="114">
        <v>0</v>
      </c>
      <c r="T217" s="196">
        <v>0</v>
      </c>
      <c r="U217" s="52" t="str">
        <f>IFERROR(INDEX(tblPiNAnalysis[[Site Management ]], MATCH(tblPiNHistorical[[#This Row],[ID]], tblPiNAnalysis[ID], 0)), "")</f>
        <v/>
      </c>
      <c r="V217" s="52" t="str">
        <f>IFERROR(INDEX(tblPiNAnalysis[Education], MATCH(tblPiNHistorical[[#This Row],[ID]], tblPiNAnalysis[ID], 0)), "")</f>
        <v/>
      </c>
      <c r="W217" s="28" t="str">
        <f>IFERROR(INDEX(tblPiNAnalysis[Food Security and Livlihoods], MATCH(tblPiNHistorical[[#This Row],[ID]], tblPiNAnalysis[ID], 0)), "")</f>
        <v/>
      </c>
      <c r="X217" s="28" t="str">
        <f>IFERROR(INDEX(tblPiNAnalysis[[Health ]], MATCH(tblPiNHistorical[[#This Row],[ID]], tblPiNAnalysis[ID], 0)), "")</f>
        <v/>
      </c>
      <c r="Y217" s="28" t="str">
        <f>IFERROR(INDEX(tblPiNAnalysis[Nutrition], MATCH(tblPiNHistorical[[#This Row],[ID]], tblPiNAnalysis[ID], 0)), "")</f>
        <v/>
      </c>
      <c r="Z217" s="28" t="str">
        <f>IFERROR(INDEX(tblPiNAnalysis[Protection], MATCH(tblPiNHistorical[[#This Row],[ID]], tblPiNAnalysis[ID], 0)), "")</f>
        <v/>
      </c>
      <c r="AA217" s="28" t="str">
        <f>IFERROR(INDEX(tblPiNAnalysis[CP], MATCH(tblPiNHistorical[[#This Row],[ID]], tblPiNAnalysis[ID], 0)), "")</f>
        <v/>
      </c>
      <c r="AB217" s="83" t="str">
        <f>IFERROR(INDEX(tblPiNAnalysis[GBV], MATCH(tblPiNHistorical[[#This Row],[ID]], tblPiNAnalysis[ID], 0)), "")</f>
        <v/>
      </c>
      <c r="AC217" s="28" t="str">
        <f>IFERROR(INDEX(tblPiNAnalysis[Mine Action], MATCH(tblPiNHistorical[[#This Row],[ID]], tblPiNAnalysis[ID], 0)), "")</f>
        <v/>
      </c>
      <c r="AD217" s="83" t="str">
        <f>IFERROR(INDEX(tblPiNAnalysis[[Shelter NFI ]], MATCH(tblPiNHistorical[[#This Row],[ID]], tblPiNAnalysis[ID], 0)), "")</f>
        <v/>
      </c>
      <c r="AE217" s="28" t="str">
        <f>IFERROR(INDEX(tblPiNAnalysis[WASH], MATCH(tblPiNHistorical[[#This Row],[ID]], tblPiNAnalysis[ID], 0)), "")</f>
        <v/>
      </c>
      <c r="AF217"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217" s="136" t="str">
        <f>IF(OR(tblPiNHistorical[[#This Row],[Education Old]]="", tblPiNHistorical[[#This Row],[Education Old]]=0, tblPiNHistorical[[#This Row],[Education New]]="", tblPiNHistorical[[#This Row],[Education New]]=0), "", tblPiNHistorical[[#This Row],[Education New]]-tblPiNHistorical[[#This Row],[Education Old]])</f>
        <v/>
      </c>
      <c r="AH217"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217" s="137" t="str">
        <f>IF(OR(tblPiNHistorical[[#This Row],[Health Old]]="", tblPiNHistorical[[#This Row],[Health Old]]=0, tblPiNHistorical[[#This Row],[Health New]]="", tblPiNHistorical[[#This Row],[Health New]]=0), "", tblPiNHistorical[[#This Row],[Health New]]-tblPiNHistorical[[#This Row],[Health Old]])</f>
        <v/>
      </c>
      <c r="AJ217" s="136" t="str">
        <f>IF(OR(tblPiNHistorical[[#This Row],[Nutrition Old]]="", tblPiNHistorical[[#This Row],[Nutrition Old]]=0, tblPiNHistorical[[#This Row],[Nutrition New]]="", tblPiNHistorical[[#This Row],[Nutrition New]]=0), "", tblPiNHistorical[[#This Row],[Nutrition New]]-tblPiNHistorical[[#This Row],[Nutrition Old]])</f>
        <v/>
      </c>
      <c r="AK217" s="136" t="str">
        <f>IF(OR(tblPiNHistorical[[#This Row],[Protection Old]]="", tblPiNHistorical[[#This Row],[Protection Old]]=0, tblPiNHistorical[[#This Row],[Protection New]]="", tblPiNHistorical[[#This Row],[Protection New]]=0), "", tblPiNHistorical[[#This Row],[Protection New]]-tblPiNHistorical[[#This Row],[Protection Old]])</f>
        <v/>
      </c>
      <c r="AL217" s="136" t="str">
        <f>IF(OR(tblPiNHistorical[[#This Row],[CP Old ]]="", tblPiNHistorical[[#This Row],[CP Old ]]=0, tblPiNHistorical[[#This Row],[CP New]]="", tblPiNHistorical[[#This Row],[CP New]]=0), "", tblPiNHistorical[[#This Row],[CP New]]-tblPiNHistorical[[#This Row],[CP Old ]])</f>
        <v/>
      </c>
      <c r="AM217" s="83" t="str">
        <f>IF(OR(tblPiNHistorical[[#This Row],[GBV Old]]="", tblPiNHistorical[[#This Row],[GBV Old]]=0, tblPiNHistorical[[#This Row],[GBV New]]="", tblPiNHistorical[[#This Row],[GBV New]]=0), "", tblPiNHistorical[[#This Row],[GBV New]]-tblPiNHistorical[[#This Row],[GBV Old]])</f>
        <v/>
      </c>
      <c r="AN217" s="83" t="str">
        <f>IF(OR(tblPiNHistorical[[#This Row],[Mine Action Old]]="", tblPiNHistorical[[#This Row],[Mine Action Old]]=0, tblPiNHistorical[[#This Row],[Mine Action New]]="", tblPiNHistorical[[#This Row],[Mine Action New]]=0), "", tblPiNHistorical[[#This Row],[Mine Action New]]-tblPiNHistorical[[#This Row],[Mine Action Old]])</f>
        <v/>
      </c>
      <c r="AO217" s="136" t="str">
        <f>IF(OR(tblPiNHistorical[[#This Row],[Shelter NFI Old]]="", tblPiNHistorical[[#This Row],[Shelter NFI Old]]=0, tblPiNHistorical[[#This Row],[Shelter NFI New]]="", tblPiNHistorical[[#This Row],[Shelter NFI New]]=0), "", tblPiNHistorical[[#This Row],[Shelter NFI New]]-tblPiNHistorical[[#This Row],[Shelter NFI Old]])</f>
        <v/>
      </c>
      <c r="AP217" s="138" t="str">
        <f>IF(OR(tblPiNHistorical[[#This Row],[WASH Old]]="", tblPiNHistorical[[#This Row],[WASH Old]]=0, tblPiNHistorical[[#This Row],[WASH New]]="", tblPiNHistorical[[#This Row],[WASH New]]=0), "", tblPiNHistorical[[#This Row],[WASH New]]-tblPiNHistorical[[#This Row],[WASH Old]])</f>
        <v/>
      </c>
      <c r="AQ217" s="139" t="str">
        <f>IFERROR(ROUND((tblPiNHistorical[[#This Row],[Site Management - New]] - tblPiNHistorical[[#This Row],[Site Management - Old]])/tblPiNHistorical[[#This Row],[Site Management - Old]], 1), "")</f>
        <v/>
      </c>
      <c r="AR217" s="140" t="str">
        <f>IFERROR(ROUND((tblPiNHistorical[[#This Row],[Education New]]-tblPiNHistorical[[#This Row],[Education Old]])/tblPiNHistorical[[#This Row],[Education Old]], 1), "")</f>
        <v/>
      </c>
      <c r="AS217" s="141" t="str">
        <f>IFERROR(ROUND((tblPiNHistorical[[#This Row],[Food Security and Livlihoods New]]-tblPiNHistorical[[#This Row],[Food Security and Livlihoods Old]])/tblPiNHistorical[[#This Row],[Food Security and Livlihoods Old]], 1), "")</f>
        <v/>
      </c>
      <c r="AT217" s="142" t="str">
        <f>IFERROR(ROUND((tblPiNHistorical[[#This Row],[Health New]]-tblPiNHistorical[[#This Row],[Health Old]])/tblPiNHistorical[[#This Row],[Health Old]], 1), "")</f>
        <v/>
      </c>
      <c r="AU217" s="140" t="str">
        <f>IFERROR(ROUND((tblPiNHistorical[[#This Row],[Nutrition New]]-tblPiNHistorical[[#This Row],[Nutrition Old]])/tblPiNHistorical[[#This Row],[Nutrition Old]], 1), "")</f>
        <v/>
      </c>
      <c r="AV217" s="140" t="str">
        <f>IFERROR(ROUND((tblPiNHistorical[[#This Row],[Protection New]]-tblPiNHistorical[[#This Row],[Protection Old]])/tblPiNHistorical[[#This Row],[Protection Old]], 1), "")</f>
        <v/>
      </c>
      <c r="AW217" s="84" t="str">
        <f>IFERROR(ROUND((tblPiNHistorical[[#This Row],[CP New]]-tblPiNHistorical[[#This Row],[CP Old ]])/tblPiNHistorical[[#This Row],[CP Old ]], 1), "")</f>
        <v/>
      </c>
      <c r="AX217" s="84" t="str">
        <f>IFERROR(ROUND((tblPiNHistorical[[#This Row],[GBV New]]-tblPiNHistorical[[#This Row],[GBV Old]])/tblPiNHistorical[[#This Row],[GBV Old]], 1), "")</f>
        <v/>
      </c>
      <c r="AY217" s="84" t="str">
        <f>IFERROR(ROUND((tblPiNHistorical[[#This Row],[Mine Action New]]-tblPiNHistorical[[#This Row],[Mine Action Old]])/tblPiNHistorical[[#This Row],[Mine Action Old]], 1), "")</f>
        <v/>
      </c>
      <c r="AZ217" s="140" t="str">
        <f>IFERROR(ROUND((tblPiNHistorical[[#This Row],[Shelter NFI New]]-tblPiNHistorical[[#This Row],[Shelter NFI Old]])/tblPiNHistorical[[#This Row],[Shelter NFI Old]], 1), "")</f>
        <v/>
      </c>
      <c r="BA217" s="31" t="str">
        <f>IFERROR(ROUND((tblPiNHistorical[[#This Row],[WASH New]]-tblPiNHistorical[[#This Row],[WASH Old]])/tblPiNHistorical[[#This Row],[WASH Old]], 1), "")</f>
        <v/>
      </c>
    </row>
    <row r="218" spans="1:53" ht="38.25" x14ac:dyDescent="0.25">
      <c r="A218"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RefugeesSD06138</v>
      </c>
      <c r="B218" s="134" t="s">
        <v>141</v>
      </c>
      <c r="C218" s="124" t="s">
        <v>123</v>
      </c>
      <c r="D218" s="124" t="s">
        <v>163</v>
      </c>
      <c r="E218" s="59" t="s">
        <v>162</v>
      </c>
      <c r="F218" s="54"/>
      <c r="G218" s="29"/>
      <c r="H218" s="53">
        <v>532</v>
      </c>
      <c r="I218" s="53" t="s">
        <v>90</v>
      </c>
      <c r="J218" s="34">
        <v>0</v>
      </c>
      <c r="K218" s="116">
        <v>177</v>
      </c>
      <c r="L218" s="114">
        <v>532</v>
      </c>
      <c r="M218" s="114">
        <v>516</v>
      </c>
      <c r="N218" s="114">
        <v>49</v>
      </c>
      <c r="O218" s="114">
        <v>532</v>
      </c>
      <c r="P218" s="114">
        <v>31.919999999999998</v>
      </c>
      <c r="Q218" s="114">
        <v>258.55200000000002</v>
      </c>
      <c r="R218" s="114">
        <v>372.4</v>
      </c>
      <c r="S218" s="114">
        <v>213</v>
      </c>
      <c r="T218" s="196">
        <v>372</v>
      </c>
      <c r="U218" s="52" t="str">
        <f>IFERROR(INDEX(tblPiNAnalysis[[Site Management ]], MATCH(tblPiNHistorical[[#This Row],[ID]], tblPiNAnalysis[ID], 0)), "")</f>
        <v/>
      </c>
      <c r="V218" s="52" t="str">
        <f>IFERROR(INDEX(tblPiNAnalysis[Education], MATCH(tblPiNHistorical[[#This Row],[ID]], tblPiNAnalysis[ID], 0)), "")</f>
        <v/>
      </c>
      <c r="W218" s="28" t="str">
        <f>IFERROR(INDEX(tblPiNAnalysis[Food Security and Livlihoods], MATCH(tblPiNHistorical[[#This Row],[ID]], tblPiNAnalysis[ID], 0)), "")</f>
        <v/>
      </c>
      <c r="X218" s="28" t="str">
        <f>IFERROR(INDEX(tblPiNAnalysis[[Health ]], MATCH(tblPiNHistorical[[#This Row],[ID]], tblPiNAnalysis[ID], 0)), "")</f>
        <v/>
      </c>
      <c r="Y218" s="28" t="str">
        <f>IFERROR(INDEX(tblPiNAnalysis[Nutrition], MATCH(tblPiNHistorical[[#This Row],[ID]], tblPiNAnalysis[ID], 0)), "")</f>
        <v/>
      </c>
      <c r="Z218" s="28" t="str">
        <f>IFERROR(INDEX(tblPiNAnalysis[Protection], MATCH(tblPiNHistorical[[#This Row],[ID]], tblPiNAnalysis[ID], 0)), "")</f>
        <v/>
      </c>
      <c r="AA218" s="28" t="str">
        <f>IFERROR(INDEX(tblPiNAnalysis[CP], MATCH(tblPiNHistorical[[#This Row],[ID]], tblPiNAnalysis[ID], 0)), "")</f>
        <v/>
      </c>
      <c r="AB218" s="83" t="str">
        <f>IFERROR(INDEX(tblPiNAnalysis[GBV], MATCH(tblPiNHistorical[[#This Row],[ID]], tblPiNAnalysis[ID], 0)), "")</f>
        <v/>
      </c>
      <c r="AC218" s="28" t="str">
        <f>IFERROR(INDEX(tblPiNAnalysis[Mine Action], MATCH(tblPiNHistorical[[#This Row],[ID]], tblPiNAnalysis[ID], 0)), "")</f>
        <v/>
      </c>
      <c r="AD218" s="83" t="str">
        <f>IFERROR(INDEX(tblPiNAnalysis[[Shelter NFI ]], MATCH(tblPiNHistorical[[#This Row],[ID]], tblPiNAnalysis[ID], 0)), "")</f>
        <v/>
      </c>
      <c r="AE218" s="28" t="str">
        <f>IFERROR(INDEX(tblPiNAnalysis[WASH], MATCH(tblPiNHistorical[[#This Row],[ID]], tblPiNAnalysis[ID], 0)), "")</f>
        <v/>
      </c>
      <c r="AF218"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218" s="136" t="str">
        <f>IF(OR(tblPiNHistorical[[#This Row],[Education Old]]="", tblPiNHistorical[[#This Row],[Education Old]]=0, tblPiNHistorical[[#This Row],[Education New]]="", tblPiNHistorical[[#This Row],[Education New]]=0), "", tblPiNHistorical[[#This Row],[Education New]]-tblPiNHistorical[[#This Row],[Education Old]])</f>
        <v/>
      </c>
      <c r="AH218"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218" s="137" t="str">
        <f>IF(OR(tblPiNHistorical[[#This Row],[Health Old]]="", tblPiNHistorical[[#This Row],[Health Old]]=0, tblPiNHistorical[[#This Row],[Health New]]="", tblPiNHistorical[[#This Row],[Health New]]=0), "", tblPiNHistorical[[#This Row],[Health New]]-tblPiNHistorical[[#This Row],[Health Old]])</f>
        <v/>
      </c>
      <c r="AJ218" s="136" t="str">
        <f>IF(OR(tblPiNHistorical[[#This Row],[Nutrition Old]]="", tblPiNHistorical[[#This Row],[Nutrition Old]]=0, tblPiNHistorical[[#This Row],[Nutrition New]]="", tblPiNHistorical[[#This Row],[Nutrition New]]=0), "", tblPiNHistorical[[#This Row],[Nutrition New]]-tblPiNHistorical[[#This Row],[Nutrition Old]])</f>
        <v/>
      </c>
      <c r="AK218" s="136" t="str">
        <f>IF(OR(tblPiNHistorical[[#This Row],[Protection Old]]="", tblPiNHistorical[[#This Row],[Protection Old]]=0, tblPiNHistorical[[#This Row],[Protection New]]="", tblPiNHistorical[[#This Row],[Protection New]]=0), "", tblPiNHistorical[[#This Row],[Protection New]]-tblPiNHistorical[[#This Row],[Protection Old]])</f>
        <v/>
      </c>
      <c r="AL218" s="136" t="str">
        <f>IF(OR(tblPiNHistorical[[#This Row],[CP Old ]]="", tblPiNHistorical[[#This Row],[CP Old ]]=0, tblPiNHistorical[[#This Row],[CP New]]="", tblPiNHistorical[[#This Row],[CP New]]=0), "", tblPiNHistorical[[#This Row],[CP New]]-tblPiNHistorical[[#This Row],[CP Old ]])</f>
        <v/>
      </c>
      <c r="AM218" s="83" t="str">
        <f>IF(OR(tblPiNHistorical[[#This Row],[GBV Old]]="", tblPiNHistorical[[#This Row],[GBV Old]]=0, tblPiNHistorical[[#This Row],[GBV New]]="", tblPiNHistorical[[#This Row],[GBV New]]=0), "", tblPiNHistorical[[#This Row],[GBV New]]-tblPiNHistorical[[#This Row],[GBV Old]])</f>
        <v/>
      </c>
      <c r="AN218" s="83" t="str">
        <f>IF(OR(tblPiNHistorical[[#This Row],[Mine Action Old]]="", tblPiNHistorical[[#This Row],[Mine Action Old]]=0, tblPiNHistorical[[#This Row],[Mine Action New]]="", tblPiNHistorical[[#This Row],[Mine Action New]]=0), "", tblPiNHistorical[[#This Row],[Mine Action New]]-tblPiNHistorical[[#This Row],[Mine Action Old]])</f>
        <v/>
      </c>
      <c r="AO218" s="136" t="str">
        <f>IF(OR(tblPiNHistorical[[#This Row],[Shelter NFI Old]]="", tblPiNHistorical[[#This Row],[Shelter NFI Old]]=0, tblPiNHistorical[[#This Row],[Shelter NFI New]]="", tblPiNHistorical[[#This Row],[Shelter NFI New]]=0), "", tblPiNHistorical[[#This Row],[Shelter NFI New]]-tblPiNHistorical[[#This Row],[Shelter NFI Old]])</f>
        <v/>
      </c>
      <c r="AP218" s="138" t="str">
        <f>IF(OR(tblPiNHistorical[[#This Row],[WASH Old]]="", tblPiNHistorical[[#This Row],[WASH Old]]=0, tblPiNHistorical[[#This Row],[WASH New]]="", tblPiNHistorical[[#This Row],[WASH New]]=0), "", tblPiNHistorical[[#This Row],[WASH New]]-tblPiNHistorical[[#This Row],[WASH Old]])</f>
        <v/>
      </c>
      <c r="AQ218" s="139" t="str">
        <f>IFERROR(ROUND((tblPiNHistorical[[#This Row],[Site Management - New]] - tblPiNHistorical[[#This Row],[Site Management - Old]])/tblPiNHistorical[[#This Row],[Site Management - Old]], 1), "")</f>
        <v/>
      </c>
      <c r="AR218" s="140" t="str">
        <f>IFERROR(ROUND((tblPiNHistorical[[#This Row],[Education New]]-tblPiNHistorical[[#This Row],[Education Old]])/tblPiNHistorical[[#This Row],[Education Old]], 1), "")</f>
        <v/>
      </c>
      <c r="AS218" s="141" t="str">
        <f>IFERROR(ROUND((tblPiNHistorical[[#This Row],[Food Security and Livlihoods New]]-tblPiNHistorical[[#This Row],[Food Security and Livlihoods Old]])/tblPiNHistorical[[#This Row],[Food Security and Livlihoods Old]], 1), "")</f>
        <v/>
      </c>
      <c r="AT218" s="142" t="str">
        <f>IFERROR(ROUND((tblPiNHistorical[[#This Row],[Health New]]-tblPiNHistorical[[#This Row],[Health Old]])/tblPiNHistorical[[#This Row],[Health Old]], 1), "")</f>
        <v/>
      </c>
      <c r="AU218" s="140" t="str">
        <f>IFERROR(ROUND((tblPiNHistorical[[#This Row],[Nutrition New]]-tblPiNHistorical[[#This Row],[Nutrition Old]])/tblPiNHistorical[[#This Row],[Nutrition Old]], 1), "")</f>
        <v/>
      </c>
      <c r="AV218" s="140" t="str">
        <f>IFERROR(ROUND((tblPiNHistorical[[#This Row],[Protection New]]-tblPiNHistorical[[#This Row],[Protection Old]])/tblPiNHistorical[[#This Row],[Protection Old]], 1), "")</f>
        <v/>
      </c>
      <c r="AW218" s="84" t="str">
        <f>IFERROR(ROUND((tblPiNHistorical[[#This Row],[CP New]]-tblPiNHistorical[[#This Row],[CP Old ]])/tblPiNHistorical[[#This Row],[CP Old ]], 1), "")</f>
        <v/>
      </c>
      <c r="AX218" s="84" t="str">
        <f>IFERROR(ROUND((tblPiNHistorical[[#This Row],[GBV New]]-tblPiNHistorical[[#This Row],[GBV Old]])/tblPiNHistorical[[#This Row],[GBV Old]], 1), "")</f>
        <v/>
      </c>
      <c r="AY218" s="84" t="str">
        <f>IFERROR(ROUND((tblPiNHistorical[[#This Row],[Mine Action New]]-tblPiNHistorical[[#This Row],[Mine Action Old]])/tblPiNHistorical[[#This Row],[Mine Action Old]], 1), "")</f>
        <v/>
      </c>
      <c r="AZ218" s="140" t="str">
        <f>IFERROR(ROUND((tblPiNHistorical[[#This Row],[Shelter NFI New]]-tblPiNHistorical[[#This Row],[Shelter NFI Old]])/tblPiNHistorical[[#This Row],[Shelter NFI Old]], 1), "")</f>
        <v/>
      </c>
      <c r="BA218" s="31" t="str">
        <f>IFERROR(ROUND((tblPiNHistorical[[#This Row],[WASH New]]-tblPiNHistorical[[#This Row],[WASH Old]])/tblPiNHistorical[[#This Row],[WASH Old]], 1), "")</f>
        <v/>
      </c>
    </row>
    <row r="219" spans="1:53" ht="38.25" x14ac:dyDescent="0.25">
      <c r="A219"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RefugeesSD05140</v>
      </c>
      <c r="B219" s="134" t="s">
        <v>155</v>
      </c>
      <c r="C219" s="124" t="s">
        <v>122</v>
      </c>
      <c r="D219" s="124" t="s">
        <v>172</v>
      </c>
      <c r="E219" s="59" t="s">
        <v>171</v>
      </c>
      <c r="F219" s="54"/>
      <c r="G219" s="29"/>
      <c r="H219" s="53">
        <v>8981</v>
      </c>
      <c r="I219" s="53" t="s">
        <v>90</v>
      </c>
      <c r="J219" s="34">
        <v>0</v>
      </c>
      <c r="K219" s="116">
        <v>3688</v>
      </c>
      <c r="L219" s="114">
        <v>8981</v>
      </c>
      <c r="M219" s="114">
        <v>4401</v>
      </c>
      <c r="N219" s="114">
        <v>819</v>
      </c>
      <c r="O219" s="114">
        <v>8981</v>
      </c>
      <c r="P219" s="114">
        <v>143.696</v>
      </c>
      <c r="Q219" s="114">
        <v>1481.865</v>
      </c>
      <c r="R219" s="114">
        <v>0</v>
      </c>
      <c r="S219" s="114">
        <v>3592</v>
      </c>
      <c r="T219" s="196">
        <v>8869</v>
      </c>
      <c r="U219" s="52" t="str">
        <f>IFERROR(INDEX(tblPiNAnalysis[[Site Management ]], MATCH(tblPiNHistorical[[#This Row],[ID]], tblPiNAnalysis[ID], 0)), "")</f>
        <v/>
      </c>
      <c r="V219" s="52" t="str">
        <f>IFERROR(INDEX(tblPiNAnalysis[Education], MATCH(tblPiNHistorical[[#This Row],[ID]], tblPiNAnalysis[ID], 0)), "")</f>
        <v/>
      </c>
      <c r="W219" s="28" t="str">
        <f>IFERROR(INDEX(tblPiNAnalysis[Food Security and Livlihoods], MATCH(tblPiNHistorical[[#This Row],[ID]], tblPiNAnalysis[ID], 0)), "")</f>
        <v/>
      </c>
      <c r="X219" s="28" t="str">
        <f>IFERROR(INDEX(tblPiNAnalysis[[Health ]], MATCH(tblPiNHistorical[[#This Row],[ID]], tblPiNAnalysis[ID], 0)), "")</f>
        <v/>
      </c>
      <c r="Y219" s="28" t="str">
        <f>IFERROR(INDEX(tblPiNAnalysis[Nutrition], MATCH(tblPiNHistorical[[#This Row],[ID]], tblPiNAnalysis[ID], 0)), "")</f>
        <v/>
      </c>
      <c r="Z219" s="28" t="str">
        <f>IFERROR(INDEX(tblPiNAnalysis[Protection], MATCH(tblPiNHistorical[[#This Row],[ID]], tblPiNAnalysis[ID], 0)), "")</f>
        <v/>
      </c>
      <c r="AA219" s="28" t="str">
        <f>IFERROR(INDEX(tblPiNAnalysis[CP], MATCH(tblPiNHistorical[[#This Row],[ID]], tblPiNAnalysis[ID], 0)), "")</f>
        <v/>
      </c>
      <c r="AB219" s="83" t="str">
        <f>IFERROR(INDEX(tblPiNAnalysis[GBV], MATCH(tblPiNHistorical[[#This Row],[ID]], tblPiNAnalysis[ID], 0)), "")</f>
        <v/>
      </c>
      <c r="AC219" s="28" t="str">
        <f>IFERROR(INDEX(tblPiNAnalysis[Mine Action], MATCH(tblPiNHistorical[[#This Row],[ID]], tblPiNAnalysis[ID], 0)), "")</f>
        <v/>
      </c>
      <c r="AD219" s="83" t="str">
        <f>IFERROR(INDEX(tblPiNAnalysis[[Shelter NFI ]], MATCH(tblPiNHistorical[[#This Row],[ID]], tblPiNAnalysis[ID], 0)), "")</f>
        <v/>
      </c>
      <c r="AE219" s="28" t="str">
        <f>IFERROR(INDEX(tblPiNAnalysis[WASH], MATCH(tblPiNHistorical[[#This Row],[ID]], tblPiNAnalysis[ID], 0)), "")</f>
        <v/>
      </c>
      <c r="AF219"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219" s="136" t="str">
        <f>IF(OR(tblPiNHistorical[[#This Row],[Education Old]]="", tblPiNHistorical[[#This Row],[Education Old]]=0, tblPiNHistorical[[#This Row],[Education New]]="", tblPiNHistorical[[#This Row],[Education New]]=0), "", tblPiNHistorical[[#This Row],[Education New]]-tblPiNHistorical[[#This Row],[Education Old]])</f>
        <v/>
      </c>
      <c r="AH219"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219" s="137" t="str">
        <f>IF(OR(tblPiNHistorical[[#This Row],[Health Old]]="", tblPiNHistorical[[#This Row],[Health Old]]=0, tblPiNHistorical[[#This Row],[Health New]]="", tblPiNHistorical[[#This Row],[Health New]]=0), "", tblPiNHistorical[[#This Row],[Health New]]-tblPiNHistorical[[#This Row],[Health Old]])</f>
        <v/>
      </c>
      <c r="AJ219" s="136" t="str">
        <f>IF(OR(tblPiNHistorical[[#This Row],[Nutrition Old]]="", tblPiNHistorical[[#This Row],[Nutrition Old]]=0, tblPiNHistorical[[#This Row],[Nutrition New]]="", tblPiNHistorical[[#This Row],[Nutrition New]]=0), "", tblPiNHistorical[[#This Row],[Nutrition New]]-tblPiNHistorical[[#This Row],[Nutrition Old]])</f>
        <v/>
      </c>
      <c r="AK219" s="136" t="str">
        <f>IF(OR(tblPiNHistorical[[#This Row],[Protection Old]]="", tblPiNHistorical[[#This Row],[Protection Old]]=0, tblPiNHistorical[[#This Row],[Protection New]]="", tblPiNHistorical[[#This Row],[Protection New]]=0), "", tblPiNHistorical[[#This Row],[Protection New]]-tblPiNHistorical[[#This Row],[Protection Old]])</f>
        <v/>
      </c>
      <c r="AL219" s="136" t="str">
        <f>IF(OR(tblPiNHistorical[[#This Row],[CP Old ]]="", tblPiNHistorical[[#This Row],[CP Old ]]=0, tblPiNHistorical[[#This Row],[CP New]]="", tblPiNHistorical[[#This Row],[CP New]]=0), "", tblPiNHistorical[[#This Row],[CP New]]-tblPiNHistorical[[#This Row],[CP Old ]])</f>
        <v/>
      </c>
      <c r="AM219" s="83" t="str">
        <f>IF(OR(tblPiNHistorical[[#This Row],[GBV Old]]="", tblPiNHistorical[[#This Row],[GBV Old]]=0, tblPiNHistorical[[#This Row],[GBV New]]="", tblPiNHistorical[[#This Row],[GBV New]]=0), "", tblPiNHistorical[[#This Row],[GBV New]]-tblPiNHistorical[[#This Row],[GBV Old]])</f>
        <v/>
      </c>
      <c r="AN219" s="83" t="str">
        <f>IF(OR(tblPiNHistorical[[#This Row],[Mine Action Old]]="", tblPiNHistorical[[#This Row],[Mine Action Old]]=0, tblPiNHistorical[[#This Row],[Mine Action New]]="", tblPiNHistorical[[#This Row],[Mine Action New]]=0), "", tblPiNHistorical[[#This Row],[Mine Action New]]-tblPiNHistorical[[#This Row],[Mine Action Old]])</f>
        <v/>
      </c>
      <c r="AO219" s="136" t="str">
        <f>IF(OR(tblPiNHistorical[[#This Row],[Shelter NFI Old]]="", tblPiNHistorical[[#This Row],[Shelter NFI Old]]=0, tblPiNHistorical[[#This Row],[Shelter NFI New]]="", tblPiNHistorical[[#This Row],[Shelter NFI New]]=0), "", tblPiNHistorical[[#This Row],[Shelter NFI New]]-tblPiNHistorical[[#This Row],[Shelter NFI Old]])</f>
        <v/>
      </c>
      <c r="AP219" s="138" t="str">
        <f>IF(OR(tblPiNHistorical[[#This Row],[WASH Old]]="", tblPiNHistorical[[#This Row],[WASH Old]]=0, tblPiNHistorical[[#This Row],[WASH New]]="", tblPiNHistorical[[#This Row],[WASH New]]=0), "", tblPiNHistorical[[#This Row],[WASH New]]-tblPiNHistorical[[#This Row],[WASH Old]])</f>
        <v/>
      </c>
      <c r="AQ219" s="139" t="str">
        <f>IFERROR(ROUND((tblPiNHistorical[[#This Row],[Site Management - New]] - tblPiNHistorical[[#This Row],[Site Management - Old]])/tblPiNHistorical[[#This Row],[Site Management - Old]], 1), "")</f>
        <v/>
      </c>
      <c r="AR219" s="140" t="str">
        <f>IFERROR(ROUND((tblPiNHistorical[[#This Row],[Education New]]-tblPiNHistorical[[#This Row],[Education Old]])/tblPiNHistorical[[#This Row],[Education Old]], 1), "")</f>
        <v/>
      </c>
      <c r="AS219" s="141" t="str">
        <f>IFERROR(ROUND((tblPiNHistorical[[#This Row],[Food Security and Livlihoods New]]-tblPiNHistorical[[#This Row],[Food Security and Livlihoods Old]])/tblPiNHistorical[[#This Row],[Food Security and Livlihoods Old]], 1), "")</f>
        <v/>
      </c>
      <c r="AT219" s="142" t="str">
        <f>IFERROR(ROUND((tblPiNHistorical[[#This Row],[Health New]]-tblPiNHistorical[[#This Row],[Health Old]])/tblPiNHistorical[[#This Row],[Health Old]], 1), "")</f>
        <v/>
      </c>
      <c r="AU219" s="140" t="str">
        <f>IFERROR(ROUND((tblPiNHistorical[[#This Row],[Nutrition New]]-tblPiNHistorical[[#This Row],[Nutrition Old]])/tblPiNHistorical[[#This Row],[Nutrition Old]], 1), "")</f>
        <v/>
      </c>
      <c r="AV219" s="140" t="str">
        <f>IFERROR(ROUND((tblPiNHistorical[[#This Row],[Protection New]]-tblPiNHistorical[[#This Row],[Protection Old]])/tblPiNHistorical[[#This Row],[Protection Old]], 1), "")</f>
        <v/>
      </c>
      <c r="AW219" s="84" t="str">
        <f>IFERROR(ROUND((tblPiNHistorical[[#This Row],[CP New]]-tblPiNHistorical[[#This Row],[CP Old ]])/tblPiNHistorical[[#This Row],[CP Old ]], 1), "")</f>
        <v/>
      </c>
      <c r="AX219" s="84" t="str">
        <f>IFERROR(ROUND((tblPiNHistorical[[#This Row],[GBV New]]-tblPiNHistorical[[#This Row],[GBV Old]])/tblPiNHistorical[[#This Row],[GBV Old]], 1), "")</f>
        <v/>
      </c>
      <c r="AY219" s="84" t="str">
        <f>IFERROR(ROUND((tblPiNHistorical[[#This Row],[Mine Action New]]-tblPiNHistorical[[#This Row],[Mine Action Old]])/tblPiNHistorical[[#This Row],[Mine Action Old]], 1), "")</f>
        <v/>
      </c>
      <c r="AZ219" s="140" t="str">
        <f>IFERROR(ROUND((tblPiNHistorical[[#This Row],[Shelter NFI New]]-tblPiNHistorical[[#This Row],[Shelter NFI Old]])/tblPiNHistorical[[#This Row],[Shelter NFI Old]], 1), "")</f>
        <v/>
      </c>
      <c r="BA219" s="31" t="str">
        <f>IFERROR(ROUND((tblPiNHistorical[[#This Row],[WASH New]]-tblPiNHistorical[[#This Row],[WASH Old]])/tblPiNHistorical[[#This Row],[WASH Old]], 1), "")</f>
        <v/>
      </c>
    </row>
    <row r="220" spans="1:53" ht="38.25" x14ac:dyDescent="0.25">
      <c r="A220"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RefugeesSD05155</v>
      </c>
      <c r="B220" s="134" t="s">
        <v>155</v>
      </c>
      <c r="C220" s="124" t="s">
        <v>122</v>
      </c>
      <c r="D220" s="124" t="s">
        <v>184</v>
      </c>
      <c r="E220" s="59" t="s">
        <v>183</v>
      </c>
      <c r="F220" s="54"/>
      <c r="G220" s="29"/>
      <c r="H220" s="53">
        <v>2593</v>
      </c>
      <c r="I220" s="53" t="s">
        <v>90</v>
      </c>
      <c r="J220" s="34">
        <v>0</v>
      </c>
      <c r="K220" s="116">
        <v>838</v>
      </c>
      <c r="L220" s="114">
        <v>2593</v>
      </c>
      <c r="M220" s="114">
        <v>1271</v>
      </c>
      <c r="N220" s="114">
        <v>236</v>
      </c>
      <c r="O220" s="114">
        <v>2593</v>
      </c>
      <c r="P220" s="114">
        <v>101.127</v>
      </c>
      <c r="Q220" s="114">
        <v>726.04000000000008</v>
      </c>
      <c r="R220" s="114">
        <v>0</v>
      </c>
      <c r="S220" s="114">
        <v>1037</v>
      </c>
      <c r="T220" s="196">
        <v>2015</v>
      </c>
      <c r="U220" s="52" t="str">
        <f>IFERROR(INDEX(tblPiNAnalysis[[Site Management ]], MATCH(tblPiNHistorical[[#This Row],[ID]], tblPiNAnalysis[ID], 0)), "")</f>
        <v/>
      </c>
      <c r="V220" s="52" t="str">
        <f>IFERROR(INDEX(tblPiNAnalysis[Education], MATCH(tblPiNHistorical[[#This Row],[ID]], tblPiNAnalysis[ID], 0)), "")</f>
        <v/>
      </c>
      <c r="W220" s="28" t="str">
        <f>IFERROR(INDEX(tblPiNAnalysis[Food Security and Livlihoods], MATCH(tblPiNHistorical[[#This Row],[ID]], tblPiNAnalysis[ID], 0)), "")</f>
        <v/>
      </c>
      <c r="X220" s="28" t="str">
        <f>IFERROR(INDEX(tblPiNAnalysis[[Health ]], MATCH(tblPiNHistorical[[#This Row],[ID]], tblPiNAnalysis[ID], 0)), "")</f>
        <v/>
      </c>
      <c r="Y220" s="28" t="str">
        <f>IFERROR(INDEX(tblPiNAnalysis[Nutrition], MATCH(tblPiNHistorical[[#This Row],[ID]], tblPiNAnalysis[ID], 0)), "")</f>
        <v/>
      </c>
      <c r="Z220" s="28" t="str">
        <f>IFERROR(INDEX(tblPiNAnalysis[Protection], MATCH(tblPiNHistorical[[#This Row],[ID]], tblPiNAnalysis[ID], 0)), "")</f>
        <v/>
      </c>
      <c r="AA220" s="28" t="str">
        <f>IFERROR(INDEX(tblPiNAnalysis[CP], MATCH(tblPiNHistorical[[#This Row],[ID]], tblPiNAnalysis[ID], 0)), "")</f>
        <v/>
      </c>
      <c r="AB220" s="83" t="str">
        <f>IFERROR(INDEX(tblPiNAnalysis[GBV], MATCH(tblPiNHistorical[[#This Row],[ID]], tblPiNAnalysis[ID], 0)), "")</f>
        <v/>
      </c>
      <c r="AC220" s="28" t="str">
        <f>IFERROR(INDEX(tblPiNAnalysis[Mine Action], MATCH(tblPiNHistorical[[#This Row],[ID]], tblPiNAnalysis[ID], 0)), "")</f>
        <v/>
      </c>
      <c r="AD220" s="83" t="str">
        <f>IFERROR(INDEX(tblPiNAnalysis[[Shelter NFI ]], MATCH(tblPiNHistorical[[#This Row],[ID]], tblPiNAnalysis[ID], 0)), "")</f>
        <v/>
      </c>
      <c r="AE220" s="28" t="str">
        <f>IFERROR(INDEX(tblPiNAnalysis[WASH], MATCH(tblPiNHistorical[[#This Row],[ID]], tblPiNAnalysis[ID], 0)), "")</f>
        <v/>
      </c>
      <c r="AF220"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220" s="136" t="str">
        <f>IF(OR(tblPiNHistorical[[#This Row],[Education Old]]="", tblPiNHistorical[[#This Row],[Education Old]]=0, tblPiNHistorical[[#This Row],[Education New]]="", tblPiNHistorical[[#This Row],[Education New]]=0), "", tblPiNHistorical[[#This Row],[Education New]]-tblPiNHistorical[[#This Row],[Education Old]])</f>
        <v/>
      </c>
      <c r="AH220"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220" s="137" t="str">
        <f>IF(OR(tblPiNHistorical[[#This Row],[Health Old]]="", tblPiNHistorical[[#This Row],[Health Old]]=0, tblPiNHistorical[[#This Row],[Health New]]="", tblPiNHistorical[[#This Row],[Health New]]=0), "", tblPiNHistorical[[#This Row],[Health New]]-tblPiNHistorical[[#This Row],[Health Old]])</f>
        <v/>
      </c>
      <c r="AJ220" s="136" t="str">
        <f>IF(OR(tblPiNHistorical[[#This Row],[Nutrition Old]]="", tblPiNHistorical[[#This Row],[Nutrition Old]]=0, tblPiNHistorical[[#This Row],[Nutrition New]]="", tblPiNHistorical[[#This Row],[Nutrition New]]=0), "", tblPiNHistorical[[#This Row],[Nutrition New]]-tblPiNHistorical[[#This Row],[Nutrition Old]])</f>
        <v/>
      </c>
      <c r="AK220" s="136" t="str">
        <f>IF(OR(tblPiNHistorical[[#This Row],[Protection Old]]="", tblPiNHistorical[[#This Row],[Protection Old]]=0, tblPiNHistorical[[#This Row],[Protection New]]="", tblPiNHistorical[[#This Row],[Protection New]]=0), "", tblPiNHistorical[[#This Row],[Protection New]]-tblPiNHistorical[[#This Row],[Protection Old]])</f>
        <v/>
      </c>
      <c r="AL220" s="136" t="str">
        <f>IF(OR(tblPiNHistorical[[#This Row],[CP Old ]]="", tblPiNHistorical[[#This Row],[CP Old ]]=0, tblPiNHistorical[[#This Row],[CP New]]="", tblPiNHistorical[[#This Row],[CP New]]=0), "", tblPiNHistorical[[#This Row],[CP New]]-tblPiNHistorical[[#This Row],[CP Old ]])</f>
        <v/>
      </c>
      <c r="AM220" s="83" t="str">
        <f>IF(OR(tblPiNHistorical[[#This Row],[GBV Old]]="", tblPiNHistorical[[#This Row],[GBV Old]]=0, tblPiNHistorical[[#This Row],[GBV New]]="", tblPiNHistorical[[#This Row],[GBV New]]=0), "", tblPiNHistorical[[#This Row],[GBV New]]-tblPiNHistorical[[#This Row],[GBV Old]])</f>
        <v/>
      </c>
      <c r="AN220" s="83" t="str">
        <f>IF(OR(tblPiNHistorical[[#This Row],[Mine Action Old]]="", tblPiNHistorical[[#This Row],[Mine Action Old]]=0, tblPiNHistorical[[#This Row],[Mine Action New]]="", tblPiNHistorical[[#This Row],[Mine Action New]]=0), "", tblPiNHistorical[[#This Row],[Mine Action New]]-tblPiNHistorical[[#This Row],[Mine Action Old]])</f>
        <v/>
      </c>
      <c r="AO220" s="136" t="str">
        <f>IF(OR(tblPiNHistorical[[#This Row],[Shelter NFI Old]]="", tblPiNHistorical[[#This Row],[Shelter NFI Old]]=0, tblPiNHistorical[[#This Row],[Shelter NFI New]]="", tblPiNHistorical[[#This Row],[Shelter NFI New]]=0), "", tblPiNHistorical[[#This Row],[Shelter NFI New]]-tblPiNHistorical[[#This Row],[Shelter NFI Old]])</f>
        <v/>
      </c>
      <c r="AP220" s="138" t="str">
        <f>IF(OR(tblPiNHistorical[[#This Row],[WASH Old]]="", tblPiNHistorical[[#This Row],[WASH Old]]=0, tblPiNHistorical[[#This Row],[WASH New]]="", tblPiNHistorical[[#This Row],[WASH New]]=0), "", tblPiNHistorical[[#This Row],[WASH New]]-tblPiNHistorical[[#This Row],[WASH Old]])</f>
        <v/>
      </c>
      <c r="AQ220" s="139" t="str">
        <f>IFERROR(ROUND((tblPiNHistorical[[#This Row],[Site Management - New]] - tblPiNHistorical[[#This Row],[Site Management - Old]])/tblPiNHistorical[[#This Row],[Site Management - Old]], 1), "")</f>
        <v/>
      </c>
      <c r="AR220" s="140" t="str">
        <f>IFERROR(ROUND((tblPiNHistorical[[#This Row],[Education New]]-tblPiNHistorical[[#This Row],[Education Old]])/tblPiNHistorical[[#This Row],[Education Old]], 1), "")</f>
        <v/>
      </c>
      <c r="AS220" s="141" t="str">
        <f>IFERROR(ROUND((tblPiNHistorical[[#This Row],[Food Security and Livlihoods New]]-tblPiNHistorical[[#This Row],[Food Security and Livlihoods Old]])/tblPiNHistorical[[#This Row],[Food Security and Livlihoods Old]], 1), "")</f>
        <v/>
      </c>
      <c r="AT220" s="142" t="str">
        <f>IFERROR(ROUND((tblPiNHistorical[[#This Row],[Health New]]-tblPiNHistorical[[#This Row],[Health Old]])/tblPiNHistorical[[#This Row],[Health Old]], 1), "")</f>
        <v/>
      </c>
      <c r="AU220" s="140" t="str">
        <f>IFERROR(ROUND((tblPiNHistorical[[#This Row],[Nutrition New]]-tblPiNHistorical[[#This Row],[Nutrition Old]])/tblPiNHistorical[[#This Row],[Nutrition Old]], 1), "")</f>
        <v/>
      </c>
      <c r="AV220" s="140" t="str">
        <f>IFERROR(ROUND((tblPiNHistorical[[#This Row],[Protection New]]-tblPiNHistorical[[#This Row],[Protection Old]])/tblPiNHistorical[[#This Row],[Protection Old]], 1), "")</f>
        <v/>
      </c>
      <c r="AW220" s="84" t="str">
        <f>IFERROR(ROUND((tblPiNHistorical[[#This Row],[CP New]]-tblPiNHistorical[[#This Row],[CP Old ]])/tblPiNHistorical[[#This Row],[CP Old ]], 1), "")</f>
        <v/>
      </c>
      <c r="AX220" s="84" t="str">
        <f>IFERROR(ROUND((tblPiNHistorical[[#This Row],[GBV New]]-tblPiNHistorical[[#This Row],[GBV Old]])/tblPiNHistorical[[#This Row],[GBV Old]], 1), "")</f>
        <v/>
      </c>
      <c r="AY220" s="84" t="str">
        <f>IFERROR(ROUND((tblPiNHistorical[[#This Row],[Mine Action New]]-tblPiNHistorical[[#This Row],[Mine Action Old]])/tblPiNHistorical[[#This Row],[Mine Action Old]], 1), "")</f>
        <v/>
      </c>
      <c r="AZ220" s="140" t="str">
        <f>IFERROR(ROUND((tblPiNHistorical[[#This Row],[Shelter NFI New]]-tblPiNHistorical[[#This Row],[Shelter NFI Old]])/tblPiNHistorical[[#This Row],[Shelter NFI Old]], 1), "")</f>
        <v/>
      </c>
      <c r="BA220" s="31" t="str">
        <f>IFERROR(ROUND((tblPiNHistorical[[#This Row],[WASH New]]-tblPiNHistorical[[#This Row],[WASH Old]])/tblPiNHistorical[[#This Row],[WASH Old]], 1), "")</f>
        <v/>
      </c>
    </row>
    <row r="221" spans="1:53" ht="38.25" x14ac:dyDescent="0.25">
      <c r="A221"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RefugeesSD05142</v>
      </c>
      <c r="B221" s="134" t="s">
        <v>155</v>
      </c>
      <c r="C221" s="124" t="s">
        <v>122</v>
      </c>
      <c r="D221" s="124" t="s">
        <v>175</v>
      </c>
      <c r="E221" s="59" t="s">
        <v>174</v>
      </c>
      <c r="F221" s="54"/>
      <c r="G221" s="29"/>
      <c r="H221" s="53">
        <v>524</v>
      </c>
      <c r="I221" s="53" t="s">
        <v>90</v>
      </c>
      <c r="J221" s="34">
        <v>0</v>
      </c>
      <c r="K221" s="116">
        <v>170</v>
      </c>
      <c r="L221" s="114">
        <v>524</v>
      </c>
      <c r="M221" s="114">
        <v>362</v>
      </c>
      <c r="N221" s="114">
        <v>48</v>
      </c>
      <c r="O221" s="114">
        <v>524</v>
      </c>
      <c r="P221" s="114">
        <v>44.016000000000005</v>
      </c>
      <c r="Q221" s="114">
        <v>209.60000000000002</v>
      </c>
      <c r="R221" s="114">
        <v>104.80000000000001</v>
      </c>
      <c r="S221" s="114">
        <v>210</v>
      </c>
      <c r="T221" s="196">
        <v>245</v>
      </c>
      <c r="U221" s="52" t="str">
        <f>IFERROR(INDEX(tblPiNAnalysis[[Site Management ]], MATCH(tblPiNHistorical[[#This Row],[ID]], tblPiNAnalysis[ID], 0)), "")</f>
        <v/>
      </c>
      <c r="V221" s="52" t="str">
        <f>IFERROR(INDEX(tblPiNAnalysis[Education], MATCH(tblPiNHistorical[[#This Row],[ID]], tblPiNAnalysis[ID], 0)), "")</f>
        <v/>
      </c>
      <c r="W221" s="28" t="str">
        <f>IFERROR(INDEX(tblPiNAnalysis[Food Security and Livlihoods], MATCH(tblPiNHistorical[[#This Row],[ID]], tblPiNAnalysis[ID], 0)), "")</f>
        <v/>
      </c>
      <c r="X221" s="28" t="str">
        <f>IFERROR(INDEX(tblPiNAnalysis[[Health ]], MATCH(tblPiNHistorical[[#This Row],[ID]], tblPiNAnalysis[ID], 0)), "")</f>
        <v/>
      </c>
      <c r="Y221" s="28" t="str">
        <f>IFERROR(INDEX(tblPiNAnalysis[Nutrition], MATCH(tblPiNHistorical[[#This Row],[ID]], tblPiNAnalysis[ID], 0)), "")</f>
        <v/>
      </c>
      <c r="Z221" s="28" t="str">
        <f>IFERROR(INDEX(tblPiNAnalysis[Protection], MATCH(tblPiNHistorical[[#This Row],[ID]], tblPiNAnalysis[ID], 0)), "")</f>
        <v/>
      </c>
      <c r="AA221" s="28" t="str">
        <f>IFERROR(INDEX(tblPiNAnalysis[CP], MATCH(tblPiNHistorical[[#This Row],[ID]], tblPiNAnalysis[ID], 0)), "")</f>
        <v/>
      </c>
      <c r="AB221" s="83" t="str">
        <f>IFERROR(INDEX(tblPiNAnalysis[GBV], MATCH(tblPiNHistorical[[#This Row],[ID]], tblPiNAnalysis[ID], 0)), "")</f>
        <v/>
      </c>
      <c r="AC221" s="28" t="str">
        <f>IFERROR(INDEX(tblPiNAnalysis[Mine Action], MATCH(tblPiNHistorical[[#This Row],[ID]], tblPiNAnalysis[ID], 0)), "")</f>
        <v/>
      </c>
      <c r="AD221" s="83" t="str">
        <f>IFERROR(INDEX(tblPiNAnalysis[[Shelter NFI ]], MATCH(tblPiNHistorical[[#This Row],[ID]], tblPiNAnalysis[ID], 0)), "")</f>
        <v/>
      </c>
      <c r="AE221" s="28" t="str">
        <f>IFERROR(INDEX(tblPiNAnalysis[WASH], MATCH(tblPiNHistorical[[#This Row],[ID]], tblPiNAnalysis[ID], 0)), "")</f>
        <v/>
      </c>
      <c r="AF221"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221" s="136" t="str">
        <f>IF(OR(tblPiNHistorical[[#This Row],[Education Old]]="", tblPiNHistorical[[#This Row],[Education Old]]=0, tblPiNHistorical[[#This Row],[Education New]]="", tblPiNHistorical[[#This Row],[Education New]]=0), "", tblPiNHistorical[[#This Row],[Education New]]-tblPiNHistorical[[#This Row],[Education Old]])</f>
        <v/>
      </c>
      <c r="AH221"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221" s="137" t="str">
        <f>IF(OR(tblPiNHistorical[[#This Row],[Health Old]]="", tblPiNHistorical[[#This Row],[Health Old]]=0, tblPiNHistorical[[#This Row],[Health New]]="", tblPiNHistorical[[#This Row],[Health New]]=0), "", tblPiNHistorical[[#This Row],[Health New]]-tblPiNHistorical[[#This Row],[Health Old]])</f>
        <v/>
      </c>
      <c r="AJ221" s="136" t="str">
        <f>IF(OR(tblPiNHistorical[[#This Row],[Nutrition Old]]="", tblPiNHistorical[[#This Row],[Nutrition Old]]=0, tblPiNHistorical[[#This Row],[Nutrition New]]="", tblPiNHistorical[[#This Row],[Nutrition New]]=0), "", tblPiNHistorical[[#This Row],[Nutrition New]]-tblPiNHistorical[[#This Row],[Nutrition Old]])</f>
        <v/>
      </c>
      <c r="AK221" s="136" t="str">
        <f>IF(OR(tblPiNHistorical[[#This Row],[Protection Old]]="", tblPiNHistorical[[#This Row],[Protection Old]]=0, tblPiNHistorical[[#This Row],[Protection New]]="", tblPiNHistorical[[#This Row],[Protection New]]=0), "", tblPiNHistorical[[#This Row],[Protection New]]-tblPiNHistorical[[#This Row],[Protection Old]])</f>
        <v/>
      </c>
      <c r="AL221" s="136" t="str">
        <f>IF(OR(tblPiNHistorical[[#This Row],[CP Old ]]="", tblPiNHistorical[[#This Row],[CP Old ]]=0, tblPiNHistorical[[#This Row],[CP New]]="", tblPiNHistorical[[#This Row],[CP New]]=0), "", tblPiNHistorical[[#This Row],[CP New]]-tblPiNHistorical[[#This Row],[CP Old ]])</f>
        <v/>
      </c>
      <c r="AM221" s="83" t="str">
        <f>IF(OR(tblPiNHistorical[[#This Row],[GBV Old]]="", tblPiNHistorical[[#This Row],[GBV Old]]=0, tblPiNHistorical[[#This Row],[GBV New]]="", tblPiNHistorical[[#This Row],[GBV New]]=0), "", tblPiNHistorical[[#This Row],[GBV New]]-tblPiNHistorical[[#This Row],[GBV Old]])</f>
        <v/>
      </c>
      <c r="AN221" s="83" t="str">
        <f>IF(OR(tblPiNHistorical[[#This Row],[Mine Action Old]]="", tblPiNHistorical[[#This Row],[Mine Action Old]]=0, tblPiNHistorical[[#This Row],[Mine Action New]]="", tblPiNHistorical[[#This Row],[Mine Action New]]=0), "", tblPiNHistorical[[#This Row],[Mine Action New]]-tblPiNHistorical[[#This Row],[Mine Action Old]])</f>
        <v/>
      </c>
      <c r="AO221" s="136" t="str">
        <f>IF(OR(tblPiNHistorical[[#This Row],[Shelter NFI Old]]="", tblPiNHistorical[[#This Row],[Shelter NFI Old]]=0, tblPiNHistorical[[#This Row],[Shelter NFI New]]="", tblPiNHistorical[[#This Row],[Shelter NFI New]]=0), "", tblPiNHistorical[[#This Row],[Shelter NFI New]]-tblPiNHistorical[[#This Row],[Shelter NFI Old]])</f>
        <v/>
      </c>
      <c r="AP221" s="138" t="str">
        <f>IF(OR(tblPiNHistorical[[#This Row],[WASH Old]]="", tblPiNHistorical[[#This Row],[WASH Old]]=0, tblPiNHistorical[[#This Row],[WASH New]]="", tblPiNHistorical[[#This Row],[WASH New]]=0), "", tblPiNHistorical[[#This Row],[WASH New]]-tblPiNHistorical[[#This Row],[WASH Old]])</f>
        <v/>
      </c>
      <c r="AQ221" s="139" t="str">
        <f>IFERROR(ROUND((tblPiNHistorical[[#This Row],[Site Management - New]] - tblPiNHistorical[[#This Row],[Site Management - Old]])/tblPiNHistorical[[#This Row],[Site Management - Old]], 1), "")</f>
        <v/>
      </c>
      <c r="AR221" s="140" t="str">
        <f>IFERROR(ROUND((tblPiNHistorical[[#This Row],[Education New]]-tblPiNHistorical[[#This Row],[Education Old]])/tblPiNHistorical[[#This Row],[Education Old]], 1), "")</f>
        <v/>
      </c>
      <c r="AS221" s="141" t="str">
        <f>IFERROR(ROUND((tblPiNHistorical[[#This Row],[Food Security and Livlihoods New]]-tblPiNHistorical[[#This Row],[Food Security and Livlihoods Old]])/tblPiNHistorical[[#This Row],[Food Security and Livlihoods Old]], 1), "")</f>
        <v/>
      </c>
      <c r="AT221" s="142" t="str">
        <f>IFERROR(ROUND((tblPiNHistorical[[#This Row],[Health New]]-tblPiNHistorical[[#This Row],[Health Old]])/tblPiNHistorical[[#This Row],[Health Old]], 1), "")</f>
        <v/>
      </c>
      <c r="AU221" s="140" t="str">
        <f>IFERROR(ROUND((tblPiNHistorical[[#This Row],[Nutrition New]]-tblPiNHistorical[[#This Row],[Nutrition Old]])/tblPiNHistorical[[#This Row],[Nutrition Old]], 1), "")</f>
        <v/>
      </c>
      <c r="AV221" s="140" t="str">
        <f>IFERROR(ROUND((tblPiNHistorical[[#This Row],[Protection New]]-tblPiNHistorical[[#This Row],[Protection Old]])/tblPiNHistorical[[#This Row],[Protection Old]], 1), "")</f>
        <v/>
      </c>
      <c r="AW221" s="84" t="str">
        <f>IFERROR(ROUND((tblPiNHistorical[[#This Row],[CP New]]-tblPiNHistorical[[#This Row],[CP Old ]])/tblPiNHistorical[[#This Row],[CP Old ]], 1), "")</f>
        <v/>
      </c>
      <c r="AX221" s="84" t="str">
        <f>IFERROR(ROUND((tblPiNHistorical[[#This Row],[GBV New]]-tblPiNHistorical[[#This Row],[GBV Old]])/tblPiNHistorical[[#This Row],[GBV Old]], 1), "")</f>
        <v/>
      </c>
      <c r="AY221" s="84" t="str">
        <f>IFERROR(ROUND((tblPiNHistorical[[#This Row],[Mine Action New]]-tblPiNHistorical[[#This Row],[Mine Action Old]])/tblPiNHistorical[[#This Row],[Mine Action Old]], 1), "")</f>
        <v/>
      </c>
      <c r="AZ221" s="140" t="str">
        <f>IFERROR(ROUND((tblPiNHistorical[[#This Row],[Shelter NFI New]]-tblPiNHistorical[[#This Row],[Shelter NFI Old]])/tblPiNHistorical[[#This Row],[Shelter NFI Old]], 1), "")</f>
        <v/>
      </c>
      <c r="BA221" s="31" t="str">
        <f>IFERROR(ROUND((tblPiNHistorical[[#This Row],[WASH New]]-tblPiNHistorical[[#This Row],[WASH Old]])/tblPiNHistorical[[#This Row],[WASH Old]], 1), "")</f>
        <v/>
      </c>
    </row>
    <row r="222" spans="1:53" ht="38.25" x14ac:dyDescent="0.25">
      <c r="A222"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RefugeesSD05139</v>
      </c>
      <c r="B222" s="134" t="s">
        <v>155</v>
      </c>
      <c r="C222" s="124" t="s">
        <v>122</v>
      </c>
      <c r="D222" s="124" t="s">
        <v>169</v>
      </c>
      <c r="E222" s="59" t="s">
        <v>168</v>
      </c>
      <c r="F222" s="54"/>
      <c r="G222" s="29"/>
      <c r="H222" s="53">
        <v>4081</v>
      </c>
      <c r="I222" s="53" t="s">
        <v>90</v>
      </c>
      <c r="J222" s="34">
        <v>0</v>
      </c>
      <c r="K222" s="116">
        <v>1330</v>
      </c>
      <c r="L222" s="114">
        <v>4081</v>
      </c>
      <c r="M222" s="114">
        <v>2000</v>
      </c>
      <c r="N222" s="114">
        <v>373</v>
      </c>
      <c r="O222" s="114">
        <v>4081</v>
      </c>
      <c r="P222" s="114">
        <v>93.863</v>
      </c>
      <c r="Q222" s="114">
        <v>1077.384</v>
      </c>
      <c r="R222" s="114">
        <v>816.2</v>
      </c>
      <c r="S222" s="114">
        <v>1632</v>
      </c>
      <c r="T222" s="196">
        <v>2255</v>
      </c>
      <c r="U222" s="52" t="str">
        <f>IFERROR(INDEX(tblPiNAnalysis[[Site Management ]], MATCH(tblPiNHistorical[[#This Row],[ID]], tblPiNAnalysis[ID], 0)), "")</f>
        <v/>
      </c>
      <c r="V222" s="52" t="str">
        <f>IFERROR(INDEX(tblPiNAnalysis[Education], MATCH(tblPiNHistorical[[#This Row],[ID]], tblPiNAnalysis[ID], 0)), "")</f>
        <v/>
      </c>
      <c r="W222" s="28" t="str">
        <f>IFERROR(INDEX(tblPiNAnalysis[Food Security and Livlihoods], MATCH(tblPiNHistorical[[#This Row],[ID]], tblPiNAnalysis[ID], 0)), "")</f>
        <v/>
      </c>
      <c r="X222" s="28" t="str">
        <f>IFERROR(INDEX(tblPiNAnalysis[[Health ]], MATCH(tblPiNHistorical[[#This Row],[ID]], tblPiNAnalysis[ID], 0)), "")</f>
        <v/>
      </c>
      <c r="Y222" s="28" t="str">
        <f>IFERROR(INDEX(tblPiNAnalysis[Nutrition], MATCH(tblPiNHistorical[[#This Row],[ID]], tblPiNAnalysis[ID], 0)), "")</f>
        <v/>
      </c>
      <c r="Z222" s="28" t="str">
        <f>IFERROR(INDEX(tblPiNAnalysis[Protection], MATCH(tblPiNHistorical[[#This Row],[ID]], tblPiNAnalysis[ID], 0)), "")</f>
        <v/>
      </c>
      <c r="AA222" s="28" t="str">
        <f>IFERROR(INDEX(tblPiNAnalysis[CP], MATCH(tblPiNHistorical[[#This Row],[ID]], tblPiNAnalysis[ID], 0)), "")</f>
        <v/>
      </c>
      <c r="AB222" s="83" t="str">
        <f>IFERROR(INDEX(tblPiNAnalysis[GBV], MATCH(tblPiNHistorical[[#This Row],[ID]], tblPiNAnalysis[ID], 0)), "")</f>
        <v/>
      </c>
      <c r="AC222" s="28" t="str">
        <f>IFERROR(INDEX(tblPiNAnalysis[Mine Action], MATCH(tblPiNHistorical[[#This Row],[ID]], tblPiNAnalysis[ID], 0)), "")</f>
        <v/>
      </c>
      <c r="AD222" s="83" t="str">
        <f>IFERROR(INDEX(tblPiNAnalysis[[Shelter NFI ]], MATCH(tblPiNHistorical[[#This Row],[ID]], tblPiNAnalysis[ID], 0)), "")</f>
        <v/>
      </c>
      <c r="AE222" s="28" t="str">
        <f>IFERROR(INDEX(tblPiNAnalysis[WASH], MATCH(tblPiNHistorical[[#This Row],[ID]], tblPiNAnalysis[ID], 0)), "")</f>
        <v/>
      </c>
      <c r="AF222"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222" s="136" t="str">
        <f>IF(OR(tblPiNHistorical[[#This Row],[Education Old]]="", tblPiNHistorical[[#This Row],[Education Old]]=0, tblPiNHistorical[[#This Row],[Education New]]="", tblPiNHistorical[[#This Row],[Education New]]=0), "", tblPiNHistorical[[#This Row],[Education New]]-tblPiNHistorical[[#This Row],[Education Old]])</f>
        <v/>
      </c>
      <c r="AH222"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222" s="137" t="str">
        <f>IF(OR(tblPiNHistorical[[#This Row],[Health Old]]="", tblPiNHistorical[[#This Row],[Health Old]]=0, tblPiNHistorical[[#This Row],[Health New]]="", tblPiNHistorical[[#This Row],[Health New]]=0), "", tblPiNHistorical[[#This Row],[Health New]]-tblPiNHistorical[[#This Row],[Health Old]])</f>
        <v/>
      </c>
      <c r="AJ222" s="136" t="str">
        <f>IF(OR(tblPiNHistorical[[#This Row],[Nutrition Old]]="", tblPiNHistorical[[#This Row],[Nutrition Old]]=0, tblPiNHistorical[[#This Row],[Nutrition New]]="", tblPiNHistorical[[#This Row],[Nutrition New]]=0), "", tblPiNHistorical[[#This Row],[Nutrition New]]-tblPiNHistorical[[#This Row],[Nutrition Old]])</f>
        <v/>
      </c>
      <c r="AK222" s="136" t="str">
        <f>IF(OR(tblPiNHistorical[[#This Row],[Protection Old]]="", tblPiNHistorical[[#This Row],[Protection Old]]=0, tblPiNHistorical[[#This Row],[Protection New]]="", tblPiNHistorical[[#This Row],[Protection New]]=0), "", tblPiNHistorical[[#This Row],[Protection New]]-tblPiNHistorical[[#This Row],[Protection Old]])</f>
        <v/>
      </c>
      <c r="AL222" s="136" t="str">
        <f>IF(OR(tblPiNHistorical[[#This Row],[CP Old ]]="", tblPiNHistorical[[#This Row],[CP Old ]]=0, tblPiNHistorical[[#This Row],[CP New]]="", tblPiNHistorical[[#This Row],[CP New]]=0), "", tblPiNHistorical[[#This Row],[CP New]]-tblPiNHistorical[[#This Row],[CP Old ]])</f>
        <v/>
      </c>
      <c r="AM222" s="83" t="str">
        <f>IF(OR(tblPiNHistorical[[#This Row],[GBV Old]]="", tblPiNHistorical[[#This Row],[GBV Old]]=0, tblPiNHistorical[[#This Row],[GBV New]]="", tblPiNHistorical[[#This Row],[GBV New]]=0), "", tblPiNHistorical[[#This Row],[GBV New]]-tblPiNHistorical[[#This Row],[GBV Old]])</f>
        <v/>
      </c>
      <c r="AN222" s="83" t="str">
        <f>IF(OR(tblPiNHistorical[[#This Row],[Mine Action Old]]="", tblPiNHistorical[[#This Row],[Mine Action Old]]=0, tblPiNHistorical[[#This Row],[Mine Action New]]="", tblPiNHistorical[[#This Row],[Mine Action New]]=0), "", tblPiNHistorical[[#This Row],[Mine Action New]]-tblPiNHistorical[[#This Row],[Mine Action Old]])</f>
        <v/>
      </c>
      <c r="AO222" s="136" t="str">
        <f>IF(OR(tblPiNHistorical[[#This Row],[Shelter NFI Old]]="", tblPiNHistorical[[#This Row],[Shelter NFI Old]]=0, tblPiNHistorical[[#This Row],[Shelter NFI New]]="", tblPiNHistorical[[#This Row],[Shelter NFI New]]=0), "", tblPiNHistorical[[#This Row],[Shelter NFI New]]-tblPiNHistorical[[#This Row],[Shelter NFI Old]])</f>
        <v/>
      </c>
      <c r="AP222" s="138" t="str">
        <f>IF(OR(tblPiNHistorical[[#This Row],[WASH Old]]="", tblPiNHistorical[[#This Row],[WASH Old]]=0, tblPiNHistorical[[#This Row],[WASH New]]="", tblPiNHistorical[[#This Row],[WASH New]]=0), "", tblPiNHistorical[[#This Row],[WASH New]]-tblPiNHistorical[[#This Row],[WASH Old]])</f>
        <v/>
      </c>
      <c r="AQ222" s="139" t="str">
        <f>IFERROR(ROUND((tblPiNHistorical[[#This Row],[Site Management - New]] - tblPiNHistorical[[#This Row],[Site Management - Old]])/tblPiNHistorical[[#This Row],[Site Management - Old]], 1), "")</f>
        <v/>
      </c>
      <c r="AR222" s="140" t="str">
        <f>IFERROR(ROUND((tblPiNHistorical[[#This Row],[Education New]]-tblPiNHistorical[[#This Row],[Education Old]])/tblPiNHistorical[[#This Row],[Education Old]], 1), "")</f>
        <v/>
      </c>
      <c r="AS222" s="141" t="str">
        <f>IFERROR(ROUND((tblPiNHistorical[[#This Row],[Food Security and Livlihoods New]]-tblPiNHistorical[[#This Row],[Food Security and Livlihoods Old]])/tblPiNHistorical[[#This Row],[Food Security and Livlihoods Old]], 1), "")</f>
        <v/>
      </c>
      <c r="AT222" s="142" t="str">
        <f>IFERROR(ROUND((tblPiNHistorical[[#This Row],[Health New]]-tblPiNHistorical[[#This Row],[Health Old]])/tblPiNHistorical[[#This Row],[Health Old]], 1), "")</f>
        <v/>
      </c>
      <c r="AU222" s="140" t="str">
        <f>IFERROR(ROUND((tblPiNHistorical[[#This Row],[Nutrition New]]-tblPiNHistorical[[#This Row],[Nutrition Old]])/tblPiNHistorical[[#This Row],[Nutrition Old]], 1), "")</f>
        <v/>
      </c>
      <c r="AV222" s="140" t="str">
        <f>IFERROR(ROUND((tblPiNHistorical[[#This Row],[Protection New]]-tblPiNHistorical[[#This Row],[Protection Old]])/tblPiNHistorical[[#This Row],[Protection Old]], 1), "")</f>
        <v/>
      </c>
      <c r="AW222" s="84" t="str">
        <f>IFERROR(ROUND((tblPiNHistorical[[#This Row],[CP New]]-tblPiNHistorical[[#This Row],[CP Old ]])/tblPiNHistorical[[#This Row],[CP Old ]], 1), "")</f>
        <v/>
      </c>
      <c r="AX222" s="84" t="str">
        <f>IFERROR(ROUND((tblPiNHistorical[[#This Row],[GBV New]]-tblPiNHistorical[[#This Row],[GBV Old]])/tblPiNHistorical[[#This Row],[GBV Old]], 1), "")</f>
        <v/>
      </c>
      <c r="AY222" s="84" t="str">
        <f>IFERROR(ROUND((tblPiNHistorical[[#This Row],[Mine Action New]]-tblPiNHistorical[[#This Row],[Mine Action Old]])/tblPiNHistorical[[#This Row],[Mine Action Old]], 1), "")</f>
        <v/>
      </c>
      <c r="AZ222" s="140" t="str">
        <f>IFERROR(ROUND((tblPiNHistorical[[#This Row],[Shelter NFI New]]-tblPiNHistorical[[#This Row],[Shelter NFI Old]])/tblPiNHistorical[[#This Row],[Shelter NFI Old]], 1), "")</f>
        <v/>
      </c>
      <c r="BA222" s="31" t="str">
        <f>IFERROR(ROUND((tblPiNHistorical[[#This Row],[WASH New]]-tblPiNHistorical[[#This Row],[WASH Old]])/tblPiNHistorical[[#This Row],[WASH Old]], 1), "")</f>
        <v/>
      </c>
    </row>
    <row r="223" spans="1:53" ht="38.25" x14ac:dyDescent="0.25">
      <c r="A223"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RefugeesSD05152</v>
      </c>
      <c r="B223" s="134" t="s">
        <v>155</v>
      </c>
      <c r="C223" s="124" t="s">
        <v>122</v>
      </c>
      <c r="D223" s="124" t="s">
        <v>181</v>
      </c>
      <c r="E223" s="59" t="s">
        <v>180</v>
      </c>
      <c r="F223" s="54"/>
      <c r="G223" s="29"/>
      <c r="H223" s="53">
        <v>6283</v>
      </c>
      <c r="I223" s="53" t="s">
        <v>90</v>
      </c>
      <c r="J223" s="34">
        <v>0</v>
      </c>
      <c r="K223" s="116">
        <v>2587</v>
      </c>
      <c r="L223" s="114">
        <v>6275</v>
      </c>
      <c r="M223" s="114">
        <v>4330</v>
      </c>
      <c r="N223" s="114">
        <v>573</v>
      </c>
      <c r="O223" s="114">
        <v>6275</v>
      </c>
      <c r="P223" s="114">
        <v>213.35000000000002</v>
      </c>
      <c r="Q223" s="114">
        <v>2177.4249999999997</v>
      </c>
      <c r="R223" s="114">
        <v>0</v>
      </c>
      <c r="S223" s="114">
        <v>2510</v>
      </c>
      <c r="T223" s="196">
        <v>6039</v>
      </c>
      <c r="U223" s="52" t="str">
        <f>IFERROR(INDEX(tblPiNAnalysis[[Site Management ]], MATCH(tblPiNHistorical[[#This Row],[ID]], tblPiNAnalysis[ID], 0)), "")</f>
        <v/>
      </c>
      <c r="V223" s="52" t="str">
        <f>IFERROR(INDEX(tblPiNAnalysis[Education], MATCH(tblPiNHistorical[[#This Row],[ID]], tblPiNAnalysis[ID], 0)), "")</f>
        <v/>
      </c>
      <c r="W223" s="28" t="str">
        <f>IFERROR(INDEX(tblPiNAnalysis[Food Security and Livlihoods], MATCH(tblPiNHistorical[[#This Row],[ID]], tblPiNAnalysis[ID], 0)), "")</f>
        <v/>
      </c>
      <c r="X223" s="28" t="str">
        <f>IFERROR(INDEX(tblPiNAnalysis[[Health ]], MATCH(tblPiNHistorical[[#This Row],[ID]], tblPiNAnalysis[ID], 0)), "")</f>
        <v/>
      </c>
      <c r="Y223" s="28" t="str">
        <f>IFERROR(INDEX(tblPiNAnalysis[Nutrition], MATCH(tblPiNHistorical[[#This Row],[ID]], tblPiNAnalysis[ID], 0)), "")</f>
        <v/>
      </c>
      <c r="Z223" s="28" t="str">
        <f>IFERROR(INDEX(tblPiNAnalysis[Protection], MATCH(tblPiNHistorical[[#This Row],[ID]], tblPiNAnalysis[ID], 0)), "")</f>
        <v/>
      </c>
      <c r="AA223" s="28" t="str">
        <f>IFERROR(INDEX(tblPiNAnalysis[CP], MATCH(tblPiNHistorical[[#This Row],[ID]], tblPiNAnalysis[ID], 0)), "")</f>
        <v/>
      </c>
      <c r="AB223" s="83" t="str">
        <f>IFERROR(INDEX(tblPiNAnalysis[GBV], MATCH(tblPiNHistorical[[#This Row],[ID]], tblPiNAnalysis[ID], 0)), "")</f>
        <v/>
      </c>
      <c r="AC223" s="28" t="str">
        <f>IFERROR(INDEX(tblPiNAnalysis[Mine Action], MATCH(tblPiNHistorical[[#This Row],[ID]], tblPiNAnalysis[ID], 0)), "")</f>
        <v/>
      </c>
      <c r="AD223" s="83" t="str">
        <f>IFERROR(INDEX(tblPiNAnalysis[[Shelter NFI ]], MATCH(tblPiNHistorical[[#This Row],[ID]], tblPiNAnalysis[ID], 0)), "")</f>
        <v/>
      </c>
      <c r="AE223" s="28" t="str">
        <f>IFERROR(INDEX(tblPiNAnalysis[WASH], MATCH(tblPiNHistorical[[#This Row],[ID]], tblPiNAnalysis[ID], 0)), "")</f>
        <v/>
      </c>
      <c r="AF223"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223" s="136" t="str">
        <f>IF(OR(tblPiNHistorical[[#This Row],[Education Old]]="", tblPiNHistorical[[#This Row],[Education Old]]=0, tblPiNHistorical[[#This Row],[Education New]]="", tblPiNHistorical[[#This Row],[Education New]]=0), "", tblPiNHistorical[[#This Row],[Education New]]-tblPiNHistorical[[#This Row],[Education Old]])</f>
        <v/>
      </c>
      <c r="AH223"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223" s="137" t="str">
        <f>IF(OR(tblPiNHistorical[[#This Row],[Health Old]]="", tblPiNHistorical[[#This Row],[Health Old]]=0, tblPiNHistorical[[#This Row],[Health New]]="", tblPiNHistorical[[#This Row],[Health New]]=0), "", tblPiNHistorical[[#This Row],[Health New]]-tblPiNHistorical[[#This Row],[Health Old]])</f>
        <v/>
      </c>
      <c r="AJ223" s="136" t="str">
        <f>IF(OR(tblPiNHistorical[[#This Row],[Nutrition Old]]="", tblPiNHistorical[[#This Row],[Nutrition Old]]=0, tblPiNHistorical[[#This Row],[Nutrition New]]="", tblPiNHistorical[[#This Row],[Nutrition New]]=0), "", tblPiNHistorical[[#This Row],[Nutrition New]]-tblPiNHistorical[[#This Row],[Nutrition Old]])</f>
        <v/>
      </c>
      <c r="AK223" s="136" t="str">
        <f>IF(OR(tblPiNHistorical[[#This Row],[Protection Old]]="", tblPiNHistorical[[#This Row],[Protection Old]]=0, tblPiNHistorical[[#This Row],[Protection New]]="", tblPiNHistorical[[#This Row],[Protection New]]=0), "", tblPiNHistorical[[#This Row],[Protection New]]-tblPiNHistorical[[#This Row],[Protection Old]])</f>
        <v/>
      </c>
      <c r="AL223" s="136" t="str">
        <f>IF(OR(tblPiNHistorical[[#This Row],[CP Old ]]="", tblPiNHistorical[[#This Row],[CP Old ]]=0, tblPiNHistorical[[#This Row],[CP New]]="", tblPiNHistorical[[#This Row],[CP New]]=0), "", tblPiNHistorical[[#This Row],[CP New]]-tblPiNHistorical[[#This Row],[CP Old ]])</f>
        <v/>
      </c>
      <c r="AM223" s="83" t="str">
        <f>IF(OR(tblPiNHistorical[[#This Row],[GBV Old]]="", tblPiNHistorical[[#This Row],[GBV Old]]=0, tblPiNHistorical[[#This Row],[GBV New]]="", tblPiNHistorical[[#This Row],[GBV New]]=0), "", tblPiNHistorical[[#This Row],[GBV New]]-tblPiNHistorical[[#This Row],[GBV Old]])</f>
        <v/>
      </c>
      <c r="AN223" s="83" t="str">
        <f>IF(OR(tblPiNHistorical[[#This Row],[Mine Action Old]]="", tblPiNHistorical[[#This Row],[Mine Action Old]]=0, tblPiNHistorical[[#This Row],[Mine Action New]]="", tblPiNHistorical[[#This Row],[Mine Action New]]=0), "", tblPiNHistorical[[#This Row],[Mine Action New]]-tblPiNHistorical[[#This Row],[Mine Action Old]])</f>
        <v/>
      </c>
      <c r="AO223" s="136" t="str">
        <f>IF(OR(tblPiNHistorical[[#This Row],[Shelter NFI Old]]="", tblPiNHistorical[[#This Row],[Shelter NFI Old]]=0, tblPiNHistorical[[#This Row],[Shelter NFI New]]="", tblPiNHistorical[[#This Row],[Shelter NFI New]]=0), "", tblPiNHistorical[[#This Row],[Shelter NFI New]]-tblPiNHistorical[[#This Row],[Shelter NFI Old]])</f>
        <v/>
      </c>
      <c r="AP223" s="138" t="str">
        <f>IF(OR(tblPiNHistorical[[#This Row],[WASH Old]]="", tblPiNHistorical[[#This Row],[WASH Old]]=0, tblPiNHistorical[[#This Row],[WASH New]]="", tblPiNHistorical[[#This Row],[WASH New]]=0), "", tblPiNHistorical[[#This Row],[WASH New]]-tblPiNHistorical[[#This Row],[WASH Old]])</f>
        <v/>
      </c>
      <c r="AQ223" s="139" t="str">
        <f>IFERROR(ROUND((tblPiNHistorical[[#This Row],[Site Management - New]] - tblPiNHistorical[[#This Row],[Site Management - Old]])/tblPiNHistorical[[#This Row],[Site Management - Old]], 1), "")</f>
        <v/>
      </c>
      <c r="AR223" s="140" t="str">
        <f>IFERROR(ROUND((tblPiNHistorical[[#This Row],[Education New]]-tblPiNHistorical[[#This Row],[Education Old]])/tblPiNHistorical[[#This Row],[Education Old]], 1), "")</f>
        <v/>
      </c>
      <c r="AS223" s="141" t="str">
        <f>IFERROR(ROUND((tblPiNHistorical[[#This Row],[Food Security and Livlihoods New]]-tblPiNHistorical[[#This Row],[Food Security and Livlihoods Old]])/tblPiNHistorical[[#This Row],[Food Security and Livlihoods Old]], 1), "")</f>
        <v/>
      </c>
      <c r="AT223" s="142" t="str">
        <f>IFERROR(ROUND((tblPiNHistorical[[#This Row],[Health New]]-tblPiNHistorical[[#This Row],[Health Old]])/tblPiNHistorical[[#This Row],[Health Old]], 1), "")</f>
        <v/>
      </c>
      <c r="AU223" s="140" t="str">
        <f>IFERROR(ROUND((tblPiNHistorical[[#This Row],[Nutrition New]]-tblPiNHistorical[[#This Row],[Nutrition Old]])/tblPiNHistorical[[#This Row],[Nutrition Old]], 1), "")</f>
        <v/>
      </c>
      <c r="AV223" s="140" t="str">
        <f>IFERROR(ROUND((tblPiNHistorical[[#This Row],[Protection New]]-tblPiNHistorical[[#This Row],[Protection Old]])/tblPiNHistorical[[#This Row],[Protection Old]], 1), "")</f>
        <v/>
      </c>
      <c r="AW223" s="84" t="str">
        <f>IFERROR(ROUND((tblPiNHistorical[[#This Row],[CP New]]-tblPiNHistorical[[#This Row],[CP Old ]])/tblPiNHistorical[[#This Row],[CP Old ]], 1), "")</f>
        <v/>
      </c>
      <c r="AX223" s="84" t="str">
        <f>IFERROR(ROUND((tblPiNHistorical[[#This Row],[GBV New]]-tblPiNHistorical[[#This Row],[GBV Old]])/tblPiNHistorical[[#This Row],[GBV Old]], 1), "")</f>
        <v/>
      </c>
      <c r="AY223" s="84" t="str">
        <f>IFERROR(ROUND((tblPiNHistorical[[#This Row],[Mine Action New]]-tblPiNHistorical[[#This Row],[Mine Action Old]])/tblPiNHistorical[[#This Row],[Mine Action Old]], 1), "")</f>
        <v/>
      </c>
      <c r="AZ223" s="140" t="str">
        <f>IFERROR(ROUND((tblPiNHistorical[[#This Row],[Shelter NFI New]]-tblPiNHistorical[[#This Row],[Shelter NFI Old]])/tblPiNHistorical[[#This Row],[Shelter NFI Old]], 1), "")</f>
        <v/>
      </c>
      <c r="BA223" s="31" t="str">
        <f>IFERROR(ROUND((tblPiNHistorical[[#This Row],[WASH New]]-tblPiNHistorical[[#This Row],[WASH Old]])/tblPiNHistorical[[#This Row],[WASH Old]], 1), "")</f>
        <v/>
      </c>
    </row>
    <row r="224" spans="1:53" ht="38.25" x14ac:dyDescent="0.25">
      <c r="A224"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RefugeesSD05163</v>
      </c>
      <c r="B224" s="134" t="s">
        <v>155</v>
      </c>
      <c r="C224" s="124" t="s">
        <v>122</v>
      </c>
      <c r="D224" s="124" t="s">
        <v>190</v>
      </c>
      <c r="E224" s="59" t="s">
        <v>189</v>
      </c>
      <c r="F224" s="54"/>
      <c r="G224" s="29"/>
      <c r="H224" s="53">
        <v>10766</v>
      </c>
      <c r="I224" s="53" t="s">
        <v>90</v>
      </c>
      <c r="J224" s="34">
        <v>0</v>
      </c>
      <c r="K224" s="116">
        <v>4521</v>
      </c>
      <c r="L224" s="114">
        <v>10766</v>
      </c>
      <c r="M224" s="114">
        <v>3122</v>
      </c>
      <c r="N224" s="114">
        <v>983</v>
      </c>
      <c r="O224" s="114">
        <v>10766</v>
      </c>
      <c r="P224" s="114">
        <v>559.83199999999999</v>
      </c>
      <c r="Q224" s="114">
        <v>4844.7</v>
      </c>
      <c r="R224" s="114">
        <v>0</v>
      </c>
      <c r="S224" s="114">
        <v>4306</v>
      </c>
      <c r="T224" s="196">
        <v>10711</v>
      </c>
      <c r="U224" s="52" t="str">
        <f>IFERROR(INDEX(tblPiNAnalysis[[Site Management ]], MATCH(tblPiNHistorical[[#This Row],[ID]], tblPiNAnalysis[ID], 0)), "")</f>
        <v/>
      </c>
      <c r="V224" s="52" t="str">
        <f>IFERROR(INDEX(tblPiNAnalysis[Education], MATCH(tblPiNHistorical[[#This Row],[ID]], tblPiNAnalysis[ID], 0)), "")</f>
        <v/>
      </c>
      <c r="W224" s="28" t="str">
        <f>IFERROR(INDEX(tblPiNAnalysis[Food Security and Livlihoods], MATCH(tblPiNHistorical[[#This Row],[ID]], tblPiNAnalysis[ID], 0)), "")</f>
        <v/>
      </c>
      <c r="X224" s="28" t="str">
        <f>IFERROR(INDEX(tblPiNAnalysis[[Health ]], MATCH(tblPiNHistorical[[#This Row],[ID]], tblPiNAnalysis[ID], 0)), "")</f>
        <v/>
      </c>
      <c r="Y224" s="28" t="str">
        <f>IFERROR(INDEX(tblPiNAnalysis[Nutrition], MATCH(tblPiNHistorical[[#This Row],[ID]], tblPiNAnalysis[ID], 0)), "")</f>
        <v/>
      </c>
      <c r="Z224" s="28" t="str">
        <f>IFERROR(INDEX(tblPiNAnalysis[Protection], MATCH(tblPiNHistorical[[#This Row],[ID]], tblPiNAnalysis[ID], 0)), "")</f>
        <v/>
      </c>
      <c r="AA224" s="28" t="str">
        <f>IFERROR(INDEX(tblPiNAnalysis[CP], MATCH(tblPiNHistorical[[#This Row],[ID]], tblPiNAnalysis[ID], 0)), "")</f>
        <v/>
      </c>
      <c r="AB224" s="83" t="str">
        <f>IFERROR(INDEX(tblPiNAnalysis[GBV], MATCH(tblPiNHistorical[[#This Row],[ID]], tblPiNAnalysis[ID], 0)), "")</f>
        <v/>
      </c>
      <c r="AC224" s="28" t="str">
        <f>IFERROR(INDEX(tblPiNAnalysis[Mine Action], MATCH(tblPiNHistorical[[#This Row],[ID]], tblPiNAnalysis[ID], 0)), "")</f>
        <v/>
      </c>
      <c r="AD224" s="83" t="str">
        <f>IFERROR(INDEX(tblPiNAnalysis[[Shelter NFI ]], MATCH(tblPiNHistorical[[#This Row],[ID]], tblPiNAnalysis[ID], 0)), "")</f>
        <v/>
      </c>
      <c r="AE224" s="28" t="str">
        <f>IFERROR(INDEX(tblPiNAnalysis[WASH], MATCH(tblPiNHistorical[[#This Row],[ID]], tblPiNAnalysis[ID], 0)), "")</f>
        <v/>
      </c>
      <c r="AF224"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224" s="136" t="str">
        <f>IF(OR(tblPiNHistorical[[#This Row],[Education Old]]="", tblPiNHistorical[[#This Row],[Education Old]]=0, tblPiNHistorical[[#This Row],[Education New]]="", tblPiNHistorical[[#This Row],[Education New]]=0), "", tblPiNHistorical[[#This Row],[Education New]]-tblPiNHistorical[[#This Row],[Education Old]])</f>
        <v/>
      </c>
      <c r="AH224"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224" s="137" t="str">
        <f>IF(OR(tblPiNHistorical[[#This Row],[Health Old]]="", tblPiNHistorical[[#This Row],[Health Old]]=0, tblPiNHistorical[[#This Row],[Health New]]="", tblPiNHistorical[[#This Row],[Health New]]=0), "", tblPiNHistorical[[#This Row],[Health New]]-tblPiNHistorical[[#This Row],[Health Old]])</f>
        <v/>
      </c>
      <c r="AJ224" s="136" t="str">
        <f>IF(OR(tblPiNHistorical[[#This Row],[Nutrition Old]]="", tblPiNHistorical[[#This Row],[Nutrition Old]]=0, tblPiNHistorical[[#This Row],[Nutrition New]]="", tblPiNHistorical[[#This Row],[Nutrition New]]=0), "", tblPiNHistorical[[#This Row],[Nutrition New]]-tblPiNHistorical[[#This Row],[Nutrition Old]])</f>
        <v/>
      </c>
      <c r="AK224" s="136" t="str">
        <f>IF(OR(tblPiNHistorical[[#This Row],[Protection Old]]="", tblPiNHistorical[[#This Row],[Protection Old]]=0, tblPiNHistorical[[#This Row],[Protection New]]="", tblPiNHistorical[[#This Row],[Protection New]]=0), "", tblPiNHistorical[[#This Row],[Protection New]]-tblPiNHistorical[[#This Row],[Protection Old]])</f>
        <v/>
      </c>
      <c r="AL224" s="136" t="str">
        <f>IF(OR(tblPiNHistorical[[#This Row],[CP Old ]]="", tblPiNHistorical[[#This Row],[CP Old ]]=0, tblPiNHistorical[[#This Row],[CP New]]="", tblPiNHistorical[[#This Row],[CP New]]=0), "", tblPiNHistorical[[#This Row],[CP New]]-tblPiNHistorical[[#This Row],[CP Old ]])</f>
        <v/>
      </c>
      <c r="AM224" s="83" t="str">
        <f>IF(OR(tblPiNHistorical[[#This Row],[GBV Old]]="", tblPiNHistorical[[#This Row],[GBV Old]]=0, tblPiNHistorical[[#This Row],[GBV New]]="", tblPiNHistorical[[#This Row],[GBV New]]=0), "", tblPiNHistorical[[#This Row],[GBV New]]-tblPiNHistorical[[#This Row],[GBV Old]])</f>
        <v/>
      </c>
      <c r="AN224" s="83" t="str">
        <f>IF(OR(tblPiNHistorical[[#This Row],[Mine Action Old]]="", tblPiNHistorical[[#This Row],[Mine Action Old]]=0, tblPiNHistorical[[#This Row],[Mine Action New]]="", tblPiNHistorical[[#This Row],[Mine Action New]]=0), "", tblPiNHistorical[[#This Row],[Mine Action New]]-tblPiNHistorical[[#This Row],[Mine Action Old]])</f>
        <v/>
      </c>
      <c r="AO224" s="136" t="str">
        <f>IF(OR(tblPiNHistorical[[#This Row],[Shelter NFI Old]]="", tblPiNHistorical[[#This Row],[Shelter NFI Old]]=0, tblPiNHistorical[[#This Row],[Shelter NFI New]]="", tblPiNHistorical[[#This Row],[Shelter NFI New]]=0), "", tblPiNHistorical[[#This Row],[Shelter NFI New]]-tblPiNHistorical[[#This Row],[Shelter NFI Old]])</f>
        <v/>
      </c>
      <c r="AP224" s="138" t="str">
        <f>IF(OR(tblPiNHistorical[[#This Row],[WASH Old]]="", tblPiNHistorical[[#This Row],[WASH Old]]=0, tblPiNHistorical[[#This Row],[WASH New]]="", tblPiNHistorical[[#This Row],[WASH New]]=0), "", tblPiNHistorical[[#This Row],[WASH New]]-tblPiNHistorical[[#This Row],[WASH Old]])</f>
        <v/>
      </c>
      <c r="AQ224" s="139" t="str">
        <f>IFERROR(ROUND((tblPiNHistorical[[#This Row],[Site Management - New]] - tblPiNHistorical[[#This Row],[Site Management - Old]])/tblPiNHistorical[[#This Row],[Site Management - Old]], 1), "")</f>
        <v/>
      </c>
      <c r="AR224" s="140" t="str">
        <f>IFERROR(ROUND((tblPiNHistorical[[#This Row],[Education New]]-tblPiNHistorical[[#This Row],[Education Old]])/tblPiNHistorical[[#This Row],[Education Old]], 1), "")</f>
        <v/>
      </c>
      <c r="AS224" s="141" t="str">
        <f>IFERROR(ROUND((tblPiNHistorical[[#This Row],[Food Security and Livlihoods New]]-tblPiNHistorical[[#This Row],[Food Security and Livlihoods Old]])/tblPiNHistorical[[#This Row],[Food Security and Livlihoods Old]], 1), "")</f>
        <v/>
      </c>
      <c r="AT224" s="142" t="str">
        <f>IFERROR(ROUND((tblPiNHistorical[[#This Row],[Health New]]-tblPiNHistorical[[#This Row],[Health Old]])/tblPiNHistorical[[#This Row],[Health Old]], 1), "")</f>
        <v/>
      </c>
      <c r="AU224" s="140" t="str">
        <f>IFERROR(ROUND((tblPiNHistorical[[#This Row],[Nutrition New]]-tblPiNHistorical[[#This Row],[Nutrition Old]])/tblPiNHistorical[[#This Row],[Nutrition Old]], 1), "")</f>
        <v/>
      </c>
      <c r="AV224" s="140" t="str">
        <f>IFERROR(ROUND((tblPiNHistorical[[#This Row],[Protection New]]-tblPiNHistorical[[#This Row],[Protection Old]])/tblPiNHistorical[[#This Row],[Protection Old]], 1), "")</f>
        <v/>
      </c>
      <c r="AW224" s="84" t="str">
        <f>IFERROR(ROUND((tblPiNHistorical[[#This Row],[CP New]]-tblPiNHistorical[[#This Row],[CP Old ]])/tblPiNHistorical[[#This Row],[CP Old ]], 1), "")</f>
        <v/>
      </c>
      <c r="AX224" s="84" t="str">
        <f>IFERROR(ROUND((tblPiNHistorical[[#This Row],[GBV New]]-tblPiNHistorical[[#This Row],[GBV Old]])/tblPiNHistorical[[#This Row],[GBV Old]], 1), "")</f>
        <v/>
      </c>
      <c r="AY224" s="84" t="str">
        <f>IFERROR(ROUND((tblPiNHistorical[[#This Row],[Mine Action New]]-tblPiNHistorical[[#This Row],[Mine Action Old]])/tblPiNHistorical[[#This Row],[Mine Action Old]], 1), "")</f>
        <v/>
      </c>
      <c r="AZ224" s="140" t="str">
        <f>IFERROR(ROUND((tblPiNHistorical[[#This Row],[Shelter NFI New]]-tblPiNHistorical[[#This Row],[Shelter NFI Old]])/tblPiNHistorical[[#This Row],[Shelter NFI Old]], 1), "")</f>
        <v/>
      </c>
      <c r="BA224" s="31" t="str">
        <f>IFERROR(ROUND((tblPiNHistorical[[#This Row],[WASH New]]-tblPiNHistorical[[#This Row],[WASH Old]])/tblPiNHistorical[[#This Row],[WASH Old]], 1), "")</f>
        <v/>
      </c>
    </row>
    <row r="225" spans="1:53" ht="38.25" x14ac:dyDescent="0.25">
      <c r="A225"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RefugeesSD05160</v>
      </c>
      <c r="B225" s="134" t="s">
        <v>155</v>
      </c>
      <c r="C225" s="124" t="s">
        <v>122</v>
      </c>
      <c r="D225" s="124" t="s">
        <v>187</v>
      </c>
      <c r="E225" s="59" t="s">
        <v>186</v>
      </c>
      <c r="F225" s="54"/>
      <c r="G225" s="29"/>
      <c r="H225" s="53">
        <v>34854</v>
      </c>
      <c r="I225" s="53" t="s">
        <v>90</v>
      </c>
      <c r="J225" s="34">
        <v>0</v>
      </c>
      <c r="K225" s="116">
        <v>13512</v>
      </c>
      <c r="L225" s="114">
        <v>34834</v>
      </c>
      <c r="M225" s="114">
        <v>24035</v>
      </c>
      <c r="N225" s="114">
        <v>3179</v>
      </c>
      <c r="O225" s="114">
        <v>34834</v>
      </c>
      <c r="P225" s="114">
        <v>1672.0319999999999</v>
      </c>
      <c r="Q225" s="114">
        <v>17591.170000000002</v>
      </c>
      <c r="R225" s="114">
        <v>6966.8</v>
      </c>
      <c r="S225" s="114">
        <v>20900</v>
      </c>
      <c r="T225" s="196">
        <v>32518</v>
      </c>
      <c r="U225" s="52" t="str">
        <f>IFERROR(INDEX(tblPiNAnalysis[[Site Management ]], MATCH(tblPiNHistorical[[#This Row],[ID]], tblPiNAnalysis[ID], 0)), "")</f>
        <v/>
      </c>
      <c r="V225" s="52" t="str">
        <f>IFERROR(INDEX(tblPiNAnalysis[Education], MATCH(tblPiNHistorical[[#This Row],[ID]], tblPiNAnalysis[ID], 0)), "")</f>
        <v/>
      </c>
      <c r="W225" s="28" t="str">
        <f>IFERROR(INDEX(tblPiNAnalysis[Food Security and Livlihoods], MATCH(tblPiNHistorical[[#This Row],[ID]], tblPiNAnalysis[ID], 0)), "")</f>
        <v/>
      </c>
      <c r="X225" s="28" t="str">
        <f>IFERROR(INDEX(tblPiNAnalysis[[Health ]], MATCH(tblPiNHistorical[[#This Row],[ID]], tblPiNAnalysis[ID], 0)), "")</f>
        <v/>
      </c>
      <c r="Y225" s="28" t="str">
        <f>IFERROR(INDEX(tblPiNAnalysis[Nutrition], MATCH(tblPiNHistorical[[#This Row],[ID]], tblPiNAnalysis[ID], 0)), "")</f>
        <v/>
      </c>
      <c r="Z225" s="28" t="str">
        <f>IFERROR(INDEX(tblPiNAnalysis[Protection], MATCH(tblPiNHistorical[[#This Row],[ID]], tblPiNAnalysis[ID], 0)), "")</f>
        <v/>
      </c>
      <c r="AA225" s="28" t="str">
        <f>IFERROR(INDEX(tblPiNAnalysis[CP], MATCH(tblPiNHistorical[[#This Row],[ID]], tblPiNAnalysis[ID], 0)), "")</f>
        <v/>
      </c>
      <c r="AB225" s="83" t="str">
        <f>IFERROR(INDEX(tblPiNAnalysis[GBV], MATCH(tblPiNHistorical[[#This Row],[ID]], tblPiNAnalysis[ID], 0)), "")</f>
        <v/>
      </c>
      <c r="AC225" s="28" t="str">
        <f>IFERROR(INDEX(tblPiNAnalysis[Mine Action], MATCH(tblPiNHistorical[[#This Row],[ID]], tblPiNAnalysis[ID], 0)), "")</f>
        <v/>
      </c>
      <c r="AD225" s="83" t="str">
        <f>IFERROR(INDEX(tblPiNAnalysis[[Shelter NFI ]], MATCH(tblPiNHistorical[[#This Row],[ID]], tblPiNAnalysis[ID], 0)), "")</f>
        <v/>
      </c>
      <c r="AE225" s="28" t="str">
        <f>IFERROR(INDEX(tblPiNAnalysis[WASH], MATCH(tblPiNHistorical[[#This Row],[ID]], tblPiNAnalysis[ID], 0)), "")</f>
        <v/>
      </c>
      <c r="AF225"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225" s="136" t="str">
        <f>IF(OR(tblPiNHistorical[[#This Row],[Education Old]]="", tblPiNHistorical[[#This Row],[Education Old]]=0, tblPiNHistorical[[#This Row],[Education New]]="", tblPiNHistorical[[#This Row],[Education New]]=0), "", tblPiNHistorical[[#This Row],[Education New]]-tblPiNHistorical[[#This Row],[Education Old]])</f>
        <v/>
      </c>
      <c r="AH225"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225" s="137" t="str">
        <f>IF(OR(tblPiNHistorical[[#This Row],[Health Old]]="", tblPiNHistorical[[#This Row],[Health Old]]=0, tblPiNHistorical[[#This Row],[Health New]]="", tblPiNHistorical[[#This Row],[Health New]]=0), "", tblPiNHistorical[[#This Row],[Health New]]-tblPiNHistorical[[#This Row],[Health Old]])</f>
        <v/>
      </c>
      <c r="AJ225" s="136" t="str">
        <f>IF(OR(tblPiNHistorical[[#This Row],[Nutrition Old]]="", tblPiNHistorical[[#This Row],[Nutrition Old]]=0, tblPiNHistorical[[#This Row],[Nutrition New]]="", tblPiNHistorical[[#This Row],[Nutrition New]]=0), "", tblPiNHistorical[[#This Row],[Nutrition New]]-tblPiNHistorical[[#This Row],[Nutrition Old]])</f>
        <v/>
      </c>
      <c r="AK225" s="136" t="str">
        <f>IF(OR(tblPiNHistorical[[#This Row],[Protection Old]]="", tblPiNHistorical[[#This Row],[Protection Old]]=0, tblPiNHistorical[[#This Row],[Protection New]]="", tblPiNHistorical[[#This Row],[Protection New]]=0), "", tblPiNHistorical[[#This Row],[Protection New]]-tblPiNHistorical[[#This Row],[Protection Old]])</f>
        <v/>
      </c>
      <c r="AL225" s="136" t="str">
        <f>IF(OR(tblPiNHistorical[[#This Row],[CP Old ]]="", tblPiNHistorical[[#This Row],[CP Old ]]=0, tblPiNHistorical[[#This Row],[CP New]]="", tblPiNHistorical[[#This Row],[CP New]]=0), "", tblPiNHistorical[[#This Row],[CP New]]-tblPiNHistorical[[#This Row],[CP Old ]])</f>
        <v/>
      </c>
      <c r="AM225" s="83" t="str">
        <f>IF(OR(tblPiNHistorical[[#This Row],[GBV Old]]="", tblPiNHistorical[[#This Row],[GBV Old]]=0, tblPiNHistorical[[#This Row],[GBV New]]="", tblPiNHistorical[[#This Row],[GBV New]]=0), "", tblPiNHistorical[[#This Row],[GBV New]]-tblPiNHistorical[[#This Row],[GBV Old]])</f>
        <v/>
      </c>
      <c r="AN225" s="83" t="str">
        <f>IF(OR(tblPiNHistorical[[#This Row],[Mine Action Old]]="", tblPiNHistorical[[#This Row],[Mine Action Old]]=0, tblPiNHistorical[[#This Row],[Mine Action New]]="", tblPiNHistorical[[#This Row],[Mine Action New]]=0), "", tblPiNHistorical[[#This Row],[Mine Action New]]-tblPiNHistorical[[#This Row],[Mine Action Old]])</f>
        <v/>
      </c>
      <c r="AO225" s="136" t="str">
        <f>IF(OR(tblPiNHistorical[[#This Row],[Shelter NFI Old]]="", tblPiNHistorical[[#This Row],[Shelter NFI Old]]=0, tblPiNHistorical[[#This Row],[Shelter NFI New]]="", tblPiNHistorical[[#This Row],[Shelter NFI New]]=0), "", tblPiNHistorical[[#This Row],[Shelter NFI New]]-tblPiNHistorical[[#This Row],[Shelter NFI Old]])</f>
        <v/>
      </c>
      <c r="AP225" s="138" t="str">
        <f>IF(OR(tblPiNHistorical[[#This Row],[WASH Old]]="", tblPiNHistorical[[#This Row],[WASH Old]]=0, tblPiNHistorical[[#This Row],[WASH New]]="", tblPiNHistorical[[#This Row],[WASH New]]=0), "", tblPiNHistorical[[#This Row],[WASH New]]-tblPiNHistorical[[#This Row],[WASH Old]])</f>
        <v/>
      </c>
      <c r="AQ225" s="139" t="str">
        <f>IFERROR(ROUND((tblPiNHistorical[[#This Row],[Site Management - New]] - tblPiNHistorical[[#This Row],[Site Management - Old]])/tblPiNHistorical[[#This Row],[Site Management - Old]], 1), "")</f>
        <v/>
      </c>
      <c r="AR225" s="140" t="str">
        <f>IFERROR(ROUND((tblPiNHistorical[[#This Row],[Education New]]-tblPiNHistorical[[#This Row],[Education Old]])/tblPiNHistorical[[#This Row],[Education Old]], 1), "")</f>
        <v/>
      </c>
      <c r="AS225" s="141" t="str">
        <f>IFERROR(ROUND((tblPiNHistorical[[#This Row],[Food Security and Livlihoods New]]-tblPiNHistorical[[#This Row],[Food Security and Livlihoods Old]])/tblPiNHistorical[[#This Row],[Food Security and Livlihoods Old]], 1), "")</f>
        <v/>
      </c>
      <c r="AT225" s="142" t="str">
        <f>IFERROR(ROUND((tblPiNHistorical[[#This Row],[Health New]]-tblPiNHistorical[[#This Row],[Health Old]])/tblPiNHistorical[[#This Row],[Health Old]], 1), "")</f>
        <v/>
      </c>
      <c r="AU225" s="140" t="str">
        <f>IFERROR(ROUND((tblPiNHistorical[[#This Row],[Nutrition New]]-tblPiNHistorical[[#This Row],[Nutrition Old]])/tblPiNHistorical[[#This Row],[Nutrition Old]], 1), "")</f>
        <v/>
      </c>
      <c r="AV225" s="140" t="str">
        <f>IFERROR(ROUND((tblPiNHistorical[[#This Row],[Protection New]]-tblPiNHistorical[[#This Row],[Protection Old]])/tblPiNHistorical[[#This Row],[Protection Old]], 1), "")</f>
        <v/>
      </c>
      <c r="AW225" s="84" t="str">
        <f>IFERROR(ROUND((tblPiNHistorical[[#This Row],[CP New]]-tblPiNHistorical[[#This Row],[CP Old ]])/tblPiNHistorical[[#This Row],[CP Old ]], 1), "")</f>
        <v/>
      </c>
      <c r="AX225" s="84" t="str">
        <f>IFERROR(ROUND((tblPiNHistorical[[#This Row],[GBV New]]-tblPiNHistorical[[#This Row],[GBV Old]])/tblPiNHistorical[[#This Row],[GBV Old]], 1), "")</f>
        <v/>
      </c>
      <c r="AY225" s="84" t="str">
        <f>IFERROR(ROUND((tblPiNHistorical[[#This Row],[Mine Action New]]-tblPiNHistorical[[#This Row],[Mine Action Old]])/tblPiNHistorical[[#This Row],[Mine Action Old]], 1), "")</f>
        <v/>
      </c>
      <c r="AZ225" s="140" t="str">
        <f>IFERROR(ROUND((tblPiNHistorical[[#This Row],[Shelter NFI New]]-tblPiNHistorical[[#This Row],[Shelter NFI Old]])/tblPiNHistorical[[#This Row],[Shelter NFI Old]], 1), "")</f>
        <v/>
      </c>
      <c r="BA225" s="31" t="str">
        <f>IFERROR(ROUND((tblPiNHistorical[[#This Row],[WASH New]]-tblPiNHistorical[[#This Row],[WASH Old]])/tblPiNHistorical[[#This Row],[WASH Old]], 1), "")</f>
        <v/>
      </c>
    </row>
    <row r="226" spans="1:53" ht="38.25" x14ac:dyDescent="0.25">
      <c r="A226"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RefugeesSD05148</v>
      </c>
      <c r="B226" s="134" t="s">
        <v>155</v>
      </c>
      <c r="C226" s="124" t="s">
        <v>122</v>
      </c>
      <c r="D226" s="124" t="s">
        <v>178</v>
      </c>
      <c r="E226" s="59" t="s">
        <v>177</v>
      </c>
      <c r="F226" s="54"/>
      <c r="G226" s="29"/>
      <c r="H226" s="53">
        <v>0</v>
      </c>
      <c r="I226" s="53" t="s">
        <v>90</v>
      </c>
      <c r="J226" s="34">
        <v>0</v>
      </c>
      <c r="K226" s="116">
        <v>0</v>
      </c>
      <c r="L226" s="114">
        <v>0</v>
      </c>
      <c r="M226" s="114">
        <v>0</v>
      </c>
      <c r="N226" s="114">
        <v>0</v>
      </c>
      <c r="O226" s="114">
        <v>0</v>
      </c>
      <c r="P226" s="114">
        <v>0</v>
      </c>
      <c r="Q226" s="114">
        <v>0</v>
      </c>
      <c r="R226" s="114">
        <v>0</v>
      </c>
      <c r="S226" s="114">
        <v>0</v>
      </c>
      <c r="T226" s="196">
        <v>0</v>
      </c>
      <c r="U226" s="52" t="str">
        <f>IFERROR(INDEX(tblPiNAnalysis[[Site Management ]], MATCH(tblPiNHistorical[[#This Row],[ID]], tblPiNAnalysis[ID], 0)), "")</f>
        <v/>
      </c>
      <c r="V226" s="52" t="str">
        <f>IFERROR(INDEX(tblPiNAnalysis[Education], MATCH(tblPiNHistorical[[#This Row],[ID]], tblPiNAnalysis[ID], 0)), "")</f>
        <v/>
      </c>
      <c r="W226" s="28" t="str">
        <f>IFERROR(INDEX(tblPiNAnalysis[Food Security and Livlihoods], MATCH(tblPiNHistorical[[#This Row],[ID]], tblPiNAnalysis[ID], 0)), "")</f>
        <v/>
      </c>
      <c r="X226" s="28" t="str">
        <f>IFERROR(INDEX(tblPiNAnalysis[[Health ]], MATCH(tblPiNHistorical[[#This Row],[ID]], tblPiNAnalysis[ID], 0)), "")</f>
        <v/>
      </c>
      <c r="Y226" s="28" t="str">
        <f>IFERROR(INDEX(tblPiNAnalysis[Nutrition], MATCH(tblPiNHistorical[[#This Row],[ID]], tblPiNAnalysis[ID], 0)), "")</f>
        <v/>
      </c>
      <c r="Z226" s="28" t="str">
        <f>IFERROR(INDEX(tblPiNAnalysis[Protection], MATCH(tblPiNHistorical[[#This Row],[ID]], tblPiNAnalysis[ID], 0)), "")</f>
        <v/>
      </c>
      <c r="AA226" s="28" t="str">
        <f>IFERROR(INDEX(tblPiNAnalysis[CP], MATCH(tblPiNHistorical[[#This Row],[ID]], tblPiNAnalysis[ID], 0)), "")</f>
        <v/>
      </c>
      <c r="AB226" s="83" t="str">
        <f>IFERROR(INDEX(tblPiNAnalysis[GBV], MATCH(tblPiNHistorical[[#This Row],[ID]], tblPiNAnalysis[ID], 0)), "")</f>
        <v/>
      </c>
      <c r="AC226" s="28" t="str">
        <f>IFERROR(INDEX(tblPiNAnalysis[Mine Action], MATCH(tblPiNHistorical[[#This Row],[ID]], tblPiNAnalysis[ID], 0)), "")</f>
        <v/>
      </c>
      <c r="AD226" s="83" t="str">
        <f>IFERROR(INDEX(tblPiNAnalysis[[Shelter NFI ]], MATCH(tblPiNHistorical[[#This Row],[ID]], tblPiNAnalysis[ID], 0)), "")</f>
        <v/>
      </c>
      <c r="AE226" s="28" t="str">
        <f>IFERROR(INDEX(tblPiNAnalysis[WASH], MATCH(tblPiNHistorical[[#This Row],[ID]], tblPiNAnalysis[ID], 0)), "")</f>
        <v/>
      </c>
      <c r="AF226"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226" s="136" t="str">
        <f>IF(OR(tblPiNHistorical[[#This Row],[Education Old]]="", tblPiNHistorical[[#This Row],[Education Old]]=0, tblPiNHistorical[[#This Row],[Education New]]="", tblPiNHistorical[[#This Row],[Education New]]=0), "", tblPiNHistorical[[#This Row],[Education New]]-tblPiNHistorical[[#This Row],[Education Old]])</f>
        <v/>
      </c>
      <c r="AH226"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226" s="137" t="str">
        <f>IF(OR(tblPiNHistorical[[#This Row],[Health Old]]="", tblPiNHistorical[[#This Row],[Health Old]]=0, tblPiNHistorical[[#This Row],[Health New]]="", tblPiNHistorical[[#This Row],[Health New]]=0), "", tblPiNHistorical[[#This Row],[Health New]]-tblPiNHistorical[[#This Row],[Health Old]])</f>
        <v/>
      </c>
      <c r="AJ226" s="136" t="str">
        <f>IF(OR(tblPiNHistorical[[#This Row],[Nutrition Old]]="", tblPiNHistorical[[#This Row],[Nutrition Old]]=0, tblPiNHistorical[[#This Row],[Nutrition New]]="", tblPiNHistorical[[#This Row],[Nutrition New]]=0), "", tblPiNHistorical[[#This Row],[Nutrition New]]-tblPiNHistorical[[#This Row],[Nutrition Old]])</f>
        <v/>
      </c>
      <c r="AK226" s="136" t="str">
        <f>IF(OR(tblPiNHistorical[[#This Row],[Protection Old]]="", tblPiNHistorical[[#This Row],[Protection Old]]=0, tblPiNHistorical[[#This Row],[Protection New]]="", tblPiNHistorical[[#This Row],[Protection New]]=0), "", tblPiNHistorical[[#This Row],[Protection New]]-tblPiNHistorical[[#This Row],[Protection Old]])</f>
        <v/>
      </c>
      <c r="AL226" s="136" t="str">
        <f>IF(OR(tblPiNHistorical[[#This Row],[CP Old ]]="", tblPiNHistorical[[#This Row],[CP Old ]]=0, tblPiNHistorical[[#This Row],[CP New]]="", tblPiNHistorical[[#This Row],[CP New]]=0), "", tblPiNHistorical[[#This Row],[CP New]]-tblPiNHistorical[[#This Row],[CP Old ]])</f>
        <v/>
      </c>
      <c r="AM226" s="83" t="str">
        <f>IF(OR(tblPiNHistorical[[#This Row],[GBV Old]]="", tblPiNHistorical[[#This Row],[GBV Old]]=0, tblPiNHistorical[[#This Row],[GBV New]]="", tblPiNHistorical[[#This Row],[GBV New]]=0), "", tblPiNHistorical[[#This Row],[GBV New]]-tblPiNHistorical[[#This Row],[GBV Old]])</f>
        <v/>
      </c>
      <c r="AN226" s="83" t="str">
        <f>IF(OR(tblPiNHistorical[[#This Row],[Mine Action Old]]="", tblPiNHistorical[[#This Row],[Mine Action Old]]=0, tblPiNHistorical[[#This Row],[Mine Action New]]="", tblPiNHistorical[[#This Row],[Mine Action New]]=0), "", tblPiNHistorical[[#This Row],[Mine Action New]]-tblPiNHistorical[[#This Row],[Mine Action Old]])</f>
        <v/>
      </c>
      <c r="AO226" s="136" t="str">
        <f>IF(OR(tblPiNHistorical[[#This Row],[Shelter NFI Old]]="", tblPiNHistorical[[#This Row],[Shelter NFI Old]]=0, tblPiNHistorical[[#This Row],[Shelter NFI New]]="", tblPiNHistorical[[#This Row],[Shelter NFI New]]=0), "", tblPiNHistorical[[#This Row],[Shelter NFI New]]-tblPiNHistorical[[#This Row],[Shelter NFI Old]])</f>
        <v/>
      </c>
      <c r="AP226" s="138" t="str">
        <f>IF(OR(tblPiNHistorical[[#This Row],[WASH Old]]="", tblPiNHistorical[[#This Row],[WASH Old]]=0, tblPiNHistorical[[#This Row],[WASH New]]="", tblPiNHistorical[[#This Row],[WASH New]]=0), "", tblPiNHistorical[[#This Row],[WASH New]]-tblPiNHistorical[[#This Row],[WASH Old]])</f>
        <v/>
      </c>
      <c r="AQ226" s="139" t="str">
        <f>IFERROR(ROUND((tblPiNHistorical[[#This Row],[Site Management - New]] - tblPiNHistorical[[#This Row],[Site Management - Old]])/tblPiNHistorical[[#This Row],[Site Management - Old]], 1), "")</f>
        <v/>
      </c>
      <c r="AR226" s="140" t="str">
        <f>IFERROR(ROUND((tblPiNHistorical[[#This Row],[Education New]]-tblPiNHistorical[[#This Row],[Education Old]])/tblPiNHistorical[[#This Row],[Education Old]], 1), "")</f>
        <v/>
      </c>
      <c r="AS226" s="141" t="str">
        <f>IFERROR(ROUND((tblPiNHistorical[[#This Row],[Food Security and Livlihoods New]]-tblPiNHistorical[[#This Row],[Food Security and Livlihoods Old]])/tblPiNHistorical[[#This Row],[Food Security and Livlihoods Old]], 1), "")</f>
        <v/>
      </c>
      <c r="AT226" s="142" t="str">
        <f>IFERROR(ROUND((tblPiNHistorical[[#This Row],[Health New]]-tblPiNHistorical[[#This Row],[Health Old]])/tblPiNHistorical[[#This Row],[Health Old]], 1), "")</f>
        <v/>
      </c>
      <c r="AU226" s="140" t="str">
        <f>IFERROR(ROUND((tblPiNHistorical[[#This Row],[Nutrition New]]-tblPiNHistorical[[#This Row],[Nutrition Old]])/tblPiNHistorical[[#This Row],[Nutrition Old]], 1), "")</f>
        <v/>
      </c>
      <c r="AV226" s="140" t="str">
        <f>IFERROR(ROUND((tblPiNHistorical[[#This Row],[Protection New]]-tblPiNHistorical[[#This Row],[Protection Old]])/tblPiNHistorical[[#This Row],[Protection Old]], 1), "")</f>
        <v/>
      </c>
      <c r="AW226" s="84" t="str">
        <f>IFERROR(ROUND((tblPiNHistorical[[#This Row],[CP New]]-tblPiNHistorical[[#This Row],[CP Old ]])/tblPiNHistorical[[#This Row],[CP Old ]], 1), "")</f>
        <v/>
      </c>
      <c r="AX226" s="84" t="str">
        <f>IFERROR(ROUND((tblPiNHistorical[[#This Row],[GBV New]]-tblPiNHistorical[[#This Row],[GBV Old]])/tblPiNHistorical[[#This Row],[GBV Old]], 1), "")</f>
        <v/>
      </c>
      <c r="AY226" s="84" t="str">
        <f>IFERROR(ROUND((tblPiNHistorical[[#This Row],[Mine Action New]]-tblPiNHistorical[[#This Row],[Mine Action Old]])/tblPiNHistorical[[#This Row],[Mine Action Old]], 1), "")</f>
        <v/>
      </c>
      <c r="AZ226" s="140" t="str">
        <f>IFERROR(ROUND((tblPiNHistorical[[#This Row],[Shelter NFI New]]-tblPiNHistorical[[#This Row],[Shelter NFI Old]])/tblPiNHistorical[[#This Row],[Shelter NFI Old]], 1), "")</f>
        <v/>
      </c>
      <c r="BA226" s="31" t="str">
        <f>IFERROR(ROUND((tblPiNHistorical[[#This Row],[WASH New]]-tblPiNHistorical[[#This Row],[WASH Old]])/tblPiNHistorical[[#This Row],[WASH Old]], 1), "")</f>
        <v/>
      </c>
    </row>
    <row r="227" spans="1:53" ht="38.25" x14ac:dyDescent="0.25">
      <c r="A227"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RefugeesSD05165</v>
      </c>
      <c r="B227" s="134" t="s">
        <v>155</v>
      </c>
      <c r="C227" s="124" t="s">
        <v>122</v>
      </c>
      <c r="D227" s="124" t="s">
        <v>193</v>
      </c>
      <c r="E227" s="59" t="s">
        <v>192</v>
      </c>
      <c r="F227" s="54"/>
      <c r="G227" s="29"/>
      <c r="H227" s="53">
        <v>1344</v>
      </c>
      <c r="I227" s="53" t="s">
        <v>90</v>
      </c>
      <c r="J227" s="34">
        <v>0</v>
      </c>
      <c r="K227" s="116">
        <v>481</v>
      </c>
      <c r="L227" s="114">
        <v>1344</v>
      </c>
      <c r="M227" s="114">
        <v>1304</v>
      </c>
      <c r="N227" s="114">
        <v>123</v>
      </c>
      <c r="O227" s="114">
        <v>1344</v>
      </c>
      <c r="P227" s="114">
        <v>36.287999999999997</v>
      </c>
      <c r="Q227" s="114">
        <v>317.18399999999997</v>
      </c>
      <c r="R227" s="114">
        <v>268.8</v>
      </c>
      <c r="S227" s="114">
        <v>0</v>
      </c>
      <c r="T227" s="196">
        <v>1285</v>
      </c>
      <c r="U227" s="52" t="str">
        <f>IFERROR(INDEX(tblPiNAnalysis[[Site Management ]], MATCH(tblPiNHistorical[[#This Row],[ID]], tblPiNAnalysis[ID], 0)), "")</f>
        <v/>
      </c>
      <c r="V227" s="52" t="str">
        <f>IFERROR(INDEX(tblPiNAnalysis[Education], MATCH(tblPiNHistorical[[#This Row],[ID]], tblPiNAnalysis[ID], 0)), "")</f>
        <v/>
      </c>
      <c r="W227" s="28" t="str">
        <f>IFERROR(INDEX(tblPiNAnalysis[Food Security and Livlihoods], MATCH(tblPiNHistorical[[#This Row],[ID]], tblPiNAnalysis[ID], 0)), "")</f>
        <v/>
      </c>
      <c r="X227" s="28" t="str">
        <f>IFERROR(INDEX(tblPiNAnalysis[[Health ]], MATCH(tblPiNHistorical[[#This Row],[ID]], tblPiNAnalysis[ID], 0)), "")</f>
        <v/>
      </c>
      <c r="Y227" s="28" t="str">
        <f>IFERROR(INDEX(tblPiNAnalysis[Nutrition], MATCH(tblPiNHistorical[[#This Row],[ID]], tblPiNAnalysis[ID], 0)), "")</f>
        <v/>
      </c>
      <c r="Z227" s="28" t="str">
        <f>IFERROR(INDEX(tblPiNAnalysis[Protection], MATCH(tblPiNHistorical[[#This Row],[ID]], tblPiNAnalysis[ID], 0)), "")</f>
        <v/>
      </c>
      <c r="AA227" s="28" t="str">
        <f>IFERROR(INDEX(tblPiNAnalysis[CP], MATCH(tblPiNHistorical[[#This Row],[ID]], tblPiNAnalysis[ID], 0)), "")</f>
        <v/>
      </c>
      <c r="AB227" s="83" t="str">
        <f>IFERROR(INDEX(tblPiNAnalysis[GBV], MATCH(tblPiNHistorical[[#This Row],[ID]], tblPiNAnalysis[ID], 0)), "")</f>
        <v/>
      </c>
      <c r="AC227" s="28" t="str">
        <f>IFERROR(INDEX(tblPiNAnalysis[Mine Action], MATCH(tblPiNHistorical[[#This Row],[ID]], tblPiNAnalysis[ID], 0)), "")</f>
        <v/>
      </c>
      <c r="AD227" s="83" t="str">
        <f>IFERROR(INDEX(tblPiNAnalysis[[Shelter NFI ]], MATCH(tblPiNHistorical[[#This Row],[ID]], tblPiNAnalysis[ID], 0)), "")</f>
        <v/>
      </c>
      <c r="AE227" s="28" t="str">
        <f>IFERROR(INDEX(tblPiNAnalysis[WASH], MATCH(tblPiNHistorical[[#This Row],[ID]], tblPiNAnalysis[ID], 0)), "")</f>
        <v/>
      </c>
      <c r="AF227"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227" s="136" t="str">
        <f>IF(OR(tblPiNHistorical[[#This Row],[Education Old]]="", tblPiNHistorical[[#This Row],[Education Old]]=0, tblPiNHistorical[[#This Row],[Education New]]="", tblPiNHistorical[[#This Row],[Education New]]=0), "", tblPiNHistorical[[#This Row],[Education New]]-tblPiNHistorical[[#This Row],[Education Old]])</f>
        <v/>
      </c>
      <c r="AH227"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227" s="137" t="str">
        <f>IF(OR(tblPiNHistorical[[#This Row],[Health Old]]="", tblPiNHistorical[[#This Row],[Health Old]]=0, tblPiNHistorical[[#This Row],[Health New]]="", tblPiNHistorical[[#This Row],[Health New]]=0), "", tblPiNHistorical[[#This Row],[Health New]]-tblPiNHistorical[[#This Row],[Health Old]])</f>
        <v/>
      </c>
      <c r="AJ227" s="136" t="str">
        <f>IF(OR(tblPiNHistorical[[#This Row],[Nutrition Old]]="", tblPiNHistorical[[#This Row],[Nutrition Old]]=0, tblPiNHistorical[[#This Row],[Nutrition New]]="", tblPiNHistorical[[#This Row],[Nutrition New]]=0), "", tblPiNHistorical[[#This Row],[Nutrition New]]-tblPiNHistorical[[#This Row],[Nutrition Old]])</f>
        <v/>
      </c>
      <c r="AK227" s="136" t="str">
        <f>IF(OR(tblPiNHistorical[[#This Row],[Protection Old]]="", tblPiNHistorical[[#This Row],[Protection Old]]=0, tblPiNHistorical[[#This Row],[Protection New]]="", tblPiNHistorical[[#This Row],[Protection New]]=0), "", tblPiNHistorical[[#This Row],[Protection New]]-tblPiNHistorical[[#This Row],[Protection Old]])</f>
        <v/>
      </c>
      <c r="AL227" s="136" t="str">
        <f>IF(OR(tblPiNHistorical[[#This Row],[CP Old ]]="", tblPiNHistorical[[#This Row],[CP Old ]]=0, tblPiNHistorical[[#This Row],[CP New]]="", tblPiNHistorical[[#This Row],[CP New]]=0), "", tblPiNHistorical[[#This Row],[CP New]]-tblPiNHistorical[[#This Row],[CP Old ]])</f>
        <v/>
      </c>
      <c r="AM227" s="83" t="str">
        <f>IF(OR(tblPiNHistorical[[#This Row],[GBV Old]]="", tblPiNHistorical[[#This Row],[GBV Old]]=0, tblPiNHistorical[[#This Row],[GBV New]]="", tblPiNHistorical[[#This Row],[GBV New]]=0), "", tblPiNHistorical[[#This Row],[GBV New]]-tblPiNHistorical[[#This Row],[GBV Old]])</f>
        <v/>
      </c>
      <c r="AN227" s="83" t="str">
        <f>IF(OR(tblPiNHistorical[[#This Row],[Mine Action Old]]="", tblPiNHistorical[[#This Row],[Mine Action Old]]=0, tblPiNHistorical[[#This Row],[Mine Action New]]="", tblPiNHistorical[[#This Row],[Mine Action New]]=0), "", tblPiNHistorical[[#This Row],[Mine Action New]]-tblPiNHistorical[[#This Row],[Mine Action Old]])</f>
        <v/>
      </c>
      <c r="AO227" s="136" t="str">
        <f>IF(OR(tblPiNHistorical[[#This Row],[Shelter NFI Old]]="", tblPiNHistorical[[#This Row],[Shelter NFI Old]]=0, tblPiNHistorical[[#This Row],[Shelter NFI New]]="", tblPiNHistorical[[#This Row],[Shelter NFI New]]=0), "", tblPiNHistorical[[#This Row],[Shelter NFI New]]-tblPiNHistorical[[#This Row],[Shelter NFI Old]])</f>
        <v/>
      </c>
      <c r="AP227" s="138" t="str">
        <f>IF(OR(tblPiNHistorical[[#This Row],[WASH Old]]="", tblPiNHistorical[[#This Row],[WASH Old]]=0, tblPiNHistorical[[#This Row],[WASH New]]="", tblPiNHistorical[[#This Row],[WASH New]]=0), "", tblPiNHistorical[[#This Row],[WASH New]]-tblPiNHistorical[[#This Row],[WASH Old]])</f>
        <v/>
      </c>
      <c r="AQ227" s="139" t="str">
        <f>IFERROR(ROUND((tblPiNHistorical[[#This Row],[Site Management - New]] - tblPiNHistorical[[#This Row],[Site Management - Old]])/tblPiNHistorical[[#This Row],[Site Management - Old]], 1), "")</f>
        <v/>
      </c>
      <c r="AR227" s="140" t="str">
        <f>IFERROR(ROUND((tblPiNHistorical[[#This Row],[Education New]]-tblPiNHistorical[[#This Row],[Education Old]])/tblPiNHistorical[[#This Row],[Education Old]], 1), "")</f>
        <v/>
      </c>
      <c r="AS227" s="141" t="str">
        <f>IFERROR(ROUND((tblPiNHistorical[[#This Row],[Food Security and Livlihoods New]]-tblPiNHistorical[[#This Row],[Food Security and Livlihoods Old]])/tblPiNHistorical[[#This Row],[Food Security and Livlihoods Old]], 1), "")</f>
        <v/>
      </c>
      <c r="AT227" s="142" t="str">
        <f>IFERROR(ROUND((tblPiNHistorical[[#This Row],[Health New]]-tblPiNHistorical[[#This Row],[Health Old]])/tblPiNHistorical[[#This Row],[Health Old]], 1), "")</f>
        <v/>
      </c>
      <c r="AU227" s="140" t="str">
        <f>IFERROR(ROUND((tblPiNHistorical[[#This Row],[Nutrition New]]-tblPiNHistorical[[#This Row],[Nutrition Old]])/tblPiNHistorical[[#This Row],[Nutrition Old]], 1), "")</f>
        <v/>
      </c>
      <c r="AV227" s="140" t="str">
        <f>IFERROR(ROUND((tblPiNHistorical[[#This Row],[Protection New]]-tblPiNHistorical[[#This Row],[Protection Old]])/tblPiNHistorical[[#This Row],[Protection Old]], 1), "")</f>
        <v/>
      </c>
      <c r="AW227" s="84" t="str">
        <f>IFERROR(ROUND((tblPiNHistorical[[#This Row],[CP New]]-tblPiNHistorical[[#This Row],[CP Old ]])/tblPiNHistorical[[#This Row],[CP Old ]], 1), "")</f>
        <v/>
      </c>
      <c r="AX227" s="84" t="str">
        <f>IFERROR(ROUND((tblPiNHistorical[[#This Row],[GBV New]]-tblPiNHistorical[[#This Row],[GBV Old]])/tblPiNHistorical[[#This Row],[GBV Old]], 1), "")</f>
        <v/>
      </c>
      <c r="AY227" s="84" t="str">
        <f>IFERROR(ROUND((tblPiNHistorical[[#This Row],[Mine Action New]]-tblPiNHistorical[[#This Row],[Mine Action Old]])/tblPiNHistorical[[#This Row],[Mine Action Old]], 1), "")</f>
        <v/>
      </c>
      <c r="AZ227" s="140" t="str">
        <f>IFERROR(ROUND((tblPiNHistorical[[#This Row],[Shelter NFI New]]-tblPiNHistorical[[#This Row],[Shelter NFI Old]])/tblPiNHistorical[[#This Row],[Shelter NFI Old]], 1), "")</f>
        <v/>
      </c>
      <c r="BA227" s="31" t="str">
        <f>IFERROR(ROUND((tblPiNHistorical[[#This Row],[WASH New]]-tblPiNHistorical[[#This Row],[WASH Old]])/tblPiNHistorical[[#This Row],[WASH Old]], 1), "")</f>
        <v/>
      </c>
    </row>
    <row r="228" spans="1:53" ht="38.25" x14ac:dyDescent="0.25">
      <c r="A228"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RefugeesSD12073</v>
      </c>
      <c r="B228" s="134" t="s">
        <v>158</v>
      </c>
      <c r="C228" s="124" t="s">
        <v>129</v>
      </c>
      <c r="D228" s="124" t="s">
        <v>444</v>
      </c>
      <c r="E228" s="59" t="s">
        <v>445</v>
      </c>
      <c r="F228" s="54"/>
      <c r="G228" s="29"/>
      <c r="H228" s="53">
        <v>0</v>
      </c>
      <c r="I228" s="53" t="s">
        <v>90</v>
      </c>
      <c r="J228" s="34">
        <v>0</v>
      </c>
      <c r="K228" s="116">
        <v>0</v>
      </c>
      <c r="L228" s="114">
        <v>0</v>
      </c>
      <c r="M228" s="114">
        <v>0</v>
      </c>
      <c r="N228" s="114">
        <v>0</v>
      </c>
      <c r="O228" s="114">
        <v>0</v>
      </c>
      <c r="P228" s="114">
        <v>0</v>
      </c>
      <c r="Q228" s="114">
        <v>0</v>
      </c>
      <c r="R228" s="114">
        <v>0</v>
      </c>
      <c r="S228" s="114">
        <v>0</v>
      </c>
      <c r="T228" s="196">
        <v>0</v>
      </c>
      <c r="U228" s="52" t="str">
        <f>IFERROR(INDEX(tblPiNAnalysis[[Site Management ]], MATCH(tblPiNHistorical[[#This Row],[ID]], tblPiNAnalysis[ID], 0)), "")</f>
        <v/>
      </c>
      <c r="V228" s="52" t="str">
        <f>IFERROR(INDEX(tblPiNAnalysis[Education], MATCH(tblPiNHistorical[[#This Row],[ID]], tblPiNAnalysis[ID], 0)), "")</f>
        <v/>
      </c>
      <c r="W228" s="28" t="str">
        <f>IFERROR(INDEX(tblPiNAnalysis[Food Security and Livlihoods], MATCH(tblPiNHistorical[[#This Row],[ID]], tblPiNAnalysis[ID], 0)), "")</f>
        <v/>
      </c>
      <c r="X228" s="28" t="str">
        <f>IFERROR(INDEX(tblPiNAnalysis[[Health ]], MATCH(tblPiNHistorical[[#This Row],[ID]], tblPiNAnalysis[ID], 0)), "")</f>
        <v/>
      </c>
      <c r="Y228" s="28" t="str">
        <f>IFERROR(INDEX(tblPiNAnalysis[Nutrition], MATCH(tblPiNHistorical[[#This Row],[ID]], tblPiNAnalysis[ID], 0)), "")</f>
        <v/>
      </c>
      <c r="Z228" s="28" t="str">
        <f>IFERROR(INDEX(tblPiNAnalysis[Protection], MATCH(tblPiNHistorical[[#This Row],[ID]], tblPiNAnalysis[ID], 0)), "")</f>
        <v/>
      </c>
      <c r="AA228" s="28" t="str">
        <f>IFERROR(INDEX(tblPiNAnalysis[CP], MATCH(tblPiNHistorical[[#This Row],[ID]], tblPiNAnalysis[ID], 0)), "")</f>
        <v/>
      </c>
      <c r="AB228" s="83" t="str">
        <f>IFERROR(INDEX(tblPiNAnalysis[GBV], MATCH(tblPiNHistorical[[#This Row],[ID]], tblPiNAnalysis[ID], 0)), "")</f>
        <v/>
      </c>
      <c r="AC228" s="28" t="str">
        <f>IFERROR(INDEX(tblPiNAnalysis[Mine Action], MATCH(tblPiNHistorical[[#This Row],[ID]], tblPiNAnalysis[ID], 0)), "")</f>
        <v/>
      </c>
      <c r="AD228" s="83" t="str">
        <f>IFERROR(INDEX(tblPiNAnalysis[[Shelter NFI ]], MATCH(tblPiNHistorical[[#This Row],[ID]], tblPiNAnalysis[ID], 0)), "")</f>
        <v/>
      </c>
      <c r="AE228" s="28" t="str">
        <f>IFERROR(INDEX(tblPiNAnalysis[WASH], MATCH(tblPiNHistorical[[#This Row],[ID]], tblPiNAnalysis[ID], 0)), "")</f>
        <v/>
      </c>
      <c r="AF228"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228" s="136" t="str">
        <f>IF(OR(tblPiNHistorical[[#This Row],[Education Old]]="", tblPiNHistorical[[#This Row],[Education Old]]=0, tblPiNHistorical[[#This Row],[Education New]]="", tblPiNHistorical[[#This Row],[Education New]]=0), "", tblPiNHistorical[[#This Row],[Education New]]-tblPiNHistorical[[#This Row],[Education Old]])</f>
        <v/>
      </c>
      <c r="AH228"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228" s="137" t="str">
        <f>IF(OR(tblPiNHistorical[[#This Row],[Health Old]]="", tblPiNHistorical[[#This Row],[Health Old]]=0, tblPiNHistorical[[#This Row],[Health New]]="", tblPiNHistorical[[#This Row],[Health New]]=0), "", tblPiNHistorical[[#This Row],[Health New]]-tblPiNHistorical[[#This Row],[Health Old]])</f>
        <v/>
      </c>
      <c r="AJ228" s="136" t="str">
        <f>IF(OR(tblPiNHistorical[[#This Row],[Nutrition Old]]="", tblPiNHistorical[[#This Row],[Nutrition Old]]=0, tblPiNHistorical[[#This Row],[Nutrition New]]="", tblPiNHistorical[[#This Row],[Nutrition New]]=0), "", tblPiNHistorical[[#This Row],[Nutrition New]]-tblPiNHistorical[[#This Row],[Nutrition Old]])</f>
        <v/>
      </c>
      <c r="AK228" s="136" t="str">
        <f>IF(OR(tblPiNHistorical[[#This Row],[Protection Old]]="", tblPiNHistorical[[#This Row],[Protection Old]]=0, tblPiNHistorical[[#This Row],[Protection New]]="", tblPiNHistorical[[#This Row],[Protection New]]=0), "", tblPiNHistorical[[#This Row],[Protection New]]-tblPiNHistorical[[#This Row],[Protection Old]])</f>
        <v/>
      </c>
      <c r="AL228" s="136" t="str">
        <f>IF(OR(tblPiNHistorical[[#This Row],[CP Old ]]="", tblPiNHistorical[[#This Row],[CP Old ]]=0, tblPiNHistorical[[#This Row],[CP New]]="", tblPiNHistorical[[#This Row],[CP New]]=0), "", tblPiNHistorical[[#This Row],[CP New]]-tblPiNHistorical[[#This Row],[CP Old ]])</f>
        <v/>
      </c>
      <c r="AM228" s="83" t="str">
        <f>IF(OR(tblPiNHistorical[[#This Row],[GBV Old]]="", tblPiNHistorical[[#This Row],[GBV Old]]=0, tblPiNHistorical[[#This Row],[GBV New]]="", tblPiNHistorical[[#This Row],[GBV New]]=0), "", tblPiNHistorical[[#This Row],[GBV New]]-tblPiNHistorical[[#This Row],[GBV Old]])</f>
        <v/>
      </c>
      <c r="AN228" s="83" t="str">
        <f>IF(OR(tblPiNHistorical[[#This Row],[Mine Action Old]]="", tblPiNHistorical[[#This Row],[Mine Action Old]]=0, tblPiNHistorical[[#This Row],[Mine Action New]]="", tblPiNHistorical[[#This Row],[Mine Action New]]=0), "", tblPiNHistorical[[#This Row],[Mine Action New]]-tblPiNHistorical[[#This Row],[Mine Action Old]])</f>
        <v/>
      </c>
      <c r="AO228" s="136" t="str">
        <f>IF(OR(tblPiNHistorical[[#This Row],[Shelter NFI Old]]="", tblPiNHistorical[[#This Row],[Shelter NFI Old]]=0, tblPiNHistorical[[#This Row],[Shelter NFI New]]="", tblPiNHistorical[[#This Row],[Shelter NFI New]]=0), "", tblPiNHistorical[[#This Row],[Shelter NFI New]]-tblPiNHistorical[[#This Row],[Shelter NFI Old]])</f>
        <v/>
      </c>
      <c r="AP228" s="138" t="str">
        <f>IF(OR(tblPiNHistorical[[#This Row],[WASH Old]]="", tblPiNHistorical[[#This Row],[WASH Old]]=0, tblPiNHistorical[[#This Row],[WASH New]]="", tblPiNHistorical[[#This Row],[WASH New]]=0), "", tblPiNHistorical[[#This Row],[WASH New]]-tblPiNHistorical[[#This Row],[WASH Old]])</f>
        <v/>
      </c>
      <c r="AQ228" s="139" t="str">
        <f>IFERROR(ROUND((tblPiNHistorical[[#This Row],[Site Management - New]] - tblPiNHistorical[[#This Row],[Site Management - Old]])/tblPiNHistorical[[#This Row],[Site Management - Old]], 1), "")</f>
        <v/>
      </c>
      <c r="AR228" s="140" t="str">
        <f>IFERROR(ROUND((tblPiNHistorical[[#This Row],[Education New]]-tblPiNHistorical[[#This Row],[Education Old]])/tblPiNHistorical[[#This Row],[Education Old]], 1), "")</f>
        <v/>
      </c>
      <c r="AS228" s="141" t="str">
        <f>IFERROR(ROUND((tblPiNHistorical[[#This Row],[Food Security and Livlihoods New]]-tblPiNHistorical[[#This Row],[Food Security and Livlihoods Old]])/tblPiNHistorical[[#This Row],[Food Security and Livlihoods Old]], 1), "")</f>
        <v/>
      </c>
      <c r="AT228" s="142" t="str">
        <f>IFERROR(ROUND((tblPiNHistorical[[#This Row],[Health New]]-tblPiNHistorical[[#This Row],[Health Old]])/tblPiNHistorical[[#This Row],[Health Old]], 1), "")</f>
        <v/>
      </c>
      <c r="AU228" s="140" t="str">
        <f>IFERROR(ROUND((tblPiNHistorical[[#This Row],[Nutrition New]]-tblPiNHistorical[[#This Row],[Nutrition Old]])/tblPiNHistorical[[#This Row],[Nutrition Old]], 1), "")</f>
        <v/>
      </c>
      <c r="AV228" s="140" t="str">
        <f>IFERROR(ROUND((tblPiNHistorical[[#This Row],[Protection New]]-tblPiNHistorical[[#This Row],[Protection Old]])/tblPiNHistorical[[#This Row],[Protection Old]], 1), "")</f>
        <v/>
      </c>
      <c r="AW228" s="84" t="str">
        <f>IFERROR(ROUND((tblPiNHistorical[[#This Row],[CP New]]-tblPiNHistorical[[#This Row],[CP Old ]])/tblPiNHistorical[[#This Row],[CP Old ]], 1), "")</f>
        <v/>
      </c>
      <c r="AX228" s="84" t="str">
        <f>IFERROR(ROUND((tblPiNHistorical[[#This Row],[GBV New]]-tblPiNHistorical[[#This Row],[GBV Old]])/tblPiNHistorical[[#This Row],[GBV Old]], 1), "")</f>
        <v/>
      </c>
      <c r="AY228" s="84" t="str">
        <f>IFERROR(ROUND((tblPiNHistorical[[#This Row],[Mine Action New]]-tblPiNHistorical[[#This Row],[Mine Action Old]])/tblPiNHistorical[[#This Row],[Mine Action Old]], 1), "")</f>
        <v/>
      </c>
      <c r="AZ228" s="140" t="str">
        <f>IFERROR(ROUND((tblPiNHistorical[[#This Row],[Shelter NFI New]]-tblPiNHistorical[[#This Row],[Shelter NFI Old]])/tblPiNHistorical[[#This Row],[Shelter NFI Old]], 1), "")</f>
        <v/>
      </c>
      <c r="BA228" s="31" t="str">
        <f>IFERROR(ROUND((tblPiNHistorical[[#This Row],[WASH New]]-tblPiNHistorical[[#This Row],[WASH Old]])/tblPiNHistorical[[#This Row],[WASH Old]], 1), "")</f>
        <v/>
      </c>
    </row>
    <row r="229" spans="1:53" ht="38.25" x14ac:dyDescent="0.25">
      <c r="A229"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RefugeesSD12074</v>
      </c>
      <c r="B229" s="134" t="s">
        <v>158</v>
      </c>
      <c r="C229" s="124" t="s">
        <v>129</v>
      </c>
      <c r="D229" s="124" t="s">
        <v>446</v>
      </c>
      <c r="E229" s="59" t="s">
        <v>447</v>
      </c>
      <c r="F229" s="54"/>
      <c r="G229" s="29"/>
      <c r="H229" s="53">
        <v>6</v>
      </c>
      <c r="I229" s="53" t="s">
        <v>90</v>
      </c>
      <c r="J229" s="34">
        <v>0</v>
      </c>
      <c r="K229" s="116">
        <v>3</v>
      </c>
      <c r="L229" s="114">
        <v>6</v>
      </c>
      <c r="M229" s="114">
        <v>4</v>
      </c>
      <c r="N229" s="114">
        <v>0</v>
      </c>
      <c r="O229" s="114">
        <v>6</v>
      </c>
      <c r="P229" s="114">
        <v>0.16200000000000001</v>
      </c>
      <c r="Q229" s="114">
        <v>0</v>
      </c>
      <c r="R229" s="114">
        <v>0</v>
      </c>
      <c r="S229" s="114">
        <v>0</v>
      </c>
      <c r="T229" s="196">
        <v>5</v>
      </c>
      <c r="U229" s="52" t="str">
        <f>IFERROR(INDEX(tblPiNAnalysis[[Site Management ]], MATCH(tblPiNHistorical[[#This Row],[ID]], tblPiNAnalysis[ID], 0)), "")</f>
        <v/>
      </c>
      <c r="V229" s="52" t="str">
        <f>IFERROR(INDEX(tblPiNAnalysis[Education], MATCH(tblPiNHistorical[[#This Row],[ID]], tblPiNAnalysis[ID], 0)), "")</f>
        <v/>
      </c>
      <c r="W229" s="28" t="str">
        <f>IFERROR(INDEX(tblPiNAnalysis[Food Security and Livlihoods], MATCH(tblPiNHistorical[[#This Row],[ID]], tblPiNAnalysis[ID], 0)), "")</f>
        <v/>
      </c>
      <c r="X229" s="28" t="str">
        <f>IFERROR(INDEX(tblPiNAnalysis[[Health ]], MATCH(tblPiNHistorical[[#This Row],[ID]], tblPiNAnalysis[ID], 0)), "")</f>
        <v/>
      </c>
      <c r="Y229" s="28" t="str">
        <f>IFERROR(INDEX(tblPiNAnalysis[Nutrition], MATCH(tblPiNHistorical[[#This Row],[ID]], tblPiNAnalysis[ID], 0)), "")</f>
        <v/>
      </c>
      <c r="Z229" s="28" t="str">
        <f>IFERROR(INDEX(tblPiNAnalysis[Protection], MATCH(tblPiNHistorical[[#This Row],[ID]], tblPiNAnalysis[ID], 0)), "")</f>
        <v/>
      </c>
      <c r="AA229" s="28" t="str">
        <f>IFERROR(INDEX(tblPiNAnalysis[CP], MATCH(tblPiNHistorical[[#This Row],[ID]], tblPiNAnalysis[ID], 0)), "")</f>
        <v/>
      </c>
      <c r="AB229" s="83" t="str">
        <f>IFERROR(INDEX(tblPiNAnalysis[GBV], MATCH(tblPiNHistorical[[#This Row],[ID]], tblPiNAnalysis[ID], 0)), "")</f>
        <v/>
      </c>
      <c r="AC229" s="28" t="str">
        <f>IFERROR(INDEX(tblPiNAnalysis[Mine Action], MATCH(tblPiNHistorical[[#This Row],[ID]], tblPiNAnalysis[ID], 0)), "")</f>
        <v/>
      </c>
      <c r="AD229" s="83" t="str">
        <f>IFERROR(INDEX(tblPiNAnalysis[[Shelter NFI ]], MATCH(tblPiNHistorical[[#This Row],[ID]], tblPiNAnalysis[ID], 0)), "")</f>
        <v/>
      </c>
      <c r="AE229" s="28" t="str">
        <f>IFERROR(INDEX(tblPiNAnalysis[WASH], MATCH(tblPiNHistorical[[#This Row],[ID]], tblPiNAnalysis[ID], 0)), "")</f>
        <v/>
      </c>
      <c r="AF229"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229" s="136" t="str">
        <f>IF(OR(tblPiNHistorical[[#This Row],[Education Old]]="", tblPiNHistorical[[#This Row],[Education Old]]=0, tblPiNHistorical[[#This Row],[Education New]]="", tblPiNHistorical[[#This Row],[Education New]]=0), "", tblPiNHistorical[[#This Row],[Education New]]-tblPiNHistorical[[#This Row],[Education Old]])</f>
        <v/>
      </c>
      <c r="AH229"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229" s="137" t="str">
        <f>IF(OR(tblPiNHistorical[[#This Row],[Health Old]]="", tblPiNHistorical[[#This Row],[Health Old]]=0, tblPiNHistorical[[#This Row],[Health New]]="", tblPiNHistorical[[#This Row],[Health New]]=0), "", tblPiNHistorical[[#This Row],[Health New]]-tblPiNHistorical[[#This Row],[Health Old]])</f>
        <v/>
      </c>
      <c r="AJ229" s="136" t="str">
        <f>IF(OR(tblPiNHistorical[[#This Row],[Nutrition Old]]="", tblPiNHistorical[[#This Row],[Nutrition Old]]=0, tblPiNHistorical[[#This Row],[Nutrition New]]="", tblPiNHistorical[[#This Row],[Nutrition New]]=0), "", tblPiNHistorical[[#This Row],[Nutrition New]]-tblPiNHistorical[[#This Row],[Nutrition Old]])</f>
        <v/>
      </c>
      <c r="AK229" s="136" t="str">
        <f>IF(OR(tblPiNHistorical[[#This Row],[Protection Old]]="", tblPiNHistorical[[#This Row],[Protection Old]]=0, tblPiNHistorical[[#This Row],[Protection New]]="", tblPiNHistorical[[#This Row],[Protection New]]=0), "", tblPiNHistorical[[#This Row],[Protection New]]-tblPiNHistorical[[#This Row],[Protection Old]])</f>
        <v/>
      </c>
      <c r="AL229" s="136" t="str">
        <f>IF(OR(tblPiNHistorical[[#This Row],[CP Old ]]="", tblPiNHistorical[[#This Row],[CP Old ]]=0, tblPiNHistorical[[#This Row],[CP New]]="", tblPiNHistorical[[#This Row],[CP New]]=0), "", tblPiNHistorical[[#This Row],[CP New]]-tblPiNHistorical[[#This Row],[CP Old ]])</f>
        <v/>
      </c>
      <c r="AM229" s="83" t="str">
        <f>IF(OR(tblPiNHistorical[[#This Row],[GBV Old]]="", tblPiNHistorical[[#This Row],[GBV Old]]=0, tblPiNHistorical[[#This Row],[GBV New]]="", tblPiNHistorical[[#This Row],[GBV New]]=0), "", tblPiNHistorical[[#This Row],[GBV New]]-tblPiNHistorical[[#This Row],[GBV Old]])</f>
        <v/>
      </c>
      <c r="AN229" s="83" t="str">
        <f>IF(OR(tblPiNHistorical[[#This Row],[Mine Action Old]]="", tblPiNHistorical[[#This Row],[Mine Action Old]]=0, tblPiNHistorical[[#This Row],[Mine Action New]]="", tblPiNHistorical[[#This Row],[Mine Action New]]=0), "", tblPiNHistorical[[#This Row],[Mine Action New]]-tblPiNHistorical[[#This Row],[Mine Action Old]])</f>
        <v/>
      </c>
      <c r="AO229" s="136" t="str">
        <f>IF(OR(tblPiNHistorical[[#This Row],[Shelter NFI Old]]="", tblPiNHistorical[[#This Row],[Shelter NFI Old]]=0, tblPiNHistorical[[#This Row],[Shelter NFI New]]="", tblPiNHistorical[[#This Row],[Shelter NFI New]]=0), "", tblPiNHistorical[[#This Row],[Shelter NFI New]]-tblPiNHistorical[[#This Row],[Shelter NFI Old]])</f>
        <v/>
      </c>
      <c r="AP229" s="138" t="str">
        <f>IF(OR(tblPiNHistorical[[#This Row],[WASH Old]]="", tblPiNHistorical[[#This Row],[WASH Old]]=0, tblPiNHistorical[[#This Row],[WASH New]]="", tblPiNHistorical[[#This Row],[WASH New]]=0), "", tblPiNHistorical[[#This Row],[WASH New]]-tblPiNHistorical[[#This Row],[WASH Old]])</f>
        <v/>
      </c>
      <c r="AQ229" s="139" t="str">
        <f>IFERROR(ROUND((tblPiNHistorical[[#This Row],[Site Management - New]] - tblPiNHistorical[[#This Row],[Site Management - Old]])/tblPiNHistorical[[#This Row],[Site Management - Old]], 1), "")</f>
        <v/>
      </c>
      <c r="AR229" s="140" t="str">
        <f>IFERROR(ROUND((tblPiNHistorical[[#This Row],[Education New]]-tblPiNHistorical[[#This Row],[Education Old]])/tblPiNHistorical[[#This Row],[Education Old]], 1), "")</f>
        <v/>
      </c>
      <c r="AS229" s="141" t="str">
        <f>IFERROR(ROUND((tblPiNHistorical[[#This Row],[Food Security and Livlihoods New]]-tblPiNHistorical[[#This Row],[Food Security and Livlihoods Old]])/tblPiNHistorical[[#This Row],[Food Security and Livlihoods Old]], 1), "")</f>
        <v/>
      </c>
      <c r="AT229" s="142" t="str">
        <f>IFERROR(ROUND((tblPiNHistorical[[#This Row],[Health New]]-tblPiNHistorical[[#This Row],[Health Old]])/tblPiNHistorical[[#This Row],[Health Old]], 1), "")</f>
        <v/>
      </c>
      <c r="AU229" s="140" t="str">
        <f>IFERROR(ROUND((tblPiNHistorical[[#This Row],[Nutrition New]]-tblPiNHistorical[[#This Row],[Nutrition Old]])/tblPiNHistorical[[#This Row],[Nutrition Old]], 1), "")</f>
        <v/>
      </c>
      <c r="AV229" s="140" t="str">
        <f>IFERROR(ROUND((tblPiNHistorical[[#This Row],[Protection New]]-tblPiNHistorical[[#This Row],[Protection Old]])/tblPiNHistorical[[#This Row],[Protection Old]], 1), "")</f>
        <v/>
      </c>
      <c r="AW229" s="84" t="str">
        <f>IFERROR(ROUND((tblPiNHistorical[[#This Row],[CP New]]-tblPiNHistorical[[#This Row],[CP Old ]])/tblPiNHistorical[[#This Row],[CP Old ]], 1), "")</f>
        <v/>
      </c>
      <c r="AX229" s="84" t="str">
        <f>IFERROR(ROUND((tblPiNHistorical[[#This Row],[GBV New]]-tblPiNHistorical[[#This Row],[GBV Old]])/tblPiNHistorical[[#This Row],[GBV Old]], 1), "")</f>
        <v/>
      </c>
      <c r="AY229" s="84" t="str">
        <f>IFERROR(ROUND((tblPiNHistorical[[#This Row],[Mine Action New]]-tblPiNHistorical[[#This Row],[Mine Action Old]])/tblPiNHistorical[[#This Row],[Mine Action Old]], 1), "")</f>
        <v/>
      </c>
      <c r="AZ229" s="140" t="str">
        <f>IFERROR(ROUND((tblPiNHistorical[[#This Row],[Shelter NFI New]]-tblPiNHistorical[[#This Row],[Shelter NFI Old]])/tblPiNHistorical[[#This Row],[Shelter NFI Old]], 1), "")</f>
        <v/>
      </c>
      <c r="BA229" s="31" t="str">
        <f>IFERROR(ROUND((tblPiNHistorical[[#This Row],[WASH New]]-tblPiNHistorical[[#This Row],[WASH Old]])/tblPiNHistorical[[#This Row],[WASH Old]], 1), "")</f>
        <v/>
      </c>
    </row>
    <row r="230" spans="1:53" ht="38.25" x14ac:dyDescent="0.25">
      <c r="A230"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RefugeesSD12075</v>
      </c>
      <c r="B230" s="134" t="s">
        <v>158</v>
      </c>
      <c r="C230" s="124" t="s">
        <v>129</v>
      </c>
      <c r="D230" s="124" t="s">
        <v>448</v>
      </c>
      <c r="E230" s="59" t="s">
        <v>449</v>
      </c>
      <c r="F230" s="54"/>
      <c r="G230" s="29"/>
      <c r="H230" s="53">
        <v>1463</v>
      </c>
      <c r="I230" s="53" t="s">
        <v>90</v>
      </c>
      <c r="J230" s="34">
        <v>0</v>
      </c>
      <c r="K230" s="116">
        <v>0</v>
      </c>
      <c r="L230" s="114">
        <v>1463</v>
      </c>
      <c r="M230" s="114">
        <v>1009</v>
      </c>
      <c r="N230" s="114">
        <v>134</v>
      </c>
      <c r="O230" s="114">
        <v>1463</v>
      </c>
      <c r="P230" s="114">
        <v>39.500999999999998</v>
      </c>
      <c r="Q230" s="114">
        <v>921.69</v>
      </c>
      <c r="R230" s="114">
        <v>0</v>
      </c>
      <c r="S230" s="114">
        <v>585</v>
      </c>
      <c r="T230" s="196">
        <v>1074</v>
      </c>
      <c r="U230" s="52" t="str">
        <f>IFERROR(INDEX(tblPiNAnalysis[[Site Management ]], MATCH(tblPiNHistorical[[#This Row],[ID]], tblPiNAnalysis[ID], 0)), "")</f>
        <v/>
      </c>
      <c r="V230" s="52" t="str">
        <f>IFERROR(INDEX(tblPiNAnalysis[Education], MATCH(tblPiNHistorical[[#This Row],[ID]], tblPiNAnalysis[ID], 0)), "")</f>
        <v/>
      </c>
      <c r="W230" s="28" t="str">
        <f>IFERROR(INDEX(tblPiNAnalysis[Food Security and Livlihoods], MATCH(tblPiNHistorical[[#This Row],[ID]], tblPiNAnalysis[ID], 0)), "")</f>
        <v/>
      </c>
      <c r="X230" s="28" t="str">
        <f>IFERROR(INDEX(tblPiNAnalysis[[Health ]], MATCH(tblPiNHistorical[[#This Row],[ID]], tblPiNAnalysis[ID], 0)), "")</f>
        <v/>
      </c>
      <c r="Y230" s="28" t="str">
        <f>IFERROR(INDEX(tblPiNAnalysis[Nutrition], MATCH(tblPiNHistorical[[#This Row],[ID]], tblPiNAnalysis[ID], 0)), "")</f>
        <v/>
      </c>
      <c r="Z230" s="28" t="str">
        <f>IFERROR(INDEX(tblPiNAnalysis[Protection], MATCH(tblPiNHistorical[[#This Row],[ID]], tblPiNAnalysis[ID], 0)), "")</f>
        <v/>
      </c>
      <c r="AA230" s="28" t="str">
        <f>IFERROR(INDEX(tblPiNAnalysis[CP], MATCH(tblPiNHistorical[[#This Row],[ID]], tblPiNAnalysis[ID], 0)), "")</f>
        <v/>
      </c>
      <c r="AB230" s="83" t="str">
        <f>IFERROR(INDEX(tblPiNAnalysis[GBV], MATCH(tblPiNHistorical[[#This Row],[ID]], tblPiNAnalysis[ID], 0)), "")</f>
        <v/>
      </c>
      <c r="AC230" s="28" t="str">
        <f>IFERROR(INDEX(tblPiNAnalysis[Mine Action], MATCH(tblPiNHistorical[[#This Row],[ID]], tblPiNAnalysis[ID], 0)), "")</f>
        <v/>
      </c>
      <c r="AD230" s="83" t="str">
        <f>IFERROR(INDEX(tblPiNAnalysis[[Shelter NFI ]], MATCH(tblPiNHistorical[[#This Row],[ID]], tblPiNAnalysis[ID], 0)), "")</f>
        <v/>
      </c>
      <c r="AE230" s="28" t="str">
        <f>IFERROR(INDEX(tblPiNAnalysis[WASH], MATCH(tblPiNHistorical[[#This Row],[ID]], tblPiNAnalysis[ID], 0)), "")</f>
        <v/>
      </c>
      <c r="AF230"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230" s="136" t="str">
        <f>IF(OR(tblPiNHistorical[[#This Row],[Education Old]]="", tblPiNHistorical[[#This Row],[Education Old]]=0, tblPiNHistorical[[#This Row],[Education New]]="", tblPiNHistorical[[#This Row],[Education New]]=0), "", tblPiNHistorical[[#This Row],[Education New]]-tblPiNHistorical[[#This Row],[Education Old]])</f>
        <v/>
      </c>
      <c r="AH230"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230" s="137" t="str">
        <f>IF(OR(tblPiNHistorical[[#This Row],[Health Old]]="", tblPiNHistorical[[#This Row],[Health Old]]=0, tblPiNHistorical[[#This Row],[Health New]]="", tblPiNHistorical[[#This Row],[Health New]]=0), "", tblPiNHistorical[[#This Row],[Health New]]-tblPiNHistorical[[#This Row],[Health Old]])</f>
        <v/>
      </c>
      <c r="AJ230" s="136" t="str">
        <f>IF(OR(tblPiNHistorical[[#This Row],[Nutrition Old]]="", tblPiNHistorical[[#This Row],[Nutrition Old]]=0, tblPiNHistorical[[#This Row],[Nutrition New]]="", tblPiNHistorical[[#This Row],[Nutrition New]]=0), "", tblPiNHistorical[[#This Row],[Nutrition New]]-tblPiNHistorical[[#This Row],[Nutrition Old]])</f>
        <v/>
      </c>
      <c r="AK230" s="136" t="str">
        <f>IF(OR(tblPiNHistorical[[#This Row],[Protection Old]]="", tblPiNHistorical[[#This Row],[Protection Old]]=0, tblPiNHistorical[[#This Row],[Protection New]]="", tblPiNHistorical[[#This Row],[Protection New]]=0), "", tblPiNHistorical[[#This Row],[Protection New]]-tblPiNHistorical[[#This Row],[Protection Old]])</f>
        <v/>
      </c>
      <c r="AL230" s="136" t="str">
        <f>IF(OR(tblPiNHistorical[[#This Row],[CP Old ]]="", tblPiNHistorical[[#This Row],[CP Old ]]=0, tblPiNHistorical[[#This Row],[CP New]]="", tblPiNHistorical[[#This Row],[CP New]]=0), "", tblPiNHistorical[[#This Row],[CP New]]-tblPiNHistorical[[#This Row],[CP Old ]])</f>
        <v/>
      </c>
      <c r="AM230" s="83" t="str">
        <f>IF(OR(tblPiNHistorical[[#This Row],[GBV Old]]="", tblPiNHistorical[[#This Row],[GBV Old]]=0, tblPiNHistorical[[#This Row],[GBV New]]="", tblPiNHistorical[[#This Row],[GBV New]]=0), "", tblPiNHistorical[[#This Row],[GBV New]]-tblPiNHistorical[[#This Row],[GBV Old]])</f>
        <v/>
      </c>
      <c r="AN230" s="83" t="str">
        <f>IF(OR(tblPiNHistorical[[#This Row],[Mine Action Old]]="", tblPiNHistorical[[#This Row],[Mine Action Old]]=0, tblPiNHistorical[[#This Row],[Mine Action New]]="", tblPiNHistorical[[#This Row],[Mine Action New]]=0), "", tblPiNHistorical[[#This Row],[Mine Action New]]-tblPiNHistorical[[#This Row],[Mine Action Old]])</f>
        <v/>
      </c>
      <c r="AO230" s="136" t="str">
        <f>IF(OR(tblPiNHistorical[[#This Row],[Shelter NFI Old]]="", tblPiNHistorical[[#This Row],[Shelter NFI Old]]=0, tblPiNHistorical[[#This Row],[Shelter NFI New]]="", tblPiNHistorical[[#This Row],[Shelter NFI New]]=0), "", tblPiNHistorical[[#This Row],[Shelter NFI New]]-tblPiNHistorical[[#This Row],[Shelter NFI Old]])</f>
        <v/>
      </c>
      <c r="AP230" s="138" t="str">
        <f>IF(OR(tblPiNHistorical[[#This Row],[WASH Old]]="", tblPiNHistorical[[#This Row],[WASH Old]]=0, tblPiNHistorical[[#This Row],[WASH New]]="", tblPiNHistorical[[#This Row],[WASH New]]=0), "", tblPiNHistorical[[#This Row],[WASH New]]-tblPiNHistorical[[#This Row],[WASH Old]])</f>
        <v/>
      </c>
      <c r="AQ230" s="139" t="str">
        <f>IFERROR(ROUND((tblPiNHistorical[[#This Row],[Site Management - New]] - tblPiNHistorical[[#This Row],[Site Management - Old]])/tblPiNHistorical[[#This Row],[Site Management - Old]], 1), "")</f>
        <v/>
      </c>
      <c r="AR230" s="140" t="str">
        <f>IFERROR(ROUND((tblPiNHistorical[[#This Row],[Education New]]-tblPiNHistorical[[#This Row],[Education Old]])/tblPiNHistorical[[#This Row],[Education Old]], 1), "")</f>
        <v/>
      </c>
      <c r="AS230" s="141" t="str">
        <f>IFERROR(ROUND((tblPiNHistorical[[#This Row],[Food Security and Livlihoods New]]-tblPiNHistorical[[#This Row],[Food Security and Livlihoods Old]])/tblPiNHistorical[[#This Row],[Food Security and Livlihoods Old]], 1), "")</f>
        <v/>
      </c>
      <c r="AT230" s="142" t="str">
        <f>IFERROR(ROUND((tblPiNHistorical[[#This Row],[Health New]]-tblPiNHistorical[[#This Row],[Health Old]])/tblPiNHistorical[[#This Row],[Health Old]], 1), "")</f>
        <v/>
      </c>
      <c r="AU230" s="140" t="str">
        <f>IFERROR(ROUND((tblPiNHistorical[[#This Row],[Nutrition New]]-tblPiNHistorical[[#This Row],[Nutrition Old]])/tblPiNHistorical[[#This Row],[Nutrition Old]], 1), "")</f>
        <v/>
      </c>
      <c r="AV230" s="140" t="str">
        <f>IFERROR(ROUND((tblPiNHistorical[[#This Row],[Protection New]]-tblPiNHistorical[[#This Row],[Protection Old]])/tblPiNHistorical[[#This Row],[Protection Old]], 1), "")</f>
        <v/>
      </c>
      <c r="AW230" s="84" t="str">
        <f>IFERROR(ROUND((tblPiNHistorical[[#This Row],[CP New]]-tblPiNHistorical[[#This Row],[CP Old ]])/tblPiNHistorical[[#This Row],[CP Old ]], 1), "")</f>
        <v/>
      </c>
      <c r="AX230" s="84" t="str">
        <f>IFERROR(ROUND((tblPiNHistorical[[#This Row],[GBV New]]-tblPiNHistorical[[#This Row],[GBV Old]])/tblPiNHistorical[[#This Row],[GBV Old]], 1), "")</f>
        <v/>
      </c>
      <c r="AY230" s="84" t="str">
        <f>IFERROR(ROUND((tblPiNHistorical[[#This Row],[Mine Action New]]-tblPiNHistorical[[#This Row],[Mine Action Old]])/tblPiNHistorical[[#This Row],[Mine Action Old]], 1), "")</f>
        <v/>
      </c>
      <c r="AZ230" s="140" t="str">
        <f>IFERROR(ROUND((tblPiNHistorical[[#This Row],[Shelter NFI New]]-tblPiNHistorical[[#This Row],[Shelter NFI Old]])/tblPiNHistorical[[#This Row],[Shelter NFI Old]], 1), "")</f>
        <v/>
      </c>
      <c r="BA230" s="31" t="str">
        <f>IFERROR(ROUND((tblPiNHistorical[[#This Row],[WASH New]]-tblPiNHistorical[[#This Row],[WASH Old]])/tblPiNHistorical[[#This Row],[WASH Old]], 1), "")</f>
        <v/>
      </c>
    </row>
    <row r="231" spans="1:53" ht="42.75" x14ac:dyDescent="0.25">
      <c r="A231"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RefugeesSD12078</v>
      </c>
      <c r="B231" s="134" t="s">
        <v>158</v>
      </c>
      <c r="C231" s="124" t="s">
        <v>129</v>
      </c>
      <c r="D231" s="124" t="s">
        <v>454</v>
      </c>
      <c r="E231" s="59" t="s">
        <v>455</v>
      </c>
      <c r="F231" s="54"/>
      <c r="G231" s="29"/>
      <c r="H231" s="53">
        <v>0</v>
      </c>
      <c r="I231" s="53" t="s">
        <v>90</v>
      </c>
      <c r="J231" s="34">
        <v>0</v>
      </c>
      <c r="K231" s="116">
        <v>0</v>
      </c>
      <c r="L231" s="114">
        <v>0</v>
      </c>
      <c r="M231" s="114">
        <v>0</v>
      </c>
      <c r="N231" s="114">
        <v>0</v>
      </c>
      <c r="O231" s="114">
        <v>0</v>
      </c>
      <c r="P231" s="114">
        <v>0</v>
      </c>
      <c r="Q231" s="114">
        <v>0</v>
      </c>
      <c r="R231" s="114">
        <v>0</v>
      </c>
      <c r="S231" s="114">
        <v>0</v>
      </c>
      <c r="T231" s="196">
        <v>0</v>
      </c>
      <c r="U231" s="52" t="str">
        <f>IFERROR(INDEX(tblPiNAnalysis[[Site Management ]], MATCH(tblPiNHistorical[[#This Row],[ID]], tblPiNAnalysis[ID], 0)), "")</f>
        <v/>
      </c>
      <c r="V231" s="52" t="str">
        <f>IFERROR(INDEX(tblPiNAnalysis[Education], MATCH(tblPiNHistorical[[#This Row],[ID]], tblPiNAnalysis[ID], 0)), "")</f>
        <v/>
      </c>
      <c r="W231" s="28" t="str">
        <f>IFERROR(INDEX(tblPiNAnalysis[Food Security and Livlihoods], MATCH(tblPiNHistorical[[#This Row],[ID]], tblPiNAnalysis[ID], 0)), "")</f>
        <v/>
      </c>
      <c r="X231" s="28" t="str">
        <f>IFERROR(INDEX(tblPiNAnalysis[[Health ]], MATCH(tblPiNHistorical[[#This Row],[ID]], tblPiNAnalysis[ID], 0)), "")</f>
        <v/>
      </c>
      <c r="Y231" s="28" t="str">
        <f>IFERROR(INDEX(tblPiNAnalysis[Nutrition], MATCH(tblPiNHistorical[[#This Row],[ID]], tblPiNAnalysis[ID], 0)), "")</f>
        <v/>
      </c>
      <c r="Z231" s="28" t="str">
        <f>IFERROR(INDEX(tblPiNAnalysis[Protection], MATCH(tblPiNHistorical[[#This Row],[ID]], tblPiNAnalysis[ID], 0)), "")</f>
        <v/>
      </c>
      <c r="AA231" s="28" t="str">
        <f>IFERROR(INDEX(tblPiNAnalysis[CP], MATCH(tblPiNHistorical[[#This Row],[ID]], tblPiNAnalysis[ID], 0)), "")</f>
        <v/>
      </c>
      <c r="AB231" s="83" t="str">
        <f>IFERROR(INDEX(tblPiNAnalysis[GBV], MATCH(tblPiNHistorical[[#This Row],[ID]], tblPiNAnalysis[ID], 0)), "")</f>
        <v/>
      </c>
      <c r="AC231" s="28" t="str">
        <f>IFERROR(INDEX(tblPiNAnalysis[Mine Action], MATCH(tblPiNHistorical[[#This Row],[ID]], tblPiNAnalysis[ID], 0)), "")</f>
        <v/>
      </c>
      <c r="AD231" s="83" t="str">
        <f>IFERROR(INDEX(tblPiNAnalysis[[Shelter NFI ]], MATCH(tblPiNHistorical[[#This Row],[ID]], tblPiNAnalysis[ID], 0)), "")</f>
        <v/>
      </c>
      <c r="AE231" s="28" t="str">
        <f>IFERROR(INDEX(tblPiNAnalysis[WASH], MATCH(tblPiNHistorical[[#This Row],[ID]], tblPiNAnalysis[ID], 0)), "")</f>
        <v/>
      </c>
      <c r="AF231"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231" s="136" t="str">
        <f>IF(OR(tblPiNHistorical[[#This Row],[Education Old]]="", tblPiNHistorical[[#This Row],[Education Old]]=0, tblPiNHistorical[[#This Row],[Education New]]="", tblPiNHistorical[[#This Row],[Education New]]=0), "", tblPiNHistorical[[#This Row],[Education New]]-tblPiNHistorical[[#This Row],[Education Old]])</f>
        <v/>
      </c>
      <c r="AH231"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231" s="137" t="str">
        <f>IF(OR(tblPiNHistorical[[#This Row],[Health Old]]="", tblPiNHistorical[[#This Row],[Health Old]]=0, tblPiNHistorical[[#This Row],[Health New]]="", tblPiNHistorical[[#This Row],[Health New]]=0), "", tblPiNHistorical[[#This Row],[Health New]]-tblPiNHistorical[[#This Row],[Health Old]])</f>
        <v/>
      </c>
      <c r="AJ231" s="136" t="str">
        <f>IF(OR(tblPiNHistorical[[#This Row],[Nutrition Old]]="", tblPiNHistorical[[#This Row],[Nutrition Old]]=0, tblPiNHistorical[[#This Row],[Nutrition New]]="", tblPiNHistorical[[#This Row],[Nutrition New]]=0), "", tblPiNHistorical[[#This Row],[Nutrition New]]-tblPiNHistorical[[#This Row],[Nutrition Old]])</f>
        <v/>
      </c>
      <c r="AK231" s="136" t="str">
        <f>IF(OR(tblPiNHistorical[[#This Row],[Protection Old]]="", tblPiNHistorical[[#This Row],[Protection Old]]=0, tblPiNHistorical[[#This Row],[Protection New]]="", tblPiNHistorical[[#This Row],[Protection New]]=0), "", tblPiNHistorical[[#This Row],[Protection New]]-tblPiNHistorical[[#This Row],[Protection Old]])</f>
        <v/>
      </c>
      <c r="AL231" s="136" t="str">
        <f>IF(OR(tblPiNHistorical[[#This Row],[CP Old ]]="", tblPiNHistorical[[#This Row],[CP Old ]]=0, tblPiNHistorical[[#This Row],[CP New]]="", tblPiNHistorical[[#This Row],[CP New]]=0), "", tblPiNHistorical[[#This Row],[CP New]]-tblPiNHistorical[[#This Row],[CP Old ]])</f>
        <v/>
      </c>
      <c r="AM231" s="83" t="str">
        <f>IF(OR(tblPiNHistorical[[#This Row],[GBV Old]]="", tblPiNHistorical[[#This Row],[GBV Old]]=0, tblPiNHistorical[[#This Row],[GBV New]]="", tblPiNHistorical[[#This Row],[GBV New]]=0), "", tblPiNHistorical[[#This Row],[GBV New]]-tblPiNHistorical[[#This Row],[GBV Old]])</f>
        <v/>
      </c>
      <c r="AN231" s="83" t="str">
        <f>IF(OR(tblPiNHistorical[[#This Row],[Mine Action Old]]="", tblPiNHistorical[[#This Row],[Mine Action Old]]=0, tblPiNHistorical[[#This Row],[Mine Action New]]="", tblPiNHistorical[[#This Row],[Mine Action New]]=0), "", tblPiNHistorical[[#This Row],[Mine Action New]]-tblPiNHistorical[[#This Row],[Mine Action Old]])</f>
        <v/>
      </c>
      <c r="AO231" s="136" t="str">
        <f>IF(OR(tblPiNHistorical[[#This Row],[Shelter NFI Old]]="", tblPiNHistorical[[#This Row],[Shelter NFI Old]]=0, tblPiNHistorical[[#This Row],[Shelter NFI New]]="", tblPiNHistorical[[#This Row],[Shelter NFI New]]=0), "", tblPiNHistorical[[#This Row],[Shelter NFI New]]-tblPiNHistorical[[#This Row],[Shelter NFI Old]])</f>
        <v/>
      </c>
      <c r="AP231" s="138" t="str">
        <f>IF(OR(tblPiNHistorical[[#This Row],[WASH Old]]="", tblPiNHistorical[[#This Row],[WASH Old]]=0, tblPiNHistorical[[#This Row],[WASH New]]="", tblPiNHistorical[[#This Row],[WASH New]]=0), "", tblPiNHistorical[[#This Row],[WASH New]]-tblPiNHistorical[[#This Row],[WASH Old]])</f>
        <v/>
      </c>
      <c r="AQ231" s="139" t="str">
        <f>IFERROR(ROUND((tblPiNHistorical[[#This Row],[Site Management - New]] - tblPiNHistorical[[#This Row],[Site Management - Old]])/tblPiNHistorical[[#This Row],[Site Management - Old]], 1), "")</f>
        <v/>
      </c>
      <c r="AR231" s="140" t="str">
        <f>IFERROR(ROUND((tblPiNHistorical[[#This Row],[Education New]]-tblPiNHistorical[[#This Row],[Education Old]])/tblPiNHistorical[[#This Row],[Education Old]], 1), "")</f>
        <v/>
      </c>
      <c r="AS231" s="141" t="str">
        <f>IFERROR(ROUND((tblPiNHistorical[[#This Row],[Food Security and Livlihoods New]]-tblPiNHistorical[[#This Row],[Food Security and Livlihoods Old]])/tblPiNHistorical[[#This Row],[Food Security and Livlihoods Old]], 1), "")</f>
        <v/>
      </c>
      <c r="AT231" s="142" t="str">
        <f>IFERROR(ROUND((tblPiNHistorical[[#This Row],[Health New]]-tblPiNHistorical[[#This Row],[Health Old]])/tblPiNHistorical[[#This Row],[Health Old]], 1), "")</f>
        <v/>
      </c>
      <c r="AU231" s="140" t="str">
        <f>IFERROR(ROUND((tblPiNHistorical[[#This Row],[Nutrition New]]-tblPiNHistorical[[#This Row],[Nutrition Old]])/tblPiNHistorical[[#This Row],[Nutrition Old]], 1), "")</f>
        <v/>
      </c>
      <c r="AV231" s="140" t="str">
        <f>IFERROR(ROUND((tblPiNHistorical[[#This Row],[Protection New]]-tblPiNHistorical[[#This Row],[Protection Old]])/tblPiNHistorical[[#This Row],[Protection Old]], 1), "")</f>
        <v/>
      </c>
      <c r="AW231" s="84" t="str">
        <f>IFERROR(ROUND((tblPiNHistorical[[#This Row],[CP New]]-tblPiNHistorical[[#This Row],[CP Old ]])/tblPiNHistorical[[#This Row],[CP Old ]], 1), "")</f>
        <v/>
      </c>
      <c r="AX231" s="84" t="str">
        <f>IFERROR(ROUND((tblPiNHistorical[[#This Row],[GBV New]]-tblPiNHistorical[[#This Row],[GBV Old]])/tblPiNHistorical[[#This Row],[GBV Old]], 1), "")</f>
        <v/>
      </c>
      <c r="AY231" s="84" t="str">
        <f>IFERROR(ROUND((tblPiNHistorical[[#This Row],[Mine Action New]]-tblPiNHistorical[[#This Row],[Mine Action Old]])/tblPiNHistorical[[#This Row],[Mine Action Old]], 1), "")</f>
        <v/>
      </c>
      <c r="AZ231" s="140" t="str">
        <f>IFERROR(ROUND((tblPiNHistorical[[#This Row],[Shelter NFI New]]-tblPiNHistorical[[#This Row],[Shelter NFI Old]])/tblPiNHistorical[[#This Row],[Shelter NFI Old]], 1), "")</f>
        <v/>
      </c>
      <c r="BA231" s="31" t="str">
        <f>IFERROR(ROUND((tblPiNHistorical[[#This Row],[WASH New]]-tblPiNHistorical[[#This Row],[WASH Old]])/tblPiNHistorical[[#This Row],[WASH Old]], 1), "")</f>
        <v/>
      </c>
    </row>
    <row r="232" spans="1:53" ht="38.25" x14ac:dyDescent="0.25">
      <c r="A232"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RefugeesSD12082</v>
      </c>
      <c r="B232" s="134" t="s">
        <v>158</v>
      </c>
      <c r="C232" s="124" t="s">
        <v>129</v>
      </c>
      <c r="D232" s="124" t="s">
        <v>462</v>
      </c>
      <c r="E232" s="59" t="s">
        <v>463</v>
      </c>
      <c r="F232" s="54"/>
      <c r="G232" s="29"/>
      <c r="H232" s="53">
        <v>23807</v>
      </c>
      <c r="I232" s="53" t="s">
        <v>90</v>
      </c>
      <c r="J232" s="34">
        <v>0</v>
      </c>
      <c r="K232" s="116">
        <v>5995</v>
      </c>
      <c r="L232" s="114">
        <v>23807</v>
      </c>
      <c r="M232" s="114">
        <v>16427</v>
      </c>
      <c r="N232" s="114">
        <v>2174</v>
      </c>
      <c r="O232" s="114">
        <v>23807</v>
      </c>
      <c r="P232" s="114">
        <v>666.596</v>
      </c>
      <c r="Q232" s="114">
        <v>4666.1720000000005</v>
      </c>
      <c r="R232" s="114">
        <v>0</v>
      </c>
      <c r="S232" s="114">
        <v>14284</v>
      </c>
      <c r="T232" s="196">
        <v>21003</v>
      </c>
      <c r="U232" s="52" t="str">
        <f>IFERROR(INDEX(tblPiNAnalysis[[Site Management ]], MATCH(tblPiNHistorical[[#This Row],[ID]], tblPiNAnalysis[ID], 0)), "")</f>
        <v/>
      </c>
      <c r="V232" s="52" t="str">
        <f>IFERROR(INDEX(tblPiNAnalysis[Education], MATCH(tblPiNHistorical[[#This Row],[ID]], tblPiNAnalysis[ID], 0)), "")</f>
        <v/>
      </c>
      <c r="W232" s="28" t="str">
        <f>IFERROR(INDEX(tblPiNAnalysis[Food Security and Livlihoods], MATCH(tblPiNHistorical[[#This Row],[ID]], tblPiNAnalysis[ID], 0)), "")</f>
        <v/>
      </c>
      <c r="X232" s="28" t="str">
        <f>IFERROR(INDEX(tblPiNAnalysis[[Health ]], MATCH(tblPiNHistorical[[#This Row],[ID]], tblPiNAnalysis[ID], 0)), "")</f>
        <v/>
      </c>
      <c r="Y232" s="28" t="str">
        <f>IFERROR(INDEX(tblPiNAnalysis[Nutrition], MATCH(tblPiNHistorical[[#This Row],[ID]], tblPiNAnalysis[ID], 0)), "")</f>
        <v/>
      </c>
      <c r="Z232" s="28" t="str">
        <f>IFERROR(INDEX(tblPiNAnalysis[Protection], MATCH(tblPiNHistorical[[#This Row],[ID]], tblPiNAnalysis[ID], 0)), "")</f>
        <v/>
      </c>
      <c r="AA232" s="28" t="str">
        <f>IFERROR(INDEX(tblPiNAnalysis[CP], MATCH(tblPiNHistorical[[#This Row],[ID]], tblPiNAnalysis[ID], 0)), "")</f>
        <v/>
      </c>
      <c r="AB232" s="83" t="str">
        <f>IFERROR(INDEX(tblPiNAnalysis[GBV], MATCH(tblPiNHistorical[[#This Row],[ID]], tblPiNAnalysis[ID], 0)), "")</f>
        <v/>
      </c>
      <c r="AC232" s="28" t="str">
        <f>IFERROR(INDEX(tblPiNAnalysis[Mine Action], MATCH(tblPiNHistorical[[#This Row],[ID]], tblPiNAnalysis[ID], 0)), "")</f>
        <v/>
      </c>
      <c r="AD232" s="83" t="str">
        <f>IFERROR(INDEX(tblPiNAnalysis[[Shelter NFI ]], MATCH(tblPiNHistorical[[#This Row],[ID]], tblPiNAnalysis[ID], 0)), "")</f>
        <v/>
      </c>
      <c r="AE232" s="28" t="str">
        <f>IFERROR(INDEX(tblPiNAnalysis[WASH], MATCH(tblPiNHistorical[[#This Row],[ID]], tblPiNAnalysis[ID], 0)), "")</f>
        <v/>
      </c>
      <c r="AF232"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232" s="136" t="str">
        <f>IF(OR(tblPiNHistorical[[#This Row],[Education Old]]="", tblPiNHistorical[[#This Row],[Education Old]]=0, tblPiNHistorical[[#This Row],[Education New]]="", tblPiNHistorical[[#This Row],[Education New]]=0), "", tblPiNHistorical[[#This Row],[Education New]]-tblPiNHistorical[[#This Row],[Education Old]])</f>
        <v/>
      </c>
      <c r="AH232"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232" s="137" t="str">
        <f>IF(OR(tblPiNHistorical[[#This Row],[Health Old]]="", tblPiNHistorical[[#This Row],[Health Old]]=0, tblPiNHistorical[[#This Row],[Health New]]="", tblPiNHistorical[[#This Row],[Health New]]=0), "", tblPiNHistorical[[#This Row],[Health New]]-tblPiNHistorical[[#This Row],[Health Old]])</f>
        <v/>
      </c>
      <c r="AJ232" s="136" t="str">
        <f>IF(OR(tblPiNHistorical[[#This Row],[Nutrition Old]]="", tblPiNHistorical[[#This Row],[Nutrition Old]]=0, tblPiNHistorical[[#This Row],[Nutrition New]]="", tblPiNHistorical[[#This Row],[Nutrition New]]=0), "", tblPiNHistorical[[#This Row],[Nutrition New]]-tblPiNHistorical[[#This Row],[Nutrition Old]])</f>
        <v/>
      </c>
      <c r="AK232" s="136" t="str">
        <f>IF(OR(tblPiNHistorical[[#This Row],[Protection Old]]="", tblPiNHistorical[[#This Row],[Protection Old]]=0, tblPiNHistorical[[#This Row],[Protection New]]="", tblPiNHistorical[[#This Row],[Protection New]]=0), "", tblPiNHistorical[[#This Row],[Protection New]]-tblPiNHistorical[[#This Row],[Protection Old]])</f>
        <v/>
      </c>
      <c r="AL232" s="136" t="str">
        <f>IF(OR(tblPiNHistorical[[#This Row],[CP Old ]]="", tblPiNHistorical[[#This Row],[CP Old ]]=0, tblPiNHistorical[[#This Row],[CP New]]="", tblPiNHistorical[[#This Row],[CP New]]=0), "", tblPiNHistorical[[#This Row],[CP New]]-tblPiNHistorical[[#This Row],[CP Old ]])</f>
        <v/>
      </c>
      <c r="AM232" s="83" t="str">
        <f>IF(OR(tblPiNHistorical[[#This Row],[GBV Old]]="", tblPiNHistorical[[#This Row],[GBV Old]]=0, tblPiNHistorical[[#This Row],[GBV New]]="", tblPiNHistorical[[#This Row],[GBV New]]=0), "", tblPiNHistorical[[#This Row],[GBV New]]-tblPiNHistorical[[#This Row],[GBV Old]])</f>
        <v/>
      </c>
      <c r="AN232" s="83" t="str">
        <f>IF(OR(tblPiNHistorical[[#This Row],[Mine Action Old]]="", tblPiNHistorical[[#This Row],[Mine Action Old]]=0, tblPiNHistorical[[#This Row],[Mine Action New]]="", tblPiNHistorical[[#This Row],[Mine Action New]]=0), "", tblPiNHistorical[[#This Row],[Mine Action New]]-tblPiNHistorical[[#This Row],[Mine Action Old]])</f>
        <v/>
      </c>
      <c r="AO232" s="136" t="str">
        <f>IF(OR(tblPiNHistorical[[#This Row],[Shelter NFI Old]]="", tblPiNHistorical[[#This Row],[Shelter NFI Old]]=0, tblPiNHistorical[[#This Row],[Shelter NFI New]]="", tblPiNHistorical[[#This Row],[Shelter NFI New]]=0), "", tblPiNHistorical[[#This Row],[Shelter NFI New]]-tblPiNHistorical[[#This Row],[Shelter NFI Old]])</f>
        <v/>
      </c>
      <c r="AP232" s="138" t="str">
        <f>IF(OR(tblPiNHistorical[[#This Row],[WASH Old]]="", tblPiNHistorical[[#This Row],[WASH Old]]=0, tblPiNHistorical[[#This Row],[WASH New]]="", tblPiNHistorical[[#This Row],[WASH New]]=0), "", tblPiNHistorical[[#This Row],[WASH New]]-tblPiNHistorical[[#This Row],[WASH Old]])</f>
        <v/>
      </c>
      <c r="AQ232" s="139" t="str">
        <f>IFERROR(ROUND((tblPiNHistorical[[#This Row],[Site Management - New]] - tblPiNHistorical[[#This Row],[Site Management - Old]])/tblPiNHistorical[[#This Row],[Site Management - Old]], 1), "")</f>
        <v/>
      </c>
      <c r="AR232" s="140" t="str">
        <f>IFERROR(ROUND((tblPiNHistorical[[#This Row],[Education New]]-tblPiNHistorical[[#This Row],[Education Old]])/tblPiNHistorical[[#This Row],[Education Old]], 1), "")</f>
        <v/>
      </c>
      <c r="AS232" s="141" t="str">
        <f>IFERROR(ROUND((tblPiNHistorical[[#This Row],[Food Security and Livlihoods New]]-tblPiNHistorical[[#This Row],[Food Security and Livlihoods Old]])/tblPiNHistorical[[#This Row],[Food Security and Livlihoods Old]], 1), "")</f>
        <v/>
      </c>
      <c r="AT232" s="142" t="str">
        <f>IFERROR(ROUND((tblPiNHistorical[[#This Row],[Health New]]-tblPiNHistorical[[#This Row],[Health Old]])/tblPiNHistorical[[#This Row],[Health Old]], 1), "")</f>
        <v/>
      </c>
      <c r="AU232" s="140" t="str">
        <f>IFERROR(ROUND((tblPiNHistorical[[#This Row],[Nutrition New]]-tblPiNHistorical[[#This Row],[Nutrition Old]])/tblPiNHistorical[[#This Row],[Nutrition Old]], 1), "")</f>
        <v/>
      </c>
      <c r="AV232" s="140" t="str">
        <f>IFERROR(ROUND((tblPiNHistorical[[#This Row],[Protection New]]-tblPiNHistorical[[#This Row],[Protection Old]])/tblPiNHistorical[[#This Row],[Protection Old]], 1), "")</f>
        <v/>
      </c>
      <c r="AW232" s="84" t="str">
        <f>IFERROR(ROUND((tblPiNHistorical[[#This Row],[CP New]]-tblPiNHistorical[[#This Row],[CP Old ]])/tblPiNHistorical[[#This Row],[CP Old ]], 1), "")</f>
        <v/>
      </c>
      <c r="AX232" s="84" t="str">
        <f>IFERROR(ROUND((tblPiNHistorical[[#This Row],[GBV New]]-tblPiNHistorical[[#This Row],[GBV Old]])/tblPiNHistorical[[#This Row],[GBV Old]], 1), "")</f>
        <v/>
      </c>
      <c r="AY232" s="84" t="str">
        <f>IFERROR(ROUND((tblPiNHistorical[[#This Row],[Mine Action New]]-tblPiNHistorical[[#This Row],[Mine Action Old]])/tblPiNHistorical[[#This Row],[Mine Action Old]], 1), "")</f>
        <v/>
      </c>
      <c r="AZ232" s="140" t="str">
        <f>IFERROR(ROUND((tblPiNHistorical[[#This Row],[Shelter NFI New]]-tblPiNHistorical[[#This Row],[Shelter NFI Old]])/tblPiNHistorical[[#This Row],[Shelter NFI Old]], 1), "")</f>
        <v/>
      </c>
      <c r="BA232" s="31" t="str">
        <f>IFERROR(ROUND((tblPiNHistorical[[#This Row],[WASH New]]-tblPiNHistorical[[#This Row],[WASH Old]])/tblPiNHistorical[[#This Row],[WASH Old]], 1), "")</f>
        <v/>
      </c>
    </row>
    <row r="233" spans="1:53" ht="38.25" x14ac:dyDescent="0.25">
      <c r="A233"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RefugeesSD12076</v>
      </c>
      <c r="B233" s="134" t="s">
        <v>158</v>
      </c>
      <c r="C233" s="124" t="s">
        <v>129</v>
      </c>
      <c r="D233" s="124" t="s">
        <v>450</v>
      </c>
      <c r="E233" s="59" t="s">
        <v>451</v>
      </c>
      <c r="F233" s="54"/>
      <c r="G233" s="29"/>
      <c r="H233" s="53">
        <v>0</v>
      </c>
      <c r="I233" s="53" t="s">
        <v>90</v>
      </c>
      <c r="J233" s="34">
        <v>0</v>
      </c>
      <c r="K233" s="116">
        <v>0</v>
      </c>
      <c r="L233" s="114">
        <v>0</v>
      </c>
      <c r="M233" s="114">
        <v>0</v>
      </c>
      <c r="N233" s="114">
        <v>0</v>
      </c>
      <c r="O233" s="114">
        <v>0</v>
      </c>
      <c r="P233" s="114">
        <v>0</v>
      </c>
      <c r="Q233" s="114">
        <v>0</v>
      </c>
      <c r="R233" s="114">
        <v>0</v>
      </c>
      <c r="S233" s="114">
        <v>0</v>
      </c>
      <c r="T233" s="196">
        <v>0</v>
      </c>
      <c r="U233" s="52" t="str">
        <f>IFERROR(INDEX(tblPiNAnalysis[[Site Management ]], MATCH(tblPiNHistorical[[#This Row],[ID]], tblPiNAnalysis[ID], 0)), "")</f>
        <v/>
      </c>
      <c r="V233" s="52" t="str">
        <f>IFERROR(INDEX(tblPiNAnalysis[Education], MATCH(tblPiNHistorical[[#This Row],[ID]], tblPiNAnalysis[ID], 0)), "")</f>
        <v/>
      </c>
      <c r="W233" s="28" t="str">
        <f>IFERROR(INDEX(tblPiNAnalysis[Food Security and Livlihoods], MATCH(tblPiNHistorical[[#This Row],[ID]], tblPiNAnalysis[ID], 0)), "")</f>
        <v/>
      </c>
      <c r="X233" s="28" t="str">
        <f>IFERROR(INDEX(tblPiNAnalysis[[Health ]], MATCH(tblPiNHistorical[[#This Row],[ID]], tblPiNAnalysis[ID], 0)), "")</f>
        <v/>
      </c>
      <c r="Y233" s="28" t="str">
        <f>IFERROR(INDEX(tblPiNAnalysis[Nutrition], MATCH(tblPiNHistorical[[#This Row],[ID]], tblPiNAnalysis[ID], 0)), "")</f>
        <v/>
      </c>
      <c r="Z233" s="28" t="str">
        <f>IFERROR(INDEX(tblPiNAnalysis[Protection], MATCH(tblPiNHistorical[[#This Row],[ID]], tblPiNAnalysis[ID], 0)), "")</f>
        <v/>
      </c>
      <c r="AA233" s="28" t="str">
        <f>IFERROR(INDEX(tblPiNAnalysis[CP], MATCH(tblPiNHistorical[[#This Row],[ID]], tblPiNAnalysis[ID], 0)), "")</f>
        <v/>
      </c>
      <c r="AB233" s="83" t="str">
        <f>IFERROR(INDEX(tblPiNAnalysis[GBV], MATCH(tblPiNHistorical[[#This Row],[ID]], tblPiNAnalysis[ID], 0)), "")</f>
        <v/>
      </c>
      <c r="AC233" s="28" t="str">
        <f>IFERROR(INDEX(tblPiNAnalysis[Mine Action], MATCH(tblPiNHistorical[[#This Row],[ID]], tblPiNAnalysis[ID], 0)), "")</f>
        <v/>
      </c>
      <c r="AD233" s="83" t="str">
        <f>IFERROR(INDEX(tblPiNAnalysis[[Shelter NFI ]], MATCH(tblPiNHistorical[[#This Row],[ID]], tblPiNAnalysis[ID], 0)), "")</f>
        <v/>
      </c>
      <c r="AE233" s="28" t="str">
        <f>IFERROR(INDEX(tblPiNAnalysis[WASH], MATCH(tblPiNHistorical[[#This Row],[ID]], tblPiNAnalysis[ID], 0)), "")</f>
        <v/>
      </c>
      <c r="AF233"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233" s="136" t="str">
        <f>IF(OR(tblPiNHistorical[[#This Row],[Education Old]]="", tblPiNHistorical[[#This Row],[Education Old]]=0, tblPiNHistorical[[#This Row],[Education New]]="", tblPiNHistorical[[#This Row],[Education New]]=0), "", tblPiNHistorical[[#This Row],[Education New]]-tblPiNHistorical[[#This Row],[Education Old]])</f>
        <v/>
      </c>
      <c r="AH233"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233" s="137" t="str">
        <f>IF(OR(tblPiNHistorical[[#This Row],[Health Old]]="", tblPiNHistorical[[#This Row],[Health Old]]=0, tblPiNHistorical[[#This Row],[Health New]]="", tblPiNHistorical[[#This Row],[Health New]]=0), "", tblPiNHistorical[[#This Row],[Health New]]-tblPiNHistorical[[#This Row],[Health Old]])</f>
        <v/>
      </c>
      <c r="AJ233" s="136" t="str">
        <f>IF(OR(tblPiNHistorical[[#This Row],[Nutrition Old]]="", tblPiNHistorical[[#This Row],[Nutrition Old]]=0, tblPiNHistorical[[#This Row],[Nutrition New]]="", tblPiNHistorical[[#This Row],[Nutrition New]]=0), "", tblPiNHistorical[[#This Row],[Nutrition New]]-tblPiNHistorical[[#This Row],[Nutrition Old]])</f>
        <v/>
      </c>
      <c r="AK233" s="136" t="str">
        <f>IF(OR(tblPiNHistorical[[#This Row],[Protection Old]]="", tblPiNHistorical[[#This Row],[Protection Old]]=0, tblPiNHistorical[[#This Row],[Protection New]]="", tblPiNHistorical[[#This Row],[Protection New]]=0), "", tblPiNHistorical[[#This Row],[Protection New]]-tblPiNHistorical[[#This Row],[Protection Old]])</f>
        <v/>
      </c>
      <c r="AL233" s="136" t="str">
        <f>IF(OR(tblPiNHistorical[[#This Row],[CP Old ]]="", tblPiNHistorical[[#This Row],[CP Old ]]=0, tblPiNHistorical[[#This Row],[CP New]]="", tblPiNHistorical[[#This Row],[CP New]]=0), "", tblPiNHistorical[[#This Row],[CP New]]-tblPiNHistorical[[#This Row],[CP Old ]])</f>
        <v/>
      </c>
      <c r="AM233" s="83" t="str">
        <f>IF(OR(tblPiNHistorical[[#This Row],[GBV Old]]="", tblPiNHistorical[[#This Row],[GBV Old]]=0, tblPiNHistorical[[#This Row],[GBV New]]="", tblPiNHistorical[[#This Row],[GBV New]]=0), "", tblPiNHistorical[[#This Row],[GBV New]]-tblPiNHistorical[[#This Row],[GBV Old]])</f>
        <v/>
      </c>
      <c r="AN233" s="83" t="str">
        <f>IF(OR(tblPiNHistorical[[#This Row],[Mine Action Old]]="", tblPiNHistorical[[#This Row],[Mine Action Old]]=0, tblPiNHistorical[[#This Row],[Mine Action New]]="", tblPiNHistorical[[#This Row],[Mine Action New]]=0), "", tblPiNHistorical[[#This Row],[Mine Action New]]-tblPiNHistorical[[#This Row],[Mine Action Old]])</f>
        <v/>
      </c>
      <c r="AO233" s="136" t="str">
        <f>IF(OR(tblPiNHistorical[[#This Row],[Shelter NFI Old]]="", tblPiNHistorical[[#This Row],[Shelter NFI Old]]=0, tblPiNHistorical[[#This Row],[Shelter NFI New]]="", tblPiNHistorical[[#This Row],[Shelter NFI New]]=0), "", tblPiNHistorical[[#This Row],[Shelter NFI New]]-tblPiNHistorical[[#This Row],[Shelter NFI Old]])</f>
        <v/>
      </c>
      <c r="AP233" s="138" t="str">
        <f>IF(OR(tblPiNHistorical[[#This Row],[WASH Old]]="", tblPiNHistorical[[#This Row],[WASH Old]]=0, tblPiNHistorical[[#This Row],[WASH New]]="", tblPiNHistorical[[#This Row],[WASH New]]=0), "", tblPiNHistorical[[#This Row],[WASH New]]-tblPiNHistorical[[#This Row],[WASH Old]])</f>
        <v/>
      </c>
      <c r="AQ233" s="139" t="str">
        <f>IFERROR(ROUND((tblPiNHistorical[[#This Row],[Site Management - New]] - tblPiNHistorical[[#This Row],[Site Management - Old]])/tblPiNHistorical[[#This Row],[Site Management - Old]], 1), "")</f>
        <v/>
      </c>
      <c r="AR233" s="140" t="str">
        <f>IFERROR(ROUND((tblPiNHistorical[[#This Row],[Education New]]-tblPiNHistorical[[#This Row],[Education Old]])/tblPiNHistorical[[#This Row],[Education Old]], 1), "")</f>
        <v/>
      </c>
      <c r="AS233" s="141" t="str">
        <f>IFERROR(ROUND((tblPiNHistorical[[#This Row],[Food Security and Livlihoods New]]-tblPiNHistorical[[#This Row],[Food Security and Livlihoods Old]])/tblPiNHistorical[[#This Row],[Food Security and Livlihoods Old]], 1), "")</f>
        <v/>
      </c>
      <c r="AT233" s="142" t="str">
        <f>IFERROR(ROUND((tblPiNHistorical[[#This Row],[Health New]]-tblPiNHistorical[[#This Row],[Health Old]])/tblPiNHistorical[[#This Row],[Health Old]], 1), "")</f>
        <v/>
      </c>
      <c r="AU233" s="140" t="str">
        <f>IFERROR(ROUND((tblPiNHistorical[[#This Row],[Nutrition New]]-tblPiNHistorical[[#This Row],[Nutrition Old]])/tblPiNHistorical[[#This Row],[Nutrition Old]], 1), "")</f>
        <v/>
      </c>
      <c r="AV233" s="140" t="str">
        <f>IFERROR(ROUND((tblPiNHistorical[[#This Row],[Protection New]]-tblPiNHistorical[[#This Row],[Protection Old]])/tblPiNHistorical[[#This Row],[Protection Old]], 1), "")</f>
        <v/>
      </c>
      <c r="AW233" s="84" t="str">
        <f>IFERROR(ROUND((tblPiNHistorical[[#This Row],[CP New]]-tblPiNHistorical[[#This Row],[CP Old ]])/tblPiNHistorical[[#This Row],[CP Old ]], 1), "")</f>
        <v/>
      </c>
      <c r="AX233" s="84" t="str">
        <f>IFERROR(ROUND((tblPiNHistorical[[#This Row],[GBV New]]-tblPiNHistorical[[#This Row],[GBV Old]])/tblPiNHistorical[[#This Row],[GBV Old]], 1), "")</f>
        <v/>
      </c>
      <c r="AY233" s="84" t="str">
        <f>IFERROR(ROUND((tblPiNHistorical[[#This Row],[Mine Action New]]-tblPiNHistorical[[#This Row],[Mine Action Old]])/tblPiNHistorical[[#This Row],[Mine Action Old]], 1), "")</f>
        <v/>
      </c>
      <c r="AZ233" s="140" t="str">
        <f>IFERROR(ROUND((tblPiNHistorical[[#This Row],[Shelter NFI New]]-tblPiNHistorical[[#This Row],[Shelter NFI Old]])/tblPiNHistorical[[#This Row],[Shelter NFI Old]], 1), "")</f>
        <v/>
      </c>
      <c r="BA233" s="31" t="str">
        <f>IFERROR(ROUND((tblPiNHistorical[[#This Row],[WASH New]]-tblPiNHistorical[[#This Row],[WASH Old]])/tblPiNHistorical[[#This Row],[WASH Old]], 1), "")</f>
        <v/>
      </c>
    </row>
    <row r="234" spans="1:53" ht="38.25" x14ac:dyDescent="0.25">
      <c r="A234"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RefugeesSD12084</v>
      </c>
      <c r="B234" s="134" t="s">
        <v>158</v>
      </c>
      <c r="C234" s="124" t="s">
        <v>129</v>
      </c>
      <c r="D234" s="124" t="s">
        <v>466</v>
      </c>
      <c r="E234" s="59" t="s">
        <v>467</v>
      </c>
      <c r="F234" s="54"/>
      <c r="G234" s="29"/>
      <c r="H234" s="53">
        <v>0</v>
      </c>
      <c r="I234" s="53" t="s">
        <v>90</v>
      </c>
      <c r="J234" s="34">
        <v>0</v>
      </c>
      <c r="K234" s="116">
        <v>0</v>
      </c>
      <c r="L234" s="114">
        <v>0</v>
      </c>
      <c r="M234" s="114">
        <v>0</v>
      </c>
      <c r="N234" s="114">
        <v>0</v>
      </c>
      <c r="O234" s="114">
        <v>0</v>
      </c>
      <c r="P234" s="114">
        <v>0</v>
      </c>
      <c r="Q234" s="114">
        <v>0</v>
      </c>
      <c r="R234" s="114">
        <v>0</v>
      </c>
      <c r="S234" s="114">
        <v>0</v>
      </c>
      <c r="T234" s="196">
        <v>0</v>
      </c>
      <c r="U234" s="52" t="str">
        <f>IFERROR(INDEX(tblPiNAnalysis[[Site Management ]], MATCH(tblPiNHistorical[[#This Row],[ID]], tblPiNAnalysis[ID], 0)), "")</f>
        <v/>
      </c>
      <c r="V234" s="52" t="str">
        <f>IFERROR(INDEX(tblPiNAnalysis[Education], MATCH(tblPiNHistorical[[#This Row],[ID]], tblPiNAnalysis[ID], 0)), "")</f>
        <v/>
      </c>
      <c r="W234" s="28" t="str">
        <f>IFERROR(INDEX(tblPiNAnalysis[Food Security and Livlihoods], MATCH(tblPiNHistorical[[#This Row],[ID]], tblPiNAnalysis[ID], 0)), "")</f>
        <v/>
      </c>
      <c r="X234" s="28" t="str">
        <f>IFERROR(INDEX(tblPiNAnalysis[[Health ]], MATCH(tblPiNHistorical[[#This Row],[ID]], tblPiNAnalysis[ID], 0)), "")</f>
        <v/>
      </c>
      <c r="Y234" s="28" t="str">
        <f>IFERROR(INDEX(tblPiNAnalysis[Nutrition], MATCH(tblPiNHistorical[[#This Row],[ID]], tblPiNAnalysis[ID], 0)), "")</f>
        <v/>
      </c>
      <c r="Z234" s="28" t="str">
        <f>IFERROR(INDEX(tblPiNAnalysis[Protection], MATCH(tblPiNHistorical[[#This Row],[ID]], tblPiNAnalysis[ID], 0)), "")</f>
        <v/>
      </c>
      <c r="AA234" s="28" t="str">
        <f>IFERROR(INDEX(tblPiNAnalysis[CP], MATCH(tblPiNHistorical[[#This Row],[ID]], tblPiNAnalysis[ID], 0)), "")</f>
        <v/>
      </c>
      <c r="AB234" s="83" t="str">
        <f>IFERROR(INDEX(tblPiNAnalysis[GBV], MATCH(tblPiNHistorical[[#This Row],[ID]], tblPiNAnalysis[ID], 0)), "")</f>
        <v/>
      </c>
      <c r="AC234" s="28" t="str">
        <f>IFERROR(INDEX(tblPiNAnalysis[Mine Action], MATCH(tblPiNHistorical[[#This Row],[ID]], tblPiNAnalysis[ID], 0)), "")</f>
        <v/>
      </c>
      <c r="AD234" s="83" t="str">
        <f>IFERROR(INDEX(tblPiNAnalysis[[Shelter NFI ]], MATCH(tblPiNHistorical[[#This Row],[ID]], tblPiNAnalysis[ID], 0)), "")</f>
        <v/>
      </c>
      <c r="AE234" s="28" t="str">
        <f>IFERROR(INDEX(tblPiNAnalysis[WASH], MATCH(tblPiNHistorical[[#This Row],[ID]], tblPiNAnalysis[ID], 0)), "")</f>
        <v/>
      </c>
      <c r="AF234"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234" s="136" t="str">
        <f>IF(OR(tblPiNHistorical[[#This Row],[Education Old]]="", tblPiNHistorical[[#This Row],[Education Old]]=0, tblPiNHistorical[[#This Row],[Education New]]="", tblPiNHistorical[[#This Row],[Education New]]=0), "", tblPiNHistorical[[#This Row],[Education New]]-tblPiNHistorical[[#This Row],[Education Old]])</f>
        <v/>
      </c>
      <c r="AH234"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234" s="137" t="str">
        <f>IF(OR(tblPiNHistorical[[#This Row],[Health Old]]="", tblPiNHistorical[[#This Row],[Health Old]]=0, tblPiNHistorical[[#This Row],[Health New]]="", tblPiNHistorical[[#This Row],[Health New]]=0), "", tblPiNHistorical[[#This Row],[Health New]]-tblPiNHistorical[[#This Row],[Health Old]])</f>
        <v/>
      </c>
      <c r="AJ234" s="136" t="str">
        <f>IF(OR(tblPiNHistorical[[#This Row],[Nutrition Old]]="", tblPiNHistorical[[#This Row],[Nutrition Old]]=0, tblPiNHistorical[[#This Row],[Nutrition New]]="", tblPiNHistorical[[#This Row],[Nutrition New]]=0), "", tblPiNHistorical[[#This Row],[Nutrition New]]-tblPiNHistorical[[#This Row],[Nutrition Old]])</f>
        <v/>
      </c>
      <c r="AK234" s="136" t="str">
        <f>IF(OR(tblPiNHistorical[[#This Row],[Protection Old]]="", tblPiNHistorical[[#This Row],[Protection Old]]=0, tblPiNHistorical[[#This Row],[Protection New]]="", tblPiNHistorical[[#This Row],[Protection New]]=0), "", tblPiNHistorical[[#This Row],[Protection New]]-tblPiNHistorical[[#This Row],[Protection Old]])</f>
        <v/>
      </c>
      <c r="AL234" s="136" t="str">
        <f>IF(OR(tblPiNHistorical[[#This Row],[CP Old ]]="", tblPiNHistorical[[#This Row],[CP Old ]]=0, tblPiNHistorical[[#This Row],[CP New]]="", tblPiNHistorical[[#This Row],[CP New]]=0), "", tblPiNHistorical[[#This Row],[CP New]]-tblPiNHistorical[[#This Row],[CP Old ]])</f>
        <v/>
      </c>
      <c r="AM234" s="83" t="str">
        <f>IF(OR(tblPiNHistorical[[#This Row],[GBV Old]]="", tblPiNHistorical[[#This Row],[GBV Old]]=0, tblPiNHistorical[[#This Row],[GBV New]]="", tblPiNHistorical[[#This Row],[GBV New]]=0), "", tblPiNHistorical[[#This Row],[GBV New]]-tblPiNHistorical[[#This Row],[GBV Old]])</f>
        <v/>
      </c>
      <c r="AN234" s="83" t="str">
        <f>IF(OR(tblPiNHistorical[[#This Row],[Mine Action Old]]="", tblPiNHistorical[[#This Row],[Mine Action Old]]=0, tblPiNHistorical[[#This Row],[Mine Action New]]="", tblPiNHistorical[[#This Row],[Mine Action New]]=0), "", tblPiNHistorical[[#This Row],[Mine Action New]]-tblPiNHistorical[[#This Row],[Mine Action Old]])</f>
        <v/>
      </c>
      <c r="AO234" s="136" t="str">
        <f>IF(OR(tblPiNHistorical[[#This Row],[Shelter NFI Old]]="", tblPiNHistorical[[#This Row],[Shelter NFI Old]]=0, tblPiNHistorical[[#This Row],[Shelter NFI New]]="", tblPiNHistorical[[#This Row],[Shelter NFI New]]=0), "", tblPiNHistorical[[#This Row],[Shelter NFI New]]-tblPiNHistorical[[#This Row],[Shelter NFI Old]])</f>
        <v/>
      </c>
      <c r="AP234" s="138" t="str">
        <f>IF(OR(tblPiNHistorical[[#This Row],[WASH Old]]="", tblPiNHistorical[[#This Row],[WASH Old]]=0, tblPiNHistorical[[#This Row],[WASH New]]="", tblPiNHistorical[[#This Row],[WASH New]]=0), "", tblPiNHistorical[[#This Row],[WASH New]]-tblPiNHistorical[[#This Row],[WASH Old]])</f>
        <v/>
      </c>
      <c r="AQ234" s="139" t="str">
        <f>IFERROR(ROUND((tblPiNHistorical[[#This Row],[Site Management - New]] - tblPiNHistorical[[#This Row],[Site Management - Old]])/tblPiNHistorical[[#This Row],[Site Management - Old]], 1), "")</f>
        <v/>
      </c>
      <c r="AR234" s="140" t="str">
        <f>IFERROR(ROUND((tblPiNHistorical[[#This Row],[Education New]]-tblPiNHistorical[[#This Row],[Education Old]])/tblPiNHistorical[[#This Row],[Education Old]], 1), "")</f>
        <v/>
      </c>
      <c r="AS234" s="141" t="str">
        <f>IFERROR(ROUND((tblPiNHistorical[[#This Row],[Food Security and Livlihoods New]]-tblPiNHistorical[[#This Row],[Food Security and Livlihoods Old]])/tblPiNHistorical[[#This Row],[Food Security and Livlihoods Old]], 1), "")</f>
        <v/>
      </c>
      <c r="AT234" s="142" t="str">
        <f>IFERROR(ROUND((tblPiNHistorical[[#This Row],[Health New]]-tblPiNHistorical[[#This Row],[Health Old]])/tblPiNHistorical[[#This Row],[Health Old]], 1), "")</f>
        <v/>
      </c>
      <c r="AU234" s="140" t="str">
        <f>IFERROR(ROUND((tblPiNHistorical[[#This Row],[Nutrition New]]-tblPiNHistorical[[#This Row],[Nutrition Old]])/tblPiNHistorical[[#This Row],[Nutrition Old]], 1), "")</f>
        <v/>
      </c>
      <c r="AV234" s="140" t="str">
        <f>IFERROR(ROUND((tblPiNHistorical[[#This Row],[Protection New]]-tblPiNHistorical[[#This Row],[Protection Old]])/tblPiNHistorical[[#This Row],[Protection Old]], 1), "")</f>
        <v/>
      </c>
      <c r="AW234" s="84" t="str">
        <f>IFERROR(ROUND((tblPiNHistorical[[#This Row],[CP New]]-tblPiNHistorical[[#This Row],[CP Old ]])/tblPiNHistorical[[#This Row],[CP Old ]], 1), "")</f>
        <v/>
      </c>
      <c r="AX234" s="84" t="str">
        <f>IFERROR(ROUND((tblPiNHistorical[[#This Row],[GBV New]]-tblPiNHistorical[[#This Row],[GBV Old]])/tblPiNHistorical[[#This Row],[GBV Old]], 1), "")</f>
        <v/>
      </c>
      <c r="AY234" s="84" t="str">
        <f>IFERROR(ROUND((tblPiNHistorical[[#This Row],[Mine Action New]]-tblPiNHistorical[[#This Row],[Mine Action Old]])/tblPiNHistorical[[#This Row],[Mine Action Old]], 1), "")</f>
        <v/>
      </c>
      <c r="AZ234" s="140" t="str">
        <f>IFERROR(ROUND((tblPiNHistorical[[#This Row],[Shelter NFI New]]-tblPiNHistorical[[#This Row],[Shelter NFI Old]])/tblPiNHistorical[[#This Row],[Shelter NFI Old]], 1), "")</f>
        <v/>
      </c>
      <c r="BA234" s="31" t="str">
        <f>IFERROR(ROUND((tblPiNHistorical[[#This Row],[WASH New]]-tblPiNHistorical[[#This Row],[WASH Old]])/tblPiNHistorical[[#This Row],[WASH Old]], 1), "")</f>
        <v/>
      </c>
    </row>
    <row r="235" spans="1:53" ht="38.25" x14ac:dyDescent="0.25">
      <c r="A235"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RefugeesSD12077</v>
      </c>
      <c r="B235" s="134" t="s">
        <v>158</v>
      </c>
      <c r="C235" s="124" t="s">
        <v>129</v>
      </c>
      <c r="D235" s="124" t="s">
        <v>452</v>
      </c>
      <c r="E235" s="59" t="s">
        <v>453</v>
      </c>
      <c r="F235" s="54"/>
      <c r="G235" s="29"/>
      <c r="H235" s="53">
        <v>3146</v>
      </c>
      <c r="I235" s="53" t="s">
        <v>90</v>
      </c>
      <c r="J235" s="34">
        <v>0</v>
      </c>
      <c r="K235" s="116">
        <v>795</v>
      </c>
      <c r="L235" s="114">
        <v>3146</v>
      </c>
      <c r="M235" s="114">
        <v>3052</v>
      </c>
      <c r="N235" s="114">
        <v>288</v>
      </c>
      <c r="O235" s="114">
        <v>3146</v>
      </c>
      <c r="P235" s="114">
        <v>257.97200000000004</v>
      </c>
      <c r="Q235" s="114">
        <v>597.74</v>
      </c>
      <c r="R235" s="114">
        <v>0</v>
      </c>
      <c r="S235" s="114">
        <v>1258</v>
      </c>
      <c r="T235" s="196">
        <v>2958</v>
      </c>
      <c r="U235" s="52" t="str">
        <f>IFERROR(INDEX(tblPiNAnalysis[[Site Management ]], MATCH(tblPiNHistorical[[#This Row],[ID]], tblPiNAnalysis[ID], 0)), "")</f>
        <v/>
      </c>
      <c r="V235" s="52" t="str">
        <f>IFERROR(INDEX(tblPiNAnalysis[Education], MATCH(tblPiNHistorical[[#This Row],[ID]], tblPiNAnalysis[ID], 0)), "")</f>
        <v/>
      </c>
      <c r="W235" s="28" t="str">
        <f>IFERROR(INDEX(tblPiNAnalysis[Food Security and Livlihoods], MATCH(tblPiNHistorical[[#This Row],[ID]], tblPiNAnalysis[ID], 0)), "")</f>
        <v/>
      </c>
      <c r="X235" s="28" t="str">
        <f>IFERROR(INDEX(tblPiNAnalysis[[Health ]], MATCH(tblPiNHistorical[[#This Row],[ID]], tblPiNAnalysis[ID], 0)), "")</f>
        <v/>
      </c>
      <c r="Y235" s="28" t="str">
        <f>IFERROR(INDEX(tblPiNAnalysis[Nutrition], MATCH(tblPiNHistorical[[#This Row],[ID]], tblPiNAnalysis[ID], 0)), "")</f>
        <v/>
      </c>
      <c r="Z235" s="28" t="str">
        <f>IFERROR(INDEX(tblPiNAnalysis[Protection], MATCH(tblPiNHistorical[[#This Row],[ID]], tblPiNAnalysis[ID], 0)), "")</f>
        <v/>
      </c>
      <c r="AA235" s="28" t="str">
        <f>IFERROR(INDEX(tblPiNAnalysis[CP], MATCH(tblPiNHistorical[[#This Row],[ID]], tblPiNAnalysis[ID], 0)), "")</f>
        <v/>
      </c>
      <c r="AB235" s="83" t="str">
        <f>IFERROR(INDEX(tblPiNAnalysis[GBV], MATCH(tblPiNHistorical[[#This Row],[ID]], tblPiNAnalysis[ID], 0)), "")</f>
        <v/>
      </c>
      <c r="AC235" s="28" t="str">
        <f>IFERROR(INDEX(tblPiNAnalysis[Mine Action], MATCH(tblPiNHistorical[[#This Row],[ID]], tblPiNAnalysis[ID], 0)), "")</f>
        <v/>
      </c>
      <c r="AD235" s="83" t="str">
        <f>IFERROR(INDEX(tblPiNAnalysis[[Shelter NFI ]], MATCH(tblPiNHistorical[[#This Row],[ID]], tblPiNAnalysis[ID], 0)), "")</f>
        <v/>
      </c>
      <c r="AE235" s="28" t="str">
        <f>IFERROR(INDEX(tblPiNAnalysis[WASH], MATCH(tblPiNHistorical[[#This Row],[ID]], tblPiNAnalysis[ID], 0)), "")</f>
        <v/>
      </c>
      <c r="AF235"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235" s="136" t="str">
        <f>IF(OR(tblPiNHistorical[[#This Row],[Education Old]]="", tblPiNHistorical[[#This Row],[Education Old]]=0, tblPiNHistorical[[#This Row],[Education New]]="", tblPiNHistorical[[#This Row],[Education New]]=0), "", tblPiNHistorical[[#This Row],[Education New]]-tblPiNHistorical[[#This Row],[Education Old]])</f>
        <v/>
      </c>
      <c r="AH235"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235" s="137" t="str">
        <f>IF(OR(tblPiNHistorical[[#This Row],[Health Old]]="", tblPiNHistorical[[#This Row],[Health Old]]=0, tblPiNHistorical[[#This Row],[Health New]]="", tblPiNHistorical[[#This Row],[Health New]]=0), "", tblPiNHistorical[[#This Row],[Health New]]-tblPiNHistorical[[#This Row],[Health Old]])</f>
        <v/>
      </c>
      <c r="AJ235" s="136" t="str">
        <f>IF(OR(tblPiNHistorical[[#This Row],[Nutrition Old]]="", tblPiNHistorical[[#This Row],[Nutrition Old]]=0, tblPiNHistorical[[#This Row],[Nutrition New]]="", tblPiNHistorical[[#This Row],[Nutrition New]]=0), "", tblPiNHistorical[[#This Row],[Nutrition New]]-tblPiNHistorical[[#This Row],[Nutrition Old]])</f>
        <v/>
      </c>
      <c r="AK235" s="136" t="str">
        <f>IF(OR(tblPiNHistorical[[#This Row],[Protection Old]]="", tblPiNHistorical[[#This Row],[Protection Old]]=0, tblPiNHistorical[[#This Row],[Protection New]]="", tblPiNHistorical[[#This Row],[Protection New]]=0), "", tblPiNHistorical[[#This Row],[Protection New]]-tblPiNHistorical[[#This Row],[Protection Old]])</f>
        <v/>
      </c>
      <c r="AL235" s="136" t="str">
        <f>IF(OR(tblPiNHistorical[[#This Row],[CP Old ]]="", tblPiNHistorical[[#This Row],[CP Old ]]=0, tblPiNHistorical[[#This Row],[CP New]]="", tblPiNHistorical[[#This Row],[CP New]]=0), "", tblPiNHistorical[[#This Row],[CP New]]-tblPiNHistorical[[#This Row],[CP Old ]])</f>
        <v/>
      </c>
      <c r="AM235" s="83" t="str">
        <f>IF(OR(tblPiNHistorical[[#This Row],[GBV Old]]="", tblPiNHistorical[[#This Row],[GBV Old]]=0, tblPiNHistorical[[#This Row],[GBV New]]="", tblPiNHistorical[[#This Row],[GBV New]]=0), "", tblPiNHistorical[[#This Row],[GBV New]]-tblPiNHistorical[[#This Row],[GBV Old]])</f>
        <v/>
      </c>
      <c r="AN235" s="83" t="str">
        <f>IF(OR(tblPiNHistorical[[#This Row],[Mine Action Old]]="", tblPiNHistorical[[#This Row],[Mine Action Old]]=0, tblPiNHistorical[[#This Row],[Mine Action New]]="", tblPiNHistorical[[#This Row],[Mine Action New]]=0), "", tblPiNHistorical[[#This Row],[Mine Action New]]-tblPiNHistorical[[#This Row],[Mine Action Old]])</f>
        <v/>
      </c>
      <c r="AO235" s="136" t="str">
        <f>IF(OR(tblPiNHistorical[[#This Row],[Shelter NFI Old]]="", tblPiNHistorical[[#This Row],[Shelter NFI Old]]=0, tblPiNHistorical[[#This Row],[Shelter NFI New]]="", tblPiNHistorical[[#This Row],[Shelter NFI New]]=0), "", tblPiNHistorical[[#This Row],[Shelter NFI New]]-tblPiNHistorical[[#This Row],[Shelter NFI Old]])</f>
        <v/>
      </c>
      <c r="AP235" s="138" t="str">
        <f>IF(OR(tblPiNHistorical[[#This Row],[WASH Old]]="", tblPiNHistorical[[#This Row],[WASH Old]]=0, tblPiNHistorical[[#This Row],[WASH New]]="", tblPiNHistorical[[#This Row],[WASH New]]=0), "", tblPiNHistorical[[#This Row],[WASH New]]-tblPiNHistorical[[#This Row],[WASH Old]])</f>
        <v/>
      </c>
      <c r="AQ235" s="139" t="str">
        <f>IFERROR(ROUND((tblPiNHistorical[[#This Row],[Site Management - New]] - tblPiNHistorical[[#This Row],[Site Management - Old]])/tblPiNHistorical[[#This Row],[Site Management - Old]], 1), "")</f>
        <v/>
      </c>
      <c r="AR235" s="140" t="str">
        <f>IFERROR(ROUND((tblPiNHistorical[[#This Row],[Education New]]-tblPiNHistorical[[#This Row],[Education Old]])/tblPiNHistorical[[#This Row],[Education Old]], 1), "")</f>
        <v/>
      </c>
      <c r="AS235" s="141" t="str">
        <f>IFERROR(ROUND((tblPiNHistorical[[#This Row],[Food Security and Livlihoods New]]-tblPiNHistorical[[#This Row],[Food Security and Livlihoods Old]])/tblPiNHistorical[[#This Row],[Food Security and Livlihoods Old]], 1), "")</f>
        <v/>
      </c>
      <c r="AT235" s="142" t="str">
        <f>IFERROR(ROUND((tblPiNHistorical[[#This Row],[Health New]]-tblPiNHistorical[[#This Row],[Health Old]])/tblPiNHistorical[[#This Row],[Health Old]], 1), "")</f>
        <v/>
      </c>
      <c r="AU235" s="140" t="str">
        <f>IFERROR(ROUND((tblPiNHistorical[[#This Row],[Nutrition New]]-tblPiNHistorical[[#This Row],[Nutrition Old]])/tblPiNHistorical[[#This Row],[Nutrition Old]], 1), "")</f>
        <v/>
      </c>
      <c r="AV235" s="140" t="str">
        <f>IFERROR(ROUND((tblPiNHistorical[[#This Row],[Protection New]]-tblPiNHistorical[[#This Row],[Protection Old]])/tblPiNHistorical[[#This Row],[Protection Old]], 1), "")</f>
        <v/>
      </c>
      <c r="AW235" s="84" t="str">
        <f>IFERROR(ROUND((tblPiNHistorical[[#This Row],[CP New]]-tblPiNHistorical[[#This Row],[CP Old ]])/tblPiNHistorical[[#This Row],[CP Old ]], 1), "")</f>
        <v/>
      </c>
      <c r="AX235" s="84" t="str">
        <f>IFERROR(ROUND((tblPiNHistorical[[#This Row],[GBV New]]-tblPiNHistorical[[#This Row],[GBV Old]])/tblPiNHistorical[[#This Row],[GBV Old]], 1), "")</f>
        <v/>
      </c>
      <c r="AY235" s="84" t="str">
        <f>IFERROR(ROUND((tblPiNHistorical[[#This Row],[Mine Action New]]-tblPiNHistorical[[#This Row],[Mine Action Old]])/tblPiNHistorical[[#This Row],[Mine Action Old]], 1), "")</f>
        <v/>
      </c>
      <c r="AZ235" s="140" t="str">
        <f>IFERROR(ROUND((tblPiNHistorical[[#This Row],[Shelter NFI New]]-tblPiNHistorical[[#This Row],[Shelter NFI Old]])/tblPiNHistorical[[#This Row],[Shelter NFI Old]], 1), "")</f>
        <v/>
      </c>
      <c r="BA235" s="31" t="str">
        <f>IFERROR(ROUND((tblPiNHistorical[[#This Row],[WASH New]]-tblPiNHistorical[[#This Row],[WASH Old]])/tblPiNHistorical[[#This Row],[WASH Old]], 1), "")</f>
        <v/>
      </c>
    </row>
    <row r="236" spans="1:53" ht="38.25" x14ac:dyDescent="0.25">
      <c r="A236"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RefugeesSD12079</v>
      </c>
      <c r="B236" s="134" t="s">
        <v>158</v>
      </c>
      <c r="C236" s="124" t="s">
        <v>129</v>
      </c>
      <c r="D236" s="124" t="s">
        <v>456</v>
      </c>
      <c r="E236" s="59" t="s">
        <v>457</v>
      </c>
      <c r="F236" s="54"/>
      <c r="G236" s="29"/>
      <c r="H236" s="53">
        <v>0</v>
      </c>
      <c r="I236" s="53" t="s">
        <v>90</v>
      </c>
      <c r="J236" s="34">
        <v>0</v>
      </c>
      <c r="K236" s="116">
        <v>0</v>
      </c>
      <c r="L236" s="114">
        <v>0</v>
      </c>
      <c r="M236" s="114">
        <v>0</v>
      </c>
      <c r="N236" s="114">
        <v>0</v>
      </c>
      <c r="O236" s="114">
        <v>0</v>
      </c>
      <c r="P236" s="114">
        <v>0</v>
      </c>
      <c r="Q236" s="114">
        <v>0</v>
      </c>
      <c r="R236" s="114">
        <v>0</v>
      </c>
      <c r="S236" s="114">
        <v>0</v>
      </c>
      <c r="T236" s="196">
        <v>0</v>
      </c>
      <c r="U236" s="52" t="str">
        <f>IFERROR(INDEX(tblPiNAnalysis[[Site Management ]], MATCH(tblPiNHistorical[[#This Row],[ID]], tblPiNAnalysis[ID], 0)), "")</f>
        <v/>
      </c>
      <c r="V236" s="52" t="str">
        <f>IFERROR(INDEX(tblPiNAnalysis[Education], MATCH(tblPiNHistorical[[#This Row],[ID]], tblPiNAnalysis[ID], 0)), "")</f>
        <v/>
      </c>
      <c r="W236" s="28" t="str">
        <f>IFERROR(INDEX(tblPiNAnalysis[Food Security and Livlihoods], MATCH(tblPiNHistorical[[#This Row],[ID]], tblPiNAnalysis[ID], 0)), "")</f>
        <v/>
      </c>
      <c r="X236" s="28" t="str">
        <f>IFERROR(INDEX(tblPiNAnalysis[[Health ]], MATCH(tblPiNHistorical[[#This Row],[ID]], tblPiNAnalysis[ID], 0)), "")</f>
        <v/>
      </c>
      <c r="Y236" s="28" t="str">
        <f>IFERROR(INDEX(tblPiNAnalysis[Nutrition], MATCH(tblPiNHistorical[[#This Row],[ID]], tblPiNAnalysis[ID], 0)), "")</f>
        <v/>
      </c>
      <c r="Z236" s="28" t="str">
        <f>IFERROR(INDEX(tblPiNAnalysis[Protection], MATCH(tblPiNHistorical[[#This Row],[ID]], tblPiNAnalysis[ID], 0)), "")</f>
        <v/>
      </c>
      <c r="AA236" s="28" t="str">
        <f>IFERROR(INDEX(tblPiNAnalysis[CP], MATCH(tblPiNHistorical[[#This Row],[ID]], tblPiNAnalysis[ID], 0)), "")</f>
        <v/>
      </c>
      <c r="AB236" s="83" t="str">
        <f>IFERROR(INDEX(tblPiNAnalysis[GBV], MATCH(tblPiNHistorical[[#This Row],[ID]], tblPiNAnalysis[ID], 0)), "")</f>
        <v/>
      </c>
      <c r="AC236" s="28" t="str">
        <f>IFERROR(INDEX(tblPiNAnalysis[Mine Action], MATCH(tblPiNHistorical[[#This Row],[ID]], tblPiNAnalysis[ID], 0)), "")</f>
        <v/>
      </c>
      <c r="AD236" s="83" t="str">
        <f>IFERROR(INDEX(tblPiNAnalysis[[Shelter NFI ]], MATCH(tblPiNHistorical[[#This Row],[ID]], tblPiNAnalysis[ID], 0)), "")</f>
        <v/>
      </c>
      <c r="AE236" s="28" t="str">
        <f>IFERROR(INDEX(tblPiNAnalysis[WASH], MATCH(tblPiNHistorical[[#This Row],[ID]], tblPiNAnalysis[ID], 0)), "")</f>
        <v/>
      </c>
      <c r="AF236"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236" s="136" t="str">
        <f>IF(OR(tblPiNHistorical[[#This Row],[Education Old]]="", tblPiNHistorical[[#This Row],[Education Old]]=0, tblPiNHistorical[[#This Row],[Education New]]="", tblPiNHistorical[[#This Row],[Education New]]=0), "", tblPiNHistorical[[#This Row],[Education New]]-tblPiNHistorical[[#This Row],[Education Old]])</f>
        <v/>
      </c>
      <c r="AH236"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236" s="137" t="str">
        <f>IF(OR(tblPiNHistorical[[#This Row],[Health Old]]="", tblPiNHistorical[[#This Row],[Health Old]]=0, tblPiNHistorical[[#This Row],[Health New]]="", tblPiNHistorical[[#This Row],[Health New]]=0), "", tblPiNHistorical[[#This Row],[Health New]]-tblPiNHistorical[[#This Row],[Health Old]])</f>
        <v/>
      </c>
      <c r="AJ236" s="136" t="str">
        <f>IF(OR(tblPiNHistorical[[#This Row],[Nutrition Old]]="", tblPiNHistorical[[#This Row],[Nutrition Old]]=0, tblPiNHistorical[[#This Row],[Nutrition New]]="", tblPiNHistorical[[#This Row],[Nutrition New]]=0), "", tblPiNHistorical[[#This Row],[Nutrition New]]-tblPiNHistorical[[#This Row],[Nutrition Old]])</f>
        <v/>
      </c>
      <c r="AK236" s="136" t="str">
        <f>IF(OR(tblPiNHistorical[[#This Row],[Protection Old]]="", tblPiNHistorical[[#This Row],[Protection Old]]=0, tblPiNHistorical[[#This Row],[Protection New]]="", tblPiNHistorical[[#This Row],[Protection New]]=0), "", tblPiNHistorical[[#This Row],[Protection New]]-tblPiNHistorical[[#This Row],[Protection Old]])</f>
        <v/>
      </c>
      <c r="AL236" s="136" t="str">
        <f>IF(OR(tblPiNHistorical[[#This Row],[CP Old ]]="", tblPiNHistorical[[#This Row],[CP Old ]]=0, tblPiNHistorical[[#This Row],[CP New]]="", tblPiNHistorical[[#This Row],[CP New]]=0), "", tblPiNHistorical[[#This Row],[CP New]]-tblPiNHistorical[[#This Row],[CP Old ]])</f>
        <v/>
      </c>
      <c r="AM236" s="83" t="str">
        <f>IF(OR(tblPiNHistorical[[#This Row],[GBV Old]]="", tblPiNHistorical[[#This Row],[GBV Old]]=0, tblPiNHistorical[[#This Row],[GBV New]]="", tblPiNHistorical[[#This Row],[GBV New]]=0), "", tblPiNHistorical[[#This Row],[GBV New]]-tblPiNHistorical[[#This Row],[GBV Old]])</f>
        <v/>
      </c>
      <c r="AN236" s="83" t="str">
        <f>IF(OR(tblPiNHistorical[[#This Row],[Mine Action Old]]="", tblPiNHistorical[[#This Row],[Mine Action Old]]=0, tblPiNHistorical[[#This Row],[Mine Action New]]="", tblPiNHistorical[[#This Row],[Mine Action New]]=0), "", tblPiNHistorical[[#This Row],[Mine Action New]]-tblPiNHistorical[[#This Row],[Mine Action Old]])</f>
        <v/>
      </c>
      <c r="AO236" s="136" t="str">
        <f>IF(OR(tblPiNHistorical[[#This Row],[Shelter NFI Old]]="", tblPiNHistorical[[#This Row],[Shelter NFI Old]]=0, tblPiNHistorical[[#This Row],[Shelter NFI New]]="", tblPiNHistorical[[#This Row],[Shelter NFI New]]=0), "", tblPiNHistorical[[#This Row],[Shelter NFI New]]-tblPiNHistorical[[#This Row],[Shelter NFI Old]])</f>
        <v/>
      </c>
      <c r="AP236" s="138" t="str">
        <f>IF(OR(tblPiNHistorical[[#This Row],[WASH Old]]="", tblPiNHistorical[[#This Row],[WASH Old]]=0, tblPiNHistorical[[#This Row],[WASH New]]="", tblPiNHistorical[[#This Row],[WASH New]]=0), "", tblPiNHistorical[[#This Row],[WASH New]]-tblPiNHistorical[[#This Row],[WASH Old]])</f>
        <v/>
      </c>
      <c r="AQ236" s="139" t="str">
        <f>IFERROR(ROUND((tblPiNHistorical[[#This Row],[Site Management - New]] - tblPiNHistorical[[#This Row],[Site Management - Old]])/tblPiNHistorical[[#This Row],[Site Management - Old]], 1), "")</f>
        <v/>
      </c>
      <c r="AR236" s="140" t="str">
        <f>IFERROR(ROUND((tblPiNHistorical[[#This Row],[Education New]]-tblPiNHistorical[[#This Row],[Education Old]])/tblPiNHistorical[[#This Row],[Education Old]], 1), "")</f>
        <v/>
      </c>
      <c r="AS236" s="141" t="str">
        <f>IFERROR(ROUND((tblPiNHistorical[[#This Row],[Food Security and Livlihoods New]]-tblPiNHistorical[[#This Row],[Food Security and Livlihoods Old]])/tblPiNHistorical[[#This Row],[Food Security and Livlihoods Old]], 1), "")</f>
        <v/>
      </c>
      <c r="AT236" s="142" t="str">
        <f>IFERROR(ROUND((tblPiNHistorical[[#This Row],[Health New]]-tblPiNHistorical[[#This Row],[Health Old]])/tblPiNHistorical[[#This Row],[Health Old]], 1), "")</f>
        <v/>
      </c>
      <c r="AU236" s="140" t="str">
        <f>IFERROR(ROUND((tblPiNHistorical[[#This Row],[Nutrition New]]-tblPiNHistorical[[#This Row],[Nutrition Old]])/tblPiNHistorical[[#This Row],[Nutrition Old]], 1), "")</f>
        <v/>
      </c>
      <c r="AV236" s="140" t="str">
        <f>IFERROR(ROUND((tblPiNHistorical[[#This Row],[Protection New]]-tblPiNHistorical[[#This Row],[Protection Old]])/tblPiNHistorical[[#This Row],[Protection Old]], 1), "")</f>
        <v/>
      </c>
      <c r="AW236" s="84" t="str">
        <f>IFERROR(ROUND((tblPiNHistorical[[#This Row],[CP New]]-tblPiNHistorical[[#This Row],[CP Old ]])/tblPiNHistorical[[#This Row],[CP Old ]], 1), "")</f>
        <v/>
      </c>
      <c r="AX236" s="84" t="str">
        <f>IFERROR(ROUND((tblPiNHistorical[[#This Row],[GBV New]]-tblPiNHistorical[[#This Row],[GBV Old]])/tblPiNHistorical[[#This Row],[GBV Old]], 1), "")</f>
        <v/>
      </c>
      <c r="AY236" s="84" t="str">
        <f>IFERROR(ROUND((tblPiNHistorical[[#This Row],[Mine Action New]]-tblPiNHistorical[[#This Row],[Mine Action Old]])/tblPiNHistorical[[#This Row],[Mine Action Old]], 1), "")</f>
        <v/>
      </c>
      <c r="AZ236" s="140" t="str">
        <f>IFERROR(ROUND((tblPiNHistorical[[#This Row],[Shelter NFI New]]-tblPiNHistorical[[#This Row],[Shelter NFI Old]])/tblPiNHistorical[[#This Row],[Shelter NFI Old]], 1), "")</f>
        <v/>
      </c>
      <c r="BA236" s="31" t="str">
        <f>IFERROR(ROUND((tblPiNHistorical[[#This Row],[WASH New]]-tblPiNHistorical[[#This Row],[WASH Old]])/tblPiNHistorical[[#This Row],[WASH Old]], 1), "")</f>
        <v/>
      </c>
    </row>
    <row r="237" spans="1:53" ht="38.25" x14ac:dyDescent="0.25">
      <c r="A237"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RefugeesSD12083</v>
      </c>
      <c r="B237" s="134" t="s">
        <v>158</v>
      </c>
      <c r="C237" s="124" t="s">
        <v>129</v>
      </c>
      <c r="D237" s="124" t="s">
        <v>464</v>
      </c>
      <c r="E237" s="59" t="s">
        <v>465</v>
      </c>
      <c r="F237" s="54"/>
      <c r="G237" s="29"/>
      <c r="H237" s="53">
        <v>17748</v>
      </c>
      <c r="I237" s="53" t="s">
        <v>90</v>
      </c>
      <c r="J237" s="34">
        <v>0</v>
      </c>
      <c r="K237" s="116">
        <v>4037</v>
      </c>
      <c r="L237" s="114">
        <v>17673</v>
      </c>
      <c r="M237" s="114">
        <v>17143</v>
      </c>
      <c r="N237" s="114">
        <v>1613</v>
      </c>
      <c r="O237" s="114">
        <v>17673</v>
      </c>
      <c r="P237" s="114">
        <v>388.80599999999998</v>
      </c>
      <c r="Q237" s="114">
        <v>2138.433</v>
      </c>
      <c r="R237" s="114">
        <v>0</v>
      </c>
      <c r="S237" s="114">
        <v>10604</v>
      </c>
      <c r="T237" s="196">
        <v>14158</v>
      </c>
      <c r="U237" s="52" t="str">
        <f>IFERROR(INDEX(tblPiNAnalysis[[Site Management ]], MATCH(tblPiNHistorical[[#This Row],[ID]], tblPiNAnalysis[ID], 0)), "")</f>
        <v/>
      </c>
      <c r="V237" s="52" t="str">
        <f>IFERROR(INDEX(tblPiNAnalysis[Education], MATCH(tblPiNHistorical[[#This Row],[ID]], tblPiNAnalysis[ID], 0)), "")</f>
        <v/>
      </c>
      <c r="W237" s="28" t="str">
        <f>IFERROR(INDEX(tblPiNAnalysis[Food Security and Livlihoods], MATCH(tblPiNHistorical[[#This Row],[ID]], tblPiNAnalysis[ID], 0)), "")</f>
        <v/>
      </c>
      <c r="X237" s="28" t="str">
        <f>IFERROR(INDEX(tblPiNAnalysis[[Health ]], MATCH(tblPiNHistorical[[#This Row],[ID]], tblPiNAnalysis[ID], 0)), "")</f>
        <v/>
      </c>
      <c r="Y237" s="28" t="str">
        <f>IFERROR(INDEX(tblPiNAnalysis[Nutrition], MATCH(tblPiNHistorical[[#This Row],[ID]], tblPiNAnalysis[ID], 0)), "")</f>
        <v/>
      </c>
      <c r="Z237" s="28" t="str">
        <f>IFERROR(INDEX(tblPiNAnalysis[Protection], MATCH(tblPiNHistorical[[#This Row],[ID]], tblPiNAnalysis[ID], 0)), "")</f>
        <v/>
      </c>
      <c r="AA237" s="28" t="str">
        <f>IFERROR(INDEX(tblPiNAnalysis[CP], MATCH(tblPiNHistorical[[#This Row],[ID]], tblPiNAnalysis[ID], 0)), "")</f>
        <v/>
      </c>
      <c r="AB237" s="83" t="str">
        <f>IFERROR(INDEX(tblPiNAnalysis[GBV], MATCH(tblPiNHistorical[[#This Row],[ID]], tblPiNAnalysis[ID], 0)), "")</f>
        <v/>
      </c>
      <c r="AC237" s="28" t="str">
        <f>IFERROR(INDEX(tblPiNAnalysis[Mine Action], MATCH(tblPiNHistorical[[#This Row],[ID]], tblPiNAnalysis[ID], 0)), "")</f>
        <v/>
      </c>
      <c r="AD237" s="83" t="str">
        <f>IFERROR(INDEX(tblPiNAnalysis[[Shelter NFI ]], MATCH(tblPiNHistorical[[#This Row],[ID]], tblPiNAnalysis[ID], 0)), "")</f>
        <v/>
      </c>
      <c r="AE237" s="28" t="str">
        <f>IFERROR(INDEX(tblPiNAnalysis[WASH], MATCH(tblPiNHistorical[[#This Row],[ID]], tblPiNAnalysis[ID], 0)), "")</f>
        <v/>
      </c>
      <c r="AF237"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237" s="136" t="str">
        <f>IF(OR(tblPiNHistorical[[#This Row],[Education Old]]="", tblPiNHistorical[[#This Row],[Education Old]]=0, tblPiNHistorical[[#This Row],[Education New]]="", tblPiNHistorical[[#This Row],[Education New]]=0), "", tblPiNHistorical[[#This Row],[Education New]]-tblPiNHistorical[[#This Row],[Education Old]])</f>
        <v/>
      </c>
      <c r="AH237"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237" s="137" t="str">
        <f>IF(OR(tblPiNHistorical[[#This Row],[Health Old]]="", tblPiNHistorical[[#This Row],[Health Old]]=0, tblPiNHistorical[[#This Row],[Health New]]="", tblPiNHistorical[[#This Row],[Health New]]=0), "", tblPiNHistorical[[#This Row],[Health New]]-tblPiNHistorical[[#This Row],[Health Old]])</f>
        <v/>
      </c>
      <c r="AJ237" s="136" t="str">
        <f>IF(OR(tblPiNHistorical[[#This Row],[Nutrition Old]]="", tblPiNHistorical[[#This Row],[Nutrition Old]]=0, tblPiNHistorical[[#This Row],[Nutrition New]]="", tblPiNHistorical[[#This Row],[Nutrition New]]=0), "", tblPiNHistorical[[#This Row],[Nutrition New]]-tblPiNHistorical[[#This Row],[Nutrition Old]])</f>
        <v/>
      </c>
      <c r="AK237" s="136" t="str">
        <f>IF(OR(tblPiNHistorical[[#This Row],[Protection Old]]="", tblPiNHistorical[[#This Row],[Protection Old]]=0, tblPiNHistorical[[#This Row],[Protection New]]="", tblPiNHistorical[[#This Row],[Protection New]]=0), "", tblPiNHistorical[[#This Row],[Protection New]]-tblPiNHistorical[[#This Row],[Protection Old]])</f>
        <v/>
      </c>
      <c r="AL237" s="136" t="str">
        <f>IF(OR(tblPiNHistorical[[#This Row],[CP Old ]]="", tblPiNHistorical[[#This Row],[CP Old ]]=0, tblPiNHistorical[[#This Row],[CP New]]="", tblPiNHistorical[[#This Row],[CP New]]=0), "", tblPiNHistorical[[#This Row],[CP New]]-tblPiNHistorical[[#This Row],[CP Old ]])</f>
        <v/>
      </c>
      <c r="AM237" s="83" t="str">
        <f>IF(OR(tblPiNHistorical[[#This Row],[GBV Old]]="", tblPiNHistorical[[#This Row],[GBV Old]]=0, tblPiNHistorical[[#This Row],[GBV New]]="", tblPiNHistorical[[#This Row],[GBV New]]=0), "", tblPiNHistorical[[#This Row],[GBV New]]-tblPiNHistorical[[#This Row],[GBV Old]])</f>
        <v/>
      </c>
      <c r="AN237" s="83" t="str">
        <f>IF(OR(tblPiNHistorical[[#This Row],[Mine Action Old]]="", tblPiNHistorical[[#This Row],[Mine Action Old]]=0, tblPiNHistorical[[#This Row],[Mine Action New]]="", tblPiNHistorical[[#This Row],[Mine Action New]]=0), "", tblPiNHistorical[[#This Row],[Mine Action New]]-tblPiNHistorical[[#This Row],[Mine Action Old]])</f>
        <v/>
      </c>
      <c r="AO237" s="136" t="str">
        <f>IF(OR(tblPiNHistorical[[#This Row],[Shelter NFI Old]]="", tblPiNHistorical[[#This Row],[Shelter NFI Old]]=0, tblPiNHistorical[[#This Row],[Shelter NFI New]]="", tblPiNHistorical[[#This Row],[Shelter NFI New]]=0), "", tblPiNHistorical[[#This Row],[Shelter NFI New]]-tblPiNHistorical[[#This Row],[Shelter NFI Old]])</f>
        <v/>
      </c>
      <c r="AP237" s="138" t="str">
        <f>IF(OR(tblPiNHistorical[[#This Row],[WASH Old]]="", tblPiNHistorical[[#This Row],[WASH Old]]=0, tblPiNHistorical[[#This Row],[WASH New]]="", tblPiNHistorical[[#This Row],[WASH New]]=0), "", tblPiNHistorical[[#This Row],[WASH New]]-tblPiNHistorical[[#This Row],[WASH Old]])</f>
        <v/>
      </c>
      <c r="AQ237" s="139" t="str">
        <f>IFERROR(ROUND((tblPiNHistorical[[#This Row],[Site Management - New]] - tblPiNHistorical[[#This Row],[Site Management - Old]])/tblPiNHistorical[[#This Row],[Site Management - Old]], 1), "")</f>
        <v/>
      </c>
      <c r="AR237" s="140" t="str">
        <f>IFERROR(ROUND((tblPiNHistorical[[#This Row],[Education New]]-tblPiNHistorical[[#This Row],[Education Old]])/tblPiNHistorical[[#This Row],[Education Old]], 1), "")</f>
        <v/>
      </c>
      <c r="AS237" s="141" t="str">
        <f>IFERROR(ROUND((tblPiNHistorical[[#This Row],[Food Security and Livlihoods New]]-tblPiNHistorical[[#This Row],[Food Security and Livlihoods Old]])/tblPiNHistorical[[#This Row],[Food Security and Livlihoods Old]], 1), "")</f>
        <v/>
      </c>
      <c r="AT237" s="142" t="str">
        <f>IFERROR(ROUND((tblPiNHistorical[[#This Row],[Health New]]-tblPiNHistorical[[#This Row],[Health Old]])/tblPiNHistorical[[#This Row],[Health Old]], 1), "")</f>
        <v/>
      </c>
      <c r="AU237" s="140" t="str">
        <f>IFERROR(ROUND((tblPiNHistorical[[#This Row],[Nutrition New]]-tblPiNHistorical[[#This Row],[Nutrition Old]])/tblPiNHistorical[[#This Row],[Nutrition Old]], 1), "")</f>
        <v/>
      </c>
      <c r="AV237" s="140" t="str">
        <f>IFERROR(ROUND((tblPiNHistorical[[#This Row],[Protection New]]-tblPiNHistorical[[#This Row],[Protection Old]])/tblPiNHistorical[[#This Row],[Protection Old]], 1), "")</f>
        <v/>
      </c>
      <c r="AW237" s="84" t="str">
        <f>IFERROR(ROUND((tblPiNHistorical[[#This Row],[CP New]]-tblPiNHistorical[[#This Row],[CP Old ]])/tblPiNHistorical[[#This Row],[CP Old ]], 1), "")</f>
        <v/>
      </c>
      <c r="AX237" s="84" t="str">
        <f>IFERROR(ROUND((tblPiNHistorical[[#This Row],[GBV New]]-tblPiNHistorical[[#This Row],[GBV Old]])/tblPiNHistorical[[#This Row],[GBV Old]], 1), "")</f>
        <v/>
      </c>
      <c r="AY237" s="84" t="str">
        <f>IFERROR(ROUND((tblPiNHistorical[[#This Row],[Mine Action New]]-tblPiNHistorical[[#This Row],[Mine Action Old]])/tblPiNHistorical[[#This Row],[Mine Action Old]], 1), "")</f>
        <v/>
      </c>
      <c r="AZ237" s="140" t="str">
        <f>IFERROR(ROUND((tblPiNHistorical[[#This Row],[Shelter NFI New]]-tblPiNHistorical[[#This Row],[Shelter NFI Old]])/tblPiNHistorical[[#This Row],[Shelter NFI Old]], 1), "")</f>
        <v/>
      </c>
      <c r="BA237" s="31" t="str">
        <f>IFERROR(ROUND((tblPiNHistorical[[#This Row],[WASH New]]-tblPiNHistorical[[#This Row],[WASH Old]])/tblPiNHistorical[[#This Row],[WASH Old]], 1), "")</f>
        <v/>
      </c>
    </row>
    <row r="238" spans="1:53" ht="38.25" x14ac:dyDescent="0.25">
      <c r="A238"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RefugeesSD12080</v>
      </c>
      <c r="B238" s="134" t="s">
        <v>158</v>
      </c>
      <c r="C238" s="124" t="s">
        <v>129</v>
      </c>
      <c r="D238" s="124" t="s">
        <v>458</v>
      </c>
      <c r="E238" s="59" t="s">
        <v>459</v>
      </c>
      <c r="F238" s="54"/>
      <c r="G238" s="29"/>
      <c r="H238" s="53">
        <v>2</v>
      </c>
      <c r="I238" s="53" t="s">
        <v>90</v>
      </c>
      <c r="J238" s="34">
        <v>0</v>
      </c>
      <c r="K238" s="116">
        <v>0</v>
      </c>
      <c r="L238" s="114">
        <v>2</v>
      </c>
      <c r="M238" s="114">
        <v>1</v>
      </c>
      <c r="N238" s="114">
        <v>0</v>
      </c>
      <c r="O238" s="114">
        <v>2</v>
      </c>
      <c r="P238" s="114">
        <v>4.3999999999999997E-2</v>
      </c>
      <c r="Q238" s="114">
        <v>0</v>
      </c>
      <c r="R238" s="114">
        <v>0</v>
      </c>
      <c r="S238" s="114">
        <v>0</v>
      </c>
      <c r="T238" s="196">
        <v>1</v>
      </c>
      <c r="U238" s="52" t="str">
        <f>IFERROR(INDEX(tblPiNAnalysis[[Site Management ]], MATCH(tblPiNHistorical[[#This Row],[ID]], tblPiNAnalysis[ID], 0)), "")</f>
        <v/>
      </c>
      <c r="V238" s="52" t="str">
        <f>IFERROR(INDEX(tblPiNAnalysis[Education], MATCH(tblPiNHistorical[[#This Row],[ID]], tblPiNAnalysis[ID], 0)), "")</f>
        <v/>
      </c>
      <c r="W238" s="28" t="str">
        <f>IFERROR(INDEX(tblPiNAnalysis[Food Security and Livlihoods], MATCH(tblPiNHistorical[[#This Row],[ID]], tblPiNAnalysis[ID], 0)), "")</f>
        <v/>
      </c>
      <c r="X238" s="28" t="str">
        <f>IFERROR(INDEX(tblPiNAnalysis[[Health ]], MATCH(tblPiNHistorical[[#This Row],[ID]], tblPiNAnalysis[ID], 0)), "")</f>
        <v/>
      </c>
      <c r="Y238" s="28" t="str">
        <f>IFERROR(INDEX(tblPiNAnalysis[Nutrition], MATCH(tblPiNHistorical[[#This Row],[ID]], tblPiNAnalysis[ID], 0)), "")</f>
        <v/>
      </c>
      <c r="Z238" s="28" t="str">
        <f>IFERROR(INDEX(tblPiNAnalysis[Protection], MATCH(tblPiNHistorical[[#This Row],[ID]], tblPiNAnalysis[ID], 0)), "")</f>
        <v/>
      </c>
      <c r="AA238" s="28" t="str">
        <f>IFERROR(INDEX(tblPiNAnalysis[CP], MATCH(tblPiNHistorical[[#This Row],[ID]], tblPiNAnalysis[ID], 0)), "")</f>
        <v/>
      </c>
      <c r="AB238" s="83" t="str">
        <f>IFERROR(INDEX(tblPiNAnalysis[GBV], MATCH(tblPiNHistorical[[#This Row],[ID]], tblPiNAnalysis[ID], 0)), "")</f>
        <v/>
      </c>
      <c r="AC238" s="28" t="str">
        <f>IFERROR(INDEX(tblPiNAnalysis[Mine Action], MATCH(tblPiNHistorical[[#This Row],[ID]], tblPiNAnalysis[ID], 0)), "")</f>
        <v/>
      </c>
      <c r="AD238" s="83" t="str">
        <f>IFERROR(INDEX(tblPiNAnalysis[[Shelter NFI ]], MATCH(tblPiNHistorical[[#This Row],[ID]], tblPiNAnalysis[ID], 0)), "")</f>
        <v/>
      </c>
      <c r="AE238" s="28" t="str">
        <f>IFERROR(INDEX(tblPiNAnalysis[WASH], MATCH(tblPiNHistorical[[#This Row],[ID]], tblPiNAnalysis[ID], 0)), "")</f>
        <v/>
      </c>
      <c r="AF238"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238" s="136" t="str">
        <f>IF(OR(tblPiNHistorical[[#This Row],[Education Old]]="", tblPiNHistorical[[#This Row],[Education Old]]=0, tblPiNHistorical[[#This Row],[Education New]]="", tblPiNHistorical[[#This Row],[Education New]]=0), "", tblPiNHistorical[[#This Row],[Education New]]-tblPiNHistorical[[#This Row],[Education Old]])</f>
        <v/>
      </c>
      <c r="AH238"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238" s="137" t="str">
        <f>IF(OR(tblPiNHistorical[[#This Row],[Health Old]]="", tblPiNHistorical[[#This Row],[Health Old]]=0, tblPiNHistorical[[#This Row],[Health New]]="", tblPiNHistorical[[#This Row],[Health New]]=0), "", tblPiNHistorical[[#This Row],[Health New]]-tblPiNHistorical[[#This Row],[Health Old]])</f>
        <v/>
      </c>
      <c r="AJ238" s="136" t="str">
        <f>IF(OR(tblPiNHistorical[[#This Row],[Nutrition Old]]="", tblPiNHistorical[[#This Row],[Nutrition Old]]=0, tblPiNHistorical[[#This Row],[Nutrition New]]="", tblPiNHistorical[[#This Row],[Nutrition New]]=0), "", tblPiNHistorical[[#This Row],[Nutrition New]]-tblPiNHistorical[[#This Row],[Nutrition Old]])</f>
        <v/>
      </c>
      <c r="AK238" s="136" t="str">
        <f>IF(OR(tblPiNHistorical[[#This Row],[Protection Old]]="", tblPiNHistorical[[#This Row],[Protection Old]]=0, tblPiNHistorical[[#This Row],[Protection New]]="", tblPiNHistorical[[#This Row],[Protection New]]=0), "", tblPiNHistorical[[#This Row],[Protection New]]-tblPiNHistorical[[#This Row],[Protection Old]])</f>
        <v/>
      </c>
      <c r="AL238" s="136" t="str">
        <f>IF(OR(tblPiNHistorical[[#This Row],[CP Old ]]="", tblPiNHistorical[[#This Row],[CP Old ]]=0, tblPiNHistorical[[#This Row],[CP New]]="", tblPiNHistorical[[#This Row],[CP New]]=0), "", tblPiNHistorical[[#This Row],[CP New]]-tblPiNHistorical[[#This Row],[CP Old ]])</f>
        <v/>
      </c>
      <c r="AM238" s="83" t="str">
        <f>IF(OR(tblPiNHistorical[[#This Row],[GBV Old]]="", tblPiNHistorical[[#This Row],[GBV Old]]=0, tblPiNHistorical[[#This Row],[GBV New]]="", tblPiNHistorical[[#This Row],[GBV New]]=0), "", tblPiNHistorical[[#This Row],[GBV New]]-tblPiNHistorical[[#This Row],[GBV Old]])</f>
        <v/>
      </c>
      <c r="AN238" s="83" t="str">
        <f>IF(OR(tblPiNHistorical[[#This Row],[Mine Action Old]]="", tblPiNHistorical[[#This Row],[Mine Action Old]]=0, tblPiNHistorical[[#This Row],[Mine Action New]]="", tblPiNHistorical[[#This Row],[Mine Action New]]=0), "", tblPiNHistorical[[#This Row],[Mine Action New]]-tblPiNHistorical[[#This Row],[Mine Action Old]])</f>
        <v/>
      </c>
      <c r="AO238" s="136" t="str">
        <f>IF(OR(tblPiNHistorical[[#This Row],[Shelter NFI Old]]="", tblPiNHistorical[[#This Row],[Shelter NFI Old]]=0, tblPiNHistorical[[#This Row],[Shelter NFI New]]="", tblPiNHistorical[[#This Row],[Shelter NFI New]]=0), "", tblPiNHistorical[[#This Row],[Shelter NFI New]]-tblPiNHistorical[[#This Row],[Shelter NFI Old]])</f>
        <v/>
      </c>
      <c r="AP238" s="138" t="str">
        <f>IF(OR(tblPiNHistorical[[#This Row],[WASH Old]]="", tblPiNHistorical[[#This Row],[WASH Old]]=0, tblPiNHistorical[[#This Row],[WASH New]]="", tblPiNHistorical[[#This Row],[WASH New]]=0), "", tblPiNHistorical[[#This Row],[WASH New]]-tblPiNHistorical[[#This Row],[WASH Old]])</f>
        <v/>
      </c>
      <c r="AQ238" s="139" t="str">
        <f>IFERROR(ROUND((tblPiNHistorical[[#This Row],[Site Management - New]] - tblPiNHistorical[[#This Row],[Site Management - Old]])/tblPiNHistorical[[#This Row],[Site Management - Old]], 1), "")</f>
        <v/>
      </c>
      <c r="AR238" s="140" t="str">
        <f>IFERROR(ROUND((tblPiNHistorical[[#This Row],[Education New]]-tblPiNHistorical[[#This Row],[Education Old]])/tblPiNHistorical[[#This Row],[Education Old]], 1), "")</f>
        <v/>
      </c>
      <c r="AS238" s="141" t="str">
        <f>IFERROR(ROUND((tblPiNHistorical[[#This Row],[Food Security and Livlihoods New]]-tblPiNHistorical[[#This Row],[Food Security and Livlihoods Old]])/tblPiNHistorical[[#This Row],[Food Security and Livlihoods Old]], 1), "")</f>
        <v/>
      </c>
      <c r="AT238" s="142" t="str">
        <f>IFERROR(ROUND((tblPiNHistorical[[#This Row],[Health New]]-tblPiNHistorical[[#This Row],[Health Old]])/tblPiNHistorical[[#This Row],[Health Old]], 1), "")</f>
        <v/>
      </c>
      <c r="AU238" s="140" t="str">
        <f>IFERROR(ROUND((tblPiNHistorical[[#This Row],[Nutrition New]]-tblPiNHistorical[[#This Row],[Nutrition Old]])/tblPiNHistorical[[#This Row],[Nutrition Old]], 1), "")</f>
        <v/>
      </c>
      <c r="AV238" s="140" t="str">
        <f>IFERROR(ROUND((tblPiNHistorical[[#This Row],[Protection New]]-tblPiNHistorical[[#This Row],[Protection Old]])/tblPiNHistorical[[#This Row],[Protection Old]], 1), "")</f>
        <v/>
      </c>
      <c r="AW238" s="84" t="str">
        <f>IFERROR(ROUND((tblPiNHistorical[[#This Row],[CP New]]-tblPiNHistorical[[#This Row],[CP Old ]])/tblPiNHistorical[[#This Row],[CP Old ]], 1), "")</f>
        <v/>
      </c>
      <c r="AX238" s="84" t="str">
        <f>IFERROR(ROUND((tblPiNHistorical[[#This Row],[GBV New]]-tblPiNHistorical[[#This Row],[GBV Old]])/tblPiNHistorical[[#This Row],[GBV Old]], 1), "")</f>
        <v/>
      </c>
      <c r="AY238" s="84" t="str">
        <f>IFERROR(ROUND((tblPiNHistorical[[#This Row],[Mine Action New]]-tblPiNHistorical[[#This Row],[Mine Action Old]])/tblPiNHistorical[[#This Row],[Mine Action Old]], 1), "")</f>
        <v/>
      </c>
      <c r="AZ238" s="140" t="str">
        <f>IFERROR(ROUND((tblPiNHistorical[[#This Row],[Shelter NFI New]]-tblPiNHistorical[[#This Row],[Shelter NFI Old]])/tblPiNHistorical[[#This Row],[Shelter NFI Old]], 1), "")</f>
        <v/>
      </c>
      <c r="BA238" s="31" t="str">
        <f>IFERROR(ROUND((tblPiNHistorical[[#This Row],[WASH New]]-tblPiNHistorical[[#This Row],[WASH Old]])/tblPiNHistorical[[#This Row],[WASH Old]], 1), "")</f>
        <v/>
      </c>
    </row>
    <row r="239" spans="1:53" ht="38.25" x14ac:dyDescent="0.25">
      <c r="A239"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RefugeesSD12081</v>
      </c>
      <c r="B239" s="134" t="s">
        <v>158</v>
      </c>
      <c r="C239" s="124" t="s">
        <v>129</v>
      </c>
      <c r="D239" s="124" t="s">
        <v>460</v>
      </c>
      <c r="E239" s="59" t="s">
        <v>461</v>
      </c>
      <c r="F239" s="54"/>
      <c r="G239" s="29"/>
      <c r="H239" s="53">
        <v>19049</v>
      </c>
      <c r="I239" s="53" t="s">
        <v>90</v>
      </c>
      <c r="J239" s="34">
        <v>0</v>
      </c>
      <c r="K239" s="116">
        <v>5098</v>
      </c>
      <c r="L239" s="114">
        <v>19049</v>
      </c>
      <c r="M239" s="114">
        <v>9334</v>
      </c>
      <c r="N239" s="114">
        <v>1739</v>
      </c>
      <c r="O239" s="114">
        <v>19049</v>
      </c>
      <c r="P239" s="114">
        <v>209.53899999999999</v>
      </c>
      <c r="Q239" s="114">
        <v>2152.5370000000003</v>
      </c>
      <c r="R239" s="114">
        <v>0</v>
      </c>
      <c r="S239" s="114">
        <v>11429</v>
      </c>
      <c r="T239" s="196">
        <v>11717</v>
      </c>
      <c r="U239" s="52" t="str">
        <f>IFERROR(INDEX(tblPiNAnalysis[[Site Management ]], MATCH(tblPiNHistorical[[#This Row],[ID]], tblPiNAnalysis[ID], 0)), "")</f>
        <v/>
      </c>
      <c r="V239" s="52" t="str">
        <f>IFERROR(INDEX(tblPiNAnalysis[Education], MATCH(tblPiNHistorical[[#This Row],[ID]], tblPiNAnalysis[ID], 0)), "")</f>
        <v/>
      </c>
      <c r="W239" s="28" t="str">
        <f>IFERROR(INDEX(tblPiNAnalysis[Food Security and Livlihoods], MATCH(tblPiNHistorical[[#This Row],[ID]], tblPiNAnalysis[ID], 0)), "")</f>
        <v/>
      </c>
      <c r="X239" s="28" t="str">
        <f>IFERROR(INDEX(tblPiNAnalysis[[Health ]], MATCH(tblPiNHistorical[[#This Row],[ID]], tblPiNAnalysis[ID], 0)), "")</f>
        <v/>
      </c>
      <c r="Y239" s="28" t="str">
        <f>IFERROR(INDEX(tblPiNAnalysis[Nutrition], MATCH(tblPiNHistorical[[#This Row],[ID]], tblPiNAnalysis[ID], 0)), "")</f>
        <v/>
      </c>
      <c r="Z239" s="28" t="str">
        <f>IFERROR(INDEX(tblPiNAnalysis[Protection], MATCH(tblPiNHistorical[[#This Row],[ID]], tblPiNAnalysis[ID], 0)), "")</f>
        <v/>
      </c>
      <c r="AA239" s="28" t="str">
        <f>IFERROR(INDEX(tblPiNAnalysis[CP], MATCH(tblPiNHistorical[[#This Row],[ID]], tblPiNAnalysis[ID], 0)), "")</f>
        <v/>
      </c>
      <c r="AB239" s="83" t="str">
        <f>IFERROR(INDEX(tblPiNAnalysis[GBV], MATCH(tblPiNHistorical[[#This Row],[ID]], tblPiNAnalysis[ID], 0)), "")</f>
        <v/>
      </c>
      <c r="AC239" s="28" t="str">
        <f>IFERROR(INDEX(tblPiNAnalysis[Mine Action], MATCH(tblPiNHistorical[[#This Row],[ID]], tblPiNAnalysis[ID], 0)), "")</f>
        <v/>
      </c>
      <c r="AD239" s="83" t="str">
        <f>IFERROR(INDEX(tblPiNAnalysis[[Shelter NFI ]], MATCH(tblPiNHistorical[[#This Row],[ID]], tblPiNAnalysis[ID], 0)), "")</f>
        <v/>
      </c>
      <c r="AE239" s="28" t="str">
        <f>IFERROR(INDEX(tblPiNAnalysis[WASH], MATCH(tblPiNHistorical[[#This Row],[ID]], tblPiNAnalysis[ID], 0)), "")</f>
        <v/>
      </c>
      <c r="AF239"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239" s="136" t="str">
        <f>IF(OR(tblPiNHistorical[[#This Row],[Education Old]]="", tblPiNHistorical[[#This Row],[Education Old]]=0, tblPiNHistorical[[#This Row],[Education New]]="", tblPiNHistorical[[#This Row],[Education New]]=0), "", tblPiNHistorical[[#This Row],[Education New]]-tblPiNHistorical[[#This Row],[Education Old]])</f>
        <v/>
      </c>
      <c r="AH239"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239" s="137" t="str">
        <f>IF(OR(tblPiNHistorical[[#This Row],[Health Old]]="", tblPiNHistorical[[#This Row],[Health Old]]=0, tblPiNHistorical[[#This Row],[Health New]]="", tblPiNHistorical[[#This Row],[Health New]]=0), "", tblPiNHistorical[[#This Row],[Health New]]-tblPiNHistorical[[#This Row],[Health Old]])</f>
        <v/>
      </c>
      <c r="AJ239" s="136" t="str">
        <f>IF(OR(tblPiNHistorical[[#This Row],[Nutrition Old]]="", tblPiNHistorical[[#This Row],[Nutrition Old]]=0, tblPiNHistorical[[#This Row],[Nutrition New]]="", tblPiNHistorical[[#This Row],[Nutrition New]]=0), "", tblPiNHistorical[[#This Row],[Nutrition New]]-tblPiNHistorical[[#This Row],[Nutrition Old]])</f>
        <v/>
      </c>
      <c r="AK239" s="136" t="str">
        <f>IF(OR(tblPiNHistorical[[#This Row],[Protection Old]]="", tblPiNHistorical[[#This Row],[Protection Old]]=0, tblPiNHistorical[[#This Row],[Protection New]]="", tblPiNHistorical[[#This Row],[Protection New]]=0), "", tblPiNHistorical[[#This Row],[Protection New]]-tblPiNHistorical[[#This Row],[Protection Old]])</f>
        <v/>
      </c>
      <c r="AL239" s="136" t="str">
        <f>IF(OR(tblPiNHistorical[[#This Row],[CP Old ]]="", tblPiNHistorical[[#This Row],[CP Old ]]=0, tblPiNHistorical[[#This Row],[CP New]]="", tblPiNHistorical[[#This Row],[CP New]]=0), "", tblPiNHistorical[[#This Row],[CP New]]-tblPiNHistorical[[#This Row],[CP Old ]])</f>
        <v/>
      </c>
      <c r="AM239" s="83" t="str">
        <f>IF(OR(tblPiNHistorical[[#This Row],[GBV Old]]="", tblPiNHistorical[[#This Row],[GBV Old]]=0, tblPiNHistorical[[#This Row],[GBV New]]="", tblPiNHistorical[[#This Row],[GBV New]]=0), "", tblPiNHistorical[[#This Row],[GBV New]]-tblPiNHistorical[[#This Row],[GBV Old]])</f>
        <v/>
      </c>
      <c r="AN239" s="83" t="str">
        <f>IF(OR(tblPiNHistorical[[#This Row],[Mine Action Old]]="", tblPiNHistorical[[#This Row],[Mine Action Old]]=0, tblPiNHistorical[[#This Row],[Mine Action New]]="", tblPiNHistorical[[#This Row],[Mine Action New]]=0), "", tblPiNHistorical[[#This Row],[Mine Action New]]-tblPiNHistorical[[#This Row],[Mine Action Old]])</f>
        <v/>
      </c>
      <c r="AO239" s="136" t="str">
        <f>IF(OR(tblPiNHistorical[[#This Row],[Shelter NFI Old]]="", tblPiNHistorical[[#This Row],[Shelter NFI Old]]=0, tblPiNHistorical[[#This Row],[Shelter NFI New]]="", tblPiNHistorical[[#This Row],[Shelter NFI New]]=0), "", tblPiNHistorical[[#This Row],[Shelter NFI New]]-tblPiNHistorical[[#This Row],[Shelter NFI Old]])</f>
        <v/>
      </c>
      <c r="AP239" s="138" t="str">
        <f>IF(OR(tblPiNHistorical[[#This Row],[WASH Old]]="", tblPiNHistorical[[#This Row],[WASH Old]]=0, tblPiNHistorical[[#This Row],[WASH New]]="", tblPiNHistorical[[#This Row],[WASH New]]=0), "", tblPiNHistorical[[#This Row],[WASH New]]-tblPiNHistorical[[#This Row],[WASH Old]])</f>
        <v/>
      </c>
      <c r="AQ239" s="139" t="str">
        <f>IFERROR(ROUND((tblPiNHistorical[[#This Row],[Site Management - New]] - tblPiNHistorical[[#This Row],[Site Management - Old]])/tblPiNHistorical[[#This Row],[Site Management - Old]], 1), "")</f>
        <v/>
      </c>
      <c r="AR239" s="140" t="str">
        <f>IFERROR(ROUND((tblPiNHistorical[[#This Row],[Education New]]-tblPiNHistorical[[#This Row],[Education Old]])/tblPiNHistorical[[#This Row],[Education Old]], 1), "")</f>
        <v/>
      </c>
      <c r="AS239" s="141" t="str">
        <f>IFERROR(ROUND((tblPiNHistorical[[#This Row],[Food Security and Livlihoods New]]-tblPiNHistorical[[#This Row],[Food Security and Livlihoods Old]])/tblPiNHistorical[[#This Row],[Food Security and Livlihoods Old]], 1), "")</f>
        <v/>
      </c>
      <c r="AT239" s="142" t="str">
        <f>IFERROR(ROUND((tblPiNHistorical[[#This Row],[Health New]]-tblPiNHistorical[[#This Row],[Health Old]])/tblPiNHistorical[[#This Row],[Health Old]], 1), "")</f>
        <v/>
      </c>
      <c r="AU239" s="140" t="str">
        <f>IFERROR(ROUND((tblPiNHistorical[[#This Row],[Nutrition New]]-tblPiNHistorical[[#This Row],[Nutrition Old]])/tblPiNHistorical[[#This Row],[Nutrition Old]], 1), "")</f>
        <v/>
      </c>
      <c r="AV239" s="140" t="str">
        <f>IFERROR(ROUND((tblPiNHistorical[[#This Row],[Protection New]]-tblPiNHistorical[[#This Row],[Protection Old]])/tblPiNHistorical[[#This Row],[Protection Old]], 1), "")</f>
        <v/>
      </c>
      <c r="AW239" s="84" t="str">
        <f>IFERROR(ROUND((tblPiNHistorical[[#This Row],[CP New]]-tblPiNHistorical[[#This Row],[CP Old ]])/tblPiNHistorical[[#This Row],[CP Old ]], 1), "")</f>
        <v/>
      </c>
      <c r="AX239" s="84" t="str">
        <f>IFERROR(ROUND((tblPiNHistorical[[#This Row],[GBV New]]-tblPiNHistorical[[#This Row],[GBV Old]])/tblPiNHistorical[[#This Row],[GBV Old]], 1), "")</f>
        <v/>
      </c>
      <c r="AY239" s="84" t="str">
        <f>IFERROR(ROUND((tblPiNHistorical[[#This Row],[Mine Action New]]-tblPiNHistorical[[#This Row],[Mine Action Old]])/tblPiNHistorical[[#This Row],[Mine Action Old]], 1), "")</f>
        <v/>
      </c>
      <c r="AZ239" s="140" t="str">
        <f>IFERROR(ROUND((tblPiNHistorical[[#This Row],[Shelter NFI New]]-tblPiNHistorical[[#This Row],[Shelter NFI Old]])/tblPiNHistorical[[#This Row],[Shelter NFI Old]], 1), "")</f>
        <v/>
      </c>
      <c r="BA239" s="31" t="str">
        <f>IFERROR(ROUND((tblPiNHistorical[[#This Row],[WASH New]]-tblPiNHistorical[[#This Row],[WASH Old]])/tblPiNHistorical[[#This Row],[WASH Old]], 1), "")</f>
        <v/>
      </c>
    </row>
    <row r="240" spans="1:53" ht="38.25" x14ac:dyDescent="0.25">
      <c r="A240"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RefugeesSD11052</v>
      </c>
      <c r="B240" s="134" t="s">
        <v>161</v>
      </c>
      <c r="C240" s="124" t="s">
        <v>128</v>
      </c>
      <c r="D240" s="124" t="s">
        <v>422</v>
      </c>
      <c r="E240" s="59" t="s">
        <v>423</v>
      </c>
      <c r="F240" s="54"/>
      <c r="G240" s="29"/>
      <c r="H240" s="53">
        <v>1078</v>
      </c>
      <c r="I240" s="53" t="s">
        <v>90</v>
      </c>
      <c r="J240" s="34">
        <v>0</v>
      </c>
      <c r="K240" s="116">
        <v>68</v>
      </c>
      <c r="L240" s="114">
        <v>1078</v>
      </c>
      <c r="M240" s="114">
        <v>528</v>
      </c>
      <c r="N240" s="114">
        <v>99</v>
      </c>
      <c r="O240" s="114">
        <v>1078</v>
      </c>
      <c r="P240" s="114">
        <v>11.857999999999999</v>
      </c>
      <c r="Q240" s="114">
        <v>92.707999999999998</v>
      </c>
      <c r="R240" s="114">
        <v>0</v>
      </c>
      <c r="S240" s="114">
        <v>431</v>
      </c>
      <c r="T240" s="196">
        <v>646</v>
      </c>
      <c r="U240" s="52" t="str">
        <f>IFERROR(INDEX(tblPiNAnalysis[[Site Management ]], MATCH(tblPiNHistorical[[#This Row],[ID]], tblPiNAnalysis[ID], 0)), "")</f>
        <v/>
      </c>
      <c r="V240" s="52" t="str">
        <f>IFERROR(INDEX(tblPiNAnalysis[Education], MATCH(tblPiNHistorical[[#This Row],[ID]], tblPiNAnalysis[ID], 0)), "")</f>
        <v/>
      </c>
      <c r="W240" s="28" t="str">
        <f>IFERROR(INDEX(tblPiNAnalysis[Food Security and Livlihoods], MATCH(tblPiNHistorical[[#This Row],[ID]], tblPiNAnalysis[ID], 0)), "")</f>
        <v/>
      </c>
      <c r="X240" s="28" t="str">
        <f>IFERROR(INDEX(tblPiNAnalysis[[Health ]], MATCH(tblPiNHistorical[[#This Row],[ID]], tblPiNAnalysis[ID], 0)), "")</f>
        <v/>
      </c>
      <c r="Y240" s="28" t="str">
        <f>IFERROR(INDEX(tblPiNAnalysis[Nutrition], MATCH(tblPiNHistorical[[#This Row],[ID]], tblPiNAnalysis[ID], 0)), "")</f>
        <v/>
      </c>
      <c r="Z240" s="28" t="str">
        <f>IFERROR(INDEX(tblPiNAnalysis[Protection], MATCH(tblPiNHistorical[[#This Row],[ID]], tblPiNAnalysis[ID], 0)), "")</f>
        <v/>
      </c>
      <c r="AA240" s="28" t="str">
        <f>IFERROR(INDEX(tblPiNAnalysis[CP], MATCH(tblPiNHistorical[[#This Row],[ID]], tblPiNAnalysis[ID], 0)), "")</f>
        <v/>
      </c>
      <c r="AB240" s="83" t="str">
        <f>IFERROR(INDEX(tblPiNAnalysis[GBV], MATCH(tblPiNHistorical[[#This Row],[ID]], tblPiNAnalysis[ID], 0)), "")</f>
        <v/>
      </c>
      <c r="AC240" s="28" t="str">
        <f>IFERROR(INDEX(tblPiNAnalysis[Mine Action], MATCH(tblPiNHistorical[[#This Row],[ID]], tblPiNAnalysis[ID], 0)), "")</f>
        <v/>
      </c>
      <c r="AD240" s="83" t="str">
        <f>IFERROR(INDEX(tblPiNAnalysis[[Shelter NFI ]], MATCH(tblPiNHistorical[[#This Row],[ID]], tblPiNAnalysis[ID], 0)), "")</f>
        <v/>
      </c>
      <c r="AE240" s="28" t="str">
        <f>IFERROR(INDEX(tblPiNAnalysis[WASH], MATCH(tblPiNHistorical[[#This Row],[ID]], tblPiNAnalysis[ID], 0)), "")</f>
        <v/>
      </c>
      <c r="AF240"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240" s="136" t="str">
        <f>IF(OR(tblPiNHistorical[[#This Row],[Education Old]]="", tblPiNHistorical[[#This Row],[Education Old]]=0, tblPiNHistorical[[#This Row],[Education New]]="", tblPiNHistorical[[#This Row],[Education New]]=0), "", tblPiNHistorical[[#This Row],[Education New]]-tblPiNHistorical[[#This Row],[Education Old]])</f>
        <v/>
      </c>
      <c r="AH240"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240" s="137" t="str">
        <f>IF(OR(tblPiNHistorical[[#This Row],[Health Old]]="", tblPiNHistorical[[#This Row],[Health Old]]=0, tblPiNHistorical[[#This Row],[Health New]]="", tblPiNHistorical[[#This Row],[Health New]]=0), "", tblPiNHistorical[[#This Row],[Health New]]-tblPiNHistorical[[#This Row],[Health Old]])</f>
        <v/>
      </c>
      <c r="AJ240" s="136" t="str">
        <f>IF(OR(tblPiNHistorical[[#This Row],[Nutrition Old]]="", tblPiNHistorical[[#This Row],[Nutrition Old]]=0, tblPiNHistorical[[#This Row],[Nutrition New]]="", tblPiNHistorical[[#This Row],[Nutrition New]]=0), "", tblPiNHistorical[[#This Row],[Nutrition New]]-tblPiNHistorical[[#This Row],[Nutrition Old]])</f>
        <v/>
      </c>
      <c r="AK240" s="136" t="str">
        <f>IF(OR(tblPiNHistorical[[#This Row],[Protection Old]]="", tblPiNHistorical[[#This Row],[Protection Old]]=0, tblPiNHistorical[[#This Row],[Protection New]]="", tblPiNHistorical[[#This Row],[Protection New]]=0), "", tblPiNHistorical[[#This Row],[Protection New]]-tblPiNHistorical[[#This Row],[Protection Old]])</f>
        <v/>
      </c>
      <c r="AL240" s="136" t="str">
        <f>IF(OR(tblPiNHistorical[[#This Row],[CP Old ]]="", tblPiNHistorical[[#This Row],[CP Old ]]=0, tblPiNHistorical[[#This Row],[CP New]]="", tblPiNHistorical[[#This Row],[CP New]]=0), "", tblPiNHistorical[[#This Row],[CP New]]-tblPiNHistorical[[#This Row],[CP Old ]])</f>
        <v/>
      </c>
      <c r="AM240" s="83" t="str">
        <f>IF(OR(tblPiNHistorical[[#This Row],[GBV Old]]="", tblPiNHistorical[[#This Row],[GBV Old]]=0, tblPiNHistorical[[#This Row],[GBV New]]="", tblPiNHistorical[[#This Row],[GBV New]]=0), "", tblPiNHistorical[[#This Row],[GBV New]]-tblPiNHistorical[[#This Row],[GBV Old]])</f>
        <v/>
      </c>
      <c r="AN240" s="83" t="str">
        <f>IF(OR(tblPiNHistorical[[#This Row],[Mine Action Old]]="", tblPiNHistorical[[#This Row],[Mine Action Old]]=0, tblPiNHistorical[[#This Row],[Mine Action New]]="", tblPiNHistorical[[#This Row],[Mine Action New]]=0), "", tblPiNHistorical[[#This Row],[Mine Action New]]-tblPiNHistorical[[#This Row],[Mine Action Old]])</f>
        <v/>
      </c>
      <c r="AO240" s="136" t="str">
        <f>IF(OR(tblPiNHistorical[[#This Row],[Shelter NFI Old]]="", tblPiNHistorical[[#This Row],[Shelter NFI Old]]=0, tblPiNHistorical[[#This Row],[Shelter NFI New]]="", tblPiNHistorical[[#This Row],[Shelter NFI New]]=0), "", tblPiNHistorical[[#This Row],[Shelter NFI New]]-tblPiNHistorical[[#This Row],[Shelter NFI Old]])</f>
        <v/>
      </c>
      <c r="AP240" s="138" t="str">
        <f>IF(OR(tblPiNHistorical[[#This Row],[WASH Old]]="", tblPiNHistorical[[#This Row],[WASH Old]]=0, tblPiNHistorical[[#This Row],[WASH New]]="", tblPiNHistorical[[#This Row],[WASH New]]=0), "", tblPiNHistorical[[#This Row],[WASH New]]-tblPiNHistorical[[#This Row],[WASH Old]])</f>
        <v/>
      </c>
      <c r="AQ240" s="139" t="str">
        <f>IFERROR(ROUND((tblPiNHistorical[[#This Row],[Site Management - New]] - tblPiNHistorical[[#This Row],[Site Management - Old]])/tblPiNHistorical[[#This Row],[Site Management - Old]], 1), "")</f>
        <v/>
      </c>
      <c r="AR240" s="140" t="str">
        <f>IFERROR(ROUND((tblPiNHistorical[[#This Row],[Education New]]-tblPiNHistorical[[#This Row],[Education Old]])/tblPiNHistorical[[#This Row],[Education Old]], 1), "")</f>
        <v/>
      </c>
      <c r="AS240" s="141" t="str">
        <f>IFERROR(ROUND((tblPiNHistorical[[#This Row],[Food Security and Livlihoods New]]-tblPiNHistorical[[#This Row],[Food Security and Livlihoods Old]])/tblPiNHistorical[[#This Row],[Food Security and Livlihoods Old]], 1), "")</f>
        <v/>
      </c>
      <c r="AT240" s="142" t="str">
        <f>IFERROR(ROUND((tblPiNHistorical[[#This Row],[Health New]]-tblPiNHistorical[[#This Row],[Health Old]])/tblPiNHistorical[[#This Row],[Health Old]], 1), "")</f>
        <v/>
      </c>
      <c r="AU240" s="140" t="str">
        <f>IFERROR(ROUND((tblPiNHistorical[[#This Row],[Nutrition New]]-tblPiNHistorical[[#This Row],[Nutrition Old]])/tblPiNHistorical[[#This Row],[Nutrition Old]], 1), "")</f>
        <v/>
      </c>
      <c r="AV240" s="140" t="str">
        <f>IFERROR(ROUND((tblPiNHistorical[[#This Row],[Protection New]]-tblPiNHistorical[[#This Row],[Protection Old]])/tblPiNHistorical[[#This Row],[Protection Old]], 1), "")</f>
        <v/>
      </c>
      <c r="AW240" s="84" t="str">
        <f>IFERROR(ROUND((tblPiNHistorical[[#This Row],[CP New]]-tblPiNHistorical[[#This Row],[CP Old ]])/tblPiNHistorical[[#This Row],[CP Old ]], 1), "")</f>
        <v/>
      </c>
      <c r="AX240" s="84" t="str">
        <f>IFERROR(ROUND((tblPiNHistorical[[#This Row],[GBV New]]-tblPiNHistorical[[#This Row],[GBV Old]])/tblPiNHistorical[[#This Row],[GBV Old]], 1), "")</f>
        <v/>
      </c>
      <c r="AY240" s="84" t="str">
        <f>IFERROR(ROUND((tblPiNHistorical[[#This Row],[Mine Action New]]-tblPiNHistorical[[#This Row],[Mine Action Old]])/tblPiNHistorical[[#This Row],[Mine Action Old]], 1), "")</f>
        <v/>
      </c>
      <c r="AZ240" s="140" t="str">
        <f>IFERROR(ROUND((tblPiNHistorical[[#This Row],[Shelter NFI New]]-tblPiNHistorical[[#This Row],[Shelter NFI Old]])/tblPiNHistorical[[#This Row],[Shelter NFI Old]], 1), "")</f>
        <v/>
      </c>
      <c r="BA240" s="31" t="str">
        <f>IFERROR(ROUND((tblPiNHistorical[[#This Row],[WASH New]]-tblPiNHistorical[[#This Row],[WASH Old]])/tblPiNHistorical[[#This Row],[WASH Old]], 1), "")</f>
        <v/>
      </c>
    </row>
    <row r="241" spans="1:53" ht="38.25" x14ac:dyDescent="0.25">
      <c r="A241"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RefugeesSD11053</v>
      </c>
      <c r="B241" s="134" t="s">
        <v>161</v>
      </c>
      <c r="C241" s="124" t="s">
        <v>128</v>
      </c>
      <c r="D241" s="124" t="s">
        <v>424</v>
      </c>
      <c r="E241" s="59" t="s">
        <v>425</v>
      </c>
      <c r="F241" s="54"/>
      <c r="G241" s="29"/>
      <c r="H241" s="53">
        <v>6211</v>
      </c>
      <c r="I241" s="53" t="s">
        <v>90</v>
      </c>
      <c r="J241" s="34">
        <v>0</v>
      </c>
      <c r="K241" s="116">
        <v>1340</v>
      </c>
      <c r="L241" s="114">
        <v>6211</v>
      </c>
      <c r="M241" s="114">
        <v>3043</v>
      </c>
      <c r="N241" s="114">
        <v>567</v>
      </c>
      <c r="O241" s="114">
        <v>6211</v>
      </c>
      <c r="P241" s="114">
        <v>68.320999999999998</v>
      </c>
      <c r="Q241" s="114">
        <v>652.15499999999997</v>
      </c>
      <c r="R241" s="114">
        <v>0</v>
      </c>
      <c r="S241" s="114">
        <v>2484</v>
      </c>
      <c r="T241" s="196">
        <v>2050</v>
      </c>
      <c r="U241" s="52" t="str">
        <f>IFERROR(INDEX(tblPiNAnalysis[[Site Management ]], MATCH(tblPiNHistorical[[#This Row],[ID]], tblPiNAnalysis[ID], 0)), "")</f>
        <v/>
      </c>
      <c r="V241" s="52" t="str">
        <f>IFERROR(INDEX(tblPiNAnalysis[Education], MATCH(tblPiNHistorical[[#This Row],[ID]], tblPiNAnalysis[ID], 0)), "")</f>
        <v/>
      </c>
      <c r="W241" s="28" t="str">
        <f>IFERROR(INDEX(tblPiNAnalysis[Food Security and Livlihoods], MATCH(tblPiNHistorical[[#This Row],[ID]], tblPiNAnalysis[ID], 0)), "")</f>
        <v/>
      </c>
      <c r="X241" s="28" t="str">
        <f>IFERROR(INDEX(tblPiNAnalysis[[Health ]], MATCH(tblPiNHistorical[[#This Row],[ID]], tblPiNAnalysis[ID], 0)), "")</f>
        <v/>
      </c>
      <c r="Y241" s="28" t="str">
        <f>IFERROR(INDEX(tblPiNAnalysis[Nutrition], MATCH(tblPiNHistorical[[#This Row],[ID]], tblPiNAnalysis[ID], 0)), "")</f>
        <v/>
      </c>
      <c r="Z241" s="28" t="str">
        <f>IFERROR(INDEX(tblPiNAnalysis[Protection], MATCH(tblPiNHistorical[[#This Row],[ID]], tblPiNAnalysis[ID], 0)), "")</f>
        <v/>
      </c>
      <c r="AA241" s="28" t="str">
        <f>IFERROR(INDEX(tblPiNAnalysis[CP], MATCH(tblPiNHistorical[[#This Row],[ID]], tblPiNAnalysis[ID], 0)), "")</f>
        <v/>
      </c>
      <c r="AB241" s="83" t="str">
        <f>IFERROR(INDEX(tblPiNAnalysis[GBV], MATCH(tblPiNHistorical[[#This Row],[ID]], tblPiNAnalysis[ID], 0)), "")</f>
        <v/>
      </c>
      <c r="AC241" s="28" t="str">
        <f>IFERROR(INDEX(tblPiNAnalysis[Mine Action], MATCH(tblPiNHistorical[[#This Row],[ID]], tblPiNAnalysis[ID], 0)), "")</f>
        <v/>
      </c>
      <c r="AD241" s="83" t="str">
        <f>IFERROR(INDEX(tblPiNAnalysis[[Shelter NFI ]], MATCH(tblPiNHistorical[[#This Row],[ID]], tblPiNAnalysis[ID], 0)), "")</f>
        <v/>
      </c>
      <c r="AE241" s="28" t="str">
        <f>IFERROR(INDEX(tblPiNAnalysis[WASH], MATCH(tblPiNHistorical[[#This Row],[ID]], tblPiNAnalysis[ID], 0)), "")</f>
        <v/>
      </c>
      <c r="AF241"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241" s="136" t="str">
        <f>IF(OR(tblPiNHistorical[[#This Row],[Education Old]]="", tblPiNHistorical[[#This Row],[Education Old]]=0, tblPiNHistorical[[#This Row],[Education New]]="", tblPiNHistorical[[#This Row],[Education New]]=0), "", tblPiNHistorical[[#This Row],[Education New]]-tblPiNHistorical[[#This Row],[Education Old]])</f>
        <v/>
      </c>
      <c r="AH241"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241" s="137" t="str">
        <f>IF(OR(tblPiNHistorical[[#This Row],[Health Old]]="", tblPiNHistorical[[#This Row],[Health Old]]=0, tblPiNHistorical[[#This Row],[Health New]]="", tblPiNHistorical[[#This Row],[Health New]]=0), "", tblPiNHistorical[[#This Row],[Health New]]-tblPiNHistorical[[#This Row],[Health Old]])</f>
        <v/>
      </c>
      <c r="AJ241" s="136" t="str">
        <f>IF(OR(tblPiNHistorical[[#This Row],[Nutrition Old]]="", tblPiNHistorical[[#This Row],[Nutrition Old]]=0, tblPiNHistorical[[#This Row],[Nutrition New]]="", tblPiNHistorical[[#This Row],[Nutrition New]]=0), "", tblPiNHistorical[[#This Row],[Nutrition New]]-tblPiNHistorical[[#This Row],[Nutrition Old]])</f>
        <v/>
      </c>
      <c r="AK241" s="136" t="str">
        <f>IF(OR(tblPiNHistorical[[#This Row],[Protection Old]]="", tblPiNHistorical[[#This Row],[Protection Old]]=0, tblPiNHistorical[[#This Row],[Protection New]]="", tblPiNHistorical[[#This Row],[Protection New]]=0), "", tblPiNHistorical[[#This Row],[Protection New]]-tblPiNHistorical[[#This Row],[Protection Old]])</f>
        <v/>
      </c>
      <c r="AL241" s="136" t="str">
        <f>IF(OR(tblPiNHistorical[[#This Row],[CP Old ]]="", tblPiNHistorical[[#This Row],[CP Old ]]=0, tblPiNHistorical[[#This Row],[CP New]]="", tblPiNHistorical[[#This Row],[CP New]]=0), "", tblPiNHistorical[[#This Row],[CP New]]-tblPiNHistorical[[#This Row],[CP Old ]])</f>
        <v/>
      </c>
      <c r="AM241" s="83" t="str">
        <f>IF(OR(tblPiNHistorical[[#This Row],[GBV Old]]="", tblPiNHistorical[[#This Row],[GBV Old]]=0, tblPiNHistorical[[#This Row],[GBV New]]="", tblPiNHistorical[[#This Row],[GBV New]]=0), "", tblPiNHistorical[[#This Row],[GBV New]]-tblPiNHistorical[[#This Row],[GBV Old]])</f>
        <v/>
      </c>
      <c r="AN241" s="83" t="str">
        <f>IF(OR(tblPiNHistorical[[#This Row],[Mine Action Old]]="", tblPiNHistorical[[#This Row],[Mine Action Old]]=0, tblPiNHistorical[[#This Row],[Mine Action New]]="", tblPiNHistorical[[#This Row],[Mine Action New]]=0), "", tblPiNHistorical[[#This Row],[Mine Action New]]-tblPiNHistorical[[#This Row],[Mine Action Old]])</f>
        <v/>
      </c>
      <c r="AO241" s="136" t="str">
        <f>IF(OR(tblPiNHistorical[[#This Row],[Shelter NFI Old]]="", tblPiNHistorical[[#This Row],[Shelter NFI Old]]=0, tblPiNHistorical[[#This Row],[Shelter NFI New]]="", tblPiNHistorical[[#This Row],[Shelter NFI New]]=0), "", tblPiNHistorical[[#This Row],[Shelter NFI New]]-tblPiNHistorical[[#This Row],[Shelter NFI Old]])</f>
        <v/>
      </c>
      <c r="AP241" s="138" t="str">
        <f>IF(OR(tblPiNHistorical[[#This Row],[WASH Old]]="", tblPiNHistorical[[#This Row],[WASH Old]]=0, tblPiNHistorical[[#This Row],[WASH New]]="", tblPiNHistorical[[#This Row],[WASH New]]=0), "", tblPiNHistorical[[#This Row],[WASH New]]-tblPiNHistorical[[#This Row],[WASH Old]])</f>
        <v/>
      </c>
      <c r="AQ241" s="139" t="str">
        <f>IFERROR(ROUND((tblPiNHistorical[[#This Row],[Site Management - New]] - tblPiNHistorical[[#This Row],[Site Management - Old]])/tblPiNHistorical[[#This Row],[Site Management - Old]], 1), "")</f>
        <v/>
      </c>
      <c r="AR241" s="140" t="str">
        <f>IFERROR(ROUND((tblPiNHistorical[[#This Row],[Education New]]-tblPiNHistorical[[#This Row],[Education Old]])/tblPiNHistorical[[#This Row],[Education Old]], 1), "")</f>
        <v/>
      </c>
      <c r="AS241" s="141" t="str">
        <f>IFERROR(ROUND((tblPiNHistorical[[#This Row],[Food Security and Livlihoods New]]-tblPiNHistorical[[#This Row],[Food Security and Livlihoods Old]])/tblPiNHistorical[[#This Row],[Food Security and Livlihoods Old]], 1), "")</f>
        <v/>
      </c>
      <c r="AT241" s="142" t="str">
        <f>IFERROR(ROUND((tblPiNHistorical[[#This Row],[Health New]]-tblPiNHistorical[[#This Row],[Health Old]])/tblPiNHistorical[[#This Row],[Health Old]], 1), "")</f>
        <v/>
      </c>
      <c r="AU241" s="140" t="str">
        <f>IFERROR(ROUND((tblPiNHistorical[[#This Row],[Nutrition New]]-tblPiNHistorical[[#This Row],[Nutrition Old]])/tblPiNHistorical[[#This Row],[Nutrition Old]], 1), "")</f>
        <v/>
      </c>
      <c r="AV241" s="140" t="str">
        <f>IFERROR(ROUND((tblPiNHistorical[[#This Row],[Protection New]]-tblPiNHistorical[[#This Row],[Protection Old]])/tblPiNHistorical[[#This Row],[Protection Old]], 1), "")</f>
        <v/>
      </c>
      <c r="AW241" s="84" t="str">
        <f>IFERROR(ROUND((tblPiNHistorical[[#This Row],[CP New]]-tblPiNHistorical[[#This Row],[CP Old ]])/tblPiNHistorical[[#This Row],[CP Old ]], 1), "")</f>
        <v/>
      </c>
      <c r="AX241" s="84" t="str">
        <f>IFERROR(ROUND((tblPiNHistorical[[#This Row],[GBV New]]-tblPiNHistorical[[#This Row],[GBV Old]])/tblPiNHistorical[[#This Row],[GBV Old]], 1), "")</f>
        <v/>
      </c>
      <c r="AY241" s="84" t="str">
        <f>IFERROR(ROUND((tblPiNHistorical[[#This Row],[Mine Action New]]-tblPiNHistorical[[#This Row],[Mine Action Old]])/tblPiNHistorical[[#This Row],[Mine Action Old]], 1), "")</f>
        <v/>
      </c>
      <c r="AZ241" s="140" t="str">
        <f>IFERROR(ROUND((tblPiNHistorical[[#This Row],[Shelter NFI New]]-tblPiNHistorical[[#This Row],[Shelter NFI Old]])/tblPiNHistorical[[#This Row],[Shelter NFI Old]], 1), "")</f>
        <v/>
      </c>
      <c r="BA241" s="31" t="str">
        <f>IFERROR(ROUND((tblPiNHistorical[[#This Row],[WASH New]]-tblPiNHistorical[[#This Row],[WASH Old]])/tblPiNHistorical[[#This Row],[WASH Old]], 1), "")</f>
        <v/>
      </c>
    </row>
    <row r="242" spans="1:53" ht="38.25" x14ac:dyDescent="0.25">
      <c r="A242"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RefugeesSD11055</v>
      </c>
      <c r="B242" s="134" t="s">
        <v>161</v>
      </c>
      <c r="C242" s="124" t="s">
        <v>128</v>
      </c>
      <c r="D242" s="124" t="s">
        <v>428</v>
      </c>
      <c r="E242" s="59" t="s">
        <v>429</v>
      </c>
      <c r="F242" s="54"/>
      <c r="G242" s="29"/>
      <c r="H242" s="53">
        <v>0</v>
      </c>
      <c r="I242" s="53" t="s">
        <v>90</v>
      </c>
      <c r="J242" s="34">
        <v>0</v>
      </c>
      <c r="K242" s="116">
        <v>0</v>
      </c>
      <c r="L242" s="114">
        <v>0</v>
      </c>
      <c r="M242" s="114">
        <v>0</v>
      </c>
      <c r="N242" s="114">
        <v>0</v>
      </c>
      <c r="O242" s="114">
        <v>0</v>
      </c>
      <c r="P242" s="114">
        <v>0</v>
      </c>
      <c r="Q242" s="114">
        <v>0</v>
      </c>
      <c r="R242" s="114">
        <v>0</v>
      </c>
      <c r="S242" s="114">
        <v>0</v>
      </c>
      <c r="T242" s="196">
        <v>0</v>
      </c>
      <c r="U242" s="52" t="str">
        <f>IFERROR(INDEX(tblPiNAnalysis[[Site Management ]], MATCH(tblPiNHistorical[[#This Row],[ID]], tblPiNAnalysis[ID], 0)), "")</f>
        <v/>
      </c>
      <c r="V242" s="52" t="str">
        <f>IFERROR(INDEX(tblPiNAnalysis[Education], MATCH(tblPiNHistorical[[#This Row],[ID]], tblPiNAnalysis[ID], 0)), "")</f>
        <v/>
      </c>
      <c r="W242" s="28" t="str">
        <f>IFERROR(INDEX(tblPiNAnalysis[Food Security and Livlihoods], MATCH(tblPiNHistorical[[#This Row],[ID]], tblPiNAnalysis[ID], 0)), "")</f>
        <v/>
      </c>
      <c r="X242" s="28" t="str">
        <f>IFERROR(INDEX(tblPiNAnalysis[[Health ]], MATCH(tblPiNHistorical[[#This Row],[ID]], tblPiNAnalysis[ID], 0)), "")</f>
        <v/>
      </c>
      <c r="Y242" s="28" t="str">
        <f>IFERROR(INDEX(tblPiNAnalysis[Nutrition], MATCH(tblPiNHistorical[[#This Row],[ID]], tblPiNAnalysis[ID], 0)), "")</f>
        <v/>
      </c>
      <c r="Z242" s="28" t="str">
        <f>IFERROR(INDEX(tblPiNAnalysis[Protection], MATCH(tblPiNHistorical[[#This Row],[ID]], tblPiNAnalysis[ID], 0)), "")</f>
        <v/>
      </c>
      <c r="AA242" s="28" t="str">
        <f>IFERROR(INDEX(tblPiNAnalysis[CP], MATCH(tblPiNHistorical[[#This Row],[ID]], tblPiNAnalysis[ID], 0)), "")</f>
        <v/>
      </c>
      <c r="AB242" s="83" t="str">
        <f>IFERROR(INDEX(tblPiNAnalysis[GBV], MATCH(tblPiNHistorical[[#This Row],[ID]], tblPiNAnalysis[ID], 0)), "")</f>
        <v/>
      </c>
      <c r="AC242" s="28" t="str">
        <f>IFERROR(INDEX(tblPiNAnalysis[Mine Action], MATCH(tblPiNHistorical[[#This Row],[ID]], tblPiNAnalysis[ID], 0)), "")</f>
        <v/>
      </c>
      <c r="AD242" s="83" t="str">
        <f>IFERROR(INDEX(tblPiNAnalysis[[Shelter NFI ]], MATCH(tblPiNHistorical[[#This Row],[ID]], tblPiNAnalysis[ID], 0)), "")</f>
        <v/>
      </c>
      <c r="AE242" s="28" t="str">
        <f>IFERROR(INDEX(tblPiNAnalysis[WASH], MATCH(tblPiNHistorical[[#This Row],[ID]], tblPiNAnalysis[ID], 0)), "")</f>
        <v/>
      </c>
      <c r="AF242"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242" s="136" t="str">
        <f>IF(OR(tblPiNHistorical[[#This Row],[Education Old]]="", tblPiNHistorical[[#This Row],[Education Old]]=0, tblPiNHistorical[[#This Row],[Education New]]="", tblPiNHistorical[[#This Row],[Education New]]=0), "", tblPiNHistorical[[#This Row],[Education New]]-tblPiNHistorical[[#This Row],[Education Old]])</f>
        <v/>
      </c>
      <c r="AH242"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242" s="137" t="str">
        <f>IF(OR(tblPiNHistorical[[#This Row],[Health Old]]="", tblPiNHistorical[[#This Row],[Health Old]]=0, tblPiNHistorical[[#This Row],[Health New]]="", tblPiNHistorical[[#This Row],[Health New]]=0), "", tblPiNHistorical[[#This Row],[Health New]]-tblPiNHistorical[[#This Row],[Health Old]])</f>
        <v/>
      </c>
      <c r="AJ242" s="136" t="str">
        <f>IF(OR(tblPiNHistorical[[#This Row],[Nutrition Old]]="", tblPiNHistorical[[#This Row],[Nutrition Old]]=0, tblPiNHistorical[[#This Row],[Nutrition New]]="", tblPiNHistorical[[#This Row],[Nutrition New]]=0), "", tblPiNHistorical[[#This Row],[Nutrition New]]-tblPiNHistorical[[#This Row],[Nutrition Old]])</f>
        <v/>
      </c>
      <c r="AK242" s="136" t="str">
        <f>IF(OR(tblPiNHistorical[[#This Row],[Protection Old]]="", tblPiNHistorical[[#This Row],[Protection Old]]=0, tblPiNHistorical[[#This Row],[Protection New]]="", tblPiNHistorical[[#This Row],[Protection New]]=0), "", tblPiNHistorical[[#This Row],[Protection New]]-tblPiNHistorical[[#This Row],[Protection Old]])</f>
        <v/>
      </c>
      <c r="AL242" s="136" t="str">
        <f>IF(OR(tblPiNHistorical[[#This Row],[CP Old ]]="", tblPiNHistorical[[#This Row],[CP Old ]]=0, tblPiNHistorical[[#This Row],[CP New]]="", tblPiNHistorical[[#This Row],[CP New]]=0), "", tblPiNHistorical[[#This Row],[CP New]]-tblPiNHistorical[[#This Row],[CP Old ]])</f>
        <v/>
      </c>
      <c r="AM242" s="83" t="str">
        <f>IF(OR(tblPiNHistorical[[#This Row],[GBV Old]]="", tblPiNHistorical[[#This Row],[GBV Old]]=0, tblPiNHistorical[[#This Row],[GBV New]]="", tblPiNHistorical[[#This Row],[GBV New]]=0), "", tblPiNHistorical[[#This Row],[GBV New]]-tblPiNHistorical[[#This Row],[GBV Old]])</f>
        <v/>
      </c>
      <c r="AN242" s="83" t="str">
        <f>IF(OR(tblPiNHistorical[[#This Row],[Mine Action Old]]="", tblPiNHistorical[[#This Row],[Mine Action Old]]=0, tblPiNHistorical[[#This Row],[Mine Action New]]="", tblPiNHistorical[[#This Row],[Mine Action New]]=0), "", tblPiNHistorical[[#This Row],[Mine Action New]]-tblPiNHistorical[[#This Row],[Mine Action Old]])</f>
        <v/>
      </c>
      <c r="AO242" s="136" t="str">
        <f>IF(OR(tblPiNHistorical[[#This Row],[Shelter NFI Old]]="", tblPiNHistorical[[#This Row],[Shelter NFI Old]]=0, tblPiNHistorical[[#This Row],[Shelter NFI New]]="", tblPiNHistorical[[#This Row],[Shelter NFI New]]=0), "", tblPiNHistorical[[#This Row],[Shelter NFI New]]-tblPiNHistorical[[#This Row],[Shelter NFI Old]])</f>
        <v/>
      </c>
      <c r="AP242" s="138" t="str">
        <f>IF(OR(tblPiNHistorical[[#This Row],[WASH Old]]="", tblPiNHistorical[[#This Row],[WASH Old]]=0, tblPiNHistorical[[#This Row],[WASH New]]="", tblPiNHistorical[[#This Row],[WASH New]]=0), "", tblPiNHistorical[[#This Row],[WASH New]]-tblPiNHistorical[[#This Row],[WASH Old]])</f>
        <v/>
      </c>
      <c r="AQ242" s="139" t="str">
        <f>IFERROR(ROUND((tblPiNHistorical[[#This Row],[Site Management - New]] - tblPiNHistorical[[#This Row],[Site Management - Old]])/tblPiNHistorical[[#This Row],[Site Management - Old]], 1), "")</f>
        <v/>
      </c>
      <c r="AR242" s="140" t="str">
        <f>IFERROR(ROUND((tblPiNHistorical[[#This Row],[Education New]]-tblPiNHistorical[[#This Row],[Education Old]])/tblPiNHistorical[[#This Row],[Education Old]], 1), "")</f>
        <v/>
      </c>
      <c r="AS242" s="141" t="str">
        <f>IFERROR(ROUND((tblPiNHistorical[[#This Row],[Food Security and Livlihoods New]]-tblPiNHistorical[[#This Row],[Food Security and Livlihoods Old]])/tblPiNHistorical[[#This Row],[Food Security and Livlihoods Old]], 1), "")</f>
        <v/>
      </c>
      <c r="AT242" s="142" t="str">
        <f>IFERROR(ROUND((tblPiNHistorical[[#This Row],[Health New]]-tblPiNHistorical[[#This Row],[Health Old]])/tblPiNHistorical[[#This Row],[Health Old]], 1), "")</f>
        <v/>
      </c>
      <c r="AU242" s="140" t="str">
        <f>IFERROR(ROUND((tblPiNHistorical[[#This Row],[Nutrition New]]-tblPiNHistorical[[#This Row],[Nutrition Old]])/tblPiNHistorical[[#This Row],[Nutrition Old]], 1), "")</f>
        <v/>
      </c>
      <c r="AV242" s="140" t="str">
        <f>IFERROR(ROUND((tblPiNHistorical[[#This Row],[Protection New]]-tblPiNHistorical[[#This Row],[Protection Old]])/tblPiNHistorical[[#This Row],[Protection Old]], 1), "")</f>
        <v/>
      </c>
      <c r="AW242" s="84" t="str">
        <f>IFERROR(ROUND((tblPiNHistorical[[#This Row],[CP New]]-tblPiNHistorical[[#This Row],[CP Old ]])/tblPiNHistorical[[#This Row],[CP Old ]], 1), "")</f>
        <v/>
      </c>
      <c r="AX242" s="84" t="str">
        <f>IFERROR(ROUND((tblPiNHistorical[[#This Row],[GBV New]]-tblPiNHistorical[[#This Row],[GBV Old]])/tblPiNHistorical[[#This Row],[GBV Old]], 1), "")</f>
        <v/>
      </c>
      <c r="AY242" s="84" t="str">
        <f>IFERROR(ROUND((tblPiNHistorical[[#This Row],[Mine Action New]]-tblPiNHistorical[[#This Row],[Mine Action Old]])/tblPiNHistorical[[#This Row],[Mine Action Old]], 1), "")</f>
        <v/>
      </c>
      <c r="AZ242" s="140" t="str">
        <f>IFERROR(ROUND((tblPiNHistorical[[#This Row],[Shelter NFI New]]-tblPiNHistorical[[#This Row],[Shelter NFI Old]])/tblPiNHistorical[[#This Row],[Shelter NFI Old]], 1), "")</f>
        <v/>
      </c>
      <c r="BA242" s="31" t="str">
        <f>IFERROR(ROUND((tblPiNHistorical[[#This Row],[WASH New]]-tblPiNHistorical[[#This Row],[WASH Old]])/tblPiNHistorical[[#This Row],[WASH Old]], 1), "")</f>
        <v/>
      </c>
    </row>
    <row r="243" spans="1:53" ht="38.25" x14ac:dyDescent="0.25">
      <c r="A243"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RefugeesSD11054</v>
      </c>
      <c r="B243" s="134" t="s">
        <v>161</v>
      </c>
      <c r="C243" s="124" t="s">
        <v>128</v>
      </c>
      <c r="D243" s="124" t="s">
        <v>426</v>
      </c>
      <c r="E243" s="59" t="s">
        <v>427</v>
      </c>
      <c r="F243" s="54"/>
      <c r="G243" s="29"/>
      <c r="H243" s="53">
        <v>0</v>
      </c>
      <c r="I243" s="53" t="s">
        <v>90</v>
      </c>
      <c r="J243" s="34">
        <v>0</v>
      </c>
      <c r="K243" s="116">
        <v>0</v>
      </c>
      <c r="L243" s="114">
        <v>0</v>
      </c>
      <c r="M243" s="114">
        <v>0</v>
      </c>
      <c r="N243" s="114">
        <v>0</v>
      </c>
      <c r="O243" s="114">
        <v>0</v>
      </c>
      <c r="P243" s="114">
        <v>0</v>
      </c>
      <c r="Q243" s="114">
        <v>0</v>
      </c>
      <c r="R243" s="114">
        <v>0</v>
      </c>
      <c r="S243" s="114">
        <v>0</v>
      </c>
      <c r="T243" s="196">
        <v>0</v>
      </c>
      <c r="U243" s="52" t="str">
        <f>IFERROR(INDEX(tblPiNAnalysis[[Site Management ]], MATCH(tblPiNHistorical[[#This Row],[ID]], tblPiNAnalysis[ID], 0)), "")</f>
        <v/>
      </c>
      <c r="V243" s="52" t="str">
        <f>IFERROR(INDEX(tblPiNAnalysis[Education], MATCH(tblPiNHistorical[[#This Row],[ID]], tblPiNAnalysis[ID], 0)), "")</f>
        <v/>
      </c>
      <c r="W243" s="28" t="str">
        <f>IFERROR(INDEX(tblPiNAnalysis[Food Security and Livlihoods], MATCH(tblPiNHistorical[[#This Row],[ID]], tblPiNAnalysis[ID], 0)), "")</f>
        <v/>
      </c>
      <c r="X243" s="28" t="str">
        <f>IFERROR(INDEX(tblPiNAnalysis[[Health ]], MATCH(tblPiNHistorical[[#This Row],[ID]], tblPiNAnalysis[ID], 0)), "")</f>
        <v/>
      </c>
      <c r="Y243" s="28" t="str">
        <f>IFERROR(INDEX(tblPiNAnalysis[Nutrition], MATCH(tblPiNHistorical[[#This Row],[ID]], tblPiNAnalysis[ID], 0)), "")</f>
        <v/>
      </c>
      <c r="Z243" s="28" t="str">
        <f>IFERROR(INDEX(tblPiNAnalysis[Protection], MATCH(tblPiNHistorical[[#This Row],[ID]], tblPiNAnalysis[ID], 0)), "")</f>
        <v/>
      </c>
      <c r="AA243" s="28" t="str">
        <f>IFERROR(INDEX(tblPiNAnalysis[CP], MATCH(tblPiNHistorical[[#This Row],[ID]], tblPiNAnalysis[ID], 0)), "")</f>
        <v/>
      </c>
      <c r="AB243" s="83" t="str">
        <f>IFERROR(INDEX(tblPiNAnalysis[GBV], MATCH(tblPiNHistorical[[#This Row],[ID]], tblPiNAnalysis[ID], 0)), "")</f>
        <v/>
      </c>
      <c r="AC243" s="28" t="str">
        <f>IFERROR(INDEX(tblPiNAnalysis[Mine Action], MATCH(tblPiNHistorical[[#This Row],[ID]], tblPiNAnalysis[ID], 0)), "")</f>
        <v/>
      </c>
      <c r="AD243" s="83" t="str">
        <f>IFERROR(INDEX(tblPiNAnalysis[[Shelter NFI ]], MATCH(tblPiNHistorical[[#This Row],[ID]], tblPiNAnalysis[ID], 0)), "")</f>
        <v/>
      </c>
      <c r="AE243" s="28" t="str">
        <f>IFERROR(INDEX(tblPiNAnalysis[WASH], MATCH(tblPiNHistorical[[#This Row],[ID]], tblPiNAnalysis[ID], 0)), "")</f>
        <v/>
      </c>
      <c r="AF243"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243" s="136" t="str">
        <f>IF(OR(tblPiNHistorical[[#This Row],[Education Old]]="", tblPiNHistorical[[#This Row],[Education Old]]=0, tblPiNHistorical[[#This Row],[Education New]]="", tblPiNHistorical[[#This Row],[Education New]]=0), "", tblPiNHistorical[[#This Row],[Education New]]-tblPiNHistorical[[#This Row],[Education Old]])</f>
        <v/>
      </c>
      <c r="AH243"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243" s="137" t="str">
        <f>IF(OR(tblPiNHistorical[[#This Row],[Health Old]]="", tblPiNHistorical[[#This Row],[Health Old]]=0, tblPiNHistorical[[#This Row],[Health New]]="", tblPiNHistorical[[#This Row],[Health New]]=0), "", tblPiNHistorical[[#This Row],[Health New]]-tblPiNHistorical[[#This Row],[Health Old]])</f>
        <v/>
      </c>
      <c r="AJ243" s="136" t="str">
        <f>IF(OR(tblPiNHistorical[[#This Row],[Nutrition Old]]="", tblPiNHistorical[[#This Row],[Nutrition Old]]=0, tblPiNHistorical[[#This Row],[Nutrition New]]="", tblPiNHistorical[[#This Row],[Nutrition New]]=0), "", tblPiNHistorical[[#This Row],[Nutrition New]]-tblPiNHistorical[[#This Row],[Nutrition Old]])</f>
        <v/>
      </c>
      <c r="AK243" s="136" t="str">
        <f>IF(OR(tblPiNHistorical[[#This Row],[Protection Old]]="", tblPiNHistorical[[#This Row],[Protection Old]]=0, tblPiNHistorical[[#This Row],[Protection New]]="", tblPiNHistorical[[#This Row],[Protection New]]=0), "", tblPiNHistorical[[#This Row],[Protection New]]-tblPiNHistorical[[#This Row],[Protection Old]])</f>
        <v/>
      </c>
      <c r="AL243" s="136" t="str">
        <f>IF(OR(tblPiNHistorical[[#This Row],[CP Old ]]="", tblPiNHistorical[[#This Row],[CP Old ]]=0, tblPiNHistorical[[#This Row],[CP New]]="", tblPiNHistorical[[#This Row],[CP New]]=0), "", tblPiNHistorical[[#This Row],[CP New]]-tblPiNHistorical[[#This Row],[CP Old ]])</f>
        <v/>
      </c>
      <c r="AM243" s="83" t="str">
        <f>IF(OR(tblPiNHistorical[[#This Row],[GBV Old]]="", tblPiNHistorical[[#This Row],[GBV Old]]=0, tblPiNHistorical[[#This Row],[GBV New]]="", tblPiNHistorical[[#This Row],[GBV New]]=0), "", tblPiNHistorical[[#This Row],[GBV New]]-tblPiNHistorical[[#This Row],[GBV Old]])</f>
        <v/>
      </c>
      <c r="AN243" s="83" t="str">
        <f>IF(OR(tblPiNHistorical[[#This Row],[Mine Action Old]]="", tblPiNHistorical[[#This Row],[Mine Action Old]]=0, tblPiNHistorical[[#This Row],[Mine Action New]]="", tblPiNHistorical[[#This Row],[Mine Action New]]=0), "", tblPiNHistorical[[#This Row],[Mine Action New]]-tblPiNHistorical[[#This Row],[Mine Action Old]])</f>
        <v/>
      </c>
      <c r="AO243" s="136" t="str">
        <f>IF(OR(tblPiNHistorical[[#This Row],[Shelter NFI Old]]="", tblPiNHistorical[[#This Row],[Shelter NFI Old]]=0, tblPiNHistorical[[#This Row],[Shelter NFI New]]="", tblPiNHistorical[[#This Row],[Shelter NFI New]]=0), "", tblPiNHistorical[[#This Row],[Shelter NFI New]]-tblPiNHistorical[[#This Row],[Shelter NFI Old]])</f>
        <v/>
      </c>
      <c r="AP243" s="138" t="str">
        <f>IF(OR(tblPiNHistorical[[#This Row],[WASH Old]]="", tblPiNHistorical[[#This Row],[WASH Old]]=0, tblPiNHistorical[[#This Row],[WASH New]]="", tblPiNHistorical[[#This Row],[WASH New]]=0), "", tblPiNHistorical[[#This Row],[WASH New]]-tblPiNHistorical[[#This Row],[WASH Old]])</f>
        <v/>
      </c>
      <c r="AQ243" s="139" t="str">
        <f>IFERROR(ROUND((tblPiNHistorical[[#This Row],[Site Management - New]] - tblPiNHistorical[[#This Row],[Site Management - Old]])/tblPiNHistorical[[#This Row],[Site Management - Old]], 1), "")</f>
        <v/>
      </c>
      <c r="AR243" s="140" t="str">
        <f>IFERROR(ROUND((tblPiNHistorical[[#This Row],[Education New]]-tblPiNHistorical[[#This Row],[Education Old]])/tblPiNHistorical[[#This Row],[Education Old]], 1), "")</f>
        <v/>
      </c>
      <c r="AS243" s="141" t="str">
        <f>IFERROR(ROUND((tblPiNHistorical[[#This Row],[Food Security and Livlihoods New]]-tblPiNHistorical[[#This Row],[Food Security and Livlihoods Old]])/tblPiNHistorical[[#This Row],[Food Security and Livlihoods Old]], 1), "")</f>
        <v/>
      </c>
      <c r="AT243" s="142" t="str">
        <f>IFERROR(ROUND((tblPiNHistorical[[#This Row],[Health New]]-tblPiNHistorical[[#This Row],[Health Old]])/tblPiNHistorical[[#This Row],[Health Old]], 1), "")</f>
        <v/>
      </c>
      <c r="AU243" s="140" t="str">
        <f>IFERROR(ROUND((tblPiNHistorical[[#This Row],[Nutrition New]]-tblPiNHistorical[[#This Row],[Nutrition Old]])/tblPiNHistorical[[#This Row],[Nutrition Old]], 1), "")</f>
        <v/>
      </c>
      <c r="AV243" s="140" t="str">
        <f>IFERROR(ROUND((tblPiNHistorical[[#This Row],[Protection New]]-tblPiNHistorical[[#This Row],[Protection Old]])/tblPiNHistorical[[#This Row],[Protection Old]], 1), "")</f>
        <v/>
      </c>
      <c r="AW243" s="84" t="str">
        <f>IFERROR(ROUND((tblPiNHistorical[[#This Row],[CP New]]-tblPiNHistorical[[#This Row],[CP Old ]])/tblPiNHistorical[[#This Row],[CP Old ]], 1), "")</f>
        <v/>
      </c>
      <c r="AX243" s="84" t="str">
        <f>IFERROR(ROUND((tblPiNHistorical[[#This Row],[GBV New]]-tblPiNHistorical[[#This Row],[GBV Old]])/tblPiNHistorical[[#This Row],[GBV Old]], 1), "")</f>
        <v/>
      </c>
      <c r="AY243" s="84" t="str">
        <f>IFERROR(ROUND((tblPiNHistorical[[#This Row],[Mine Action New]]-tblPiNHistorical[[#This Row],[Mine Action Old]])/tblPiNHistorical[[#This Row],[Mine Action Old]], 1), "")</f>
        <v/>
      </c>
      <c r="AZ243" s="140" t="str">
        <f>IFERROR(ROUND((tblPiNHistorical[[#This Row],[Shelter NFI New]]-tblPiNHistorical[[#This Row],[Shelter NFI Old]])/tblPiNHistorical[[#This Row],[Shelter NFI Old]], 1), "")</f>
        <v/>
      </c>
      <c r="BA243" s="31" t="str">
        <f>IFERROR(ROUND((tblPiNHistorical[[#This Row],[WASH New]]-tblPiNHistorical[[#This Row],[WASH Old]])/tblPiNHistorical[[#This Row],[WASH Old]], 1), "")</f>
        <v/>
      </c>
    </row>
    <row r="244" spans="1:53" ht="38.25" x14ac:dyDescent="0.25">
      <c r="A244"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RefugeesSD11058</v>
      </c>
      <c r="B244" s="134" t="s">
        <v>161</v>
      </c>
      <c r="C244" s="124" t="s">
        <v>128</v>
      </c>
      <c r="D244" s="124" t="s">
        <v>434</v>
      </c>
      <c r="E244" s="59" t="s">
        <v>435</v>
      </c>
      <c r="F244" s="54"/>
      <c r="G244" s="29"/>
      <c r="H244" s="53">
        <v>0</v>
      </c>
      <c r="I244" s="53" t="s">
        <v>90</v>
      </c>
      <c r="J244" s="34">
        <v>0</v>
      </c>
      <c r="K244" s="116">
        <v>0</v>
      </c>
      <c r="L244" s="114">
        <v>0</v>
      </c>
      <c r="M244" s="114">
        <v>0</v>
      </c>
      <c r="N244" s="114">
        <v>0</v>
      </c>
      <c r="O244" s="114">
        <v>0</v>
      </c>
      <c r="P244" s="114">
        <v>0</v>
      </c>
      <c r="Q244" s="114">
        <v>0</v>
      </c>
      <c r="R244" s="114">
        <v>0</v>
      </c>
      <c r="S244" s="114">
        <v>0</v>
      </c>
      <c r="T244" s="196">
        <v>0</v>
      </c>
      <c r="U244" s="52" t="str">
        <f>IFERROR(INDEX(tblPiNAnalysis[[Site Management ]], MATCH(tblPiNHistorical[[#This Row],[ID]], tblPiNAnalysis[ID], 0)), "")</f>
        <v/>
      </c>
      <c r="V244" s="52" t="str">
        <f>IFERROR(INDEX(tblPiNAnalysis[Education], MATCH(tblPiNHistorical[[#This Row],[ID]], tblPiNAnalysis[ID], 0)), "")</f>
        <v/>
      </c>
      <c r="W244" s="28" t="str">
        <f>IFERROR(INDEX(tblPiNAnalysis[Food Security and Livlihoods], MATCH(tblPiNHistorical[[#This Row],[ID]], tblPiNAnalysis[ID], 0)), "")</f>
        <v/>
      </c>
      <c r="X244" s="28" t="str">
        <f>IFERROR(INDEX(tblPiNAnalysis[[Health ]], MATCH(tblPiNHistorical[[#This Row],[ID]], tblPiNAnalysis[ID], 0)), "")</f>
        <v/>
      </c>
      <c r="Y244" s="28" t="str">
        <f>IFERROR(INDEX(tblPiNAnalysis[Nutrition], MATCH(tblPiNHistorical[[#This Row],[ID]], tblPiNAnalysis[ID], 0)), "")</f>
        <v/>
      </c>
      <c r="Z244" s="28" t="str">
        <f>IFERROR(INDEX(tblPiNAnalysis[Protection], MATCH(tblPiNHistorical[[#This Row],[ID]], tblPiNAnalysis[ID], 0)), "")</f>
        <v/>
      </c>
      <c r="AA244" s="28" t="str">
        <f>IFERROR(INDEX(tblPiNAnalysis[CP], MATCH(tblPiNHistorical[[#This Row],[ID]], tblPiNAnalysis[ID], 0)), "")</f>
        <v/>
      </c>
      <c r="AB244" s="83" t="str">
        <f>IFERROR(INDEX(tblPiNAnalysis[GBV], MATCH(tblPiNHistorical[[#This Row],[ID]], tblPiNAnalysis[ID], 0)), "")</f>
        <v/>
      </c>
      <c r="AC244" s="28" t="str">
        <f>IFERROR(INDEX(tblPiNAnalysis[Mine Action], MATCH(tblPiNHistorical[[#This Row],[ID]], tblPiNAnalysis[ID], 0)), "")</f>
        <v/>
      </c>
      <c r="AD244" s="83" t="str">
        <f>IFERROR(INDEX(tblPiNAnalysis[[Shelter NFI ]], MATCH(tblPiNHistorical[[#This Row],[ID]], tblPiNAnalysis[ID], 0)), "")</f>
        <v/>
      </c>
      <c r="AE244" s="28" t="str">
        <f>IFERROR(INDEX(tblPiNAnalysis[WASH], MATCH(tblPiNHistorical[[#This Row],[ID]], tblPiNAnalysis[ID], 0)), "")</f>
        <v/>
      </c>
      <c r="AF244"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244" s="136" t="str">
        <f>IF(OR(tblPiNHistorical[[#This Row],[Education Old]]="", tblPiNHistorical[[#This Row],[Education Old]]=0, tblPiNHistorical[[#This Row],[Education New]]="", tblPiNHistorical[[#This Row],[Education New]]=0), "", tblPiNHistorical[[#This Row],[Education New]]-tblPiNHistorical[[#This Row],[Education Old]])</f>
        <v/>
      </c>
      <c r="AH244"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244" s="137" t="str">
        <f>IF(OR(tblPiNHistorical[[#This Row],[Health Old]]="", tblPiNHistorical[[#This Row],[Health Old]]=0, tblPiNHistorical[[#This Row],[Health New]]="", tblPiNHistorical[[#This Row],[Health New]]=0), "", tblPiNHistorical[[#This Row],[Health New]]-tblPiNHistorical[[#This Row],[Health Old]])</f>
        <v/>
      </c>
      <c r="AJ244" s="136" t="str">
        <f>IF(OR(tblPiNHistorical[[#This Row],[Nutrition Old]]="", tblPiNHistorical[[#This Row],[Nutrition Old]]=0, tblPiNHistorical[[#This Row],[Nutrition New]]="", tblPiNHistorical[[#This Row],[Nutrition New]]=0), "", tblPiNHistorical[[#This Row],[Nutrition New]]-tblPiNHistorical[[#This Row],[Nutrition Old]])</f>
        <v/>
      </c>
      <c r="AK244" s="136" t="str">
        <f>IF(OR(tblPiNHistorical[[#This Row],[Protection Old]]="", tblPiNHistorical[[#This Row],[Protection Old]]=0, tblPiNHistorical[[#This Row],[Protection New]]="", tblPiNHistorical[[#This Row],[Protection New]]=0), "", tblPiNHistorical[[#This Row],[Protection New]]-tblPiNHistorical[[#This Row],[Protection Old]])</f>
        <v/>
      </c>
      <c r="AL244" s="136" t="str">
        <f>IF(OR(tblPiNHistorical[[#This Row],[CP Old ]]="", tblPiNHistorical[[#This Row],[CP Old ]]=0, tblPiNHistorical[[#This Row],[CP New]]="", tblPiNHistorical[[#This Row],[CP New]]=0), "", tblPiNHistorical[[#This Row],[CP New]]-tblPiNHistorical[[#This Row],[CP Old ]])</f>
        <v/>
      </c>
      <c r="AM244" s="83" t="str">
        <f>IF(OR(tblPiNHistorical[[#This Row],[GBV Old]]="", tblPiNHistorical[[#This Row],[GBV Old]]=0, tblPiNHistorical[[#This Row],[GBV New]]="", tblPiNHistorical[[#This Row],[GBV New]]=0), "", tblPiNHistorical[[#This Row],[GBV New]]-tblPiNHistorical[[#This Row],[GBV Old]])</f>
        <v/>
      </c>
      <c r="AN244" s="83" t="str">
        <f>IF(OR(tblPiNHistorical[[#This Row],[Mine Action Old]]="", tblPiNHistorical[[#This Row],[Mine Action Old]]=0, tblPiNHistorical[[#This Row],[Mine Action New]]="", tblPiNHistorical[[#This Row],[Mine Action New]]=0), "", tblPiNHistorical[[#This Row],[Mine Action New]]-tblPiNHistorical[[#This Row],[Mine Action Old]])</f>
        <v/>
      </c>
      <c r="AO244" s="136" t="str">
        <f>IF(OR(tblPiNHistorical[[#This Row],[Shelter NFI Old]]="", tblPiNHistorical[[#This Row],[Shelter NFI Old]]=0, tblPiNHistorical[[#This Row],[Shelter NFI New]]="", tblPiNHistorical[[#This Row],[Shelter NFI New]]=0), "", tblPiNHistorical[[#This Row],[Shelter NFI New]]-tblPiNHistorical[[#This Row],[Shelter NFI Old]])</f>
        <v/>
      </c>
      <c r="AP244" s="138" t="str">
        <f>IF(OR(tblPiNHistorical[[#This Row],[WASH Old]]="", tblPiNHistorical[[#This Row],[WASH Old]]=0, tblPiNHistorical[[#This Row],[WASH New]]="", tblPiNHistorical[[#This Row],[WASH New]]=0), "", tblPiNHistorical[[#This Row],[WASH New]]-tblPiNHistorical[[#This Row],[WASH Old]])</f>
        <v/>
      </c>
      <c r="AQ244" s="139" t="str">
        <f>IFERROR(ROUND((tblPiNHistorical[[#This Row],[Site Management - New]] - tblPiNHistorical[[#This Row],[Site Management - Old]])/tblPiNHistorical[[#This Row],[Site Management - Old]], 1), "")</f>
        <v/>
      </c>
      <c r="AR244" s="140" t="str">
        <f>IFERROR(ROUND((tblPiNHistorical[[#This Row],[Education New]]-tblPiNHistorical[[#This Row],[Education Old]])/tblPiNHistorical[[#This Row],[Education Old]], 1), "")</f>
        <v/>
      </c>
      <c r="AS244" s="141" t="str">
        <f>IFERROR(ROUND((tblPiNHistorical[[#This Row],[Food Security and Livlihoods New]]-tblPiNHistorical[[#This Row],[Food Security and Livlihoods Old]])/tblPiNHistorical[[#This Row],[Food Security and Livlihoods Old]], 1), "")</f>
        <v/>
      </c>
      <c r="AT244" s="142" t="str">
        <f>IFERROR(ROUND((tblPiNHistorical[[#This Row],[Health New]]-tblPiNHistorical[[#This Row],[Health Old]])/tblPiNHistorical[[#This Row],[Health Old]], 1), "")</f>
        <v/>
      </c>
      <c r="AU244" s="140" t="str">
        <f>IFERROR(ROUND((tblPiNHistorical[[#This Row],[Nutrition New]]-tblPiNHistorical[[#This Row],[Nutrition Old]])/tblPiNHistorical[[#This Row],[Nutrition Old]], 1), "")</f>
        <v/>
      </c>
      <c r="AV244" s="140" t="str">
        <f>IFERROR(ROUND((tblPiNHistorical[[#This Row],[Protection New]]-tblPiNHistorical[[#This Row],[Protection Old]])/tblPiNHistorical[[#This Row],[Protection Old]], 1), "")</f>
        <v/>
      </c>
      <c r="AW244" s="84" t="str">
        <f>IFERROR(ROUND((tblPiNHistorical[[#This Row],[CP New]]-tblPiNHistorical[[#This Row],[CP Old ]])/tblPiNHistorical[[#This Row],[CP Old ]], 1), "")</f>
        <v/>
      </c>
      <c r="AX244" s="84" t="str">
        <f>IFERROR(ROUND((tblPiNHistorical[[#This Row],[GBV New]]-tblPiNHistorical[[#This Row],[GBV Old]])/tblPiNHistorical[[#This Row],[GBV Old]], 1), "")</f>
        <v/>
      </c>
      <c r="AY244" s="84" t="str">
        <f>IFERROR(ROUND((tblPiNHistorical[[#This Row],[Mine Action New]]-tblPiNHistorical[[#This Row],[Mine Action Old]])/tblPiNHistorical[[#This Row],[Mine Action Old]], 1), "")</f>
        <v/>
      </c>
      <c r="AZ244" s="140" t="str">
        <f>IFERROR(ROUND((tblPiNHistorical[[#This Row],[Shelter NFI New]]-tblPiNHistorical[[#This Row],[Shelter NFI Old]])/tblPiNHistorical[[#This Row],[Shelter NFI Old]], 1), "")</f>
        <v/>
      </c>
      <c r="BA244" s="31" t="str">
        <f>IFERROR(ROUND((tblPiNHistorical[[#This Row],[WASH New]]-tblPiNHistorical[[#This Row],[WASH Old]])/tblPiNHistorical[[#This Row],[WASH Old]], 1), "")</f>
        <v/>
      </c>
    </row>
    <row r="245" spans="1:53" ht="38.25" x14ac:dyDescent="0.25">
      <c r="A245"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RefugeesSD11056</v>
      </c>
      <c r="B245" s="134" t="s">
        <v>161</v>
      </c>
      <c r="C245" s="124" t="s">
        <v>128</v>
      </c>
      <c r="D245" s="124" t="s">
        <v>430</v>
      </c>
      <c r="E245" s="59" t="s">
        <v>431</v>
      </c>
      <c r="F245" s="54"/>
      <c r="G245" s="29"/>
      <c r="H245" s="53">
        <v>26278</v>
      </c>
      <c r="I245" s="53" t="s">
        <v>90</v>
      </c>
      <c r="J245" s="34">
        <v>0</v>
      </c>
      <c r="K245" s="116">
        <v>6723</v>
      </c>
      <c r="L245" s="114">
        <v>26246</v>
      </c>
      <c r="M245" s="114">
        <v>25459</v>
      </c>
      <c r="N245" s="114">
        <v>2396</v>
      </c>
      <c r="O245" s="114">
        <v>26246</v>
      </c>
      <c r="P245" s="114">
        <v>262.45999999999998</v>
      </c>
      <c r="Q245" s="114">
        <v>4094.3760000000002</v>
      </c>
      <c r="R245" s="114">
        <v>0</v>
      </c>
      <c r="S245" s="114">
        <v>15748</v>
      </c>
      <c r="T245" s="196">
        <v>22611</v>
      </c>
      <c r="U245" s="52" t="str">
        <f>IFERROR(INDEX(tblPiNAnalysis[[Site Management ]], MATCH(tblPiNHistorical[[#This Row],[ID]], tblPiNAnalysis[ID], 0)), "")</f>
        <v/>
      </c>
      <c r="V245" s="52" t="str">
        <f>IFERROR(INDEX(tblPiNAnalysis[Education], MATCH(tblPiNHistorical[[#This Row],[ID]], tblPiNAnalysis[ID], 0)), "")</f>
        <v/>
      </c>
      <c r="W245" s="28" t="str">
        <f>IFERROR(INDEX(tblPiNAnalysis[Food Security and Livlihoods], MATCH(tblPiNHistorical[[#This Row],[ID]], tblPiNAnalysis[ID], 0)), "")</f>
        <v/>
      </c>
      <c r="X245" s="28" t="str">
        <f>IFERROR(INDEX(tblPiNAnalysis[[Health ]], MATCH(tblPiNHistorical[[#This Row],[ID]], tblPiNAnalysis[ID], 0)), "")</f>
        <v/>
      </c>
      <c r="Y245" s="28" t="str">
        <f>IFERROR(INDEX(tblPiNAnalysis[Nutrition], MATCH(tblPiNHistorical[[#This Row],[ID]], tblPiNAnalysis[ID], 0)), "")</f>
        <v/>
      </c>
      <c r="Z245" s="28" t="str">
        <f>IFERROR(INDEX(tblPiNAnalysis[Protection], MATCH(tblPiNHistorical[[#This Row],[ID]], tblPiNAnalysis[ID], 0)), "")</f>
        <v/>
      </c>
      <c r="AA245" s="28" t="str">
        <f>IFERROR(INDEX(tblPiNAnalysis[CP], MATCH(tblPiNHistorical[[#This Row],[ID]], tblPiNAnalysis[ID], 0)), "")</f>
        <v/>
      </c>
      <c r="AB245" s="83" t="str">
        <f>IFERROR(INDEX(tblPiNAnalysis[GBV], MATCH(tblPiNHistorical[[#This Row],[ID]], tblPiNAnalysis[ID], 0)), "")</f>
        <v/>
      </c>
      <c r="AC245" s="28" t="str">
        <f>IFERROR(INDEX(tblPiNAnalysis[Mine Action], MATCH(tblPiNHistorical[[#This Row],[ID]], tblPiNAnalysis[ID], 0)), "")</f>
        <v/>
      </c>
      <c r="AD245" s="83" t="str">
        <f>IFERROR(INDEX(tblPiNAnalysis[[Shelter NFI ]], MATCH(tblPiNHistorical[[#This Row],[ID]], tblPiNAnalysis[ID], 0)), "")</f>
        <v/>
      </c>
      <c r="AE245" s="28" t="str">
        <f>IFERROR(INDEX(tblPiNAnalysis[WASH], MATCH(tblPiNHistorical[[#This Row],[ID]], tblPiNAnalysis[ID], 0)), "")</f>
        <v/>
      </c>
      <c r="AF245"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245" s="136" t="str">
        <f>IF(OR(tblPiNHistorical[[#This Row],[Education Old]]="", tblPiNHistorical[[#This Row],[Education Old]]=0, tblPiNHistorical[[#This Row],[Education New]]="", tblPiNHistorical[[#This Row],[Education New]]=0), "", tblPiNHistorical[[#This Row],[Education New]]-tblPiNHistorical[[#This Row],[Education Old]])</f>
        <v/>
      </c>
      <c r="AH245"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245" s="137" t="str">
        <f>IF(OR(tblPiNHistorical[[#This Row],[Health Old]]="", tblPiNHistorical[[#This Row],[Health Old]]=0, tblPiNHistorical[[#This Row],[Health New]]="", tblPiNHistorical[[#This Row],[Health New]]=0), "", tblPiNHistorical[[#This Row],[Health New]]-tblPiNHistorical[[#This Row],[Health Old]])</f>
        <v/>
      </c>
      <c r="AJ245" s="136" t="str">
        <f>IF(OR(tblPiNHistorical[[#This Row],[Nutrition Old]]="", tblPiNHistorical[[#This Row],[Nutrition Old]]=0, tblPiNHistorical[[#This Row],[Nutrition New]]="", tblPiNHistorical[[#This Row],[Nutrition New]]=0), "", tblPiNHistorical[[#This Row],[Nutrition New]]-tblPiNHistorical[[#This Row],[Nutrition Old]])</f>
        <v/>
      </c>
      <c r="AK245" s="136" t="str">
        <f>IF(OR(tblPiNHistorical[[#This Row],[Protection Old]]="", tblPiNHistorical[[#This Row],[Protection Old]]=0, tblPiNHistorical[[#This Row],[Protection New]]="", tblPiNHistorical[[#This Row],[Protection New]]=0), "", tblPiNHistorical[[#This Row],[Protection New]]-tblPiNHistorical[[#This Row],[Protection Old]])</f>
        <v/>
      </c>
      <c r="AL245" s="136" t="str">
        <f>IF(OR(tblPiNHistorical[[#This Row],[CP Old ]]="", tblPiNHistorical[[#This Row],[CP Old ]]=0, tblPiNHistorical[[#This Row],[CP New]]="", tblPiNHistorical[[#This Row],[CP New]]=0), "", tblPiNHistorical[[#This Row],[CP New]]-tblPiNHistorical[[#This Row],[CP Old ]])</f>
        <v/>
      </c>
      <c r="AM245" s="83" t="str">
        <f>IF(OR(tblPiNHistorical[[#This Row],[GBV Old]]="", tblPiNHistorical[[#This Row],[GBV Old]]=0, tblPiNHistorical[[#This Row],[GBV New]]="", tblPiNHistorical[[#This Row],[GBV New]]=0), "", tblPiNHistorical[[#This Row],[GBV New]]-tblPiNHistorical[[#This Row],[GBV Old]])</f>
        <v/>
      </c>
      <c r="AN245" s="83" t="str">
        <f>IF(OR(tblPiNHistorical[[#This Row],[Mine Action Old]]="", tblPiNHistorical[[#This Row],[Mine Action Old]]=0, tblPiNHistorical[[#This Row],[Mine Action New]]="", tblPiNHistorical[[#This Row],[Mine Action New]]=0), "", tblPiNHistorical[[#This Row],[Mine Action New]]-tblPiNHistorical[[#This Row],[Mine Action Old]])</f>
        <v/>
      </c>
      <c r="AO245" s="136" t="str">
        <f>IF(OR(tblPiNHistorical[[#This Row],[Shelter NFI Old]]="", tblPiNHistorical[[#This Row],[Shelter NFI Old]]=0, tblPiNHistorical[[#This Row],[Shelter NFI New]]="", tblPiNHistorical[[#This Row],[Shelter NFI New]]=0), "", tblPiNHistorical[[#This Row],[Shelter NFI New]]-tblPiNHistorical[[#This Row],[Shelter NFI Old]])</f>
        <v/>
      </c>
      <c r="AP245" s="138" t="str">
        <f>IF(OR(tblPiNHistorical[[#This Row],[WASH Old]]="", tblPiNHistorical[[#This Row],[WASH Old]]=0, tblPiNHistorical[[#This Row],[WASH New]]="", tblPiNHistorical[[#This Row],[WASH New]]=0), "", tblPiNHistorical[[#This Row],[WASH New]]-tblPiNHistorical[[#This Row],[WASH Old]])</f>
        <v/>
      </c>
      <c r="AQ245" s="139" t="str">
        <f>IFERROR(ROUND((tblPiNHistorical[[#This Row],[Site Management - New]] - tblPiNHistorical[[#This Row],[Site Management - Old]])/tblPiNHistorical[[#This Row],[Site Management - Old]], 1), "")</f>
        <v/>
      </c>
      <c r="AR245" s="140" t="str">
        <f>IFERROR(ROUND((tblPiNHistorical[[#This Row],[Education New]]-tblPiNHistorical[[#This Row],[Education Old]])/tblPiNHistorical[[#This Row],[Education Old]], 1), "")</f>
        <v/>
      </c>
      <c r="AS245" s="141" t="str">
        <f>IFERROR(ROUND((tblPiNHistorical[[#This Row],[Food Security and Livlihoods New]]-tblPiNHistorical[[#This Row],[Food Security and Livlihoods Old]])/tblPiNHistorical[[#This Row],[Food Security and Livlihoods Old]], 1), "")</f>
        <v/>
      </c>
      <c r="AT245" s="142" t="str">
        <f>IFERROR(ROUND((tblPiNHistorical[[#This Row],[Health New]]-tblPiNHistorical[[#This Row],[Health Old]])/tblPiNHistorical[[#This Row],[Health Old]], 1), "")</f>
        <v/>
      </c>
      <c r="AU245" s="140" t="str">
        <f>IFERROR(ROUND((tblPiNHistorical[[#This Row],[Nutrition New]]-tblPiNHistorical[[#This Row],[Nutrition Old]])/tblPiNHistorical[[#This Row],[Nutrition Old]], 1), "")</f>
        <v/>
      </c>
      <c r="AV245" s="140" t="str">
        <f>IFERROR(ROUND((tblPiNHistorical[[#This Row],[Protection New]]-tblPiNHistorical[[#This Row],[Protection Old]])/tblPiNHistorical[[#This Row],[Protection Old]], 1), "")</f>
        <v/>
      </c>
      <c r="AW245" s="84" t="str">
        <f>IFERROR(ROUND((tblPiNHistorical[[#This Row],[CP New]]-tblPiNHistorical[[#This Row],[CP Old ]])/tblPiNHistorical[[#This Row],[CP Old ]], 1), "")</f>
        <v/>
      </c>
      <c r="AX245" s="84" t="str">
        <f>IFERROR(ROUND((tblPiNHistorical[[#This Row],[GBV New]]-tblPiNHistorical[[#This Row],[GBV Old]])/tblPiNHistorical[[#This Row],[GBV Old]], 1), "")</f>
        <v/>
      </c>
      <c r="AY245" s="84" t="str">
        <f>IFERROR(ROUND((tblPiNHistorical[[#This Row],[Mine Action New]]-tblPiNHistorical[[#This Row],[Mine Action Old]])/tblPiNHistorical[[#This Row],[Mine Action Old]], 1), "")</f>
        <v/>
      </c>
      <c r="AZ245" s="140" t="str">
        <f>IFERROR(ROUND((tblPiNHistorical[[#This Row],[Shelter NFI New]]-tblPiNHistorical[[#This Row],[Shelter NFI Old]])/tblPiNHistorical[[#This Row],[Shelter NFI Old]], 1), "")</f>
        <v/>
      </c>
      <c r="BA245" s="31" t="str">
        <f>IFERROR(ROUND((tblPiNHistorical[[#This Row],[WASH New]]-tblPiNHistorical[[#This Row],[WASH Old]])/tblPiNHistorical[[#This Row],[WASH Old]], 1), "")</f>
        <v/>
      </c>
    </row>
    <row r="246" spans="1:53" ht="38.25" x14ac:dyDescent="0.25">
      <c r="A246"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RefugeesSD11060</v>
      </c>
      <c r="B246" s="134" t="s">
        <v>161</v>
      </c>
      <c r="C246" s="124" t="s">
        <v>128</v>
      </c>
      <c r="D246" s="124" t="s">
        <v>438</v>
      </c>
      <c r="E246" s="59" t="s">
        <v>439</v>
      </c>
      <c r="F246" s="54"/>
      <c r="G246" s="29"/>
      <c r="H246" s="53">
        <v>10777</v>
      </c>
      <c r="I246" s="53" t="s">
        <v>90</v>
      </c>
      <c r="J246" s="34">
        <v>0</v>
      </c>
      <c r="K246" s="116">
        <v>3160</v>
      </c>
      <c r="L246" s="114">
        <v>10777</v>
      </c>
      <c r="M246" s="114">
        <v>10454</v>
      </c>
      <c r="N246" s="114">
        <v>984</v>
      </c>
      <c r="O246" s="114">
        <v>10777</v>
      </c>
      <c r="P246" s="114">
        <v>75.439000000000007</v>
      </c>
      <c r="Q246" s="114">
        <v>1077.7</v>
      </c>
      <c r="R246" s="114">
        <v>0</v>
      </c>
      <c r="S246" s="114">
        <v>4311</v>
      </c>
      <c r="T246" s="196">
        <v>8298</v>
      </c>
      <c r="U246" s="52" t="str">
        <f>IFERROR(INDEX(tblPiNAnalysis[[Site Management ]], MATCH(tblPiNHistorical[[#This Row],[ID]], tblPiNAnalysis[ID], 0)), "")</f>
        <v/>
      </c>
      <c r="V246" s="52" t="str">
        <f>IFERROR(INDEX(tblPiNAnalysis[Education], MATCH(tblPiNHistorical[[#This Row],[ID]], tblPiNAnalysis[ID], 0)), "")</f>
        <v/>
      </c>
      <c r="W246" s="28" t="str">
        <f>IFERROR(INDEX(tblPiNAnalysis[Food Security and Livlihoods], MATCH(tblPiNHistorical[[#This Row],[ID]], tblPiNAnalysis[ID], 0)), "")</f>
        <v/>
      </c>
      <c r="X246" s="28" t="str">
        <f>IFERROR(INDEX(tblPiNAnalysis[[Health ]], MATCH(tblPiNHistorical[[#This Row],[ID]], tblPiNAnalysis[ID], 0)), "")</f>
        <v/>
      </c>
      <c r="Y246" s="28" t="str">
        <f>IFERROR(INDEX(tblPiNAnalysis[Nutrition], MATCH(tblPiNHistorical[[#This Row],[ID]], tblPiNAnalysis[ID], 0)), "")</f>
        <v/>
      </c>
      <c r="Z246" s="28" t="str">
        <f>IFERROR(INDEX(tblPiNAnalysis[Protection], MATCH(tblPiNHistorical[[#This Row],[ID]], tblPiNAnalysis[ID], 0)), "")</f>
        <v/>
      </c>
      <c r="AA246" s="28" t="str">
        <f>IFERROR(INDEX(tblPiNAnalysis[CP], MATCH(tblPiNHistorical[[#This Row],[ID]], tblPiNAnalysis[ID], 0)), "")</f>
        <v/>
      </c>
      <c r="AB246" s="83" t="str">
        <f>IFERROR(INDEX(tblPiNAnalysis[GBV], MATCH(tblPiNHistorical[[#This Row],[ID]], tblPiNAnalysis[ID], 0)), "")</f>
        <v/>
      </c>
      <c r="AC246" s="28" t="str">
        <f>IFERROR(INDEX(tblPiNAnalysis[Mine Action], MATCH(tblPiNHistorical[[#This Row],[ID]], tblPiNAnalysis[ID], 0)), "")</f>
        <v/>
      </c>
      <c r="AD246" s="83" t="str">
        <f>IFERROR(INDEX(tblPiNAnalysis[[Shelter NFI ]], MATCH(tblPiNHistorical[[#This Row],[ID]], tblPiNAnalysis[ID], 0)), "")</f>
        <v/>
      </c>
      <c r="AE246" s="28" t="str">
        <f>IFERROR(INDEX(tblPiNAnalysis[WASH], MATCH(tblPiNHistorical[[#This Row],[ID]], tblPiNAnalysis[ID], 0)), "")</f>
        <v/>
      </c>
      <c r="AF246"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246" s="136" t="str">
        <f>IF(OR(tblPiNHistorical[[#This Row],[Education Old]]="", tblPiNHistorical[[#This Row],[Education Old]]=0, tblPiNHistorical[[#This Row],[Education New]]="", tblPiNHistorical[[#This Row],[Education New]]=0), "", tblPiNHistorical[[#This Row],[Education New]]-tblPiNHistorical[[#This Row],[Education Old]])</f>
        <v/>
      </c>
      <c r="AH246"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246" s="137" t="str">
        <f>IF(OR(tblPiNHistorical[[#This Row],[Health Old]]="", tblPiNHistorical[[#This Row],[Health Old]]=0, tblPiNHistorical[[#This Row],[Health New]]="", tblPiNHistorical[[#This Row],[Health New]]=0), "", tblPiNHistorical[[#This Row],[Health New]]-tblPiNHistorical[[#This Row],[Health Old]])</f>
        <v/>
      </c>
      <c r="AJ246" s="136" t="str">
        <f>IF(OR(tblPiNHistorical[[#This Row],[Nutrition Old]]="", tblPiNHistorical[[#This Row],[Nutrition Old]]=0, tblPiNHistorical[[#This Row],[Nutrition New]]="", tblPiNHistorical[[#This Row],[Nutrition New]]=0), "", tblPiNHistorical[[#This Row],[Nutrition New]]-tblPiNHistorical[[#This Row],[Nutrition Old]])</f>
        <v/>
      </c>
      <c r="AK246" s="136" t="str">
        <f>IF(OR(tblPiNHistorical[[#This Row],[Protection Old]]="", tblPiNHistorical[[#This Row],[Protection Old]]=0, tblPiNHistorical[[#This Row],[Protection New]]="", tblPiNHistorical[[#This Row],[Protection New]]=0), "", tblPiNHistorical[[#This Row],[Protection New]]-tblPiNHistorical[[#This Row],[Protection Old]])</f>
        <v/>
      </c>
      <c r="AL246" s="136" t="str">
        <f>IF(OR(tblPiNHistorical[[#This Row],[CP Old ]]="", tblPiNHistorical[[#This Row],[CP Old ]]=0, tblPiNHistorical[[#This Row],[CP New]]="", tblPiNHistorical[[#This Row],[CP New]]=0), "", tblPiNHistorical[[#This Row],[CP New]]-tblPiNHistorical[[#This Row],[CP Old ]])</f>
        <v/>
      </c>
      <c r="AM246" s="83" t="str">
        <f>IF(OR(tblPiNHistorical[[#This Row],[GBV Old]]="", tblPiNHistorical[[#This Row],[GBV Old]]=0, tblPiNHistorical[[#This Row],[GBV New]]="", tblPiNHistorical[[#This Row],[GBV New]]=0), "", tblPiNHistorical[[#This Row],[GBV New]]-tblPiNHistorical[[#This Row],[GBV Old]])</f>
        <v/>
      </c>
      <c r="AN246" s="83" t="str">
        <f>IF(OR(tblPiNHistorical[[#This Row],[Mine Action Old]]="", tblPiNHistorical[[#This Row],[Mine Action Old]]=0, tblPiNHistorical[[#This Row],[Mine Action New]]="", tblPiNHistorical[[#This Row],[Mine Action New]]=0), "", tblPiNHistorical[[#This Row],[Mine Action New]]-tblPiNHistorical[[#This Row],[Mine Action Old]])</f>
        <v/>
      </c>
      <c r="AO246" s="136" t="str">
        <f>IF(OR(tblPiNHistorical[[#This Row],[Shelter NFI Old]]="", tblPiNHistorical[[#This Row],[Shelter NFI Old]]=0, tblPiNHistorical[[#This Row],[Shelter NFI New]]="", tblPiNHistorical[[#This Row],[Shelter NFI New]]=0), "", tblPiNHistorical[[#This Row],[Shelter NFI New]]-tblPiNHistorical[[#This Row],[Shelter NFI Old]])</f>
        <v/>
      </c>
      <c r="AP246" s="138" t="str">
        <f>IF(OR(tblPiNHistorical[[#This Row],[WASH Old]]="", tblPiNHistorical[[#This Row],[WASH Old]]=0, tblPiNHistorical[[#This Row],[WASH New]]="", tblPiNHistorical[[#This Row],[WASH New]]=0), "", tblPiNHistorical[[#This Row],[WASH New]]-tblPiNHistorical[[#This Row],[WASH Old]])</f>
        <v/>
      </c>
      <c r="AQ246" s="139" t="str">
        <f>IFERROR(ROUND((tblPiNHistorical[[#This Row],[Site Management - New]] - tblPiNHistorical[[#This Row],[Site Management - Old]])/tblPiNHistorical[[#This Row],[Site Management - Old]], 1), "")</f>
        <v/>
      </c>
      <c r="AR246" s="140" t="str">
        <f>IFERROR(ROUND((tblPiNHistorical[[#This Row],[Education New]]-tblPiNHistorical[[#This Row],[Education Old]])/tblPiNHistorical[[#This Row],[Education Old]], 1), "")</f>
        <v/>
      </c>
      <c r="AS246" s="141" t="str">
        <f>IFERROR(ROUND((tblPiNHistorical[[#This Row],[Food Security and Livlihoods New]]-tblPiNHistorical[[#This Row],[Food Security and Livlihoods Old]])/tblPiNHistorical[[#This Row],[Food Security and Livlihoods Old]], 1), "")</f>
        <v/>
      </c>
      <c r="AT246" s="142" t="str">
        <f>IFERROR(ROUND((tblPiNHistorical[[#This Row],[Health New]]-tblPiNHistorical[[#This Row],[Health Old]])/tblPiNHistorical[[#This Row],[Health Old]], 1), "")</f>
        <v/>
      </c>
      <c r="AU246" s="140" t="str">
        <f>IFERROR(ROUND((tblPiNHistorical[[#This Row],[Nutrition New]]-tblPiNHistorical[[#This Row],[Nutrition Old]])/tblPiNHistorical[[#This Row],[Nutrition Old]], 1), "")</f>
        <v/>
      </c>
      <c r="AV246" s="140" t="str">
        <f>IFERROR(ROUND((tblPiNHistorical[[#This Row],[Protection New]]-tblPiNHistorical[[#This Row],[Protection Old]])/tblPiNHistorical[[#This Row],[Protection Old]], 1), "")</f>
        <v/>
      </c>
      <c r="AW246" s="84" t="str">
        <f>IFERROR(ROUND((tblPiNHistorical[[#This Row],[CP New]]-tblPiNHistorical[[#This Row],[CP Old ]])/tblPiNHistorical[[#This Row],[CP Old ]], 1), "")</f>
        <v/>
      </c>
      <c r="AX246" s="84" t="str">
        <f>IFERROR(ROUND((tblPiNHistorical[[#This Row],[GBV New]]-tblPiNHistorical[[#This Row],[GBV Old]])/tblPiNHistorical[[#This Row],[GBV Old]], 1), "")</f>
        <v/>
      </c>
      <c r="AY246" s="84" t="str">
        <f>IFERROR(ROUND((tblPiNHistorical[[#This Row],[Mine Action New]]-tblPiNHistorical[[#This Row],[Mine Action Old]])/tblPiNHistorical[[#This Row],[Mine Action Old]], 1), "")</f>
        <v/>
      </c>
      <c r="AZ246" s="140" t="str">
        <f>IFERROR(ROUND((tblPiNHistorical[[#This Row],[Shelter NFI New]]-tblPiNHistorical[[#This Row],[Shelter NFI Old]])/tblPiNHistorical[[#This Row],[Shelter NFI Old]], 1), "")</f>
        <v/>
      </c>
      <c r="BA246" s="31" t="str">
        <f>IFERROR(ROUND((tblPiNHistorical[[#This Row],[WASH New]]-tblPiNHistorical[[#This Row],[WASH Old]])/tblPiNHistorical[[#This Row],[WASH Old]], 1), "")</f>
        <v/>
      </c>
    </row>
    <row r="247" spans="1:53" ht="38.25" x14ac:dyDescent="0.25">
      <c r="A247"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RefugeesSD11062</v>
      </c>
      <c r="B247" s="134" t="s">
        <v>161</v>
      </c>
      <c r="C247" s="124" t="s">
        <v>128</v>
      </c>
      <c r="D247" s="124" t="s">
        <v>442</v>
      </c>
      <c r="E247" s="59" t="s">
        <v>443</v>
      </c>
      <c r="F247" s="54"/>
      <c r="G247" s="29"/>
      <c r="H247" s="53">
        <v>0</v>
      </c>
      <c r="I247" s="53" t="s">
        <v>90</v>
      </c>
      <c r="J247" s="34">
        <v>0</v>
      </c>
      <c r="K247" s="116">
        <v>0</v>
      </c>
      <c r="L247" s="114">
        <v>0</v>
      </c>
      <c r="M247" s="114">
        <v>0</v>
      </c>
      <c r="N247" s="114">
        <v>0</v>
      </c>
      <c r="O247" s="114">
        <v>0</v>
      </c>
      <c r="P247" s="114">
        <v>0</v>
      </c>
      <c r="Q247" s="114">
        <v>0</v>
      </c>
      <c r="R247" s="114">
        <v>0</v>
      </c>
      <c r="S247" s="114">
        <v>0</v>
      </c>
      <c r="T247" s="196">
        <v>0</v>
      </c>
      <c r="U247" s="52" t="str">
        <f>IFERROR(INDEX(tblPiNAnalysis[[Site Management ]], MATCH(tblPiNHistorical[[#This Row],[ID]], tblPiNAnalysis[ID], 0)), "")</f>
        <v/>
      </c>
      <c r="V247" s="52" t="str">
        <f>IFERROR(INDEX(tblPiNAnalysis[Education], MATCH(tblPiNHistorical[[#This Row],[ID]], tblPiNAnalysis[ID], 0)), "")</f>
        <v/>
      </c>
      <c r="W247" s="28" t="str">
        <f>IFERROR(INDEX(tblPiNAnalysis[Food Security and Livlihoods], MATCH(tblPiNHistorical[[#This Row],[ID]], tblPiNAnalysis[ID], 0)), "")</f>
        <v/>
      </c>
      <c r="X247" s="28" t="str">
        <f>IFERROR(INDEX(tblPiNAnalysis[[Health ]], MATCH(tblPiNHistorical[[#This Row],[ID]], tblPiNAnalysis[ID], 0)), "")</f>
        <v/>
      </c>
      <c r="Y247" s="28" t="str">
        <f>IFERROR(INDEX(tblPiNAnalysis[Nutrition], MATCH(tblPiNHistorical[[#This Row],[ID]], tblPiNAnalysis[ID], 0)), "")</f>
        <v/>
      </c>
      <c r="Z247" s="28" t="str">
        <f>IFERROR(INDEX(tblPiNAnalysis[Protection], MATCH(tblPiNHistorical[[#This Row],[ID]], tblPiNAnalysis[ID], 0)), "")</f>
        <v/>
      </c>
      <c r="AA247" s="28" t="str">
        <f>IFERROR(INDEX(tblPiNAnalysis[CP], MATCH(tblPiNHistorical[[#This Row],[ID]], tblPiNAnalysis[ID], 0)), "")</f>
        <v/>
      </c>
      <c r="AB247" s="83" t="str">
        <f>IFERROR(INDEX(tblPiNAnalysis[GBV], MATCH(tblPiNHistorical[[#This Row],[ID]], tblPiNAnalysis[ID], 0)), "")</f>
        <v/>
      </c>
      <c r="AC247" s="28" t="str">
        <f>IFERROR(INDEX(tblPiNAnalysis[Mine Action], MATCH(tblPiNHistorical[[#This Row],[ID]], tblPiNAnalysis[ID], 0)), "")</f>
        <v/>
      </c>
      <c r="AD247" s="83" t="str">
        <f>IFERROR(INDEX(tblPiNAnalysis[[Shelter NFI ]], MATCH(tblPiNHistorical[[#This Row],[ID]], tblPiNAnalysis[ID], 0)), "")</f>
        <v/>
      </c>
      <c r="AE247" s="28" t="str">
        <f>IFERROR(INDEX(tblPiNAnalysis[WASH], MATCH(tblPiNHistorical[[#This Row],[ID]], tblPiNAnalysis[ID], 0)), "")</f>
        <v/>
      </c>
      <c r="AF247"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247" s="136" t="str">
        <f>IF(OR(tblPiNHistorical[[#This Row],[Education Old]]="", tblPiNHistorical[[#This Row],[Education Old]]=0, tblPiNHistorical[[#This Row],[Education New]]="", tblPiNHistorical[[#This Row],[Education New]]=0), "", tblPiNHistorical[[#This Row],[Education New]]-tblPiNHistorical[[#This Row],[Education Old]])</f>
        <v/>
      </c>
      <c r="AH247"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247" s="137" t="str">
        <f>IF(OR(tblPiNHistorical[[#This Row],[Health Old]]="", tblPiNHistorical[[#This Row],[Health Old]]=0, tblPiNHistorical[[#This Row],[Health New]]="", tblPiNHistorical[[#This Row],[Health New]]=0), "", tblPiNHistorical[[#This Row],[Health New]]-tblPiNHistorical[[#This Row],[Health Old]])</f>
        <v/>
      </c>
      <c r="AJ247" s="136" t="str">
        <f>IF(OR(tblPiNHistorical[[#This Row],[Nutrition Old]]="", tblPiNHistorical[[#This Row],[Nutrition Old]]=0, tblPiNHistorical[[#This Row],[Nutrition New]]="", tblPiNHistorical[[#This Row],[Nutrition New]]=0), "", tblPiNHistorical[[#This Row],[Nutrition New]]-tblPiNHistorical[[#This Row],[Nutrition Old]])</f>
        <v/>
      </c>
      <c r="AK247" s="136" t="str">
        <f>IF(OR(tblPiNHistorical[[#This Row],[Protection Old]]="", tblPiNHistorical[[#This Row],[Protection Old]]=0, tblPiNHistorical[[#This Row],[Protection New]]="", tblPiNHistorical[[#This Row],[Protection New]]=0), "", tblPiNHistorical[[#This Row],[Protection New]]-tblPiNHistorical[[#This Row],[Protection Old]])</f>
        <v/>
      </c>
      <c r="AL247" s="136" t="str">
        <f>IF(OR(tblPiNHistorical[[#This Row],[CP Old ]]="", tblPiNHistorical[[#This Row],[CP Old ]]=0, tblPiNHistorical[[#This Row],[CP New]]="", tblPiNHistorical[[#This Row],[CP New]]=0), "", tblPiNHistorical[[#This Row],[CP New]]-tblPiNHistorical[[#This Row],[CP Old ]])</f>
        <v/>
      </c>
      <c r="AM247" s="83" t="str">
        <f>IF(OR(tblPiNHistorical[[#This Row],[GBV Old]]="", tblPiNHistorical[[#This Row],[GBV Old]]=0, tblPiNHistorical[[#This Row],[GBV New]]="", tblPiNHistorical[[#This Row],[GBV New]]=0), "", tblPiNHistorical[[#This Row],[GBV New]]-tblPiNHistorical[[#This Row],[GBV Old]])</f>
        <v/>
      </c>
      <c r="AN247" s="83" t="str">
        <f>IF(OR(tblPiNHistorical[[#This Row],[Mine Action Old]]="", tblPiNHistorical[[#This Row],[Mine Action Old]]=0, tblPiNHistorical[[#This Row],[Mine Action New]]="", tblPiNHistorical[[#This Row],[Mine Action New]]=0), "", tblPiNHistorical[[#This Row],[Mine Action New]]-tblPiNHistorical[[#This Row],[Mine Action Old]])</f>
        <v/>
      </c>
      <c r="AO247" s="136" t="str">
        <f>IF(OR(tblPiNHistorical[[#This Row],[Shelter NFI Old]]="", tblPiNHistorical[[#This Row],[Shelter NFI Old]]=0, tblPiNHistorical[[#This Row],[Shelter NFI New]]="", tblPiNHistorical[[#This Row],[Shelter NFI New]]=0), "", tblPiNHistorical[[#This Row],[Shelter NFI New]]-tblPiNHistorical[[#This Row],[Shelter NFI Old]])</f>
        <v/>
      </c>
      <c r="AP247" s="138" t="str">
        <f>IF(OR(tblPiNHistorical[[#This Row],[WASH Old]]="", tblPiNHistorical[[#This Row],[WASH Old]]=0, tblPiNHistorical[[#This Row],[WASH New]]="", tblPiNHistorical[[#This Row],[WASH New]]=0), "", tblPiNHistorical[[#This Row],[WASH New]]-tblPiNHistorical[[#This Row],[WASH Old]])</f>
        <v/>
      </c>
      <c r="AQ247" s="139" t="str">
        <f>IFERROR(ROUND((tblPiNHistorical[[#This Row],[Site Management - New]] - tblPiNHistorical[[#This Row],[Site Management - Old]])/tblPiNHistorical[[#This Row],[Site Management - Old]], 1), "")</f>
        <v/>
      </c>
      <c r="AR247" s="140" t="str">
        <f>IFERROR(ROUND((tblPiNHistorical[[#This Row],[Education New]]-tblPiNHistorical[[#This Row],[Education Old]])/tblPiNHistorical[[#This Row],[Education Old]], 1), "")</f>
        <v/>
      </c>
      <c r="AS247" s="141" t="str">
        <f>IFERROR(ROUND((tblPiNHistorical[[#This Row],[Food Security and Livlihoods New]]-tblPiNHistorical[[#This Row],[Food Security and Livlihoods Old]])/tblPiNHistorical[[#This Row],[Food Security and Livlihoods Old]], 1), "")</f>
        <v/>
      </c>
      <c r="AT247" s="142" t="str">
        <f>IFERROR(ROUND((tblPiNHistorical[[#This Row],[Health New]]-tblPiNHistorical[[#This Row],[Health Old]])/tblPiNHistorical[[#This Row],[Health Old]], 1), "")</f>
        <v/>
      </c>
      <c r="AU247" s="140" t="str">
        <f>IFERROR(ROUND((tblPiNHistorical[[#This Row],[Nutrition New]]-tblPiNHistorical[[#This Row],[Nutrition Old]])/tblPiNHistorical[[#This Row],[Nutrition Old]], 1), "")</f>
        <v/>
      </c>
      <c r="AV247" s="140" t="str">
        <f>IFERROR(ROUND((tblPiNHistorical[[#This Row],[Protection New]]-tblPiNHistorical[[#This Row],[Protection Old]])/tblPiNHistorical[[#This Row],[Protection Old]], 1), "")</f>
        <v/>
      </c>
      <c r="AW247" s="84" t="str">
        <f>IFERROR(ROUND((tblPiNHistorical[[#This Row],[CP New]]-tblPiNHistorical[[#This Row],[CP Old ]])/tblPiNHistorical[[#This Row],[CP Old ]], 1), "")</f>
        <v/>
      </c>
      <c r="AX247" s="84" t="str">
        <f>IFERROR(ROUND((tblPiNHistorical[[#This Row],[GBV New]]-tblPiNHistorical[[#This Row],[GBV Old]])/tblPiNHistorical[[#This Row],[GBV Old]], 1), "")</f>
        <v/>
      </c>
      <c r="AY247" s="84" t="str">
        <f>IFERROR(ROUND((tblPiNHistorical[[#This Row],[Mine Action New]]-tblPiNHistorical[[#This Row],[Mine Action Old]])/tblPiNHistorical[[#This Row],[Mine Action Old]], 1), "")</f>
        <v/>
      </c>
      <c r="AZ247" s="140" t="str">
        <f>IFERROR(ROUND((tblPiNHistorical[[#This Row],[Shelter NFI New]]-tblPiNHistorical[[#This Row],[Shelter NFI Old]])/tblPiNHistorical[[#This Row],[Shelter NFI Old]], 1), "")</f>
        <v/>
      </c>
      <c r="BA247" s="31" t="str">
        <f>IFERROR(ROUND((tblPiNHistorical[[#This Row],[WASH New]]-tblPiNHistorical[[#This Row],[WASH Old]])/tblPiNHistorical[[#This Row],[WASH Old]], 1), "")</f>
        <v/>
      </c>
    </row>
    <row r="248" spans="1:53" ht="38.25" x14ac:dyDescent="0.25">
      <c r="A248"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RefugeesSD11057</v>
      </c>
      <c r="B248" s="134" t="s">
        <v>161</v>
      </c>
      <c r="C248" s="124" t="s">
        <v>128</v>
      </c>
      <c r="D248" s="124" t="s">
        <v>432</v>
      </c>
      <c r="E248" s="59" t="s">
        <v>433</v>
      </c>
      <c r="F248" s="54"/>
      <c r="G248" s="29"/>
      <c r="H248" s="53">
        <v>0</v>
      </c>
      <c r="I248" s="53" t="s">
        <v>90</v>
      </c>
      <c r="J248" s="34">
        <v>0</v>
      </c>
      <c r="K248" s="116">
        <v>0</v>
      </c>
      <c r="L248" s="114">
        <v>0</v>
      </c>
      <c r="M248" s="114">
        <v>0</v>
      </c>
      <c r="N248" s="114">
        <v>0</v>
      </c>
      <c r="O248" s="114">
        <v>0</v>
      </c>
      <c r="P248" s="114">
        <v>0</v>
      </c>
      <c r="Q248" s="114">
        <v>0</v>
      </c>
      <c r="R248" s="114">
        <v>0</v>
      </c>
      <c r="S248" s="114">
        <v>0</v>
      </c>
      <c r="T248" s="196">
        <v>0</v>
      </c>
      <c r="U248" s="52" t="str">
        <f>IFERROR(INDEX(tblPiNAnalysis[[Site Management ]], MATCH(tblPiNHistorical[[#This Row],[ID]], tblPiNAnalysis[ID], 0)), "")</f>
        <v/>
      </c>
      <c r="V248" s="52" t="str">
        <f>IFERROR(INDEX(tblPiNAnalysis[Education], MATCH(tblPiNHistorical[[#This Row],[ID]], tblPiNAnalysis[ID], 0)), "")</f>
        <v/>
      </c>
      <c r="W248" s="28" t="str">
        <f>IFERROR(INDEX(tblPiNAnalysis[Food Security and Livlihoods], MATCH(tblPiNHistorical[[#This Row],[ID]], tblPiNAnalysis[ID], 0)), "")</f>
        <v/>
      </c>
      <c r="X248" s="28" t="str">
        <f>IFERROR(INDEX(tblPiNAnalysis[[Health ]], MATCH(tblPiNHistorical[[#This Row],[ID]], tblPiNAnalysis[ID], 0)), "")</f>
        <v/>
      </c>
      <c r="Y248" s="28" t="str">
        <f>IFERROR(INDEX(tblPiNAnalysis[Nutrition], MATCH(tblPiNHistorical[[#This Row],[ID]], tblPiNAnalysis[ID], 0)), "")</f>
        <v/>
      </c>
      <c r="Z248" s="28" t="str">
        <f>IFERROR(INDEX(tblPiNAnalysis[Protection], MATCH(tblPiNHistorical[[#This Row],[ID]], tblPiNAnalysis[ID], 0)), "")</f>
        <v/>
      </c>
      <c r="AA248" s="28" t="str">
        <f>IFERROR(INDEX(tblPiNAnalysis[CP], MATCH(tblPiNHistorical[[#This Row],[ID]], tblPiNAnalysis[ID], 0)), "")</f>
        <v/>
      </c>
      <c r="AB248" s="83" t="str">
        <f>IFERROR(INDEX(tblPiNAnalysis[GBV], MATCH(tblPiNHistorical[[#This Row],[ID]], tblPiNAnalysis[ID], 0)), "")</f>
        <v/>
      </c>
      <c r="AC248" s="28" t="str">
        <f>IFERROR(INDEX(tblPiNAnalysis[Mine Action], MATCH(tblPiNHistorical[[#This Row],[ID]], tblPiNAnalysis[ID], 0)), "")</f>
        <v/>
      </c>
      <c r="AD248" s="83" t="str">
        <f>IFERROR(INDEX(tblPiNAnalysis[[Shelter NFI ]], MATCH(tblPiNHistorical[[#This Row],[ID]], tblPiNAnalysis[ID], 0)), "")</f>
        <v/>
      </c>
      <c r="AE248" s="28" t="str">
        <f>IFERROR(INDEX(tblPiNAnalysis[WASH], MATCH(tblPiNHistorical[[#This Row],[ID]], tblPiNAnalysis[ID], 0)), "")</f>
        <v/>
      </c>
      <c r="AF248"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248" s="136" t="str">
        <f>IF(OR(tblPiNHistorical[[#This Row],[Education Old]]="", tblPiNHistorical[[#This Row],[Education Old]]=0, tblPiNHistorical[[#This Row],[Education New]]="", tblPiNHistorical[[#This Row],[Education New]]=0), "", tblPiNHistorical[[#This Row],[Education New]]-tblPiNHistorical[[#This Row],[Education Old]])</f>
        <v/>
      </c>
      <c r="AH248"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248" s="137" t="str">
        <f>IF(OR(tblPiNHistorical[[#This Row],[Health Old]]="", tblPiNHistorical[[#This Row],[Health Old]]=0, tblPiNHistorical[[#This Row],[Health New]]="", tblPiNHistorical[[#This Row],[Health New]]=0), "", tblPiNHistorical[[#This Row],[Health New]]-tblPiNHistorical[[#This Row],[Health Old]])</f>
        <v/>
      </c>
      <c r="AJ248" s="136" t="str">
        <f>IF(OR(tblPiNHistorical[[#This Row],[Nutrition Old]]="", tblPiNHistorical[[#This Row],[Nutrition Old]]=0, tblPiNHistorical[[#This Row],[Nutrition New]]="", tblPiNHistorical[[#This Row],[Nutrition New]]=0), "", tblPiNHistorical[[#This Row],[Nutrition New]]-tblPiNHistorical[[#This Row],[Nutrition Old]])</f>
        <v/>
      </c>
      <c r="AK248" s="136" t="str">
        <f>IF(OR(tblPiNHistorical[[#This Row],[Protection Old]]="", tblPiNHistorical[[#This Row],[Protection Old]]=0, tblPiNHistorical[[#This Row],[Protection New]]="", tblPiNHistorical[[#This Row],[Protection New]]=0), "", tblPiNHistorical[[#This Row],[Protection New]]-tblPiNHistorical[[#This Row],[Protection Old]])</f>
        <v/>
      </c>
      <c r="AL248" s="136" t="str">
        <f>IF(OR(tblPiNHistorical[[#This Row],[CP Old ]]="", tblPiNHistorical[[#This Row],[CP Old ]]=0, tblPiNHistorical[[#This Row],[CP New]]="", tblPiNHistorical[[#This Row],[CP New]]=0), "", tblPiNHistorical[[#This Row],[CP New]]-tblPiNHistorical[[#This Row],[CP Old ]])</f>
        <v/>
      </c>
      <c r="AM248" s="83" t="str">
        <f>IF(OR(tblPiNHistorical[[#This Row],[GBV Old]]="", tblPiNHistorical[[#This Row],[GBV Old]]=0, tblPiNHistorical[[#This Row],[GBV New]]="", tblPiNHistorical[[#This Row],[GBV New]]=0), "", tblPiNHistorical[[#This Row],[GBV New]]-tblPiNHistorical[[#This Row],[GBV Old]])</f>
        <v/>
      </c>
      <c r="AN248" s="83" t="str">
        <f>IF(OR(tblPiNHistorical[[#This Row],[Mine Action Old]]="", tblPiNHistorical[[#This Row],[Mine Action Old]]=0, tblPiNHistorical[[#This Row],[Mine Action New]]="", tblPiNHistorical[[#This Row],[Mine Action New]]=0), "", tblPiNHistorical[[#This Row],[Mine Action New]]-tblPiNHistorical[[#This Row],[Mine Action Old]])</f>
        <v/>
      </c>
      <c r="AO248" s="136" t="str">
        <f>IF(OR(tblPiNHistorical[[#This Row],[Shelter NFI Old]]="", tblPiNHistorical[[#This Row],[Shelter NFI Old]]=0, tblPiNHistorical[[#This Row],[Shelter NFI New]]="", tblPiNHistorical[[#This Row],[Shelter NFI New]]=0), "", tblPiNHistorical[[#This Row],[Shelter NFI New]]-tblPiNHistorical[[#This Row],[Shelter NFI Old]])</f>
        <v/>
      </c>
      <c r="AP248" s="138" t="str">
        <f>IF(OR(tblPiNHistorical[[#This Row],[WASH Old]]="", tblPiNHistorical[[#This Row],[WASH Old]]=0, tblPiNHistorical[[#This Row],[WASH New]]="", tblPiNHistorical[[#This Row],[WASH New]]=0), "", tblPiNHistorical[[#This Row],[WASH New]]-tblPiNHistorical[[#This Row],[WASH Old]])</f>
        <v/>
      </c>
      <c r="AQ248" s="139" t="str">
        <f>IFERROR(ROUND((tblPiNHistorical[[#This Row],[Site Management - New]] - tblPiNHistorical[[#This Row],[Site Management - Old]])/tblPiNHistorical[[#This Row],[Site Management - Old]], 1), "")</f>
        <v/>
      </c>
      <c r="AR248" s="140" t="str">
        <f>IFERROR(ROUND((tblPiNHistorical[[#This Row],[Education New]]-tblPiNHistorical[[#This Row],[Education Old]])/tblPiNHistorical[[#This Row],[Education Old]], 1), "")</f>
        <v/>
      </c>
      <c r="AS248" s="141" t="str">
        <f>IFERROR(ROUND((tblPiNHistorical[[#This Row],[Food Security and Livlihoods New]]-tblPiNHistorical[[#This Row],[Food Security and Livlihoods Old]])/tblPiNHistorical[[#This Row],[Food Security and Livlihoods Old]], 1), "")</f>
        <v/>
      </c>
      <c r="AT248" s="142" t="str">
        <f>IFERROR(ROUND((tblPiNHistorical[[#This Row],[Health New]]-tblPiNHistorical[[#This Row],[Health Old]])/tblPiNHistorical[[#This Row],[Health Old]], 1), "")</f>
        <v/>
      </c>
      <c r="AU248" s="140" t="str">
        <f>IFERROR(ROUND((tblPiNHistorical[[#This Row],[Nutrition New]]-tblPiNHistorical[[#This Row],[Nutrition Old]])/tblPiNHistorical[[#This Row],[Nutrition Old]], 1), "")</f>
        <v/>
      </c>
      <c r="AV248" s="140" t="str">
        <f>IFERROR(ROUND((tblPiNHistorical[[#This Row],[Protection New]]-tblPiNHistorical[[#This Row],[Protection Old]])/tblPiNHistorical[[#This Row],[Protection Old]], 1), "")</f>
        <v/>
      </c>
      <c r="AW248" s="84" t="str">
        <f>IFERROR(ROUND((tblPiNHistorical[[#This Row],[CP New]]-tblPiNHistorical[[#This Row],[CP Old ]])/tblPiNHistorical[[#This Row],[CP Old ]], 1), "")</f>
        <v/>
      </c>
      <c r="AX248" s="84" t="str">
        <f>IFERROR(ROUND((tblPiNHistorical[[#This Row],[GBV New]]-tblPiNHistorical[[#This Row],[GBV Old]])/tblPiNHistorical[[#This Row],[GBV Old]], 1), "")</f>
        <v/>
      </c>
      <c r="AY248" s="84" t="str">
        <f>IFERROR(ROUND((tblPiNHistorical[[#This Row],[Mine Action New]]-tblPiNHistorical[[#This Row],[Mine Action Old]])/tblPiNHistorical[[#This Row],[Mine Action Old]], 1), "")</f>
        <v/>
      </c>
      <c r="AZ248" s="140" t="str">
        <f>IFERROR(ROUND((tblPiNHistorical[[#This Row],[Shelter NFI New]]-tblPiNHistorical[[#This Row],[Shelter NFI Old]])/tblPiNHistorical[[#This Row],[Shelter NFI Old]], 1), "")</f>
        <v/>
      </c>
      <c r="BA248" s="31" t="str">
        <f>IFERROR(ROUND((tblPiNHistorical[[#This Row],[WASH New]]-tblPiNHistorical[[#This Row],[WASH Old]])/tblPiNHistorical[[#This Row],[WASH Old]], 1), "")</f>
        <v/>
      </c>
    </row>
    <row r="249" spans="1:53" ht="38.25" x14ac:dyDescent="0.25">
      <c r="A249"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RefugeesSD11059</v>
      </c>
      <c r="B249" s="134" t="s">
        <v>161</v>
      </c>
      <c r="C249" s="124" t="s">
        <v>128</v>
      </c>
      <c r="D249" s="124" t="s">
        <v>436</v>
      </c>
      <c r="E249" s="59" t="s">
        <v>437</v>
      </c>
      <c r="F249" s="54"/>
      <c r="G249" s="29"/>
      <c r="H249" s="53">
        <v>0</v>
      </c>
      <c r="I249" s="53" t="s">
        <v>90</v>
      </c>
      <c r="J249" s="34">
        <v>0</v>
      </c>
      <c r="K249" s="116">
        <v>0</v>
      </c>
      <c r="L249" s="114">
        <v>0</v>
      </c>
      <c r="M249" s="114">
        <v>0</v>
      </c>
      <c r="N249" s="114">
        <v>0</v>
      </c>
      <c r="O249" s="114">
        <v>0</v>
      </c>
      <c r="P249" s="114">
        <v>0</v>
      </c>
      <c r="Q249" s="114">
        <v>0</v>
      </c>
      <c r="R249" s="114">
        <v>0</v>
      </c>
      <c r="S249" s="114">
        <v>0</v>
      </c>
      <c r="T249" s="196">
        <v>0</v>
      </c>
      <c r="U249" s="52" t="str">
        <f>IFERROR(INDEX(tblPiNAnalysis[[Site Management ]], MATCH(tblPiNHistorical[[#This Row],[ID]], tblPiNAnalysis[ID], 0)), "")</f>
        <v/>
      </c>
      <c r="V249" s="52" t="str">
        <f>IFERROR(INDEX(tblPiNAnalysis[Education], MATCH(tblPiNHistorical[[#This Row],[ID]], tblPiNAnalysis[ID], 0)), "")</f>
        <v/>
      </c>
      <c r="W249" s="28" t="str">
        <f>IFERROR(INDEX(tblPiNAnalysis[Food Security and Livlihoods], MATCH(tblPiNHistorical[[#This Row],[ID]], tblPiNAnalysis[ID], 0)), "")</f>
        <v/>
      </c>
      <c r="X249" s="28" t="str">
        <f>IFERROR(INDEX(tblPiNAnalysis[[Health ]], MATCH(tblPiNHistorical[[#This Row],[ID]], tblPiNAnalysis[ID], 0)), "")</f>
        <v/>
      </c>
      <c r="Y249" s="28" t="str">
        <f>IFERROR(INDEX(tblPiNAnalysis[Nutrition], MATCH(tblPiNHistorical[[#This Row],[ID]], tblPiNAnalysis[ID], 0)), "")</f>
        <v/>
      </c>
      <c r="Z249" s="28" t="str">
        <f>IFERROR(INDEX(tblPiNAnalysis[Protection], MATCH(tblPiNHistorical[[#This Row],[ID]], tblPiNAnalysis[ID], 0)), "")</f>
        <v/>
      </c>
      <c r="AA249" s="28" t="str">
        <f>IFERROR(INDEX(tblPiNAnalysis[CP], MATCH(tblPiNHistorical[[#This Row],[ID]], tblPiNAnalysis[ID], 0)), "")</f>
        <v/>
      </c>
      <c r="AB249" s="83" t="str">
        <f>IFERROR(INDEX(tblPiNAnalysis[GBV], MATCH(tblPiNHistorical[[#This Row],[ID]], tblPiNAnalysis[ID], 0)), "")</f>
        <v/>
      </c>
      <c r="AC249" s="28" t="str">
        <f>IFERROR(INDEX(tblPiNAnalysis[Mine Action], MATCH(tblPiNHistorical[[#This Row],[ID]], tblPiNAnalysis[ID], 0)), "")</f>
        <v/>
      </c>
      <c r="AD249" s="83" t="str">
        <f>IFERROR(INDEX(tblPiNAnalysis[[Shelter NFI ]], MATCH(tblPiNHistorical[[#This Row],[ID]], tblPiNAnalysis[ID], 0)), "")</f>
        <v/>
      </c>
      <c r="AE249" s="28" t="str">
        <f>IFERROR(INDEX(tblPiNAnalysis[WASH], MATCH(tblPiNHistorical[[#This Row],[ID]], tblPiNAnalysis[ID], 0)), "")</f>
        <v/>
      </c>
      <c r="AF249"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249" s="136" t="str">
        <f>IF(OR(tblPiNHistorical[[#This Row],[Education Old]]="", tblPiNHistorical[[#This Row],[Education Old]]=0, tblPiNHistorical[[#This Row],[Education New]]="", tblPiNHistorical[[#This Row],[Education New]]=0), "", tblPiNHistorical[[#This Row],[Education New]]-tblPiNHistorical[[#This Row],[Education Old]])</f>
        <v/>
      </c>
      <c r="AH249"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249" s="137" t="str">
        <f>IF(OR(tblPiNHistorical[[#This Row],[Health Old]]="", tblPiNHistorical[[#This Row],[Health Old]]=0, tblPiNHistorical[[#This Row],[Health New]]="", tblPiNHistorical[[#This Row],[Health New]]=0), "", tblPiNHistorical[[#This Row],[Health New]]-tblPiNHistorical[[#This Row],[Health Old]])</f>
        <v/>
      </c>
      <c r="AJ249" s="136" t="str">
        <f>IF(OR(tblPiNHistorical[[#This Row],[Nutrition Old]]="", tblPiNHistorical[[#This Row],[Nutrition Old]]=0, tblPiNHistorical[[#This Row],[Nutrition New]]="", tblPiNHistorical[[#This Row],[Nutrition New]]=0), "", tblPiNHistorical[[#This Row],[Nutrition New]]-tblPiNHistorical[[#This Row],[Nutrition Old]])</f>
        <v/>
      </c>
      <c r="AK249" s="136" t="str">
        <f>IF(OR(tblPiNHistorical[[#This Row],[Protection Old]]="", tblPiNHistorical[[#This Row],[Protection Old]]=0, tblPiNHistorical[[#This Row],[Protection New]]="", tblPiNHistorical[[#This Row],[Protection New]]=0), "", tblPiNHistorical[[#This Row],[Protection New]]-tblPiNHistorical[[#This Row],[Protection Old]])</f>
        <v/>
      </c>
      <c r="AL249" s="136" t="str">
        <f>IF(OR(tblPiNHistorical[[#This Row],[CP Old ]]="", tblPiNHistorical[[#This Row],[CP Old ]]=0, tblPiNHistorical[[#This Row],[CP New]]="", tblPiNHistorical[[#This Row],[CP New]]=0), "", tblPiNHistorical[[#This Row],[CP New]]-tblPiNHistorical[[#This Row],[CP Old ]])</f>
        <v/>
      </c>
      <c r="AM249" s="83" t="str">
        <f>IF(OR(tblPiNHistorical[[#This Row],[GBV Old]]="", tblPiNHistorical[[#This Row],[GBV Old]]=0, tblPiNHistorical[[#This Row],[GBV New]]="", tblPiNHistorical[[#This Row],[GBV New]]=0), "", tblPiNHistorical[[#This Row],[GBV New]]-tblPiNHistorical[[#This Row],[GBV Old]])</f>
        <v/>
      </c>
      <c r="AN249" s="83" t="str">
        <f>IF(OR(tblPiNHistorical[[#This Row],[Mine Action Old]]="", tblPiNHistorical[[#This Row],[Mine Action Old]]=0, tblPiNHistorical[[#This Row],[Mine Action New]]="", tblPiNHistorical[[#This Row],[Mine Action New]]=0), "", tblPiNHistorical[[#This Row],[Mine Action New]]-tblPiNHistorical[[#This Row],[Mine Action Old]])</f>
        <v/>
      </c>
      <c r="AO249" s="136" t="str">
        <f>IF(OR(tblPiNHistorical[[#This Row],[Shelter NFI Old]]="", tblPiNHistorical[[#This Row],[Shelter NFI Old]]=0, tblPiNHistorical[[#This Row],[Shelter NFI New]]="", tblPiNHistorical[[#This Row],[Shelter NFI New]]=0), "", tblPiNHistorical[[#This Row],[Shelter NFI New]]-tblPiNHistorical[[#This Row],[Shelter NFI Old]])</f>
        <v/>
      </c>
      <c r="AP249" s="138" t="str">
        <f>IF(OR(tblPiNHistorical[[#This Row],[WASH Old]]="", tblPiNHistorical[[#This Row],[WASH Old]]=0, tblPiNHistorical[[#This Row],[WASH New]]="", tblPiNHistorical[[#This Row],[WASH New]]=0), "", tblPiNHistorical[[#This Row],[WASH New]]-tblPiNHistorical[[#This Row],[WASH Old]])</f>
        <v/>
      </c>
      <c r="AQ249" s="139" t="str">
        <f>IFERROR(ROUND((tblPiNHistorical[[#This Row],[Site Management - New]] - tblPiNHistorical[[#This Row],[Site Management - Old]])/tblPiNHistorical[[#This Row],[Site Management - Old]], 1), "")</f>
        <v/>
      </c>
      <c r="AR249" s="140" t="str">
        <f>IFERROR(ROUND((tblPiNHistorical[[#This Row],[Education New]]-tblPiNHistorical[[#This Row],[Education Old]])/tblPiNHistorical[[#This Row],[Education Old]], 1), "")</f>
        <v/>
      </c>
      <c r="AS249" s="141" t="str">
        <f>IFERROR(ROUND((tblPiNHistorical[[#This Row],[Food Security and Livlihoods New]]-tblPiNHistorical[[#This Row],[Food Security and Livlihoods Old]])/tblPiNHistorical[[#This Row],[Food Security and Livlihoods Old]], 1), "")</f>
        <v/>
      </c>
      <c r="AT249" s="142" t="str">
        <f>IFERROR(ROUND((tblPiNHistorical[[#This Row],[Health New]]-tblPiNHistorical[[#This Row],[Health Old]])/tblPiNHistorical[[#This Row],[Health Old]], 1), "")</f>
        <v/>
      </c>
      <c r="AU249" s="140" t="str">
        <f>IFERROR(ROUND((tblPiNHistorical[[#This Row],[Nutrition New]]-tblPiNHistorical[[#This Row],[Nutrition Old]])/tblPiNHistorical[[#This Row],[Nutrition Old]], 1), "")</f>
        <v/>
      </c>
      <c r="AV249" s="140" t="str">
        <f>IFERROR(ROUND((tblPiNHistorical[[#This Row],[Protection New]]-tblPiNHistorical[[#This Row],[Protection Old]])/tblPiNHistorical[[#This Row],[Protection Old]], 1), "")</f>
        <v/>
      </c>
      <c r="AW249" s="84" t="str">
        <f>IFERROR(ROUND((tblPiNHistorical[[#This Row],[CP New]]-tblPiNHistorical[[#This Row],[CP Old ]])/tblPiNHistorical[[#This Row],[CP Old ]], 1), "")</f>
        <v/>
      </c>
      <c r="AX249" s="84" t="str">
        <f>IFERROR(ROUND((tblPiNHistorical[[#This Row],[GBV New]]-tblPiNHistorical[[#This Row],[GBV Old]])/tblPiNHistorical[[#This Row],[GBV Old]], 1), "")</f>
        <v/>
      </c>
      <c r="AY249" s="84" t="str">
        <f>IFERROR(ROUND((tblPiNHistorical[[#This Row],[Mine Action New]]-tblPiNHistorical[[#This Row],[Mine Action Old]])/tblPiNHistorical[[#This Row],[Mine Action Old]], 1), "")</f>
        <v/>
      </c>
      <c r="AZ249" s="140" t="str">
        <f>IFERROR(ROUND((tblPiNHistorical[[#This Row],[Shelter NFI New]]-tblPiNHistorical[[#This Row],[Shelter NFI Old]])/tblPiNHistorical[[#This Row],[Shelter NFI Old]], 1), "")</f>
        <v/>
      </c>
      <c r="BA249" s="31" t="str">
        <f>IFERROR(ROUND((tblPiNHistorical[[#This Row],[WASH New]]-tblPiNHistorical[[#This Row],[WASH Old]])/tblPiNHistorical[[#This Row],[WASH Old]], 1), "")</f>
        <v/>
      </c>
    </row>
    <row r="250" spans="1:53" ht="38.25" x14ac:dyDescent="0.25">
      <c r="A250"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RefugeesSD11061</v>
      </c>
      <c r="B250" s="134" t="s">
        <v>161</v>
      </c>
      <c r="C250" s="124" t="s">
        <v>128</v>
      </c>
      <c r="D250" s="124" t="s">
        <v>440</v>
      </c>
      <c r="E250" s="59" t="s">
        <v>441</v>
      </c>
      <c r="F250" s="54"/>
      <c r="G250" s="29"/>
      <c r="H250" s="53">
        <v>77452</v>
      </c>
      <c r="I250" s="53" t="s">
        <v>90</v>
      </c>
      <c r="J250" s="34">
        <v>0</v>
      </c>
      <c r="K250" s="116">
        <v>22581</v>
      </c>
      <c r="L250" s="114">
        <v>77452</v>
      </c>
      <c r="M250" s="114">
        <v>75128</v>
      </c>
      <c r="N250" s="114">
        <v>7070</v>
      </c>
      <c r="O250" s="114">
        <v>77452</v>
      </c>
      <c r="P250" s="114">
        <v>1239.232</v>
      </c>
      <c r="Q250" s="114">
        <v>10688.376</v>
      </c>
      <c r="R250" s="114">
        <v>0</v>
      </c>
      <c r="S250" s="114">
        <v>46471</v>
      </c>
      <c r="T250" s="196">
        <v>48926</v>
      </c>
      <c r="U250" s="52" t="str">
        <f>IFERROR(INDEX(tblPiNAnalysis[[Site Management ]], MATCH(tblPiNHistorical[[#This Row],[ID]], tblPiNAnalysis[ID], 0)), "")</f>
        <v/>
      </c>
      <c r="V250" s="52" t="str">
        <f>IFERROR(INDEX(tblPiNAnalysis[Education], MATCH(tblPiNHistorical[[#This Row],[ID]], tblPiNAnalysis[ID], 0)), "")</f>
        <v/>
      </c>
      <c r="W250" s="28" t="str">
        <f>IFERROR(INDEX(tblPiNAnalysis[Food Security and Livlihoods], MATCH(tblPiNHistorical[[#This Row],[ID]], tblPiNAnalysis[ID], 0)), "")</f>
        <v/>
      </c>
      <c r="X250" s="28" t="str">
        <f>IFERROR(INDEX(tblPiNAnalysis[[Health ]], MATCH(tblPiNHistorical[[#This Row],[ID]], tblPiNAnalysis[ID], 0)), "")</f>
        <v/>
      </c>
      <c r="Y250" s="28" t="str">
        <f>IFERROR(INDEX(tblPiNAnalysis[Nutrition], MATCH(tblPiNHistorical[[#This Row],[ID]], tblPiNAnalysis[ID], 0)), "")</f>
        <v/>
      </c>
      <c r="Z250" s="28" t="str">
        <f>IFERROR(INDEX(tblPiNAnalysis[Protection], MATCH(tblPiNHistorical[[#This Row],[ID]], tblPiNAnalysis[ID], 0)), "")</f>
        <v/>
      </c>
      <c r="AA250" s="28" t="str">
        <f>IFERROR(INDEX(tblPiNAnalysis[CP], MATCH(tblPiNHistorical[[#This Row],[ID]], tblPiNAnalysis[ID], 0)), "")</f>
        <v/>
      </c>
      <c r="AB250" s="83" t="str">
        <f>IFERROR(INDEX(tblPiNAnalysis[GBV], MATCH(tblPiNHistorical[[#This Row],[ID]], tblPiNAnalysis[ID], 0)), "")</f>
        <v/>
      </c>
      <c r="AC250" s="28" t="str">
        <f>IFERROR(INDEX(tblPiNAnalysis[Mine Action], MATCH(tblPiNHistorical[[#This Row],[ID]], tblPiNAnalysis[ID], 0)), "")</f>
        <v/>
      </c>
      <c r="AD250" s="83" t="str">
        <f>IFERROR(INDEX(tblPiNAnalysis[[Shelter NFI ]], MATCH(tblPiNHistorical[[#This Row],[ID]], tblPiNAnalysis[ID], 0)), "")</f>
        <v/>
      </c>
      <c r="AE250" s="28" t="str">
        <f>IFERROR(INDEX(tblPiNAnalysis[WASH], MATCH(tblPiNHistorical[[#This Row],[ID]], tblPiNAnalysis[ID], 0)), "")</f>
        <v/>
      </c>
      <c r="AF250"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250" s="136" t="str">
        <f>IF(OR(tblPiNHistorical[[#This Row],[Education Old]]="", tblPiNHistorical[[#This Row],[Education Old]]=0, tblPiNHistorical[[#This Row],[Education New]]="", tblPiNHistorical[[#This Row],[Education New]]=0), "", tblPiNHistorical[[#This Row],[Education New]]-tblPiNHistorical[[#This Row],[Education Old]])</f>
        <v/>
      </c>
      <c r="AH250"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250" s="137" t="str">
        <f>IF(OR(tblPiNHistorical[[#This Row],[Health Old]]="", tblPiNHistorical[[#This Row],[Health Old]]=0, tblPiNHistorical[[#This Row],[Health New]]="", tblPiNHistorical[[#This Row],[Health New]]=0), "", tblPiNHistorical[[#This Row],[Health New]]-tblPiNHistorical[[#This Row],[Health Old]])</f>
        <v/>
      </c>
      <c r="AJ250" s="136" t="str">
        <f>IF(OR(tblPiNHistorical[[#This Row],[Nutrition Old]]="", tblPiNHistorical[[#This Row],[Nutrition Old]]=0, tblPiNHistorical[[#This Row],[Nutrition New]]="", tblPiNHistorical[[#This Row],[Nutrition New]]=0), "", tblPiNHistorical[[#This Row],[Nutrition New]]-tblPiNHistorical[[#This Row],[Nutrition Old]])</f>
        <v/>
      </c>
      <c r="AK250" s="136" t="str">
        <f>IF(OR(tblPiNHistorical[[#This Row],[Protection Old]]="", tblPiNHistorical[[#This Row],[Protection Old]]=0, tblPiNHistorical[[#This Row],[Protection New]]="", tblPiNHistorical[[#This Row],[Protection New]]=0), "", tblPiNHistorical[[#This Row],[Protection New]]-tblPiNHistorical[[#This Row],[Protection Old]])</f>
        <v/>
      </c>
      <c r="AL250" s="136" t="str">
        <f>IF(OR(tblPiNHistorical[[#This Row],[CP Old ]]="", tblPiNHistorical[[#This Row],[CP Old ]]=0, tblPiNHistorical[[#This Row],[CP New]]="", tblPiNHistorical[[#This Row],[CP New]]=0), "", tblPiNHistorical[[#This Row],[CP New]]-tblPiNHistorical[[#This Row],[CP Old ]])</f>
        <v/>
      </c>
      <c r="AM250" s="83" t="str">
        <f>IF(OR(tblPiNHistorical[[#This Row],[GBV Old]]="", tblPiNHistorical[[#This Row],[GBV Old]]=0, tblPiNHistorical[[#This Row],[GBV New]]="", tblPiNHistorical[[#This Row],[GBV New]]=0), "", tblPiNHistorical[[#This Row],[GBV New]]-tblPiNHistorical[[#This Row],[GBV Old]])</f>
        <v/>
      </c>
      <c r="AN250" s="83" t="str">
        <f>IF(OR(tblPiNHistorical[[#This Row],[Mine Action Old]]="", tblPiNHistorical[[#This Row],[Mine Action Old]]=0, tblPiNHistorical[[#This Row],[Mine Action New]]="", tblPiNHistorical[[#This Row],[Mine Action New]]=0), "", tblPiNHistorical[[#This Row],[Mine Action New]]-tblPiNHistorical[[#This Row],[Mine Action Old]])</f>
        <v/>
      </c>
      <c r="AO250" s="136" t="str">
        <f>IF(OR(tblPiNHistorical[[#This Row],[Shelter NFI Old]]="", tblPiNHistorical[[#This Row],[Shelter NFI Old]]=0, tblPiNHistorical[[#This Row],[Shelter NFI New]]="", tblPiNHistorical[[#This Row],[Shelter NFI New]]=0), "", tblPiNHistorical[[#This Row],[Shelter NFI New]]-tblPiNHistorical[[#This Row],[Shelter NFI Old]])</f>
        <v/>
      </c>
      <c r="AP250" s="138" t="str">
        <f>IF(OR(tblPiNHistorical[[#This Row],[WASH Old]]="", tblPiNHistorical[[#This Row],[WASH Old]]=0, tblPiNHistorical[[#This Row],[WASH New]]="", tblPiNHistorical[[#This Row],[WASH New]]=0), "", tblPiNHistorical[[#This Row],[WASH New]]-tblPiNHistorical[[#This Row],[WASH Old]])</f>
        <v/>
      </c>
      <c r="AQ250" s="139" t="str">
        <f>IFERROR(ROUND((tblPiNHistorical[[#This Row],[Site Management - New]] - tblPiNHistorical[[#This Row],[Site Management - Old]])/tblPiNHistorical[[#This Row],[Site Management - Old]], 1), "")</f>
        <v/>
      </c>
      <c r="AR250" s="140" t="str">
        <f>IFERROR(ROUND((tblPiNHistorical[[#This Row],[Education New]]-tblPiNHistorical[[#This Row],[Education Old]])/tblPiNHistorical[[#This Row],[Education Old]], 1), "")</f>
        <v/>
      </c>
      <c r="AS250" s="141" t="str">
        <f>IFERROR(ROUND((tblPiNHistorical[[#This Row],[Food Security and Livlihoods New]]-tblPiNHistorical[[#This Row],[Food Security and Livlihoods Old]])/tblPiNHistorical[[#This Row],[Food Security and Livlihoods Old]], 1), "")</f>
        <v/>
      </c>
      <c r="AT250" s="142" t="str">
        <f>IFERROR(ROUND((tblPiNHistorical[[#This Row],[Health New]]-tblPiNHistorical[[#This Row],[Health Old]])/tblPiNHistorical[[#This Row],[Health Old]], 1), "")</f>
        <v/>
      </c>
      <c r="AU250" s="140" t="str">
        <f>IFERROR(ROUND((tblPiNHistorical[[#This Row],[Nutrition New]]-tblPiNHistorical[[#This Row],[Nutrition Old]])/tblPiNHistorical[[#This Row],[Nutrition Old]], 1), "")</f>
        <v/>
      </c>
      <c r="AV250" s="140" t="str">
        <f>IFERROR(ROUND((tblPiNHistorical[[#This Row],[Protection New]]-tblPiNHistorical[[#This Row],[Protection Old]])/tblPiNHistorical[[#This Row],[Protection Old]], 1), "")</f>
        <v/>
      </c>
      <c r="AW250" s="84" t="str">
        <f>IFERROR(ROUND((tblPiNHistorical[[#This Row],[CP New]]-tblPiNHistorical[[#This Row],[CP Old ]])/tblPiNHistorical[[#This Row],[CP Old ]], 1), "")</f>
        <v/>
      </c>
      <c r="AX250" s="84" t="str">
        <f>IFERROR(ROUND((tblPiNHistorical[[#This Row],[GBV New]]-tblPiNHistorical[[#This Row],[GBV Old]])/tblPiNHistorical[[#This Row],[GBV Old]], 1), "")</f>
        <v/>
      </c>
      <c r="AY250" s="84" t="str">
        <f>IFERROR(ROUND((tblPiNHistorical[[#This Row],[Mine Action New]]-tblPiNHistorical[[#This Row],[Mine Action Old]])/tblPiNHistorical[[#This Row],[Mine Action Old]], 1), "")</f>
        <v/>
      </c>
      <c r="AZ250" s="140" t="str">
        <f>IFERROR(ROUND((tblPiNHistorical[[#This Row],[Shelter NFI New]]-tblPiNHistorical[[#This Row],[Shelter NFI Old]])/tblPiNHistorical[[#This Row],[Shelter NFI Old]], 1), "")</f>
        <v/>
      </c>
      <c r="BA250" s="31" t="str">
        <f>IFERROR(ROUND((tblPiNHistorical[[#This Row],[WASH New]]-tblPiNHistorical[[#This Row],[WASH Old]])/tblPiNHistorical[[#This Row],[WASH Old]], 1), "")</f>
        <v/>
      </c>
    </row>
    <row r="251" spans="1:53" ht="38.25" x14ac:dyDescent="0.25">
      <c r="A251"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RefugeesSD01003</v>
      </c>
      <c r="B251" s="134" t="s">
        <v>164</v>
      </c>
      <c r="C251" s="124" t="s">
        <v>118</v>
      </c>
      <c r="D251" s="124" t="s">
        <v>327</v>
      </c>
      <c r="E251" s="59" t="s">
        <v>328</v>
      </c>
      <c r="F251" s="54"/>
      <c r="G251" s="29"/>
      <c r="H251" s="53">
        <v>5517</v>
      </c>
      <c r="I251" s="53" t="s">
        <v>90</v>
      </c>
      <c r="J251" s="34">
        <v>0</v>
      </c>
      <c r="K251" s="116">
        <v>1846</v>
      </c>
      <c r="L251" s="114">
        <v>5517</v>
      </c>
      <c r="M251" s="114">
        <v>5351</v>
      </c>
      <c r="N251" s="114">
        <v>504</v>
      </c>
      <c r="O251" s="114">
        <v>5517</v>
      </c>
      <c r="P251" s="114">
        <v>849.61799999999994</v>
      </c>
      <c r="Q251" s="114">
        <v>2184.732</v>
      </c>
      <c r="R251" s="114">
        <v>2758.5</v>
      </c>
      <c r="S251" s="114">
        <v>2207</v>
      </c>
      <c r="T251" s="196">
        <v>3519</v>
      </c>
      <c r="U251" s="52" t="str">
        <f>IFERROR(INDEX(tblPiNAnalysis[[Site Management ]], MATCH(tblPiNHistorical[[#This Row],[ID]], tblPiNAnalysis[ID], 0)), "")</f>
        <v/>
      </c>
      <c r="V251" s="52" t="str">
        <f>IFERROR(INDEX(tblPiNAnalysis[Education], MATCH(tblPiNHistorical[[#This Row],[ID]], tblPiNAnalysis[ID], 0)), "")</f>
        <v/>
      </c>
      <c r="W251" s="28" t="str">
        <f>IFERROR(INDEX(tblPiNAnalysis[Food Security and Livlihoods], MATCH(tblPiNHistorical[[#This Row],[ID]], tblPiNAnalysis[ID], 0)), "")</f>
        <v/>
      </c>
      <c r="X251" s="28" t="str">
        <f>IFERROR(INDEX(tblPiNAnalysis[[Health ]], MATCH(tblPiNHistorical[[#This Row],[ID]], tblPiNAnalysis[ID], 0)), "")</f>
        <v/>
      </c>
      <c r="Y251" s="28" t="str">
        <f>IFERROR(INDEX(tblPiNAnalysis[Nutrition], MATCH(tblPiNHistorical[[#This Row],[ID]], tblPiNAnalysis[ID], 0)), "")</f>
        <v/>
      </c>
      <c r="Z251" s="28" t="str">
        <f>IFERROR(INDEX(tblPiNAnalysis[Protection], MATCH(tblPiNHistorical[[#This Row],[ID]], tblPiNAnalysis[ID], 0)), "")</f>
        <v/>
      </c>
      <c r="AA251" s="28" t="str">
        <f>IFERROR(INDEX(tblPiNAnalysis[CP], MATCH(tblPiNHistorical[[#This Row],[ID]], tblPiNAnalysis[ID], 0)), "")</f>
        <v/>
      </c>
      <c r="AB251" s="83" t="str">
        <f>IFERROR(INDEX(tblPiNAnalysis[GBV], MATCH(tblPiNHistorical[[#This Row],[ID]], tblPiNAnalysis[ID], 0)), "")</f>
        <v/>
      </c>
      <c r="AC251" s="28" t="str">
        <f>IFERROR(INDEX(tblPiNAnalysis[Mine Action], MATCH(tblPiNHistorical[[#This Row],[ID]], tblPiNAnalysis[ID], 0)), "")</f>
        <v/>
      </c>
      <c r="AD251" s="83" t="str">
        <f>IFERROR(INDEX(tblPiNAnalysis[[Shelter NFI ]], MATCH(tblPiNHistorical[[#This Row],[ID]], tblPiNAnalysis[ID], 0)), "")</f>
        <v/>
      </c>
      <c r="AE251" s="28" t="str">
        <f>IFERROR(INDEX(tblPiNAnalysis[WASH], MATCH(tblPiNHistorical[[#This Row],[ID]], tblPiNAnalysis[ID], 0)), "")</f>
        <v/>
      </c>
      <c r="AF251"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251" s="136" t="str">
        <f>IF(OR(tblPiNHistorical[[#This Row],[Education Old]]="", tblPiNHistorical[[#This Row],[Education Old]]=0, tblPiNHistorical[[#This Row],[Education New]]="", tblPiNHistorical[[#This Row],[Education New]]=0), "", tblPiNHistorical[[#This Row],[Education New]]-tblPiNHistorical[[#This Row],[Education Old]])</f>
        <v/>
      </c>
      <c r="AH251"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251" s="137" t="str">
        <f>IF(OR(tblPiNHistorical[[#This Row],[Health Old]]="", tblPiNHistorical[[#This Row],[Health Old]]=0, tblPiNHistorical[[#This Row],[Health New]]="", tblPiNHistorical[[#This Row],[Health New]]=0), "", tblPiNHistorical[[#This Row],[Health New]]-tblPiNHistorical[[#This Row],[Health Old]])</f>
        <v/>
      </c>
      <c r="AJ251" s="136" t="str">
        <f>IF(OR(tblPiNHistorical[[#This Row],[Nutrition Old]]="", tblPiNHistorical[[#This Row],[Nutrition Old]]=0, tblPiNHistorical[[#This Row],[Nutrition New]]="", tblPiNHistorical[[#This Row],[Nutrition New]]=0), "", tblPiNHistorical[[#This Row],[Nutrition New]]-tblPiNHistorical[[#This Row],[Nutrition Old]])</f>
        <v/>
      </c>
      <c r="AK251" s="136" t="str">
        <f>IF(OR(tblPiNHistorical[[#This Row],[Protection Old]]="", tblPiNHistorical[[#This Row],[Protection Old]]=0, tblPiNHistorical[[#This Row],[Protection New]]="", tblPiNHistorical[[#This Row],[Protection New]]=0), "", tblPiNHistorical[[#This Row],[Protection New]]-tblPiNHistorical[[#This Row],[Protection Old]])</f>
        <v/>
      </c>
      <c r="AL251" s="136" t="str">
        <f>IF(OR(tblPiNHistorical[[#This Row],[CP Old ]]="", tblPiNHistorical[[#This Row],[CP Old ]]=0, tblPiNHistorical[[#This Row],[CP New]]="", tblPiNHistorical[[#This Row],[CP New]]=0), "", tblPiNHistorical[[#This Row],[CP New]]-tblPiNHistorical[[#This Row],[CP Old ]])</f>
        <v/>
      </c>
      <c r="AM251" s="83" t="str">
        <f>IF(OR(tblPiNHistorical[[#This Row],[GBV Old]]="", tblPiNHistorical[[#This Row],[GBV Old]]=0, tblPiNHistorical[[#This Row],[GBV New]]="", tblPiNHistorical[[#This Row],[GBV New]]=0), "", tblPiNHistorical[[#This Row],[GBV New]]-tblPiNHistorical[[#This Row],[GBV Old]])</f>
        <v/>
      </c>
      <c r="AN251" s="83" t="str">
        <f>IF(OR(tblPiNHistorical[[#This Row],[Mine Action Old]]="", tblPiNHistorical[[#This Row],[Mine Action Old]]=0, tblPiNHistorical[[#This Row],[Mine Action New]]="", tblPiNHistorical[[#This Row],[Mine Action New]]=0), "", tblPiNHistorical[[#This Row],[Mine Action New]]-tblPiNHistorical[[#This Row],[Mine Action Old]])</f>
        <v/>
      </c>
      <c r="AO251" s="136" t="str">
        <f>IF(OR(tblPiNHistorical[[#This Row],[Shelter NFI Old]]="", tblPiNHistorical[[#This Row],[Shelter NFI Old]]=0, tblPiNHistorical[[#This Row],[Shelter NFI New]]="", tblPiNHistorical[[#This Row],[Shelter NFI New]]=0), "", tblPiNHistorical[[#This Row],[Shelter NFI New]]-tblPiNHistorical[[#This Row],[Shelter NFI Old]])</f>
        <v/>
      </c>
      <c r="AP251" s="138" t="str">
        <f>IF(OR(tblPiNHistorical[[#This Row],[WASH Old]]="", tblPiNHistorical[[#This Row],[WASH Old]]=0, tblPiNHistorical[[#This Row],[WASH New]]="", tblPiNHistorical[[#This Row],[WASH New]]=0), "", tblPiNHistorical[[#This Row],[WASH New]]-tblPiNHistorical[[#This Row],[WASH Old]])</f>
        <v/>
      </c>
      <c r="AQ251" s="139" t="str">
        <f>IFERROR(ROUND((tblPiNHistorical[[#This Row],[Site Management - New]] - tblPiNHistorical[[#This Row],[Site Management - Old]])/tblPiNHistorical[[#This Row],[Site Management - Old]], 1), "")</f>
        <v/>
      </c>
      <c r="AR251" s="140" t="str">
        <f>IFERROR(ROUND((tblPiNHistorical[[#This Row],[Education New]]-tblPiNHistorical[[#This Row],[Education Old]])/tblPiNHistorical[[#This Row],[Education Old]], 1), "")</f>
        <v/>
      </c>
      <c r="AS251" s="141" t="str">
        <f>IFERROR(ROUND((tblPiNHistorical[[#This Row],[Food Security and Livlihoods New]]-tblPiNHistorical[[#This Row],[Food Security and Livlihoods Old]])/tblPiNHistorical[[#This Row],[Food Security and Livlihoods Old]], 1), "")</f>
        <v/>
      </c>
      <c r="AT251" s="142" t="str">
        <f>IFERROR(ROUND((tblPiNHistorical[[#This Row],[Health New]]-tblPiNHistorical[[#This Row],[Health Old]])/tblPiNHistorical[[#This Row],[Health Old]], 1), "")</f>
        <v/>
      </c>
      <c r="AU251" s="140" t="str">
        <f>IFERROR(ROUND((tblPiNHistorical[[#This Row],[Nutrition New]]-tblPiNHistorical[[#This Row],[Nutrition Old]])/tblPiNHistorical[[#This Row],[Nutrition Old]], 1), "")</f>
        <v/>
      </c>
      <c r="AV251" s="140" t="str">
        <f>IFERROR(ROUND((tblPiNHistorical[[#This Row],[Protection New]]-tblPiNHistorical[[#This Row],[Protection Old]])/tblPiNHistorical[[#This Row],[Protection Old]], 1), "")</f>
        <v/>
      </c>
      <c r="AW251" s="84" t="str">
        <f>IFERROR(ROUND((tblPiNHistorical[[#This Row],[CP New]]-tblPiNHistorical[[#This Row],[CP Old ]])/tblPiNHistorical[[#This Row],[CP Old ]], 1), "")</f>
        <v/>
      </c>
      <c r="AX251" s="84" t="str">
        <f>IFERROR(ROUND((tblPiNHistorical[[#This Row],[GBV New]]-tblPiNHistorical[[#This Row],[GBV Old]])/tblPiNHistorical[[#This Row],[GBV Old]], 1), "")</f>
        <v/>
      </c>
      <c r="AY251" s="84" t="str">
        <f>IFERROR(ROUND((tblPiNHistorical[[#This Row],[Mine Action New]]-tblPiNHistorical[[#This Row],[Mine Action Old]])/tblPiNHistorical[[#This Row],[Mine Action Old]], 1), "")</f>
        <v/>
      </c>
      <c r="AZ251" s="140" t="str">
        <f>IFERROR(ROUND((tblPiNHistorical[[#This Row],[Shelter NFI New]]-tblPiNHistorical[[#This Row],[Shelter NFI Old]])/tblPiNHistorical[[#This Row],[Shelter NFI Old]], 1), "")</f>
        <v/>
      </c>
      <c r="BA251" s="31" t="str">
        <f>IFERROR(ROUND((tblPiNHistorical[[#This Row],[WASH New]]-tblPiNHistorical[[#This Row],[WASH Old]])/tblPiNHistorical[[#This Row],[WASH Old]], 1), "")</f>
        <v/>
      </c>
    </row>
    <row r="252" spans="1:53" ht="38.25" x14ac:dyDescent="0.25">
      <c r="A252"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RefugeesSD01001</v>
      </c>
      <c r="B252" s="134" t="s">
        <v>164</v>
      </c>
      <c r="C252" s="124" t="s">
        <v>118</v>
      </c>
      <c r="D252" s="124" t="s">
        <v>323</v>
      </c>
      <c r="E252" s="59" t="s">
        <v>324</v>
      </c>
      <c r="F252" s="54"/>
      <c r="G252" s="29"/>
      <c r="H252" s="53">
        <v>14684</v>
      </c>
      <c r="I252" s="53" t="s">
        <v>90</v>
      </c>
      <c r="J252" s="34">
        <v>0</v>
      </c>
      <c r="K252" s="116">
        <v>4916</v>
      </c>
      <c r="L252" s="114">
        <v>14684</v>
      </c>
      <c r="M252" s="114">
        <v>14243</v>
      </c>
      <c r="N252" s="114">
        <v>1341</v>
      </c>
      <c r="O252" s="114">
        <v>14684</v>
      </c>
      <c r="P252" s="114">
        <v>1336.2439999999999</v>
      </c>
      <c r="Q252" s="114">
        <v>5697.3919999999998</v>
      </c>
      <c r="R252" s="114">
        <v>7342</v>
      </c>
      <c r="S252" s="114">
        <v>8810</v>
      </c>
      <c r="T252" s="196">
        <v>9975</v>
      </c>
      <c r="U252" s="52" t="str">
        <f>IFERROR(INDEX(tblPiNAnalysis[[Site Management ]], MATCH(tblPiNHistorical[[#This Row],[ID]], tblPiNAnalysis[ID], 0)), "")</f>
        <v/>
      </c>
      <c r="V252" s="52" t="str">
        <f>IFERROR(INDEX(tblPiNAnalysis[Education], MATCH(tblPiNHistorical[[#This Row],[ID]], tblPiNAnalysis[ID], 0)), "")</f>
        <v/>
      </c>
      <c r="W252" s="28" t="str">
        <f>IFERROR(INDEX(tblPiNAnalysis[Food Security and Livlihoods], MATCH(tblPiNHistorical[[#This Row],[ID]], tblPiNAnalysis[ID], 0)), "")</f>
        <v/>
      </c>
      <c r="X252" s="28" t="str">
        <f>IFERROR(INDEX(tblPiNAnalysis[[Health ]], MATCH(tblPiNHistorical[[#This Row],[ID]], tblPiNAnalysis[ID], 0)), "")</f>
        <v/>
      </c>
      <c r="Y252" s="28" t="str">
        <f>IFERROR(INDEX(tblPiNAnalysis[Nutrition], MATCH(tblPiNHistorical[[#This Row],[ID]], tblPiNAnalysis[ID], 0)), "")</f>
        <v/>
      </c>
      <c r="Z252" s="28" t="str">
        <f>IFERROR(INDEX(tblPiNAnalysis[Protection], MATCH(tblPiNHistorical[[#This Row],[ID]], tblPiNAnalysis[ID], 0)), "")</f>
        <v/>
      </c>
      <c r="AA252" s="28" t="str">
        <f>IFERROR(INDEX(tblPiNAnalysis[CP], MATCH(tblPiNHistorical[[#This Row],[ID]], tblPiNAnalysis[ID], 0)), "")</f>
        <v/>
      </c>
      <c r="AB252" s="83" t="str">
        <f>IFERROR(INDEX(tblPiNAnalysis[GBV], MATCH(tblPiNHistorical[[#This Row],[ID]], tblPiNAnalysis[ID], 0)), "")</f>
        <v/>
      </c>
      <c r="AC252" s="28" t="str">
        <f>IFERROR(INDEX(tblPiNAnalysis[Mine Action], MATCH(tblPiNHistorical[[#This Row],[ID]], tblPiNAnalysis[ID], 0)), "")</f>
        <v/>
      </c>
      <c r="AD252" s="83" t="str">
        <f>IFERROR(INDEX(tblPiNAnalysis[[Shelter NFI ]], MATCH(tblPiNHistorical[[#This Row],[ID]], tblPiNAnalysis[ID], 0)), "")</f>
        <v/>
      </c>
      <c r="AE252" s="28" t="str">
        <f>IFERROR(INDEX(tblPiNAnalysis[WASH], MATCH(tblPiNHistorical[[#This Row],[ID]], tblPiNAnalysis[ID], 0)), "")</f>
        <v/>
      </c>
      <c r="AF252"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252" s="136" t="str">
        <f>IF(OR(tblPiNHistorical[[#This Row],[Education Old]]="", tblPiNHistorical[[#This Row],[Education Old]]=0, tblPiNHistorical[[#This Row],[Education New]]="", tblPiNHistorical[[#This Row],[Education New]]=0), "", tblPiNHistorical[[#This Row],[Education New]]-tblPiNHistorical[[#This Row],[Education Old]])</f>
        <v/>
      </c>
      <c r="AH252"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252" s="137" t="str">
        <f>IF(OR(tblPiNHistorical[[#This Row],[Health Old]]="", tblPiNHistorical[[#This Row],[Health Old]]=0, tblPiNHistorical[[#This Row],[Health New]]="", tblPiNHistorical[[#This Row],[Health New]]=0), "", tblPiNHistorical[[#This Row],[Health New]]-tblPiNHistorical[[#This Row],[Health Old]])</f>
        <v/>
      </c>
      <c r="AJ252" s="136" t="str">
        <f>IF(OR(tblPiNHistorical[[#This Row],[Nutrition Old]]="", tblPiNHistorical[[#This Row],[Nutrition Old]]=0, tblPiNHistorical[[#This Row],[Nutrition New]]="", tblPiNHistorical[[#This Row],[Nutrition New]]=0), "", tblPiNHistorical[[#This Row],[Nutrition New]]-tblPiNHistorical[[#This Row],[Nutrition Old]])</f>
        <v/>
      </c>
      <c r="AK252" s="136" t="str">
        <f>IF(OR(tblPiNHistorical[[#This Row],[Protection Old]]="", tblPiNHistorical[[#This Row],[Protection Old]]=0, tblPiNHistorical[[#This Row],[Protection New]]="", tblPiNHistorical[[#This Row],[Protection New]]=0), "", tblPiNHistorical[[#This Row],[Protection New]]-tblPiNHistorical[[#This Row],[Protection Old]])</f>
        <v/>
      </c>
      <c r="AL252" s="136" t="str">
        <f>IF(OR(tblPiNHistorical[[#This Row],[CP Old ]]="", tblPiNHistorical[[#This Row],[CP Old ]]=0, tblPiNHistorical[[#This Row],[CP New]]="", tblPiNHistorical[[#This Row],[CP New]]=0), "", tblPiNHistorical[[#This Row],[CP New]]-tblPiNHistorical[[#This Row],[CP Old ]])</f>
        <v/>
      </c>
      <c r="AM252" s="83" t="str">
        <f>IF(OR(tblPiNHistorical[[#This Row],[GBV Old]]="", tblPiNHistorical[[#This Row],[GBV Old]]=0, tblPiNHistorical[[#This Row],[GBV New]]="", tblPiNHistorical[[#This Row],[GBV New]]=0), "", tblPiNHistorical[[#This Row],[GBV New]]-tblPiNHistorical[[#This Row],[GBV Old]])</f>
        <v/>
      </c>
      <c r="AN252" s="83" t="str">
        <f>IF(OR(tblPiNHistorical[[#This Row],[Mine Action Old]]="", tblPiNHistorical[[#This Row],[Mine Action Old]]=0, tblPiNHistorical[[#This Row],[Mine Action New]]="", tblPiNHistorical[[#This Row],[Mine Action New]]=0), "", tblPiNHistorical[[#This Row],[Mine Action New]]-tblPiNHistorical[[#This Row],[Mine Action Old]])</f>
        <v/>
      </c>
      <c r="AO252" s="136" t="str">
        <f>IF(OR(tblPiNHistorical[[#This Row],[Shelter NFI Old]]="", tblPiNHistorical[[#This Row],[Shelter NFI Old]]=0, tblPiNHistorical[[#This Row],[Shelter NFI New]]="", tblPiNHistorical[[#This Row],[Shelter NFI New]]=0), "", tblPiNHistorical[[#This Row],[Shelter NFI New]]-tblPiNHistorical[[#This Row],[Shelter NFI Old]])</f>
        <v/>
      </c>
      <c r="AP252" s="138" t="str">
        <f>IF(OR(tblPiNHistorical[[#This Row],[WASH Old]]="", tblPiNHistorical[[#This Row],[WASH Old]]=0, tblPiNHistorical[[#This Row],[WASH New]]="", tblPiNHistorical[[#This Row],[WASH New]]=0), "", tblPiNHistorical[[#This Row],[WASH New]]-tblPiNHistorical[[#This Row],[WASH Old]])</f>
        <v/>
      </c>
      <c r="AQ252" s="139" t="str">
        <f>IFERROR(ROUND((tblPiNHistorical[[#This Row],[Site Management - New]] - tblPiNHistorical[[#This Row],[Site Management - Old]])/tblPiNHistorical[[#This Row],[Site Management - Old]], 1), "")</f>
        <v/>
      </c>
      <c r="AR252" s="140" t="str">
        <f>IFERROR(ROUND((tblPiNHistorical[[#This Row],[Education New]]-tblPiNHistorical[[#This Row],[Education Old]])/tblPiNHistorical[[#This Row],[Education Old]], 1), "")</f>
        <v/>
      </c>
      <c r="AS252" s="141" t="str">
        <f>IFERROR(ROUND((tblPiNHistorical[[#This Row],[Food Security and Livlihoods New]]-tblPiNHistorical[[#This Row],[Food Security and Livlihoods Old]])/tblPiNHistorical[[#This Row],[Food Security and Livlihoods Old]], 1), "")</f>
        <v/>
      </c>
      <c r="AT252" s="142" t="str">
        <f>IFERROR(ROUND((tblPiNHistorical[[#This Row],[Health New]]-tblPiNHistorical[[#This Row],[Health Old]])/tblPiNHistorical[[#This Row],[Health Old]], 1), "")</f>
        <v/>
      </c>
      <c r="AU252" s="140" t="str">
        <f>IFERROR(ROUND((tblPiNHistorical[[#This Row],[Nutrition New]]-tblPiNHistorical[[#This Row],[Nutrition Old]])/tblPiNHistorical[[#This Row],[Nutrition Old]], 1), "")</f>
        <v/>
      </c>
      <c r="AV252" s="140" t="str">
        <f>IFERROR(ROUND((tblPiNHistorical[[#This Row],[Protection New]]-tblPiNHistorical[[#This Row],[Protection Old]])/tblPiNHistorical[[#This Row],[Protection Old]], 1), "")</f>
        <v/>
      </c>
      <c r="AW252" s="84" t="str">
        <f>IFERROR(ROUND((tblPiNHistorical[[#This Row],[CP New]]-tblPiNHistorical[[#This Row],[CP Old ]])/tblPiNHistorical[[#This Row],[CP Old ]], 1), "")</f>
        <v/>
      </c>
      <c r="AX252" s="84" t="str">
        <f>IFERROR(ROUND((tblPiNHistorical[[#This Row],[GBV New]]-tblPiNHistorical[[#This Row],[GBV Old]])/tblPiNHistorical[[#This Row],[GBV Old]], 1), "")</f>
        <v/>
      </c>
      <c r="AY252" s="84" t="str">
        <f>IFERROR(ROUND((tblPiNHistorical[[#This Row],[Mine Action New]]-tblPiNHistorical[[#This Row],[Mine Action Old]])/tblPiNHistorical[[#This Row],[Mine Action Old]], 1), "")</f>
        <v/>
      </c>
      <c r="AZ252" s="140" t="str">
        <f>IFERROR(ROUND((tblPiNHistorical[[#This Row],[Shelter NFI New]]-tblPiNHistorical[[#This Row],[Shelter NFI Old]])/tblPiNHistorical[[#This Row],[Shelter NFI Old]], 1), "")</f>
        <v/>
      </c>
      <c r="BA252" s="31" t="str">
        <f>IFERROR(ROUND((tblPiNHistorical[[#This Row],[WASH New]]-tblPiNHistorical[[#This Row],[WASH Old]])/tblPiNHistorical[[#This Row],[WASH Old]], 1), "")</f>
        <v/>
      </c>
    </row>
    <row r="253" spans="1:53" ht="38.25" x14ac:dyDescent="0.25">
      <c r="A253"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RefugeesSD01005</v>
      </c>
      <c r="B253" s="134" t="s">
        <v>164</v>
      </c>
      <c r="C253" s="124" t="s">
        <v>118</v>
      </c>
      <c r="D253" s="124" t="s">
        <v>331</v>
      </c>
      <c r="E253" s="59" t="s">
        <v>332</v>
      </c>
      <c r="F253" s="54"/>
      <c r="G253" s="29"/>
      <c r="H253" s="53">
        <v>1112</v>
      </c>
      <c r="I253" s="53" t="s">
        <v>90</v>
      </c>
      <c r="J253" s="34">
        <v>0</v>
      </c>
      <c r="K253" s="116">
        <v>373</v>
      </c>
      <c r="L253" s="114">
        <v>1112</v>
      </c>
      <c r="M253" s="114">
        <v>1079</v>
      </c>
      <c r="N253" s="114">
        <v>101</v>
      </c>
      <c r="O253" s="114">
        <v>1112</v>
      </c>
      <c r="P253" s="114">
        <v>176.80799999999999</v>
      </c>
      <c r="Q253" s="114">
        <v>483.71999999999997</v>
      </c>
      <c r="R253" s="114">
        <v>556</v>
      </c>
      <c r="S253" s="114">
        <v>667</v>
      </c>
      <c r="T253" s="196">
        <v>501</v>
      </c>
      <c r="U253" s="52" t="str">
        <f>IFERROR(INDEX(tblPiNAnalysis[[Site Management ]], MATCH(tblPiNHistorical[[#This Row],[ID]], tblPiNAnalysis[ID], 0)), "")</f>
        <v/>
      </c>
      <c r="V253" s="52" t="str">
        <f>IFERROR(INDEX(tblPiNAnalysis[Education], MATCH(tblPiNHistorical[[#This Row],[ID]], tblPiNAnalysis[ID], 0)), "")</f>
        <v/>
      </c>
      <c r="W253" s="28" t="str">
        <f>IFERROR(INDEX(tblPiNAnalysis[Food Security and Livlihoods], MATCH(tblPiNHistorical[[#This Row],[ID]], tblPiNAnalysis[ID], 0)), "")</f>
        <v/>
      </c>
      <c r="X253" s="28" t="str">
        <f>IFERROR(INDEX(tblPiNAnalysis[[Health ]], MATCH(tblPiNHistorical[[#This Row],[ID]], tblPiNAnalysis[ID], 0)), "")</f>
        <v/>
      </c>
      <c r="Y253" s="28" t="str">
        <f>IFERROR(INDEX(tblPiNAnalysis[Nutrition], MATCH(tblPiNHistorical[[#This Row],[ID]], tblPiNAnalysis[ID], 0)), "")</f>
        <v/>
      </c>
      <c r="Z253" s="28" t="str">
        <f>IFERROR(INDEX(tblPiNAnalysis[Protection], MATCH(tblPiNHistorical[[#This Row],[ID]], tblPiNAnalysis[ID], 0)), "")</f>
        <v/>
      </c>
      <c r="AA253" s="28" t="str">
        <f>IFERROR(INDEX(tblPiNAnalysis[CP], MATCH(tblPiNHistorical[[#This Row],[ID]], tblPiNAnalysis[ID], 0)), "")</f>
        <v/>
      </c>
      <c r="AB253" s="83" t="str">
        <f>IFERROR(INDEX(tblPiNAnalysis[GBV], MATCH(tblPiNHistorical[[#This Row],[ID]], tblPiNAnalysis[ID], 0)), "")</f>
        <v/>
      </c>
      <c r="AC253" s="28" t="str">
        <f>IFERROR(INDEX(tblPiNAnalysis[Mine Action], MATCH(tblPiNHistorical[[#This Row],[ID]], tblPiNAnalysis[ID], 0)), "")</f>
        <v/>
      </c>
      <c r="AD253" s="83" t="str">
        <f>IFERROR(INDEX(tblPiNAnalysis[[Shelter NFI ]], MATCH(tblPiNHistorical[[#This Row],[ID]], tblPiNAnalysis[ID], 0)), "")</f>
        <v/>
      </c>
      <c r="AE253" s="28" t="str">
        <f>IFERROR(INDEX(tblPiNAnalysis[WASH], MATCH(tblPiNHistorical[[#This Row],[ID]], tblPiNAnalysis[ID], 0)), "")</f>
        <v/>
      </c>
      <c r="AF253"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253" s="136" t="str">
        <f>IF(OR(tblPiNHistorical[[#This Row],[Education Old]]="", tblPiNHistorical[[#This Row],[Education Old]]=0, tblPiNHistorical[[#This Row],[Education New]]="", tblPiNHistorical[[#This Row],[Education New]]=0), "", tblPiNHistorical[[#This Row],[Education New]]-tblPiNHistorical[[#This Row],[Education Old]])</f>
        <v/>
      </c>
      <c r="AH253"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253" s="137" t="str">
        <f>IF(OR(tblPiNHistorical[[#This Row],[Health Old]]="", tblPiNHistorical[[#This Row],[Health Old]]=0, tblPiNHistorical[[#This Row],[Health New]]="", tblPiNHistorical[[#This Row],[Health New]]=0), "", tblPiNHistorical[[#This Row],[Health New]]-tblPiNHistorical[[#This Row],[Health Old]])</f>
        <v/>
      </c>
      <c r="AJ253" s="136" t="str">
        <f>IF(OR(tblPiNHistorical[[#This Row],[Nutrition Old]]="", tblPiNHistorical[[#This Row],[Nutrition Old]]=0, tblPiNHistorical[[#This Row],[Nutrition New]]="", tblPiNHistorical[[#This Row],[Nutrition New]]=0), "", tblPiNHistorical[[#This Row],[Nutrition New]]-tblPiNHistorical[[#This Row],[Nutrition Old]])</f>
        <v/>
      </c>
      <c r="AK253" s="136" t="str">
        <f>IF(OR(tblPiNHistorical[[#This Row],[Protection Old]]="", tblPiNHistorical[[#This Row],[Protection Old]]=0, tblPiNHistorical[[#This Row],[Protection New]]="", tblPiNHistorical[[#This Row],[Protection New]]=0), "", tblPiNHistorical[[#This Row],[Protection New]]-tblPiNHistorical[[#This Row],[Protection Old]])</f>
        <v/>
      </c>
      <c r="AL253" s="136" t="str">
        <f>IF(OR(tblPiNHistorical[[#This Row],[CP Old ]]="", tblPiNHistorical[[#This Row],[CP Old ]]=0, tblPiNHistorical[[#This Row],[CP New]]="", tblPiNHistorical[[#This Row],[CP New]]=0), "", tblPiNHistorical[[#This Row],[CP New]]-tblPiNHistorical[[#This Row],[CP Old ]])</f>
        <v/>
      </c>
      <c r="AM253" s="83" t="str">
        <f>IF(OR(tblPiNHistorical[[#This Row],[GBV Old]]="", tblPiNHistorical[[#This Row],[GBV Old]]=0, tblPiNHistorical[[#This Row],[GBV New]]="", tblPiNHistorical[[#This Row],[GBV New]]=0), "", tblPiNHistorical[[#This Row],[GBV New]]-tblPiNHistorical[[#This Row],[GBV Old]])</f>
        <v/>
      </c>
      <c r="AN253" s="83" t="str">
        <f>IF(OR(tblPiNHistorical[[#This Row],[Mine Action Old]]="", tblPiNHistorical[[#This Row],[Mine Action Old]]=0, tblPiNHistorical[[#This Row],[Mine Action New]]="", tblPiNHistorical[[#This Row],[Mine Action New]]=0), "", tblPiNHistorical[[#This Row],[Mine Action New]]-tblPiNHistorical[[#This Row],[Mine Action Old]])</f>
        <v/>
      </c>
      <c r="AO253" s="136" t="str">
        <f>IF(OR(tblPiNHistorical[[#This Row],[Shelter NFI Old]]="", tblPiNHistorical[[#This Row],[Shelter NFI Old]]=0, tblPiNHistorical[[#This Row],[Shelter NFI New]]="", tblPiNHistorical[[#This Row],[Shelter NFI New]]=0), "", tblPiNHistorical[[#This Row],[Shelter NFI New]]-tblPiNHistorical[[#This Row],[Shelter NFI Old]])</f>
        <v/>
      </c>
      <c r="AP253" s="138" t="str">
        <f>IF(OR(tblPiNHistorical[[#This Row],[WASH Old]]="", tblPiNHistorical[[#This Row],[WASH Old]]=0, tblPiNHistorical[[#This Row],[WASH New]]="", tblPiNHistorical[[#This Row],[WASH New]]=0), "", tblPiNHistorical[[#This Row],[WASH New]]-tblPiNHistorical[[#This Row],[WASH Old]])</f>
        <v/>
      </c>
      <c r="AQ253" s="139" t="str">
        <f>IFERROR(ROUND((tblPiNHistorical[[#This Row],[Site Management - New]] - tblPiNHistorical[[#This Row],[Site Management - Old]])/tblPiNHistorical[[#This Row],[Site Management - Old]], 1), "")</f>
        <v/>
      </c>
      <c r="AR253" s="140" t="str">
        <f>IFERROR(ROUND((tblPiNHistorical[[#This Row],[Education New]]-tblPiNHistorical[[#This Row],[Education Old]])/tblPiNHistorical[[#This Row],[Education Old]], 1), "")</f>
        <v/>
      </c>
      <c r="AS253" s="141" t="str">
        <f>IFERROR(ROUND((tblPiNHistorical[[#This Row],[Food Security and Livlihoods New]]-tblPiNHistorical[[#This Row],[Food Security and Livlihoods Old]])/tblPiNHistorical[[#This Row],[Food Security and Livlihoods Old]], 1), "")</f>
        <v/>
      </c>
      <c r="AT253" s="142" t="str">
        <f>IFERROR(ROUND((tblPiNHistorical[[#This Row],[Health New]]-tblPiNHistorical[[#This Row],[Health Old]])/tblPiNHistorical[[#This Row],[Health Old]], 1), "")</f>
        <v/>
      </c>
      <c r="AU253" s="140" t="str">
        <f>IFERROR(ROUND((tblPiNHistorical[[#This Row],[Nutrition New]]-tblPiNHistorical[[#This Row],[Nutrition Old]])/tblPiNHistorical[[#This Row],[Nutrition Old]], 1), "")</f>
        <v/>
      </c>
      <c r="AV253" s="140" t="str">
        <f>IFERROR(ROUND((tblPiNHistorical[[#This Row],[Protection New]]-tblPiNHistorical[[#This Row],[Protection Old]])/tblPiNHistorical[[#This Row],[Protection Old]], 1), "")</f>
        <v/>
      </c>
      <c r="AW253" s="84" t="str">
        <f>IFERROR(ROUND((tblPiNHistorical[[#This Row],[CP New]]-tblPiNHistorical[[#This Row],[CP Old ]])/tblPiNHistorical[[#This Row],[CP Old ]], 1), "")</f>
        <v/>
      </c>
      <c r="AX253" s="84" t="str">
        <f>IFERROR(ROUND((tblPiNHistorical[[#This Row],[GBV New]]-tblPiNHistorical[[#This Row],[GBV Old]])/tblPiNHistorical[[#This Row],[GBV Old]], 1), "")</f>
        <v/>
      </c>
      <c r="AY253" s="84" t="str">
        <f>IFERROR(ROUND((tblPiNHistorical[[#This Row],[Mine Action New]]-tblPiNHistorical[[#This Row],[Mine Action Old]])/tblPiNHistorical[[#This Row],[Mine Action Old]], 1), "")</f>
        <v/>
      </c>
      <c r="AZ253" s="140" t="str">
        <f>IFERROR(ROUND((tblPiNHistorical[[#This Row],[Shelter NFI New]]-tblPiNHistorical[[#This Row],[Shelter NFI Old]])/tblPiNHistorical[[#This Row],[Shelter NFI Old]], 1), "")</f>
        <v/>
      </c>
      <c r="BA253" s="31" t="str">
        <f>IFERROR(ROUND((tblPiNHistorical[[#This Row],[WASH New]]-tblPiNHistorical[[#This Row],[WASH Old]])/tblPiNHistorical[[#This Row],[WASH Old]], 1), "")</f>
        <v/>
      </c>
    </row>
    <row r="254" spans="1:53" ht="38.25" x14ac:dyDescent="0.25">
      <c r="A254"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RefugeesSD01007</v>
      </c>
      <c r="B254" s="134" t="s">
        <v>164</v>
      </c>
      <c r="C254" s="124" t="s">
        <v>118</v>
      </c>
      <c r="D254" s="124" t="s">
        <v>164</v>
      </c>
      <c r="E254" s="59" t="s">
        <v>335</v>
      </c>
      <c r="F254" s="54"/>
      <c r="G254" s="29"/>
      <c r="H254" s="53">
        <v>17555</v>
      </c>
      <c r="I254" s="53" t="s">
        <v>90</v>
      </c>
      <c r="J254" s="34">
        <v>0</v>
      </c>
      <c r="K254" s="116">
        <v>6451</v>
      </c>
      <c r="L254" s="114">
        <v>19269</v>
      </c>
      <c r="M254" s="114">
        <v>18691</v>
      </c>
      <c r="N254" s="114">
        <v>1759</v>
      </c>
      <c r="O254" s="114">
        <v>19269</v>
      </c>
      <c r="P254" s="114">
        <v>1425.9059999999999</v>
      </c>
      <c r="Q254" s="114">
        <v>4316.2560000000003</v>
      </c>
      <c r="R254" s="114">
        <v>9634.5</v>
      </c>
      <c r="S254" s="114">
        <v>11561</v>
      </c>
      <c r="T254" s="196">
        <v>3705</v>
      </c>
      <c r="U254" s="52" t="str">
        <f>IFERROR(INDEX(tblPiNAnalysis[[Site Management ]], MATCH(tblPiNHistorical[[#This Row],[ID]], tblPiNAnalysis[ID], 0)), "")</f>
        <v/>
      </c>
      <c r="V254" s="52" t="str">
        <f>IFERROR(INDEX(tblPiNAnalysis[Education], MATCH(tblPiNHistorical[[#This Row],[ID]], tblPiNAnalysis[ID], 0)), "")</f>
        <v/>
      </c>
      <c r="W254" s="28" t="str">
        <f>IFERROR(INDEX(tblPiNAnalysis[Food Security and Livlihoods], MATCH(tblPiNHistorical[[#This Row],[ID]], tblPiNAnalysis[ID], 0)), "")</f>
        <v/>
      </c>
      <c r="X254" s="28" t="str">
        <f>IFERROR(INDEX(tblPiNAnalysis[[Health ]], MATCH(tblPiNHistorical[[#This Row],[ID]], tblPiNAnalysis[ID], 0)), "")</f>
        <v/>
      </c>
      <c r="Y254" s="28" t="str">
        <f>IFERROR(INDEX(tblPiNAnalysis[Nutrition], MATCH(tblPiNHistorical[[#This Row],[ID]], tblPiNAnalysis[ID], 0)), "")</f>
        <v/>
      </c>
      <c r="Z254" s="28" t="str">
        <f>IFERROR(INDEX(tblPiNAnalysis[Protection], MATCH(tblPiNHistorical[[#This Row],[ID]], tblPiNAnalysis[ID], 0)), "")</f>
        <v/>
      </c>
      <c r="AA254" s="28" t="str">
        <f>IFERROR(INDEX(tblPiNAnalysis[CP], MATCH(tblPiNHistorical[[#This Row],[ID]], tblPiNAnalysis[ID], 0)), "")</f>
        <v/>
      </c>
      <c r="AB254" s="83" t="str">
        <f>IFERROR(INDEX(tblPiNAnalysis[GBV], MATCH(tblPiNHistorical[[#This Row],[ID]], tblPiNAnalysis[ID], 0)), "")</f>
        <v/>
      </c>
      <c r="AC254" s="28" t="str">
        <f>IFERROR(INDEX(tblPiNAnalysis[Mine Action], MATCH(tblPiNHistorical[[#This Row],[ID]], tblPiNAnalysis[ID], 0)), "")</f>
        <v/>
      </c>
      <c r="AD254" s="83" t="str">
        <f>IFERROR(INDEX(tblPiNAnalysis[[Shelter NFI ]], MATCH(tblPiNHistorical[[#This Row],[ID]], tblPiNAnalysis[ID], 0)), "")</f>
        <v/>
      </c>
      <c r="AE254" s="28" t="str">
        <f>IFERROR(INDEX(tblPiNAnalysis[WASH], MATCH(tblPiNHistorical[[#This Row],[ID]], tblPiNAnalysis[ID], 0)), "")</f>
        <v/>
      </c>
      <c r="AF254"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254" s="136" t="str">
        <f>IF(OR(tblPiNHistorical[[#This Row],[Education Old]]="", tblPiNHistorical[[#This Row],[Education Old]]=0, tblPiNHistorical[[#This Row],[Education New]]="", tblPiNHistorical[[#This Row],[Education New]]=0), "", tblPiNHistorical[[#This Row],[Education New]]-tblPiNHistorical[[#This Row],[Education Old]])</f>
        <v/>
      </c>
      <c r="AH254"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254" s="137" t="str">
        <f>IF(OR(tblPiNHistorical[[#This Row],[Health Old]]="", tblPiNHistorical[[#This Row],[Health Old]]=0, tblPiNHistorical[[#This Row],[Health New]]="", tblPiNHistorical[[#This Row],[Health New]]=0), "", tblPiNHistorical[[#This Row],[Health New]]-tblPiNHistorical[[#This Row],[Health Old]])</f>
        <v/>
      </c>
      <c r="AJ254" s="136" t="str">
        <f>IF(OR(tblPiNHistorical[[#This Row],[Nutrition Old]]="", tblPiNHistorical[[#This Row],[Nutrition Old]]=0, tblPiNHistorical[[#This Row],[Nutrition New]]="", tblPiNHistorical[[#This Row],[Nutrition New]]=0), "", tblPiNHistorical[[#This Row],[Nutrition New]]-tblPiNHistorical[[#This Row],[Nutrition Old]])</f>
        <v/>
      </c>
      <c r="AK254" s="136" t="str">
        <f>IF(OR(tblPiNHistorical[[#This Row],[Protection Old]]="", tblPiNHistorical[[#This Row],[Protection Old]]=0, tblPiNHistorical[[#This Row],[Protection New]]="", tblPiNHistorical[[#This Row],[Protection New]]=0), "", tblPiNHistorical[[#This Row],[Protection New]]-tblPiNHistorical[[#This Row],[Protection Old]])</f>
        <v/>
      </c>
      <c r="AL254" s="136" t="str">
        <f>IF(OR(tblPiNHistorical[[#This Row],[CP Old ]]="", tblPiNHistorical[[#This Row],[CP Old ]]=0, tblPiNHistorical[[#This Row],[CP New]]="", tblPiNHistorical[[#This Row],[CP New]]=0), "", tblPiNHistorical[[#This Row],[CP New]]-tblPiNHistorical[[#This Row],[CP Old ]])</f>
        <v/>
      </c>
      <c r="AM254" s="83" t="str">
        <f>IF(OR(tblPiNHistorical[[#This Row],[GBV Old]]="", tblPiNHistorical[[#This Row],[GBV Old]]=0, tblPiNHistorical[[#This Row],[GBV New]]="", tblPiNHistorical[[#This Row],[GBV New]]=0), "", tblPiNHistorical[[#This Row],[GBV New]]-tblPiNHistorical[[#This Row],[GBV Old]])</f>
        <v/>
      </c>
      <c r="AN254" s="83" t="str">
        <f>IF(OR(tblPiNHistorical[[#This Row],[Mine Action Old]]="", tblPiNHistorical[[#This Row],[Mine Action Old]]=0, tblPiNHistorical[[#This Row],[Mine Action New]]="", tblPiNHistorical[[#This Row],[Mine Action New]]=0), "", tblPiNHistorical[[#This Row],[Mine Action New]]-tblPiNHistorical[[#This Row],[Mine Action Old]])</f>
        <v/>
      </c>
      <c r="AO254" s="136" t="str">
        <f>IF(OR(tblPiNHistorical[[#This Row],[Shelter NFI Old]]="", tblPiNHistorical[[#This Row],[Shelter NFI Old]]=0, tblPiNHistorical[[#This Row],[Shelter NFI New]]="", tblPiNHistorical[[#This Row],[Shelter NFI New]]=0), "", tblPiNHistorical[[#This Row],[Shelter NFI New]]-tblPiNHistorical[[#This Row],[Shelter NFI Old]])</f>
        <v/>
      </c>
      <c r="AP254" s="138" t="str">
        <f>IF(OR(tblPiNHistorical[[#This Row],[WASH Old]]="", tblPiNHistorical[[#This Row],[WASH Old]]=0, tblPiNHistorical[[#This Row],[WASH New]]="", tblPiNHistorical[[#This Row],[WASH New]]=0), "", tblPiNHistorical[[#This Row],[WASH New]]-tblPiNHistorical[[#This Row],[WASH Old]])</f>
        <v/>
      </c>
      <c r="AQ254" s="139" t="str">
        <f>IFERROR(ROUND((tblPiNHistorical[[#This Row],[Site Management - New]] - tblPiNHistorical[[#This Row],[Site Management - Old]])/tblPiNHistorical[[#This Row],[Site Management - Old]], 1), "")</f>
        <v/>
      </c>
      <c r="AR254" s="140" t="str">
        <f>IFERROR(ROUND((tblPiNHistorical[[#This Row],[Education New]]-tblPiNHistorical[[#This Row],[Education Old]])/tblPiNHistorical[[#This Row],[Education Old]], 1), "")</f>
        <v/>
      </c>
      <c r="AS254" s="141" t="str">
        <f>IFERROR(ROUND((tblPiNHistorical[[#This Row],[Food Security and Livlihoods New]]-tblPiNHistorical[[#This Row],[Food Security and Livlihoods Old]])/tblPiNHistorical[[#This Row],[Food Security and Livlihoods Old]], 1), "")</f>
        <v/>
      </c>
      <c r="AT254" s="142" t="str">
        <f>IFERROR(ROUND((tblPiNHistorical[[#This Row],[Health New]]-tblPiNHistorical[[#This Row],[Health Old]])/tblPiNHistorical[[#This Row],[Health Old]], 1), "")</f>
        <v/>
      </c>
      <c r="AU254" s="140" t="str">
        <f>IFERROR(ROUND((tblPiNHistorical[[#This Row],[Nutrition New]]-tblPiNHistorical[[#This Row],[Nutrition Old]])/tblPiNHistorical[[#This Row],[Nutrition Old]], 1), "")</f>
        <v/>
      </c>
      <c r="AV254" s="140" t="str">
        <f>IFERROR(ROUND((tblPiNHistorical[[#This Row],[Protection New]]-tblPiNHistorical[[#This Row],[Protection Old]])/tblPiNHistorical[[#This Row],[Protection Old]], 1), "")</f>
        <v/>
      </c>
      <c r="AW254" s="84" t="str">
        <f>IFERROR(ROUND((tblPiNHistorical[[#This Row],[CP New]]-tblPiNHistorical[[#This Row],[CP Old ]])/tblPiNHistorical[[#This Row],[CP Old ]], 1), "")</f>
        <v/>
      </c>
      <c r="AX254" s="84" t="str">
        <f>IFERROR(ROUND((tblPiNHistorical[[#This Row],[GBV New]]-tblPiNHistorical[[#This Row],[GBV Old]])/tblPiNHistorical[[#This Row],[GBV Old]], 1), "")</f>
        <v/>
      </c>
      <c r="AY254" s="84" t="str">
        <f>IFERROR(ROUND((tblPiNHistorical[[#This Row],[Mine Action New]]-tblPiNHistorical[[#This Row],[Mine Action Old]])/tblPiNHistorical[[#This Row],[Mine Action Old]], 1), "")</f>
        <v/>
      </c>
      <c r="AZ254" s="140" t="str">
        <f>IFERROR(ROUND((tblPiNHistorical[[#This Row],[Shelter NFI New]]-tblPiNHistorical[[#This Row],[Shelter NFI Old]])/tblPiNHistorical[[#This Row],[Shelter NFI Old]], 1), "")</f>
        <v/>
      </c>
      <c r="BA254" s="31" t="str">
        <f>IFERROR(ROUND((tblPiNHistorical[[#This Row],[WASH New]]-tblPiNHistorical[[#This Row],[WASH Old]])/tblPiNHistorical[[#This Row],[WASH Old]], 1), "")</f>
        <v/>
      </c>
    </row>
    <row r="255" spans="1:53" ht="38.25" x14ac:dyDescent="0.25">
      <c r="A255"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RefugeesSD01004</v>
      </c>
      <c r="B255" s="134" t="s">
        <v>164</v>
      </c>
      <c r="C255" s="124" t="s">
        <v>118</v>
      </c>
      <c r="D255" s="124" t="s">
        <v>329</v>
      </c>
      <c r="E255" s="59" t="s">
        <v>330</v>
      </c>
      <c r="F255" s="54"/>
      <c r="G255" s="29"/>
      <c r="H255" s="53">
        <v>13530</v>
      </c>
      <c r="I255" s="53" t="s">
        <v>90</v>
      </c>
      <c r="J255" s="34">
        <v>0</v>
      </c>
      <c r="K255" s="116">
        <v>4529</v>
      </c>
      <c r="L255" s="114">
        <v>13530</v>
      </c>
      <c r="M255" s="114">
        <v>13124</v>
      </c>
      <c r="N255" s="114">
        <v>1235</v>
      </c>
      <c r="O255" s="114">
        <v>13530</v>
      </c>
      <c r="P255" s="114">
        <v>1380.06</v>
      </c>
      <c r="Q255" s="114">
        <v>4546.08</v>
      </c>
      <c r="R255" s="114">
        <v>6765</v>
      </c>
      <c r="S255" s="114">
        <v>8118</v>
      </c>
      <c r="T255" s="196">
        <v>5711</v>
      </c>
      <c r="U255" s="52" t="str">
        <f>IFERROR(INDEX(tblPiNAnalysis[[Site Management ]], MATCH(tblPiNHistorical[[#This Row],[ID]], tblPiNAnalysis[ID], 0)), "")</f>
        <v/>
      </c>
      <c r="V255" s="52" t="str">
        <f>IFERROR(INDEX(tblPiNAnalysis[Education], MATCH(tblPiNHistorical[[#This Row],[ID]], tblPiNAnalysis[ID], 0)), "")</f>
        <v/>
      </c>
      <c r="W255" s="28" t="str">
        <f>IFERROR(INDEX(tblPiNAnalysis[Food Security and Livlihoods], MATCH(tblPiNHistorical[[#This Row],[ID]], tblPiNAnalysis[ID], 0)), "")</f>
        <v/>
      </c>
      <c r="X255" s="28" t="str">
        <f>IFERROR(INDEX(tblPiNAnalysis[[Health ]], MATCH(tblPiNHistorical[[#This Row],[ID]], tblPiNAnalysis[ID], 0)), "")</f>
        <v/>
      </c>
      <c r="Y255" s="28" t="str">
        <f>IFERROR(INDEX(tblPiNAnalysis[Nutrition], MATCH(tblPiNHistorical[[#This Row],[ID]], tblPiNAnalysis[ID], 0)), "")</f>
        <v/>
      </c>
      <c r="Z255" s="28" t="str">
        <f>IFERROR(INDEX(tblPiNAnalysis[Protection], MATCH(tblPiNHistorical[[#This Row],[ID]], tblPiNAnalysis[ID], 0)), "")</f>
        <v/>
      </c>
      <c r="AA255" s="28" t="str">
        <f>IFERROR(INDEX(tblPiNAnalysis[CP], MATCH(tblPiNHistorical[[#This Row],[ID]], tblPiNAnalysis[ID], 0)), "")</f>
        <v/>
      </c>
      <c r="AB255" s="83" t="str">
        <f>IFERROR(INDEX(tblPiNAnalysis[GBV], MATCH(tblPiNHistorical[[#This Row],[ID]], tblPiNAnalysis[ID], 0)), "")</f>
        <v/>
      </c>
      <c r="AC255" s="28" t="str">
        <f>IFERROR(INDEX(tblPiNAnalysis[Mine Action], MATCH(tblPiNHistorical[[#This Row],[ID]], tblPiNAnalysis[ID], 0)), "")</f>
        <v/>
      </c>
      <c r="AD255" s="83" t="str">
        <f>IFERROR(INDEX(tblPiNAnalysis[[Shelter NFI ]], MATCH(tblPiNHistorical[[#This Row],[ID]], tblPiNAnalysis[ID], 0)), "")</f>
        <v/>
      </c>
      <c r="AE255" s="28" t="str">
        <f>IFERROR(INDEX(tblPiNAnalysis[WASH], MATCH(tblPiNHistorical[[#This Row],[ID]], tblPiNAnalysis[ID], 0)), "")</f>
        <v/>
      </c>
      <c r="AF255"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255" s="136" t="str">
        <f>IF(OR(tblPiNHistorical[[#This Row],[Education Old]]="", tblPiNHistorical[[#This Row],[Education Old]]=0, tblPiNHistorical[[#This Row],[Education New]]="", tblPiNHistorical[[#This Row],[Education New]]=0), "", tblPiNHistorical[[#This Row],[Education New]]-tblPiNHistorical[[#This Row],[Education Old]])</f>
        <v/>
      </c>
      <c r="AH255"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255" s="137" t="str">
        <f>IF(OR(tblPiNHistorical[[#This Row],[Health Old]]="", tblPiNHistorical[[#This Row],[Health Old]]=0, tblPiNHistorical[[#This Row],[Health New]]="", tblPiNHistorical[[#This Row],[Health New]]=0), "", tblPiNHistorical[[#This Row],[Health New]]-tblPiNHistorical[[#This Row],[Health Old]])</f>
        <v/>
      </c>
      <c r="AJ255" s="136" t="str">
        <f>IF(OR(tblPiNHistorical[[#This Row],[Nutrition Old]]="", tblPiNHistorical[[#This Row],[Nutrition Old]]=0, tblPiNHistorical[[#This Row],[Nutrition New]]="", tblPiNHistorical[[#This Row],[Nutrition New]]=0), "", tblPiNHistorical[[#This Row],[Nutrition New]]-tblPiNHistorical[[#This Row],[Nutrition Old]])</f>
        <v/>
      </c>
      <c r="AK255" s="136" t="str">
        <f>IF(OR(tblPiNHistorical[[#This Row],[Protection Old]]="", tblPiNHistorical[[#This Row],[Protection Old]]=0, tblPiNHistorical[[#This Row],[Protection New]]="", tblPiNHistorical[[#This Row],[Protection New]]=0), "", tblPiNHistorical[[#This Row],[Protection New]]-tblPiNHistorical[[#This Row],[Protection Old]])</f>
        <v/>
      </c>
      <c r="AL255" s="136" t="str">
        <f>IF(OR(tblPiNHistorical[[#This Row],[CP Old ]]="", tblPiNHistorical[[#This Row],[CP Old ]]=0, tblPiNHistorical[[#This Row],[CP New]]="", tblPiNHistorical[[#This Row],[CP New]]=0), "", tblPiNHistorical[[#This Row],[CP New]]-tblPiNHistorical[[#This Row],[CP Old ]])</f>
        <v/>
      </c>
      <c r="AM255" s="83" t="str">
        <f>IF(OR(tblPiNHistorical[[#This Row],[GBV Old]]="", tblPiNHistorical[[#This Row],[GBV Old]]=0, tblPiNHistorical[[#This Row],[GBV New]]="", tblPiNHistorical[[#This Row],[GBV New]]=0), "", tblPiNHistorical[[#This Row],[GBV New]]-tblPiNHistorical[[#This Row],[GBV Old]])</f>
        <v/>
      </c>
      <c r="AN255" s="83" t="str">
        <f>IF(OR(tblPiNHistorical[[#This Row],[Mine Action Old]]="", tblPiNHistorical[[#This Row],[Mine Action Old]]=0, tblPiNHistorical[[#This Row],[Mine Action New]]="", tblPiNHistorical[[#This Row],[Mine Action New]]=0), "", tblPiNHistorical[[#This Row],[Mine Action New]]-tblPiNHistorical[[#This Row],[Mine Action Old]])</f>
        <v/>
      </c>
      <c r="AO255" s="136" t="str">
        <f>IF(OR(tblPiNHistorical[[#This Row],[Shelter NFI Old]]="", tblPiNHistorical[[#This Row],[Shelter NFI Old]]=0, tblPiNHistorical[[#This Row],[Shelter NFI New]]="", tblPiNHistorical[[#This Row],[Shelter NFI New]]=0), "", tblPiNHistorical[[#This Row],[Shelter NFI New]]-tblPiNHistorical[[#This Row],[Shelter NFI Old]])</f>
        <v/>
      </c>
      <c r="AP255" s="138" t="str">
        <f>IF(OR(tblPiNHistorical[[#This Row],[WASH Old]]="", tblPiNHistorical[[#This Row],[WASH Old]]=0, tblPiNHistorical[[#This Row],[WASH New]]="", tblPiNHistorical[[#This Row],[WASH New]]=0), "", tblPiNHistorical[[#This Row],[WASH New]]-tblPiNHistorical[[#This Row],[WASH Old]])</f>
        <v/>
      </c>
      <c r="AQ255" s="139" t="str">
        <f>IFERROR(ROUND((tblPiNHistorical[[#This Row],[Site Management - New]] - tblPiNHistorical[[#This Row],[Site Management - Old]])/tblPiNHistorical[[#This Row],[Site Management - Old]], 1), "")</f>
        <v/>
      </c>
      <c r="AR255" s="140" t="str">
        <f>IFERROR(ROUND((tblPiNHistorical[[#This Row],[Education New]]-tblPiNHistorical[[#This Row],[Education Old]])/tblPiNHistorical[[#This Row],[Education Old]], 1), "")</f>
        <v/>
      </c>
      <c r="AS255" s="141" t="str">
        <f>IFERROR(ROUND((tblPiNHistorical[[#This Row],[Food Security and Livlihoods New]]-tblPiNHistorical[[#This Row],[Food Security and Livlihoods Old]])/tblPiNHistorical[[#This Row],[Food Security and Livlihoods Old]], 1), "")</f>
        <v/>
      </c>
      <c r="AT255" s="142" t="str">
        <f>IFERROR(ROUND((tblPiNHistorical[[#This Row],[Health New]]-tblPiNHistorical[[#This Row],[Health Old]])/tblPiNHistorical[[#This Row],[Health Old]], 1), "")</f>
        <v/>
      </c>
      <c r="AU255" s="140" t="str">
        <f>IFERROR(ROUND((tblPiNHistorical[[#This Row],[Nutrition New]]-tblPiNHistorical[[#This Row],[Nutrition Old]])/tblPiNHistorical[[#This Row],[Nutrition Old]], 1), "")</f>
        <v/>
      </c>
      <c r="AV255" s="140" t="str">
        <f>IFERROR(ROUND((tblPiNHistorical[[#This Row],[Protection New]]-tblPiNHistorical[[#This Row],[Protection Old]])/tblPiNHistorical[[#This Row],[Protection Old]], 1), "")</f>
        <v/>
      </c>
      <c r="AW255" s="84" t="str">
        <f>IFERROR(ROUND((tblPiNHistorical[[#This Row],[CP New]]-tblPiNHistorical[[#This Row],[CP Old ]])/tblPiNHistorical[[#This Row],[CP Old ]], 1), "")</f>
        <v/>
      </c>
      <c r="AX255" s="84" t="str">
        <f>IFERROR(ROUND((tblPiNHistorical[[#This Row],[GBV New]]-tblPiNHistorical[[#This Row],[GBV Old]])/tblPiNHistorical[[#This Row],[GBV Old]], 1), "")</f>
        <v/>
      </c>
      <c r="AY255" s="84" t="str">
        <f>IFERROR(ROUND((tblPiNHistorical[[#This Row],[Mine Action New]]-tblPiNHistorical[[#This Row],[Mine Action Old]])/tblPiNHistorical[[#This Row],[Mine Action Old]], 1), "")</f>
        <v/>
      </c>
      <c r="AZ255" s="140" t="str">
        <f>IFERROR(ROUND((tblPiNHistorical[[#This Row],[Shelter NFI New]]-tblPiNHistorical[[#This Row],[Shelter NFI Old]])/tblPiNHistorical[[#This Row],[Shelter NFI Old]], 1), "")</f>
        <v/>
      </c>
      <c r="BA255" s="31" t="str">
        <f>IFERROR(ROUND((tblPiNHistorical[[#This Row],[WASH New]]-tblPiNHistorical[[#This Row],[WASH Old]])/tblPiNHistorical[[#This Row],[WASH Old]], 1), "")</f>
        <v/>
      </c>
    </row>
    <row r="256" spans="1:53" ht="38.25" x14ac:dyDescent="0.25">
      <c r="A256"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RefugeesSD01002</v>
      </c>
      <c r="B256" s="134" t="s">
        <v>164</v>
      </c>
      <c r="C256" s="124" t="s">
        <v>118</v>
      </c>
      <c r="D256" s="124" t="s">
        <v>325</v>
      </c>
      <c r="E256" s="59" t="s">
        <v>326</v>
      </c>
      <c r="F256" s="54"/>
      <c r="G256" s="29"/>
      <c r="H256" s="53">
        <v>8015</v>
      </c>
      <c r="I256" s="53" t="s">
        <v>90</v>
      </c>
      <c r="J256" s="34">
        <v>0</v>
      </c>
      <c r="K256" s="116">
        <v>2683</v>
      </c>
      <c r="L256" s="114">
        <v>8015</v>
      </c>
      <c r="M256" s="114">
        <v>7775</v>
      </c>
      <c r="N256" s="114">
        <v>731</v>
      </c>
      <c r="O256" s="114">
        <v>8015</v>
      </c>
      <c r="P256" s="114">
        <v>721.35</v>
      </c>
      <c r="Q256" s="114">
        <v>2436.56</v>
      </c>
      <c r="R256" s="114">
        <v>4007.5</v>
      </c>
      <c r="S256" s="114">
        <v>4809</v>
      </c>
      <c r="T256" s="196">
        <v>1817</v>
      </c>
      <c r="U256" s="52" t="str">
        <f>IFERROR(INDEX(tblPiNAnalysis[[Site Management ]], MATCH(tblPiNHistorical[[#This Row],[ID]], tblPiNAnalysis[ID], 0)), "")</f>
        <v/>
      </c>
      <c r="V256" s="52" t="str">
        <f>IFERROR(INDEX(tblPiNAnalysis[Education], MATCH(tblPiNHistorical[[#This Row],[ID]], tblPiNAnalysis[ID], 0)), "")</f>
        <v/>
      </c>
      <c r="W256" s="28" t="str">
        <f>IFERROR(INDEX(tblPiNAnalysis[Food Security and Livlihoods], MATCH(tblPiNHistorical[[#This Row],[ID]], tblPiNAnalysis[ID], 0)), "")</f>
        <v/>
      </c>
      <c r="X256" s="28" t="str">
        <f>IFERROR(INDEX(tblPiNAnalysis[[Health ]], MATCH(tblPiNHistorical[[#This Row],[ID]], tblPiNAnalysis[ID], 0)), "")</f>
        <v/>
      </c>
      <c r="Y256" s="28" t="str">
        <f>IFERROR(INDEX(tblPiNAnalysis[Nutrition], MATCH(tblPiNHistorical[[#This Row],[ID]], tblPiNAnalysis[ID], 0)), "")</f>
        <v/>
      </c>
      <c r="Z256" s="28" t="str">
        <f>IFERROR(INDEX(tblPiNAnalysis[Protection], MATCH(tblPiNHistorical[[#This Row],[ID]], tblPiNAnalysis[ID], 0)), "")</f>
        <v/>
      </c>
      <c r="AA256" s="28" t="str">
        <f>IFERROR(INDEX(tblPiNAnalysis[CP], MATCH(tblPiNHistorical[[#This Row],[ID]], tblPiNAnalysis[ID], 0)), "")</f>
        <v/>
      </c>
      <c r="AB256" s="83" t="str">
        <f>IFERROR(INDEX(tblPiNAnalysis[GBV], MATCH(tblPiNHistorical[[#This Row],[ID]], tblPiNAnalysis[ID], 0)), "")</f>
        <v/>
      </c>
      <c r="AC256" s="28" t="str">
        <f>IFERROR(INDEX(tblPiNAnalysis[Mine Action], MATCH(tblPiNHistorical[[#This Row],[ID]], tblPiNAnalysis[ID], 0)), "")</f>
        <v/>
      </c>
      <c r="AD256" s="83" t="str">
        <f>IFERROR(INDEX(tblPiNAnalysis[[Shelter NFI ]], MATCH(tblPiNHistorical[[#This Row],[ID]], tblPiNAnalysis[ID], 0)), "")</f>
        <v/>
      </c>
      <c r="AE256" s="28" t="str">
        <f>IFERROR(INDEX(tblPiNAnalysis[WASH], MATCH(tblPiNHistorical[[#This Row],[ID]], tblPiNAnalysis[ID], 0)), "")</f>
        <v/>
      </c>
      <c r="AF256"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256" s="136" t="str">
        <f>IF(OR(tblPiNHistorical[[#This Row],[Education Old]]="", tblPiNHistorical[[#This Row],[Education Old]]=0, tblPiNHistorical[[#This Row],[Education New]]="", tblPiNHistorical[[#This Row],[Education New]]=0), "", tblPiNHistorical[[#This Row],[Education New]]-tblPiNHistorical[[#This Row],[Education Old]])</f>
        <v/>
      </c>
      <c r="AH256"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256" s="137" t="str">
        <f>IF(OR(tblPiNHistorical[[#This Row],[Health Old]]="", tblPiNHistorical[[#This Row],[Health Old]]=0, tblPiNHistorical[[#This Row],[Health New]]="", tblPiNHistorical[[#This Row],[Health New]]=0), "", tblPiNHistorical[[#This Row],[Health New]]-tblPiNHistorical[[#This Row],[Health Old]])</f>
        <v/>
      </c>
      <c r="AJ256" s="136" t="str">
        <f>IF(OR(tblPiNHistorical[[#This Row],[Nutrition Old]]="", tblPiNHistorical[[#This Row],[Nutrition Old]]=0, tblPiNHistorical[[#This Row],[Nutrition New]]="", tblPiNHistorical[[#This Row],[Nutrition New]]=0), "", tblPiNHistorical[[#This Row],[Nutrition New]]-tblPiNHistorical[[#This Row],[Nutrition Old]])</f>
        <v/>
      </c>
      <c r="AK256" s="136" t="str">
        <f>IF(OR(tblPiNHistorical[[#This Row],[Protection Old]]="", tblPiNHistorical[[#This Row],[Protection Old]]=0, tblPiNHistorical[[#This Row],[Protection New]]="", tblPiNHistorical[[#This Row],[Protection New]]=0), "", tblPiNHistorical[[#This Row],[Protection New]]-tblPiNHistorical[[#This Row],[Protection Old]])</f>
        <v/>
      </c>
      <c r="AL256" s="136" t="str">
        <f>IF(OR(tblPiNHistorical[[#This Row],[CP Old ]]="", tblPiNHistorical[[#This Row],[CP Old ]]=0, tblPiNHistorical[[#This Row],[CP New]]="", tblPiNHistorical[[#This Row],[CP New]]=0), "", tblPiNHistorical[[#This Row],[CP New]]-tblPiNHistorical[[#This Row],[CP Old ]])</f>
        <v/>
      </c>
      <c r="AM256" s="83" t="str">
        <f>IF(OR(tblPiNHistorical[[#This Row],[GBV Old]]="", tblPiNHistorical[[#This Row],[GBV Old]]=0, tblPiNHistorical[[#This Row],[GBV New]]="", tblPiNHistorical[[#This Row],[GBV New]]=0), "", tblPiNHistorical[[#This Row],[GBV New]]-tblPiNHistorical[[#This Row],[GBV Old]])</f>
        <v/>
      </c>
      <c r="AN256" s="83" t="str">
        <f>IF(OR(tblPiNHistorical[[#This Row],[Mine Action Old]]="", tblPiNHistorical[[#This Row],[Mine Action Old]]=0, tblPiNHistorical[[#This Row],[Mine Action New]]="", tblPiNHistorical[[#This Row],[Mine Action New]]=0), "", tblPiNHistorical[[#This Row],[Mine Action New]]-tblPiNHistorical[[#This Row],[Mine Action Old]])</f>
        <v/>
      </c>
      <c r="AO256" s="136" t="str">
        <f>IF(OR(tblPiNHistorical[[#This Row],[Shelter NFI Old]]="", tblPiNHistorical[[#This Row],[Shelter NFI Old]]=0, tblPiNHistorical[[#This Row],[Shelter NFI New]]="", tblPiNHistorical[[#This Row],[Shelter NFI New]]=0), "", tblPiNHistorical[[#This Row],[Shelter NFI New]]-tblPiNHistorical[[#This Row],[Shelter NFI Old]])</f>
        <v/>
      </c>
      <c r="AP256" s="138" t="str">
        <f>IF(OR(tblPiNHistorical[[#This Row],[WASH Old]]="", tblPiNHistorical[[#This Row],[WASH Old]]=0, tblPiNHistorical[[#This Row],[WASH New]]="", tblPiNHistorical[[#This Row],[WASH New]]=0), "", tblPiNHistorical[[#This Row],[WASH New]]-tblPiNHistorical[[#This Row],[WASH Old]])</f>
        <v/>
      </c>
      <c r="AQ256" s="139" t="str">
        <f>IFERROR(ROUND((tblPiNHistorical[[#This Row],[Site Management - New]] - tblPiNHistorical[[#This Row],[Site Management - Old]])/tblPiNHistorical[[#This Row],[Site Management - Old]], 1), "")</f>
        <v/>
      </c>
      <c r="AR256" s="140" t="str">
        <f>IFERROR(ROUND((tblPiNHistorical[[#This Row],[Education New]]-tblPiNHistorical[[#This Row],[Education Old]])/tblPiNHistorical[[#This Row],[Education Old]], 1), "")</f>
        <v/>
      </c>
      <c r="AS256" s="141" t="str">
        <f>IFERROR(ROUND((tblPiNHistorical[[#This Row],[Food Security and Livlihoods New]]-tblPiNHistorical[[#This Row],[Food Security and Livlihoods Old]])/tblPiNHistorical[[#This Row],[Food Security and Livlihoods Old]], 1), "")</f>
        <v/>
      </c>
      <c r="AT256" s="142" t="str">
        <f>IFERROR(ROUND((tblPiNHistorical[[#This Row],[Health New]]-tblPiNHistorical[[#This Row],[Health Old]])/tblPiNHistorical[[#This Row],[Health Old]], 1), "")</f>
        <v/>
      </c>
      <c r="AU256" s="140" t="str">
        <f>IFERROR(ROUND((tblPiNHistorical[[#This Row],[Nutrition New]]-tblPiNHistorical[[#This Row],[Nutrition Old]])/tblPiNHistorical[[#This Row],[Nutrition Old]], 1), "")</f>
        <v/>
      </c>
      <c r="AV256" s="140" t="str">
        <f>IFERROR(ROUND((tblPiNHistorical[[#This Row],[Protection New]]-tblPiNHistorical[[#This Row],[Protection Old]])/tblPiNHistorical[[#This Row],[Protection Old]], 1), "")</f>
        <v/>
      </c>
      <c r="AW256" s="84" t="str">
        <f>IFERROR(ROUND((tblPiNHistorical[[#This Row],[CP New]]-tblPiNHistorical[[#This Row],[CP Old ]])/tblPiNHistorical[[#This Row],[CP Old ]], 1), "")</f>
        <v/>
      </c>
      <c r="AX256" s="84" t="str">
        <f>IFERROR(ROUND((tblPiNHistorical[[#This Row],[GBV New]]-tblPiNHistorical[[#This Row],[GBV Old]])/tblPiNHistorical[[#This Row],[GBV Old]], 1), "")</f>
        <v/>
      </c>
      <c r="AY256" s="84" t="str">
        <f>IFERROR(ROUND((tblPiNHistorical[[#This Row],[Mine Action New]]-tblPiNHistorical[[#This Row],[Mine Action Old]])/tblPiNHistorical[[#This Row],[Mine Action Old]], 1), "")</f>
        <v/>
      </c>
      <c r="AZ256" s="140" t="str">
        <f>IFERROR(ROUND((tblPiNHistorical[[#This Row],[Shelter NFI New]]-tblPiNHistorical[[#This Row],[Shelter NFI Old]])/tblPiNHistorical[[#This Row],[Shelter NFI Old]], 1), "")</f>
        <v/>
      </c>
      <c r="BA256" s="31" t="str">
        <f>IFERROR(ROUND((tblPiNHistorical[[#This Row],[WASH New]]-tblPiNHistorical[[#This Row],[WASH Old]])/tblPiNHistorical[[#This Row],[WASH Old]], 1), "")</f>
        <v/>
      </c>
    </row>
    <row r="257" spans="1:53" ht="38.25" x14ac:dyDescent="0.25">
      <c r="A257"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RefugeesSD01006</v>
      </c>
      <c r="B257" s="134" t="s">
        <v>164</v>
      </c>
      <c r="C257" s="124" t="s">
        <v>118</v>
      </c>
      <c r="D257" s="124" t="s">
        <v>333</v>
      </c>
      <c r="E257" s="59" t="s">
        <v>334</v>
      </c>
      <c r="F257" s="54"/>
      <c r="G257" s="29"/>
      <c r="H257" s="53">
        <v>5956</v>
      </c>
      <c r="I257" s="53" t="s">
        <v>90</v>
      </c>
      <c r="J257" s="34">
        <v>0</v>
      </c>
      <c r="K257" s="116">
        <v>1995</v>
      </c>
      <c r="L257" s="114">
        <v>5956</v>
      </c>
      <c r="M257" s="114">
        <v>5777</v>
      </c>
      <c r="N257" s="114">
        <v>544</v>
      </c>
      <c r="O257" s="114">
        <v>5956</v>
      </c>
      <c r="P257" s="114">
        <v>500.30400000000003</v>
      </c>
      <c r="Q257" s="114">
        <v>1542.604</v>
      </c>
      <c r="R257" s="114">
        <v>2978</v>
      </c>
      <c r="S257" s="114">
        <v>3574</v>
      </c>
      <c r="T257" s="196">
        <v>2756</v>
      </c>
      <c r="U257" s="52" t="str">
        <f>IFERROR(INDEX(tblPiNAnalysis[[Site Management ]], MATCH(tblPiNHistorical[[#This Row],[ID]], tblPiNAnalysis[ID], 0)), "")</f>
        <v/>
      </c>
      <c r="V257" s="52" t="str">
        <f>IFERROR(INDEX(tblPiNAnalysis[Education], MATCH(tblPiNHistorical[[#This Row],[ID]], tblPiNAnalysis[ID], 0)), "")</f>
        <v/>
      </c>
      <c r="W257" s="28" t="str">
        <f>IFERROR(INDEX(tblPiNAnalysis[Food Security and Livlihoods], MATCH(tblPiNHistorical[[#This Row],[ID]], tblPiNAnalysis[ID], 0)), "")</f>
        <v/>
      </c>
      <c r="X257" s="28" t="str">
        <f>IFERROR(INDEX(tblPiNAnalysis[[Health ]], MATCH(tblPiNHistorical[[#This Row],[ID]], tblPiNAnalysis[ID], 0)), "")</f>
        <v/>
      </c>
      <c r="Y257" s="28" t="str">
        <f>IFERROR(INDEX(tblPiNAnalysis[Nutrition], MATCH(tblPiNHistorical[[#This Row],[ID]], tblPiNAnalysis[ID], 0)), "")</f>
        <v/>
      </c>
      <c r="Z257" s="28" t="str">
        <f>IFERROR(INDEX(tblPiNAnalysis[Protection], MATCH(tblPiNHistorical[[#This Row],[ID]], tblPiNAnalysis[ID], 0)), "")</f>
        <v/>
      </c>
      <c r="AA257" s="28" t="str">
        <f>IFERROR(INDEX(tblPiNAnalysis[CP], MATCH(tblPiNHistorical[[#This Row],[ID]], tblPiNAnalysis[ID], 0)), "")</f>
        <v/>
      </c>
      <c r="AB257" s="83" t="str">
        <f>IFERROR(INDEX(tblPiNAnalysis[GBV], MATCH(tblPiNHistorical[[#This Row],[ID]], tblPiNAnalysis[ID], 0)), "")</f>
        <v/>
      </c>
      <c r="AC257" s="28" t="str">
        <f>IFERROR(INDEX(tblPiNAnalysis[Mine Action], MATCH(tblPiNHistorical[[#This Row],[ID]], tblPiNAnalysis[ID], 0)), "")</f>
        <v/>
      </c>
      <c r="AD257" s="83" t="str">
        <f>IFERROR(INDEX(tblPiNAnalysis[[Shelter NFI ]], MATCH(tblPiNHistorical[[#This Row],[ID]], tblPiNAnalysis[ID], 0)), "")</f>
        <v/>
      </c>
      <c r="AE257" s="28" t="str">
        <f>IFERROR(INDEX(tblPiNAnalysis[WASH], MATCH(tblPiNHistorical[[#This Row],[ID]], tblPiNAnalysis[ID], 0)), "")</f>
        <v/>
      </c>
      <c r="AF257"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257" s="136" t="str">
        <f>IF(OR(tblPiNHistorical[[#This Row],[Education Old]]="", tblPiNHistorical[[#This Row],[Education Old]]=0, tblPiNHistorical[[#This Row],[Education New]]="", tblPiNHistorical[[#This Row],[Education New]]=0), "", tblPiNHistorical[[#This Row],[Education New]]-tblPiNHistorical[[#This Row],[Education Old]])</f>
        <v/>
      </c>
      <c r="AH257"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257" s="137" t="str">
        <f>IF(OR(tblPiNHistorical[[#This Row],[Health Old]]="", tblPiNHistorical[[#This Row],[Health Old]]=0, tblPiNHistorical[[#This Row],[Health New]]="", tblPiNHistorical[[#This Row],[Health New]]=0), "", tblPiNHistorical[[#This Row],[Health New]]-tblPiNHistorical[[#This Row],[Health Old]])</f>
        <v/>
      </c>
      <c r="AJ257" s="136" t="str">
        <f>IF(OR(tblPiNHistorical[[#This Row],[Nutrition Old]]="", tblPiNHistorical[[#This Row],[Nutrition Old]]=0, tblPiNHistorical[[#This Row],[Nutrition New]]="", tblPiNHistorical[[#This Row],[Nutrition New]]=0), "", tblPiNHistorical[[#This Row],[Nutrition New]]-tblPiNHistorical[[#This Row],[Nutrition Old]])</f>
        <v/>
      </c>
      <c r="AK257" s="136" t="str">
        <f>IF(OR(tblPiNHistorical[[#This Row],[Protection Old]]="", tblPiNHistorical[[#This Row],[Protection Old]]=0, tblPiNHistorical[[#This Row],[Protection New]]="", tblPiNHistorical[[#This Row],[Protection New]]=0), "", tblPiNHistorical[[#This Row],[Protection New]]-tblPiNHistorical[[#This Row],[Protection Old]])</f>
        <v/>
      </c>
      <c r="AL257" s="136" t="str">
        <f>IF(OR(tblPiNHistorical[[#This Row],[CP Old ]]="", tblPiNHistorical[[#This Row],[CP Old ]]=0, tblPiNHistorical[[#This Row],[CP New]]="", tblPiNHistorical[[#This Row],[CP New]]=0), "", tblPiNHistorical[[#This Row],[CP New]]-tblPiNHistorical[[#This Row],[CP Old ]])</f>
        <v/>
      </c>
      <c r="AM257" s="83" t="str">
        <f>IF(OR(tblPiNHistorical[[#This Row],[GBV Old]]="", tblPiNHistorical[[#This Row],[GBV Old]]=0, tblPiNHistorical[[#This Row],[GBV New]]="", tblPiNHistorical[[#This Row],[GBV New]]=0), "", tblPiNHistorical[[#This Row],[GBV New]]-tblPiNHistorical[[#This Row],[GBV Old]])</f>
        <v/>
      </c>
      <c r="AN257" s="83" t="str">
        <f>IF(OR(tblPiNHistorical[[#This Row],[Mine Action Old]]="", tblPiNHistorical[[#This Row],[Mine Action Old]]=0, tblPiNHistorical[[#This Row],[Mine Action New]]="", tblPiNHistorical[[#This Row],[Mine Action New]]=0), "", tblPiNHistorical[[#This Row],[Mine Action New]]-tblPiNHistorical[[#This Row],[Mine Action Old]])</f>
        <v/>
      </c>
      <c r="AO257" s="136" t="str">
        <f>IF(OR(tblPiNHistorical[[#This Row],[Shelter NFI Old]]="", tblPiNHistorical[[#This Row],[Shelter NFI Old]]=0, tblPiNHistorical[[#This Row],[Shelter NFI New]]="", tblPiNHistorical[[#This Row],[Shelter NFI New]]=0), "", tblPiNHistorical[[#This Row],[Shelter NFI New]]-tblPiNHistorical[[#This Row],[Shelter NFI Old]])</f>
        <v/>
      </c>
      <c r="AP257" s="138" t="str">
        <f>IF(OR(tblPiNHistorical[[#This Row],[WASH Old]]="", tblPiNHistorical[[#This Row],[WASH Old]]=0, tblPiNHistorical[[#This Row],[WASH New]]="", tblPiNHistorical[[#This Row],[WASH New]]=0), "", tblPiNHistorical[[#This Row],[WASH New]]-tblPiNHistorical[[#This Row],[WASH Old]])</f>
        <v/>
      </c>
      <c r="AQ257" s="139" t="str">
        <f>IFERROR(ROUND((tblPiNHistorical[[#This Row],[Site Management - New]] - tblPiNHistorical[[#This Row],[Site Management - Old]])/tblPiNHistorical[[#This Row],[Site Management - Old]], 1), "")</f>
        <v/>
      </c>
      <c r="AR257" s="140" t="str">
        <f>IFERROR(ROUND((tblPiNHistorical[[#This Row],[Education New]]-tblPiNHistorical[[#This Row],[Education Old]])/tblPiNHistorical[[#This Row],[Education Old]], 1), "")</f>
        <v/>
      </c>
      <c r="AS257" s="141" t="str">
        <f>IFERROR(ROUND((tblPiNHistorical[[#This Row],[Food Security and Livlihoods New]]-tblPiNHistorical[[#This Row],[Food Security and Livlihoods Old]])/tblPiNHistorical[[#This Row],[Food Security and Livlihoods Old]], 1), "")</f>
        <v/>
      </c>
      <c r="AT257" s="142" t="str">
        <f>IFERROR(ROUND((tblPiNHistorical[[#This Row],[Health New]]-tblPiNHistorical[[#This Row],[Health Old]])/tblPiNHistorical[[#This Row],[Health Old]], 1), "")</f>
        <v/>
      </c>
      <c r="AU257" s="140" t="str">
        <f>IFERROR(ROUND((tblPiNHistorical[[#This Row],[Nutrition New]]-tblPiNHistorical[[#This Row],[Nutrition Old]])/tblPiNHistorical[[#This Row],[Nutrition Old]], 1), "")</f>
        <v/>
      </c>
      <c r="AV257" s="140" t="str">
        <f>IFERROR(ROUND((tblPiNHistorical[[#This Row],[Protection New]]-tblPiNHistorical[[#This Row],[Protection Old]])/tblPiNHistorical[[#This Row],[Protection Old]], 1), "")</f>
        <v/>
      </c>
      <c r="AW257" s="84" t="str">
        <f>IFERROR(ROUND((tblPiNHistorical[[#This Row],[CP New]]-tblPiNHistorical[[#This Row],[CP Old ]])/tblPiNHistorical[[#This Row],[CP Old ]], 1), "")</f>
        <v/>
      </c>
      <c r="AX257" s="84" t="str">
        <f>IFERROR(ROUND((tblPiNHistorical[[#This Row],[GBV New]]-tblPiNHistorical[[#This Row],[GBV Old]])/tblPiNHistorical[[#This Row],[GBV Old]], 1), "")</f>
        <v/>
      </c>
      <c r="AY257" s="84" t="str">
        <f>IFERROR(ROUND((tblPiNHistorical[[#This Row],[Mine Action New]]-tblPiNHistorical[[#This Row],[Mine Action Old]])/tblPiNHistorical[[#This Row],[Mine Action Old]], 1), "")</f>
        <v/>
      </c>
      <c r="AZ257" s="140" t="str">
        <f>IFERROR(ROUND((tblPiNHistorical[[#This Row],[Shelter NFI New]]-tblPiNHistorical[[#This Row],[Shelter NFI Old]])/tblPiNHistorical[[#This Row],[Shelter NFI Old]], 1), "")</f>
        <v/>
      </c>
      <c r="BA257" s="31" t="str">
        <f>IFERROR(ROUND((tblPiNHistorical[[#This Row],[WASH New]]-tblPiNHistorical[[#This Row],[WASH Old]])/tblPiNHistorical[[#This Row],[WASH Old]], 1), "")</f>
        <v/>
      </c>
    </row>
    <row r="258" spans="1:53" ht="38.25" x14ac:dyDescent="0.25">
      <c r="A258"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RefugeesSD02114</v>
      </c>
      <c r="B258" s="134" t="s">
        <v>167</v>
      </c>
      <c r="C258" s="124" t="s">
        <v>119</v>
      </c>
      <c r="D258" s="124" t="s">
        <v>199</v>
      </c>
      <c r="E258" s="59" t="s">
        <v>198</v>
      </c>
      <c r="F258" s="54"/>
      <c r="G258" s="29"/>
      <c r="H258" s="53">
        <v>1402</v>
      </c>
      <c r="I258" s="53" t="s">
        <v>90</v>
      </c>
      <c r="J258" s="34">
        <v>0</v>
      </c>
      <c r="K258" s="116">
        <v>575</v>
      </c>
      <c r="L258" s="114">
        <v>1402</v>
      </c>
      <c r="M258" s="114">
        <v>967</v>
      </c>
      <c r="N258" s="114">
        <v>128</v>
      </c>
      <c r="O258" s="114">
        <v>1402</v>
      </c>
      <c r="P258" s="114">
        <v>50.471999999999994</v>
      </c>
      <c r="Q258" s="114">
        <v>179.45600000000002</v>
      </c>
      <c r="R258" s="114">
        <v>701</v>
      </c>
      <c r="S258" s="114">
        <v>841</v>
      </c>
      <c r="T258" s="196">
        <v>799</v>
      </c>
      <c r="U258" s="52" t="str">
        <f>IFERROR(INDEX(tblPiNAnalysis[[Site Management ]], MATCH(tblPiNHistorical[[#This Row],[ID]], tblPiNAnalysis[ID], 0)), "")</f>
        <v/>
      </c>
      <c r="V258" s="52" t="str">
        <f>IFERROR(INDEX(tblPiNAnalysis[Education], MATCH(tblPiNHistorical[[#This Row],[ID]], tblPiNAnalysis[ID], 0)), "")</f>
        <v/>
      </c>
      <c r="W258" s="28" t="str">
        <f>IFERROR(INDEX(tblPiNAnalysis[Food Security and Livlihoods], MATCH(tblPiNHistorical[[#This Row],[ID]], tblPiNAnalysis[ID], 0)), "")</f>
        <v/>
      </c>
      <c r="X258" s="28" t="str">
        <f>IFERROR(INDEX(tblPiNAnalysis[[Health ]], MATCH(tblPiNHistorical[[#This Row],[ID]], tblPiNAnalysis[ID], 0)), "")</f>
        <v/>
      </c>
      <c r="Y258" s="28" t="str">
        <f>IFERROR(INDEX(tblPiNAnalysis[Nutrition], MATCH(tblPiNHistorical[[#This Row],[ID]], tblPiNAnalysis[ID], 0)), "")</f>
        <v/>
      </c>
      <c r="Z258" s="28" t="str">
        <f>IFERROR(INDEX(tblPiNAnalysis[Protection], MATCH(tblPiNHistorical[[#This Row],[ID]], tblPiNAnalysis[ID], 0)), "")</f>
        <v/>
      </c>
      <c r="AA258" s="28" t="str">
        <f>IFERROR(INDEX(tblPiNAnalysis[CP], MATCH(tblPiNHistorical[[#This Row],[ID]], tblPiNAnalysis[ID], 0)), "")</f>
        <v/>
      </c>
      <c r="AB258" s="83" t="str">
        <f>IFERROR(INDEX(tblPiNAnalysis[GBV], MATCH(tblPiNHistorical[[#This Row],[ID]], tblPiNAnalysis[ID], 0)), "")</f>
        <v/>
      </c>
      <c r="AC258" s="28" t="str">
        <f>IFERROR(INDEX(tblPiNAnalysis[Mine Action], MATCH(tblPiNHistorical[[#This Row],[ID]], tblPiNAnalysis[ID], 0)), "")</f>
        <v/>
      </c>
      <c r="AD258" s="83" t="str">
        <f>IFERROR(INDEX(tblPiNAnalysis[[Shelter NFI ]], MATCH(tblPiNHistorical[[#This Row],[ID]], tblPiNAnalysis[ID], 0)), "")</f>
        <v/>
      </c>
      <c r="AE258" s="28" t="str">
        <f>IFERROR(INDEX(tblPiNAnalysis[WASH], MATCH(tblPiNHistorical[[#This Row],[ID]], tblPiNAnalysis[ID], 0)), "")</f>
        <v/>
      </c>
      <c r="AF258"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258" s="136" t="str">
        <f>IF(OR(tblPiNHistorical[[#This Row],[Education Old]]="", tblPiNHistorical[[#This Row],[Education Old]]=0, tblPiNHistorical[[#This Row],[Education New]]="", tblPiNHistorical[[#This Row],[Education New]]=0), "", tblPiNHistorical[[#This Row],[Education New]]-tblPiNHistorical[[#This Row],[Education Old]])</f>
        <v/>
      </c>
      <c r="AH258"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258" s="137" t="str">
        <f>IF(OR(tblPiNHistorical[[#This Row],[Health Old]]="", tblPiNHistorical[[#This Row],[Health Old]]=0, tblPiNHistorical[[#This Row],[Health New]]="", tblPiNHistorical[[#This Row],[Health New]]=0), "", tblPiNHistorical[[#This Row],[Health New]]-tblPiNHistorical[[#This Row],[Health Old]])</f>
        <v/>
      </c>
      <c r="AJ258" s="136" t="str">
        <f>IF(OR(tblPiNHistorical[[#This Row],[Nutrition Old]]="", tblPiNHistorical[[#This Row],[Nutrition Old]]=0, tblPiNHistorical[[#This Row],[Nutrition New]]="", tblPiNHistorical[[#This Row],[Nutrition New]]=0), "", tblPiNHistorical[[#This Row],[Nutrition New]]-tblPiNHistorical[[#This Row],[Nutrition Old]])</f>
        <v/>
      </c>
      <c r="AK258" s="136" t="str">
        <f>IF(OR(tblPiNHistorical[[#This Row],[Protection Old]]="", tblPiNHistorical[[#This Row],[Protection Old]]=0, tblPiNHistorical[[#This Row],[Protection New]]="", tblPiNHistorical[[#This Row],[Protection New]]=0), "", tblPiNHistorical[[#This Row],[Protection New]]-tblPiNHistorical[[#This Row],[Protection Old]])</f>
        <v/>
      </c>
      <c r="AL258" s="136" t="str">
        <f>IF(OR(tblPiNHistorical[[#This Row],[CP Old ]]="", tblPiNHistorical[[#This Row],[CP Old ]]=0, tblPiNHistorical[[#This Row],[CP New]]="", tblPiNHistorical[[#This Row],[CP New]]=0), "", tblPiNHistorical[[#This Row],[CP New]]-tblPiNHistorical[[#This Row],[CP Old ]])</f>
        <v/>
      </c>
      <c r="AM258" s="83" t="str">
        <f>IF(OR(tblPiNHistorical[[#This Row],[GBV Old]]="", tblPiNHistorical[[#This Row],[GBV Old]]=0, tblPiNHistorical[[#This Row],[GBV New]]="", tblPiNHistorical[[#This Row],[GBV New]]=0), "", tblPiNHistorical[[#This Row],[GBV New]]-tblPiNHistorical[[#This Row],[GBV Old]])</f>
        <v/>
      </c>
      <c r="AN258" s="83" t="str">
        <f>IF(OR(tblPiNHistorical[[#This Row],[Mine Action Old]]="", tblPiNHistorical[[#This Row],[Mine Action Old]]=0, tblPiNHistorical[[#This Row],[Mine Action New]]="", tblPiNHistorical[[#This Row],[Mine Action New]]=0), "", tblPiNHistorical[[#This Row],[Mine Action New]]-tblPiNHistorical[[#This Row],[Mine Action Old]])</f>
        <v/>
      </c>
      <c r="AO258" s="136" t="str">
        <f>IF(OR(tblPiNHistorical[[#This Row],[Shelter NFI Old]]="", tblPiNHistorical[[#This Row],[Shelter NFI Old]]=0, tblPiNHistorical[[#This Row],[Shelter NFI New]]="", tblPiNHistorical[[#This Row],[Shelter NFI New]]=0), "", tblPiNHistorical[[#This Row],[Shelter NFI New]]-tblPiNHistorical[[#This Row],[Shelter NFI Old]])</f>
        <v/>
      </c>
      <c r="AP258" s="138" t="str">
        <f>IF(OR(tblPiNHistorical[[#This Row],[WASH Old]]="", tblPiNHistorical[[#This Row],[WASH Old]]=0, tblPiNHistorical[[#This Row],[WASH New]]="", tblPiNHistorical[[#This Row],[WASH New]]=0), "", tblPiNHistorical[[#This Row],[WASH New]]-tblPiNHistorical[[#This Row],[WASH Old]])</f>
        <v/>
      </c>
      <c r="AQ258" s="139" t="str">
        <f>IFERROR(ROUND((tblPiNHistorical[[#This Row],[Site Management - New]] - tblPiNHistorical[[#This Row],[Site Management - Old]])/tblPiNHistorical[[#This Row],[Site Management - Old]], 1), "")</f>
        <v/>
      </c>
      <c r="AR258" s="140" t="str">
        <f>IFERROR(ROUND((tblPiNHistorical[[#This Row],[Education New]]-tblPiNHistorical[[#This Row],[Education Old]])/tblPiNHistorical[[#This Row],[Education Old]], 1), "")</f>
        <v/>
      </c>
      <c r="AS258" s="141" t="str">
        <f>IFERROR(ROUND((tblPiNHistorical[[#This Row],[Food Security and Livlihoods New]]-tblPiNHistorical[[#This Row],[Food Security and Livlihoods Old]])/tblPiNHistorical[[#This Row],[Food Security and Livlihoods Old]], 1), "")</f>
        <v/>
      </c>
      <c r="AT258" s="142" t="str">
        <f>IFERROR(ROUND((tblPiNHistorical[[#This Row],[Health New]]-tblPiNHistorical[[#This Row],[Health Old]])/tblPiNHistorical[[#This Row],[Health Old]], 1), "")</f>
        <v/>
      </c>
      <c r="AU258" s="140" t="str">
        <f>IFERROR(ROUND((tblPiNHistorical[[#This Row],[Nutrition New]]-tblPiNHistorical[[#This Row],[Nutrition Old]])/tblPiNHistorical[[#This Row],[Nutrition Old]], 1), "")</f>
        <v/>
      </c>
      <c r="AV258" s="140" t="str">
        <f>IFERROR(ROUND((tblPiNHistorical[[#This Row],[Protection New]]-tblPiNHistorical[[#This Row],[Protection Old]])/tblPiNHistorical[[#This Row],[Protection Old]], 1), "")</f>
        <v/>
      </c>
      <c r="AW258" s="84" t="str">
        <f>IFERROR(ROUND((tblPiNHistorical[[#This Row],[CP New]]-tblPiNHistorical[[#This Row],[CP Old ]])/tblPiNHistorical[[#This Row],[CP Old ]], 1), "")</f>
        <v/>
      </c>
      <c r="AX258" s="84" t="str">
        <f>IFERROR(ROUND((tblPiNHistorical[[#This Row],[GBV New]]-tblPiNHistorical[[#This Row],[GBV Old]])/tblPiNHistorical[[#This Row],[GBV Old]], 1), "")</f>
        <v/>
      </c>
      <c r="AY258" s="84" t="str">
        <f>IFERROR(ROUND((tblPiNHistorical[[#This Row],[Mine Action New]]-tblPiNHistorical[[#This Row],[Mine Action Old]])/tblPiNHistorical[[#This Row],[Mine Action Old]], 1), "")</f>
        <v/>
      </c>
      <c r="AZ258" s="140" t="str">
        <f>IFERROR(ROUND((tblPiNHistorical[[#This Row],[Shelter NFI New]]-tblPiNHistorical[[#This Row],[Shelter NFI Old]])/tblPiNHistorical[[#This Row],[Shelter NFI Old]], 1), "")</f>
        <v/>
      </c>
      <c r="BA258" s="31" t="str">
        <f>IFERROR(ROUND((tblPiNHistorical[[#This Row],[WASH New]]-tblPiNHistorical[[#This Row],[WASH Old]])/tblPiNHistorical[[#This Row],[WASH Old]], 1), "")</f>
        <v/>
      </c>
    </row>
    <row r="259" spans="1:53" ht="38.25" x14ac:dyDescent="0.25">
      <c r="A259"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RefugeesSD02116</v>
      </c>
      <c r="B259" s="134" t="s">
        <v>167</v>
      </c>
      <c r="C259" s="124" t="s">
        <v>119</v>
      </c>
      <c r="D259" s="124" t="s">
        <v>201</v>
      </c>
      <c r="E259" s="59" t="s">
        <v>200</v>
      </c>
      <c r="F259" s="54"/>
      <c r="G259" s="29"/>
      <c r="H259" s="53">
        <v>0</v>
      </c>
      <c r="I259" s="53" t="s">
        <v>90</v>
      </c>
      <c r="J259" s="34">
        <v>0</v>
      </c>
      <c r="K259" s="116">
        <v>0</v>
      </c>
      <c r="L259" s="114">
        <v>0</v>
      </c>
      <c r="M259" s="114">
        <v>0</v>
      </c>
      <c r="N259" s="114">
        <v>0</v>
      </c>
      <c r="O259" s="114">
        <v>0</v>
      </c>
      <c r="P259" s="114">
        <v>0</v>
      </c>
      <c r="Q259" s="114">
        <v>0</v>
      </c>
      <c r="R259" s="114">
        <v>0</v>
      </c>
      <c r="S259" s="114">
        <v>0</v>
      </c>
      <c r="T259" s="196">
        <v>0</v>
      </c>
      <c r="U259" s="52" t="str">
        <f>IFERROR(INDEX(tblPiNAnalysis[[Site Management ]], MATCH(tblPiNHistorical[[#This Row],[ID]], tblPiNAnalysis[ID], 0)), "")</f>
        <v/>
      </c>
      <c r="V259" s="52" t="str">
        <f>IFERROR(INDEX(tblPiNAnalysis[Education], MATCH(tblPiNHistorical[[#This Row],[ID]], tblPiNAnalysis[ID], 0)), "")</f>
        <v/>
      </c>
      <c r="W259" s="28" t="str">
        <f>IFERROR(INDEX(tblPiNAnalysis[Food Security and Livlihoods], MATCH(tblPiNHistorical[[#This Row],[ID]], tblPiNAnalysis[ID], 0)), "")</f>
        <v/>
      </c>
      <c r="X259" s="28" t="str">
        <f>IFERROR(INDEX(tblPiNAnalysis[[Health ]], MATCH(tblPiNHistorical[[#This Row],[ID]], tblPiNAnalysis[ID], 0)), "")</f>
        <v/>
      </c>
      <c r="Y259" s="28" t="str">
        <f>IFERROR(INDEX(tblPiNAnalysis[Nutrition], MATCH(tblPiNHistorical[[#This Row],[ID]], tblPiNAnalysis[ID], 0)), "")</f>
        <v/>
      </c>
      <c r="Z259" s="28" t="str">
        <f>IFERROR(INDEX(tblPiNAnalysis[Protection], MATCH(tblPiNHistorical[[#This Row],[ID]], tblPiNAnalysis[ID], 0)), "")</f>
        <v/>
      </c>
      <c r="AA259" s="28" t="str">
        <f>IFERROR(INDEX(tblPiNAnalysis[CP], MATCH(tblPiNHistorical[[#This Row],[ID]], tblPiNAnalysis[ID], 0)), "")</f>
        <v/>
      </c>
      <c r="AB259" s="83" t="str">
        <f>IFERROR(INDEX(tblPiNAnalysis[GBV], MATCH(tblPiNHistorical[[#This Row],[ID]], tblPiNAnalysis[ID], 0)), "")</f>
        <v/>
      </c>
      <c r="AC259" s="28" t="str">
        <f>IFERROR(INDEX(tblPiNAnalysis[Mine Action], MATCH(tblPiNHistorical[[#This Row],[ID]], tblPiNAnalysis[ID], 0)), "")</f>
        <v/>
      </c>
      <c r="AD259" s="83" t="str">
        <f>IFERROR(INDEX(tblPiNAnalysis[[Shelter NFI ]], MATCH(tblPiNHistorical[[#This Row],[ID]], tblPiNAnalysis[ID], 0)), "")</f>
        <v/>
      </c>
      <c r="AE259" s="28" t="str">
        <f>IFERROR(INDEX(tblPiNAnalysis[WASH], MATCH(tblPiNHistorical[[#This Row],[ID]], tblPiNAnalysis[ID], 0)), "")</f>
        <v/>
      </c>
      <c r="AF259"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259" s="136" t="str">
        <f>IF(OR(tblPiNHistorical[[#This Row],[Education Old]]="", tblPiNHistorical[[#This Row],[Education Old]]=0, tblPiNHistorical[[#This Row],[Education New]]="", tblPiNHistorical[[#This Row],[Education New]]=0), "", tblPiNHistorical[[#This Row],[Education New]]-tblPiNHistorical[[#This Row],[Education Old]])</f>
        <v/>
      </c>
      <c r="AH259"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259" s="137" t="str">
        <f>IF(OR(tblPiNHistorical[[#This Row],[Health Old]]="", tblPiNHistorical[[#This Row],[Health Old]]=0, tblPiNHistorical[[#This Row],[Health New]]="", tblPiNHistorical[[#This Row],[Health New]]=0), "", tblPiNHistorical[[#This Row],[Health New]]-tblPiNHistorical[[#This Row],[Health Old]])</f>
        <v/>
      </c>
      <c r="AJ259" s="136" t="str">
        <f>IF(OR(tblPiNHistorical[[#This Row],[Nutrition Old]]="", tblPiNHistorical[[#This Row],[Nutrition Old]]=0, tblPiNHistorical[[#This Row],[Nutrition New]]="", tblPiNHistorical[[#This Row],[Nutrition New]]=0), "", tblPiNHistorical[[#This Row],[Nutrition New]]-tblPiNHistorical[[#This Row],[Nutrition Old]])</f>
        <v/>
      </c>
      <c r="AK259" s="136" t="str">
        <f>IF(OR(tblPiNHistorical[[#This Row],[Protection Old]]="", tblPiNHistorical[[#This Row],[Protection Old]]=0, tblPiNHistorical[[#This Row],[Protection New]]="", tblPiNHistorical[[#This Row],[Protection New]]=0), "", tblPiNHistorical[[#This Row],[Protection New]]-tblPiNHistorical[[#This Row],[Protection Old]])</f>
        <v/>
      </c>
      <c r="AL259" s="136" t="str">
        <f>IF(OR(tblPiNHistorical[[#This Row],[CP Old ]]="", tblPiNHistorical[[#This Row],[CP Old ]]=0, tblPiNHistorical[[#This Row],[CP New]]="", tblPiNHistorical[[#This Row],[CP New]]=0), "", tblPiNHistorical[[#This Row],[CP New]]-tblPiNHistorical[[#This Row],[CP Old ]])</f>
        <v/>
      </c>
      <c r="AM259" s="83" t="str">
        <f>IF(OR(tblPiNHistorical[[#This Row],[GBV Old]]="", tblPiNHistorical[[#This Row],[GBV Old]]=0, tblPiNHistorical[[#This Row],[GBV New]]="", tblPiNHistorical[[#This Row],[GBV New]]=0), "", tblPiNHistorical[[#This Row],[GBV New]]-tblPiNHistorical[[#This Row],[GBV Old]])</f>
        <v/>
      </c>
      <c r="AN259" s="83" t="str">
        <f>IF(OR(tblPiNHistorical[[#This Row],[Mine Action Old]]="", tblPiNHistorical[[#This Row],[Mine Action Old]]=0, tblPiNHistorical[[#This Row],[Mine Action New]]="", tblPiNHistorical[[#This Row],[Mine Action New]]=0), "", tblPiNHistorical[[#This Row],[Mine Action New]]-tblPiNHistorical[[#This Row],[Mine Action Old]])</f>
        <v/>
      </c>
      <c r="AO259" s="136" t="str">
        <f>IF(OR(tblPiNHistorical[[#This Row],[Shelter NFI Old]]="", tblPiNHistorical[[#This Row],[Shelter NFI Old]]=0, tblPiNHistorical[[#This Row],[Shelter NFI New]]="", tblPiNHistorical[[#This Row],[Shelter NFI New]]=0), "", tblPiNHistorical[[#This Row],[Shelter NFI New]]-tblPiNHistorical[[#This Row],[Shelter NFI Old]])</f>
        <v/>
      </c>
      <c r="AP259" s="138" t="str">
        <f>IF(OR(tblPiNHistorical[[#This Row],[WASH Old]]="", tblPiNHistorical[[#This Row],[WASH Old]]=0, tblPiNHistorical[[#This Row],[WASH New]]="", tblPiNHistorical[[#This Row],[WASH New]]=0), "", tblPiNHistorical[[#This Row],[WASH New]]-tblPiNHistorical[[#This Row],[WASH Old]])</f>
        <v/>
      </c>
      <c r="AQ259" s="139" t="str">
        <f>IFERROR(ROUND((tblPiNHistorical[[#This Row],[Site Management - New]] - tblPiNHistorical[[#This Row],[Site Management - Old]])/tblPiNHistorical[[#This Row],[Site Management - Old]], 1), "")</f>
        <v/>
      </c>
      <c r="AR259" s="140" t="str">
        <f>IFERROR(ROUND((tblPiNHistorical[[#This Row],[Education New]]-tblPiNHistorical[[#This Row],[Education Old]])/tblPiNHistorical[[#This Row],[Education Old]], 1), "")</f>
        <v/>
      </c>
      <c r="AS259" s="141" t="str">
        <f>IFERROR(ROUND((tblPiNHistorical[[#This Row],[Food Security and Livlihoods New]]-tblPiNHistorical[[#This Row],[Food Security and Livlihoods Old]])/tblPiNHistorical[[#This Row],[Food Security and Livlihoods Old]], 1), "")</f>
        <v/>
      </c>
      <c r="AT259" s="142" t="str">
        <f>IFERROR(ROUND((tblPiNHistorical[[#This Row],[Health New]]-tblPiNHistorical[[#This Row],[Health Old]])/tblPiNHistorical[[#This Row],[Health Old]], 1), "")</f>
        <v/>
      </c>
      <c r="AU259" s="140" t="str">
        <f>IFERROR(ROUND((tblPiNHistorical[[#This Row],[Nutrition New]]-tblPiNHistorical[[#This Row],[Nutrition Old]])/tblPiNHistorical[[#This Row],[Nutrition Old]], 1), "")</f>
        <v/>
      </c>
      <c r="AV259" s="140" t="str">
        <f>IFERROR(ROUND((tblPiNHistorical[[#This Row],[Protection New]]-tblPiNHistorical[[#This Row],[Protection Old]])/tblPiNHistorical[[#This Row],[Protection Old]], 1), "")</f>
        <v/>
      </c>
      <c r="AW259" s="84" t="str">
        <f>IFERROR(ROUND((tblPiNHistorical[[#This Row],[CP New]]-tblPiNHistorical[[#This Row],[CP Old ]])/tblPiNHistorical[[#This Row],[CP Old ]], 1), "")</f>
        <v/>
      </c>
      <c r="AX259" s="84" t="str">
        <f>IFERROR(ROUND((tblPiNHistorical[[#This Row],[GBV New]]-tblPiNHistorical[[#This Row],[GBV Old]])/tblPiNHistorical[[#This Row],[GBV Old]], 1), "")</f>
        <v/>
      </c>
      <c r="AY259" s="84" t="str">
        <f>IFERROR(ROUND((tblPiNHistorical[[#This Row],[Mine Action New]]-tblPiNHistorical[[#This Row],[Mine Action Old]])/tblPiNHistorical[[#This Row],[Mine Action Old]], 1), "")</f>
        <v/>
      </c>
      <c r="AZ259" s="140" t="str">
        <f>IFERROR(ROUND((tblPiNHistorical[[#This Row],[Shelter NFI New]]-tblPiNHistorical[[#This Row],[Shelter NFI Old]])/tblPiNHistorical[[#This Row],[Shelter NFI Old]], 1), "")</f>
        <v/>
      </c>
      <c r="BA259" s="31" t="str">
        <f>IFERROR(ROUND((tblPiNHistorical[[#This Row],[WASH New]]-tblPiNHistorical[[#This Row],[WASH Old]])/tblPiNHistorical[[#This Row],[WASH Old]], 1), "")</f>
        <v/>
      </c>
    </row>
    <row r="260" spans="1:53" ht="38.25" x14ac:dyDescent="0.25">
      <c r="A260"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RefugeesSD02169</v>
      </c>
      <c r="B260" s="134" t="s">
        <v>167</v>
      </c>
      <c r="C260" s="124" t="s">
        <v>119</v>
      </c>
      <c r="D260" s="124" t="s">
        <v>225</v>
      </c>
      <c r="E260" s="59" t="s">
        <v>224</v>
      </c>
      <c r="F260" s="54"/>
      <c r="G260" s="29"/>
      <c r="H260" s="53">
        <v>22552</v>
      </c>
      <c r="I260" s="53" t="s">
        <v>90</v>
      </c>
      <c r="J260" s="34">
        <v>0</v>
      </c>
      <c r="K260" s="116">
        <v>7024</v>
      </c>
      <c r="L260" s="114">
        <v>22551</v>
      </c>
      <c r="M260" s="114">
        <v>6540</v>
      </c>
      <c r="N260" s="114">
        <v>2059</v>
      </c>
      <c r="O260" s="114">
        <v>22551</v>
      </c>
      <c r="P260" s="114">
        <v>1104.999</v>
      </c>
      <c r="Q260" s="114">
        <v>9110.6040000000012</v>
      </c>
      <c r="R260" s="114">
        <v>4510.2</v>
      </c>
      <c r="S260" s="114">
        <v>13531</v>
      </c>
      <c r="T260" s="196">
        <v>10033</v>
      </c>
      <c r="U260" s="52" t="str">
        <f>IFERROR(INDEX(tblPiNAnalysis[[Site Management ]], MATCH(tblPiNHistorical[[#This Row],[ID]], tblPiNAnalysis[ID], 0)), "")</f>
        <v/>
      </c>
      <c r="V260" s="52" t="str">
        <f>IFERROR(INDEX(tblPiNAnalysis[Education], MATCH(tblPiNHistorical[[#This Row],[ID]], tblPiNAnalysis[ID], 0)), "")</f>
        <v/>
      </c>
      <c r="W260" s="28" t="str">
        <f>IFERROR(INDEX(tblPiNAnalysis[Food Security and Livlihoods], MATCH(tblPiNHistorical[[#This Row],[ID]], tblPiNAnalysis[ID], 0)), "")</f>
        <v/>
      </c>
      <c r="X260" s="28" t="str">
        <f>IFERROR(INDEX(tblPiNAnalysis[[Health ]], MATCH(tblPiNHistorical[[#This Row],[ID]], tblPiNAnalysis[ID], 0)), "")</f>
        <v/>
      </c>
      <c r="Y260" s="28" t="str">
        <f>IFERROR(INDEX(tblPiNAnalysis[Nutrition], MATCH(tblPiNHistorical[[#This Row],[ID]], tblPiNAnalysis[ID], 0)), "")</f>
        <v/>
      </c>
      <c r="Z260" s="28" t="str">
        <f>IFERROR(INDEX(tblPiNAnalysis[Protection], MATCH(tblPiNHistorical[[#This Row],[ID]], tblPiNAnalysis[ID], 0)), "")</f>
        <v/>
      </c>
      <c r="AA260" s="28" t="str">
        <f>IFERROR(INDEX(tblPiNAnalysis[CP], MATCH(tblPiNHistorical[[#This Row],[ID]], tblPiNAnalysis[ID], 0)), "")</f>
        <v/>
      </c>
      <c r="AB260" s="83" t="str">
        <f>IFERROR(INDEX(tblPiNAnalysis[GBV], MATCH(tblPiNHistorical[[#This Row],[ID]], tblPiNAnalysis[ID], 0)), "")</f>
        <v/>
      </c>
      <c r="AC260" s="28" t="str">
        <f>IFERROR(INDEX(tblPiNAnalysis[Mine Action], MATCH(tblPiNHistorical[[#This Row],[ID]], tblPiNAnalysis[ID], 0)), "")</f>
        <v/>
      </c>
      <c r="AD260" s="83" t="str">
        <f>IFERROR(INDEX(tblPiNAnalysis[[Shelter NFI ]], MATCH(tblPiNHistorical[[#This Row],[ID]], tblPiNAnalysis[ID], 0)), "")</f>
        <v/>
      </c>
      <c r="AE260" s="28" t="str">
        <f>IFERROR(INDEX(tblPiNAnalysis[WASH], MATCH(tblPiNHistorical[[#This Row],[ID]], tblPiNAnalysis[ID], 0)), "")</f>
        <v/>
      </c>
      <c r="AF260"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260" s="136" t="str">
        <f>IF(OR(tblPiNHistorical[[#This Row],[Education Old]]="", tblPiNHistorical[[#This Row],[Education Old]]=0, tblPiNHistorical[[#This Row],[Education New]]="", tblPiNHistorical[[#This Row],[Education New]]=0), "", tblPiNHistorical[[#This Row],[Education New]]-tblPiNHistorical[[#This Row],[Education Old]])</f>
        <v/>
      </c>
      <c r="AH260"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260" s="137" t="str">
        <f>IF(OR(tblPiNHistorical[[#This Row],[Health Old]]="", tblPiNHistorical[[#This Row],[Health Old]]=0, tblPiNHistorical[[#This Row],[Health New]]="", tblPiNHistorical[[#This Row],[Health New]]=0), "", tblPiNHistorical[[#This Row],[Health New]]-tblPiNHistorical[[#This Row],[Health Old]])</f>
        <v/>
      </c>
      <c r="AJ260" s="136" t="str">
        <f>IF(OR(tblPiNHistorical[[#This Row],[Nutrition Old]]="", tblPiNHistorical[[#This Row],[Nutrition Old]]=0, tblPiNHistorical[[#This Row],[Nutrition New]]="", tblPiNHistorical[[#This Row],[Nutrition New]]=0), "", tblPiNHistorical[[#This Row],[Nutrition New]]-tblPiNHistorical[[#This Row],[Nutrition Old]])</f>
        <v/>
      </c>
      <c r="AK260" s="136" t="str">
        <f>IF(OR(tblPiNHistorical[[#This Row],[Protection Old]]="", tblPiNHistorical[[#This Row],[Protection Old]]=0, tblPiNHistorical[[#This Row],[Protection New]]="", tblPiNHistorical[[#This Row],[Protection New]]=0), "", tblPiNHistorical[[#This Row],[Protection New]]-tblPiNHistorical[[#This Row],[Protection Old]])</f>
        <v/>
      </c>
      <c r="AL260" s="136" t="str">
        <f>IF(OR(tblPiNHistorical[[#This Row],[CP Old ]]="", tblPiNHistorical[[#This Row],[CP Old ]]=0, tblPiNHistorical[[#This Row],[CP New]]="", tblPiNHistorical[[#This Row],[CP New]]=0), "", tblPiNHistorical[[#This Row],[CP New]]-tblPiNHistorical[[#This Row],[CP Old ]])</f>
        <v/>
      </c>
      <c r="AM260" s="83" t="str">
        <f>IF(OR(tblPiNHistorical[[#This Row],[GBV Old]]="", tblPiNHistorical[[#This Row],[GBV Old]]=0, tblPiNHistorical[[#This Row],[GBV New]]="", tblPiNHistorical[[#This Row],[GBV New]]=0), "", tblPiNHistorical[[#This Row],[GBV New]]-tblPiNHistorical[[#This Row],[GBV Old]])</f>
        <v/>
      </c>
      <c r="AN260" s="83" t="str">
        <f>IF(OR(tblPiNHistorical[[#This Row],[Mine Action Old]]="", tblPiNHistorical[[#This Row],[Mine Action Old]]=0, tblPiNHistorical[[#This Row],[Mine Action New]]="", tblPiNHistorical[[#This Row],[Mine Action New]]=0), "", tblPiNHistorical[[#This Row],[Mine Action New]]-tblPiNHistorical[[#This Row],[Mine Action Old]])</f>
        <v/>
      </c>
      <c r="AO260" s="136" t="str">
        <f>IF(OR(tblPiNHistorical[[#This Row],[Shelter NFI Old]]="", tblPiNHistorical[[#This Row],[Shelter NFI Old]]=0, tblPiNHistorical[[#This Row],[Shelter NFI New]]="", tblPiNHistorical[[#This Row],[Shelter NFI New]]=0), "", tblPiNHistorical[[#This Row],[Shelter NFI New]]-tblPiNHistorical[[#This Row],[Shelter NFI Old]])</f>
        <v/>
      </c>
      <c r="AP260" s="138" t="str">
        <f>IF(OR(tblPiNHistorical[[#This Row],[WASH Old]]="", tblPiNHistorical[[#This Row],[WASH Old]]=0, tblPiNHistorical[[#This Row],[WASH New]]="", tblPiNHistorical[[#This Row],[WASH New]]=0), "", tblPiNHistorical[[#This Row],[WASH New]]-tblPiNHistorical[[#This Row],[WASH Old]])</f>
        <v/>
      </c>
      <c r="AQ260" s="139" t="str">
        <f>IFERROR(ROUND((tblPiNHistorical[[#This Row],[Site Management - New]] - tblPiNHistorical[[#This Row],[Site Management - Old]])/tblPiNHistorical[[#This Row],[Site Management - Old]], 1), "")</f>
        <v/>
      </c>
      <c r="AR260" s="140" t="str">
        <f>IFERROR(ROUND((tblPiNHistorical[[#This Row],[Education New]]-tblPiNHistorical[[#This Row],[Education Old]])/tblPiNHistorical[[#This Row],[Education Old]], 1), "")</f>
        <v/>
      </c>
      <c r="AS260" s="141" t="str">
        <f>IFERROR(ROUND((tblPiNHistorical[[#This Row],[Food Security and Livlihoods New]]-tblPiNHistorical[[#This Row],[Food Security and Livlihoods Old]])/tblPiNHistorical[[#This Row],[Food Security and Livlihoods Old]], 1), "")</f>
        <v/>
      </c>
      <c r="AT260" s="142" t="str">
        <f>IFERROR(ROUND((tblPiNHistorical[[#This Row],[Health New]]-tblPiNHistorical[[#This Row],[Health Old]])/tblPiNHistorical[[#This Row],[Health Old]], 1), "")</f>
        <v/>
      </c>
      <c r="AU260" s="140" t="str">
        <f>IFERROR(ROUND((tblPiNHistorical[[#This Row],[Nutrition New]]-tblPiNHistorical[[#This Row],[Nutrition Old]])/tblPiNHistorical[[#This Row],[Nutrition Old]], 1), "")</f>
        <v/>
      </c>
      <c r="AV260" s="140" t="str">
        <f>IFERROR(ROUND((tblPiNHistorical[[#This Row],[Protection New]]-tblPiNHistorical[[#This Row],[Protection Old]])/tblPiNHistorical[[#This Row],[Protection Old]], 1), "")</f>
        <v/>
      </c>
      <c r="AW260" s="84" t="str">
        <f>IFERROR(ROUND((tblPiNHistorical[[#This Row],[CP New]]-tblPiNHistorical[[#This Row],[CP Old ]])/tblPiNHistorical[[#This Row],[CP Old ]], 1), "")</f>
        <v/>
      </c>
      <c r="AX260" s="84" t="str">
        <f>IFERROR(ROUND((tblPiNHistorical[[#This Row],[GBV New]]-tblPiNHistorical[[#This Row],[GBV Old]])/tblPiNHistorical[[#This Row],[GBV Old]], 1), "")</f>
        <v/>
      </c>
      <c r="AY260" s="84" t="str">
        <f>IFERROR(ROUND((tblPiNHistorical[[#This Row],[Mine Action New]]-tblPiNHistorical[[#This Row],[Mine Action Old]])/tblPiNHistorical[[#This Row],[Mine Action Old]], 1), "")</f>
        <v/>
      </c>
      <c r="AZ260" s="140" t="str">
        <f>IFERROR(ROUND((tblPiNHistorical[[#This Row],[Shelter NFI New]]-tblPiNHistorical[[#This Row],[Shelter NFI Old]])/tblPiNHistorical[[#This Row],[Shelter NFI Old]], 1), "")</f>
        <v/>
      </c>
      <c r="BA260" s="31" t="str">
        <f>IFERROR(ROUND((tblPiNHistorical[[#This Row],[WASH New]]-tblPiNHistorical[[#This Row],[WASH Old]])/tblPiNHistorical[[#This Row],[WASH Old]], 1), "")</f>
        <v/>
      </c>
    </row>
    <row r="261" spans="1:53" ht="38.25" x14ac:dyDescent="0.25">
      <c r="A261"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RefugeesSD02117</v>
      </c>
      <c r="B261" s="134" t="s">
        <v>167</v>
      </c>
      <c r="C261" s="124" t="s">
        <v>119</v>
      </c>
      <c r="D261" s="124" t="s">
        <v>203</v>
      </c>
      <c r="E261" s="59" t="s">
        <v>202</v>
      </c>
      <c r="F261" s="54"/>
      <c r="G261" s="29"/>
      <c r="H261" s="53">
        <v>0</v>
      </c>
      <c r="I261" s="53" t="s">
        <v>90</v>
      </c>
      <c r="J261" s="34">
        <v>0</v>
      </c>
      <c r="K261" s="116">
        <v>0</v>
      </c>
      <c r="L261" s="114">
        <v>0</v>
      </c>
      <c r="M261" s="114">
        <v>0</v>
      </c>
      <c r="N261" s="114">
        <v>0</v>
      </c>
      <c r="O261" s="114">
        <v>0</v>
      </c>
      <c r="P261" s="114">
        <v>0</v>
      </c>
      <c r="Q261" s="114">
        <v>0</v>
      </c>
      <c r="R261" s="114">
        <v>0</v>
      </c>
      <c r="S261" s="114">
        <v>0</v>
      </c>
      <c r="T261" s="196">
        <v>0</v>
      </c>
      <c r="U261" s="52" t="str">
        <f>IFERROR(INDEX(tblPiNAnalysis[[Site Management ]], MATCH(tblPiNHistorical[[#This Row],[ID]], tblPiNAnalysis[ID], 0)), "")</f>
        <v/>
      </c>
      <c r="V261" s="52" t="str">
        <f>IFERROR(INDEX(tblPiNAnalysis[Education], MATCH(tblPiNHistorical[[#This Row],[ID]], tblPiNAnalysis[ID], 0)), "")</f>
        <v/>
      </c>
      <c r="W261" s="28" t="str">
        <f>IFERROR(INDEX(tblPiNAnalysis[Food Security and Livlihoods], MATCH(tblPiNHistorical[[#This Row],[ID]], tblPiNAnalysis[ID], 0)), "")</f>
        <v/>
      </c>
      <c r="X261" s="28" t="str">
        <f>IFERROR(INDEX(tblPiNAnalysis[[Health ]], MATCH(tblPiNHistorical[[#This Row],[ID]], tblPiNAnalysis[ID], 0)), "")</f>
        <v/>
      </c>
      <c r="Y261" s="28" t="str">
        <f>IFERROR(INDEX(tblPiNAnalysis[Nutrition], MATCH(tblPiNHistorical[[#This Row],[ID]], tblPiNAnalysis[ID], 0)), "")</f>
        <v/>
      </c>
      <c r="Z261" s="28" t="str">
        <f>IFERROR(INDEX(tblPiNAnalysis[Protection], MATCH(tblPiNHistorical[[#This Row],[ID]], tblPiNAnalysis[ID], 0)), "")</f>
        <v/>
      </c>
      <c r="AA261" s="28" t="str">
        <f>IFERROR(INDEX(tblPiNAnalysis[CP], MATCH(tblPiNHistorical[[#This Row],[ID]], tblPiNAnalysis[ID], 0)), "")</f>
        <v/>
      </c>
      <c r="AB261" s="83" t="str">
        <f>IFERROR(INDEX(tblPiNAnalysis[GBV], MATCH(tblPiNHistorical[[#This Row],[ID]], tblPiNAnalysis[ID], 0)), "")</f>
        <v/>
      </c>
      <c r="AC261" s="28" t="str">
        <f>IFERROR(INDEX(tblPiNAnalysis[Mine Action], MATCH(tblPiNHistorical[[#This Row],[ID]], tblPiNAnalysis[ID], 0)), "")</f>
        <v/>
      </c>
      <c r="AD261" s="83" t="str">
        <f>IFERROR(INDEX(tblPiNAnalysis[[Shelter NFI ]], MATCH(tblPiNHistorical[[#This Row],[ID]], tblPiNAnalysis[ID], 0)), "")</f>
        <v/>
      </c>
      <c r="AE261" s="28" t="str">
        <f>IFERROR(INDEX(tblPiNAnalysis[WASH], MATCH(tblPiNHistorical[[#This Row],[ID]], tblPiNAnalysis[ID], 0)), "")</f>
        <v/>
      </c>
      <c r="AF261"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261" s="136" t="str">
        <f>IF(OR(tblPiNHistorical[[#This Row],[Education Old]]="", tblPiNHistorical[[#This Row],[Education Old]]=0, tblPiNHistorical[[#This Row],[Education New]]="", tblPiNHistorical[[#This Row],[Education New]]=0), "", tblPiNHistorical[[#This Row],[Education New]]-tblPiNHistorical[[#This Row],[Education Old]])</f>
        <v/>
      </c>
      <c r="AH261"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261" s="137" t="str">
        <f>IF(OR(tblPiNHistorical[[#This Row],[Health Old]]="", tblPiNHistorical[[#This Row],[Health Old]]=0, tblPiNHistorical[[#This Row],[Health New]]="", tblPiNHistorical[[#This Row],[Health New]]=0), "", tblPiNHistorical[[#This Row],[Health New]]-tblPiNHistorical[[#This Row],[Health Old]])</f>
        <v/>
      </c>
      <c r="AJ261" s="136" t="str">
        <f>IF(OR(tblPiNHistorical[[#This Row],[Nutrition Old]]="", tblPiNHistorical[[#This Row],[Nutrition Old]]=0, tblPiNHistorical[[#This Row],[Nutrition New]]="", tblPiNHistorical[[#This Row],[Nutrition New]]=0), "", tblPiNHistorical[[#This Row],[Nutrition New]]-tblPiNHistorical[[#This Row],[Nutrition Old]])</f>
        <v/>
      </c>
      <c r="AK261" s="136" t="str">
        <f>IF(OR(tblPiNHistorical[[#This Row],[Protection Old]]="", tblPiNHistorical[[#This Row],[Protection Old]]=0, tblPiNHistorical[[#This Row],[Protection New]]="", tblPiNHistorical[[#This Row],[Protection New]]=0), "", tblPiNHistorical[[#This Row],[Protection New]]-tblPiNHistorical[[#This Row],[Protection Old]])</f>
        <v/>
      </c>
      <c r="AL261" s="136" t="str">
        <f>IF(OR(tblPiNHistorical[[#This Row],[CP Old ]]="", tblPiNHistorical[[#This Row],[CP Old ]]=0, tblPiNHistorical[[#This Row],[CP New]]="", tblPiNHistorical[[#This Row],[CP New]]=0), "", tblPiNHistorical[[#This Row],[CP New]]-tblPiNHistorical[[#This Row],[CP Old ]])</f>
        <v/>
      </c>
      <c r="AM261" s="83" t="str">
        <f>IF(OR(tblPiNHistorical[[#This Row],[GBV Old]]="", tblPiNHistorical[[#This Row],[GBV Old]]=0, tblPiNHistorical[[#This Row],[GBV New]]="", tblPiNHistorical[[#This Row],[GBV New]]=0), "", tblPiNHistorical[[#This Row],[GBV New]]-tblPiNHistorical[[#This Row],[GBV Old]])</f>
        <v/>
      </c>
      <c r="AN261" s="83" t="str">
        <f>IF(OR(tblPiNHistorical[[#This Row],[Mine Action Old]]="", tblPiNHistorical[[#This Row],[Mine Action Old]]=0, tblPiNHistorical[[#This Row],[Mine Action New]]="", tblPiNHistorical[[#This Row],[Mine Action New]]=0), "", tblPiNHistorical[[#This Row],[Mine Action New]]-tblPiNHistorical[[#This Row],[Mine Action Old]])</f>
        <v/>
      </c>
      <c r="AO261" s="136" t="str">
        <f>IF(OR(tblPiNHistorical[[#This Row],[Shelter NFI Old]]="", tblPiNHistorical[[#This Row],[Shelter NFI Old]]=0, tblPiNHistorical[[#This Row],[Shelter NFI New]]="", tblPiNHistorical[[#This Row],[Shelter NFI New]]=0), "", tblPiNHistorical[[#This Row],[Shelter NFI New]]-tblPiNHistorical[[#This Row],[Shelter NFI Old]])</f>
        <v/>
      </c>
      <c r="AP261" s="138" t="str">
        <f>IF(OR(tblPiNHistorical[[#This Row],[WASH Old]]="", tblPiNHistorical[[#This Row],[WASH Old]]=0, tblPiNHistorical[[#This Row],[WASH New]]="", tblPiNHistorical[[#This Row],[WASH New]]=0), "", tblPiNHistorical[[#This Row],[WASH New]]-tblPiNHistorical[[#This Row],[WASH Old]])</f>
        <v/>
      </c>
      <c r="AQ261" s="139" t="str">
        <f>IFERROR(ROUND((tblPiNHistorical[[#This Row],[Site Management - New]] - tblPiNHistorical[[#This Row],[Site Management - Old]])/tblPiNHistorical[[#This Row],[Site Management - Old]], 1), "")</f>
        <v/>
      </c>
      <c r="AR261" s="140" t="str">
        <f>IFERROR(ROUND((tblPiNHistorical[[#This Row],[Education New]]-tblPiNHistorical[[#This Row],[Education Old]])/tblPiNHistorical[[#This Row],[Education Old]], 1), "")</f>
        <v/>
      </c>
      <c r="AS261" s="141" t="str">
        <f>IFERROR(ROUND((tblPiNHistorical[[#This Row],[Food Security and Livlihoods New]]-tblPiNHistorical[[#This Row],[Food Security and Livlihoods Old]])/tblPiNHistorical[[#This Row],[Food Security and Livlihoods Old]], 1), "")</f>
        <v/>
      </c>
      <c r="AT261" s="142" t="str">
        <f>IFERROR(ROUND((tblPiNHistorical[[#This Row],[Health New]]-tblPiNHistorical[[#This Row],[Health Old]])/tblPiNHistorical[[#This Row],[Health Old]], 1), "")</f>
        <v/>
      </c>
      <c r="AU261" s="140" t="str">
        <f>IFERROR(ROUND((tblPiNHistorical[[#This Row],[Nutrition New]]-tblPiNHistorical[[#This Row],[Nutrition Old]])/tblPiNHistorical[[#This Row],[Nutrition Old]], 1), "")</f>
        <v/>
      </c>
      <c r="AV261" s="140" t="str">
        <f>IFERROR(ROUND((tblPiNHistorical[[#This Row],[Protection New]]-tblPiNHistorical[[#This Row],[Protection Old]])/tblPiNHistorical[[#This Row],[Protection Old]], 1), "")</f>
        <v/>
      </c>
      <c r="AW261" s="84" t="str">
        <f>IFERROR(ROUND((tblPiNHistorical[[#This Row],[CP New]]-tblPiNHistorical[[#This Row],[CP Old ]])/tblPiNHistorical[[#This Row],[CP Old ]], 1), "")</f>
        <v/>
      </c>
      <c r="AX261" s="84" t="str">
        <f>IFERROR(ROUND((tblPiNHistorical[[#This Row],[GBV New]]-tblPiNHistorical[[#This Row],[GBV Old]])/tblPiNHistorical[[#This Row],[GBV Old]], 1), "")</f>
        <v/>
      </c>
      <c r="AY261" s="84" t="str">
        <f>IFERROR(ROUND((tblPiNHistorical[[#This Row],[Mine Action New]]-tblPiNHistorical[[#This Row],[Mine Action Old]])/tblPiNHistorical[[#This Row],[Mine Action Old]], 1), "")</f>
        <v/>
      </c>
      <c r="AZ261" s="140" t="str">
        <f>IFERROR(ROUND((tblPiNHistorical[[#This Row],[Shelter NFI New]]-tblPiNHistorical[[#This Row],[Shelter NFI Old]])/tblPiNHistorical[[#This Row],[Shelter NFI Old]], 1), "")</f>
        <v/>
      </c>
      <c r="BA261" s="31" t="str">
        <f>IFERROR(ROUND((tblPiNHistorical[[#This Row],[WASH New]]-tblPiNHistorical[[#This Row],[WASH Old]])/tblPiNHistorical[[#This Row],[WASH Old]], 1), "")</f>
        <v/>
      </c>
    </row>
    <row r="262" spans="1:53" ht="38.25" x14ac:dyDescent="0.25">
      <c r="A262"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RefugeesSD02118</v>
      </c>
      <c r="B262" s="134" t="s">
        <v>167</v>
      </c>
      <c r="C262" s="124" t="s">
        <v>119</v>
      </c>
      <c r="D262" s="124" t="s">
        <v>205</v>
      </c>
      <c r="E262" s="59" t="s">
        <v>204</v>
      </c>
      <c r="F262" s="54"/>
      <c r="G262" s="29"/>
      <c r="H262" s="53">
        <v>0</v>
      </c>
      <c r="I262" s="53" t="s">
        <v>90</v>
      </c>
      <c r="J262" s="34">
        <v>0</v>
      </c>
      <c r="K262" s="116">
        <v>0</v>
      </c>
      <c r="L262" s="114">
        <v>0</v>
      </c>
      <c r="M262" s="114">
        <v>0</v>
      </c>
      <c r="N262" s="114">
        <v>0</v>
      </c>
      <c r="O262" s="114">
        <v>0</v>
      </c>
      <c r="P262" s="114">
        <v>0</v>
      </c>
      <c r="Q262" s="114">
        <v>0</v>
      </c>
      <c r="R262" s="114">
        <v>0</v>
      </c>
      <c r="S262" s="114">
        <v>0</v>
      </c>
      <c r="T262" s="196">
        <v>0</v>
      </c>
      <c r="U262" s="52" t="str">
        <f>IFERROR(INDEX(tblPiNAnalysis[[Site Management ]], MATCH(tblPiNHistorical[[#This Row],[ID]], tblPiNAnalysis[ID], 0)), "")</f>
        <v/>
      </c>
      <c r="V262" s="52" t="str">
        <f>IFERROR(INDEX(tblPiNAnalysis[Education], MATCH(tblPiNHistorical[[#This Row],[ID]], tblPiNAnalysis[ID], 0)), "")</f>
        <v/>
      </c>
      <c r="W262" s="28" t="str">
        <f>IFERROR(INDEX(tblPiNAnalysis[Food Security and Livlihoods], MATCH(tblPiNHistorical[[#This Row],[ID]], tblPiNAnalysis[ID], 0)), "")</f>
        <v/>
      </c>
      <c r="X262" s="28" t="str">
        <f>IFERROR(INDEX(tblPiNAnalysis[[Health ]], MATCH(tblPiNHistorical[[#This Row],[ID]], tblPiNAnalysis[ID], 0)), "")</f>
        <v/>
      </c>
      <c r="Y262" s="28" t="str">
        <f>IFERROR(INDEX(tblPiNAnalysis[Nutrition], MATCH(tblPiNHistorical[[#This Row],[ID]], tblPiNAnalysis[ID], 0)), "")</f>
        <v/>
      </c>
      <c r="Z262" s="28" t="str">
        <f>IFERROR(INDEX(tblPiNAnalysis[Protection], MATCH(tblPiNHistorical[[#This Row],[ID]], tblPiNAnalysis[ID], 0)), "")</f>
        <v/>
      </c>
      <c r="AA262" s="28" t="str">
        <f>IFERROR(INDEX(tblPiNAnalysis[CP], MATCH(tblPiNHistorical[[#This Row],[ID]], tblPiNAnalysis[ID], 0)), "")</f>
        <v/>
      </c>
      <c r="AB262" s="83" t="str">
        <f>IFERROR(INDEX(tblPiNAnalysis[GBV], MATCH(tblPiNHistorical[[#This Row],[ID]], tblPiNAnalysis[ID], 0)), "")</f>
        <v/>
      </c>
      <c r="AC262" s="28" t="str">
        <f>IFERROR(INDEX(tblPiNAnalysis[Mine Action], MATCH(tblPiNHistorical[[#This Row],[ID]], tblPiNAnalysis[ID], 0)), "")</f>
        <v/>
      </c>
      <c r="AD262" s="83" t="str">
        <f>IFERROR(INDEX(tblPiNAnalysis[[Shelter NFI ]], MATCH(tblPiNHistorical[[#This Row],[ID]], tblPiNAnalysis[ID], 0)), "")</f>
        <v/>
      </c>
      <c r="AE262" s="28" t="str">
        <f>IFERROR(INDEX(tblPiNAnalysis[WASH], MATCH(tblPiNHistorical[[#This Row],[ID]], tblPiNAnalysis[ID], 0)), "")</f>
        <v/>
      </c>
      <c r="AF262"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262" s="136" t="str">
        <f>IF(OR(tblPiNHistorical[[#This Row],[Education Old]]="", tblPiNHistorical[[#This Row],[Education Old]]=0, tblPiNHistorical[[#This Row],[Education New]]="", tblPiNHistorical[[#This Row],[Education New]]=0), "", tblPiNHistorical[[#This Row],[Education New]]-tblPiNHistorical[[#This Row],[Education Old]])</f>
        <v/>
      </c>
      <c r="AH262"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262" s="137" t="str">
        <f>IF(OR(tblPiNHistorical[[#This Row],[Health Old]]="", tblPiNHistorical[[#This Row],[Health Old]]=0, tblPiNHistorical[[#This Row],[Health New]]="", tblPiNHistorical[[#This Row],[Health New]]=0), "", tblPiNHistorical[[#This Row],[Health New]]-tblPiNHistorical[[#This Row],[Health Old]])</f>
        <v/>
      </c>
      <c r="AJ262" s="136" t="str">
        <f>IF(OR(tblPiNHistorical[[#This Row],[Nutrition Old]]="", tblPiNHistorical[[#This Row],[Nutrition Old]]=0, tblPiNHistorical[[#This Row],[Nutrition New]]="", tblPiNHistorical[[#This Row],[Nutrition New]]=0), "", tblPiNHistorical[[#This Row],[Nutrition New]]-tblPiNHistorical[[#This Row],[Nutrition Old]])</f>
        <v/>
      </c>
      <c r="AK262" s="136" t="str">
        <f>IF(OR(tblPiNHistorical[[#This Row],[Protection Old]]="", tblPiNHistorical[[#This Row],[Protection Old]]=0, tblPiNHistorical[[#This Row],[Protection New]]="", tblPiNHistorical[[#This Row],[Protection New]]=0), "", tblPiNHistorical[[#This Row],[Protection New]]-tblPiNHistorical[[#This Row],[Protection Old]])</f>
        <v/>
      </c>
      <c r="AL262" s="136" t="str">
        <f>IF(OR(tblPiNHistorical[[#This Row],[CP Old ]]="", tblPiNHistorical[[#This Row],[CP Old ]]=0, tblPiNHistorical[[#This Row],[CP New]]="", tblPiNHistorical[[#This Row],[CP New]]=0), "", tblPiNHistorical[[#This Row],[CP New]]-tblPiNHistorical[[#This Row],[CP Old ]])</f>
        <v/>
      </c>
      <c r="AM262" s="83" t="str">
        <f>IF(OR(tblPiNHistorical[[#This Row],[GBV Old]]="", tblPiNHistorical[[#This Row],[GBV Old]]=0, tblPiNHistorical[[#This Row],[GBV New]]="", tblPiNHistorical[[#This Row],[GBV New]]=0), "", tblPiNHistorical[[#This Row],[GBV New]]-tblPiNHistorical[[#This Row],[GBV Old]])</f>
        <v/>
      </c>
      <c r="AN262" s="83" t="str">
        <f>IF(OR(tblPiNHistorical[[#This Row],[Mine Action Old]]="", tblPiNHistorical[[#This Row],[Mine Action Old]]=0, tblPiNHistorical[[#This Row],[Mine Action New]]="", tblPiNHistorical[[#This Row],[Mine Action New]]=0), "", tblPiNHistorical[[#This Row],[Mine Action New]]-tblPiNHistorical[[#This Row],[Mine Action Old]])</f>
        <v/>
      </c>
      <c r="AO262" s="136" t="str">
        <f>IF(OR(tblPiNHistorical[[#This Row],[Shelter NFI Old]]="", tblPiNHistorical[[#This Row],[Shelter NFI Old]]=0, tblPiNHistorical[[#This Row],[Shelter NFI New]]="", tblPiNHistorical[[#This Row],[Shelter NFI New]]=0), "", tblPiNHistorical[[#This Row],[Shelter NFI New]]-tblPiNHistorical[[#This Row],[Shelter NFI Old]])</f>
        <v/>
      </c>
      <c r="AP262" s="138" t="str">
        <f>IF(OR(tblPiNHistorical[[#This Row],[WASH Old]]="", tblPiNHistorical[[#This Row],[WASH Old]]=0, tblPiNHistorical[[#This Row],[WASH New]]="", tblPiNHistorical[[#This Row],[WASH New]]=0), "", tblPiNHistorical[[#This Row],[WASH New]]-tblPiNHistorical[[#This Row],[WASH Old]])</f>
        <v/>
      </c>
      <c r="AQ262" s="139" t="str">
        <f>IFERROR(ROUND((tblPiNHistorical[[#This Row],[Site Management - New]] - tblPiNHistorical[[#This Row],[Site Management - Old]])/tblPiNHistorical[[#This Row],[Site Management - Old]], 1), "")</f>
        <v/>
      </c>
      <c r="AR262" s="140" t="str">
        <f>IFERROR(ROUND((tblPiNHistorical[[#This Row],[Education New]]-tblPiNHistorical[[#This Row],[Education Old]])/tblPiNHistorical[[#This Row],[Education Old]], 1), "")</f>
        <v/>
      </c>
      <c r="AS262" s="141" t="str">
        <f>IFERROR(ROUND((tblPiNHistorical[[#This Row],[Food Security and Livlihoods New]]-tblPiNHistorical[[#This Row],[Food Security and Livlihoods Old]])/tblPiNHistorical[[#This Row],[Food Security and Livlihoods Old]], 1), "")</f>
        <v/>
      </c>
      <c r="AT262" s="142" t="str">
        <f>IFERROR(ROUND((tblPiNHistorical[[#This Row],[Health New]]-tblPiNHistorical[[#This Row],[Health Old]])/tblPiNHistorical[[#This Row],[Health Old]], 1), "")</f>
        <v/>
      </c>
      <c r="AU262" s="140" t="str">
        <f>IFERROR(ROUND((tblPiNHistorical[[#This Row],[Nutrition New]]-tblPiNHistorical[[#This Row],[Nutrition Old]])/tblPiNHistorical[[#This Row],[Nutrition Old]], 1), "")</f>
        <v/>
      </c>
      <c r="AV262" s="140" t="str">
        <f>IFERROR(ROUND((tblPiNHistorical[[#This Row],[Protection New]]-tblPiNHistorical[[#This Row],[Protection Old]])/tblPiNHistorical[[#This Row],[Protection Old]], 1), "")</f>
        <v/>
      </c>
      <c r="AW262" s="84" t="str">
        <f>IFERROR(ROUND((tblPiNHistorical[[#This Row],[CP New]]-tblPiNHistorical[[#This Row],[CP Old ]])/tblPiNHistorical[[#This Row],[CP Old ]], 1), "")</f>
        <v/>
      </c>
      <c r="AX262" s="84" t="str">
        <f>IFERROR(ROUND((tblPiNHistorical[[#This Row],[GBV New]]-tblPiNHistorical[[#This Row],[GBV Old]])/tblPiNHistorical[[#This Row],[GBV Old]], 1), "")</f>
        <v/>
      </c>
      <c r="AY262" s="84" t="str">
        <f>IFERROR(ROUND((tblPiNHistorical[[#This Row],[Mine Action New]]-tblPiNHistorical[[#This Row],[Mine Action Old]])/tblPiNHistorical[[#This Row],[Mine Action Old]], 1), "")</f>
        <v/>
      </c>
      <c r="AZ262" s="140" t="str">
        <f>IFERROR(ROUND((tblPiNHistorical[[#This Row],[Shelter NFI New]]-tblPiNHistorical[[#This Row],[Shelter NFI Old]])/tblPiNHistorical[[#This Row],[Shelter NFI Old]], 1), "")</f>
        <v/>
      </c>
      <c r="BA262" s="31" t="str">
        <f>IFERROR(ROUND((tblPiNHistorical[[#This Row],[WASH New]]-tblPiNHistorical[[#This Row],[WASH Old]])/tblPiNHistorical[[#This Row],[WASH Old]], 1), "")</f>
        <v/>
      </c>
    </row>
    <row r="263" spans="1:53" ht="38.25" x14ac:dyDescent="0.25">
      <c r="A263"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RefugeesSD02119</v>
      </c>
      <c r="B263" s="134" t="s">
        <v>167</v>
      </c>
      <c r="C263" s="124" t="s">
        <v>119</v>
      </c>
      <c r="D263" s="124" t="s">
        <v>207</v>
      </c>
      <c r="E263" s="59" t="s">
        <v>206</v>
      </c>
      <c r="F263" s="54"/>
      <c r="G263" s="29"/>
      <c r="H263" s="53">
        <v>0</v>
      </c>
      <c r="I263" s="53" t="s">
        <v>90</v>
      </c>
      <c r="J263" s="34">
        <v>0</v>
      </c>
      <c r="K263" s="116">
        <v>0</v>
      </c>
      <c r="L263" s="114">
        <v>0</v>
      </c>
      <c r="M263" s="114">
        <v>0</v>
      </c>
      <c r="N263" s="114">
        <v>0</v>
      </c>
      <c r="O263" s="114">
        <v>0</v>
      </c>
      <c r="P263" s="114">
        <v>0</v>
      </c>
      <c r="Q263" s="114">
        <v>0</v>
      </c>
      <c r="R263" s="114">
        <v>0</v>
      </c>
      <c r="S263" s="114">
        <v>0</v>
      </c>
      <c r="T263" s="196">
        <v>0</v>
      </c>
      <c r="U263" s="52" t="str">
        <f>IFERROR(INDEX(tblPiNAnalysis[[Site Management ]], MATCH(tblPiNHistorical[[#This Row],[ID]], tblPiNAnalysis[ID], 0)), "")</f>
        <v/>
      </c>
      <c r="V263" s="52" t="str">
        <f>IFERROR(INDEX(tblPiNAnalysis[Education], MATCH(tblPiNHistorical[[#This Row],[ID]], tblPiNAnalysis[ID], 0)), "")</f>
        <v/>
      </c>
      <c r="W263" s="28" t="str">
        <f>IFERROR(INDEX(tblPiNAnalysis[Food Security and Livlihoods], MATCH(tblPiNHistorical[[#This Row],[ID]], tblPiNAnalysis[ID], 0)), "")</f>
        <v/>
      </c>
      <c r="X263" s="28" t="str">
        <f>IFERROR(INDEX(tblPiNAnalysis[[Health ]], MATCH(tblPiNHistorical[[#This Row],[ID]], tblPiNAnalysis[ID], 0)), "")</f>
        <v/>
      </c>
      <c r="Y263" s="28" t="str">
        <f>IFERROR(INDEX(tblPiNAnalysis[Nutrition], MATCH(tblPiNHistorical[[#This Row],[ID]], tblPiNAnalysis[ID], 0)), "")</f>
        <v/>
      </c>
      <c r="Z263" s="28" t="str">
        <f>IFERROR(INDEX(tblPiNAnalysis[Protection], MATCH(tblPiNHistorical[[#This Row],[ID]], tblPiNAnalysis[ID], 0)), "")</f>
        <v/>
      </c>
      <c r="AA263" s="28" t="str">
        <f>IFERROR(INDEX(tblPiNAnalysis[CP], MATCH(tblPiNHistorical[[#This Row],[ID]], tblPiNAnalysis[ID], 0)), "")</f>
        <v/>
      </c>
      <c r="AB263" s="83" t="str">
        <f>IFERROR(INDEX(tblPiNAnalysis[GBV], MATCH(tblPiNHistorical[[#This Row],[ID]], tblPiNAnalysis[ID], 0)), "")</f>
        <v/>
      </c>
      <c r="AC263" s="28" t="str">
        <f>IFERROR(INDEX(tblPiNAnalysis[Mine Action], MATCH(tblPiNHistorical[[#This Row],[ID]], tblPiNAnalysis[ID], 0)), "")</f>
        <v/>
      </c>
      <c r="AD263" s="83" t="str">
        <f>IFERROR(INDEX(tblPiNAnalysis[[Shelter NFI ]], MATCH(tblPiNHistorical[[#This Row],[ID]], tblPiNAnalysis[ID], 0)), "")</f>
        <v/>
      </c>
      <c r="AE263" s="28" t="str">
        <f>IFERROR(INDEX(tblPiNAnalysis[WASH], MATCH(tblPiNHistorical[[#This Row],[ID]], tblPiNAnalysis[ID], 0)), "")</f>
        <v/>
      </c>
      <c r="AF263"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263" s="136" t="str">
        <f>IF(OR(tblPiNHistorical[[#This Row],[Education Old]]="", tblPiNHistorical[[#This Row],[Education Old]]=0, tblPiNHistorical[[#This Row],[Education New]]="", tblPiNHistorical[[#This Row],[Education New]]=0), "", tblPiNHistorical[[#This Row],[Education New]]-tblPiNHistorical[[#This Row],[Education Old]])</f>
        <v/>
      </c>
      <c r="AH263"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263" s="137" t="str">
        <f>IF(OR(tblPiNHistorical[[#This Row],[Health Old]]="", tblPiNHistorical[[#This Row],[Health Old]]=0, tblPiNHistorical[[#This Row],[Health New]]="", tblPiNHistorical[[#This Row],[Health New]]=0), "", tblPiNHistorical[[#This Row],[Health New]]-tblPiNHistorical[[#This Row],[Health Old]])</f>
        <v/>
      </c>
      <c r="AJ263" s="136" t="str">
        <f>IF(OR(tblPiNHistorical[[#This Row],[Nutrition Old]]="", tblPiNHistorical[[#This Row],[Nutrition Old]]=0, tblPiNHistorical[[#This Row],[Nutrition New]]="", tblPiNHistorical[[#This Row],[Nutrition New]]=0), "", tblPiNHistorical[[#This Row],[Nutrition New]]-tblPiNHistorical[[#This Row],[Nutrition Old]])</f>
        <v/>
      </c>
      <c r="AK263" s="136" t="str">
        <f>IF(OR(tblPiNHistorical[[#This Row],[Protection Old]]="", tblPiNHistorical[[#This Row],[Protection Old]]=0, tblPiNHistorical[[#This Row],[Protection New]]="", tblPiNHistorical[[#This Row],[Protection New]]=0), "", tblPiNHistorical[[#This Row],[Protection New]]-tblPiNHistorical[[#This Row],[Protection Old]])</f>
        <v/>
      </c>
      <c r="AL263" s="136" t="str">
        <f>IF(OR(tblPiNHistorical[[#This Row],[CP Old ]]="", tblPiNHistorical[[#This Row],[CP Old ]]=0, tblPiNHistorical[[#This Row],[CP New]]="", tblPiNHistorical[[#This Row],[CP New]]=0), "", tblPiNHistorical[[#This Row],[CP New]]-tblPiNHistorical[[#This Row],[CP Old ]])</f>
        <v/>
      </c>
      <c r="AM263" s="83" t="str">
        <f>IF(OR(tblPiNHistorical[[#This Row],[GBV Old]]="", tblPiNHistorical[[#This Row],[GBV Old]]=0, tblPiNHistorical[[#This Row],[GBV New]]="", tblPiNHistorical[[#This Row],[GBV New]]=0), "", tblPiNHistorical[[#This Row],[GBV New]]-tblPiNHistorical[[#This Row],[GBV Old]])</f>
        <v/>
      </c>
      <c r="AN263" s="83" t="str">
        <f>IF(OR(tblPiNHistorical[[#This Row],[Mine Action Old]]="", tblPiNHistorical[[#This Row],[Mine Action Old]]=0, tblPiNHistorical[[#This Row],[Mine Action New]]="", tblPiNHistorical[[#This Row],[Mine Action New]]=0), "", tblPiNHistorical[[#This Row],[Mine Action New]]-tblPiNHistorical[[#This Row],[Mine Action Old]])</f>
        <v/>
      </c>
      <c r="AO263" s="136" t="str">
        <f>IF(OR(tblPiNHistorical[[#This Row],[Shelter NFI Old]]="", tblPiNHistorical[[#This Row],[Shelter NFI Old]]=0, tblPiNHistorical[[#This Row],[Shelter NFI New]]="", tblPiNHistorical[[#This Row],[Shelter NFI New]]=0), "", tblPiNHistorical[[#This Row],[Shelter NFI New]]-tblPiNHistorical[[#This Row],[Shelter NFI Old]])</f>
        <v/>
      </c>
      <c r="AP263" s="138" t="str">
        <f>IF(OR(tblPiNHistorical[[#This Row],[WASH Old]]="", tblPiNHistorical[[#This Row],[WASH Old]]=0, tblPiNHistorical[[#This Row],[WASH New]]="", tblPiNHistorical[[#This Row],[WASH New]]=0), "", tblPiNHistorical[[#This Row],[WASH New]]-tblPiNHistorical[[#This Row],[WASH Old]])</f>
        <v/>
      </c>
      <c r="AQ263" s="139" t="str">
        <f>IFERROR(ROUND((tblPiNHistorical[[#This Row],[Site Management - New]] - tblPiNHistorical[[#This Row],[Site Management - Old]])/tblPiNHistorical[[#This Row],[Site Management - Old]], 1), "")</f>
        <v/>
      </c>
      <c r="AR263" s="140" t="str">
        <f>IFERROR(ROUND((tblPiNHistorical[[#This Row],[Education New]]-tblPiNHistorical[[#This Row],[Education Old]])/tblPiNHistorical[[#This Row],[Education Old]], 1), "")</f>
        <v/>
      </c>
      <c r="AS263" s="141" t="str">
        <f>IFERROR(ROUND((tblPiNHistorical[[#This Row],[Food Security and Livlihoods New]]-tblPiNHistorical[[#This Row],[Food Security and Livlihoods Old]])/tblPiNHistorical[[#This Row],[Food Security and Livlihoods Old]], 1), "")</f>
        <v/>
      </c>
      <c r="AT263" s="142" t="str">
        <f>IFERROR(ROUND((tblPiNHistorical[[#This Row],[Health New]]-tblPiNHistorical[[#This Row],[Health Old]])/tblPiNHistorical[[#This Row],[Health Old]], 1), "")</f>
        <v/>
      </c>
      <c r="AU263" s="140" t="str">
        <f>IFERROR(ROUND((tblPiNHistorical[[#This Row],[Nutrition New]]-tblPiNHistorical[[#This Row],[Nutrition Old]])/tblPiNHistorical[[#This Row],[Nutrition Old]], 1), "")</f>
        <v/>
      </c>
      <c r="AV263" s="140" t="str">
        <f>IFERROR(ROUND((tblPiNHistorical[[#This Row],[Protection New]]-tblPiNHistorical[[#This Row],[Protection Old]])/tblPiNHistorical[[#This Row],[Protection Old]], 1), "")</f>
        <v/>
      </c>
      <c r="AW263" s="84" t="str">
        <f>IFERROR(ROUND((tblPiNHistorical[[#This Row],[CP New]]-tblPiNHistorical[[#This Row],[CP Old ]])/tblPiNHistorical[[#This Row],[CP Old ]], 1), "")</f>
        <v/>
      </c>
      <c r="AX263" s="84" t="str">
        <f>IFERROR(ROUND((tblPiNHistorical[[#This Row],[GBV New]]-tblPiNHistorical[[#This Row],[GBV Old]])/tblPiNHistorical[[#This Row],[GBV Old]], 1), "")</f>
        <v/>
      </c>
      <c r="AY263" s="84" t="str">
        <f>IFERROR(ROUND((tblPiNHistorical[[#This Row],[Mine Action New]]-tblPiNHistorical[[#This Row],[Mine Action Old]])/tblPiNHistorical[[#This Row],[Mine Action Old]], 1), "")</f>
        <v/>
      </c>
      <c r="AZ263" s="140" t="str">
        <f>IFERROR(ROUND((tblPiNHistorical[[#This Row],[Shelter NFI New]]-tblPiNHistorical[[#This Row],[Shelter NFI Old]])/tblPiNHistorical[[#This Row],[Shelter NFI Old]], 1), "")</f>
        <v/>
      </c>
      <c r="BA263" s="31" t="str">
        <f>IFERROR(ROUND((tblPiNHistorical[[#This Row],[WASH New]]-tblPiNHistorical[[#This Row],[WASH Old]])/tblPiNHistorical[[#This Row],[WASH Old]], 1), "")</f>
        <v/>
      </c>
    </row>
    <row r="264" spans="1:53" ht="38.25" x14ac:dyDescent="0.25">
      <c r="A264"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RefugeesSD02171</v>
      </c>
      <c r="B264" s="134" t="s">
        <v>167</v>
      </c>
      <c r="C264" s="124" t="s">
        <v>119</v>
      </c>
      <c r="D264" s="124" t="s">
        <v>229</v>
      </c>
      <c r="E264" s="59" t="s">
        <v>228</v>
      </c>
      <c r="F264" s="54"/>
      <c r="G264" s="29"/>
      <c r="H264" s="53">
        <v>0</v>
      </c>
      <c r="I264" s="53" t="s">
        <v>90</v>
      </c>
      <c r="J264" s="34">
        <v>0</v>
      </c>
      <c r="K264" s="116">
        <v>0</v>
      </c>
      <c r="L264" s="114">
        <v>0</v>
      </c>
      <c r="M264" s="114">
        <v>0</v>
      </c>
      <c r="N264" s="114">
        <v>0</v>
      </c>
      <c r="O264" s="114">
        <v>0</v>
      </c>
      <c r="P264" s="114">
        <v>0</v>
      </c>
      <c r="Q264" s="114">
        <v>0</v>
      </c>
      <c r="R264" s="114">
        <v>0</v>
      </c>
      <c r="S264" s="114">
        <v>0</v>
      </c>
      <c r="T264" s="196">
        <v>0</v>
      </c>
      <c r="U264" s="52" t="str">
        <f>IFERROR(INDEX(tblPiNAnalysis[[Site Management ]], MATCH(tblPiNHistorical[[#This Row],[ID]], tblPiNAnalysis[ID], 0)), "")</f>
        <v/>
      </c>
      <c r="V264" s="52" t="str">
        <f>IFERROR(INDEX(tblPiNAnalysis[Education], MATCH(tblPiNHistorical[[#This Row],[ID]], tblPiNAnalysis[ID], 0)), "")</f>
        <v/>
      </c>
      <c r="W264" s="28" t="str">
        <f>IFERROR(INDEX(tblPiNAnalysis[Food Security and Livlihoods], MATCH(tblPiNHistorical[[#This Row],[ID]], tblPiNAnalysis[ID], 0)), "")</f>
        <v/>
      </c>
      <c r="X264" s="28" t="str">
        <f>IFERROR(INDEX(tblPiNAnalysis[[Health ]], MATCH(tblPiNHistorical[[#This Row],[ID]], tblPiNAnalysis[ID], 0)), "")</f>
        <v/>
      </c>
      <c r="Y264" s="28" t="str">
        <f>IFERROR(INDEX(tblPiNAnalysis[Nutrition], MATCH(tblPiNHistorical[[#This Row],[ID]], tblPiNAnalysis[ID], 0)), "")</f>
        <v/>
      </c>
      <c r="Z264" s="28" t="str">
        <f>IFERROR(INDEX(tblPiNAnalysis[Protection], MATCH(tblPiNHistorical[[#This Row],[ID]], tblPiNAnalysis[ID], 0)), "")</f>
        <v/>
      </c>
      <c r="AA264" s="28" t="str">
        <f>IFERROR(INDEX(tblPiNAnalysis[CP], MATCH(tblPiNHistorical[[#This Row],[ID]], tblPiNAnalysis[ID], 0)), "")</f>
        <v/>
      </c>
      <c r="AB264" s="83" t="str">
        <f>IFERROR(INDEX(tblPiNAnalysis[GBV], MATCH(tblPiNHistorical[[#This Row],[ID]], tblPiNAnalysis[ID], 0)), "")</f>
        <v/>
      </c>
      <c r="AC264" s="28" t="str">
        <f>IFERROR(INDEX(tblPiNAnalysis[Mine Action], MATCH(tblPiNHistorical[[#This Row],[ID]], tblPiNAnalysis[ID], 0)), "")</f>
        <v/>
      </c>
      <c r="AD264" s="83" t="str">
        <f>IFERROR(INDEX(tblPiNAnalysis[[Shelter NFI ]], MATCH(tblPiNHistorical[[#This Row],[ID]], tblPiNAnalysis[ID], 0)), "")</f>
        <v/>
      </c>
      <c r="AE264" s="28" t="str">
        <f>IFERROR(INDEX(tblPiNAnalysis[WASH], MATCH(tblPiNHistorical[[#This Row],[ID]], tblPiNAnalysis[ID], 0)), "")</f>
        <v/>
      </c>
      <c r="AF264"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264" s="136" t="str">
        <f>IF(OR(tblPiNHistorical[[#This Row],[Education Old]]="", tblPiNHistorical[[#This Row],[Education Old]]=0, tblPiNHistorical[[#This Row],[Education New]]="", tblPiNHistorical[[#This Row],[Education New]]=0), "", tblPiNHistorical[[#This Row],[Education New]]-tblPiNHistorical[[#This Row],[Education Old]])</f>
        <v/>
      </c>
      <c r="AH264"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264" s="137" t="str">
        <f>IF(OR(tblPiNHistorical[[#This Row],[Health Old]]="", tblPiNHistorical[[#This Row],[Health Old]]=0, tblPiNHistorical[[#This Row],[Health New]]="", tblPiNHistorical[[#This Row],[Health New]]=0), "", tblPiNHistorical[[#This Row],[Health New]]-tblPiNHistorical[[#This Row],[Health Old]])</f>
        <v/>
      </c>
      <c r="AJ264" s="136" t="str">
        <f>IF(OR(tblPiNHistorical[[#This Row],[Nutrition Old]]="", tblPiNHistorical[[#This Row],[Nutrition Old]]=0, tblPiNHistorical[[#This Row],[Nutrition New]]="", tblPiNHistorical[[#This Row],[Nutrition New]]=0), "", tblPiNHistorical[[#This Row],[Nutrition New]]-tblPiNHistorical[[#This Row],[Nutrition Old]])</f>
        <v/>
      </c>
      <c r="AK264" s="136" t="str">
        <f>IF(OR(tblPiNHistorical[[#This Row],[Protection Old]]="", tblPiNHistorical[[#This Row],[Protection Old]]=0, tblPiNHistorical[[#This Row],[Protection New]]="", tblPiNHistorical[[#This Row],[Protection New]]=0), "", tblPiNHistorical[[#This Row],[Protection New]]-tblPiNHistorical[[#This Row],[Protection Old]])</f>
        <v/>
      </c>
      <c r="AL264" s="136" t="str">
        <f>IF(OR(tblPiNHistorical[[#This Row],[CP Old ]]="", tblPiNHistorical[[#This Row],[CP Old ]]=0, tblPiNHistorical[[#This Row],[CP New]]="", tblPiNHistorical[[#This Row],[CP New]]=0), "", tblPiNHistorical[[#This Row],[CP New]]-tblPiNHistorical[[#This Row],[CP Old ]])</f>
        <v/>
      </c>
      <c r="AM264" s="83" t="str">
        <f>IF(OR(tblPiNHistorical[[#This Row],[GBV Old]]="", tblPiNHistorical[[#This Row],[GBV Old]]=0, tblPiNHistorical[[#This Row],[GBV New]]="", tblPiNHistorical[[#This Row],[GBV New]]=0), "", tblPiNHistorical[[#This Row],[GBV New]]-tblPiNHistorical[[#This Row],[GBV Old]])</f>
        <v/>
      </c>
      <c r="AN264" s="83" t="str">
        <f>IF(OR(tblPiNHistorical[[#This Row],[Mine Action Old]]="", tblPiNHistorical[[#This Row],[Mine Action Old]]=0, tblPiNHistorical[[#This Row],[Mine Action New]]="", tblPiNHistorical[[#This Row],[Mine Action New]]=0), "", tblPiNHistorical[[#This Row],[Mine Action New]]-tblPiNHistorical[[#This Row],[Mine Action Old]])</f>
        <v/>
      </c>
      <c r="AO264" s="136" t="str">
        <f>IF(OR(tblPiNHistorical[[#This Row],[Shelter NFI Old]]="", tblPiNHistorical[[#This Row],[Shelter NFI Old]]=0, tblPiNHistorical[[#This Row],[Shelter NFI New]]="", tblPiNHistorical[[#This Row],[Shelter NFI New]]=0), "", tblPiNHistorical[[#This Row],[Shelter NFI New]]-tblPiNHistorical[[#This Row],[Shelter NFI Old]])</f>
        <v/>
      </c>
      <c r="AP264" s="138" t="str">
        <f>IF(OR(tblPiNHistorical[[#This Row],[WASH Old]]="", tblPiNHistorical[[#This Row],[WASH Old]]=0, tblPiNHistorical[[#This Row],[WASH New]]="", tblPiNHistorical[[#This Row],[WASH New]]=0), "", tblPiNHistorical[[#This Row],[WASH New]]-tblPiNHistorical[[#This Row],[WASH Old]])</f>
        <v/>
      </c>
      <c r="AQ264" s="139" t="str">
        <f>IFERROR(ROUND((tblPiNHistorical[[#This Row],[Site Management - New]] - tblPiNHistorical[[#This Row],[Site Management - Old]])/tblPiNHistorical[[#This Row],[Site Management - Old]], 1), "")</f>
        <v/>
      </c>
      <c r="AR264" s="140" t="str">
        <f>IFERROR(ROUND((tblPiNHistorical[[#This Row],[Education New]]-tblPiNHistorical[[#This Row],[Education Old]])/tblPiNHistorical[[#This Row],[Education Old]], 1), "")</f>
        <v/>
      </c>
      <c r="AS264" s="141" t="str">
        <f>IFERROR(ROUND((tblPiNHistorical[[#This Row],[Food Security and Livlihoods New]]-tblPiNHistorical[[#This Row],[Food Security and Livlihoods Old]])/tblPiNHistorical[[#This Row],[Food Security and Livlihoods Old]], 1), "")</f>
        <v/>
      </c>
      <c r="AT264" s="142" t="str">
        <f>IFERROR(ROUND((tblPiNHistorical[[#This Row],[Health New]]-tblPiNHistorical[[#This Row],[Health Old]])/tblPiNHistorical[[#This Row],[Health Old]], 1), "")</f>
        <v/>
      </c>
      <c r="AU264" s="140" t="str">
        <f>IFERROR(ROUND((tblPiNHistorical[[#This Row],[Nutrition New]]-tblPiNHistorical[[#This Row],[Nutrition Old]])/tblPiNHistorical[[#This Row],[Nutrition Old]], 1), "")</f>
        <v/>
      </c>
      <c r="AV264" s="140" t="str">
        <f>IFERROR(ROUND((tblPiNHistorical[[#This Row],[Protection New]]-tblPiNHistorical[[#This Row],[Protection Old]])/tblPiNHistorical[[#This Row],[Protection Old]], 1), "")</f>
        <v/>
      </c>
      <c r="AW264" s="84" t="str">
        <f>IFERROR(ROUND((tblPiNHistorical[[#This Row],[CP New]]-tblPiNHistorical[[#This Row],[CP Old ]])/tblPiNHistorical[[#This Row],[CP Old ]], 1), "")</f>
        <v/>
      </c>
      <c r="AX264" s="84" t="str">
        <f>IFERROR(ROUND((tblPiNHistorical[[#This Row],[GBV New]]-tblPiNHistorical[[#This Row],[GBV Old]])/tblPiNHistorical[[#This Row],[GBV Old]], 1), "")</f>
        <v/>
      </c>
      <c r="AY264" s="84" t="str">
        <f>IFERROR(ROUND((tblPiNHistorical[[#This Row],[Mine Action New]]-tblPiNHistorical[[#This Row],[Mine Action Old]])/tblPiNHistorical[[#This Row],[Mine Action Old]], 1), "")</f>
        <v/>
      </c>
      <c r="AZ264" s="140" t="str">
        <f>IFERROR(ROUND((tblPiNHistorical[[#This Row],[Shelter NFI New]]-tblPiNHistorical[[#This Row],[Shelter NFI Old]])/tblPiNHistorical[[#This Row],[Shelter NFI Old]], 1), "")</f>
        <v/>
      </c>
      <c r="BA264" s="31" t="str">
        <f>IFERROR(ROUND((tblPiNHistorical[[#This Row],[WASH New]]-tblPiNHistorical[[#This Row],[WASH Old]])/tblPiNHistorical[[#This Row],[WASH Old]], 1), "")</f>
        <v/>
      </c>
    </row>
    <row r="265" spans="1:53" ht="38.25" x14ac:dyDescent="0.25">
      <c r="A265"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RefugeesSD02113</v>
      </c>
      <c r="B265" s="134" t="s">
        <v>167</v>
      </c>
      <c r="C265" s="124" t="s">
        <v>119</v>
      </c>
      <c r="D265" s="124" t="s">
        <v>196</v>
      </c>
      <c r="E265" s="59" t="s">
        <v>195</v>
      </c>
      <c r="F265" s="54"/>
      <c r="G265" s="29"/>
      <c r="H265" s="53">
        <v>0</v>
      </c>
      <c r="I265" s="53" t="s">
        <v>90</v>
      </c>
      <c r="J265" s="34">
        <v>0</v>
      </c>
      <c r="K265" s="116">
        <v>0</v>
      </c>
      <c r="L265" s="114">
        <v>0</v>
      </c>
      <c r="M265" s="114">
        <v>0</v>
      </c>
      <c r="N265" s="114">
        <v>0</v>
      </c>
      <c r="O265" s="114">
        <v>0</v>
      </c>
      <c r="P265" s="114">
        <v>0</v>
      </c>
      <c r="Q265" s="114">
        <v>0</v>
      </c>
      <c r="R265" s="114">
        <v>0</v>
      </c>
      <c r="S265" s="114">
        <v>0</v>
      </c>
      <c r="T265" s="196">
        <v>0</v>
      </c>
      <c r="U265" s="52" t="str">
        <f>IFERROR(INDEX(tblPiNAnalysis[[Site Management ]], MATCH(tblPiNHistorical[[#This Row],[ID]], tblPiNAnalysis[ID], 0)), "")</f>
        <v/>
      </c>
      <c r="V265" s="52" t="str">
        <f>IFERROR(INDEX(tblPiNAnalysis[Education], MATCH(tblPiNHistorical[[#This Row],[ID]], tblPiNAnalysis[ID], 0)), "")</f>
        <v/>
      </c>
      <c r="W265" s="28" t="str">
        <f>IFERROR(INDEX(tblPiNAnalysis[Food Security and Livlihoods], MATCH(tblPiNHistorical[[#This Row],[ID]], tblPiNAnalysis[ID], 0)), "")</f>
        <v/>
      </c>
      <c r="X265" s="28" t="str">
        <f>IFERROR(INDEX(tblPiNAnalysis[[Health ]], MATCH(tblPiNHistorical[[#This Row],[ID]], tblPiNAnalysis[ID], 0)), "")</f>
        <v/>
      </c>
      <c r="Y265" s="28" t="str">
        <f>IFERROR(INDEX(tblPiNAnalysis[Nutrition], MATCH(tblPiNHistorical[[#This Row],[ID]], tblPiNAnalysis[ID], 0)), "")</f>
        <v/>
      </c>
      <c r="Z265" s="28" t="str">
        <f>IFERROR(INDEX(tblPiNAnalysis[Protection], MATCH(tblPiNHistorical[[#This Row],[ID]], tblPiNAnalysis[ID], 0)), "")</f>
        <v/>
      </c>
      <c r="AA265" s="28" t="str">
        <f>IFERROR(INDEX(tblPiNAnalysis[CP], MATCH(tblPiNHistorical[[#This Row],[ID]], tblPiNAnalysis[ID], 0)), "")</f>
        <v/>
      </c>
      <c r="AB265" s="83" t="str">
        <f>IFERROR(INDEX(tblPiNAnalysis[GBV], MATCH(tblPiNHistorical[[#This Row],[ID]], tblPiNAnalysis[ID], 0)), "")</f>
        <v/>
      </c>
      <c r="AC265" s="28" t="str">
        <f>IFERROR(INDEX(tblPiNAnalysis[Mine Action], MATCH(tblPiNHistorical[[#This Row],[ID]], tblPiNAnalysis[ID], 0)), "")</f>
        <v/>
      </c>
      <c r="AD265" s="83" t="str">
        <f>IFERROR(INDEX(tblPiNAnalysis[[Shelter NFI ]], MATCH(tblPiNHistorical[[#This Row],[ID]], tblPiNAnalysis[ID], 0)), "")</f>
        <v/>
      </c>
      <c r="AE265" s="28" t="str">
        <f>IFERROR(INDEX(tblPiNAnalysis[WASH], MATCH(tblPiNHistorical[[#This Row],[ID]], tblPiNAnalysis[ID], 0)), "")</f>
        <v/>
      </c>
      <c r="AF265"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265" s="136" t="str">
        <f>IF(OR(tblPiNHistorical[[#This Row],[Education Old]]="", tblPiNHistorical[[#This Row],[Education Old]]=0, tblPiNHistorical[[#This Row],[Education New]]="", tblPiNHistorical[[#This Row],[Education New]]=0), "", tblPiNHistorical[[#This Row],[Education New]]-tblPiNHistorical[[#This Row],[Education Old]])</f>
        <v/>
      </c>
      <c r="AH265"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265" s="137" t="str">
        <f>IF(OR(tblPiNHistorical[[#This Row],[Health Old]]="", tblPiNHistorical[[#This Row],[Health Old]]=0, tblPiNHistorical[[#This Row],[Health New]]="", tblPiNHistorical[[#This Row],[Health New]]=0), "", tblPiNHistorical[[#This Row],[Health New]]-tblPiNHistorical[[#This Row],[Health Old]])</f>
        <v/>
      </c>
      <c r="AJ265" s="136" t="str">
        <f>IF(OR(tblPiNHistorical[[#This Row],[Nutrition Old]]="", tblPiNHistorical[[#This Row],[Nutrition Old]]=0, tblPiNHistorical[[#This Row],[Nutrition New]]="", tblPiNHistorical[[#This Row],[Nutrition New]]=0), "", tblPiNHistorical[[#This Row],[Nutrition New]]-tblPiNHistorical[[#This Row],[Nutrition Old]])</f>
        <v/>
      </c>
      <c r="AK265" s="136" t="str">
        <f>IF(OR(tblPiNHistorical[[#This Row],[Protection Old]]="", tblPiNHistorical[[#This Row],[Protection Old]]=0, tblPiNHistorical[[#This Row],[Protection New]]="", tblPiNHistorical[[#This Row],[Protection New]]=0), "", tblPiNHistorical[[#This Row],[Protection New]]-tblPiNHistorical[[#This Row],[Protection Old]])</f>
        <v/>
      </c>
      <c r="AL265" s="136" t="str">
        <f>IF(OR(tblPiNHistorical[[#This Row],[CP Old ]]="", tblPiNHistorical[[#This Row],[CP Old ]]=0, tblPiNHistorical[[#This Row],[CP New]]="", tblPiNHistorical[[#This Row],[CP New]]=0), "", tblPiNHistorical[[#This Row],[CP New]]-tblPiNHistorical[[#This Row],[CP Old ]])</f>
        <v/>
      </c>
      <c r="AM265" s="83" t="str">
        <f>IF(OR(tblPiNHistorical[[#This Row],[GBV Old]]="", tblPiNHistorical[[#This Row],[GBV Old]]=0, tblPiNHistorical[[#This Row],[GBV New]]="", tblPiNHistorical[[#This Row],[GBV New]]=0), "", tblPiNHistorical[[#This Row],[GBV New]]-tblPiNHistorical[[#This Row],[GBV Old]])</f>
        <v/>
      </c>
      <c r="AN265" s="83" t="str">
        <f>IF(OR(tblPiNHistorical[[#This Row],[Mine Action Old]]="", tblPiNHistorical[[#This Row],[Mine Action Old]]=0, tblPiNHistorical[[#This Row],[Mine Action New]]="", tblPiNHistorical[[#This Row],[Mine Action New]]=0), "", tblPiNHistorical[[#This Row],[Mine Action New]]-tblPiNHistorical[[#This Row],[Mine Action Old]])</f>
        <v/>
      </c>
      <c r="AO265" s="136" t="str">
        <f>IF(OR(tblPiNHistorical[[#This Row],[Shelter NFI Old]]="", tblPiNHistorical[[#This Row],[Shelter NFI Old]]=0, tblPiNHistorical[[#This Row],[Shelter NFI New]]="", tblPiNHistorical[[#This Row],[Shelter NFI New]]=0), "", tblPiNHistorical[[#This Row],[Shelter NFI New]]-tblPiNHistorical[[#This Row],[Shelter NFI Old]])</f>
        <v/>
      </c>
      <c r="AP265" s="138" t="str">
        <f>IF(OR(tblPiNHistorical[[#This Row],[WASH Old]]="", tblPiNHistorical[[#This Row],[WASH Old]]=0, tblPiNHistorical[[#This Row],[WASH New]]="", tblPiNHistorical[[#This Row],[WASH New]]=0), "", tblPiNHistorical[[#This Row],[WASH New]]-tblPiNHistorical[[#This Row],[WASH Old]])</f>
        <v/>
      </c>
      <c r="AQ265" s="139" t="str">
        <f>IFERROR(ROUND((tblPiNHistorical[[#This Row],[Site Management - New]] - tblPiNHistorical[[#This Row],[Site Management - Old]])/tblPiNHistorical[[#This Row],[Site Management - Old]], 1), "")</f>
        <v/>
      </c>
      <c r="AR265" s="140" t="str">
        <f>IFERROR(ROUND((tblPiNHistorical[[#This Row],[Education New]]-tblPiNHistorical[[#This Row],[Education Old]])/tblPiNHistorical[[#This Row],[Education Old]], 1), "")</f>
        <v/>
      </c>
      <c r="AS265" s="141" t="str">
        <f>IFERROR(ROUND((tblPiNHistorical[[#This Row],[Food Security and Livlihoods New]]-tblPiNHistorical[[#This Row],[Food Security and Livlihoods Old]])/tblPiNHistorical[[#This Row],[Food Security and Livlihoods Old]], 1), "")</f>
        <v/>
      </c>
      <c r="AT265" s="142" t="str">
        <f>IFERROR(ROUND((tblPiNHistorical[[#This Row],[Health New]]-tblPiNHistorical[[#This Row],[Health Old]])/tblPiNHistorical[[#This Row],[Health Old]], 1), "")</f>
        <v/>
      </c>
      <c r="AU265" s="140" t="str">
        <f>IFERROR(ROUND((tblPiNHistorical[[#This Row],[Nutrition New]]-tblPiNHistorical[[#This Row],[Nutrition Old]])/tblPiNHistorical[[#This Row],[Nutrition Old]], 1), "")</f>
        <v/>
      </c>
      <c r="AV265" s="140" t="str">
        <f>IFERROR(ROUND((tblPiNHistorical[[#This Row],[Protection New]]-tblPiNHistorical[[#This Row],[Protection Old]])/tblPiNHistorical[[#This Row],[Protection Old]], 1), "")</f>
        <v/>
      </c>
      <c r="AW265" s="84" t="str">
        <f>IFERROR(ROUND((tblPiNHistorical[[#This Row],[CP New]]-tblPiNHistorical[[#This Row],[CP Old ]])/tblPiNHistorical[[#This Row],[CP Old ]], 1), "")</f>
        <v/>
      </c>
      <c r="AX265" s="84" t="str">
        <f>IFERROR(ROUND((tblPiNHistorical[[#This Row],[GBV New]]-tblPiNHistorical[[#This Row],[GBV Old]])/tblPiNHistorical[[#This Row],[GBV Old]], 1), "")</f>
        <v/>
      </c>
      <c r="AY265" s="84" t="str">
        <f>IFERROR(ROUND((tblPiNHistorical[[#This Row],[Mine Action New]]-tblPiNHistorical[[#This Row],[Mine Action Old]])/tblPiNHistorical[[#This Row],[Mine Action Old]], 1), "")</f>
        <v/>
      </c>
      <c r="AZ265" s="140" t="str">
        <f>IFERROR(ROUND((tblPiNHistorical[[#This Row],[Shelter NFI New]]-tblPiNHistorical[[#This Row],[Shelter NFI Old]])/tblPiNHistorical[[#This Row],[Shelter NFI Old]], 1), "")</f>
        <v/>
      </c>
      <c r="BA265" s="31" t="str">
        <f>IFERROR(ROUND((tblPiNHistorical[[#This Row],[WASH New]]-tblPiNHistorical[[#This Row],[WASH Old]])/tblPiNHistorical[[#This Row],[WASH Old]], 1), "")</f>
        <v/>
      </c>
    </row>
    <row r="266" spans="1:53" ht="38.25" x14ac:dyDescent="0.25">
      <c r="A266"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RefugeesSD02124</v>
      </c>
      <c r="B266" s="134" t="s">
        <v>167</v>
      </c>
      <c r="C266" s="124" t="s">
        <v>119</v>
      </c>
      <c r="D266" s="124" t="s">
        <v>211</v>
      </c>
      <c r="E266" s="59" t="s">
        <v>210</v>
      </c>
      <c r="F266" s="54"/>
      <c r="G266" s="29"/>
      <c r="H266" s="53">
        <v>0</v>
      </c>
      <c r="I266" s="53" t="s">
        <v>90</v>
      </c>
      <c r="J266" s="34">
        <v>0</v>
      </c>
      <c r="K266" s="116">
        <v>0</v>
      </c>
      <c r="L266" s="114">
        <v>0</v>
      </c>
      <c r="M266" s="114">
        <v>0</v>
      </c>
      <c r="N266" s="114">
        <v>0</v>
      </c>
      <c r="O266" s="114">
        <v>0</v>
      </c>
      <c r="P266" s="114">
        <v>0</v>
      </c>
      <c r="Q266" s="114">
        <v>0</v>
      </c>
      <c r="R266" s="114">
        <v>0</v>
      </c>
      <c r="S266" s="114">
        <v>0</v>
      </c>
      <c r="T266" s="196">
        <v>0</v>
      </c>
      <c r="U266" s="52" t="str">
        <f>IFERROR(INDEX(tblPiNAnalysis[[Site Management ]], MATCH(tblPiNHistorical[[#This Row],[ID]], tblPiNAnalysis[ID], 0)), "")</f>
        <v/>
      </c>
      <c r="V266" s="52" t="str">
        <f>IFERROR(INDEX(tblPiNAnalysis[Education], MATCH(tblPiNHistorical[[#This Row],[ID]], tblPiNAnalysis[ID], 0)), "")</f>
        <v/>
      </c>
      <c r="W266" s="28" t="str">
        <f>IFERROR(INDEX(tblPiNAnalysis[Food Security and Livlihoods], MATCH(tblPiNHistorical[[#This Row],[ID]], tblPiNAnalysis[ID], 0)), "")</f>
        <v/>
      </c>
      <c r="X266" s="28" t="str">
        <f>IFERROR(INDEX(tblPiNAnalysis[[Health ]], MATCH(tblPiNHistorical[[#This Row],[ID]], tblPiNAnalysis[ID], 0)), "")</f>
        <v/>
      </c>
      <c r="Y266" s="28" t="str">
        <f>IFERROR(INDEX(tblPiNAnalysis[Nutrition], MATCH(tblPiNHistorical[[#This Row],[ID]], tblPiNAnalysis[ID], 0)), "")</f>
        <v/>
      </c>
      <c r="Z266" s="28" t="str">
        <f>IFERROR(INDEX(tblPiNAnalysis[Protection], MATCH(tblPiNHistorical[[#This Row],[ID]], tblPiNAnalysis[ID], 0)), "")</f>
        <v/>
      </c>
      <c r="AA266" s="28" t="str">
        <f>IFERROR(INDEX(tblPiNAnalysis[CP], MATCH(tblPiNHistorical[[#This Row],[ID]], tblPiNAnalysis[ID], 0)), "")</f>
        <v/>
      </c>
      <c r="AB266" s="83" t="str">
        <f>IFERROR(INDEX(tblPiNAnalysis[GBV], MATCH(tblPiNHistorical[[#This Row],[ID]], tblPiNAnalysis[ID], 0)), "")</f>
        <v/>
      </c>
      <c r="AC266" s="28" t="str">
        <f>IFERROR(INDEX(tblPiNAnalysis[Mine Action], MATCH(tblPiNHistorical[[#This Row],[ID]], tblPiNAnalysis[ID], 0)), "")</f>
        <v/>
      </c>
      <c r="AD266" s="83" t="str">
        <f>IFERROR(INDEX(tblPiNAnalysis[[Shelter NFI ]], MATCH(tblPiNHistorical[[#This Row],[ID]], tblPiNAnalysis[ID], 0)), "")</f>
        <v/>
      </c>
      <c r="AE266" s="28" t="str">
        <f>IFERROR(INDEX(tblPiNAnalysis[WASH], MATCH(tblPiNHistorical[[#This Row],[ID]], tblPiNAnalysis[ID], 0)), "")</f>
        <v/>
      </c>
      <c r="AF266"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266" s="136" t="str">
        <f>IF(OR(tblPiNHistorical[[#This Row],[Education Old]]="", tblPiNHistorical[[#This Row],[Education Old]]=0, tblPiNHistorical[[#This Row],[Education New]]="", tblPiNHistorical[[#This Row],[Education New]]=0), "", tblPiNHistorical[[#This Row],[Education New]]-tblPiNHistorical[[#This Row],[Education Old]])</f>
        <v/>
      </c>
      <c r="AH266"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266" s="137" t="str">
        <f>IF(OR(tblPiNHistorical[[#This Row],[Health Old]]="", tblPiNHistorical[[#This Row],[Health Old]]=0, tblPiNHistorical[[#This Row],[Health New]]="", tblPiNHistorical[[#This Row],[Health New]]=0), "", tblPiNHistorical[[#This Row],[Health New]]-tblPiNHistorical[[#This Row],[Health Old]])</f>
        <v/>
      </c>
      <c r="AJ266" s="136" t="str">
        <f>IF(OR(tblPiNHistorical[[#This Row],[Nutrition Old]]="", tblPiNHistorical[[#This Row],[Nutrition Old]]=0, tblPiNHistorical[[#This Row],[Nutrition New]]="", tblPiNHistorical[[#This Row],[Nutrition New]]=0), "", tblPiNHistorical[[#This Row],[Nutrition New]]-tblPiNHistorical[[#This Row],[Nutrition Old]])</f>
        <v/>
      </c>
      <c r="AK266" s="136" t="str">
        <f>IF(OR(tblPiNHistorical[[#This Row],[Protection Old]]="", tblPiNHistorical[[#This Row],[Protection Old]]=0, tblPiNHistorical[[#This Row],[Protection New]]="", tblPiNHistorical[[#This Row],[Protection New]]=0), "", tblPiNHistorical[[#This Row],[Protection New]]-tblPiNHistorical[[#This Row],[Protection Old]])</f>
        <v/>
      </c>
      <c r="AL266" s="136" t="str">
        <f>IF(OR(tblPiNHistorical[[#This Row],[CP Old ]]="", tblPiNHistorical[[#This Row],[CP Old ]]=0, tblPiNHistorical[[#This Row],[CP New]]="", tblPiNHistorical[[#This Row],[CP New]]=0), "", tblPiNHistorical[[#This Row],[CP New]]-tblPiNHistorical[[#This Row],[CP Old ]])</f>
        <v/>
      </c>
      <c r="AM266" s="83" t="str">
        <f>IF(OR(tblPiNHistorical[[#This Row],[GBV Old]]="", tblPiNHistorical[[#This Row],[GBV Old]]=0, tblPiNHistorical[[#This Row],[GBV New]]="", tblPiNHistorical[[#This Row],[GBV New]]=0), "", tblPiNHistorical[[#This Row],[GBV New]]-tblPiNHistorical[[#This Row],[GBV Old]])</f>
        <v/>
      </c>
      <c r="AN266" s="83" t="str">
        <f>IF(OR(tblPiNHistorical[[#This Row],[Mine Action Old]]="", tblPiNHistorical[[#This Row],[Mine Action Old]]=0, tblPiNHistorical[[#This Row],[Mine Action New]]="", tblPiNHistorical[[#This Row],[Mine Action New]]=0), "", tblPiNHistorical[[#This Row],[Mine Action New]]-tblPiNHistorical[[#This Row],[Mine Action Old]])</f>
        <v/>
      </c>
      <c r="AO266" s="136" t="str">
        <f>IF(OR(tblPiNHistorical[[#This Row],[Shelter NFI Old]]="", tblPiNHistorical[[#This Row],[Shelter NFI Old]]=0, tblPiNHistorical[[#This Row],[Shelter NFI New]]="", tblPiNHistorical[[#This Row],[Shelter NFI New]]=0), "", tblPiNHistorical[[#This Row],[Shelter NFI New]]-tblPiNHistorical[[#This Row],[Shelter NFI Old]])</f>
        <v/>
      </c>
      <c r="AP266" s="138" t="str">
        <f>IF(OR(tblPiNHistorical[[#This Row],[WASH Old]]="", tblPiNHistorical[[#This Row],[WASH Old]]=0, tblPiNHistorical[[#This Row],[WASH New]]="", tblPiNHistorical[[#This Row],[WASH New]]=0), "", tblPiNHistorical[[#This Row],[WASH New]]-tblPiNHistorical[[#This Row],[WASH Old]])</f>
        <v/>
      </c>
      <c r="AQ266" s="139" t="str">
        <f>IFERROR(ROUND((tblPiNHistorical[[#This Row],[Site Management - New]] - tblPiNHistorical[[#This Row],[Site Management - Old]])/tblPiNHistorical[[#This Row],[Site Management - Old]], 1), "")</f>
        <v/>
      </c>
      <c r="AR266" s="140" t="str">
        <f>IFERROR(ROUND((tblPiNHistorical[[#This Row],[Education New]]-tblPiNHistorical[[#This Row],[Education Old]])/tblPiNHistorical[[#This Row],[Education Old]], 1), "")</f>
        <v/>
      </c>
      <c r="AS266" s="141" t="str">
        <f>IFERROR(ROUND((tblPiNHistorical[[#This Row],[Food Security and Livlihoods New]]-tblPiNHistorical[[#This Row],[Food Security and Livlihoods Old]])/tblPiNHistorical[[#This Row],[Food Security and Livlihoods Old]], 1), "")</f>
        <v/>
      </c>
      <c r="AT266" s="142" t="str">
        <f>IFERROR(ROUND((tblPiNHistorical[[#This Row],[Health New]]-tblPiNHistorical[[#This Row],[Health Old]])/tblPiNHistorical[[#This Row],[Health Old]], 1), "")</f>
        <v/>
      </c>
      <c r="AU266" s="140" t="str">
        <f>IFERROR(ROUND((tblPiNHistorical[[#This Row],[Nutrition New]]-tblPiNHistorical[[#This Row],[Nutrition Old]])/tblPiNHistorical[[#This Row],[Nutrition Old]], 1), "")</f>
        <v/>
      </c>
      <c r="AV266" s="140" t="str">
        <f>IFERROR(ROUND((tblPiNHistorical[[#This Row],[Protection New]]-tblPiNHistorical[[#This Row],[Protection Old]])/tblPiNHistorical[[#This Row],[Protection Old]], 1), "")</f>
        <v/>
      </c>
      <c r="AW266" s="84" t="str">
        <f>IFERROR(ROUND((tblPiNHistorical[[#This Row],[CP New]]-tblPiNHistorical[[#This Row],[CP Old ]])/tblPiNHistorical[[#This Row],[CP Old ]], 1), "")</f>
        <v/>
      </c>
      <c r="AX266" s="84" t="str">
        <f>IFERROR(ROUND((tblPiNHistorical[[#This Row],[GBV New]]-tblPiNHistorical[[#This Row],[GBV Old]])/tblPiNHistorical[[#This Row],[GBV Old]], 1), "")</f>
        <v/>
      </c>
      <c r="AY266" s="84" t="str">
        <f>IFERROR(ROUND((tblPiNHistorical[[#This Row],[Mine Action New]]-tblPiNHistorical[[#This Row],[Mine Action Old]])/tblPiNHistorical[[#This Row],[Mine Action Old]], 1), "")</f>
        <v/>
      </c>
      <c r="AZ266" s="140" t="str">
        <f>IFERROR(ROUND((tblPiNHistorical[[#This Row],[Shelter NFI New]]-tblPiNHistorical[[#This Row],[Shelter NFI Old]])/tblPiNHistorical[[#This Row],[Shelter NFI Old]], 1), "")</f>
        <v/>
      </c>
      <c r="BA266" s="31" t="str">
        <f>IFERROR(ROUND((tblPiNHistorical[[#This Row],[WASH New]]-tblPiNHistorical[[#This Row],[WASH Old]])/tblPiNHistorical[[#This Row],[WASH Old]], 1), "")</f>
        <v/>
      </c>
    </row>
    <row r="267" spans="1:53" ht="38.25" x14ac:dyDescent="0.25">
      <c r="A267"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RefugeesSD02126</v>
      </c>
      <c r="B267" s="134" t="s">
        <v>167</v>
      </c>
      <c r="C267" s="124" t="s">
        <v>119</v>
      </c>
      <c r="D267" s="124" t="s">
        <v>213</v>
      </c>
      <c r="E267" s="59" t="s">
        <v>212</v>
      </c>
      <c r="F267" s="54"/>
      <c r="G267" s="29"/>
      <c r="H267" s="53">
        <v>0</v>
      </c>
      <c r="I267" s="53" t="s">
        <v>90</v>
      </c>
      <c r="J267" s="34">
        <v>0</v>
      </c>
      <c r="K267" s="116">
        <v>0</v>
      </c>
      <c r="L267" s="114">
        <v>0</v>
      </c>
      <c r="M267" s="114">
        <v>0</v>
      </c>
      <c r="N267" s="114">
        <v>0</v>
      </c>
      <c r="O267" s="114">
        <v>0</v>
      </c>
      <c r="P267" s="114">
        <v>0</v>
      </c>
      <c r="Q267" s="114">
        <v>0</v>
      </c>
      <c r="R267" s="114">
        <v>0</v>
      </c>
      <c r="S267" s="114">
        <v>0</v>
      </c>
      <c r="T267" s="196">
        <v>0</v>
      </c>
      <c r="U267" s="52" t="str">
        <f>IFERROR(INDEX(tblPiNAnalysis[[Site Management ]], MATCH(tblPiNHistorical[[#This Row],[ID]], tblPiNAnalysis[ID], 0)), "")</f>
        <v/>
      </c>
      <c r="V267" s="52" t="str">
        <f>IFERROR(INDEX(tblPiNAnalysis[Education], MATCH(tblPiNHistorical[[#This Row],[ID]], tblPiNAnalysis[ID], 0)), "")</f>
        <v/>
      </c>
      <c r="W267" s="28" t="str">
        <f>IFERROR(INDEX(tblPiNAnalysis[Food Security and Livlihoods], MATCH(tblPiNHistorical[[#This Row],[ID]], tblPiNAnalysis[ID], 0)), "")</f>
        <v/>
      </c>
      <c r="X267" s="28" t="str">
        <f>IFERROR(INDEX(tblPiNAnalysis[[Health ]], MATCH(tblPiNHistorical[[#This Row],[ID]], tblPiNAnalysis[ID], 0)), "")</f>
        <v/>
      </c>
      <c r="Y267" s="28" t="str">
        <f>IFERROR(INDEX(tblPiNAnalysis[Nutrition], MATCH(tblPiNHistorical[[#This Row],[ID]], tblPiNAnalysis[ID], 0)), "")</f>
        <v/>
      </c>
      <c r="Z267" s="28" t="str">
        <f>IFERROR(INDEX(tblPiNAnalysis[Protection], MATCH(tblPiNHistorical[[#This Row],[ID]], tblPiNAnalysis[ID], 0)), "")</f>
        <v/>
      </c>
      <c r="AA267" s="28" t="str">
        <f>IFERROR(INDEX(tblPiNAnalysis[CP], MATCH(tblPiNHistorical[[#This Row],[ID]], tblPiNAnalysis[ID], 0)), "")</f>
        <v/>
      </c>
      <c r="AB267" s="83" t="str">
        <f>IFERROR(INDEX(tblPiNAnalysis[GBV], MATCH(tblPiNHistorical[[#This Row],[ID]], tblPiNAnalysis[ID], 0)), "")</f>
        <v/>
      </c>
      <c r="AC267" s="28" t="str">
        <f>IFERROR(INDEX(tblPiNAnalysis[Mine Action], MATCH(tblPiNHistorical[[#This Row],[ID]], tblPiNAnalysis[ID], 0)), "")</f>
        <v/>
      </c>
      <c r="AD267" s="83" t="str">
        <f>IFERROR(INDEX(tblPiNAnalysis[[Shelter NFI ]], MATCH(tblPiNHistorical[[#This Row],[ID]], tblPiNAnalysis[ID], 0)), "")</f>
        <v/>
      </c>
      <c r="AE267" s="28" t="str">
        <f>IFERROR(INDEX(tblPiNAnalysis[WASH], MATCH(tblPiNHistorical[[#This Row],[ID]], tblPiNAnalysis[ID], 0)), "")</f>
        <v/>
      </c>
      <c r="AF267"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267" s="136" t="str">
        <f>IF(OR(tblPiNHistorical[[#This Row],[Education Old]]="", tblPiNHistorical[[#This Row],[Education Old]]=0, tblPiNHistorical[[#This Row],[Education New]]="", tblPiNHistorical[[#This Row],[Education New]]=0), "", tblPiNHistorical[[#This Row],[Education New]]-tblPiNHistorical[[#This Row],[Education Old]])</f>
        <v/>
      </c>
      <c r="AH267"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267" s="137" t="str">
        <f>IF(OR(tblPiNHistorical[[#This Row],[Health Old]]="", tblPiNHistorical[[#This Row],[Health Old]]=0, tblPiNHistorical[[#This Row],[Health New]]="", tblPiNHistorical[[#This Row],[Health New]]=0), "", tblPiNHistorical[[#This Row],[Health New]]-tblPiNHistorical[[#This Row],[Health Old]])</f>
        <v/>
      </c>
      <c r="AJ267" s="136" t="str">
        <f>IF(OR(tblPiNHistorical[[#This Row],[Nutrition Old]]="", tblPiNHistorical[[#This Row],[Nutrition Old]]=0, tblPiNHistorical[[#This Row],[Nutrition New]]="", tblPiNHistorical[[#This Row],[Nutrition New]]=0), "", tblPiNHistorical[[#This Row],[Nutrition New]]-tblPiNHistorical[[#This Row],[Nutrition Old]])</f>
        <v/>
      </c>
      <c r="AK267" s="136" t="str">
        <f>IF(OR(tblPiNHistorical[[#This Row],[Protection Old]]="", tblPiNHistorical[[#This Row],[Protection Old]]=0, tblPiNHistorical[[#This Row],[Protection New]]="", tblPiNHistorical[[#This Row],[Protection New]]=0), "", tblPiNHistorical[[#This Row],[Protection New]]-tblPiNHistorical[[#This Row],[Protection Old]])</f>
        <v/>
      </c>
      <c r="AL267" s="136" t="str">
        <f>IF(OR(tblPiNHistorical[[#This Row],[CP Old ]]="", tblPiNHistorical[[#This Row],[CP Old ]]=0, tblPiNHistorical[[#This Row],[CP New]]="", tblPiNHistorical[[#This Row],[CP New]]=0), "", tblPiNHistorical[[#This Row],[CP New]]-tblPiNHistorical[[#This Row],[CP Old ]])</f>
        <v/>
      </c>
      <c r="AM267" s="83" t="str">
        <f>IF(OR(tblPiNHistorical[[#This Row],[GBV Old]]="", tblPiNHistorical[[#This Row],[GBV Old]]=0, tblPiNHistorical[[#This Row],[GBV New]]="", tblPiNHistorical[[#This Row],[GBV New]]=0), "", tblPiNHistorical[[#This Row],[GBV New]]-tblPiNHistorical[[#This Row],[GBV Old]])</f>
        <v/>
      </c>
      <c r="AN267" s="83" t="str">
        <f>IF(OR(tblPiNHistorical[[#This Row],[Mine Action Old]]="", tblPiNHistorical[[#This Row],[Mine Action Old]]=0, tblPiNHistorical[[#This Row],[Mine Action New]]="", tblPiNHistorical[[#This Row],[Mine Action New]]=0), "", tblPiNHistorical[[#This Row],[Mine Action New]]-tblPiNHistorical[[#This Row],[Mine Action Old]])</f>
        <v/>
      </c>
      <c r="AO267" s="136" t="str">
        <f>IF(OR(tblPiNHistorical[[#This Row],[Shelter NFI Old]]="", tblPiNHistorical[[#This Row],[Shelter NFI Old]]=0, tblPiNHistorical[[#This Row],[Shelter NFI New]]="", tblPiNHistorical[[#This Row],[Shelter NFI New]]=0), "", tblPiNHistorical[[#This Row],[Shelter NFI New]]-tblPiNHistorical[[#This Row],[Shelter NFI Old]])</f>
        <v/>
      </c>
      <c r="AP267" s="138" t="str">
        <f>IF(OR(tblPiNHistorical[[#This Row],[WASH Old]]="", tblPiNHistorical[[#This Row],[WASH Old]]=0, tblPiNHistorical[[#This Row],[WASH New]]="", tblPiNHistorical[[#This Row],[WASH New]]=0), "", tblPiNHistorical[[#This Row],[WASH New]]-tblPiNHistorical[[#This Row],[WASH Old]])</f>
        <v/>
      </c>
      <c r="AQ267" s="139" t="str">
        <f>IFERROR(ROUND((tblPiNHistorical[[#This Row],[Site Management - New]] - tblPiNHistorical[[#This Row],[Site Management - Old]])/tblPiNHistorical[[#This Row],[Site Management - Old]], 1), "")</f>
        <v/>
      </c>
      <c r="AR267" s="140" t="str">
        <f>IFERROR(ROUND((tblPiNHistorical[[#This Row],[Education New]]-tblPiNHistorical[[#This Row],[Education Old]])/tblPiNHistorical[[#This Row],[Education Old]], 1), "")</f>
        <v/>
      </c>
      <c r="AS267" s="141" t="str">
        <f>IFERROR(ROUND((tblPiNHistorical[[#This Row],[Food Security and Livlihoods New]]-tblPiNHistorical[[#This Row],[Food Security and Livlihoods Old]])/tblPiNHistorical[[#This Row],[Food Security and Livlihoods Old]], 1), "")</f>
        <v/>
      </c>
      <c r="AT267" s="142" t="str">
        <f>IFERROR(ROUND((tblPiNHistorical[[#This Row],[Health New]]-tblPiNHistorical[[#This Row],[Health Old]])/tblPiNHistorical[[#This Row],[Health Old]], 1), "")</f>
        <v/>
      </c>
      <c r="AU267" s="140" t="str">
        <f>IFERROR(ROUND((tblPiNHistorical[[#This Row],[Nutrition New]]-tblPiNHistorical[[#This Row],[Nutrition Old]])/tblPiNHistorical[[#This Row],[Nutrition Old]], 1), "")</f>
        <v/>
      </c>
      <c r="AV267" s="140" t="str">
        <f>IFERROR(ROUND((tblPiNHistorical[[#This Row],[Protection New]]-tblPiNHistorical[[#This Row],[Protection Old]])/tblPiNHistorical[[#This Row],[Protection Old]], 1), "")</f>
        <v/>
      </c>
      <c r="AW267" s="84" t="str">
        <f>IFERROR(ROUND((tblPiNHistorical[[#This Row],[CP New]]-tblPiNHistorical[[#This Row],[CP Old ]])/tblPiNHistorical[[#This Row],[CP Old ]], 1), "")</f>
        <v/>
      </c>
      <c r="AX267" s="84" t="str">
        <f>IFERROR(ROUND((tblPiNHistorical[[#This Row],[GBV New]]-tblPiNHistorical[[#This Row],[GBV Old]])/tblPiNHistorical[[#This Row],[GBV Old]], 1), "")</f>
        <v/>
      </c>
      <c r="AY267" s="84" t="str">
        <f>IFERROR(ROUND((tblPiNHistorical[[#This Row],[Mine Action New]]-tblPiNHistorical[[#This Row],[Mine Action Old]])/tblPiNHistorical[[#This Row],[Mine Action Old]], 1), "")</f>
        <v/>
      </c>
      <c r="AZ267" s="140" t="str">
        <f>IFERROR(ROUND((tblPiNHistorical[[#This Row],[Shelter NFI New]]-tblPiNHistorical[[#This Row],[Shelter NFI Old]])/tblPiNHistorical[[#This Row],[Shelter NFI Old]], 1), "")</f>
        <v/>
      </c>
      <c r="BA267" s="31" t="str">
        <f>IFERROR(ROUND((tblPiNHistorical[[#This Row],[WASH New]]-tblPiNHistorical[[#This Row],[WASH Old]])/tblPiNHistorical[[#This Row],[WASH Old]], 1), "")</f>
        <v/>
      </c>
    </row>
    <row r="268" spans="1:53" ht="38.25" x14ac:dyDescent="0.25">
      <c r="A268"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RefugeesSD02168</v>
      </c>
      <c r="B268" s="134" t="s">
        <v>167</v>
      </c>
      <c r="C268" s="124" t="s">
        <v>119</v>
      </c>
      <c r="D268" s="124" t="s">
        <v>223</v>
      </c>
      <c r="E268" s="59" t="s">
        <v>222</v>
      </c>
      <c r="F268" s="54"/>
      <c r="G268" s="29"/>
      <c r="H268" s="53">
        <v>0</v>
      </c>
      <c r="I268" s="53" t="s">
        <v>90</v>
      </c>
      <c r="J268" s="34">
        <v>0</v>
      </c>
      <c r="K268" s="116">
        <v>0</v>
      </c>
      <c r="L268" s="114">
        <v>0</v>
      </c>
      <c r="M268" s="114">
        <v>0</v>
      </c>
      <c r="N268" s="114">
        <v>0</v>
      </c>
      <c r="O268" s="114">
        <v>0</v>
      </c>
      <c r="P268" s="114">
        <v>0</v>
      </c>
      <c r="Q268" s="114">
        <v>0</v>
      </c>
      <c r="R268" s="114">
        <v>0</v>
      </c>
      <c r="S268" s="114">
        <v>0</v>
      </c>
      <c r="T268" s="196">
        <v>0</v>
      </c>
      <c r="U268" s="52" t="str">
        <f>IFERROR(INDEX(tblPiNAnalysis[[Site Management ]], MATCH(tblPiNHistorical[[#This Row],[ID]], tblPiNAnalysis[ID], 0)), "")</f>
        <v/>
      </c>
      <c r="V268" s="52" t="str">
        <f>IFERROR(INDEX(tblPiNAnalysis[Education], MATCH(tblPiNHistorical[[#This Row],[ID]], tblPiNAnalysis[ID], 0)), "")</f>
        <v/>
      </c>
      <c r="W268" s="28" t="str">
        <f>IFERROR(INDEX(tblPiNAnalysis[Food Security and Livlihoods], MATCH(tblPiNHistorical[[#This Row],[ID]], tblPiNAnalysis[ID], 0)), "")</f>
        <v/>
      </c>
      <c r="X268" s="28" t="str">
        <f>IFERROR(INDEX(tblPiNAnalysis[[Health ]], MATCH(tblPiNHistorical[[#This Row],[ID]], tblPiNAnalysis[ID], 0)), "")</f>
        <v/>
      </c>
      <c r="Y268" s="28" t="str">
        <f>IFERROR(INDEX(tblPiNAnalysis[Nutrition], MATCH(tblPiNHistorical[[#This Row],[ID]], tblPiNAnalysis[ID], 0)), "")</f>
        <v/>
      </c>
      <c r="Z268" s="28" t="str">
        <f>IFERROR(INDEX(tblPiNAnalysis[Protection], MATCH(tblPiNHistorical[[#This Row],[ID]], tblPiNAnalysis[ID], 0)), "")</f>
        <v/>
      </c>
      <c r="AA268" s="28" t="str">
        <f>IFERROR(INDEX(tblPiNAnalysis[CP], MATCH(tblPiNHistorical[[#This Row],[ID]], tblPiNAnalysis[ID], 0)), "")</f>
        <v/>
      </c>
      <c r="AB268" s="83" t="str">
        <f>IFERROR(INDEX(tblPiNAnalysis[GBV], MATCH(tblPiNHistorical[[#This Row],[ID]], tblPiNAnalysis[ID], 0)), "")</f>
        <v/>
      </c>
      <c r="AC268" s="28" t="str">
        <f>IFERROR(INDEX(tblPiNAnalysis[Mine Action], MATCH(tblPiNHistorical[[#This Row],[ID]], tblPiNAnalysis[ID], 0)), "")</f>
        <v/>
      </c>
      <c r="AD268" s="83" t="str">
        <f>IFERROR(INDEX(tblPiNAnalysis[[Shelter NFI ]], MATCH(tblPiNHistorical[[#This Row],[ID]], tblPiNAnalysis[ID], 0)), "")</f>
        <v/>
      </c>
      <c r="AE268" s="28" t="str">
        <f>IFERROR(INDEX(tblPiNAnalysis[WASH], MATCH(tblPiNHistorical[[#This Row],[ID]], tblPiNAnalysis[ID], 0)), "")</f>
        <v/>
      </c>
      <c r="AF268"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268" s="136" t="str">
        <f>IF(OR(tblPiNHistorical[[#This Row],[Education Old]]="", tblPiNHistorical[[#This Row],[Education Old]]=0, tblPiNHistorical[[#This Row],[Education New]]="", tblPiNHistorical[[#This Row],[Education New]]=0), "", tblPiNHistorical[[#This Row],[Education New]]-tblPiNHistorical[[#This Row],[Education Old]])</f>
        <v/>
      </c>
      <c r="AH268"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268" s="137" t="str">
        <f>IF(OR(tblPiNHistorical[[#This Row],[Health Old]]="", tblPiNHistorical[[#This Row],[Health Old]]=0, tblPiNHistorical[[#This Row],[Health New]]="", tblPiNHistorical[[#This Row],[Health New]]=0), "", tblPiNHistorical[[#This Row],[Health New]]-tblPiNHistorical[[#This Row],[Health Old]])</f>
        <v/>
      </c>
      <c r="AJ268" s="136" t="str">
        <f>IF(OR(tblPiNHistorical[[#This Row],[Nutrition Old]]="", tblPiNHistorical[[#This Row],[Nutrition Old]]=0, tblPiNHistorical[[#This Row],[Nutrition New]]="", tblPiNHistorical[[#This Row],[Nutrition New]]=0), "", tblPiNHistorical[[#This Row],[Nutrition New]]-tblPiNHistorical[[#This Row],[Nutrition Old]])</f>
        <v/>
      </c>
      <c r="AK268" s="136" t="str">
        <f>IF(OR(tblPiNHistorical[[#This Row],[Protection Old]]="", tblPiNHistorical[[#This Row],[Protection Old]]=0, tblPiNHistorical[[#This Row],[Protection New]]="", tblPiNHistorical[[#This Row],[Protection New]]=0), "", tblPiNHistorical[[#This Row],[Protection New]]-tblPiNHistorical[[#This Row],[Protection Old]])</f>
        <v/>
      </c>
      <c r="AL268" s="136" t="str">
        <f>IF(OR(tblPiNHistorical[[#This Row],[CP Old ]]="", tblPiNHistorical[[#This Row],[CP Old ]]=0, tblPiNHistorical[[#This Row],[CP New]]="", tblPiNHistorical[[#This Row],[CP New]]=0), "", tblPiNHistorical[[#This Row],[CP New]]-tblPiNHistorical[[#This Row],[CP Old ]])</f>
        <v/>
      </c>
      <c r="AM268" s="83" t="str">
        <f>IF(OR(tblPiNHistorical[[#This Row],[GBV Old]]="", tblPiNHistorical[[#This Row],[GBV Old]]=0, tblPiNHistorical[[#This Row],[GBV New]]="", tblPiNHistorical[[#This Row],[GBV New]]=0), "", tblPiNHistorical[[#This Row],[GBV New]]-tblPiNHistorical[[#This Row],[GBV Old]])</f>
        <v/>
      </c>
      <c r="AN268" s="83" t="str">
        <f>IF(OR(tblPiNHistorical[[#This Row],[Mine Action Old]]="", tblPiNHistorical[[#This Row],[Mine Action Old]]=0, tblPiNHistorical[[#This Row],[Mine Action New]]="", tblPiNHistorical[[#This Row],[Mine Action New]]=0), "", tblPiNHistorical[[#This Row],[Mine Action New]]-tblPiNHistorical[[#This Row],[Mine Action Old]])</f>
        <v/>
      </c>
      <c r="AO268" s="136" t="str">
        <f>IF(OR(tblPiNHistorical[[#This Row],[Shelter NFI Old]]="", tblPiNHistorical[[#This Row],[Shelter NFI Old]]=0, tblPiNHistorical[[#This Row],[Shelter NFI New]]="", tblPiNHistorical[[#This Row],[Shelter NFI New]]=0), "", tblPiNHistorical[[#This Row],[Shelter NFI New]]-tblPiNHistorical[[#This Row],[Shelter NFI Old]])</f>
        <v/>
      </c>
      <c r="AP268" s="138" t="str">
        <f>IF(OR(tblPiNHistorical[[#This Row],[WASH Old]]="", tblPiNHistorical[[#This Row],[WASH Old]]=0, tblPiNHistorical[[#This Row],[WASH New]]="", tblPiNHistorical[[#This Row],[WASH New]]=0), "", tblPiNHistorical[[#This Row],[WASH New]]-tblPiNHistorical[[#This Row],[WASH Old]])</f>
        <v/>
      </c>
      <c r="AQ268" s="139" t="str">
        <f>IFERROR(ROUND((tblPiNHistorical[[#This Row],[Site Management - New]] - tblPiNHistorical[[#This Row],[Site Management - Old]])/tblPiNHistorical[[#This Row],[Site Management - Old]], 1), "")</f>
        <v/>
      </c>
      <c r="AR268" s="140" t="str">
        <f>IFERROR(ROUND((tblPiNHistorical[[#This Row],[Education New]]-tblPiNHistorical[[#This Row],[Education Old]])/tblPiNHistorical[[#This Row],[Education Old]], 1), "")</f>
        <v/>
      </c>
      <c r="AS268" s="141" t="str">
        <f>IFERROR(ROUND((tblPiNHistorical[[#This Row],[Food Security and Livlihoods New]]-tblPiNHistorical[[#This Row],[Food Security and Livlihoods Old]])/tblPiNHistorical[[#This Row],[Food Security and Livlihoods Old]], 1), "")</f>
        <v/>
      </c>
      <c r="AT268" s="142" t="str">
        <f>IFERROR(ROUND((tblPiNHistorical[[#This Row],[Health New]]-tblPiNHistorical[[#This Row],[Health Old]])/tblPiNHistorical[[#This Row],[Health Old]], 1), "")</f>
        <v/>
      </c>
      <c r="AU268" s="140" t="str">
        <f>IFERROR(ROUND((tblPiNHistorical[[#This Row],[Nutrition New]]-tblPiNHistorical[[#This Row],[Nutrition Old]])/tblPiNHistorical[[#This Row],[Nutrition Old]], 1), "")</f>
        <v/>
      </c>
      <c r="AV268" s="140" t="str">
        <f>IFERROR(ROUND((tblPiNHistorical[[#This Row],[Protection New]]-tblPiNHistorical[[#This Row],[Protection Old]])/tblPiNHistorical[[#This Row],[Protection Old]], 1), "")</f>
        <v/>
      </c>
      <c r="AW268" s="84" t="str">
        <f>IFERROR(ROUND((tblPiNHistorical[[#This Row],[CP New]]-tblPiNHistorical[[#This Row],[CP Old ]])/tblPiNHistorical[[#This Row],[CP Old ]], 1), "")</f>
        <v/>
      </c>
      <c r="AX268" s="84" t="str">
        <f>IFERROR(ROUND((tblPiNHistorical[[#This Row],[GBV New]]-tblPiNHistorical[[#This Row],[GBV Old]])/tblPiNHistorical[[#This Row],[GBV Old]], 1), "")</f>
        <v/>
      </c>
      <c r="AY268" s="84" t="str">
        <f>IFERROR(ROUND((tblPiNHistorical[[#This Row],[Mine Action New]]-tblPiNHistorical[[#This Row],[Mine Action Old]])/tblPiNHistorical[[#This Row],[Mine Action Old]], 1), "")</f>
        <v/>
      </c>
      <c r="AZ268" s="140" t="str">
        <f>IFERROR(ROUND((tblPiNHistorical[[#This Row],[Shelter NFI New]]-tblPiNHistorical[[#This Row],[Shelter NFI Old]])/tblPiNHistorical[[#This Row],[Shelter NFI Old]], 1), "")</f>
        <v/>
      </c>
      <c r="BA268" s="31" t="str">
        <f>IFERROR(ROUND((tblPiNHistorical[[#This Row],[WASH New]]-tblPiNHistorical[[#This Row],[WASH Old]])/tblPiNHistorical[[#This Row],[WASH Old]], 1), "")</f>
        <v/>
      </c>
    </row>
    <row r="269" spans="1:53" ht="38.25" x14ac:dyDescent="0.25">
      <c r="A269"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RefugeesSD02128</v>
      </c>
      <c r="B269" s="134" t="s">
        <v>167</v>
      </c>
      <c r="C269" s="124" t="s">
        <v>119</v>
      </c>
      <c r="D269" s="124" t="s">
        <v>215</v>
      </c>
      <c r="E269" s="59" t="s">
        <v>214</v>
      </c>
      <c r="F269" s="54"/>
      <c r="G269" s="29"/>
      <c r="H269" s="53">
        <v>0</v>
      </c>
      <c r="I269" s="53" t="s">
        <v>90</v>
      </c>
      <c r="J269" s="34">
        <v>0</v>
      </c>
      <c r="K269" s="116">
        <v>0</v>
      </c>
      <c r="L269" s="114">
        <v>0</v>
      </c>
      <c r="M269" s="114">
        <v>0</v>
      </c>
      <c r="N269" s="114">
        <v>0</v>
      </c>
      <c r="O269" s="114">
        <v>0</v>
      </c>
      <c r="P269" s="114">
        <v>0</v>
      </c>
      <c r="Q269" s="114">
        <v>0</v>
      </c>
      <c r="R269" s="114">
        <v>0</v>
      </c>
      <c r="S269" s="114">
        <v>0</v>
      </c>
      <c r="T269" s="196">
        <v>0</v>
      </c>
      <c r="U269" s="52" t="str">
        <f>IFERROR(INDEX(tblPiNAnalysis[[Site Management ]], MATCH(tblPiNHistorical[[#This Row],[ID]], tblPiNAnalysis[ID], 0)), "")</f>
        <v/>
      </c>
      <c r="V269" s="52" t="str">
        <f>IFERROR(INDEX(tblPiNAnalysis[Education], MATCH(tblPiNHistorical[[#This Row],[ID]], tblPiNAnalysis[ID], 0)), "")</f>
        <v/>
      </c>
      <c r="W269" s="28" t="str">
        <f>IFERROR(INDEX(tblPiNAnalysis[Food Security and Livlihoods], MATCH(tblPiNHistorical[[#This Row],[ID]], tblPiNAnalysis[ID], 0)), "")</f>
        <v/>
      </c>
      <c r="X269" s="28" t="str">
        <f>IFERROR(INDEX(tblPiNAnalysis[[Health ]], MATCH(tblPiNHistorical[[#This Row],[ID]], tblPiNAnalysis[ID], 0)), "")</f>
        <v/>
      </c>
      <c r="Y269" s="28" t="str">
        <f>IFERROR(INDEX(tblPiNAnalysis[Nutrition], MATCH(tblPiNHistorical[[#This Row],[ID]], tblPiNAnalysis[ID], 0)), "")</f>
        <v/>
      </c>
      <c r="Z269" s="28" t="str">
        <f>IFERROR(INDEX(tblPiNAnalysis[Protection], MATCH(tblPiNHistorical[[#This Row],[ID]], tblPiNAnalysis[ID], 0)), "")</f>
        <v/>
      </c>
      <c r="AA269" s="28" t="str">
        <f>IFERROR(INDEX(tblPiNAnalysis[CP], MATCH(tblPiNHistorical[[#This Row],[ID]], tblPiNAnalysis[ID], 0)), "")</f>
        <v/>
      </c>
      <c r="AB269" s="83" t="str">
        <f>IFERROR(INDEX(tblPiNAnalysis[GBV], MATCH(tblPiNHistorical[[#This Row],[ID]], tblPiNAnalysis[ID], 0)), "")</f>
        <v/>
      </c>
      <c r="AC269" s="28" t="str">
        <f>IFERROR(INDEX(tblPiNAnalysis[Mine Action], MATCH(tblPiNHistorical[[#This Row],[ID]], tblPiNAnalysis[ID], 0)), "")</f>
        <v/>
      </c>
      <c r="AD269" s="83" t="str">
        <f>IFERROR(INDEX(tblPiNAnalysis[[Shelter NFI ]], MATCH(tblPiNHistorical[[#This Row],[ID]], tblPiNAnalysis[ID], 0)), "")</f>
        <v/>
      </c>
      <c r="AE269" s="28" t="str">
        <f>IFERROR(INDEX(tblPiNAnalysis[WASH], MATCH(tblPiNHistorical[[#This Row],[ID]], tblPiNAnalysis[ID], 0)), "")</f>
        <v/>
      </c>
      <c r="AF269"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269" s="136" t="str">
        <f>IF(OR(tblPiNHistorical[[#This Row],[Education Old]]="", tblPiNHistorical[[#This Row],[Education Old]]=0, tblPiNHistorical[[#This Row],[Education New]]="", tblPiNHistorical[[#This Row],[Education New]]=0), "", tblPiNHistorical[[#This Row],[Education New]]-tblPiNHistorical[[#This Row],[Education Old]])</f>
        <v/>
      </c>
      <c r="AH269"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269" s="137" t="str">
        <f>IF(OR(tblPiNHistorical[[#This Row],[Health Old]]="", tblPiNHistorical[[#This Row],[Health Old]]=0, tblPiNHistorical[[#This Row],[Health New]]="", tblPiNHistorical[[#This Row],[Health New]]=0), "", tblPiNHistorical[[#This Row],[Health New]]-tblPiNHistorical[[#This Row],[Health Old]])</f>
        <v/>
      </c>
      <c r="AJ269" s="136" t="str">
        <f>IF(OR(tblPiNHistorical[[#This Row],[Nutrition Old]]="", tblPiNHistorical[[#This Row],[Nutrition Old]]=0, tblPiNHistorical[[#This Row],[Nutrition New]]="", tblPiNHistorical[[#This Row],[Nutrition New]]=0), "", tblPiNHistorical[[#This Row],[Nutrition New]]-tblPiNHistorical[[#This Row],[Nutrition Old]])</f>
        <v/>
      </c>
      <c r="AK269" s="136" t="str">
        <f>IF(OR(tblPiNHistorical[[#This Row],[Protection Old]]="", tblPiNHistorical[[#This Row],[Protection Old]]=0, tblPiNHistorical[[#This Row],[Protection New]]="", tblPiNHistorical[[#This Row],[Protection New]]=0), "", tblPiNHistorical[[#This Row],[Protection New]]-tblPiNHistorical[[#This Row],[Protection Old]])</f>
        <v/>
      </c>
      <c r="AL269" s="136" t="str">
        <f>IF(OR(tblPiNHistorical[[#This Row],[CP Old ]]="", tblPiNHistorical[[#This Row],[CP Old ]]=0, tblPiNHistorical[[#This Row],[CP New]]="", tblPiNHistorical[[#This Row],[CP New]]=0), "", tblPiNHistorical[[#This Row],[CP New]]-tblPiNHistorical[[#This Row],[CP Old ]])</f>
        <v/>
      </c>
      <c r="AM269" s="83" t="str">
        <f>IF(OR(tblPiNHistorical[[#This Row],[GBV Old]]="", tblPiNHistorical[[#This Row],[GBV Old]]=0, tblPiNHistorical[[#This Row],[GBV New]]="", tblPiNHistorical[[#This Row],[GBV New]]=0), "", tblPiNHistorical[[#This Row],[GBV New]]-tblPiNHistorical[[#This Row],[GBV Old]])</f>
        <v/>
      </c>
      <c r="AN269" s="83" t="str">
        <f>IF(OR(tblPiNHistorical[[#This Row],[Mine Action Old]]="", tblPiNHistorical[[#This Row],[Mine Action Old]]=0, tblPiNHistorical[[#This Row],[Mine Action New]]="", tblPiNHistorical[[#This Row],[Mine Action New]]=0), "", tblPiNHistorical[[#This Row],[Mine Action New]]-tblPiNHistorical[[#This Row],[Mine Action Old]])</f>
        <v/>
      </c>
      <c r="AO269" s="136" t="str">
        <f>IF(OR(tblPiNHistorical[[#This Row],[Shelter NFI Old]]="", tblPiNHistorical[[#This Row],[Shelter NFI Old]]=0, tblPiNHistorical[[#This Row],[Shelter NFI New]]="", tblPiNHistorical[[#This Row],[Shelter NFI New]]=0), "", tblPiNHistorical[[#This Row],[Shelter NFI New]]-tblPiNHistorical[[#This Row],[Shelter NFI Old]])</f>
        <v/>
      </c>
      <c r="AP269" s="138" t="str">
        <f>IF(OR(tblPiNHistorical[[#This Row],[WASH Old]]="", tblPiNHistorical[[#This Row],[WASH Old]]=0, tblPiNHistorical[[#This Row],[WASH New]]="", tblPiNHistorical[[#This Row],[WASH New]]=0), "", tblPiNHistorical[[#This Row],[WASH New]]-tblPiNHistorical[[#This Row],[WASH Old]])</f>
        <v/>
      </c>
      <c r="AQ269" s="139" t="str">
        <f>IFERROR(ROUND((tblPiNHistorical[[#This Row],[Site Management - New]] - tblPiNHistorical[[#This Row],[Site Management - Old]])/tblPiNHistorical[[#This Row],[Site Management - Old]], 1), "")</f>
        <v/>
      </c>
      <c r="AR269" s="140" t="str">
        <f>IFERROR(ROUND((tblPiNHistorical[[#This Row],[Education New]]-tblPiNHistorical[[#This Row],[Education Old]])/tblPiNHistorical[[#This Row],[Education Old]], 1), "")</f>
        <v/>
      </c>
      <c r="AS269" s="141" t="str">
        <f>IFERROR(ROUND((tblPiNHistorical[[#This Row],[Food Security and Livlihoods New]]-tblPiNHistorical[[#This Row],[Food Security and Livlihoods Old]])/tblPiNHistorical[[#This Row],[Food Security and Livlihoods Old]], 1), "")</f>
        <v/>
      </c>
      <c r="AT269" s="142" t="str">
        <f>IFERROR(ROUND((tblPiNHistorical[[#This Row],[Health New]]-tblPiNHistorical[[#This Row],[Health Old]])/tblPiNHistorical[[#This Row],[Health Old]], 1), "")</f>
        <v/>
      </c>
      <c r="AU269" s="140" t="str">
        <f>IFERROR(ROUND((tblPiNHistorical[[#This Row],[Nutrition New]]-tblPiNHistorical[[#This Row],[Nutrition Old]])/tblPiNHistorical[[#This Row],[Nutrition Old]], 1), "")</f>
        <v/>
      </c>
      <c r="AV269" s="140" t="str">
        <f>IFERROR(ROUND((tblPiNHistorical[[#This Row],[Protection New]]-tblPiNHistorical[[#This Row],[Protection Old]])/tblPiNHistorical[[#This Row],[Protection Old]], 1), "")</f>
        <v/>
      </c>
      <c r="AW269" s="84" t="str">
        <f>IFERROR(ROUND((tblPiNHistorical[[#This Row],[CP New]]-tblPiNHistorical[[#This Row],[CP Old ]])/tblPiNHistorical[[#This Row],[CP Old ]], 1), "")</f>
        <v/>
      </c>
      <c r="AX269" s="84" t="str">
        <f>IFERROR(ROUND((tblPiNHistorical[[#This Row],[GBV New]]-tblPiNHistorical[[#This Row],[GBV Old]])/tblPiNHistorical[[#This Row],[GBV Old]], 1), "")</f>
        <v/>
      </c>
      <c r="AY269" s="84" t="str">
        <f>IFERROR(ROUND((tblPiNHistorical[[#This Row],[Mine Action New]]-tblPiNHistorical[[#This Row],[Mine Action Old]])/tblPiNHistorical[[#This Row],[Mine Action Old]], 1), "")</f>
        <v/>
      </c>
      <c r="AZ269" s="140" t="str">
        <f>IFERROR(ROUND((tblPiNHistorical[[#This Row],[Shelter NFI New]]-tblPiNHistorical[[#This Row],[Shelter NFI Old]])/tblPiNHistorical[[#This Row],[Shelter NFI Old]], 1), "")</f>
        <v/>
      </c>
      <c r="BA269" s="31" t="str">
        <f>IFERROR(ROUND((tblPiNHistorical[[#This Row],[WASH New]]-tblPiNHistorical[[#This Row],[WASH Old]])/tblPiNHistorical[[#This Row],[WASH Old]], 1), "")</f>
        <v/>
      </c>
    </row>
    <row r="270" spans="1:53" ht="38.25" x14ac:dyDescent="0.25">
      <c r="A270"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RefugeesSD02129</v>
      </c>
      <c r="B270" s="134" t="s">
        <v>167</v>
      </c>
      <c r="C270" s="124" t="s">
        <v>119</v>
      </c>
      <c r="D270" s="124" t="s">
        <v>217</v>
      </c>
      <c r="E270" s="59" t="s">
        <v>216</v>
      </c>
      <c r="F270" s="54"/>
      <c r="G270" s="29"/>
      <c r="H270" s="53">
        <v>0</v>
      </c>
      <c r="I270" s="53" t="s">
        <v>90</v>
      </c>
      <c r="J270" s="34">
        <v>0</v>
      </c>
      <c r="K270" s="116">
        <v>0</v>
      </c>
      <c r="L270" s="114">
        <v>0</v>
      </c>
      <c r="M270" s="114">
        <v>0</v>
      </c>
      <c r="N270" s="114">
        <v>0</v>
      </c>
      <c r="O270" s="114">
        <v>0</v>
      </c>
      <c r="P270" s="114">
        <v>0</v>
      </c>
      <c r="Q270" s="114">
        <v>0</v>
      </c>
      <c r="R270" s="114">
        <v>0</v>
      </c>
      <c r="S270" s="114">
        <v>0</v>
      </c>
      <c r="T270" s="196">
        <v>0</v>
      </c>
      <c r="U270" s="52" t="str">
        <f>IFERROR(INDEX(tblPiNAnalysis[[Site Management ]], MATCH(tblPiNHistorical[[#This Row],[ID]], tblPiNAnalysis[ID], 0)), "")</f>
        <v/>
      </c>
      <c r="V270" s="52" t="str">
        <f>IFERROR(INDEX(tblPiNAnalysis[Education], MATCH(tblPiNHistorical[[#This Row],[ID]], tblPiNAnalysis[ID], 0)), "")</f>
        <v/>
      </c>
      <c r="W270" s="28" t="str">
        <f>IFERROR(INDEX(tblPiNAnalysis[Food Security and Livlihoods], MATCH(tblPiNHistorical[[#This Row],[ID]], tblPiNAnalysis[ID], 0)), "")</f>
        <v/>
      </c>
      <c r="X270" s="28" t="str">
        <f>IFERROR(INDEX(tblPiNAnalysis[[Health ]], MATCH(tblPiNHistorical[[#This Row],[ID]], tblPiNAnalysis[ID], 0)), "")</f>
        <v/>
      </c>
      <c r="Y270" s="28" t="str">
        <f>IFERROR(INDEX(tblPiNAnalysis[Nutrition], MATCH(tblPiNHistorical[[#This Row],[ID]], tblPiNAnalysis[ID], 0)), "")</f>
        <v/>
      </c>
      <c r="Z270" s="28" t="str">
        <f>IFERROR(INDEX(tblPiNAnalysis[Protection], MATCH(tblPiNHistorical[[#This Row],[ID]], tblPiNAnalysis[ID], 0)), "")</f>
        <v/>
      </c>
      <c r="AA270" s="28" t="str">
        <f>IFERROR(INDEX(tblPiNAnalysis[CP], MATCH(tblPiNHistorical[[#This Row],[ID]], tblPiNAnalysis[ID], 0)), "")</f>
        <v/>
      </c>
      <c r="AB270" s="83" t="str">
        <f>IFERROR(INDEX(tblPiNAnalysis[GBV], MATCH(tblPiNHistorical[[#This Row],[ID]], tblPiNAnalysis[ID], 0)), "")</f>
        <v/>
      </c>
      <c r="AC270" s="28" t="str">
        <f>IFERROR(INDEX(tblPiNAnalysis[Mine Action], MATCH(tblPiNHistorical[[#This Row],[ID]], tblPiNAnalysis[ID], 0)), "")</f>
        <v/>
      </c>
      <c r="AD270" s="83" t="str">
        <f>IFERROR(INDEX(tblPiNAnalysis[[Shelter NFI ]], MATCH(tblPiNHistorical[[#This Row],[ID]], tblPiNAnalysis[ID], 0)), "")</f>
        <v/>
      </c>
      <c r="AE270" s="28" t="str">
        <f>IFERROR(INDEX(tblPiNAnalysis[WASH], MATCH(tblPiNHistorical[[#This Row],[ID]], tblPiNAnalysis[ID], 0)), "")</f>
        <v/>
      </c>
      <c r="AF270"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270" s="136" t="str">
        <f>IF(OR(tblPiNHistorical[[#This Row],[Education Old]]="", tblPiNHistorical[[#This Row],[Education Old]]=0, tblPiNHistorical[[#This Row],[Education New]]="", tblPiNHistorical[[#This Row],[Education New]]=0), "", tblPiNHistorical[[#This Row],[Education New]]-tblPiNHistorical[[#This Row],[Education Old]])</f>
        <v/>
      </c>
      <c r="AH270"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270" s="137" t="str">
        <f>IF(OR(tblPiNHistorical[[#This Row],[Health Old]]="", tblPiNHistorical[[#This Row],[Health Old]]=0, tblPiNHistorical[[#This Row],[Health New]]="", tblPiNHistorical[[#This Row],[Health New]]=0), "", tblPiNHistorical[[#This Row],[Health New]]-tblPiNHistorical[[#This Row],[Health Old]])</f>
        <v/>
      </c>
      <c r="AJ270" s="136" t="str">
        <f>IF(OR(tblPiNHistorical[[#This Row],[Nutrition Old]]="", tblPiNHistorical[[#This Row],[Nutrition Old]]=0, tblPiNHistorical[[#This Row],[Nutrition New]]="", tblPiNHistorical[[#This Row],[Nutrition New]]=0), "", tblPiNHistorical[[#This Row],[Nutrition New]]-tblPiNHistorical[[#This Row],[Nutrition Old]])</f>
        <v/>
      </c>
      <c r="AK270" s="136" t="str">
        <f>IF(OR(tblPiNHistorical[[#This Row],[Protection Old]]="", tblPiNHistorical[[#This Row],[Protection Old]]=0, tblPiNHistorical[[#This Row],[Protection New]]="", tblPiNHistorical[[#This Row],[Protection New]]=0), "", tblPiNHistorical[[#This Row],[Protection New]]-tblPiNHistorical[[#This Row],[Protection Old]])</f>
        <v/>
      </c>
      <c r="AL270" s="136" t="str">
        <f>IF(OR(tblPiNHistorical[[#This Row],[CP Old ]]="", tblPiNHistorical[[#This Row],[CP Old ]]=0, tblPiNHistorical[[#This Row],[CP New]]="", tblPiNHistorical[[#This Row],[CP New]]=0), "", tblPiNHistorical[[#This Row],[CP New]]-tblPiNHistorical[[#This Row],[CP Old ]])</f>
        <v/>
      </c>
      <c r="AM270" s="83" t="str">
        <f>IF(OR(tblPiNHistorical[[#This Row],[GBV Old]]="", tblPiNHistorical[[#This Row],[GBV Old]]=0, tblPiNHistorical[[#This Row],[GBV New]]="", tblPiNHistorical[[#This Row],[GBV New]]=0), "", tblPiNHistorical[[#This Row],[GBV New]]-tblPiNHistorical[[#This Row],[GBV Old]])</f>
        <v/>
      </c>
      <c r="AN270" s="83" t="str">
        <f>IF(OR(tblPiNHistorical[[#This Row],[Mine Action Old]]="", tblPiNHistorical[[#This Row],[Mine Action Old]]=0, tblPiNHistorical[[#This Row],[Mine Action New]]="", tblPiNHistorical[[#This Row],[Mine Action New]]=0), "", tblPiNHistorical[[#This Row],[Mine Action New]]-tblPiNHistorical[[#This Row],[Mine Action Old]])</f>
        <v/>
      </c>
      <c r="AO270" s="136" t="str">
        <f>IF(OR(tblPiNHistorical[[#This Row],[Shelter NFI Old]]="", tblPiNHistorical[[#This Row],[Shelter NFI Old]]=0, tblPiNHistorical[[#This Row],[Shelter NFI New]]="", tblPiNHistorical[[#This Row],[Shelter NFI New]]=0), "", tblPiNHistorical[[#This Row],[Shelter NFI New]]-tblPiNHistorical[[#This Row],[Shelter NFI Old]])</f>
        <v/>
      </c>
      <c r="AP270" s="138" t="str">
        <f>IF(OR(tblPiNHistorical[[#This Row],[WASH Old]]="", tblPiNHistorical[[#This Row],[WASH Old]]=0, tblPiNHistorical[[#This Row],[WASH New]]="", tblPiNHistorical[[#This Row],[WASH New]]=0), "", tblPiNHistorical[[#This Row],[WASH New]]-tblPiNHistorical[[#This Row],[WASH Old]])</f>
        <v/>
      </c>
      <c r="AQ270" s="139" t="str">
        <f>IFERROR(ROUND((tblPiNHistorical[[#This Row],[Site Management - New]] - tblPiNHistorical[[#This Row],[Site Management - Old]])/tblPiNHistorical[[#This Row],[Site Management - Old]], 1), "")</f>
        <v/>
      </c>
      <c r="AR270" s="140" t="str">
        <f>IFERROR(ROUND((tblPiNHistorical[[#This Row],[Education New]]-tblPiNHistorical[[#This Row],[Education Old]])/tblPiNHistorical[[#This Row],[Education Old]], 1), "")</f>
        <v/>
      </c>
      <c r="AS270" s="141" t="str">
        <f>IFERROR(ROUND((tblPiNHistorical[[#This Row],[Food Security and Livlihoods New]]-tblPiNHistorical[[#This Row],[Food Security and Livlihoods Old]])/tblPiNHistorical[[#This Row],[Food Security and Livlihoods Old]], 1), "")</f>
        <v/>
      </c>
      <c r="AT270" s="142" t="str">
        <f>IFERROR(ROUND((tblPiNHistorical[[#This Row],[Health New]]-tblPiNHistorical[[#This Row],[Health Old]])/tblPiNHistorical[[#This Row],[Health Old]], 1), "")</f>
        <v/>
      </c>
      <c r="AU270" s="140" t="str">
        <f>IFERROR(ROUND((tblPiNHistorical[[#This Row],[Nutrition New]]-tblPiNHistorical[[#This Row],[Nutrition Old]])/tblPiNHistorical[[#This Row],[Nutrition Old]], 1), "")</f>
        <v/>
      </c>
      <c r="AV270" s="140" t="str">
        <f>IFERROR(ROUND((tblPiNHistorical[[#This Row],[Protection New]]-tblPiNHistorical[[#This Row],[Protection Old]])/tblPiNHistorical[[#This Row],[Protection Old]], 1), "")</f>
        <v/>
      </c>
      <c r="AW270" s="84" t="str">
        <f>IFERROR(ROUND((tblPiNHistorical[[#This Row],[CP New]]-tblPiNHistorical[[#This Row],[CP Old ]])/tblPiNHistorical[[#This Row],[CP Old ]], 1), "")</f>
        <v/>
      </c>
      <c r="AX270" s="84" t="str">
        <f>IFERROR(ROUND((tblPiNHistorical[[#This Row],[GBV New]]-tblPiNHistorical[[#This Row],[GBV Old]])/tblPiNHistorical[[#This Row],[GBV Old]], 1), "")</f>
        <v/>
      </c>
      <c r="AY270" s="84" t="str">
        <f>IFERROR(ROUND((tblPiNHistorical[[#This Row],[Mine Action New]]-tblPiNHistorical[[#This Row],[Mine Action Old]])/tblPiNHistorical[[#This Row],[Mine Action Old]], 1), "")</f>
        <v/>
      </c>
      <c r="AZ270" s="140" t="str">
        <f>IFERROR(ROUND((tblPiNHistorical[[#This Row],[Shelter NFI New]]-tblPiNHistorical[[#This Row],[Shelter NFI Old]])/tblPiNHistorical[[#This Row],[Shelter NFI Old]], 1), "")</f>
        <v/>
      </c>
      <c r="BA270" s="31" t="str">
        <f>IFERROR(ROUND((tblPiNHistorical[[#This Row],[WASH New]]-tblPiNHistorical[[#This Row],[WASH Old]])/tblPiNHistorical[[#This Row],[WASH Old]], 1), "")</f>
        <v/>
      </c>
    </row>
    <row r="271" spans="1:53" ht="38.25" x14ac:dyDescent="0.25">
      <c r="A271"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RefugeesSD02133</v>
      </c>
      <c r="B271" s="134" t="s">
        <v>167</v>
      </c>
      <c r="C271" s="124" t="s">
        <v>119</v>
      </c>
      <c r="D271" s="124" t="s">
        <v>219</v>
      </c>
      <c r="E271" s="59" t="s">
        <v>218</v>
      </c>
      <c r="F271" s="54"/>
      <c r="G271" s="29"/>
      <c r="H271" s="53">
        <v>0</v>
      </c>
      <c r="I271" s="53" t="s">
        <v>90</v>
      </c>
      <c r="J271" s="34">
        <v>0</v>
      </c>
      <c r="K271" s="116">
        <v>0</v>
      </c>
      <c r="L271" s="114">
        <v>0</v>
      </c>
      <c r="M271" s="114">
        <v>0</v>
      </c>
      <c r="N271" s="114">
        <v>0</v>
      </c>
      <c r="O271" s="114">
        <v>0</v>
      </c>
      <c r="P271" s="114">
        <v>0</v>
      </c>
      <c r="Q271" s="114">
        <v>0</v>
      </c>
      <c r="R271" s="114">
        <v>0</v>
      </c>
      <c r="S271" s="114">
        <v>0</v>
      </c>
      <c r="T271" s="196">
        <v>0</v>
      </c>
      <c r="U271" s="52" t="str">
        <f>IFERROR(INDEX(tblPiNAnalysis[[Site Management ]], MATCH(tblPiNHistorical[[#This Row],[ID]], tblPiNAnalysis[ID], 0)), "")</f>
        <v/>
      </c>
      <c r="V271" s="52" t="str">
        <f>IFERROR(INDEX(tblPiNAnalysis[Education], MATCH(tblPiNHistorical[[#This Row],[ID]], tblPiNAnalysis[ID], 0)), "")</f>
        <v/>
      </c>
      <c r="W271" s="28" t="str">
        <f>IFERROR(INDEX(tblPiNAnalysis[Food Security and Livlihoods], MATCH(tblPiNHistorical[[#This Row],[ID]], tblPiNAnalysis[ID], 0)), "")</f>
        <v/>
      </c>
      <c r="X271" s="28" t="str">
        <f>IFERROR(INDEX(tblPiNAnalysis[[Health ]], MATCH(tblPiNHistorical[[#This Row],[ID]], tblPiNAnalysis[ID], 0)), "")</f>
        <v/>
      </c>
      <c r="Y271" s="28" t="str">
        <f>IFERROR(INDEX(tblPiNAnalysis[Nutrition], MATCH(tblPiNHistorical[[#This Row],[ID]], tblPiNAnalysis[ID], 0)), "")</f>
        <v/>
      </c>
      <c r="Z271" s="28" t="str">
        <f>IFERROR(INDEX(tblPiNAnalysis[Protection], MATCH(tblPiNHistorical[[#This Row],[ID]], tblPiNAnalysis[ID], 0)), "")</f>
        <v/>
      </c>
      <c r="AA271" s="28" t="str">
        <f>IFERROR(INDEX(tblPiNAnalysis[CP], MATCH(tblPiNHistorical[[#This Row],[ID]], tblPiNAnalysis[ID], 0)), "")</f>
        <v/>
      </c>
      <c r="AB271" s="83" t="str">
        <f>IFERROR(INDEX(tblPiNAnalysis[GBV], MATCH(tblPiNHistorical[[#This Row],[ID]], tblPiNAnalysis[ID], 0)), "")</f>
        <v/>
      </c>
      <c r="AC271" s="28" t="str">
        <f>IFERROR(INDEX(tblPiNAnalysis[Mine Action], MATCH(tblPiNHistorical[[#This Row],[ID]], tblPiNAnalysis[ID], 0)), "")</f>
        <v/>
      </c>
      <c r="AD271" s="83" t="str">
        <f>IFERROR(INDEX(tblPiNAnalysis[[Shelter NFI ]], MATCH(tblPiNHistorical[[#This Row],[ID]], tblPiNAnalysis[ID], 0)), "")</f>
        <v/>
      </c>
      <c r="AE271" s="28" t="str">
        <f>IFERROR(INDEX(tblPiNAnalysis[WASH], MATCH(tblPiNHistorical[[#This Row],[ID]], tblPiNAnalysis[ID], 0)), "")</f>
        <v/>
      </c>
      <c r="AF271"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271" s="136" t="str">
        <f>IF(OR(tblPiNHistorical[[#This Row],[Education Old]]="", tblPiNHistorical[[#This Row],[Education Old]]=0, tblPiNHistorical[[#This Row],[Education New]]="", tblPiNHistorical[[#This Row],[Education New]]=0), "", tblPiNHistorical[[#This Row],[Education New]]-tblPiNHistorical[[#This Row],[Education Old]])</f>
        <v/>
      </c>
      <c r="AH271"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271" s="137" t="str">
        <f>IF(OR(tblPiNHistorical[[#This Row],[Health Old]]="", tblPiNHistorical[[#This Row],[Health Old]]=0, tblPiNHistorical[[#This Row],[Health New]]="", tblPiNHistorical[[#This Row],[Health New]]=0), "", tblPiNHistorical[[#This Row],[Health New]]-tblPiNHistorical[[#This Row],[Health Old]])</f>
        <v/>
      </c>
      <c r="AJ271" s="136" t="str">
        <f>IF(OR(tblPiNHistorical[[#This Row],[Nutrition Old]]="", tblPiNHistorical[[#This Row],[Nutrition Old]]=0, tblPiNHistorical[[#This Row],[Nutrition New]]="", tblPiNHistorical[[#This Row],[Nutrition New]]=0), "", tblPiNHistorical[[#This Row],[Nutrition New]]-tblPiNHistorical[[#This Row],[Nutrition Old]])</f>
        <v/>
      </c>
      <c r="AK271" s="136" t="str">
        <f>IF(OR(tblPiNHistorical[[#This Row],[Protection Old]]="", tblPiNHistorical[[#This Row],[Protection Old]]=0, tblPiNHistorical[[#This Row],[Protection New]]="", tblPiNHistorical[[#This Row],[Protection New]]=0), "", tblPiNHistorical[[#This Row],[Protection New]]-tblPiNHistorical[[#This Row],[Protection Old]])</f>
        <v/>
      </c>
      <c r="AL271" s="136" t="str">
        <f>IF(OR(tblPiNHistorical[[#This Row],[CP Old ]]="", tblPiNHistorical[[#This Row],[CP Old ]]=0, tblPiNHistorical[[#This Row],[CP New]]="", tblPiNHistorical[[#This Row],[CP New]]=0), "", tblPiNHistorical[[#This Row],[CP New]]-tblPiNHistorical[[#This Row],[CP Old ]])</f>
        <v/>
      </c>
      <c r="AM271" s="83" t="str">
        <f>IF(OR(tblPiNHistorical[[#This Row],[GBV Old]]="", tblPiNHistorical[[#This Row],[GBV Old]]=0, tblPiNHistorical[[#This Row],[GBV New]]="", tblPiNHistorical[[#This Row],[GBV New]]=0), "", tblPiNHistorical[[#This Row],[GBV New]]-tblPiNHistorical[[#This Row],[GBV Old]])</f>
        <v/>
      </c>
      <c r="AN271" s="83" t="str">
        <f>IF(OR(tblPiNHistorical[[#This Row],[Mine Action Old]]="", tblPiNHistorical[[#This Row],[Mine Action Old]]=0, tblPiNHistorical[[#This Row],[Mine Action New]]="", tblPiNHistorical[[#This Row],[Mine Action New]]=0), "", tblPiNHistorical[[#This Row],[Mine Action New]]-tblPiNHistorical[[#This Row],[Mine Action Old]])</f>
        <v/>
      </c>
      <c r="AO271" s="136" t="str">
        <f>IF(OR(tblPiNHistorical[[#This Row],[Shelter NFI Old]]="", tblPiNHistorical[[#This Row],[Shelter NFI Old]]=0, tblPiNHistorical[[#This Row],[Shelter NFI New]]="", tblPiNHistorical[[#This Row],[Shelter NFI New]]=0), "", tblPiNHistorical[[#This Row],[Shelter NFI New]]-tblPiNHistorical[[#This Row],[Shelter NFI Old]])</f>
        <v/>
      </c>
      <c r="AP271" s="138" t="str">
        <f>IF(OR(tblPiNHistorical[[#This Row],[WASH Old]]="", tblPiNHistorical[[#This Row],[WASH Old]]=0, tblPiNHistorical[[#This Row],[WASH New]]="", tblPiNHistorical[[#This Row],[WASH New]]=0), "", tblPiNHistorical[[#This Row],[WASH New]]-tblPiNHistorical[[#This Row],[WASH Old]])</f>
        <v/>
      </c>
      <c r="AQ271" s="139" t="str">
        <f>IFERROR(ROUND((tblPiNHistorical[[#This Row],[Site Management - New]] - tblPiNHistorical[[#This Row],[Site Management - Old]])/tblPiNHistorical[[#This Row],[Site Management - Old]], 1), "")</f>
        <v/>
      </c>
      <c r="AR271" s="140" t="str">
        <f>IFERROR(ROUND((tblPiNHistorical[[#This Row],[Education New]]-tblPiNHistorical[[#This Row],[Education Old]])/tblPiNHistorical[[#This Row],[Education Old]], 1), "")</f>
        <v/>
      </c>
      <c r="AS271" s="141" t="str">
        <f>IFERROR(ROUND((tblPiNHistorical[[#This Row],[Food Security and Livlihoods New]]-tblPiNHistorical[[#This Row],[Food Security and Livlihoods Old]])/tblPiNHistorical[[#This Row],[Food Security and Livlihoods Old]], 1), "")</f>
        <v/>
      </c>
      <c r="AT271" s="142" t="str">
        <f>IFERROR(ROUND((tblPiNHistorical[[#This Row],[Health New]]-tblPiNHistorical[[#This Row],[Health Old]])/tblPiNHistorical[[#This Row],[Health Old]], 1), "")</f>
        <v/>
      </c>
      <c r="AU271" s="140" t="str">
        <f>IFERROR(ROUND((tblPiNHistorical[[#This Row],[Nutrition New]]-tblPiNHistorical[[#This Row],[Nutrition Old]])/tblPiNHistorical[[#This Row],[Nutrition Old]], 1), "")</f>
        <v/>
      </c>
      <c r="AV271" s="140" t="str">
        <f>IFERROR(ROUND((tblPiNHistorical[[#This Row],[Protection New]]-tblPiNHistorical[[#This Row],[Protection Old]])/tblPiNHistorical[[#This Row],[Protection Old]], 1), "")</f>
        <v/>
      </c>
      <c r="AW271" s="84" t="str">
        <f>IFERROR(ROUND((tblPiNHistorical[[#This Row],[CP New]]-tblPiNHistorical[[#This Row],[CP Old ]])/tblPiNHistorical[[#This Row],[CP Old ]], 1), "")</f>
        <v/>
      </c>
      <c r="AX271" s="84" t="str">
        <f>IFERROR(ROUND((tblPiNHistorical[[#This Row],[GBV New]]-tblPiNHistorical[[#This Row],[GBV Old]])/tblPiNHistorical[[#This Row],[GBV Old]], 1), "")</f>
        <v/>
      </c>
      <c r="AY271" s="84" t="str">
        <f>IFERROR(ROUND((tblPiNHistorical[[#This Row],[Mine Action New]]-tblPiNHistorical[[#This Row],[Mine Action Old]])/tblPiNHistorical[[#This Row],[Mine Action Old]], 1), "")</f>
        <v/>
      </c>
      <c r="AZ271" s="140" t="str">
        <f>IFERROR(ROUND((tblPiNHistorical[[#This Row],[Shelter NFI New]]-tblPiNHistorical[[#This Row],[Shelter NFI Old]])/tblPiNHistorical[[#This Row],[Shelter NFI Old]], 1), "")</f>
        <v/>
      </c>
      <c r="BA271" s="31" t="str">
        <f>IFERROR(ROUND((tblPiNHistorical[[#This Row],[WASH New]]-tblPiNHistorical[[#This Row],[WASH Old]])/tblPiNHistorical[[#This Row],[WASH Old]], 1), "")</f>
        <v/>
      </c>
    </row>
    <row r="272" spans="1:53" ht="38.25" x14ac:dyDescent="0.25">
      <c r="A272"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RefugeesSD02170</v>
      </c>
      <c r="B272" s="134" t="s">
        <v>167</v>
      </c>
      <c r="C272" s="124" t="s">
        <v>119</v>
      </c>
      <c r="D272" s="124" t="s">
        <v>227</v>
      </c>
      <c r="E272" s="59" t="s">
        <v>226</v>
      </c>
      <c r="F272" s="54"/>
      <c r="G272" s="29"/>
      <c r="H272" s="53">
        <v>0</v>
      </c>
      <c r="I272" s="53" t="s">
        <v>90</v>
      </c>
      <c r="J272" s="34">
        <v>0</v>
      </c>
      <c r="K272" s="116">
        <v>0</v>
      </c>
      <c r="L272" s="114">
        <v>0</v>
      </c>
      <c r="M272" s="114">
        <v>0</v>
      </c>
      <c r="N272" s="114">
        <v>0</v>
      </c>
      <c r="O272" s="114">
        <v>0</v>
      </c>
      <c r="P272" s="114">
        <v>0</v>
      </c>
      <c r="Q272" s="114">
        <v>0</v>
      </c>
      <c r="R272" s="114">
        <v>0</v>
      </c>
      <c r="S272" s="114">
        <v>0</v>
      </c>
      <c r="T272" s="196">
        <v>0</v>
      </c>
      <c r="U272" s="52" t="str">
        <f>IFERROR(INDEX(tblPiNAnalysis[[Site Management ]], MATCH(tblPiNHistorical[[#This Row],[ID]], tblPiNAnalysis[ID], 0)), "")</f>
        <v/>
      </c>
      <c r="V272" s="52" t="str">
        <f>IFERROR(INDEX(tblPiNAnalysis[Education], MATCH(tblPiNHistorical[[#This Row],[ID]], tblPiNAnalysis[ID], 0)), "")</f>
        <v/>
      </c>
      <c r="W272" s="28" t="str">
        <f>IFERROR(INDEX(tblPiNAnalysis[Food Security and Livlihoods], MATCH(tblPiNHistorical[[#This Row],[ID]], tblPiNAnalysis[ID], 0)), "")</f>
        <v/>
      </c>
      <c r="X272" s="28" t="str">
        <f>IFERROR(INDEX(tblPiNAnalysis[[Health ]], MATCH(tblPiNHistorical[[#This Row],[ID]], tblPiNAnalysis[ID], 0)), "")</f>
        <v/>
      </c>
      <c r="Y272" s="28" t="str">
        <f>IFERROR(INDEX(tblPiNAnalysis[Nutrition], MATCH(tblPiNHistorical[[#This Row],[ID]], tblPiNAnalysis[ID], 0)), "")</f>
        <v/>
      </c>
      <c r="Z272" s="28" t="str">
        <f>IFERROR(INDEX(tblPiNAnalysis[Protection], MATCH(tblPiNHistorical[[#This Row],[ID]], tblPiNAnalysis[ID], 0)), "")</f>
        <v/>
      </c>
      <c r="AA272" s="28" t="str">
        <f>IFERROR(INDEX(tblPiNAnalysis[CP], MATCH(tblPiNHistorical[[#This Row],[ID]], tblPiNAnalysis[ID], 0)), "")</f>
        <v/>
      </c>
      <c r="AB272" s="83" t="str">
        <f>IFERROR(INDEX(tblPiNAnalysis[GBV], MATCH(tblPiNHistorical[[#This Row],[ID]], tblPiNAnalysis[ID], 0)), "")</f>
        <v/>
      </c>
      <c r="AC272" s="28" t="str">
        <f>IFERROR(INDEX(tblPiNAnalysis[Mine Action], MATCH(tblPiNHistorical[[#This Row],[ID]], tblPiNAnalysis[ID], 0)), "")</f>
        <v/>
      </c>
      <c r="AD272" s="83" t="str">
        <f>IFERROR(INDEX(tblPiNAnalysis[[Shelter NFI ]], MATCH(tblPiNHistorical[[#This Row],[ID]], tblPiNAnalysis[ID], 0)), "")</f>
        <v/>
      </c>
      <c r="AE272" s="28" t="str">
        <f>IFERROR(INDEX(tblPiNAnalysis[WASH], MATCH(tblPiNHistorical[[#This Row],[ID]], tblPiNAnalysis[ID], 0)), "")</f>
        <v/>
      </c>
      <c r="AF272"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272" s="136" t="str">
        <f>IF(OR(tblPiNHistorical[[#This Row],[Education Old]]="", tblPiNHistorical[[#This Row],[Education Old]]=0, tblPiNHistorical[[#This Row],[Education New]]="", tblPiNHistorical[[#This Row],[Education New]]=0), "", tblPiNHistorical[[#This Row],[Education New]]-tblPiNHistorical[[#This Row],[Education Old]])</f>
        <v/>
      </c>
      <c r="AH272"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272" s="137" t="str">
        <f>IF(OR(tblPiNHistorical[[#This Row],[Health Old]]="", tblPiNHistorical[[#This Row],[Health Old]]=0, tblPiNHistorical[[#This Row],[Health New]]="", tblPiNHistorical[[#This Row],[Health New]]=0), "", tblPiNHistorical[[#This Row],[Health New]]-tblPiNHistorical[[#This Row],[Health Old]])</f>
        <v/>
      </c>
      <c r="AJ272" s="136" t="str">
        <f>IF(OR(tblPiNHistorical[[#This Row],[Nutrition Old]]="", tblPiNHistorical[[#This Row],[Nutrition Old]]=0, tblPiNHistorical[[#This Row],[Nutrition New]]="", tblPiNHistorical[[#This Row],[Nutrition New]]=0), "", tblPiNHistorical[[#This Row],[Nutrition New]]-tblPiNHistorical[[#This Row],[Nutrition Old]])</f>
        <v/>
      </c>
      <c r="AK272" s="136" t="str">
        <f>IF(OR(tblPiNHistorical[[#This Row],[Protection Old]]="", tblPiNHistorical[[#This Row],[Protection Old]]=0, tblPiNHistorical[[#This Row],[Protection New]]="", tblPiNHistorical[[#This Row],[Protection New]]=0), "", tblPiNHistorical[[#This Row],[Protection New]]-tblPiNHistorical[[#This Row],[Protection Old]])</f>
        <v/>
      </c>
      <c r="AL272" s="136" t="str">
        <f>IF(OR(tblPiNHistorical[[#This Row],[CP Old ]]="", tblPiNHistorical[[#This Row],[CP Old ]]=0, tblPiNHistorical[[#This Row],[CP New]]="", tblPiNHistorical[[#This Row],[CP New]]=0), "", tblPiNHistorical[[#This Row],[CP New]]-tblPiNHistorical[[#This Row],[CP Old ]])</f>
        <v/>
      </c>
      <c r="AM272" s="83" t="str">
        <f>IF(OR(tblPiNHistorical[[#This Row],[GBV Old]]="", tblPiNHistorical[[#This Row],[GBV Old]]=0, tblPiNHistorical[[#This Row],[GBV New]]="", tblPiNHistorical[[#This Row],[GBV New]]=0), "", tblPiNHistorical[[#This Row],[GBV New]]-tblPiNHistorical[[#This Row],[GBV Old]])</f>
        <v/>
      </c>
      <c r="AN272" s="83" t="str">
        <f>IF(OR(tblPiNHistorical[[#This Row],[Mine Action Old]]="", tblPiNHistorical[[#This Row],[Mine Action Old]]=0, tblPiNHistorical[[#This Row],[Mine Action New]]="", tblPiNHistorical[[#This Row],[Mine Action New]]=0), "", tblPiNHistorical[[#This Row],[Mine Action New]]-tblPiNHistorical[[#This Row],[Mine Action Old]])</f>
        <v/>
      </c>
      <c r="AO272" s="136" t="str">
        <f>IF(OR(tblPiNHistorical[[#This Row],[Shelter NFI Old]]="", tblPiNHistorical[[#This Row],[Shelter NFI Old]]=0, tblPiNHistorical[[#This Row],[Shelter NFI New]]="", tblPiNHistorical[[#This Row],[Shelter NFI New]]=0), "", tblPiNHistorical[[#This Row],[Shelter NFI New]]-tblPiNHistorical[[#This Row],[Shelter NFI Old]])</f>
        <v/>
      </c>
      <c r="AP272" s="138" t="str">
        <f>IF(OR(tblPiNHistorical[[#This Row],[WASH Old]]="", tblPiNHistorical[[#This Row],[WASH Old]]=0, tblPiNHistorical[[#This Row],[WASH New]]="", tblPiNHistorical[[#This Row],[WASH New]]=0), "", tblPiNHistorical[[#This Row],[WASH New]]-tblPiNHistorical[[#This Row],[WASH Old]])</f>
        <v/>
      </c>
      <c r="AQ272" s="139" t="str">
        <f>IFERROR(ROUND((tblPiNHistorical[[#This Row],[Site Management - New]] - tblPiNHistorical[[#This Row],[Site Management - Old]])/tblPiNHistorical[[#This Row],[Site Management - Old]], 1), "")</f>
        <v/>
      </c>
      <c r="AR272" s="140" t="str">
        <f>IFERROR(ROUND((tblPiNHistorical[[#This Row],[Education New]]-tblPiNHistorical[[#This Row],[Education Old]])/tblPiNHistorical[[#This Row],[Education Old]], 1), "")</f>
        <v/>
      </c>
      <c r="AS272" s="141" t="str">
        <f>IFERROR(ROUND((tblPiNHistorical[[#This Row],[Food Security and Livlihoods New]]-tblPiNHistorical[[#This Row],[Food Security and Livlihoods Old]])/tblPiNHistorical[[#This Row],[Food Security and Livlihoods Old]], 1), "")</f>
        <v/>
      </c>
      <c r="AT272" s="142" t="str">
        <f>IFERROR(ROUND((tblPiNHistorical[[#This Row],[Health New]]-tblPiNHistorical[[#This Row],[Health Old]])/tblPiNHistorical[[#This Row],[Health Old]], 1), "")</f>
        <v/>
      </c>
      <c r="AU272" s="140" t="str">
        <f>IFERROR(ROUND((tblPiNHistorical[[#This Row],[Nutrition New]]-tblPiNHistorical[[#This Row],[Nutrition Old]])/tblPiNHistorical[[#This Row],[Nutrition Old]], 1), "")</f>
        <v/>
      </c>
      <c r="AV272" s="140" t="str">
        <f>IFERROR(ROUND((tblPiNHistorical[[#This Row],[Protection New]]-tblPiNHistorical[[#This Row],[Protection Old]])/tblPiNHistorical[[#This Row],[Protection Old]], 1), "")</f>
        <v/>
      </c>
      <c r="AW272" s="84" t="str">
        <f>IFERROR(ROUND((tblPiNHistorical[[#This Row],[CP New]]-tblPiNHistorical[[#This Row],[CP Old ]])/tblPiNHistorical[[#This Row],[CP Old ]], 1), "")</f>
        <v/>
      </c>
      <c r="AX272" s="84" t="str">
        <f>IFERROR(ROUND((tblPiNHistorical[[#This Row],[GBV New]]-tblPiNHistorical[[#This Row],[GBV Old]])/tblPiNHistorical[[#This Row],[GBV Old]], 1), "")</f>
        <v/>
      </c>
      <c r="AY272" s="84" t="str">
        <f>IFERROR(ROUND((tblPiNHistorical[[#This Row],[Mine Action New]]-tblPiNHistorical[[#This Row],[Mine Action Old]])/tblPiNHistorical[[#This Row],[Mine Action Old]], 1), "")</f>
        <v/>
      </c>
      <c r="AZ272" s="140" t="str">
        <f>IFERROR(ROUND((tblPiNHistorical[[#This Row],[Shelter NFI New]]-tblPiNHistorical[[#This Row],[Shelter NFI Old]])/tblPiNHistorical[[#This Row],[Shelter NFI Old]], 1), "")</f>
        <v/>
      </c>
      <c r="BA272" s="31" t="str">
        <f>IFERROR(ROUND((tblPiNHistorical[[#This Row],[WASH New]]-tblPiNHistorical[[#This Row],[WASH Old]])/tblPiNHistorical[[#This Row],[WASH Old]], 1), "")</f>
        <v/>
      </c>
    </row>
    <row r="273" spans="1:53" ht="38.25" x14ac:dyDescent="0.25">
      <c r="A273"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RefugeesSD02120</v>
      </c>
      <c r="B273" s="134" t="s">
        <v>167</v>
      </c>
      <c r="C273" s="124" t="s">
        <v>119</v>
      </c>
      <c r="D273" s="124" t="s">
        <v>209</v>
      </c>
      <c r="E273" s="59" t="s">
        <v>208</v>
      </c>
      <c r="F273" s="54"/>
      <c r="G273" s="29"/>
      <c r="H273" s="53">
        <v>0</v>
      </c>
      <c r="I273" s="53" t="s">
        <v>90</v>
      </c>
      <c r="J273" s="34">
        <v>0</v>
      </c>
      <c r="K273" s="116">
        <v>0</v>
      </c>
      <c r="L273" s="114">
        <v>0</v>
      </c>
      <c r="M273" s="114">
        <v>0</v>
      </c>
      <c r="N273" s="114">
        <v>0</v>
      </c>
      <c r="O273" s="114">
        <v>0</v>
      </c>
      <c r="P273" s="114">
        <v>0</v>
      </c>
      <c r="Q273" s="114">
        <v>0</v>
      </c>
      <c r="R273" s="114">
        <v>0</v>
      </c>
      <c r="S273" s="114">
        <v>0</v>
      </c>
      <c r="T273" s="196">
        <v>0</v>
      </c>
      <c r="U273" s="52" t="str">
        <f>IFERROR(INDEX(tblPiNAnalysis[[Site Management ]], MATCH(tblPiNHistorical[[#This Row],[ID]], tblPiNAnalysis[ID], 0)), "")</f>
        <v/>
      </c>
      <c r="V273" s="52" t="str">
        <f>IFERROR(INDEX(tblPiNAnalysis[Education], MATCH(tblPiNHistorical[[#This Row],[ID]], tblPiNAnalysis[ID], 0)), "")</f>
        <v/>
      </c>
      <c r="W273" s="28" t="str">
        <f>IFERROR(INDEX(tblPiNAnalysis[Food Security and Livlihoods], MATCH(tblPiNHistorical[[#This Row],[ID]], tblPiNAnalysis[ID], 0)), "")</f>
        <v/>
      </c>
      <c r="X273" s="28" t="str">
        <f>IFERROR(INDEX(tblPiNAnalysis[[Health ]], MATCH(tblPiNHistorical[[#This Row],[ID]], tblPiNAnalysis[ID], 0)), "")</f>
        <v/>
      </c>
      <c r="Y273" s="28" t="str">
        <f>IFERROR(INDEX(tblPiNAnalysis[Nutrition], MATCH(tblPiNHistorical[[#This Row],[ID]], tblPiNAnalysis[ID], 0)), "")</f>
        <v/>
      </c>
      <c r="Z273" s="28" t="str">
        <f>IFERROR(INDEX(tblPiNAnalysis[Protection], MATCH(tblPiNHistorical[[#This Row],[ID]], tblPiNAnalysis[ID], 0)), "")</f>
        <v/>
      </c>
      <c r="AA273" s="28" t="str">
        <f>IFERROR(INDEX(tblPiNAnalysis[CP], MATCH(tblPiNHistorical[[#This Row],[ID]], tblPiNAnalysis[ID], 0)), "")</f>
        <v/>
      </c>
      <c r="AB273" s="83" t="str">
        <f>IFERROR(INDEX(tblPiNAnalysis[GBV], MATCH(tblPiNHistorical[[#This Row],[ID]], tblPiNAnalysis[ID], 0)), "")</f>
        <v/>
      </c>
      <c r="AC273" s="28" t="str">
        <f>IFERROR(INDEX(tblPiNAnalysis[Mine Action], MATCH(tblPiNHistorical[[#This Row],[ID]], tblPiNAnalysis[ID], 0)), "")</f>
        <v/>
      </c>
      <c r="AD273" s="83" t="str">
        <f>IFERROR(INDEX(tblPiNAnalysis[[Shelter NFI ]], MATCH(tblPiNHistorical[[#This Row],[ID]], tblPiNAnalysis[ID], 0)), "")</f>
        <v/>
      </c>
      <c r="AE273" s="28" t="str">
        <f>IFERROR(INDEX(tblPiNAnalysis[WASH], MATCH(tblPiNHistorical[[#This Row],[ID]], tblPiNAnalysis[ID], 0)), "")</f>
        <v/>
      </c>
      <c r="AF273"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273" s="136" t="str">
        <f>IF(OR(tblPiNHistorical[[#This Row],[Education Old]]="", tblPiNHistorical[[#This Row],[Education Old]]=0, tblPiNHistorical[[#This Row],[Education New]]="", tblPiNHistorical[[#This Row],[Education New]]=0), "", tblPiNHistorical[[#This Row],[Education New]]-tblPiNHistorical[[#This Row],[Education Old]])</f>
        <v/>
      </c>
      <c r="AH273"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273" s="137" t="str">
        <f>IF(OR(tblPiNHistorical[[#This Row],[Health Old]]="", tblPiNHistorical[[#This Row],[Health Old]]=0, tblPiNHistorical[[#This Row],[Health New]]="", tblPiNHistorical[[#This Row],[Health New]]=0), "", tblPiNHistorical[[#This Row],[Health New]]-tblPiNHistorical[[#This Row],[Health Old]])</f>
        <v/>
      </c>
      <c r="AJ273" s="136" t="str">
        <f>IF(OR(tblPiNHistorical[[#This Row],[Nutrition Old]]="", tblPiNHistorical[[#This Row],[Nutrition Old]]=0, tblPiNHistorical[[#This Row],[Nutrition New]]="", tblPiNHistorical[[#This Row],[Nutrition New]]=0), "", tblPiNHistorical[[#This Row],[Nutrition New]]-tblPiNHistorical[[#This Row],[Nutrition Old]])</f>
        <v/>
      </c>
      <c r="AK273" s="136" t="str">
        <f>IF(OR(tblPiNHistorical[[#This Row],[Protection Old]]="", tblPiNHistorical[[#This Row],[Protection Old]]=0, tblPiNHistorical[[#This Row],[Protection New]]="", tblPiNHistorical[[#This Row],[Protection New]]=0), "", tblPiNHistorical[[#This Row],[Protection New]]-tblPiNHistorical[[#This Row],[Protection Old]])</f>
        <v/>
      </c>
      <c r="AL273" s="136" t="str">
        <f>IF(OR(tblPiNHistorical[[#This Row],[CP Old ]]="", tblPiNHistorical[[#This Row],[CP Old ]]=0, tblPiNHistorical[[#This Row],[CP New]]="", tblPiNHistorical[[#This Row],[CP New]]=0), "", tblPiNHistorical[[#This Row],[CP New]]-tblPiNHistorical[[#This Row],[CP Old ]])</f>
        <v/>
      </c>
      <c r="AM273" s="83" t="str">
        <f>IF(OR(tblPiNHistorical[[#This Row],[GBV Old]]="", tblPiNHistorical[[#This Row],[GBV Old]]=0, tblPiNHistorical[[#This Row],[GBV New]]="", tblPiNHistorical[[#This Row],[GBV New]]=0), "", tblPiNHistorical[[#This Row],[GBV New]]-tblPiNHistorical[[#This Row],[GBV Old]])</f>
        <v/>
      </c>
      <c r="AN273" s="83" t="str">
        <f>IF(OR(tblPiNHistorical[[#This Row],[Mine Action Old]]="", tblPiNHistorical[[#This Row],[Mine Action Old]]=0, tblPiNHistorical[[#This Row],[Mine Action New]]="", tblPiNHistorical[[#This Row],[Mine Action New]]=0), "", tblPiNHistorical[[#This Row],[Mine Action New]]-tblPiNHistorical[[#This Row],[Mine Action Old]])</f>
        <v/>
      </c>
      <c r="AO273" s="136" t="str">
        <f>IF(OR(tblPiNHistorical[[#This Row],[Shelter NFI Old]]="", tblPiNHistorical[[#This Row],[Shelter NFI Old]]=0, tblPiNHistorical[[#This Row],[Shelter NFI New]]="", tblPiNHistorical[[#This Row],[Shelter NFI New]]=0), "", tblPiNHistorical[[#This Row],[Shelter NFI New]]-tblPiNHistorical[[#This Row],[Shelter NFI Old]])</f>
        <v/>
      </c>
      <c r="AP273" s="138" t="str">
        <f>IF(OR(tblPiNHistorical[[#This Row],[WASH Old]]="", tblPiNHistorical[[#This Row],[WASH Old]]=0, tblPiNHistorical[[#This Row],[WASH New]]="", tblPiNHistorical[[#This Row],[WASH New]]=0), "", tblPiNHistorical[[#This Row],[WASH New]]-tblPiNHistorical[[#This Row],[WASH Old]])</f>
        <v/>
      </c>
      <c r="AQ273" s="139" t="str">
        <f>IFERROR(ROUND((tblPiNHistorical[[#This Row],[Site Management - New]] - tblPiNHistorical[[#This Row],[Site Management - Old]])/tblPiNHistorical[[#This Row],[Site Management - Old]], 1), "")</f>
        <v/>
      </c>
      <c r="AR273" s="140" t="str">
        <f>IFERROR(ROUND((tblPiNHistorical[[#This Row],[Education New]]-tblPiNHistorical[[#This Row],[Education Old]])/tblPiNHistorical[[#This Row],[Education Old]], 1), "")</f>
        <v/>
      </c>
      <c r="AS273" s="141" t="str">
        <f>IFERROR(ROUND((tblPiNHistorical[[#This Row],[Food Security and Livlihoods New]]-tblPiNHistorical[[#This Row],[Food Security and Livlihoods Old]])/tblPiNHistorical[[#This Row],[Food Security and Livlihoods Old]], 1), "")</f>
        <v/>
      </c>
      <c r="AT273" s="142" t="str">
        <f>IFERROR(ROUND((tblPiNHistorical[[#This Row],[Health New]]-tblPiNHistorical[[#This Row],[Health Old]])/tblPiNHistorical[[#This Row],[Health Old]], 1), "")</f>
        <v/>
      </c>
      <c r="AU273" s="140" t="str">
        <f>IFERROR(ROUND((tblPiNHistorical[[#This Row],[Nutrition New]]-tblPiNHistorical[[#This Row],[Nutrition Old]])/tblPiNHistorical[[#This Row],[Nutrition Old]], 1), "")</f>
        <v/>
      </c>
      <c r="AV273" s="140" t="str">
        <f>IFERROR(ROUND((tblPiNHistorical[[#This Row],[Protection New]]-tblPiNHistorical[[#This Row],[Protection Old]])/tblPiNHistorical[[#This Row],[Protection Old]], 1), "")</f>
        <v/>
      </c>
      <c r="AW273" s="84" t="str">
        <f>IFERROR(ROUND((tblPiNHistorical[[#This Row],[CP New]]-tblPiNHistorical[[#This Row],[CP Old ]])/tblPiNHistorical[[#This Row],[CP Old ]], 1), "")</f>
        <v/>
      </c>
      <c r="AX273" s="84" t="str">
        <f>IFERROR(ROUND((tblPiNHistorical[[#This Row],[GBV New]]-tblPiNHistorical[[#This Row],[GBV Old]])/tblPiNHistorical[[#This Row],[GBV Old]], 1), "")</f>
        <v/>
      </c>
      <c r="AY273" s="84" t="str">
        <f>IFERROR(ROUND((tblPiNHistorical[[#This Row],[Mine Action New]]-tblPiNHistorical[[#This Row],[Mine Action Old]])/tblPiNHistorical[[#This Row],[Mine Action Old]], 1), "")</f>
        <v/>
      </c>
      <c r="AZ273" s="140" t="str">
        <f>IFERROR(ROUND((tblPiNHistorical[[#This Row],[Shelter NFI New]]-tblPiNHistorical[[#This Row],[Shelter NFI Old]])/tblPiNHistorical[[#This Row],[Shelter NFI Old]], 1), "")</f>
        <v/>
      </c>
      <c r="BA273" s="31" t="str">
        <f>IFERROR(ROUND((tblPiNHistorical[[#This Row],[WASH New]]-tblPiNHistorical[[#This Row],[WASH Old]])/tblPiNHistorical[[#This Row],[WASH Old]], 1), "")</f>
        <v/>
      </c>
    </row>
    <row r="274" spans="1:53" ht="38.25" x14ac:dyDescent="0.25">
      <c r="A274"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RefugeesSD02136</v>
      </c>
      <c r="B274" s="134" t="s">
        <v>167</v>
      </c>
      <c r="C274" s="124" t="s">
        <v>119</v>
      </c>
      <c r="D274" s="124" t="s">
        <v>221</v>
      </c>
      <c r="E274" s="59" t="s">
        <v>220</v>
      </c>
      <c r="F274" s="54"/>
      <c r="G274" s="29"/>
      <c r="H274" s="53">
        <v>0</v>
      </c>
      <c r="I274" s="53" t="s">
        <v>90</v>
      </c>
      <c r="J274" s="34">
        <v>0</v>
      </c>
      <c r="K274" s="116">
        <v>0</v>
      </c>
      <c r="L274" s="114">
        <v>0</v>
      </c>
      <c r="M274" s="114">
        <v>0</v>
      </c>
      <c r="N274" s="114">
        <v>0</v>
      </c>
      <c r="O274" s="114">
        <v>0</v>
      </c>
      <c r="P274" s="114">
        <v>0</v>
      </c>
      <c r="Q274" s="114">
        <v>0</v>
      </c>
      <c r="R274" s="114">
        <v>0</v>
      </c>
      <c r="S274" s="114">
        <v>0</v>
      </c>
      <c r="T274" s="196">
        <v>0</v>
      </c>
      <c r="U274" s="52" t="str">
        <f>IFERROR(INDEX(tblPiNAnalysis[[Site Management ]], MATCH(tblPiNHistorical[[#This Row],[ID]], tblPiNAnalysis[ID], 0)), "")</f>
        <v/>
      </c>
      <c r="V274" s="52" t="str">
        <f>IFERROR(INDEX(tblPiNAnalysis[Education], MATCH(tblPiNHistorical[[#This Row],[ID]], tblPiNAnalysis[ID], 0)), "")</f>
        <v/>
      </c>
      <c r="W274" s="28" t="str">
        <f>IFERROR(INDEX(tblPiNAnalysis[Food Security and Livlihoods], MATCH(tblPiNHistorical[[#This Row],[ID]], tblPiNAnalysis[ID], 0)), "")</f>
        <v/>
      </c>
      <c r="X274" s="28" t="str">
        <f>IFERROR(INDEX(tblPiNAnalysis[[Health ]], MATCH(tblPiNHistorical[[#This Row],[ID]], tblPiNAnalysis[ID], 0)), "")</f>
        <v/>
      </c>
      <c r="Y274" s="28" t="str">
        <f>IFERROR(INDEX(tblPiNAnalysis[Nutrition], MATCH(tblPiNHistorical[[#This Row],[ID]], tblPiNAnalysis[ID], 0)), "")</f>
        <v/>
      </c>
      <c r="Z274" s="28" t="str">
        <f>IFERROR(INDEX(tblPiNAnalysis[Protection], MATCH(tblPiNHistorical[[#This Row],[ID]], tblPiNAnalysis[ID], 0)), "")</f>
        <v/>
      </c>
      <c r="AA274" s="28" t="str">
        <f>IFERROR(INDEX(tblPiNAnalysis[CP], MATCH(tblPiNHistorical[[#This Row],[ID]], tblPiNAnalysis[ID], 0)), "")</f>
        <v/>
      </c>
      <c r="AB274" s="83" t="str">
        <f>IFERROR(INDEX(tblPiNAnalysis[GBV], MATCH(tblPiNHistorical[[#This Row],[ID]], tblPiNAnalysis[ID], 0)), "")</f>
        <v/>
      </c>
      <c r="AC274" s="28" t="str">
        <f>IFERROR(INDEX(tblPiNAnalysis[Mine Action], MATCH(tblPiNHistorical[[#This Row],[ID]], tblPiNAnalysis[ID], 0)), "")</f>
        <v/>
      </c>
      <c r="AD274" s="83" t="str">
        <f>IFERROR(INDEX(tblPiNAnalysis[[Shelter NFI ]], MATCH(tblPiNHistorical[[#This Row],[ID]], tblPiNAnalysis[ID], 0)), "")</f>
        <v/>
      </c>
      <c r="AE274" s="28" t="str">
        <f>IFERROR(INDEX(tblPiNAnalysis[WASH], MATCH(tblPiNHistorical[[#This Row],[ID]], tblPiNAnalysis[ID], 0)), "")</f>
        <v/>
      </c>
      <c r="AF274"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274" s="136" t="str">
        <f>IF(OR(tblPiNHistorical[[#This Row],[Education Old]]="", tblPiNHistorical[[#This Row],[Education Old]]=0, tblPiNHistorical[[#This Row],[Education New]]="", tblPiNHistorical[[#This Row],[Education New]]=0), "", tblPiNHistorical[[#This Row],[Education New]]-tblPiNHistorical[[#This Row],[Education Old]])</f>
        <v/>
      </c>
      <c r="AH274"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274" s="137" t="str">
        <f>IF(OR(tblPiNHistorical[[#This Row],[Health Old]]="", tblPiNHistorical[[#This Row],[Health Old]]=0, tblPiNHistorical[[#This Row],[Health New]]="", tblPiNHistorical[[#This Row],[Health New]]=0), "", tblPiNHistorical[[#This Row],[Health New]]-tblPiNHistorical[[#This Row],[Health Old]])</f>
        <v/>
      </c>
      <c r="AJ274" s="136" t="str">
        <f>IF(OR(tblPiNHistorical[[#This Row],[Nutrition Old]]="", tblPiNHistorical[[#This Row],[Nutrition Old]]=0, tblPiNHistorical[[#This Row],[Nutrition New]]="", tblPiNHistorical[[#This Row],[Nutrition New]]=0), "", tblPiNHistorical[[#This Row],[Nutrition New]]-tblPiNHistorical[[#This Row],[Nutrition Old]])</f>
        <v/>
      </c>
      <c r="AK274" s="136" t="str">
        <f>IF(OR(tblPiNHistorical[[#This Row],[Protection Old]]="", tblPiNHistorical[[#This Row],[Protection Old]]=0, tblPiNHistorical[[#This Row],[Protection New]]="", tblPiNHistorical[[#This Row],[Protection New]]=0), "", tblPiNHistorical[[#This Row],[Protection New]]-tblPiNHistorical[[#This Row],[Protection Old]])</f>
        <v/>
      </c>
      <c r="AL274" s="136" t="str">
        <f>IF(OR(tblPiNHistorical[[#This Row],[CP Old ]]="", tblPiNHistorical[[#This Row],[CP Old ]]=0, tblPiNHistorical[[#This Row],[CP New]]="", tblPiNHistorical[[#This Row],[CP New]]=0), "", tblPiNHistorical[[#This Row],[CP New]]-tblPiNHistorical[[#This Row],[CP Old ]])</f>
        <v/>
      </c>
      <c r="AM274" s="83" t="str">
        <f>IF(OR(tblPiNHistorical[[#This Row],[GBV Old]]="", tblPiNHistorical[[#This Row],[GBV Old]]=0, tblPiNHistorical[[#This Row],[GBV New]]="", tblPiNHistorical[[#This Row],[GBV New]]=0), "", tblPiNHistorical[[#This Row],[GBV New]]-tblPiNHistorical[[#This Row],[GBV Old]])</f>
        <v/>
      </c>
      <c r="AN274" s="83" t="str">
        <f>IF(OR(tblPiNHistorical[[#This Row],[Mine Action Old]]="", tblPiNHistorical[[#This Row],[Mine Action Old]]=0, tblPiNHistorical[[#This Row],[Mine Action New]]="", tblPiNHistorical[[#This Row],[Mine Action New]]=0), "", tblPiNHistorical[[#This Row],[Mine Action New]]-tblPiNHistorical[[#This Row],[Mine Action Old]])</f>
        <v/>
      </c>
      <c r="AO274" s="136" t="str">
        <f>IF(OR(tblPiNHistorical[[#This Row],[Shelter NFI Old]]="", tblPiNHistorical[[#This Row],[Shelter NFI Old]]=0, tblPiNHistorical[[#This Row],[Shelter NFI New]]="", tblPiNHistorical[[#This Row],[Shelter NFI New]]=0), "", tblPiNHistorical[[#This Row],[Shelter NFI New]]-tblPiNHistorical[[#This Row],[Shelter NFI Old]])</f>
        <v/>
      </c>
      <c r="AP274" s="138" t="str">
        <f>IF(OR(tblPiNHistorical[[#This Row],[WASH Old]]="", tblPiNHistorical[[#This Row],[WASH Old]]=0, tblPiNHistorical[[#This Row],[WASH New]]="", tblPiNHistorical[[#This Row],[WASH New]]=0), "", tblPiNHistorical[[#This Row],[WASH New]]-tblPiNHistorical[[#This Row],[WASH Old]])</f>
        <v/>
      </c>
      <c r="AQ274" s="139" t="str">
        <f>IFERROR(ROUND((tblPiNHistorical[[#This Row],[Site Management - New]] - tblPiNHistorical[[#This Row],[Site Management - Old]])/tblPiNHistorical[[#This Row],[Site Management - Old]], 1), "")</f>
        <v/>
      </c>
      <c r="AR274" s="140" t="str">
        <f>IFERROR(ROUND((tblPiNHistorical[[#This Row],[Education New]]-tblPiNHistorical[[#This Row],[Education Old]])/tblPiNHistorical[[#This Row],[Education Old]], 1), "")</f>
        <v/>
      </c>
      <c r="AS274" s="141" t="str">
        <f>IFERROR(ROUND((tblPiNHistorical[[#This Row],[Food Security and Livlihoods New]]-tblPiNHistorical[[#This Row],[Food Security and Livlihoods Old]])/tblPiNHistorical[[#This Row],[Food Security and Livlihoods Old]], 1), "")</f>
        <v/>
      </c>
      <c r="AT274" s="142" t="str">
        <f>IFERROR(ROUND((tblPiNHistorical[[#This Row],[Health New]]-tblPiNHistorical[[#This Row],[Health Old]])/tblPiNHistorical[[#This Row],[Health Old]], 1), "")</f>
        <v/>
      </c>
      <c r="AU274" s="140" t="str">
        <f>IFERROR(ROUND((tblPiNHistorical[[#This Row],[Nutrition New]]-tblPiNHistorical[[#This Row],[Nutrition Old]])/tblPiNHistorical[[#This Row],[Nutrition Old]], 1), "")</f>
        <v/>
      </c>
      <c r="AV274" s="140" t="str">
        <f>IFERROR(ROUND((tblPiNHistorical[[#This Row],[Protection New]]-tblPiNHistorical[[#This Row],[Protection Old]])/tblPiNHistorical[[#This Row],[Protection Old]], 1), "")</f>
        <v/>
      </c>
      <c r="AW274" s="84" t="str">
        <f>IFERROR(ROUND((tblPiNHistorical[[#This Row],[CP New]]-tblPiNHistorical[[#This Row],[CP Old ]])/tblPiNHistorical[[#This Row],[CP Old ]], 1), "")</f>
        <v/>
      </c>
      <c r="AX274" s="84" t="str">
        <f>IFERROR(ROUND((tblPiNHistorical[[#This Row],[GBV New]]-tblPiNHistorical[[#This Row],[GBV Old]])/tblPiNHistorical[[#This Row],[GBV Old]], 1), "")</f>
        <v/>
      </c>
      <c r="AY274" s="84" t="str">
        <f>IFERROR(ROUND((tblPiNHistorical[[#This Row],[Mine Action New]]-tblPiNHistorical[[#This Row],[Mine Action Old]])/tblPiNHistorical[[#This Row],[Mine Action Old]], 1), "")</f>
        <v/>
      </c>
      <c r="AZ274" s="140" t="str">
        <f>IFERROR(ROUND((tblPiNHistorical[[#This Row],[Shelter NFI New]]-tblPiNHistorical[[#This Row],[Shelter NFI Old]])/tblPiNHistorical[[#This Row],[Shelter NFI Old]], 1), "")</f>
        <v/>
      </c>
      <c r="BA274" s="31" t="str">
        <f>IFERROR(ROUND((tblPiNHistorical[[#This Row],[WASH New]]-tblPiNHistorical[[#This Row],[WASH Old]])/tblPiNHistorical[[#This Row],[WASH Old]], 1), "")</f>
        <v/>
      </c>
    </row>
    <row r="275" spans="1:53" ht="38.25" x14ac:dyDescent="0.25">
      <c r="A275"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RefugeesSDTEMP</v>
      </c>
      <c r="B275" s="134" t="s">
        <v>167</v>
      </c>
      <c r="C275" s="124" t="s">
        <v>119</v>
      </c>
      <c r="D275" s="124" t="s">
        <v>231</v>
      </c>
      <c r="E275" s="59" t="s">
        <v>230</v>
      </c>
      <c r="F275" s="54"/>
      <c r="G275" s="29"/>
      <c r="H275" s="53">
        <v>0</v>
      </c>
      <c r="I275" s="53" t="s">
        <v>90</v>
      </c>
      <c r="J275" s="34">
        <v>0</v>
      </c>
      <c r="K275" s="116">
        <v>0</v>
      </c>
      <c r="L275" s="114">
        <v>0</v>
      </c>
      <c r="M275" s="114">
        <v>0</v>
      </c>
      <c r="N275" s="114">
        <v>0</v>
      </c>
      <c r="O275" s="114">
        <v>0</v>
      </c>
      <c r="P275" s="114">
        <v>0</v>
      </c>
      <c r="Q275" s="114">
        <v>0</v>
      </c>
      <c r="R275" s="114">
        <v>0</v>
      </c>
      <c r="S275" s="114">
        <v>0</v>
      </c>
      <c r="T275" s="196">
        <v>0</v>
      </c>
      <c r="U275" s="52" t="str">
        <f>IFERROR(INDEX(tblPiNAnalysis[[Site Management ]], MATCH(tblPiNHistorical[[#This Row],[ID]], tblPiNAnalysis[ID], 0)), "")</f>
        <v/>
      </c>
      <c r="V275" s="52" t="str">
        <f>IFERROR(INDEX(tblPiNAnalysis[Education], MATCH(tblPiNHistorical[[#This Row],[ID]], tblPiNAnalysis[ID], 0)), "")</f>
        <v/>
      </c>
      <c r="W275" s="28" t="str">
        <f>IFERROR(INDEX(tblPiNAnalysis[Food Security and Livlihoods], MATCH(tblPiNHistorical[[#This Row],[ID]], tblPiNAnalysis[ID], 0)), "")</f>
        <v/>
      </c>
      <c r="X275" s="28" t="str">
        <f>IFERROR(INDEX(tblPiNAnalysis[[Health ]], MATCH(tblPiNHistorical[[#This Row],[ID]], tblPiNAnalysis[ID], 0)), "")</f>
        <v/>
      </c>
      <c r="Y275" s="28" t="str">
        <f>IFERROR(INDEX(tblPiNAnalysis[Nutrition], MATCH(tblPiNHistorical[[#This Row],[ID]], tblPiNAnalysis[ID], 0)), "")</f>
        <v/>
      </c>
      <c r="Z275" s="28" t="str">
        <f>IFERROR(INDEX(tblPiNAnalysis[Protection], MATCH(tblPiNHistorical[[#This Row],[ID]], tblPiNAnalysis[ID], 0)), "")</f>
        <v/>
      </c>
      <c r="AA275" s="28" t="str">
        <f>IFERROR(INDEX(tblPiNAnalysis[CP], MATCH(tblPiNHistorical[[#This Row],[ID]], tblPiNAnalysis[ID], 0)), "")</f>
        <v/>
      </c>
      <c r="AB275" s="83" t="str">
        <f>IFERROR(INDEX(tblPiNAnalysis[GBV], MATCH(tblPiNHistorical[[#This Row],[ID]], tblPiNAnalysis[ID], 0)), "")</f>
        <v/>
      </c>
      <c r="AC275" s="28" t="str">
        <f>IFERROR(INDEX(tblPiNAnalysis[Mine Action], MATCH(tblPiNHistorical[[#This Row],[ID]], tblPiNAnalysis[ID], 0)), "")</f>
        <v/>
      </c>
      <c r="AD275" s="83" t="str">
        <f>IFERROR(INDEX(tblPiNAnalysis[[Shelter NFI ]], MATCH(tblPiNHistorical[[#This Row],[ID]], tblPiNAnalysis[ID], 0)), "")</f>
        <v/>
      </c>
      <c r="AE275" s="28" t="str">
        <f>IFERROR(INDEX(tblPiNAnalysis[WASH], MATCH(tblPiNHistorical[[#This Row],[ID]], tblPiNAnalysis[ID], 0)), "")</f>
        <v/>
      </c>
      <c r="AF275"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275" s="136" t="str">
        <f>IF(OR(tblPiNHistorical[[#This Row],[Education Old]]="", tblPiNHistorical[[#This Row],[Education Old]]=0, tblPiNHistorical[[#This Row],[Education New]]="", tblPiNHistorical[[#This Row],[Education New]]=0), "", tblPiNHistorical[[#This Row],[Education New]]-tblPiNHistorical[[#This Row],[Education Old]])</f>
        <v/>
      </c>
      <c r="AH275"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275" s="137" t="str">
        <f>IF(OR(tblPiNHistorical[[#This Row],[Health Old]]="", tblPiNHistorical[[#This Row],[Health Old]]=0, tblPiNHistorical[[#This Row],[Health New]]="", tblPiNHistorical[[#This Row],[Health New]]=0), "", tblPiNHistorical[[#This Row],[Health New]]-tblPiNHistorical[[#This Row],[Health Old]])</f>
        <v/>
      </c>
      <c r="AJ275" s="136" t="str">
        <f>IF(OR(tblPiNHistorical[[#This Row],[Nutrition Old]]="", tblPiNHistorical[[#This Row],[Nutrition Old]]=0, tblPiNHistorical[[#This Row],[Nutrition New]]="", tblPiNHistorical[[#This Row],[Nutrition New]]=0), "", tblPiNHistorical[[#This Row],[Nutrition New]]-tblPiNHistorical[[#This Row],[Nutrition Old]])</f>
        <v/>
      </c>
      <c r="AK275" s="136" t="str">
        <f>IF(OR(tblPiNHistorical[[#This Row],[Protection Old]]="", tblPiNHistorical[[#This Row],[Protection Old]]=0, tblPiNHistorical[[#This Row],[Protection New]]="", tblPiNHistorical[[#This Row],[Protection New]]=0), "", tblPiNHistorical[[#This Row],[Protection New]]-tblPiNHistorical[[#This Row],[Protection Old]])</f>
        <v/>
      </c>
      <c r="AL275" s="136" t="str">
        <f>IF(OR(tblPiNHistorical[[#This Row],[CP Old ]]="", tblPiNHistorical[[#This Row],[CP Old ]]=0, tblPiNHistorical[[#This Row],[CP New]]="", tblPiNHistorical[[#This Row],[CP New]]=0), "", tblPiNHistorical[[#This Row],[CP New]]-tblPiNHistorical[[#This Row],[CP Old ]])</f>
        <v/>
      </c>
      <c r="AM275" s="83" t="str">
        <f>IF(OR(tblPiNHistorical[[#This Row],[GBV Old]]="", tblPiNHistorical[[#This Row],[GBV Old]]=0, tblPiNHistorical[[#This Row],[GBV New]]="", tblPiNHistorical[[#This Row],[GBV New]]=0), "", tblPiNHistorical[[#This Row],[GBV New]]-tblPiNHistorical[[#This Row],[GBV Old]])</f>
        <v/>
      </c>
      <c r="AN275" s="83" t="str">
        <f>IF(OR(tblPiNHistorical[[#This Row],[Mine Action Old]]="", tblPiNHistorical[[#This Row],[Mine Action Old]]=0, tblPiNHistorical[[#This Row],[Mine Action New]]="", tblPiNHistorical[[#This Row],[Mine Action New]]=0), "", tblPiNHistorical[[#This Row],[Mine Action New]]-tblPiNHistorical[[#This Row],[Mine Action Old]])</f>
        <v/>
      </c>
      <c r="AO275" s="136" t="str">
        <f>IF(OR(tblPiNHistorical[[#This Row],[Shelter NFI Old]]="", tblPiNHistorical[[#This Row],[Shelter NFI Old]]=0, tblPiNHistorical[[#This Row],[Shelter NFI New]]="", tblPiNHistorical[[#This Row],[Shelter NFI New]]=0), "", tblPiNHistorical[[#This Row],[Shelter NFI New]]-tblPiNHistorical[[#This Row],[Shelter NFI Old]])</f>
        <v/>
      </c>
      <c r="AP275" s="138" t="str">
        <f>IF(OR(tblPiNHistorical[[#This Row],[WASH Old]]="", tblPiNHistorical[[#This Row],[WASH Old]]=0, tblPiNHistorical[[#This Row],[WASH New]]="", tblPiNHistorical[[#This Row],[WASH New]]=0), "", tblPiNHistorical[[#This Row],[WASH New]]-tblPiNHistorical[[#This Row],[WASH Old]])</f>
        <v/>
      </c>
      <c r="AQ275" s="139" t="str">
        <f>IFERROR(ROUND((tblPiNHistorical[[#This Row],[Site Management - New]] - tblPiNHistorical[[#This Row],[Site Management - Old]])/tblPiNHistorical[[#This Row],[Site Management - Old]], 1), "")</f>
        <v/>
      </c>
      <c r="AR275" s="140" t="str">
        <f>IFERROR(ROUND((tblPiNHistorical[[#This Row],[Education New]]-tblPiNHistorical[[#This Row],[Education Old]])/tblPiNHistorical[[#This Row],[Education Old]], 1), "")</f>
        <v/>
      </c>
      <c r="AS275" s="141" t="str">
        <f>IFERROR(ROUND((tblPiNHistorical[[#This Row],[Food Security and Livlihoods New]]-tblPiNHistorical[[#This Row],[Food Security and Livlihoods Old]])/tblPiNHistorical[[#This Row],[Food Security and Livlihoods Old]], 1), "")</f>
        <v/>
      </c>
      <c r="AT275" s="142" t="str">
        <f>IFERROR(ROUND((tblPiNHistorical[[#This Row],[Health New]]-tblPiNHistorical[[#This Row],[Health Old]])/tblPiNHistorical[[#This Row],[Health Old]], 1), "")</f>
        <v/>
      </c>
      <c r="AU275" s="140" t="str">
        <f>IFERROR(ROUND((tblPiNHistorical[[#This Row],[Nutrition New]]-tblPiNHistorical[[#This Row],[Nutrition Old]])/tblPiNHistorical[[#This Row],[Nutrition Old]], 1), "")</f>
        <v/>
      </c>
      <c r="AV275" s="140" t="str">
        <f>IFERROR(ROUND((tblPiNHistorical[[#This Row],[Protection New]]-tblPiNHistorical[[#This Row],[Protection Old]])/tblPiNHistorical[[#This Row],[Protection Old]], 1), "")</f>
        <v/>
      </c>
      <c r="AW275" s="84" t="str">
        <f>IFERROR(ROUND((tblPiNHistorical[[#This Row],[CP New]]-tblPiNHistorical[[#This Row],[CP Old ]])/tblPiNHistorical[[#This Row],[CP Old ]], 1), "")</f>
        <v/>
      </c>
      <c r="AX275" s="84" t="str">
        <f>IFERROR(ROUND((tblPiNHistorical[[#This Row],[GBV New]]-tblPiNHistorical[[#This Row],[GBV Old]])/tblPiNHistorical[[#This Row],[GBV Old]], 1), "")</f>
        <v/>
      </c>
      <c r="AY275" s="84" t="str">
        <f>IFERROR(ROUND((tblPiNHistorical[[#This Row],[Mine Action New]]-tblPiNHistorical[[#This Row],[Mine Action Old]])/tblPiNHistorical[[#This Row],[Mine Action Old]], 1), "")</f>
        <v/>
      </c>
      <c r="AZ275" s="140" t="str">
        <f>IFERROR(ROUND((tblPiNHistorical[[#This Row],[Shelter NFI New]]-tblPiNHistorical[[#This Row],[Shelter NFI Old]])/tblPiNHistorical[[#This Row],[Shelter NFI Old]], 1), "")</f>
        <v/>
      </c>
      <c r="BA275" s="31" t="str">
        <f>IFERROR(ROUND((tblPiNHistorical[[#This Row],[WASH New]]-tblPiNHistorical[[#This Row],[WASH Old]])/tblPiNHistorical[[#This Row],[WASH Old]], 1), "")</f>
        <v/>
      </c>
    </row>
    <row r="276" spans="1:53" ht="38.25" x14ac:dyDescent="0.25">
      <c r="A276"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RefugeesSD13030</v>
      </c>
      <c r="B276" s="134" t="s">
        <v>170</v>
      </c>
      <c r="C276" s="124" t="s">
        <v>130</v>
      </c>
      <c r="D276" s="124" t="s">
        <v>466</v>
      </c>
      <c r="E276" s="59" t="s">
        <v>482</v>
      </c>
      <c r="F276" s="54"/>
      <c r="G276" s="29"/>
      <c r="H276" s="53">
        <v>1199</v>
      </c>
      <c r="I276" s="53" t="s">
        <v>90</v>
      </c>
      <c r="J276" s="34">
        <v>0</v>
      </c>
      <c r="K276" s="116">
        <v>403</v>
      </c>
      <c r="L276" s="114">
        <v>1199</v>
      </c>
      <c r="M276" s="114">
        <v>588</v>
      </c>
      <c r="N276" s="114">
        <v>109</v>
      </c>
      <c r="O276" s="114">
        <v>1199</v>
      </c>
      <c r="P276" s="114">
        <v>267.37700000000001</v>
      </c>
      <c r="Q276" s="114">
        <v>476.00300000000004</v>
      </c>
      <c r="R276" s="114">
        <v>239.8</v>
      </c>
      <c r="S276" s="114">
        <v>480</v>
      </c>
      <c r="T276" s="196">
        <v>978</v>
      </c>
      <c r="U276" s="52" t="str">
        <f>IFERROR(INDEX(tblPiNAnalysis[[Site Management ]], MATCH(tblPiNHistorical[[#This Row],[ID]], tblPiNAnalysis[ID], 0)), "")</f>
        <v/>
      </c>
      <c r="V276" s="52" t="str">
        <f>IFERROR(INDEX(tblPiNAnalysis[Education], MATCH(tblPiNHistorical[[#This Row],[ID]], tblPiNAnalysis[ID], 0)), "")</f>
        <v/>
      </c>
      <c r="W276" s="28" t="str">
        <f>IFERROR(INDEX(tblPiNAnalysis[Food Security and Livlihoods], MATCH(tblPiNHistorical[[#This Row],[ID]], tblPiNAnalysis[ID], 0)), "")</f>
        <v/>
      </c>
      <c r="X276" s="28" t="str">
        <f>IFERROR(INDEX(tblPiNAnalysis[[Health ]], MATCH(tblPiNHistorical[[#This Row],[ID]], tblPiNAnalysis[ID], 0)), "")</f>
        <v/>
      </c>
      <c r="Y276" s="28" t="str">
        <f>IFERROR(INDEX(tblPiNAnalysis[Nutrition], MATCH(tblPiNHistorical[[#This Row],[ID]], tblPiNAnalysis[ID], 0)), "")</f>
        <v/>
      </c>
      <c r="Z276" s="28" t="str">
        <f>IFERROR(INDEX(tblPiNAnalysis[Protection], MATCH(tblPiNHistorical[[#This Row],[ID]], tblPiNAnalysis[ID], 0)), "")</f>
        <v/>
      </c>
      <c r="AA276" s="28" t="str">
        <f>IFERROR(INDEX(tblPiNAnalysis[CP], MATCH(tblPiNHistorical[[#This Row],[ID]], tblPiNAnalysis[ID], 0)), "")</f>
        <v/>
      </c>
      <c r="AB276" s="83" t="str">
        <f>IFERROR(INDEX(tblPiNAnalysis[GBV], MATCH(tblPiNHistorical[[#This Row],[ID]], tblPiNAnalysis[ID], 0)), "")</f>
        <v/>
      </c>
      <c r="AC276" s="28" t="str">
        <f>IFERROR(INDEX(tblPiNAnalysis[Mine Action], MATCH(tblPiNHistorical[[#This Row],[ID]], tblPiNAnalysis[ID], 0)), "")</f>
        <v/>
      </c>
      <c r="AD276" s="83" t="str">
        <f>IFERROR(INDEX(tblPiNAnalysis[[Shelter NFI ]], MATCH(tblPiNHistorical[[#This Row],[ID]], tblPiNAnalysis[ID], 0)), "")</f>
        <v/>
      </c>
      <c r="AE276" s="28" t="str">
        <f>IFERROR(INDEX(tblPiNAnalysis[WASH], MATCH(tblPiNHistorical[[#This Row],[ID]], tblPiNAnalysis[ID], 0)), "")</f>
        <v/>
      </c>
      <c r="AF276"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276" s="136" t="str">
        <f>IF(OR(tblPiNHistorical[[#This Row],[Education Old]]="", tblPiNHistorical[[#This Row],[Education Old]]=0, tblPiNHistorical[[#This Row],[Education New]]="", tblPiNHistorical[[#This Row],[Education New]]=0), "", tblPiNHistorical[[#This Row],[Education New]]-tblPiNHistorical[[#This Row],[Education Old]])</f>
        <v/>
      </c>
      <c r="AH276"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276" s="137" t="str">
        <f>IF(OR(tblPiNHistorical[[#This Row],[Health Old]]="", tblPiNHistorical[[#This Row],[Health Old]]=0, tblPiNHistorical[[#This Row],[Health New]]="", tblPiNHistorical[[#This Row],[Health New]]=0), "", tblPiNHistorical[[#This Row],[Health New]]-tblPiNHistorical[[#This Row],[Health Old]])</f>
        <v/>
      </c>
      <c r="AJ276" s="136" t="str">
        <f>IF(OR(tblPiNHistorical[[#This Row],[Nutrition Old]]="", tblPiNHistorical[[#This Row],[Nutrition Old]]=0, tblPiNHistorical[[#This Row],[Nutrition New]]="", tblPiNHistorical[[#This Row],[Nutrition New]]=0), "", tblPiNHistorical[[#This Row],[Nutrition New]]-tblPiNHistorical[[#This Row],[Nutrition Old]])</f>
        <v/>
      </c>
      <c r="AK276" s="136" t="str">
        <f>IF(OR(tblPiNHistorical[[#This Row],[Protection Old]]="", tblPiNHistorical[[#This Row],[Protection Old]]=0, tblPiNHistorical[[#This Row],[Protection New]]="", tblPiNHistorical[[#This Row],[Protection New]]=0), "", tblPiNHistorical[[#This Row],[Protection New]]-tblPiNHistorical[[#This Row],[Protection Old]])</f>
        <v/>
      </c>
      <c r="AL276" s="136" t="str">
        <f>IF(OR(tblPiNHistorical[[#This Row],[CP Old ]]="", tblPiNHistorical[[#This Row],[CP Old ]]=0, tblPiNHistorical[[#This Row],[CP New]]="", tblPiNHistorical[[#This Row],[CP New]]=0), "", tblPiNHistorical[[#This Row],[CP New]]-tblPiNHistorical[[#This Row],[CP Old ]])</f>
        <v/>
      </c>
      <c r="AM276" s="83" t="str">
        <f>IF(OR(tblPiNHistorical[[#This Row],[GBV Old]]="", tblPiNHistorical[[#This Row],[GBV Old]]=0, tblPiNHistorical[[#This Row],[GBV New]]="", tblPiNHistorical[[#This Row],[GBV New]]=0), "", tblPiNHistorical[[#This Row],[GBV New]]-tblPiNHistorical[[#This Row],[GBV Old]])</f>
        <v/>
      </c>
      <c r="AN276" s="83" t="str">
        <f>IF(OR(tblPiNHistorical[[#This Row],[Mine Action Old]]="", tblPiNHistorical[[#This Row],[Mine Action Old]]=0, tblPiNHistorical[[#This Row],[Mine Action New]]="", tblPiNHistorical[[#This Row],[Mine Action New]]=0), "", tblPiNHistorical[[#This Row],[Mine Action New]]-tblPiNHistorical[[#This Row],[Mine Action Old]])</f>
        <v/>
      </c>
      <c r="AO276" s="136" t="str">
        <f>IF(OR(tblPiNHistorical[[#This Row],[Shelter NFI Old]]="", tblPiNHistorical[[#This Row],[Shelter NFI Old]]=0, tblPiNHistorical[[#This Row],[Shelter NFI New]]="", tblPiNHistorical[[#This Row],[Shelter NFI New]]=0), "", tblPiNHistorical[[#This Row],[Shelter NFI New]]-tblPiNHistorical[[#This Row],[Shelter NFI Old]])</f>
        <v/>
      </c>
      <c r="AP276" s="138" t="str">
        <f>IF(OR(tblPiNHistorical[[#This Row],[WASH Old]]="", tblPiNHistorical[[#This Row],[WASH Old]]=0, tblPiNHistorical[[#This Row],[WASH New]]="", tblPiNHistorical[[#This Row],[WASH New]]=0), "", tblPiNHistorical[[#This Row],[WASH New]]-tblPiNHistorical[[#This Row],[WASH Old]])</f>
        <v/>
      </c>
      <c r="AQ276" s="139" t="str">
        <f>IFERROR(ROUND((tblPiNHistorical[[#This Row],[Site Management - New]] - tblPiNHistorical[[#This Row],[Site Management - Old]])/tblPiNHistorical[[#This Row],[Site Management - Old]], 1), "")</f>
        <v/>
      </c>
      <c r="AR276" s="140" t="str">
        <f>IFERROR(ROUND((tblPiNHistorical[[#This Row],[Education New]]-tblPiNHistorical[[#This Row],[Education Old]])/tblPiNHistorical[[#This Row],[Education Old]], 1), "")</f>
        <v/>
      </c>
      <c r="AS276" s="141" t="str">
        <f>IFERROR(ROUND((tblPiNHistorical[[#This Row],[Food Security and Livlihoods New]]-tblPiNHistorical[[#This Row],[Food Security and Livlihoods Old]])/tblPiNHistorical[[#This Row],[Food Security and Livlihoods Old]], 1), "")</f>
        <v/>
      </c>
      <c r="AT276" s="142" t="str">
        <f>IFERROR(ROUND((tblPiNHistorical[[#This Row],[Health New]]-tblPiNHistorical[[#This Row],[Health Old]])/tblPiNHistorical[[#This Row],[Health Old]], 1), "")</f>
        <v/>
      </c>
      <c r="AU276" s="140" t="str">
        <f>IFERROR(ROUND((tblPiNHistorical[[#This Row],[Nutrition New]]-tblPiNHistorical[[#This Row],[Nutrition Old]])/tblPiNHistorical[[#This Row],[Nutrition Old]], 1), "")</f>
        <v/>
      </c>
      <c r="AV276" s="140" t="str">
        <f>IFERROR(ROUND((tblPiNHistorical[[#This Row],[Protection New]]-tblPiNHistorical[[#This Row],[Protection Old]])/tblPiNHistorical[[#This Row],[Protection Old]], 1), "")</f>
        <v/>
      </c>
      <c r="AW276" s="84" t="str">
        <f>IFERROR(ROUND((tblPiNHistorical[[#This Row],[CP New]]-tblPiNHistorical[[#This Row],[CP Old ]])/tblPiNHistorical[[#This Row],[CP Old ]], 1), "")</f>
        <v/>
      </c>
      <c r="AX276" s="84" t="str">
        <f>IFERROR(ROUND((tblPiNHistorical[[#This Row],[GBV New]]-tblPiNHistorical[[#This Row],[GBV Old]])/tblPiNHistorical[[#This Row],[GBV Old]], 1), "")</f>
        <v/>
      </c>
      <c r="AY276" s="84" t="str">
        <f>IFERROR(ROUND((tblPiNHistorical[[#This Row],[Mine Action New]]-tblPiNHistorical[[#This Row],[Mine Action Old]])/tblPiNHistorical[[#This Row],[Mine Action Old]], 1), "")</f>
        <v/>
      </c>
      <c r="AZ276" s="140" t="str">
        <f>IFERROR(ROUND((tblPiNHistorical[[#This Row],[Shelter NFI New]]-tblPiNHistorical[[#This Row],[Shelter NFI Old]])/tblPiNHistorical[[#This Row],[Shelter NFI Old]], 1), "")</f>
        <v/>
      </c>
      <c r="BA276" s="31" t="str">
        <f>IFERROR(ROUND((tblPiNHistorical[[#This Row],[WASH New]]-tblPiNHistorical[[#This Row],[WASH Old]])/tblPiNHistorical[[#This Row],[WASH Old]], 1), "")</f>
        <v/>
      </c>
    </row>
    <row r="277" spans="1:53" ht="38.25" x14ac:dyDescent="0.25">
      <c r="A277"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RefugeesSD13026</v>
      </c>
      <c r="B277" s="134" t="s">
        <v>170</v>
      </c>
      <c r="C277" s="124" t="s">
        <v>130</v>
      </c>
      <c r="D277" s="124" t="s">
        <v>474</v>
      </c>
      <c r="E277" s="59" t="s">
        <v>475</v>
      </c>
      <c r="F277" s="54"/>
      <c r="G277" s="29"/>
      <c r="H277" s="53">
        <v>0</v>
      </c>
      <c r="I277" s="53" t="s">
        <v>90</v>
      </c>
      <c r="J277" s="34">
        <v>0</v>
      </c>
      <c r="K277" s="116">
        <v>0</v>
      </c>
      <c r="L277" s="114">
        <v>0</v>
      </c>
      <c r="M277" s="114">
        <v>0</v>
      </c>
      <c r="N277" s="114">
        <v>0</v>
      </c>
      <c r="O277" s="114">
        <v>0</v>
      </c>
      <c r="P277" s="114">
        <v>0</v>
      </c>
      <c r="Q277" s="114">
        <v>0</v>
      </c>
      <c r="R277" s="114">
        <v>0</v>
      </c>
      <c r="S277" s="114">
        <v>0</v>
      </c>
      <c r="T277" s="196">
        <v>0</v>
      </c>
      <c r="U277" s="52" t="str">
        <f>IFERROR(INDEX(tblPiNAnalysis[[Site Management ]], MATCH(tblPiNHistorical[[#This Row],[ID]], tblPiNAnalysis[ID], 0)), "")</f>
        <v/>
      </c>
      <c r="V277" s="52" t="str">
        <f>IFERROR(INDEX(tblPiNAnalysis[Education], MATCH(tblPiNHistorical[[#This Row],[ID]], tblPiNAnalysis[ID], 0)), "")</f>
        <v/>
      </c>
      <c r="W277" s="28" t="str">
        <f>IFERROR(INDEX(tblPiNAnalysis[Food Security and Livlihoods], MATCH(tblPiNHistorical[[#This Row],[ID]], tblPiNAnalysis[ID], 0)), "")</f>
        <v/>
      </c>
      <c r="X277" s="28" t="str">
        <f>IFERROR(INDEX(tblPiNAnalysis[[Health ]], MATCH(tblPiNHistorical[[#This Row],[ID]], tblPiNAnalysis[ID], 0)), "")</f>
        <v/>
      </c>
      <c r="Y277" s="28" t="str">
        <f>IFERROR(INDEX(tblPiNAnalysis[Nutrition], MATCH(tblPiNHistorical[[#This Row],[ID]], tblPiNAnalysis[ID], 0)), "")</f>
        <v/>
      </c>
      <c r="Z277" s="28" t="str">
        <f>IFERROR(INDEX(tblPiNAnalysis[Protection], MATCH(tblPiNHistorical[[#This Row],[ID]], tblPiNAnalysis[ID], 0)), "")</f>
        <v/>
      </c>
      <c r="AA277" s="28" t="str">
        <f>IFERROR(INDEX(tblPiNAnalysis[CP], MATCH(tblPiNHistorical[[#This Row],[ID]], tblPiNAnalysis[ID], 0)), "")</f>
        <v/>
      </c>
      <c r="AB277" s="83" t="str">
        <f>IFERROR(INDEX(tblPiNAnalysis[GBV], MATCH(tblPiNHistorical[[#This Row],[ID]], tblPiNAnalysis[ID], 0)), "")</f>
        <v/>
      </c>
      <c r="AC277" s="28" t="str">
        <f>IFERROR(INDEX(tblPiNAnalysis[Mine Action], MATCH(tblPiNHistorical[[#This Row],[ID]], tblPiNAnalysis[ID], 0)), "")</f>
        <v/>
      </c>
      <c r="AD277" s="83" t="str">
        <f>IFERROR(INDEX(tblPiNAnalysis[[Shelter NFI ]], MATCH(tblPiNHistorical[[#This Row],[ID]], tblPiNAnalysis[ID], 0)), "")</f>
        <v/>
      </c>
      <c r="AE277" s="28" t="str">
        <f>IFERROR(INDEX(tblPiNAnalysis[WASH], MATCH(tblPiNHistorical[[#This Row],[ID]], tblPiNAnalysis[ID], 0)), "")</f>
        <v/>
      </c>
      <c r="AF277"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277" s="136" t="str">
        <f>IF(OR(tblPiNHistorical[[#This Row],[Education Old]]="", tblPiNHistorical[[#This Row],[Education Old]]=0, tblPiNHistorical[[#This Row],[Education New]]="", tblPiNHistorical[[#This Row],[Education New]]=0), "", tblPiNHistorical[[#This Row],[Education New]]-tblPiNHistorical[[#This Row],[Education Old]])</f>
        <v/>
      </c>
      <c r="AH277"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277" s="137" t="str">
        <f>IF(OR(tblPiNHistorical[[#This Row],[Health Old]]="", tblPiNHistorical[[#This Row],[Health Old]]=0, tblPiNHistorical[[#This Row],[Health New]]="", tblPiNHistorical[[#This Row],[Health New]]=0), "", tblPiNHistorical[[#This Row],[Health New]]-tblPiNHistorical[[#This Row],[Health Old]])</f>
        <v/>
      </c>
      <c r="AJ277" s="136" t="str">
        <f>IF(OR(tblPiNHistorical[[#This Row],[Nutrition Old]]="", tblPiNHistorical[[#This Row],[Nutrition Old]]=0, tblPiNHistorical[[#This Row],[Nutrition New]]="", tblPiNHistorical[[#This Row],[Nutrition New]]=0), "", tblPiNHistorical[[#This Row],[Nutrition New]]-tblPiNHistorical[[#This Row],[Nutrition Old]])</f>
        <v/>
      </c>
      <c r="AK277" s="136" t="str">
        <f>IF(OR(tblPiNHistorical[[#This Row],[Protection Old]]="", tblPiNHistorical[[#This Row],[Protection Old]]=0, tblPiNHistorical[[#This Row],[Protection New]]="", tblPiNHistorical[[#This Row],[Protection New]]=0), "", tblPiNHistorical[[#This Row],[Protection New]]-tblPiNHistorical[[#This Row],[Protection Old]])</f>
        <v/>
      </c>
      <c r="AL277" s="136" t="str">
        <f>IF(OR(tblPiNHistorical[[#This Row],[CP Old ]]="", tblPiNHistorical[[#This Row],[CP Old ]]=0, tblPiNHistorical[[#This Row],[CP New]]="", tblPiNHistorical[[#This Row],[CP New]]=0), "", tblPiNHistorical[[#This Row],[CP New]]-tblPiNHistorical[[#This Row],[CP Old ]])</f>
        <v/>
      </c>
      <c r="AM277" s="83" t="str">
        <f>IF(OR(tblPiNHistorical[[#This Row],[GBV Old]]="", tblPiNHistorical[[#This Row],[GBV Old]]=0, tblPiNHistorical[[#This Row],[GBV New]]="", tblPiNHistorical[[#This Row],[GBV New]]=0), "", tblPiNHistorical[[#This Row],[GBV New]]-tblPiNHistorical[[#This Row],[GBV Old]])</f>
        <v/>
      </c>
      <c r="AN277" s="83" t="str">
        <f>IF(OR(tblPiNHistorical[[#This Row],[Mine Action Old]]="", tblPiNHistorical[[#This Row],[Mine Action Old]]=0, tblPiNHistorical[[#This Row],[Mine Action New]]="", tblPiNHistorical[[#This Row],[Mine Action New]]=0), "", tblPiNHistorical[[#This Row],[Mine Action New]]-tblPiNHistorical[[#This Row],[Mine Action Old]])</f>
        <v/>
      </c>
      <c r="AO277" s="136" t="str">
        <f>IF(OR(tblPiNHistorical[[#This Row],[Shelter NFI Old]]="", tblPiNHistorical[[#This Row],[Shelter NFI Old]]=0, tblPiNHistorical[[#This Row],[Shelter NFI New]]="", tblPiNHistorical[[#This Row],[Shelter NFI New]]=0), "", tblPiNHistorical[[#This Row],[Shelter NFI New]]-tblPiNHistorical[[#This Row],[Shelter NFI Old]])</f>
        <v/>
      </c>
      <c r="AP277" s="138" t="str">
        <f>IF(OR(tblPiNHistorical[[#This Row],[WASH Old]]="", tblPiNHistorical[[#This Row],[WASH Old]]=0, tblPiNHistorical[[#This Row],[WASH New]]="", tblPiNHistorical[[#This Row],[WASH New]]=0), "", tblPiNHistorical[[#This Row],[WASH New]]-tblPiNHistorical[[#This Row],[WASH Old]])</f>
        <v/>
      </c>
      <c r="AQ277" s="139" t="str">
        <f>IFERROR(ROUND((tblPiNHistorical[[#This Row],[Site Management - New]] - tblPiNHistorical[[#This Row],[Site Management - Old]])/tblPiNHistorical[[#This Row],[Site Management - Old]], 1), "")</f>
        <v/>
      </c>
      <c r="AR277" s="140" t="str">
        <f>IFERROR(ROUND((tblPiNHistorical[[#This Row],[Education New]]-tblPiNHistorical[[#This Row],[Education Old]])/tblPiNHistorical[[#This Row],[Education Old]], 1), "")</f>
        <v/>
      </c>
      <c r="AS277" s="141" t="str">
        <f>IFERROR(ROUND((tblPiNHistorical[[#This Row],[Food Security and Livlihoods New]]-tblPiNHistorical[[#This Row],[Food Security and Livlihoods Old]])/tblPiNHistorical[[#This Row],[Food Security and Livlihoods Old]], 1), "")</f>
        <v/>
      </c>
      <c r="AT277" s="142" t="str">
        <f>IFERROR(ROUND((tblPiNHistorical[[#This Row],[Health New]]-tblPiNHistorical[[#This Row],[Health Old]])/tblPiNHistorical[[#This Row],[Health Old]], 1), "")</f>
        <v/>
      </c>
      <c r="AU277" s="140" t="str">
        <f>IFERROR(ROUND((tblPiNHistorical[[#This Row],[Nutrition New]]-tblPiNHistorical[[#This Row],[Nutrition Old]])/tblPiNHistorical[[#This Row],[Nutrition Old]], 1), "")</f>
        <v/>
      </c>
      <c r="AV277" s="140" t="str">
        <f>IFERROR(ROUND((tblPiNHistorical[[#This Row],[Protection New]]-tblPiNHistorical[[#This Row],[Protection Old]])/tblPiNHistorical[[#This Row],[Protection Old]], 1), "")</f>
        <v/>
      </c>
      <c r="AW277" s="84" t="str">
        <f>IFERROR(ROUND((tblPiNHistorical[[#This Row],[CP New]]-tblPiNHistorical[[#This Row],[CP Old ]])/tblPiNHistorical[[#This Row],[CP Old ]], 1), "")</f>
        <v/>
      </c>
      <c r="AX277" s="84" t="str">
        <f>IFERROR(ROUND((tblPiNHistorical[[#This Row],[GBV New]]-tblPiNHistorical[[#This Row],[GBV Old]])/tblPiNHistorical[[#This Row],[GBV Old]], 1), "")</f>
        <v/>
      </c>
      <c r="AY277" s="84" t="str">
        <f>IFERROR(ROUND((tblPiNHistorical[[#This Row],[Mine Action New]]-tblPiNHistorical[[#This Row],[Mine Action Old]])/tblPiNHistorical[[#This Row],[Mine Action Old]], 1), "")</f>
        <v/>
      </c>
      <c r="AZ277" s="140" t="str">
        <f>IFERROR(ROUND((tblPiNHistorical[[#This Row],[Shelter NFI New]]-tblPiNHistorical[[#This Row],[Shelter NFI Old]])/tblPiNHistorical[[#This Row],[Shelter NFI Old]], 1), "")</f>
        <v/>
      </c>
      <c r="BA277" s="31" t="str">
        <f>IFERROR(ROUND((tblPiNHistorical[[#This Row],[WASH New]]-tblPiNHistorical[[#This Row],[WASH Old]])/tblPiNHistorical[[#This Row],[WASH Old]], 1), "")</f>
        <v/>
      </c>
    </row>
    <row r="278" spans="1:53" ht="38.25" x14ac:dyDescent="0.25">
      <c r="A278"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RefugeesSD13027</v>
      </c>
      <c r="B278" s="134" t="s">
        <v>170</v>
      </c>
      <c r="C278" s="124" t="s">
        <v>130</v>
      </c>
      <c r="D278" s="124" t="s">
        <v>476</v>
      </c>
      <c r="E278" s="59" t="s">
        <v>477</v>
      </c>
      <c r="F278" s="54"/>
      <c r="G278" s="29"/>
      <c r="H278" s="53">
        <v>0</v>
      </c>
      <c r="I278" s="53" t="s">
        <v>90</v>
      </c>
      <c r="J278" s="34">
        <v>0</v>
      </c>
      <c r="K278" s="116">
        <v>0</v>
      </c>
      <c r="L278" s="114">
        <v>0</v>
      </c>
      <c r="M278" s="114">
        <v>0</v>
      </c>
      <c r="N278" s="114">
        <v>0</v>
      </c>
      <c r="O278" s="114">
        <v>0</v>
      </c>
      <c r="P278" s="114">
        <v>0</v>
      </c>
      <c r="Q278" s="114">
        <v>0</v>
      </c>
      <c r="R278" s="114">
        <v>0</v>
      </c>
      <c r="S278" s="114">
        <v>0</v>
      </c>
      <c r="T278" s="196">
        <v>0</v>
      </c>
      <c r="U278" s="52" t="str">
        <f>IFERROR(INDEX(tblPiNAnalysis[[Site Management ]], MATCH(tblPiNHistorical[[#This Row],[ID]], tblPiNAnalysis[ID], 0)), "")</f>
        <v/>
      </c>
      <c r="V278" s="52" t="str">
        <f>IFERROR(INDEX(tblPiNAnalysis[Education], MATCH(tblPiNHistorical[[#This Row],[ID]], tblPiNAnalysis[ID], 0)), "")</f>
        <v/>
      </c>
      <c r="W278" s="28" t="str">
        <f>IFERROR(INDEX(tblPiNAnalysis[Food Security and Livlihoods], MATCH(tblPiNHistorical[[#This Row],[ID]], tblPiNAnalysis[ID], 0)), "")</f>
        <v/>
      </c>
      <c r="X278" s="28" t="str">
        <f>IFERROR(INDEX(tblPiNAnalysis[[Health ]], MATCH(tblPiNHistorical[[#This Row],[ID]], tblPiNAnalysis[ID], 0)), "")</f>
        <v/>
      </c>
      <c r="Y278" s="28" t="str">
        <f>IFERROR(INDEX(tblPiNAnalysis[Nutrition], MATCH(tblPiNHistorical[[#This Row],[ID]], tblPiNAnalysis[ID], 0)), "")</f>
        <v/>
      </c>
      <c r="Z278" s="28" t="str">
        <f>IFERROR(INDEX(tblPiNAnalysis[Protection], MATCH(tblPiNHistorical[[#This Row],[ID]], tblPiNAnalysis[ID], 0)), "")</f>
        <v/>
      </c>
      <c r="AA278" s="28" t="str">
        <f>IFERROR(INDEX(tblPiNAnalysis[CP], MATCH(tblPiNHistorical[[#This Row],[ID]], tblPiNAnalysis[ID], 0)), "")</f>
        <v/>
      </c>
      <c r="AB278" s="83" t="str">
        <f>IFERROR(INDEX(tblPiNAnalysis[GBV], MATCH(tblPiNHistorical[[#This Row],[ID]], tblPiNAnalysis[ID], 0)), "")</f>
        <v/>
      </c>
      <c r="AC278" s="28" t="str">
        <f>IFERROR(INDEX(tblPiNAnalysis[Mine Action], MATCH(tblPiNHistorical[[#This Row],[ID]], tblPiNAnalysis[ID], 0)), "")</f>
        <v/>
      </c>
      <c r="AD278" s="83" t="str">
        <f>IFERROR(INDEX(tblPiNAnalysis[[Shelter NFI ]], MATCH(tblPiNHistorical[[#This Row],[ID]], tblPiNAnalysis[ID], 0)), "")</f>
        <v/>
      </c>
      <c r="AE278" s="28" t="str">
        <f>IFERROR(INDEX(tblPiNAnalysis[WASH], MATCH(tblPiNHistorical[[#This Row],[ID]], tblPiNAnalysis[ID], 0)), "")</f>
        <v/>
      </c>
      <c r="AF278"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278" s="136" t="str">
        <f>IF(OR(tblPiNHistorical[[#This Row],[Education Old]]="", tblPiNHistorical[[#This Row],[Education Old]]=0, tblPiNHistorical[[#This Row],[Education New]]="", tblPiNHistorical[[#This Row],[Education New]]=0), "", tblPiNHistorical[[#This Row],[Education New]]-tblPiNHistorical[[#This Row],[Education Old]])</f>
        <v/>
      </c>
      <c r="AH278"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278" s="137" t="str">
        <f>IF(OR(tblPiNHistorical[[#This Row],[Health Old]]="", tblPiNHistorical[[#This Row],[Health Old]]=0, tblPiNHistorical[[#This Row],[Health New]]="", tblPiNHistorical[[#This Row],[Health New]]=0), "", tblPiNHistorical[[#This Row],[Health New]]-tblPiNHistorical[[#This Row],[Health Old]])</f>
        <v/>
      </c>
      <c r="AJ278" s="136" t="str">
        <f>IF(OR(tblPiNHistorical[[#This Row],[Nutrition Old]]="", tblPiNHistorical[[#This Row],[Nutrition Old]]=0, tblPiNHistorical[[#This Row],[Nutrition New]]="", tblPiNHistorical[[#This Row],[Nutrition New]]=0), "", tblPiNHistorical[[#This Row],[Nutrition New]]-tblPiNHistorical[[#This Row],[Nutrition Old]])</f>
        <v/>
      </c>
      <c r="AK278" s="136" t="str">
        <f>IF(OR(tblPiNHistorical[[#This Row],[Protection Old]]="", tblPiNHistorical[[#This Row],[Protection Old]]=0, tblPiNHistorical[[#This Row],[Protection New]]="", tblPiNHistorical[[#This Row],[Protection New]]=0), "", tblPiNHistorical[[#This Row],[Protection New]]-tblPiNHistorical[[#This Row],[Protection Old]])</f>
        <v/>
      </c>
      <c r="AL278" s="136" t="str">
        <f>IF(OR(tblPiNHistorical[[#This Row],[CP Old ]]="", tblPiNHistorical[[#This Row],[CP Old ]]=0, tblPiNHistorical[[#This Row],[CP New]]="", tblPiNHistorical[[#This Row],[CP New]]=0), "", tblPiNHistorical[[#This Row],[CP New]]-tblPiNHistorical[[#This Row],[CP Old ]])</f>
        <v/>
      </c>
      <c r="AM278" s="83" t="str">
        <f>IF(OR(tblPiNHistorical[[#This Row],[GBV Old]]="", tblPiNHistorical[[#This Row],[GBV Old]]=0, tblPiNHistorical[[#This Row],[GBV New]]="", tblPiNHistorical[[#This Row],[GBV New]]=0), "", tblPiNHistorical[[#This Row],[GBV New]]-tblPiNHistorical[[#This Row],[GBV Old]])</f>
        <v/>
      </c>
      <c r="AN278" s="83" t="str">
        <f>IF(OR(tblPiNHistorical[[#This Row],[Mine Action Old]]="", tblPiNHistorical[[#This Row],[Mine Action Old]]=0, tblPiNHistorical[[#This Row],[Mine Action New]]="", tblPiNHistorical[[#This Row],[Mine Action New]]=0), "", tblPiNHistorical[[#This Row],[Mine Action New]]-tblPiNHistorical[[#This Row],[Mine Action Old]])</f>
        <v/>
      </c>
      <c r="AO278" s="136" t="str">
        <f>IF(OR(tblPiNHistorical[[#This Row],[Shelter NFI Old]]="", tblPiNHistorical[[#This Row],[Shelter NFI Old]]=0, tblPiNHistorical[[#This Row],[Shelter NFI New]]="", tblPiNHistorical[[#This Row],[Shelter NFI New]]=0), "", tblPiNHistorical[[#This Row],[Shelter NFI New]]-tblPiNHistorical[[#This Row],[Shelter NFI Old]])</f>
        <v/>
      </c>
      <c r="AP278" s="138" t="str">
        <f>IF(OR(tblPiNHistorical[[#This Row],[WASH Old]]="", tblPiNHistorical[[#This Row],[WASH Old]]=0, tblPiNHistorical[[#This Row],[WASH New]]="", tblPiNHistorical[[#This Row],[WASH New]]=0), "", tblPiNHistorical[[#This Row],[WASH New]]-tblPiNHistorical[[#This Row],[WASH Old]])</f>
        <v/>
      </c>
      <c r="AQ278" s="139" t="str">
        <f>IFERROR(ROUND((tblPiNHistorical[[#This Row],[Site Management - New]] - tblPiNHistorical[[#This Row],[Site Management - Old]])/tblPiNHistorical[[#This Row],[Site Management - Old]], 1), "")</f>
        <v/>
      </c>
      <c r="AR278" s="140" t="str">
        <f>IFERROR(ROUND((tblPiNHistorical[[#This Row],[Education New]]-tblPiNHistorical[[#This Row],[Education Old]])/tblPiNHistorical[[#This Row],[Education Old]], 1), "")</f>
        <v/>
      </c>
      <c r="AS278" s="141" t="str">
        <f>IFERROR(ROUND((tblPiNHistorical[[#This Row],[Food Security and Livlihoods New]]-tblPiNHistorical[[#This Row],[Food Security and Livlihoods Old]])/tblPiNHistorical[[#This Row],[Food Security and Livlihoods Old]], 1), "")</f>
        <v/>
      </c>
      <c r="AT278" s="142" t="str">
        <f>IFERROR(ROUND((tblPiNHistorical[[#This Row],[Health New]]-tblPiNHistorical[[#This Row],[Health Old]])/tblPiNHistorical[[#This Row],[Health Old]], 1), "")</f>
        <v/>
      </c>
      <c r="AU278" s="140" t="str">
        <f>IFERROR(ROUND((tblPiNHistorical[[#This Row],[Nutrition New]]-tblPiNHistorical[[#This Row],[Nutrition Old]])/tblPiNHistorical[[#This Row],[Nutrition Old]], 1), "")</f>
        <v/>
      </c>
      <c r="AV278" s="140" t="str">
        <f>IFERROR(ROUND((tblPiNHistorical[[#This Row],[Protection New]]-tblPiNHistorical[[#This Row],[Protection Old]])/tblPiNHistorical[[#This Row],[Protection Old]], 1), "")</f>
        <v/>
      </c>
      <c r="AW278" s="84" t="str">
        <f>IFERROR(ROUND((tblPiNHistorical[[#This Row],[CP New]]-tblPiNHistorical[[#This Row],[CP Old ]])/tblPiNHistorical[[#This Row],[CP Old ]], 1), "")</f>
        <v/>
      </c>
      <c r="AX278" s="84" t="str">
        <f>IFERROR(ROUND((tblPiNHistorical[[#This Row],[GBV New]]-tblPiNHistorical[[#This Row],[GBV Old]])/tblPiNHistorical[[#This Row],[GBV Old]], 1), "")</f>
        <v/>
      </c>
      <c r="AY278" s="84" t="str">
        <f>IFERROR(ROUND((tblPiNHistorical[[#This Row],[Mine Action New]]-tblPiNHistorical[[#This Row],[Mine Action Old]])/tblPiNHistorical[[#This Row],[Mine Action Old]], 1), "")</f>
        <v/>
      </c>
      <c r="AZ278" s="140" t="str">
        <f>IFERROR(ROUND((tblPiNHistorical[[#This Row],[Shelter NFI New]]-tblPiNHistorical[[#This Row],[Shelter NFI Old]])/tblPiNHistorical[[#This Row],[Shelter NFI Old]], 1), "")</f>
        <v/>
      </c>
      <c r="BA278" s="31" t="str">
        <f>IFERROR(ROUND((tblPiNHistorical[[#This Row],[WASH New]]-tblPiNHistorical[[#This Row],[WASH Old]])/tblPiNHistorical[[#This Row],[WASH Old]], 1), "")</f>
        <v/>
      </c>
    </row>
    <row r="279" spans="1:53" ht="38.25" x14ac:dyDescent="0.25">
      <c r="A279"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RefugeesSD13029</v>
      </c>
      <c r="B279" s="134" t="s">
        <v>170</v>
      </c>
      <c r="C279" s="124" t="s">
        <v>130</v>
      </c>
      <c r="D279" s="124" t="s">
        <v>480</v>
      </c>
      <c r="E279" s="59" t="s">
        <v>481</v>
      </c>
      <c r="F279" s="54"/>
      <c r="G279" s="29"/>
      <c r="H279" s="53">
        <v>0</v>
      </c>
      <c r="I279" s="53" t="s">
        <v>90</v>
      </c>
      <c r="J279" s="34">
        <v>0</v>
      </c>
      <c r="K279" s="116">
        <v>0</v>
      </c>
      <c r="L279" s="114">
        <v>0</v>
      </c>
      <c r="M279" s="114">
        <v>0</v>
      </c>
      <c r="N279" s="114">
        <v>0</v>
      </c>
      <c r="O279" s="114">
        <v>0</v>
      </c>
      <c r="P279" s="114">
        <v>0</v>
      </c>
      <c r="Q279" s="114">
        <v>0</v>
      </c>
      <c r="R279" s="114">
        <v>0</v>
      </c>
      <c r="S279" s="114">
        <v>0</v>
      </c>
      <c r="T279" s="196">
        <v>0</v>
      </c>
      <c r="U279" s="52" t="str">
        <f>IFERROR(INDEX(tblPiNAnalysis[[Site Management ]], MATCH(tblPiNHistorical[[#This Row],[ID]], tblPiNAnalysis[ID], 0)), "")</f>
        <v/>
      </c>
      <c r="V279" s="52" t="str">
        <f>IFERROR(INDEX(tblPiNAnalysis[Education], MATCH(tblPiNHistorical[[#This Row],[ID]], tblPiNAnalysis[ID], 0)), "")</f>
        <v/>
      </c>
      <c r="W279" s="28" t="str">
        <f>IFERROR(INDEX(tblPiNAnalysis[Food Security and Livlihoods], MATCH(tblPiNHistorical[[#This Row],[ID]], tblPiNAnalysis[ID], 0)), "")</f>
        <v/>
      </c>
      <c r="X279" s="28" t="str">
        <f>IFERROR(INDEX(tblPiNAnalysis[[Health ]], MATCH(tblPiNHistorical[[#This Row],[ID]], tblPiNAnalysis[ID], 0)), "")</f>
        <v/>
      </c>
      <c r="Y279" s="28" t="str">
        <f>IFERROR(INDEX(tblPiNAnalysis[Nutrition], MATCH(tblPiNHistorical[[#This Row],[ID]], tblPiNAnalysis[ID], 0)), "")</f>
        <v/>
      </c>
      <c r="Z279" s="28" t="str">
        <f>IFERROR(INDEX(tblPiNAnalysis[Protection], MATCH(tblPiNHistorical[[#This Row],[ID]], tblPiNAnalysis[ID], 0)), "")</f>
        <v/>
      </c>
      <c r="AA279" s="28" t="str">
        <f>IFERROR(INDEX(tblPiNAnalysis[CP], MATCH(tblPiNHistorical[[#This Row],[ID]], tblPiNAnalysis[ID], 0)), "")</f>
        <v/>
      </c>
      <c r="AB279" s="83" t="str">
        <f>IFERROR(INDEX(tblPiNAnalysis[GBV], MATCH(tblPiNHistorical[[#This Row],[ID]], tblPiNAnalysis[ID], 0)), "")</f>
        <v/>
      </c>
      <c r="AC279" s="28" t="str">
        <f>IFERROR(INDEX(tblPiNAnalysis[Mine Action], MATCH(tblPiNHistorical[[#This Row],[ID]], tblPiNAnalysis[ID], 0)), "")</f>
        <v/>
      </c>
      <c r="AD279" s="83" t="str">
        <f>IFERROR(INDEX(tblPiNAnalysis[[Shelter NFI ]], MATCH(tblPiNHistorical[[#This Row],[ID]], tblPiNAnalysis[ID], 0)), "")</f>
        <v/>
      </c>
      <c r="AE279" s="28" t="str">
        <f>IFERROR(INDEX(tblPiNAnalysis[WASH], MATCH(tblPiNHistorical[[#This Row],[ID]], tblPiNAnalysis[ID], 0)), "")</f>
        <v/>
      </c>
      <c r="AF279"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279" s="136" t="str">
        <f>IF(OR(tblPiNHistorical[[#This Row],[Education Old]]="", tblPiNHistorical[[#This Row],[Education Old]]=0, tblPiNHistorical[[#This Row],[Education New]]="", tblPiNHistorical[[#This Row],[Education New]]=0), "", tblPiNHistorical[[#This Row],[Education New]]-tblPiNHistorical[[#This Row],[Education Old]])</f>
        <v/>
      </c>
      <c r="AH279"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279" s="137" t="str">
        <f>IF(OR(tblPiNHistorical[[#This Row],[Health Old]]="", tblPiNHistorical[[#This Row],[Health Old]]=0, tblPiNHistorical[[#This Row],[Health New]]="", tblPiNHistorical[[#This Row],[Health New]]=0), "", tblPiNHistorical[[#This Row],[Health New]]-tblPiNHistorical[[#This Row],[Health Old]])</f>
        <v/>
      </c>
      <c r="AJ279" s="136" t="str">
        <f>IF(OR(tblPiNHistorical[[#This Row],[Nutrition Old]]="", tblPiNHistorical[[#This Row],[Nutrition Old]]=0, tblPiNHistorical[[#This Row],[Nutrition New]]="", tblPiNHistorical[[#This Row],[Nutrition New]]=0), "", tblPiNHistorical[[#This Row],[Nutrition New]]-tblPiNHistorical[[#This Row],[Nutrition Old]])</f>
        <v/>
      </c>
      <c r="AK279" s="136" t="str">
        <f>IF(OR(tblPiNHistorical[[#This Row],[Protection Old]]="", tblPiNHistorical[[#This Row],[Protection Old]]=0, tblPiNHistorical[[#This Row],[Protection New]]="", tblPiNHistorical[[#This Row],[Protection New]]=0), "", tblPiNHistorical[[#This Row],[Protection New]]-tblPiNHistorical[[#This Row],[Protection Old]])</f>
        <v/>
      </c>
      <c r="AL279" s="136" t="str">
        <f>IF(OR(tblPiNHistorical[[#This Row],[CP Old ]]="", tblPiNHistorical[[#This Row],[CP Old ]]=0, tblPiNHistorical[[#This Row],[CP New]]="", tblPiNHistorical[[#This Row],[CP New]]=0), "", tblPiNHistorical[[#This Row],[CP New]]-tblPiNHistorical[[#This Row],[CP Old ]])</f>
        <v/>
      </c>
      <c r="AM279" s="83" t="str">
        <f>IF(OR(tblPiNHistorical[[#This Row],[GBV Old]]="", tblPiNHistorical[[#This Row],[GBV Old]]=0, tblPiNHistorical[[#This Row],[GBV New]]="", tblPiNHistorical[[#This Row],[GBV New]]=0), "", tblPiNHistorical[[#This Row],[GBV New]]-tblPiNHistorical[[#This Row],[GBV Old]])</f>
        <v/>
      </c>
      <c r="AN279" s="83" t="str">
        <f>IF(OR(tblPiNHistorical[[#This Row],[Mine Action Old]]="", tblPiNHistorical[[#This Row],[Mine Action Old]]=0, tblPiNHistorical[[#This Row],[Mine Action New]]="", tblPiNHistorical[[#This Row],[Mine Action New]]=0), "", tblPiNHistorical[[#This Row],[Mine Action New]]-tblPiNHistorical[[#This Row],[Mine Action Old]])</f>
        <v/>
      </c>
      <c r="AO279" s="136" t="str">
        <f>IF(OR(tblPiNHistorical[[#This Row],[Shelter NFI Old]]="", tblPiNHistorical[[#This Row],[Shelter NFI Old]]=0, tblPiNHistorical[[#This Row],[Shelter NFI New]]="", tblPiNHistorical[[#This Row],[Shelter NFI New]]=0), "", tblPiNHistorical[[#This Row],[Shelter NFI New]]-tblPiNHistorical[[#This Row],[Shelter NFI Old]])</f>
        <v/>
      </c>
      <c r="AP279" s="138" t="str">
        <f>IF(OR(tblPiNHistorical[[#This Row],[WASH Old]]="", tblPiNHistorical[[#This Row],[WASH Old]]=0, tblPiNHistorical[[#This Row],[WASH New]]="", tblPiNHistorical[[#This Row],[WASH New]]=0), "", tblPiNHistorical[[#This Row],[WASH New]]-tblPiNHistorical[[#This Row],[WASH Old]])</f>
        <v/>
      </c>
      <c r="AQ279" s="139" t="str">
        <f>IFERROR(ROUND((tblPiNHistorical[[#This Row],[Site Management - New]] - tblPiNHistorical[[#This Row],[Site Management - Old]])/tblPiNHistorical[[#This Row],[Site Management - Old]], 1), "")</f>
        <v/>
      </c>
      <c r="AR279" s="140" t="str">
        <f>IFERROR(ROUND((tblPiNHistorical[[#This Row],[Education New]]-tblPiNHistorical[[#This Row],[Education Old]])/tblPiNHistorical[[#This Row],[Education Old]], 1), "")</f>
        <v/>
      </c>
      <c r="AS279" s="141" t="str">
        <f>IFERROR(ROUND((tblPiNHistorical[[#This Row],[Food Security and Livlihoods New]]-tblPiNHistorical[[#This Row],[Food Security and Livlihoods Old]])/tblPiNHistorical[[#This Row],[Food Security and Livlihoods Old]], 1), "")</f>
        <v/>
      </c>
      <c r="AT279" s="142" t="str">
        <f>IFERROR(ROUND((tblPiNHistorical[[#This Row],[Health New]]-tblPiNHistorical[[#This Row],[Health Old]])/tblPiNHistorical[[#This Row],[Health Old]], 1), "")</f>
        <v/>
      </c>
      <c r="AU279" s="140" t="str">
        <f>IFERROR(ROUND((tblPiNHistorical[[#This Row],[Nutrition New]]-tblPiNHistorical[[#This Row],[Nutrition Old]])/tblPiNHistorical[[#This Row],[Nutrition Old]], 1), "")</f>
        <v/>
      </c>
      <c r="AV279" s="140" t="str">
        <f>IFERROR(ROUND((tblPiNHistorical[[#This Row],[Protection New]]-tblPiNHistorical[[#This Row],[Protection Old]])/tblPiNHistorical[[#This Row],[Protection Old]], 1), "")</f>
        <v/>
      </c>
      <c r="AW279" s="84" t="str">
        <f>IFERROR(ROUND((tblPiNHistorical[[#This Row],[CP New]]-tblPiNHistorical[[#This Row],[CP Old ]])/tblPiNHistorical[[#This Row],[CP Old ]], 1), "")</f>
        <v/>
      </c>
      <c r="AX279" s="84" t="str">
        <f>IFERROR(ROUND((tblPiNHistorical[[#This Row],[GBV New]]-tblPiNHistorical[[#This Row],[GBV Old]])/tblPiNHistorical[[#This Row],[GBV Old]], 1), "")</f>
        <v/>
      </c>
      <c r="AY279" s="84" t="str">
        <f>IFERROR(ROUND((tblPiNHistorical[[#This Row],[Mine Action New]]-tblPiNHistorical[[#This Row],[Mine Action Old]])/tblPiNHistorical[[#This Row],[Mine Action Old]], 1), "")</f>
        <v/>
      </c>
      <c r="AZ279" s="140" t="str">
        <f>IFERROR(ROUND((tblPiNHistorical[[#This Row],[Shelter NFI New]]-tblPiNHistorical[[#This Row],[Shelter NFI Old]])/tblPiNHistorical[[#This Row],[Shelter NFI Old]], 1), "")</f>
        <v/>
      </c>
      <c r="BA279" s="31" t="str">
        <f>IFERROR(ROUND((tblPiNHistorical[[#This Row],[WASH New]]-tblPiNHistorical[[#This Row],[WASH Old]])/tblPiNHistorical[[#This Row],[WASH Old]], 1), "")</f>
        <v/>
      </c>
    </row>
    <row r="280" spans="1:53" ht="38.25" x14ac:dyDescent="0.25">
      <c r="A280"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RefugeesSD13024</v>
      </c>
      <c r="B280" s="134" t="s">
        <v>170</v>
      </c>
      <c r="C280" s="124" t="s">
        <v>130</v>
      </c>
      <c r="D280" s="124" t="s">
        <v>470</v>
      </c>
      <c r="E280" s="59" t="s">
        <v>471</v>
      </c>
      <c r="F280" s="54"/>
      <c r="G280" s="29"/>
      <c r="H280" s="53">
        <v>9430</v>
      </c>
      <c r="I280" s="53" t="s">
        <v>90</v>
      </c>
      <c r="J280" s="34">
        <v>0</v>
      </c>
      <c r="K280" s="116">
        <v>3609</v>
      </c>
      <c r="L280" s="114">
        <v>9414</v>
      </c>
      <c r="M280" s="114">
        <v>6496</v>
      </c>
      <c r="N280" s="114">
        <v>859</v>
      </c>
      <c r="O280" s="114">
        <v>9414</v>
      </c>
      <c r="P280" s="114">
        <v>1685.106</v>
      </c>
      <c r="Q280" s="114">
        <v>2654.7479999999996</v>
      </c>
      <c r="R280" s="114">
        <v>1882.8000000000002</v>
      </c>
      <c r="S280" s="114">
        <v>5648</v>
      </c>
      <c r="T280" s="196">
        <v>5059</v>
      </c>
      <c r="U280" s="52" t="str">
        <f>IFERROR(INDEX(tblPiNAnalysis[[Site Management ]], MATCH(tblPiNHistorical[[#This Row],[ID]], tblPiNAnalysis[ID], 0)), "")</f>
        <v/>
      </c>
      <c r="V280" s="52" t="str">
        <f>IFERROR(INDEX(tblPiNAnalysis[Education], MATCH(tblPiNHistorical[[#This Row],[ID]], tblPiNAnalysis[ID], 0)), "")</f>
        <v/>
      </c>
      <c r="W280" s="28" t="str">
        <f>IFERROR(INDEX(tblPiNAnalysis[Food Security and Livlihoods], MATCH(tblPiNHistorical[[#This Row],[ID]], tblPiNAnalysis[ID], 0)), "")</f>
        <v/>
      </c>
      <c r="X280" s="28" t="str">
        <f>IFERROR(INDEX(tblPiNAnalysis[[Health ]], MATCH(tblPiNHistorical[[#This Row],[ID]], tblPiNAnalysis[ID], 0)), "")</f>
        <v/>
      </c>
      <c r="Y280" s="28" t="str">
        <f>IFERROR(INDEX(tblPiNAnalysis[Nutrition], MATCH(tblPiNHistorical[[#This Row],[ID]], tblPiNAnalysis[ID], 0)), "")</f>
        <v/>
      </c>
      <c r="Z280" s="28" t="str">
        <f>IFERROR(INDEX(tblPiNAnalysis[Protection], MATCH(tblPiNHistorical[[#This Row],[ID]], tblPiNAnalysis[ID], 0)), "")</f>
        <v/>
      </c>
      <c r="AA280" s="28" t="str">
        <f>IFERROR(INDEX(tblPiNAnalysis[CP], MATCH(tblPiNHistorical[[#This Row],[ID]], tblPiNAnalysis[ID], 0)), "")</f>
        <v/>
      </c>
      <c r="AB280" s="83" t="str">
        <f>IFERROR(INDEX(tblPiNAnalysis[GBV], MATCH(tblPiNHistorical[[#This Row],[ID]], tblPiNAnalysis[ID], 0)), "")</f>
        <v/>
      </c>
      <c r="AC280" s="28" t="str">
        <f>IFERROR(INDEX(tblPiNAnalysis[Mine Action], MATCH(tblPiNHistorical[[#This Row],[ID]], tblPiNAnalysis[ID], 0)), "")</f>
        <v/>
      </c>
      <c r="AD280" s="83" t="str">
        <f>IFERROR(INDEX(tblPiNAnalysis[[Shelter NFI ]], MATCH(tblPiNHistorical[[#This Row],[ID]], tblPiNAnalysis[ID], 0)), "")</f>
        <v/>
      </c>
      <c r="AE280" s="28" t="str">
        <f>IFERROR(INDEX(tblPiNAnalysis[WASH], MATCH(tblPiNHistorical[[#This Row],[ID]], tblPiNAnalysis[ID], 0)), "")</f>
        <v/>
      </c>
      <c r="AF280"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280" s="136" t="str">
        <f>IF(OR(tblPiNHistorical[[#This Row],[Education Old]]="", tblPiNHistorical[[#This Row],[Education Old]]=0, tblPiNHistorical[[#This Row],[Education New]]="", tblPiNHistorical[[#This Row],[Education New]]=0), "", tblPiNHistorical[[#This Row],[Education New]]-tblPiNHistorical[[#This Row],[Education Old]])</f>
        <v/>
      </c>
      <c r="AH280"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280" s="137" t="str">
        <f>IF(OR(tblPiNHistorical[[#This Row],[Health Old]]="", tblPiNHistorical[[#This Row],[Health Old]]=0, tblPiNHistorical[[#This Row],[Health New]]="", tblPiNHistorical[[#This Row],[Health New]]=0), "", tblPiNHistorical[[#This Row],[Health New]]-tblPiNHistorical[[#This Row],[Health Old]])</f>
        <v/>
      </c>
      <c r="AJ280" s="136" t="str">
        <f>IF(OR(tblPiNHistorical[[#This Row],[Nutrition Old]]="", tblPiNHistorical[[#This Row],[Nutrition Old]]=0, tblPiNHistorical[[#This Row],[Nutrition New]]="", tblPiNHistorical[[#This Row],[Nutrition New]]=0), "", tblPiNHistorical[[#This Row],[Nutrition New]]-tblPiNHistorical[[#This Row],[Nutrition Old]])</f>
        <v/>
      </c>
      <c r="AK280" s="136" t="str">
        <f>IF(OR(tblPiNHistorical[[#This Row],[Protection Old]]="", tblPiNHistorical[[#This Row],[Protection Old]]=0, tblPiNHistorical[[#This Row],[Protection New]]="", tblPiNHistorical[[#This Row],[Protection New]]=0), "", tblPiNHistorical[[#This Row],[Protection New]]-tblPiNHistorical[[#This Row],[Protection Old]])</f>
        <v/>
      </c>
      <c r="AL280" s="136" t="str">
        <f>IF(OR(tblPiNHistorical[[#This Row],[CP Old ]]="", tblPiNHistorical[[#This Row],[CP Old ]]=0, tblPiNHistorical[[#This Row],[CP New]]="", tblPiNHistorical[[#This Row],[CP New]]=0), "", tblPiNHistorical[[#This Row],[CP New]]-tblPiNHistorical[[#This Row],[CP Old ]])</f>
        <v/>
      </c>
      <c r="AM280" s="83" t="str">
        <f>IF(OR(tblPiNHistorical[[#This Row],[GBV Old]]="", tblPiNHistorical[[#This Row],[GBV Old]]=0, tblPiNHistorical[[#This Row],[GBV New]]="", tblPiNHistorical[[#This Row],[GBV New]]=0), "", tblPiNHistorical[[#This Row],[GBV New]]-tblPiNHistorical[[#This Row],[GBV Old]])</f>
        <v/>
      </c>
      <c r="AN280" s="83" t="str">
        <f>IF(OR(tblPiNHistorical[[#This Row],[Mine Action Old]]="", tblPiNHistorical[[#This Row],[Mine Action Old]]=0, tblPiNHistorical[[#This Row],[Mine Action New]]="", tblPiNHistorical[[#This Row],[Mine Action New]]=0), "", tblPiNHistorical[[#This Row],[Mine Action New]]-tblPiNHistorical[[#This Row],[Mine Action Old]])</f>
        <v/>
      </c>
      <c r="AO280" s="136" t="str">
        <f>IF(OR(tblPiNHistorical[[#This Row],[Shelter NFI Old]]="", tblPiNHistorical[[#This Row],[Shelter NFI Old]]=0, tblPiNHistorical[[#This Row],[Shelter NFI New]]="", tblPiNHistorical[[#This Row],[Shelter NFI New]]=0), "", tblPiNHistorical[[#This Row],[Shelter NFI New]]-tblPiNHistorical[[#This Row],[Shelter NFI Old]])</f>
        <v/>
      </c>
      <c r="AP280" s="138" t="str">
        <f>IF(OR(tblPiNHistorical[[#This Row],[WASH Old]]="", tblPiNHistorical[[#This Row],[WASH Old]]=0, tblPiNHistorical[[#This Row],[WASH New]]="", tblPiNHistorical[[#This Row],[WASH New]]=0), "", tblPiNHistorical[[#This Row],[WASH New]]-tblPiNHistorical[[#This Row],[WASH Old]])</f>
        <v/>
      </c>
      <c r="AQ280" s="139" t="str">
        <f>IFERROR(ROUND((tblPiNHistorical[[#This Row],[Site Management - New]] - tblPiNHistorical[[#This Row],[Site Management - Old]])/tblPiNHistorical[[#This Row],[Site Management - Old]], 1), "")</f>
        <v/>
      </c>
      <c r="AR280" s="140" t="str">
        <f>IFERROR(ROUND((tblPiNHistorical[[#This Row],[Education New]]-tblPiNHistorical[[#This Row],[Education Old]])/tblPiNHistorical[[#This Row],[Education Old]], 1), "")</f>
        <v/>
      </c>
      <c r="AS280" s="141" t="str">
        <f>IFERROR(ROUND((tblPiNHistorical[[#This Row],[Food Security and Livlihoods New]]-tblPiNHistorical[[#This Row],[Food Security and Livlihoods Old]])/tblPiNHistorical[[#This Row],[Food Security and Livlihoods Old]], 1), "")</f>
        <v/>
      </c>
      <c r="AT280" s="142" t="str">
        <f>IFERROR(ROUND((tblPiNHistorical[[#This Row],[Health New]]-tblPiNHistorical[[#This Row],[Health Old]])/tblPiNHistorical[[#This Row],[Health Old]], 1), "")</f>
        <v/>
      </c>
      <c r="AU280" s="140" t="str">
        <f>IFERROR(ROUND((tblPiNHistorical[[#This Row],[Nutrition New]]-tblPiNHistorical[[#This Row],[Nutrition Old]])/tblPiNHistorical[[#This Row],[Nutrition Old]], 1), "")</f>
        <v/>
      </c>
      <c r="AV280" s="140" t="str">
        <f>IFERROR(ROUND((tblPiNHistorical[[#This Row],[Protection New]]-tblPiNHistorical[[#This Row],[Protection Old]])/tblPiNHistorical[[#This Row],[Protection Old]], 1), "")</f>
        <v/>
      </c>
      <c r="AW280" s="84" t="str">
        <f>IFERROR(ROUND((tblPiNHistorical[[#This Row],[CP New]]-tblPiNHistorical[[#This Row],[CP Old ]])/tblPiNHistorical[[#This Row],[CP Old ]], 1), "")</f>
        <v/>
      </c>
      <c r="AX280" s="84" t="str">
        <f>IFERROR(ROUND((tblPiNHistorical[[#This Row],[GBV New]]-tblPiNHistorical[[#This Row],[GBV Old]])/tblPiNHistorical[[#This Row],[GBV Old]], 1), "")</f>
        <v/>
      </c>
      <c r="AY280" s="84" t="str">
        <f>IFERROR(ROUND((tblPiNHistorical[[#This Row],[Mine Action New]]-tblPiNHistorical[[#This Row],[Mine Action Old]])/tblPiNHistorical[[#This Row],[Mine Action Old]], 1), "")</f>
        <v/>
      </c>
      <c r="AZ280" s="140" t="str">
        <f>IFERROR(ROUND((tblPiNHistorical[[#This Row],[Shelter NFI New]]-tblPiNHistorical[[#This Row],[Shelter NFI Old]])/tblPiNHistorical[[#This Row],[Shelter NFI Old]], 1), "")</f>
        <v/>
      </c>
      <c r="BA280" s="31" t="str">
        <f>IFERROR(ROUND((tblPiNHistorical[[#This Row],[WASH New]]-tblPiNHistorical[[#This Row],[WASH Old]])/tblPiNHistorical[[#This Row],[WASH Old]], 1), "")</f>
        <v/>
      </c>
    </row>
    <row r="281" spans="1:53" ht="38.25" x14ac:dyDescent="0.25">
      <c r="A281"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RefugeesSD13025</v>
      </c>
      <c r="B281" s="134" t="s">
        <v>170</v>
      </c>
      <c r="C281" s="124" t="s">
        <v>130</v>
      </c>
      <c r="D281" s="124" t="s">
        <v>472</v>
      </c>
      <c r="E281" s="59" t="s">
        <v>473</v>
      </c>
      <c r="F281" s="54"/>
      <c r="G281" s="29"/>
      <c r="H281" s="53">
        <v>0</v>
      </c>
      <c r="I281" s="53" t="s">
        <v>90</v>
      </c>
      <c r="J281" s="34">
        <v>0</v>
      </c>
      <c r="K281" s="116">
        <v>0</v>
      </c>
      <c r="L281" s="114">
        <v>0</v>
      </c>
      <c r="M281" s="114">
        <v>0</v>
      </c>
      <c r="N281" s="114">
        <v>0</v>
      </c>
      <c r="O281" s="114">
        <v>0</v>
      </c>
      <c r="P281" s="114">
        <v>0</v>
      </c>
      <c r="Q281" s="114">
        <v>0</v>
      </c>
      <c r="R281" s="114">
        <v>0</v>
      </c>
      <c r="S281" s="114">
        <v>0</v>
      </c>
      <c r="T281" s="196">
        <v>0</v>
      </c>
      <c r="U281" s="52" t="str">
        <f>IFERROR(INDEX(tblPiNAnalysis[[Site Management ]], MATCH(tblPiNHistorical[[#This Row],[ID]], tblPiNAnalysis[ID], 0)), "")</f>
        <v/>
      </c>
      <c r="V281" s="52" t="str">
        <f>IFERROR(INDEX(tblPiNAnalysis[Education], MATCH(tblPiNHistorical[[#This Row],[ID]], tblPiNAnalysis[ID], 0)), "")</f>
        <v/>
      </c>
      <c r="W281" s="28" t="str">
        <f>IFERROR(INDEX(tblPiNAnalysis[Food Security and Livlihoods], MATCH(tblPiNHistorical[[#This Row],[ID]], tblPiNAnalysis[ID], 0)), "")</f>
        <v/>
      </c>
      <c r="X281" s="28" t="str">
        <f>IFERROR(INDEX(tblPiNAnalysis[[Health ]], MATCH(tblPiNHistorical[[#This Row],[ID]], tblPiNAnalysis[ID], 0)), "")</f>
        <v/>
      </c>
      <c r="Y281" s="28" t="str">
        <f>IFERROR(INDEX(tblPiNAnalysis[Nutrition], MATCH(tblPiNHistorical[[#This Row],[ID]], tblPiNAnalysis[ID], 0)), "")</f>
        <v/>
      </c>
      <c r="Z281" s="28" t="str">
        <f>IFERROR(INDEX(tblPiNAnalysis[Protection], MATCH(tblPiNHistorical[[#This Row],[ID]], tblPiNAnalysis[ID], 0)), "")</f>
        <v/>
      </c>
      <c r="AA281" s="28" t="str">
        <f>IFERROR(INDEX(tblPiNAnalysis[CP], MATCH(tblPiNHistorical[[#This Row],[ID]], tblPiNAnalysis[ID], 0)), "")</f>
        <v/>
      </c>
      <c r="AB281" s="83" t="str">
        <f>IFERROR(INDEX(tblPiNAnalysis[GBV], MATCH(tblPiNHistorical[[#This Row],[ID]], tblPiNAnalysis[ID], 0)), "")</f>
        <v/>
      </c>
      <c r="AC281" s="28" t="str">
        <f>IFERROR(INDEX(tblPiNAnalysis[Mine Action], MATCH(tblPiNHistorical[[#This Row],[ID]], tblPiNAnalysis[ID], 0)), "")</f>
        <v/>
      </c>
      <c r="AD281" s="83" t="str">
        <f>IFERROR(INDEX(tblPiNAnalysis[[Shelter NFI ]], MATCH(tblPiNHistorical[[#This Row],[ID]], tblPiNAnalysis[ID], 0)), "")</f>
        <v/>
      </c>
      <c r="AE281" s="28" t="str">
        <f>IFERROR(INDEX(tblPiNAnalysis[WASH], MATCH(tblPiNHistorical[[#This Row],[ID]], tblPiNAnalysis[ID], 0)), "")</f>
        <v/>
      </c>
      <c r="AF281"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281" s="136" t="str">
        <f>IF(OR(tblPiNHistorical[[#This Row],[Education Old]]="", tblPiNHistorical[[#This Row],[Education Old]]=0, tblPiNHistorical[[#This Row],[Education New]]="", tblPiNHistorical[[#This Row],[Education New]]=0), "", tblPiNHistorical[[#This Row],[Education New]]-tblPiNHistorical[[#This Row],[Education Old]])</f>
        <v/>
      </c>
      <c r="AH281"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281" s="137" t="str">
        <f>IF(OR(tblPiNHistorical[[#This Row],[Health Old]]="", tblPiNHistorical[[#This Row],[Health Old]]=0, tblPiNHistorical[[#This Row],[Health New]]="", tblPiNHistorical[[#This Row],[Health New]]=0), "", tblPiNHistorical[[#This Row],[Health New]]-tblPiNHistorical[[#This Row],[Health Old]])</f>
        <v/>
      </c>
      <c r="AJ281" s="136" t="str">
        <f>IF(OR(tblPiNHistorical[[#This Row],[Nutrition Old]]="", tblPiNHistorical[[#This Row],[Nutrition Old]]=0, tblPiNHistorical[[#This Row],[Nutrition New]]="", tblPiNHistorical[[#This Row],[Nutrition New]]=0), "", tblPiNHistorical[[#This Row],[Nutrition New]]-tblPiNHistorical[[#This Row],[Nutrition Old]])</f>
        <v/>
      </c>
      <c r="AK281" s="136" t="str">
        <f>IF(OR(tblPiNHistorical[[#This Row],[Protection Old]]="", tblPiNHistorical[[#This Row],[Protection Old]]=0, tblPiNHistorical[[#This Row],[Protection New]]="", tblPiNHistorical[[#This Row],[Protection New]]=0), "", tblPiNHistorical[[#This Row],[Protection New]]-tblPiNHistorical[[#This Row],[Protection Old]])</f>
        <v/>
      </c>
      <c r="AL281" s="136" t="str">
        <f>IF(OR(tblPiNHistorical[[#This Row],[CP Old ]]="", tblPiNHistorical[[#This Row],[CP Old ]]=0, tblPiNHistorical[[#This Row],[CP New]]="", tblPiNHistorical[[#This Row],[CP New]]=0), "", tblPiNHistorical[[#This Row],[CP New]]-tblPiNHistorical[[#This Row],[CP Old ]])</f>
        <v/>
      </c>
      <c r="AM281" s="83" t="str">
        <f>IF(OR(tblPiNHistorical[[#This Row],[GBV Old]]="", tblPiNHistorical[[#This Row],[GBV Old]]=0, tblPiNHistorical[[#This Row],[GBV New]]="", tblPiNHistorical[[#This Row],[GBV New]]=0), "", tblPiNHistorical[[#This Row],[GBV New]]-tblPiNHistorical[[#This Row],[GBV Old]])</f>
        <v/>
      </c>
      <c r="AN281" s="83" t="str">
        <f>IF(OR(tblPiNHistorical[[#This Row],[Mine Action Old]]="", tblPiNHistorical[[#This Row],[Mine Action Old]]=0, tblPiNHistorical[[#This Row],[Mine Action New]]="", tblPiNHistorical[[#This Row],[Mine Action New]]=0), "", tblPiNHistorical[[#This Row],[Mine Action New]]-tblPiNHistorical[[#This Row],[Mine Action Old]])</f>
        <v/>
      </c>
      <c r="AO281" s="136" t="str">
        <f>IF(OR(tblPiNHistorical[[#This Row],[Shelter NFI Old]]="", tblPiNHistorical[[#This Row],[Shelter NFI Old]]=0, tblPiNHistorical[[#This Row],[Shelter NFI New]]="", tblPiNHistorical[[#This Row],[Shelter NFI New]]=0), "", tblPiNHistorical[[#This Row],[Shelter NFI New]]-tblPiNHistorical[[#This Row],[Shelter NFI Old]])</f>
        <v/>
      </c>
      <c r="AP281" s="138" t="str">
        <f>IF(OR(tblPiNHistorical[[#This Row],[WASH Old]]="", tblPiNHistorical[[#This Row],[WASH Old]]=0, tblPiNHistorical[[#This Row],[WASH New]]="", tblPiNHistorical[[#This Row],[WASH New]]=0), "", tblPiNHistorical[[#This Row],[WASH New]]-tblPiNHistorical[[#This Row],[WASH Old]])</f>
        <v/>
      </c>
      <c r="AQ281" s="139" t="str">
        <f>IFERROR(ROUND((tblPiNHistorical[[#This Row],[Site Management - New]] - tblPiNHistorical[[#This Row],[Site Management - Old]])/tblPiNHistorical[[#This Row],[Site Management - Old]], 1), "")</f>
        <v/>
      </c>
      <c r="AR281" s="140" t="str">
        <f>IFERROR(ROUND((tblPiNHistorical[[#This Row],[Education New]]-tblPiNHistorical[[#This Row],[Education Old]])/tblPiNHistorical[[#This Row],[Education Old]], 1), "")</f>
        <v/>
      </c>
      <c r="AS281" s="141" t="str">
        <f>IFERROR(ROUND((tblPiNHistorical[[#This Row],[Food Security and Livlihoods New]]-tblPiNHistorical[[#This Row],[Food Security and Livlihoods Old]])/tblPiNHistorical[[#This Row],[Food Security and Livlihoods Old]], 1), "")</f>
        <v/>
      </c>
      <c r="AT281" s="142" t="str">
        <f>IFERROR(ROUND((tblPiNHistorical[[#This Row],[Health New]]-tblPiNHistorical[[#This Row],[Health Old]])/tblPiNHistorical[[#This Row],[Health Old]], 1), "")</f>
        <v/>
      </c>
      <c r="AU281" s="140" t="str">
        <f>IFERROR(ROUND((tblPiNHistorical[[#This Row],[Nutrition New]]-tblPiNHistorical[[#This Row],[Nutrition Old]])/tblPiNHistorical[[#This Row],[Nutrition Old]], 1), "")</f>
        <v/>
      </c>
      <c r="AV281" s="140" t="str">
        <f>IFERROR(ROUND((tblPiNHistorical[[#This Row],[Protection New]]-tblPiNHistorical[[#This Row],[Protection Old]])/tblPiNHistorical[[#This Row],[Protection Old]], 1), "")</f>
        <v/>
      </c>
      <c r="AW281" s="84" t="str">
        <f>IFERROR(ROUND((tblPiNHistorical[[#This Row],[CP New]]-tblPiNHistorical[[#This Row],[CP Old ]])/tblPiNHistorical[[#This Row],[CP Old ]], 1), "")</f>
        <v/>
      </c>
      <c r="AX281" s="84" t="str">
        <f>IFERROR(ROUND((tblPiNHistorical[[#This Row],[GBV New]]-tblPiNHistorical[[#This Row],[GBV Old]])/tblPiNHistorical[[#This Row],[GBV Old]], 1), "")</f>
        <v/>
      </c>
      <c r="AY281" s="84" t="str">
        <f>IFERROR(ROUND((tblPiNHistorical[[#This Row],[Mine Action New]]-tblPiNHistorical[[#This Row],[Mine Action Old]])/tblPiNHistorical[[#This Row],[Mine Action Old]], 1), "")</f>
        <v/>
      </c>
      <c r="AZ281" s="140" t="str">
        <f>IFERROR(ROUND((tblPiNHistorical[[#This Row],[Shelter NFI New]]-tblPiNHistorical[[#This Row],[Shelter NFI Old]])/tblPiNHistorical[[#This Row],[Shelter NFI Old]], 1), "")</f>
        <v/>
      </c>
      <c r="BA281" s="31" t="str">
        <f>IFERROR(ROUND((tblPiNHistorical[[#This Row],[WASH New]]-tblPiNHistorical[[#This Row],[WASH Old]])/tblPiNHistorical[[#This Row],[WASH Old]], 1), "")</f>
        <v/>
      </c>
    </row>
    <row r="282" spans="1:53" ht="38.25" x14ac:dyDescent="0.25">
      <c r="A282"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RefugeesSD13028</v>
      </c>
      <c r="B282" s="134" t="s">
        <v>170</v>
      </c>
      <c r="C282" s="124" t="s">
        <v>130</v>
      </c>
      <c r="D282" s="124" t="s">
        <v>478</v>
      </c>
      <c r="E282" s="59" t="s">
        <v>479</v>
      </c>
      <c r="F282" s="54"/>
      <c r="G282" s="29"/>
      <c r="H282" s="53">
        <v>0</v>
      </c>
      <c r="I282" s="53" t="s">
        <v>90</v>
      </c>
      <c r="J282" s="34">
        <v>0</v>
      </c>
      <c r="K282" s="116">
        <v>0</v>
      </c>
      <c r="L282" s="114">
        <v>0</v>
      </c>
      <c r="M282" s="114">
        <v>0</v>
      </c>
      <c r="N282" s="114">
        <v>0</v>
      </c>
      <c r="O282" s="114">
        <v>0</v>
      </c>
      <c r="P282" s="114">
        <v>0</v>
      </c>
      <c r="Q282" s="114">
        <v>0</v>
      </c>
      <c r="R282" s="114">
        <v>0</v>
      </c>
      <c r="S282" s="114">
        <v>0</v>
      </c>
      <c r="T282" s="196">
        <v>0</v>
      </c>
      <c r="U282" s="52" t="str">
        <f>IFERROR(INDEX(tblPiNAnalysis[[Site Management ]], MATCH(tblPiNHistorical[[#This Row],[ID]], tblPiNAnalysis[ID], 0)), "")</f>
        <v/>
      </c>
      <c r="V282" s="52" t="str">
        <f>IFERROR(INDEX(tblPiNAnalysis[Education], MATCH(tblPiNHistorical[[#This Row],[ID]], tblPiNAnalysis[ID], 0)), "")</f>
        <v/>
      </c>
      <c r="W282" s="28" t="str">
        <f>IFERROR(INDEX(tblPiNAnalysis[Food Security and Livlihoods], MATCH(tblPiNHistorical[[#This Row],[ID]], tblPiNAnalysis[ID], 0)), "")</f>
        <v/>
      </c>
      <c r="X282" s="28" t="str">
        <f>IFERROR(INDEX(tblPiNAnalysis[[Health ]], MATCH(tblPiNHistorical[[#This Row],[ID]], tblPiNAnalysis[ID], 0)), "")</f>
        <v/>
      </c>
      <c r="Y282" s="28" t="str">
        <f>IFERROR(INDEX(tblPiNAnalysis[Nutrition], MATCH(tblPiNHistorical[[#This Row],[ID]], tblPiNAnalysis[ID], 0)), "")</f>
        <v/>
      </c>
      <c r="Z282" s="28" t="str">
        <f>IFERROR(INDEX(tblPiNAnalysis[Protection], MATCH(tblPiNHistorical[[#This Row],[ID]], tblPiNAnalysis[ID], 0)), "")</f>
        <v/>
      </c>
      <c r="AA282" s="28" t="str">
        <f>IFERROR(INDEX(tblPiNAnalysis[CP], MATCH(tblPiNHistorical[[#This Row],[ID]], tblPiNAnalysis[ID], 0)), "")</f>
        <v/>
      </c>
      <c r="AB282" s="83" t="str">
        <f>IFERROR(INDEX(tblPiNAnalysis[GBV], MATCH(tblPiNHistorical[[#This Row],[ID]], tblPiNAnalysis[ID], 0)), "")</f>
        <v/>
      </c>
      <c r="AC282" s="28" t="str">
        <f>IFERROR(INDEX(tblPiNAnalysis[Mine Action], MATCH(tblPiNHistorical[[#This Row],[ID]], tblPiNAnalysis[ID], 0)), "")</f>
        <v/>
      </c>
      <c r="AD282" s="83" t="str">
        <f>IFERROR(INDEX(tblPiNAnalysis[[Shelter NFI ]], MATCH(tblPiNHistorical[[#This Row],[ID]], tblPiNAnalysis[ID], 0)), "")</f>
        <v/>
      </c>
      <c r="AE282" s="28" t="str">
        <f>IFERROR(INDEX(tblPiNAnalysis[WASH], MATCH(tblPiNHistorical[[#This Row],[ID]], tblPiNAnalysis[ID], 0)), "")</f>
        <v/>
      </c>
      <c r="AF282"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282" s="136" t="str">
        <f>IF(OR(tblPiNHistorical[[#This Row],[Education Old]]="", tblPiNHistorical[[#This Row],[Education Old]]=0, tblPiNHistorical[[#This Row],[Education New]]="", tblPiNHistorical[[#This Row],[Education New]]=0), "", tblPiNHistorical[[#This Row],[Education New]]-tblPiNHistorical[[#This Row],[Education Old]])</f>
        <v/>
      </c>
      <c r="AH282"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282" s="137" t="str">
        <f>IF(OR(tblPiNHistorical[[#This Row],[Health Old]]="", tblPiNHistorical[[#This Row],[Health Old]]=0, tblPiNHistorical[[#This Row],[Health New]]="", tblPiNHistorical[[#This Row],[Health New]]=0), "", tblPiNHistorical[[#This Row],[Health New]]-tblPiNHistorical[[#This Row],[Health Old]])</f>
        <v/>
      </c>
      <c r="AJ282" s="136" t="str">
        <f>IF(OR(tblPiNHistorical[[#This Row],[Nutrition Old]]="", tblPiNHistorical[[#This Row],[Nutrition Old]]=0, tblPiNHistorical[[#This Row],[Nutrition New]]="", tblPiNHistorical[[#This Row],[Nutrition New]]=0), "", tblPiNHistorical[[#This Row],[Nutrition New]]-tblPiNHistorical[[#This Row],[Nutrition Old]])</f>
        <v/>
      </c>
      <c r="AK282" s="136" t="str">
        <f>IF(OR(tblPiNHistorical[[#This Row],[Protection Old]]="", tblPiNHistorical[[#This Row],[Protection Old]]=0, tblPiNHistorical[[#This Row],[Protection New]]="", tblPiNHistorical[[#This Row],[Protection New]]=0), "", tblPiNHistorical[[#This Row],[Protection New]]-tblPiNHistorical[[#This Row],[Protection Old]])</f>
        <v/>
      </c>
      <c r="AL282" s="136" t="str">
        <f>IF(OR(tblPiNHistorical[[#This Row],[CP Old ]]="", tblPiNHistorical[[#This Row],[CP Old ]]=0, tblPiNHistorical[[#This Row],[CP New]]="", tblPiNHistorical[[#This Row],[CP New]]=0), "", tblPiNHistorical[[#This Row],[CP New]]-tblPiNHistorical[[#This Row],[CP Old ]])</f>
        <v/>
      </c>
      <c r="AM282" s="83" t="str">
        <f>IF(OR(tblPiNHistorical[[#This Row],[GBV Old]]="", tblPiNHistorical[[#This Row],[GBV Old]]=0, tblPiNHistorical[[#This Row],[GBV New]]="", tblPiNHistorical[[#This Row],[GBV New]]=0), "", tblPiNHistorical[[#This Row],[GBV New]]-tblPiNHistorical[[#This Row],[GBV Old]])</f>
        <v/>
      </c>
      <c r="AN282" s="83" t="str">
        <f>IF(OR(tblPiNHistorical[[#This Row],[Mine Action Old]]="", tblPiNHistorical[[#This Row],[Mine Action Old]]=0, tblPiNHistorical[[#This Row],[Mine Action New]]="", tblPiNHistorical[[#This Row],[Mine Action New]]=0), "", tblPiNHistorical[[#This Row],[Mine Action New]]-tblPiNHistorical[[#This Row],[Mine Action Old]])</f>
        <v/>
      </c>
      <c r="AO282" s="136" t="str">
        <f>IF(OR(tblPiNHistorical[[#This Row],[Shelter NFI Old]]="", tblPiNHistorical[[#This Row],[Shelter NFI Old]]=0, tblPiNHistorical[[#This Row],[Shelter NFI New]]="", tblPiNHistorical[[#This Row],[Shelter NFI New]]=0), "", tblPiNHistorical[[#This Row],[Shelter NFI New]]-tblPiNHistorical[[#This Row],[Shelter NFI Old]])</f>
        <v/>
      </c>
      <c r="AP282" s="138" t="str">
        <f>IF(OR(tblPiNHistorical[[#This Row],[WASH Old]]="", tblPiNHistorical[[#This Row],[WASH Old]]=0, tblPiNHistorical[[#This Row],[WASH New]]="", tblPiNHistorical[[#This Row],[WASH New]]=0), "", tblPiNHistorical[[#This Row],[WASH New]]-tblPiNHistorical[[#This Row],[WASH Old]])</f>
        <v/>
      </c>
      <c r="AQ282" s="139" t="str">
        <f>IFERROR(ROUND((tblPiNHistorical[[#This Row],[Site Management - New]] - tblPiNHistorical[[#This Row],[Site Management - Old]])/tblPiNHistorical[[#This Row],[Site Management - Old]], 1), "")</f>
        <v/>
      </c>
      <c r="AR282" s="140" t="str">
        <f>IFERROR(ROUND((tblPiNHistorical[[#This Row],[Education New]]-tblPiNHistorical[[#This Row],[Education Old]])/tblPiNHistorical[[#This Row],[Education Old]], 1), "")</f>
        <v/>
      </c>
      <c r="AS282" s="141" t="str">
        <f>IFERROR(ROUND((tblPiNHistorical[[#This Row],[Food Security and Livlihoods New]]-tblPiNHistorical[[#This Row],[Food Security and Livlihoods Old]])/tblPiNHistorical[[#This Row],[Food Security and Livlihoods Old]], 1), "")</f>
        <v/>
      </c>
      <c r="AT282" s="142" t="str">
        <f>IFERROR(ROUND((tblPiNHistorical[[#This Row],[Health New]]-tblPiNHistorical[[#This Row],[Health Old]])/tblPiNHistorical[[#This Row],[Health Old]], 1), "")</f>
        <v/>
      </c>
      <c r="AU282" s="140" t="str">
        <f>IFERROR(ROUND((tblPiNHistorical[[#This Row],[Nutrition New]]-tblPiNHistorical[[#This Row],[Nutrition Old]])/tblPiNHistorical[[#This Row],[Nutrition Old]], 1), "")</f>
        <v/>
      </c>
      <c r="AV282" s="140" t="str">
        <f>IFERROR(ROUND((tblPiNHistorical[[#This Row],[Protection New]]-tblPiNHistorical[[#This Row],[Protection Old]])/tblPiNHistorical[[#This Row],[Protection Old]], 1), "")</f>
        <v/>
      </c>
      <c r="AW282" s="84" t="str">
        <f>IFERROR(ROUND((tblPiNHistorical[[#This Row],[CP New]]-tblPiNHistorical[[#This Row],[CP Old ]])/tblPiNHistorical[[#This Row],[CP Old ]], 1), "")</f>
        <v/>
      </c>
      <c r="AX282" s="84" t="str">
        <f>IFERROR(ROUND((tblPiNHistorical[[#This Row],[GBV New]]-tblPiNHistorical[[#This Row],[GBV Old]])/tblPiNHistorical[[#This Row],[GBV Old]], 1), "")</f>
        <v/>
      </c>
      <c r="AY282" s="84" t="str">
        <f>IFERROR(ROUND((tblPiNHistorical[[#This Row],[Mine Action New]]-tblPiNHistorical[[#This Row],[Mine Action Old]])/tblPiNHistorical[[#This Row],[Mine Action Old]], 1), "")</f>
        <v/>
      </c>
      <c r="AZ282" s="140" t="str">
        <f>IFERROR(ROUND((tblPiNHistorical[[#This Row],[Shelter NFI New]]-tblPiNHistorical[[#This Row],[Shelter NFI Old]])/tblPiNHistorical[[#This Row],[Shelter NFI Old]], 1), "")</f>
        <v/>
      </c>
      <c r="BA282" s="31" t="str">
        <f>IFERROR(ROUND((tblPiNHistorical[[#This Row],[WASH New]]-tblPiNHistorical[[#This Row],[WASH Old]])/tblPiNHistorical[[#This Row],[WASH Old]], 1), "")</f>
        <v/>
      </c>
    </row>
    <row r="283" spans="1:53" ht="38.25" x14ac:dyDescent="0.25">
      <c r="A283"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RefugeesSD13023</v>
      </c>
      <c r="B283" s="134" t="s">
        <v>170</v>
      </c>
      <c r="C283" s="124" t="s">
        <v>130</v>
      </c>
      <c r="D283" s="124" t="s">
        <v>468</v>
      </c>
      <c r="E283" s="59" t="s">
        <v>469</v>
      </c>
      <c r="F283" s="54"/>
      <c r="G283" s="29"/>
      <c r="H283" s="53">
        <v>976</v>
      </c>
      <c r="I283" s="53" t="s">
        <v>90</v>
      </c>
      <c r="J283" s="34">
        <v>0</v>
      </c>
      <c r="K283" s="116">
        <v>349</v>
      </c>
      <c r="L283" s="114">
        <v>976</v>
      </c>
      <c r="M283" s="114">
        <v>478</v>
      </c>
      <c r="N283" s="114">
        <v>89</v>
      </c>
      <c r="O283" s="114">
        <v>976</v>
      </c>
      <c r="P283" s="114">
        <v>147.376</v>
      </c>
      <c r="Q283" s="114">
        <v>433.34399999999999</v>
      </c>
      <c r="R283" s="114">
        <v>195.20000000000002</v>
      </c>
      <c r="S283" s="114">
        <v>390</v>
      </c>
      <c r="T283" s="196">
        <v>829</v>
      </c>
      <c r="U283" s="52" t="str">
        <f>IFERROR(INDEX(tblPiNAnalysis[[Site Management ]], MATCH(tblPiNHistorical[[#This Row],[ID]], tblPiNAnalysis[ID], 0)), "")</f>
        <v/>
      </c>
      <c r="V283" s="52" t="str">
        <f>IFERROR(INDEX(tblPiNAnalysis[Education], MATCH(tblPiNHistorical[[#This Row],[ID]], tblPiNAnalysis[ID], 0)), "")</f>
        <v/>
      </c>
      <c r="W283" s="28" t="str">
        <f>IFERROR(INDEX(tblPiNAnalysis[Food Security and Livlihoods], MATCH(tblPiNHistorical[[#This Row],[ID]], tblPiNAnalysis[ID], 0)), "")</f>
        <v/>
      </c>
      <c r="X283" s="28" t="str">
        <f>IFERROR(INDEX(tblPiNAnalysis[[Health ]], MATCH(tblPiNHistorical[[#This Row],[ID]], tblPiNAnalysis[ID], 0)), "")</f>
        <v/>
      </c>
      <c r="Y283" s="28" t="str">
        <f>IFERROR(INDEX(tblPiNAnalysis[Nutrition], MATCH(tblPiNHistorical[[#This Row],[ID]], tblPiNAnalysis[ID], 0)), "")</f>
        <v/>
      </c>
      <c r="Z283" s="28" t="str">
        <f>IFERROR(INDEX(tblPiNAnalysis[Protection], MATCH(tblPiNHistorical[[#This Row],[ID]], tblPiNAnalysis[ID], 0)), "")</f>
        <v/>
      </c>
      <c r="AA283" s="28" t="str">
        <f>IFERROR(INDEX(tblPiNAnalysis[CP], MATCH(tblPiNHistorical[[#This Row],[ID]], tblPiNAnalysis[ID], 0)), "")</f>
        <v/>
      </c>
      <c r="AB283" s="83" t="str">
        <f>IFERROR(INDEX(tblPiNAnalysis[GBV], MATCH(tblPiNHistorical[[#This Row],[ID]], tblPiNAnalysis[ID], 0)), "")</f>
        <v/>
      </c>
      <c r="AC283" s="28" t="str">
        <f>IFERROR(INDEX(tblPiNAnalysis[Mine Action], MATCH(tblPiNHistorical[[#This Row],[ID]], tblPiNAnalysis[ID], 0)), "")</f>
        <v/>
      </c>
      <c r="AD283" s="83" t="str">
        <f>IFERROR(INDEX(tblPiNAnalysis[[Shelter NFI ]], MATCH(tblPiNHistorical[[#This Row],[ID]], tblPiNAnalysis[ID], 0)), "")</f>
        <v/>
      </c>
      <c r="AE283" s="28" t="str">
        <f>IFERROR(INDEX(tblPiNAnalysis[WASH], MATCH(tblPiNHistorical[[#This Row],[ID]], tblPiNAnalysis[ID], 0)), "")</f>
        <v/>
      </c>
      <c r="AF283"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283" s="136" t="str">
        <f>IF(OR(tblPiNHistorical[[#This Row],[Education Old]]="", tblPiNHistorical[[#This Row],[Education Old]]=0, tblPiNHistorical[[#This Row],[Education New]]="", tblPiNHistorical[[#This Row],[Education New]]=0), "", tblPiNHistorical[[#This Row],[Education New]]-tblPiNHistorical[[#This Row],[Education Old]])</f>
        <v/>
      </c>
      <c r="AH283"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283" s="137" t="str">
        <f>IF(OR(tblPiNHistorical[[#This Row],[Health Old]]="", tblPiNHistorical[[#This Row],[Health Old]]=0, tblPiNHistorical[[#This Row],[Health New]]="", tblPiNHistorical[[#This Row],[Health New]]=0), "", tblPiNHistorical[[#This Row],[Health New]]-tblPiNHistorical[[#This Row],[Health Old]])</f>
        <v/>
      </c>
      <c r="AJ283" s="136" t="str">
        <f>IF(OR(tblPiNHistorical[[#This Row],[Nutrition Old]]="", tblPiNHistorical[[#This Row],[Nutrition Old]]=0, tblPiNHistorical[[#This Row],[Nutrition New]]="", tblPiNHistorical[[#This Row],[Nutrition New]]=0), "", tblPiNHistorical[[#This Row],[Nutrition New]]-tblPiNHistorical[[#This Row],[Nutrition Old]])</f>
        <v/>
      </c>
      <c r="AK283" s="136" t="str">
        <f>IF(OR(tblPiNHistorical[[#This Row],[Protection Old]]="", tblPiNHistorical[[#This Row],[Protection Old]]=0, tblPiNHistorical[[#This Row],[Protection New]]="", tblPiNHistorical[[#This Row],[Protection New]]=0), "", tblPiNHistorical[[#This Row],[Protection New]]-tblPiNHistorical[[#This Row],[Protection Old]])</f>
        <v/>
      </c>
      <c r="AL283" s="136" t="str">
        <f>IF(OR(tblPiNHistorical[[#This Row],[CP Old ]]="", tblPiNHistorical[[#This Row],[CP Old ]]=0, tblPiNHistorical[[#This Row],[CP New]]="", tblPiNHistorical[[#This Row],[CP New]]=0), "", tblPiNHistorical[[#This Row],[CP New]]-tblPiNHistorical[[#This Row],[CP Old ]])</f>
        <v/>
      </c>
      <c r="AM283" s="83" t="str">
        <f>IF(OR(tblPiNHistorical[[#This Row],[GBV Old]]="", tblPiNHistorical[[#This Row],[GBV Old]]=0, tblPiNHistorical[[#This Row],[GBV New]]="", tblPiNHistorical[[#This Row],[GBV New]]=0), "", tblPiNHistorical[[#This Row],[GBV New]]-tblPiNHistorical[[#This Row],[GBV Old]])</f>
        <v/>
      </c>
      <c r="AN283" s="83" t="str">
        <f>IF(OR(tblPiNHistorical[[#This Row],[Mine Action Old]]="", tblPiNHistorical[[#This Row],[Mine Action Old]]=0, tblPiNHistorical[[#This Row],[Mine Action New]]="", tblPiNHistorical[[#This Row],[Mine Action New]]=0), "", tblPiNHistorical[[#This Row],[Mine Action New]]-tblPiNHistorical[[#This Row],[Mine Action Old]])</f>
        <v/>
      </c>
      <c r="AO283" s="136" t="str">
        <f>IF(OR(tblPiNHistorical[[#This Row],[Shelter NFI Old]]="", tblPiNHistorical[[#This Row],[Shelter NFI Old]]=0, tblPiNHistorical[[#This Row],[Shelter NFI New]]="", tblPiNHistorical[[#This Row],[Shelter NFI New]]=0), "", tblPiNHistorical[[#This Row],[Shelter NFI New]]-tblPiNHistorical[[#This Row],[Shelter NFI Old]])</f>
        <v/>
      </c>
      <c r="AP283" s="138" t="str">
        <f>IF(OR(tblPiNHistorical[[#This Row],[WASH Old]]="", tblPiNHistorical[[#This Row],[WASH Old]]=0, tblPiNHistorical[[#This Row],[WASH New]]="", tblPiNHistorical[[#This Row],[WASH New]]=0), "", tblPiNHistorical[[#This Row],[WASH New]]-tblPiNHistorical[[#This Row],[WASH Old]])</f>
        <v/>
      </c>
      <c r="AQ283" s="139" t="str">
        <f>IFERROR(ROUND((tblPiNHistorical[[#This Row],[Site Management - New]] - tblPiNHistorical[[#This Row],[Site Management - Old]])/tblPiNHistorical[[#This Row],[Site Management - Old]], 1), "")</f>
        <v/>
      </c>
      <c r="AR283" s="140" t="str">
        <f>IFERROR(ROUND((tblPiNHistorical[[#This Row],[Education New]]-tblPiNHistorical[[#This Row],[Education Old]])/tblPiNHistorical[[#This Row],[Education Old]], 1), "")</f>
        <v/>
      </c>
      <c r="AS283" s="141" t="str">
        <f>IFERROR(ROUND((tblPiNHistorical[[#This Row],[Food Security and Livlihoods New]]-tblPiNHistorical[[#This Row],[Food Security and Livlihoods Old]])/tblPiNHistorical[[#This Row],[Food Security and Livlihoods Old]], 1), "")</f>
        <v/>
      </c>
      <c r="AT283" s="142" t="str">
        <f>IFERROR(ROUND((tblPiNHistorical[[#This Row],[Health New]]-tblPiNHistorical[[#This Row],[Health Old]])/tblPiNHistorical[[#This Row],[Health Old]], 1), "")</f>
        <v/>
      </c>
      <c r="AU283" s="140" t="str">
        <f>IFERROR(ROUND((tblPiNHistorical[[#This Row],[Nutrition New]]-tblPiNHistorical[[#This Row],[Nutrition Old]])/tblPiNHistorical[[#This Row],[Nutrition Old]], 1), "")</f>
        <v/>
      </c>
      <c r="AV283" s="140" t="str">
        <f>IFERROR(ROUND((tblPiNHistorical[[#This Row],[Protection New]]-tblPiNHistorical[[#This Row],[Protection Old]])/tblPiNHistorical[[#This Row],[Protection Old]], 1), "")</f>
        <v/>
      </c>
      <c r="AW283" s="84" t="str">
        <f>IFERROR(ROUND((tblPiNHistorical[[#This Row],[CP New]]-tblPiNHistorical[[#This Row],[CP Old ]])/tblPiNHistorical[[#This Row],[CP Old ]], 1), "")</f>
        <v/>
      </c>
      <c r="AX283" s="84" t="str">
        <f>IFERROR(ROUND((tblPiNHistorical[[#This Row],[GBV New]]-tblPiNHistorical[[#This Row],[GBV Old]])/tblPiNHistorical[[#This Row],[GBV Old]], 1), "")</f>
        <v/>
      </c>
      <c r="AY283" s="84" t="str">
        <f>IFERROR(ROUND((tblPiNHistorical[[#This Row],[Mine Action New]]-tblPiNHistorical[[#This Row],[Mine Action Old]])/tblPiNHistorical[[#This Row],[Mine Action Old]], 1), "")</f>
        <v/>
      </c>
      <c r="AZ283" s="140" t="str">
        <f>IFERROR(ROUND((tblPiNHistorical[[#This Row],[Shelter NFI New]]-tblPiNHistorical[[#This Row],[Shelter NFI Old]])/tblPiNHistorical[[#This Row],[Shelter NFI Old]], 1), "")</f>
        <v/>
      </c>
      <c r="BA283" s="31" t="str">
        <f>IFERROR(ROUND((tblPiNHistorical[[#This Row],[WASH New]]-tblPiNHistorical[[#This Row],[WASH Old]])/tblPiNHistorical[[#This Row],[WASH Old]], 1), "")</f>
        <v/>
      </c>
    </row>
    <row r="284" spans="1:53" ht="38.25" x14ac:dyDescent="0.25">
      <c r="A284"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RefugeesSD17019</v>
      </c>
      <c r="B284" s="134" t="s">
        <v>173</v>
      </c>
      <c r="C284" s="124" t="s">
        <v>134</v>
      </c>
      <c r="D284" s="124" t="s">
        <v>536</v>
      </c>
      <c r="E284" s="59" t="s">
        <v>537</v>
      </c>
      <c r="F284" s="54"/>
      <c r="G284" s="29"/>
      <c r="H284" s="53">
        <v>220</v>
      </c>
      <c r="I284" s="53" t="s">
        <v>90</v>
      </c>
      <c r="J284" s="34">
        <v>0</v>
      </c>
      <c r="K284" s="116">
        <v>88</v>
      </c>
      <c r="L284" s="114">
        <v>220</v>
      </c>
      <c r="M284" s="114">
        <v>108</v>
      </c>
      <c r="N284" s="114">
        <v>20</v>
      </c>
      <c r="O284" s="114">
        <v>220</v>
      </c>
      <c r="P284" s="114">
        <v>33.22</v>
      </c>
      <c r="Q284" s="114">
        <v>97.68</v>
      </c>
      <c r="R284" s="114">
        <v>0</v>
      </c>
      <c r="S284" s="114">
        <v>0</v>
      </c>
      <c r="T284" s="196">
        <v>6</v>
      </c>
      <c r="U284" s="52" t="str">
        <f>IFERROR(INDEX(tblPiNAnalysis[[Site Management ]], MATCH(tblPiNHistorical[[#This Row],[ID]], tblPiNAnalysis[ID], 0)), "")</f>
        <v/>
      </c>
      <c r="V284" s="52" t="str">
        <f>IFERROR(INDEX(tblPiNAnalysis[Education], MATCH(tblPiNHistorical[[#This Row],[ID]], tblPiNAnalysis[ID], 0)), "")</f>
        <v/>
      </c>
      <c r="W284" s="28" t="str">
        <f>IFERROR(INDEX(tblPiNAnalysis[Food Security and Livlihoods], MATCH(tblPiNHistorical[[#This Row],[ID]], tblPiNAnalysis[ID], 0)), "")</f>
        <v/>
      </c>
      <c r="X284" s="28" t="str">
        <f>IFERROR(INDEX(tblPiNAnalysis[[Health ]], MATCH(tblPiNHistorical[[#This Row],[ID]], tblPiNAnalysis[ID], 0)), "")</f>
        <v/>
      </c>
      <c r="Y284" s="28" t="str">
        <f>IFERROR(INDEX(tblPiNAnalysis[Nutrition], MATCH(tblPiNHistorical[[#This Row],[ID]], tblPiNAnalysis[ID], 0)), "")</f>
        <v/>
      </c>
      <c r="Z284" s="28" t="str">
        <f>IFERROR(INDEX(tblPiNAnalysis[Protection], MATCH(tblPiNHistorical[[#This Row],[ID]], tblPiNAnalysis[ID], 0)), "")</f>
        <v/>
      </c>
      <c r="AA284" s="28" t="str">
        <f>IFERROR(INDEX(tblPiNAnalysis[CP], MATCH(tblPiNHistorical[[#This Row],[ID]], tblPiNAnalysis[ID], 0)), "")</f>
        <v/>
      </c>
      <c r="AB284" s="83" t="str">
        <f>IFERROR(INDEX(tblPiNAnalysis[GBV], MATCH(tblPiNHistorical[[#This Row],[ID]], tblPiNAnalysis[ID], 0)), "")</f>
        <v/>
      </c>
      <c r="AC284" s="28" t="str">
        <f>IFERROR(INDEX(tblPiNAnalysis[Mine Action], MATCH(tblPiNHistorical[[#This Row],[ID]], tblPiNAnalysis[ID], 0)), "")</f>
        <v/>
      </c>
      <c r="AD284" s="83" t="str">
        <f>IFERROR(INDEX(tblPiNAnalysis[[Shelter NFI ]], MATCH(tblPiNHistorical[[#This Row],[ID]], tblPiNAnalysis[ID], 0)), "")</f>
        <v/>
      </c>
      <c r="AE284" s="28" t="str">
        <f>IFERROR(INDEX(tblPiNAnalysis[WASH], MATCH(tblPiNHistorical[[#This Row],[ID]], tblPiNAnalysis[ID], 0)), "")</f>
        <v/>
      </c>
      <c r="AF284"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284" s="136" t="str">
        <f>IF(OR(tblPiNHistorical[[#This Row],[Education Old]]="", tblPiNHistorical[[#This Row],[Education Old]]=0, tblPiNHistorical[[#This Row],[Education New]]="", tblPiNHistorical[[#This Row],[Education New]]=0), "", tblPiNHistorical[[#This Row],[Education New]]-tblPiNHistorical[[#This Row],[Education Old]])</f>
        <v/>
      </c>
      <c r="AH284"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284" s="137" t="str">
        <f>IF(OR(tblPiNHistorical[[#This Row],[Health Old]]="", tblPiNHistorical[[#This Row],[Health Old]]=0, tblPiNHistorical[[#This Row],[Health New]]="", tblPiNHistorical[[#This Row],[Health New]]=0), "", tblPiNHistorical[[#This Row],[Health New]]-tblPiNHistorical[[#This Row],[Health Old]])</f>
        <v/>
      </c>
      <c r="AJ284" s="136" t="str">
        <f>IF(OR(tblPiNHistorical[[#This Row],[Nutrition Old]]="", tblPiNHistorical[[#This Row],[Nutrition Old]]=0, tblPiNHistorical[[#This Row],[Nutrition New]]="", tblPiNHistorical[[#This Row],[Nutrition New]]=0), "", tblPiNHistorical[[#This Row],[Nutrition New]]-tblPiNHistorical[[#This Row],[Nutrition Old]])</f>
        <v/>
      </c>
      <c r="AK284" s="136" t="str">
        <f>IF(OR(tblPiNHistorical[[#This Row],[Protection Old]]="", tblPiNHistorical[[#This Row],[Protection Old]]=0, tblPiNHistorical[[#This Row],[Protection New]]="", tblPiNHistorical[[#This Row],[Protection New]]=0), "", tblPiNHistorical[[#This Row],[Protection New]]-tblPiNHistorical[[#This Row],[Protection Old]])</f>
        <v/>
      </c>
      <c r="AL284" s="136" t="str">
        <f>IF(OR(tblPiNHistorical[[#This Row],[CP Old ]]="", tblPiNHistorical[[#This Row],[CP Old ]]=0, tblPiNHistorical[[#This Row],[CP New]]="", tblPiNHistorical[[#This Row],[CP New]]=0), "", tblPiNHistorical[[#This Row],[CP New]]-tblPiNHistorical[[#This Row],[CP Old ]])</f>
        <v/>
      </c>
      <c r="AM284" s="83" t="str">
        <f>IF(OR(tblPiNHistorical[[#This Row],[GBV Old]]="", tblPiNHistorical[[#This Row],[GBV Old]]=0, tblPiNHistorical[[#This Row],[GBV New]]="", tblPiNHistorical[[#This Row],[GBV New]]=0), "", tblPiNHistorical[[#This Row],[GBV New]]-tblPiNHistorical[[#This Row],[GBV Old]])</f>
        <v/>
      </c>
      <c r="AN284" s="83" t="str">
        <f>IF(OR(tblPiNHistorical[[#This Row],[Mine Action Old]]="", tblPiNHistorical[[#This Row],[Mine Action Old]]=0, tblPiNHistorical[[#This Row],[Mine Action New]]="", tblPiNHistorical[[#This Row],[Mine Action New]]=0), "", tblPiNHistorical[[#This Row],[Mine Action New]]-tblPiNHistorical[[#This Row],[Mine Action Old]])</f>
        <v/>
      </c>
      <c r="AO284" s="136" t="str">
        <f>IF(OR(tblPiNHistorical[[#This Row],[Shelter NFI Old]]="", tblPiNHistorical[[#This Row],[Shelter NFI Old]]=0, tblPiNHistorical[[#This Row],[Shelter NFI New]]="", tblPiNHistorical[[#This Row],[Shelter NFI New]]=0), "", tblPiNHistorical[[#This Row],[Shelter NFI New]]-tblPiNHistorical[[#This Row],[Shelter NFI Old]])</f>
        <v/>
      </c>
      <c r="AP284" s="138" t="str">
        <f>IF(OR(tblPiNHistorical[[#This Row],[WASH Old]]="", tblPiNHistorical[[#This Row],[WASH Old]]=0, tblPiNHistorical[[#This Row],[WASH New]]="", tblPiNHistorical[[#This Row],[WASH New]]=0), "", tblPiNHistorical[[#This Row],[WASH New]]-tblPiNHistorical[[#This Row],[WASH Old]])</f>
        <v/>
      </c>
      <c r="AQ284" s="139" t="str">
        <f>IFERROR(ROUND((tblPiNHistorical[[#This Row],[Site Management - New]] - tblPiNHistorical[[#This Row],[Site Management - Old]])/tblPiNHistorical[[#This Row],[Site Management - Old]], 1), "")</f>
        <v/>
      </c>
      <c r="AR284" s="140" t="str">
        <f>IFERROR(ROUND((tblPiNHistorical[[#This Row],[Education New]]-tblPiNHistorical[[#This Row],[Education Old]])/tblPiNHistorical[[#This Row],[Education Old]], 1), "")</f>
        <v/>
      </c>
      <c r="AS284" s="141" t="str">
        <f>IFERROR(ROUND((tblPiNHistorical[[#This Row],[Food Security and Livlihoods New]]-tblPiNHistorical[[#This Row],[Food Security and Livlihoods Old]])/tblPiNHistorical[[#This Row],[Food Security and Livlihoods Old]], 1), "")</f>
        <v/>
      </c>
      <c r="AT284" s="142" t="str">
        <f>IFERROR(ROUND((tblPiNHistorical[[#This Row],[Health New]]-tblPiNHistorical[[#This Row],[Health Old]])/tblPiNHistorical[[#This Row],[Health Old]], 1), "")</f>
        <v/>
      </c>
      <c r="AU284" s="140" t="str">
        <f>IFERROR(ROUND((tblPiNHistorical[[#This Row],[Nutrition New]]-tblPiNHistorical[[#This Row],[Nutrition Old]])/tblPiNHistorical[[#This Row],[Nutrition Old]], 1), "")</f>
        <v/>
      </c>
      <c r="AV284" s="140" t="str">
        <f>IFERROR(ROUND((tblPiNHistorical[[#This Row],[Protection New]]-tblPiNHistorical[[#This Row],[Protection Old]])/tblPiNHistorical[[#This Row],[Protection Old]], 1), "")</f>
        <v/>
      </c>
      <c r="AW284" s="84" t="str">
        <f>IFERROR(ROUND((tblPiNHistorical[[#This Row],[CP New]]-tblPiNHistorical[[#This Row],[CP Old ]])/tblPiNHistorical[[#This Row],[CP Old ]], 1), "")</f>
        <v/>
      </c>
      <c r="AX284" s="84" t="str">
        <f>IFERROR(ROUND((tblPiNHistorical[[#This Row],[GBV New]]-tblPiNHistorical[[#This Row],[GBV Old]])/tblPiNHistorical[[#This Row],[GBV Old]], 1), "")</f>
        <v/>
      </c>
      <c r="AY284" s="84" t="str">
        <f>IFERROR(ROUND((tblPiNHistorical[[#This Row],[Mine Action New]]-tblPiNHistorical[[#This Row],[Mine Action Old]])/tblPiNHistorical[[#This Row],[Mine Action Old]], 1), "")</f>
        <v/>
      </c>
      <c r="AZ284" s="140" t="str">
        <f>IFERROR(ROUND((tblPiNHistorical[[#This Row],[Shelter NFI New]]-tblPiNHistorical[[#This Row],[Shelter NFI Old]])/tblPiNHistorical[[#This Row],[Shelter NFI Old]], 1), "")</f>
        <v/>
      </c>
      <c r="BA284" s="31" t="str">
        <f>IFERROR(ROUND((tblPiNHistorical[[#This Row],[WASH New]]-tblPiNHistorical[[#This Row],[WASH Old]])/tblPiNHistorical[[#This Row],[WASH Old]], 1), "")</f>
        <v/>
      </c>
    </row>
    <row r="285" spans="1:53" ht="38.25" x14ac:dyDescent="0.25">
      <c r="A285"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RefugeesSD17016</v>
      </c>
      <c r="B285" s="134" t="s">
        <v>173</v>
      </c>
      <c r="C285" s="124" t="s">
        <v>134</v>
      </c>
      <c r="D285" s="124" t="s">
        <v>530</v>
      </c>
      <c r="E285" s="59" t="s">
        <v>531</v>
      </c>
      <c r="F285" s="54"/>
      <c r="G285" s="29"/>
      <c r="H285" s="53">
        <v>0</v>
      </c>
      <c r="I285" s="53" t="s">
        <v>90</v>
      </c>
      <c r="J285" s="34">
        <v>0</v>
      </c>
      <c r="K285" s="116">
        <v>0</v>
      </c>
      <c r="L285" s="114">
        <v>0</v>
      </c>
      <c r="M285" s="114">
        <v>0</v>
      </c>
      <c r="N285" s="114">
        <v>0</v>
      </c>
      <c r="O285" s="114">
        <v>0</v>
      </c>
      <c r="P285" s="114">
        <v>0</v>
      </c>
      <c r="Q285" s="114">
        <v>0</v>
      </c>
      <c r="R285" s="114">
        <v>0</v>
      </c>
      <c r="S285" s="114">
        <v>0</v>
      </c>
      <c r="T285" s="196">
        <v>0</v>
      </c>
      <c r="U285" s="52" t="str">
        <f>IFERROR(INDEX(tblPiNAnalysis[[Site Management ]], MATCH(tblPiNHistorical[[#This Row],[ID]], tblPiNAnalysis[ID], 0)), "")</f>
        <v/>
      </c>
      <c r="V285" s="52" t="str">
        <f>IFERROR(INDEX(tblPiNAnalysis[Education], MATCH(tblPiNHistorical[[#This Row],[ID]], tblPiNAnalysis[ID], 0)), "")</f>
        <v/>
      </c>
      <c r="W285" s="28" t="str">
        <f>IFERROR(INDEX(tblPiNAnalysis[Food Security and Livlihoods], MATCH(tblPiNHistorical[[#This Row],[ID]], tblPiNAnalysis[ID], 0)), "")</f>
        <v/>
      </c>
      <c r="X285" s="28" t="str">
        <f>IFERROR(INDEX(tblPiNAnalysis[[Health ]], MATCH(tblPiNHistorical[[#This Row],[ID]], tblPiNAnalysis[ID], 0)), "")</f>
        <v/>
      </c>
      <c r="Y285" s="28" t="str">
        <f>IFERROR(INDEX(tblPiNAnalysis[Nutrition], MATCH(tblPiNHistorical[[#This Row],[ID]], tblPiNAnalysis[ID], 0)), "")</f>
        <v/>
      </c>
      <c r="Z285" s="28" t="str">
        <f>IFERROR(INDEX(tblPiNAnalysis[Protection], MATCH(tblPiNHistorical[[#This Row],[ID]], tblPiNAnalysis[ID], 0)), "")</f>
        <v/>
      </c>
      <c r="AA285" s="28" t="str">
        <f>IFERROR(INDEX(tblPiNAnalysis[CP], MATCH(tblPiNHistorical[[#This Row],[ID]], tblPiNAnalysis[ID], 0)), "")</f>
        <v/>
      </c>
      <c r="AB285" s="83" t="str">
        <f>IFERROR(INDEX(tblPiNAnalysis[GBV], MATCH(tblPiNHistorical[[#This Row],[ID]], tblPiNAnalysis[ID], 0)), "")</f>
        <v/>
      </c>
      <c r="AC285" s="28" t="str">
        <f>IFERROR(INDEX(tblPiNAnalysis[Mine Action], MATCH(tblPiNHistorical[[#This Row],[ID]], tblPiNAnalysis[ID], 0)), "")</f>
        <v/>
      </c>
      <c r="AD285" s="83" t="str">
        <f>IFERROR(INDEX(tblPiNAnalysis[[Shelter NFI ]], MATCH(tblPiNHistorical[[#This Row],[ID]], tblPiNAnalysis[ID], 0)), "")</f>
        <v/>
      </c>
      <c r="AE285" s="28" t="str">
        <f>IFERROR(INDEX(tblPiNAnalysis[WASH], MATCH(tblPiNHistorical[[#This Row],[ID]], tblPiNAnalysis[ID], 0)), "")</f>
        <v/>
      </c>
      <c r="AF285"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285" s="136" t="str">
        <f>IF(OR(tblPiNHistorical[[#This Row],[Education Old]]="", tblPiNHistorical[[#This Row],[Education Old]]=0, tblPiNHistorical[[#This Row],[Education New]]="", tblPiNHistorical[[#This Row],[Education New]]=0), "", tblPiNHistorical[[#This Row],[Education New]]-tblPiNHistorical[[#This Row],[Education Old]])</f>
        <v/>
      </c>
      <c r="AH285"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285" s="137" t="str">
        <f>IF(OR(tblPiNHistorical[[#This Row],[Health Old]]="", tblPiNHistorical[[#This Row],[Health Old]]=0, tblPiNHistorical[[#This Row],[Health New]]="", tblPiNHistorical[[#This Row],[Health New]]=0), "", tblPiNHistorical[[#This Row],[Health New]]-tblPiNHistorical[[#This Row],[Health Old]])</f>
        <v/>
      </c>
      <c r="AJ285" s="136" t="str">
        <f>IF(OR(tblPiNHistorical[[#This Row],[Nutrition Old]]="", tblPiNHistorical[[#This Row],[Nutrition Old]]=0, tblPiNHistorical[[#This Row],[Nutrition New]]="", tblPiNHistorical[[#This Row],[Nutrition New]]=0), "", tblPiNHistorical[[#This Row],[Nutrition New]]-tblPiNHistorical[[#This Row],[Nutrition Old]])</f>
        <v/>
      </c>
      <c r="AK285" s="136" t="str">
        <f>IF(OR(tblPiNHistorical[[#This Row],[Protection Old]]="", tblPiNHistorical[[#This Row],[Protection Old]]=0, tblPiNHistorical[[#This Row],[Protection New]]="", tblPiNHistorical[[#This Row],[Protection New]]=0), "", tblPiNHistorical[[#This Row],[Protection New]]-tblPiNHistorical[[#This Row],[Protection Old]])</f>
        <v/>
      </c>
      <c r="AL285" s="136" t="str">
        <f>IF(OR(tblPiNHistorical[[#This Row],[CP Old ]]="", tblPiNHistorical[[#This Row],[CP Old ]]=0, tblPiNHistorical[[#This Row],[CP New]]="", tblPiNHistorical[[#This Row],[CP New]]=0), "", tblPiNHistorical[[#This Row],[CP New]]-tblPiNHistorical[[#This Row],[CP Old ]])</f>
        <v/>
      </c>
      <c r="AM285" s="83" t="str">
        <f>IF(OR(tblPiNHistorical[[#This Row],[GBV Old]]="", tblPiNHistorical[[#This Row],[GBV Old]]=0, tblPiNHistorical[[#This Row],[GBV New]]="", tblPiNHistorical[[#This Row],[GBV New]]=0), "", tblPiNHistorical[[#This Row],[GBV New]]-tblPiNHistorical[[#This Row],[GBV Old]])</f>
        <v/>
      </c>
      <c r="AN285" s="83" t="str">
        <f>IF(OR(tblPiNHistorical[[#This Row],[Mine Action Old]]="", tblPiNHistorical[[#This Row],[Mine Action Old]]=0, tblPiNHistorical[[#This Row],[Mine Action New]]="", tblPiNHistorical[[#This Row],[Mine Action New]]=0), "", tblPiNHistorical[[#This Row],[Mine Action New]]-tblPiNHistorical[[#This Row],[Mine Action Old]])</f>
        <v/>
      </c>
      <c r="AO285" s="136" t="str">
        <f>IF(OR(tblPiNHistorical[[#This Row],[Shelter NFI Old]]="", tblPiNHistorical[[#This Row],[Shelter NFI Old]]=0, tblPiNHistorical[[#This Row],[Shelter NFI New]]="", tblPiNHistorical[[#This Row],[Shelter NFI New]]=0), "", tblPiNHistorical[[#This Row],[Shelter NFI New]]-tblPiNHistorical[[#This Row],[Shelter NFI Old]])</f>
        <v/>
      </c>
      <c r="AP285" s="138" t="str">
        <f>IF(OR(tblPiNHistorical[[#This Row],[WASH Old]]="", tblPiNHistorical[[#This Row],[WASH Old]]=0, tblPiNHistorical[[#This Row],[WASH New]]="", tblPiNHistorical[[#This Row],[WASH New]]=0), "", tblPiNHistorical[[#This Row],[WASH New]]-tblPiNHistorical[[#This Row],[WASH Old]])</f>
        <v/>
      </c>
      <c r="AQ285" s="139" t="str">
        <f>IFERROR(ROUND((tblPiNHistorical[[#This Row],[Site Management - New]] - tblPiNHistorical[[#This Row],[Site Management - Old]])/tblPiNHistorical[[#This Row],[Site Management - Old]], 1), "")</f>
        <v/>
      </c>
      <c r="AR285" s="140" t="str">
        <f>IFERROR(ROUND((tblPiNHistorical[[#This Row],[Education New]]-tblPiNHistorical[[#This Row],[Education Old]])/tblPiNHistorical[[#This Row],[Education Old]], 1), "")</f>
        <v/>
      </c>
      <c r="AS285" s="141" t="str">
        <f>IFERROR(ROUND((tblPiNHistorical[[#This Row],[Food Security and Livlihoods New]]-tblPiNHistorical[[#This Row],[Food Security and Livlihoods Old]])/tblPiNHistorical[[#This Row],[Food Security and Livlihoods Old]], 1), "")</f>
        <v/>
      </c>
      <c r="AT285" s="142" t="str">
        <f>IFERROR(ROUND((tblPiNHistorical[[#This Row],[Health New]]-tblPiNHistorical[[#This Row],[Health Old]])/tblPiNHistorical[[#This Row],[Health Old]], 1), "")</f>
        <v/>
      </c>
      <c r="AU285" s="140" t="str">
        <f>IFERROR(ROUND((tblPiNHistorical[[#This Row],[Nutrition New]]-tblPiNHistorical[[#This Row],[Nutrition Old]])/tblPiNHistorical[[#This Row],[Nutrition Old]], 1), "")</f>
        <v/>
      </c>
      <c r="AV285" s="140" t="str">
        <f>IFERROR(ROUND((tblPiNHistorical[[#This Row],[Protection New]]-tblPiNHistorical[[#This Row],[Protection Old]])/tblPiNHistorical[[#This Row],[Protection Old]], 1), "")</f>
        <v/>
      </c>
      <c r="AW285" s="84" t="str">
        <f>IFERROR(ROUND((tblPiNHistorical[[#This Row],[CP New]]-tblPiNHistorical[[#This Row],[CP Old ]])/tblPiNHistorical[[#This Row],[CP Old ]], 1), "")</f>
        <v/>
      </c>
      <c r="AX285" s="84" t="str">
        <f>IFERROR(ROUND((tblPiNHistorical[[#This Row],[GBV New]]-tblPiNHistorical[[#This Row],[GBV Old]])/tblPiNHistorical[[#This Row],[GBV Old]], 1), "")</f>
        <v/>
      </c>
      <c r="AY285" s="84" t="str">
        <f>IFERROR(ROUND((tblPiNHistorical[[#This Row],[Mine Action New]]-tblPiNHistorical[[#This Row],[Mine Action Old]])/tblPiNHistorical[[#This Row],[Mine Action Old]], 1), "")</f>
        <v/>
      </c>
      <c r="AZ285" s="140" t="str">
        <f>IFERROR(ROUND((tblPiNHistorical[[#This Row],[Shelter NFI New]]-tblPiNHistorical[[#This Row],[Shelter NFI Old]])/tblPiNHistorical[[#This Row],[Shelter NFI Old]], 1), "")</f>
        <v/>
      </c>
      <c r="BA285" s="31" t="str">
        <f>IFERROR(ROUND((tblPiNHistorical[[#This Row],[WASH New]]-tblPiNHistorical[[#This Row],[WASH Old]])/tblPiNHistorical[[#This Row],[WASH Old]], 1), "")</f>
        <v/>
      </c>
    </row>
    <row r="286" spans="1:53" ht="38.25" x14ac:dyDescent="0.25">
      <c r="A286"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RefugeesSD17018</v>
      </c>
      <c r="B286" s="134" t="s">
        <v>173</v>
      </c>
      <c r="C286" s="124" t="s">
        <v>134</v>
      </c>
      <c r="D286" s="124" t="s">
        <v>534</v>
      </c>
      <c r="E286" s="59" t="s">
        <v>535</v>
      </c>
      <c r="F286" s="54"/>
      <c r="G286" s="29"/>
      <c r="H286" s="53">
        <v>0</v>
      </c>
      <c r="I286" s="53" t="s">
        <v>90</v>
      </c>
      <c r="J286" s="34">
        <v>0</v>
      </c>
      <c r="K286" s="116">
        <v>0</v>
      </c>
      <c r="L286" s="114">
        <v>0</v>
      </c>
      <c r="M286" s="114">
        <v>0</v>
      </c>
      <c r="N286" s="114">
        <v>0</v>
      </c>
      <c r="O286" s="114">
        <v>0</v>
      </c>
      <c r="P286" s="114">
        <v>0</v>
      </c>
      <c r="Q286" s="114">
        <v>0</v>
      </c>
      <c r="R286" s="114">
        <v>0</v>
      </c>
      <c r="S286" s="114">
        <v>0</v>
      </c>
      <c r="T286" s="196">
        <v>0</v>
      </c>
      <c r="U286" s="52" t="str">
        <f>IFERROR(INDEX(tblPiNAnalysis[[Site Management ]], MATCH(tblPiNHistorical[[#This Row],[ID]], tblPiNAnalysis[ID], 0)), "")</f>
        <v/>
      </c>
      <c r="V286" s="52" t="str">
        <f>IFERROR(INDEX(tblPiNAnalysis[Education], MATCH(tblPiNHistorical[[#This Row],[ID]], tblPiNAnalysis[ID], 0)), "")</f>
        <v/>
      </c>
      <c r="W286" s="28" t="str">
        <f>IFERROR(INDEX(tblPiNAnalysis[Food Security and Livlihoods], MATCH(tblPiNHistorical[[#This Row],[ID]], tblPiNAnalysis[ID], 0)), "")</f>
        <v/>
      </c>
      <c r="X286" s="28" t="str">
        <f>IFERROR(INDEX(tblPiNAnalysis[[Health ]], MATCH(tblPiNHistorical[[#This Row],[ID]], tblPiNAnalysis[ID], 0)), "")</f>
        <v/>
      </c>
      <c r="Y286" s="28" t="str">
        <f>IFERROR(INDEX(tblPiNAnalysis[Nutrition], MATCH(tblPiNHistorical[[#This Row],[ID]], tblPiNAnalysis[ID], 0)), "")</f>
        <v/>
      </c>
      <c r="Z286" s="28" t="str">
        <f>IFERROR(INDEX(tblPiNAnalysis[Protection], MATCH(tblPiNHistorical[[#This Row],[ID]], tblPiNAnalysis[ID], 0)), "")</f>
        <v/>
      </c>
      <c r="AA286" s="28" t="str">
        <f>IFERROR(INDEX(tblPiNAnalysis[CP], MATCH(tblPiNHistorical[[#This Row],[ID]], tblPiNAnalysis[ID], 0)), "")</f>
        <v/>
      </c>
      <c r="AB286" s="83" t="str">
        <f>IFERROR(INDEX(tblPiNAnalysis[GBV], MATCH(tblPiNHistorical[[#This Row],[ID]], tblPiNAnalysis[ID], 0)), "")</f>
        <v/>
      </c>
      <c r="AC286" s="28" t="str">
        <f>IFERROR(INDEX(tblPiNAnalysis[Mine Action], MATCH(tblPiNHistorical[[#This Row],[ID]], tblPiNAnalysis[ID], 0)), "")</f>
        <v/>
      </c>
      <c r="AD286" s="83" t="str">
        <f>IFERROR(INDEX(tblPiNAnalysis[[Shelter NFI ]], MATCH(tblPiNHistorical[[#This Row],[ID]], tblPiNAnalysis[ID], 0)), "")</f>
        <v/>
      </c>
      <c r="AE286" s="28" t="str">
        <f>IFERROR(INDEX(tblPiNAnalysis[WASH], MATCH(tblPiNHistorical[[#This Row],[ID]], tblPiNAnalysis[ID], 0)), "")</f>
        <v/>
      </c>
      <c r="AF286"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286" s="136" t="str">
        <f>IF(OR(tblPiNHistorical[[#This Row],[Education Old]]="", tblPiNHistorical[[#This Row],[Education Old]]=0, tblPiNHistorical[[#This Row],[Education New]]="", tblPiNHistorical[[#This Row],[Education New]]=0), "", tblPiNHistorical[[#This Row],[Education New]]-tblPiNHistorical[[#This Row],[Education Old]])</f>
        <v/>
      </c>
      <c r="AH286"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286" s="137" t="str">
        <f>IF(OR(tblPiNHistorical[[#This Row],[Health Old]]="", tblPiNHistorical[[#This Row],[Health Old]]=0, tblPiNHistorical[[#This Row],[Health New]]="", tblPiNHistorical[[#This Row],[Health New]]=0), "", tblPiNHistorical[[#This Row],[Health New]]-tblPiNHistorical[[#This Row],[Health Old]])</f>
        <v/>
      </c>
      <c r="AJ286" s="136" t="str">
        <f>IF(OR(tblPiNHistorical[[#This Row],[Nutrition Old]]="", tblPiNHistorical[[#This Row],[Nutrition Old]]=0, tblPiNHistorical[[#This Row],[Nutrition New]]="", tblPiNHistorical[[#This Row],[Nutrition New]]=0), "", tblPiNHistorical[[#This Row],[Nutrition New]]-tblPiNHistorical[[#This Row],[Nutrition Old]])</f>
        <v/>
      </c>
      <c r="AK286" s="136" t="str">
        <f>IF(OR(tblPiNHistorical[[#This Row],[Protection Old]]="", tblPiNHistorical[[#This Row],[Protection Old]]=0, tblPiNHistorical[[#This Row],[Protection New]]="", tblPiNHistorical[[#This Row],[Protection New]]=0), "", tblPiNHistorical[[#This Row],[Protection New]]-tblPiNHistorical[[#This Row],[Protection Old]])</f>
        <v/>
      </c>
      <c r="AL286" s="136" t="str">
        <f>IF(OR(tblPiNHistorical[[#This Row],[CP Old ]]="", tblPiNHistorical[[#This Row],[CP Old ]]=0, tblPiNHistorical[[#This Row],[CP New]]="", tblPiNHistorical[[#This Row],[CP New]]=0), "", tblPiNHistorical[[#This Row],[CP New]]-tblPiNHistorical[[#This Row],[CP Old ]])</f>
        <v/>
      </c>
      <c r="AM286" s="83" t="str">
        <f>IF(OR(tblPiNHistorical[[#This Row],[GBV Old]]="", tblPiNHistorical[[#This Row],[GBV Old]]=0, tblPiNHistorical[[#This Row],[GBV New]]="", tblPiNHistorical[[#This Row],[GBV New]]=0), "", tblPiNHistorical[[#This Row],[GBV New]]-tblPiNHistorical[[#This Row],[GBV Old]])</f>
        <v/>
      </c>
      <c r="AN286" s="83" t="str">
        <f>IF(OR(tblPiNHistorical[[#This Row],[Mine Action Old]]="", tblPiNHistorical[[#This Row],[Mine Action Old]]=0, tblPiNHistorical[[#This Row],[Mine Action New]]="", tblPiNHistorical[[#This Row],[Mine Action New]]=0), "", tblPiNHistorical[[#This Row],[Mine Action New]]-tblPiNHistorical[[#This Row],[Mine Action Old]])</f>
        <v/>
      </c>
      <c r="AO286" s="136" t="str">
        <f>IF(OR(tblPiNHistorical[[#This Row],[Shelter NFI Old]]="", tblPiNHistorical[[#This Row],[Shelter NFI Old]]=0, tblPiNHistorical[[#This Row],[Shelter NFI New]]="", tblPiNHistorical[[#This Row],[Shelter NFI New]]=0), "", tblPiNHistorical[[#This Row],[Shelter NFI New]]-tblPiNHistorical[[#This Row],[Shelter NFI Old]])</f>
        <v/>
      </c>
      <c r="AP286" s="138" t="str">
        <f>IF(OR(tblPiNHistorical[[#This Row],[WASH Old]]="", tblPiNHistorical[[#This Row],[WASH Old]]=0, tblPiNHistorical[[#This Row],[WASH New]]="", tblPiNHistorical[[#This Row],[WASH New]]=0), "", tblPiNHistorical[[#This Row],[WASH New]]-tblPiNHistorical[[#This Row],[WASH Old]])</f>
        <v/>
      </c>
      <c r="AQ286" s="139" t="str">
        <f>IFERROR(ROUND((tblPiNHistorical[[#This Row],[Site Management - New]] - tblPiNHistorical[[#This Row],[Site Management - Old]])/tblPiNHistorical[[#This Row],[Site Management - Old]], 1), "")</f>
        <v/>
      </c>
      <c r="AR286" s="140" t="str">
        <f>IFERROR(ROUND((tblPiNHistorical[[#This Row],[Education New]]-tblPiNHistorical[[#This Row],[Education Old]])/tblPiNHistorical[[#This Row],[Education Old]], 1), "")</f>
        <v/>
      </c>
      <c r="AS286" s="141" t="str">
        <f>IFERROR(ROUND((tblPiNHistorical[[#This Row],[Food Security and Livlihoods New]]-tblPiNHistorical[[#This Row],[Food Security and Livlihoods Old]])/tblPiNHistorical[[#This Row],[Food Security and Livlihoods Old]], 1), "")</f>
        <v/>
      </c>
      <c r="AT286" s="142" t="str">
        <f>IFERROR(ROUND((tblPiNHistorical[[#This Row],[Health New]]-tblPiNHistorical[[#This Row],[Health Old]])/tblPiNHistorical[[#This Row],[Health Old]], 1), "")</f>
        <v/>
      </c>
      <c r="AU286" s="140" t="str">
        <f>IFERROR(ROUND((tblPiNHistorical[[#This Row],[Nutrition New]]-tblPiNHistorical[[#This Row],[Nutrition Old]])/tblPiNHistorical[[#This Row],[Nutrition Old]], 1), "")</f>
        <v/>
      </c>
      <c r="AV286" s="140" t="str">
        <f>IFERROR(ROUND((tblPiNHistorical[[#This Row],[Protection New]]-tblPiNHistorical[[#This Row],[Protection Old]])/tblPiNHistorical[[#This Row],[Protection Old]], 1), "")</f>
        <v/>
      </c>
      <c r="AW286" s="84" t="str">
        <f>IFERROR(ROUND((tblPiNHistorical[[#This Row],[CP New]]-tblPiNHistorical[[#This Row],[CP Old ]])/tblPiNHistorical[[#This Row],[CP Old ]], 1), "")</f>
        <v/>
      </c>
      <c r="AX286" s="84" t="str">
        <f>IFERROR(ROUND((tblPiNHistorical[[#This Row],[GBV New]]-tblPiNHistorical[[#This Row],[GBV Old]])/tblPiNHistorical[[#This Row],[GBV Old]], 1), "")</f>
        <v/>
      </c>
      <c r="AY286" s="84" t="str">
        <f>IFERROR(ROUND((tblPiNHistorical[[#This Row],[Mine Action New]]-tblPiNHistorical[[#This Row],[Mine Action Old]])/tblPiNHistorical[[#This Row],[Mine Action Old]], 1), "")</f>
        <v/>
      </c>
      <c r="AZ286" s="140" t="str">
        <f>IFERROR(ROUND((tblPiNHistorical[[#This Row],[Shelter NFI New]]-tblPiNHistorical[[#This Row],[Shelter NFI Old]])/tblPiNHistorical[[#This Row],[Shelter NFI Old]], 1), "")</f>
        <v/>
      </c>
      <c r="BA286" s="31" t="str">
        <f>IFERROR(ROUND((tblPiNHistorical[[#This Row],[WASH New]]-tblPiNHistorical[[#This Row],[WASH Old]])/tblPiNHistorical[[#This Row],[WASH Old]], 1), "")</f>
        <v/>
      </c>
    </row>
    <row r="287" spans="1:53" ht="38.25" x14ac:dyDescent="0.25">
      <c r="A287"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RefugeesSD17015</v>
      </c>
      <c r="B287" s="134" t="s">
        <v>173</v>
      </c>
      <c r="C287" s="124" t="s">
        <v>134</v>
      </c>
      <c r="D287" s="124" t="s">
        <v>528</v>
      </c>
      <c r="E287" s="59" t="s">
        <v>529</v>
      </c>
      <c r="F287" s="54"/>
      <c r="G287" s="29"/>
      <c r="H287" s="53">
        <v>0</v>
      </c>
      <c r="I287" s="53" t="s">
        <v>90</v>
      </c>
      <c r="J287" s="34">
        <v>0</v>
      </c>
      <c r="K287" s="116">
        <v>0</v>
      </c>
      <c r="L287" s="114">
        <v>0</v>
      </c>
      <c r="M287" s="114">
        <v>0</v>
      </c>
      <c r="N287" s="114">
        <v>0</v>
      </c>
      <c r="O287" s="114">
        <v>0</v>
      </c>
      <c r="P287" s="114">
        <v>0</v>
      </c>
      <c r="Q287" s="114">
        <v>0</v>
      </c>
      <c r="R287" s="114">
        <v>0</v>
      </c>
      <c r="S287" s="114">
        <v>0</v>
      </c>
      <c r="T287" s="196">
        <v>0</v>
      </c>
      <c r="U287" s="52" t="str">
        <f>IFERROR(INDEX(tblPiNAnalysis[[Site Management ]], MATCH(tblPiNHistorical[[#This Row],[ID]], tblPiNAnalysis[ID], 0)), "")</f>
        <v/>
      </c>
      <c r="V287" s="52" t="str">
        <f>IFERROR(INDEX(tblPiNAnalysis[Education], MATCH(tblPiNHistorical[[#This Row],[ID]], tblPiNAnalysis[ID], 0)), "")</f>
        <v/>
      </c>
      <c r="W287" s="28" t="str">
        <f>IFERROR(INDEX(tblPiNAnalysis[Food Security and Livlihoods], MATCH(tblPiNHistorical[[#This Row],[ID]], tblPiNAnalysis[ID], 0)), "")</f>
        <v/>
      </c>
      <c r="X287" s="28" t="str">
        <f>IFERROR(INDEX(tblPiNAnalysis[[Health ]], MATCH(tblPiNHistorical[[#This Row],[ID]], tblPiNAnalysis[ID], 0)), "")</f>
        <v/>
      </c>
      <c r="Y287" s="28" t="str">
        <f>IFERROR(INDEX(tblPiNAnalysis[Nutrition], MATCH(tblPiNHistorical[[#This Row],[ID]], tblPiNAnalysis[ID], 0)), "")</f>
        <v/>
      </c>
      <c r="Z287" s="28" t="str">
        <f>IFERROR(INDEX(tblPiNAnalysis[Protection], MATCH(tblPiNHistorical[[#This Row],[ID]], tblPiNAnalysis[ID], 0)), "")</f>
        <v/>
      </c>
      <c r="AA287" s="28" t="str">
        <f>IFERROR(INDEX(tblPiNAnalysis[CP], MATCH(tblPiNHistorical[[#This Row],[ID]], tblPiNAnalysis[ID], 0)), "")</f>
        <v/>
      </c>
      <c r="AB287" s="83" t="str">
        <f>IFERROR(INDEX(tblPiNAnalysis[GBV], MATCH(tblPiNHistorical[[#This Row],[ID]], tblPiNAnalysis[ID], 0)), "")</f>
        <v/>
      </c>
      <c r="AC287" s="28" t="str">
        <f>IFERROR(INDEX(tblPiNAnalysis[Mine Action], MATCH(tblPiNHistorical[[#This Row],[ID]], tblPiNAnalysis[ID], 0)), "")</f>
        <v/>
      </c>
      <c r="AD287" s="83" t="str">
        <f>IFERROR(INDEX(tblPiNAnalysis[[Shelter NFI ]], MATCH(tblPiNHistorical[[#This Row],[ID]], tblPiNAnalysis[ID], 0)), "")</f>
        <v/>
      </c>
      <c r="AE287" s="28" t="str">
        <f>IFERROR(INDEX(tblPiNAnalysis[WASH], MATCH(tblPiNHistorical[[#This Row],[ID]], tblPiNAnalysis[ID], 0)), "")</f>
        <v/>
      </c>
      <c r="AF287"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287" s="136" t="str">
        <f>IF(OR(tblPiNHistorical[[#This Row],[Education Old]]="", tblPiNHistorical[[#This Row],[Education Old]]=0, tblPiNHistorical[[#This Row],[Education New]]="", tblPiNHistorical[[#This Row],[Education New]]=0), "", tblPiNHistorical[[#This Row],[Education New]]-tblPiNHistorical[[#This Row],[Education Old]])</f>
        <v/>
      </c>
      <c r="AH287"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287" s="137" t="str">
        <f>IF(OR(tblPiNHistorical[[#This Row],[Health Old]]="", tblPiNHistorical[[#This Row],[Health Old]]=0, tblPiNHistorical[[#This Row],[Health New]]="", tblPiNHistorical[[#This Row],[Health New]]=0), "", tblPiNHistorical[[#This Row],[Health New]]-tblPiNHistorical[[#This Row],[Health Old]])</f>
        <v/>
      </c>
      <c r="AJ287" s="136" t="str">
        <f>IF(OR(tblPiNHistorical[[#This Row],[Nutrition Old]]="", tblPiNHistorical[[#This Row],[Nutrition Old]]=0, tblPiNHistorical[[#This Row],[Nutrition New]]="", tblPiNHistorical[[#This Row],[Nutrition New]]=0), "", tblPiNHistorical[[#This Row],[Nutrition New]]-tblPiNHistorical[[#This Row],[Nutrition Old]])</f>
        <v/>
      </c>
      <c r="AK287" s="136" t="str">
        <f>IF(OR(tblPiNHistorical[[#This Row],[Protection Old]]="", tblPiNHistorical[[#This Row],[Protection Old]]=0, tblPiNHistorical[[#This Row],[Protection New]]="", tblPiNHistorical[[#This Row],[Protection New]]=0), "", tblPiNHistorical[[#This Row],[Protection New]]-tblPiNHistorical[[#This Row],[Protection Old]])</f>
        <v/>
      </c>
      <c r="AL287" s="136" t="str">
        <f>IF(OR(tblPiNHistorical[[#This Row],[CP Old ]]="", tblPiNHistorical[[#This Row],[CP Old ]]=0, tblPiNHistorical[[#This Row],[CP New]]="", tblPiNHistorical[[#This Row],[CP New]]=0), "", tblPiNHistorical[[#This Row],[CP New]]-tblPiNHistorical[[#This Row],[CP Old ]])</f>
        <v/>
      </c>
      <c r="AM287" s="83" t="str">
        <f>IF(OR(tblPiNHistorical[[#This Row],[GBV Old]]="", tblPiNHistorical[[#This Row],[GBV Old]]=0, tblPiNHistorical[[#This Row],[GBV New]]="", tblPiNHistorical[[#This Row],[GBV New]]=0), "", tblPiNHistorical[[#This Row],[GBV New]]-tblPiNHistorical[[#This Row],[GBV Old]])</f>
        <v/>
      </c>
      <c r="AN287" s="83" t="str">
        <f>IF(OR(tblPiNHistorical[[#This Row],[Mine Action Old]]="", tblPiNHistorical[[#This Row],[Mine Action Old]]=0, tblPiNHistorical[[#This Row],[Mine Action New]]="", tblPiNHistorical[[#This Row],[Mine Action New]]=0), "", tblPiNHistorical[[#This Row],[Mine Action New]]-tblPiNHistorical[[#This Row],[Mine Action Old]])</f>
        <v/>
      </c>
      <c r="AO287" s="136" t="str">
        <f>IF(OR(tblPiNHistorical[[#This Row],[Shelter NFI Old]]="", tblPiNHistorical[[#This Row],[Shelter NFI Old]]=0, tblPiNHistorical[[#This Row],[Shelter NFI New]]="", tblPiNHistorical[[#This Row],[Shelter NFI New]]=0), "", tblPiNHistorical[[#This Row],[Shelter NFI New]]-tblPiNHistorical[[#This Row],[Shelter NFI Old]])</f>
        <v/>
      </c>
      <c r="AP287" s="138" t="str">
        <f>IF(OR(tblPiNHistorical[[#This Row],[WASH Old]]="", tblPiNHistorical[[#This Row],[WASH Old]]=0, tblPiNHistorical[[#This Row],[WASH New]]="", tblPiNHistorical[[#This Row],[WASH New]]=0), "", tblPiNHistorical[[#This Row],[WASH New]]-tblPiNHistorical[[#This Row],[WASH Old]])</f>
        <v/>
      </c>
      <c r="AQ287" s="139" t="str">
        <f>IFERROR(ROUND((tblPiNHistorical[[#This Row],[Site Management - New]] - tblPiNHistorical[[#This Row],[Site Management - Old]])/tblPiNHistorical[[#This Row],[Site Management - Old]], 1), "")</f>
        <v/>
      </c>
      <c r="AR287" s="140" t="str">
        <f>IFERROR(ROUND((tblPiNHistorical[[#This Row],[Education New]]-tblPiNHistorical[[#This Row],[Education Old]])/tblPiNHistorical[[#This Row],[Education Old]], 1), "")</f>
        <v/>
      </c>
      <c r="AS287" s="141" t="str">
        <f>IFERROR(ROUND((tblPiNHistorical[[#This Row],[Food Security and Livlihoods New]]-tblPiNHistorical[[#This Row],[Food Security and Livlihoods Old]])/tblPiNHistorical[[#This Row],[Food Security and Livlihoods Old]], 1), "")</f>
        <v/>
      </c>
      <c r="AT287" s="142" t="str">
        <f>IFERROR(ROUND((tblPiNHistorical[[#This Row],[Health New]]-tblPiNHistorical[[#This Row],[Health Old]])/tblPiNHistorical[[#This Row],[Health Old]], 1), "")</f>
        <v/>
      </c>
      <c r="AU287" s="140" t="str">
        <f>IFERROR(ROUND((tblPiNHistorical[[#This Row],[Nutrition New]]-tblPiNHistorical[[#This Row],[Nutrition Old]])/tblPiNHistorical[[#This Row],[Nutrition Old]], 1), "")</f>
        <v/>
      </c>
      <c r="AV287" s="140" t="str">
        <f>IFERROR(ROUND((tblPiNHistorical[[#This Row],[Protection New]]-tblPiNHistorical[[#This Row],[Protection Old]])/tblPiNHistorical[[#This Row],[Protection Old]], 1), "")</f>
        <v/>
      </c>
      <c r="AW287" s="84" t="str">
        <f>IFERROR(ROUND((tblPiNHistorical[[#This Row],[CP New]]-tblPiNHistorical[[#This Row],[CP Old ]])/tblPiNHistorical[[#This Row],[CP Old ]], 1), "")</f>
        <v/>
      </c>
      <c r="AX287" s="84" t="str">
        <f>IFERROR(ROUND((tblPiNHistorical[[#This Row],[GBV New]]-tblPiNHistorical[[#This Row],[GBV Old]])/tblPiNHistorical[[#This Row],[GBV Old]], 1), "")</f>
        <v/>
      </c>
      <c r="AY287" s="84" t="str">
        <f>IFERROR(ROUND((tblPiNHistorical[[#This Row],[Mine Action New]]-tblPiNHistorical[[#This Row],[Mine Action Old]])/tblPiNHistorical[[#This Row],[Mine Action Old]], 1), "")</f>
        <v/>
      </c>
      <c r="AZ287" s="140" t="str">
        <f>IFERROR(ROUND((tblPiNHistorical[[#This Row],[Shelter NFI New]]-tblPiNHistorical[[#This Row],[Shelter NFI Old]])/tblPiNHistorical[[#This Row],[Shelter NFI Old]], 1), "")</f>
        <v/>
      </c>
      <c r="BA287" s="31" t="str">
        <f>IFERROR(ROUND((tblPiNHistorical[[#This Row],[WASH New]]-tblPiNHistorical[[#This Row],[WASH Old]])/tblPiNHistorical[[#This Row],[WASH Old]], 1), "")</f>
        <v/>
      </c>
    </row>
    <row r="288" spans="1:53" ht="38.25" x14ac:dyDescent="0.25">
      <c r="A288"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RefugeesSD17017</v>
      </c>
      <c r="B288" s="134" t="s">
        <v>173</v>
      </c>
      <c r="C288" s="124" t="s">
        <v>134</v>
      </c>
      <c r="D288" s="124" t="s">
        <v>532</v>
      </c>
      <c r="E288" s="59" t="s">
        <v>533</v>
      </c>
      <c r="F288" s="54"/>
      <c r="G288" s="29"/>
      <c r="H288" s="53">
        <v>881</v>
      </c>
      <c r="I288" s="53" t="s">
        <v>90</v>
      </c>
      <c r="J288" s="34">
        <v>0</v>
      </c>
      <c r="K288" s="116">
        <v>440</v>
      </c>
      <c r="L288" s="114">
        <v>844</v>
      </c>
      <c r="M288" s="114">
        <v>582</v>
      </c>
      <c r="N288" s="114">
        <v>76</v>
      </c>
      <c r="O288" s="114">
        <v>844</v>
      </c>
      <c r="P288" s="114">
        <v>127.444</v>
      </c>
      <c r="Q288" s="114">
        <v>374.73599999999999</v>
      </c>
      <c r="R288" s="114">
        <v>0</v>
      </c>
      <c r="S288" s="114">
        <v>0</v>
      </c>
      <c r="T288" s="196">
        <v>196</v>
      </c>
      <c r="U288" s="52" t="str">
        <f>IFERROR(INDEX(tblPiNAnalysis[[Site Management ]], MATCH(tblPiNHistorical[[#This Row],[ID]], tblPiNAnalysis[ID], 0)), "")</f>
        <v/>
      </c>
      <c r="V288" s="52" t="str">
        <f>IFERROR(INDEX(tblPiNAnalysis[Education], MATCH(tblPiNHistorical[[#This Row],[ID]], tblPiNAnalysis[ID], 0)), "")</f>
        <v/>
      </c>
      <c r="W288" s="28" t="str">
        <f>IFERROR(INDEX(tblPiNAnalysis[Food Security and Livlihoods], MATCH(tblPiNHistorical[[#This Row],[ID]], tblPiNAnalysis[ID], 0)), "")</f>
        <v/>
      </c>
      <c r="X288" s="28" t="str">
        <f>IFERROR(INDEX(tblPiNAnalysis[[Health ]], MATCH(tblPiNHistorical[[#This Row],[ID]], tblPiNAnalysis[ID], 0)), "")</f>
        <v/>
      </c>
      <c r="Y288" s="28" t="str">
        <f>IFERROR(INDEX(tblPiNAnalysis[Nutrition], MATCH(tblPiNHistorical[[#This Row],[ID]], tblPiNAnalysis[ID], 0)), "")</f>
        <v/>
      </c>
      <c r="Z288" s="28" t="str">
        <f>IFERROR(INDEX(tblPiNAnalysis[Protection], MATCH(tblPiNHistorical[[#This Row],[ID]], tblPiNAnalysis[ID], 0)), "")</f>
        <v/>
      </c>
      <c r="AA288" s="28" t="str">
        <f>IFERROR(INDEX(tblPiNAnalysis[CP], MATCH(tblPiNHistorical[[#This Row],[ID]], tblPiNAnalysis[ID], 0)), "")</f>
        <v/>
      </c>
      <c r="AB288" s="83" t="str">
        <f>IFERROR(INDEX(tblPiNAnalysis[GBV], MATCH(tblPiNHistorical[[#This Row],[ID]], tblPiNAnalysis[ID], 0)), "")</f>
        <v/>
      </c>
      <c r="AC288" s="28" t="str">
        <f>IFERROR(INDEX(tblPiNAnalysis[Mine Action], MATCH(tblPiNHistorical[[#This Row],[ID]], tblPiNAnalysis[ID], 0)), "")</f>
        <v/>
      </c>
      <c r="AD288" s="83" t="str">
        <f>IFERROR(INDEX(tblPiNAnalysis[[Shelter NFI ]], MATCH(tblPiNHistorical[[#This Row],[ID]], tblPiNAnalysis[ID], 0)), "")</f>
        <v/>
      </c>
      <c r="AE288" s="28" t="str">
        <f>IFERROR(INDEX(tblPiNAnalysis[WASH], MATCH(tblPiNHistorical[[#This Row],[ID]], tblPiNAnalysis[ID], 0)), "")</f>
        <v/>
      </c>
      <c r="AF288"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288" s="136" t="str">
        <f>IF(OR(tblPiNHistorical[[#This Row],[Education Old]]="", tblPiNHistorical[[#This Row],[Education Old]]=0, tblPiNHistorical[[#This Row],[Education New]]="", tblPiNHistorical[[#This Row],[Education New]]=0), "", tblPiNHistorical[[#This Row],[Education New]]-tblPiNHistorical[[#This Row],[Education Old]])</f>
        <v/>
      </c>
      <c r="AH288"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288" s="137" t="str">
        <f>IF(OR(tblPiNHistorical[[#This Row],[Health Old]]="", tblPiNHistorical[[#This Row],[Health Old]]=0, tblPiNHistorical[[#This Row],[Health New]]="", tblPiNHistorical[[#This Row],[Health New]]=0), "", tblPiNHistorical[[#This Row],[Health New]]-tblPiNHistorical[[#This Row],[Health Old]])</f>
        <v/>
      </c>
      <c r="AJ288" s="136" t="str">
        <f>IF(OR(tblPiNHistorical[[#This Row],[Nutrition Old]]="", tblPiNHistorical[[#This Row],[Nutrition Old]]=0, tblPiNHistorical[[#This Row],[Nutrition New]]="", tblPiNHistorical[[#This Row],[Nutrition New]]=0), "", tblPiNHistorical[[#This Row],[Nutrition New]]-tblPiNHistorical[[#This Row],[Nutrition Old]])</f>
        <v/>
      </c>
      <c r="AK288" s="136" t="str">
        <f>IF(OR(tblPiNHistorical[[#This Row],[Protection Old]]="", tblPiNHistorical[[#This Row],[Protection Old]]=0, tblPiNHistorical[[#This Row],[Protection New]]="", tblPiNHistorical[[#This Row],[Protection New]]=0), "", tblPiNHistorical[[#This Row],[Protection New]]-tblPiNHistorical[[#This Row],[Protection Old]])</f>
        <v/>
      </c>
      <c r="AL288" s="136" t="str">
        <f>IF(OR(tblPiNHistorical[[#This Row],[CP Old ]]="", tblPiNHistorical[[#This Row],[CP Old ]]=0, tblPiNHistorical[[#This Row],[CP New]]="", tblPiNHistorical[[#This Row],[CP New]]=0), "", tblPiNHistorical[[#This Row],[CP New]]-tblPiNHistorical[[#This Row],[CP Old ]])</f>
        <v/>
      </c>
      <c r="AM288" s="83" t="str">
        <f>IF(OR(tblPiNHistorical[[#This Row],[GBV Old]]="", tblPiNHistorical[[#This Row],[GBV Old]]=0, tblPiNHistorical[[#This Row],[GBV New]]="", tblPiNHistorical[[#This Row],[GBV New]]=0), "", tblPiNHistorical[[#This Row],[GBV New]]-tblPiNHistorical[[#This Row],[GBV Old]])</f>
        <v/>
      </c>
      <c r="AN288" s="83" t="str">
        <f>IF(OR(tblPiNHistorical[[#This Row],[Mine Action Old]]="", tblPiNHistorical[[#This Row],[Mine Action Old]]=0, tblPiNHistorical[[#This Row],[Mine Action New]]="", tblPiNHistorical[[#This Row],[Mine Action New]]=0), "", tblPiNHistorical[[#This Row],[Mine Action New]]-tblPiNHistorical[[#This Row],[Mine Action Old]])</f>
        <v/>
      </c>
      <c r="AO288" s="136" t="str">
        <f>IF(OR(tblPiNHistorical[[#This Row],[Shelter NFI Old]]="", tblPiNHistorical[[#This Row],[Shelter NFI Old]]=0, tblPiNHistorical[[#This Row],[Shelter NFI New]]="", tblPiNHistorical[[#This Row],[Shelter NFI New]]=0), "", tblPiNHistorical[[#This Row],[Shelter NFI New]]-tblPiNHistorical[[#This Row],[Shelter NFI Old]])</f>
        <v/>
      </c>
      <c r="AP288" s="138" t="str">
        <f>IF(OR(tblPiNHistorical[[#This Row],[WASH Old]]="", tblPiNHistorical[[#This Row],[WASH Old]]=0, tblPiNHistorical[[#This Row],[WASH New]]="", tblPiNHistorical[[#This Row],[WASH New]]=0), "", tblPiNHistorical[[#This Row],[WASH New]]-tblPiNHistorical[[#This Row],[WASH Old]])</f>
        <v/>
      </c>
      <c r="AQ288" s="139" t="str">
        <f>IFERROR(ROUND((tblPiNHistorical[[#This Row],[Site Management - New]] - tblPiNHistorical[[#This Row],[Site Management - Old]])/tblPiNHistorical[[#This Row],[Site Management - Old]], 1), "")</f>
        <v/>
      </c>
      <c r="AR288" s="140" t="str">
        <f>IFERROR(ROUND((tblPiNHistorical[[#This Row],[Education New]]-tblPiNHistorical[[#This Row],[Education Old]])/tblPiNHistorical[[#This Row],[Education Old]], 1), "")</f>
        <v/>
      </c>
      <c r="AS288" s="141" t="str">
        <f>IFERROR(ROUND((tblPiNHistorical[[#This Row],[Food Security and Livlihoods New]]-tblPiNHistorical[[#This Row],[Food Security and Livlihoods Old]])/tblPiNHistorical[[#This Row],[Food Security and Livlihoods Old]], 1), "")</f>
        <v/>
      </c>
      <c r="AT288" s="142" t="str">
        <f>IFERROR(ROUND((tblPiNHistorical[[#This Row],[Health New]]-tblPiNHistorical[[#This Row],[Health Old]])/tblPiNHistorical[[#This Row],[Health Old]], 1), "")</f>
        <v/>
      </c>
      <c r="AU288" s="140" t="str">
        <f>IFERROR(ROUND((tblPiNHistorical[[#This Row],[Nutrition New]]-tblPiNHistorical[[#This Row],[Nutrition Old]])/tblPiNHistorical[[#This Row],[Nutrition Old]], 1), "")</f>
        <v/>
      </c>
      <c r="AV288" s="140" t="str">
        <f>IFERROR(ROUND((tblPiNHistorical[[#This Row],[Protection New]]-tblPiNHistorical[[#This Row],[Protection Old]])/tblPiNHistorical[[#This Row],[Protection Old]], 1), "")</f>
        <v/>
      </c>
      <c r="AW288" s="84" t="str">
        <f>IFERROR(ROUND((tblPiNHistorical[[#This Row],[CP New]]-tblPiNHistorical[[#This Row],[CP Old ]])/tblPiNHistorical[[#This Row],[CP Old ]], 1), "")</f>
        <v/>
      </c>
      <c r="AX288" s="84" t="str">
        <f>IFERROR(ROUND((tblPiNHistorical[[#This Row],[GBV New]]-tblPiNHistorical[[#This Row],[GBV Old]])/tblPiNHistorical[[#This Row],[GBV Old]], 1), "")</f>
        <v/>
      </c>
      <c r="AY288" s="84" t="str">
        <f>IFERROR(ROUND((tblPiNHistorical[[#This Row],[Mine Action New]]-tblPiNHistorical[[#This Row],[Mine Action Old]])/tblPiNHistorical[[#This Row],[Mine Action Old]], 1), "")</f>
        <v/>
      </c>
      <c r="AZ288" s="140" t="str">
        <f>IFERROR(ROUND((tblPiNHistorical[[#This Row],[Shelter NFI New]]-tblPiNHistorical[[#This Row],[Shelter NFI Old]])/tblPiNHistorical[[#This Row],[Shelter NFI Old]], 1), "")</f>
        <v/>
      </c>
      <c r="BA288" s="31" t="str">
        <f>IFERROR(ROUND((tblPiNHistorical[[#This Row],[WASH New]]-tblPiNHistorical[[#This Row],[WASH Old]])/tblPiNHistorical[[#This Row],[WASH Old]], 1), "")</f>
        <v/>
      </c>
    </row>
    <row r="289" spans="1:53" ht="38.25" x14ac:dyDescent="0.25">
      <c r="A289"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RefugeesSD17014</v>
      </c>
      <c r="B289" s="134" t="s">
        <v>173</v>
      </c>
      <c r="C289" s="124" t="s">
        <v>134</v>
      </c>
      <c r="D289" s="124" t="s">
        <v>526</v>
      </c>
      <c r="E289" s="59" t="s">
        <v>527</v>
      </c>
      <c r="F289" s="54"/>
      <c r="G289" s="29"/>
      <c r="H289" s="53">
        <v>0</v>
      </c>
      <c r="I289" s="53" t="s">
        <v>90</v>
      </c>
      <c r="J289" s="34">
        <v>0</v>
      </c>
      <c r="K289" s="116">
        <v>0</v>
      </c>
      <c r="L289" s="114">
        <v>0</v>
      </c>
      <c r="M289" s="114">
        <v>0</v>
      </c>
      <c r="N289" s="114">
        <v>0</v>
      </c>
      <c r="O289" s="114">
        <v>0</v>
      </c>
      <c r="P289" s="114">
        <v>0</v>
      </c>
      <c r="Q289" s="114">
        <v>0</v>
      </c>
      <c r="R289" s="114">
        <v>0</v>
      </c>
      <c r="S289" s="114">
        <v>0</v>
      </c>
      <c r="T289" s="196">
        <v>0</v>
      </c>
      <c r="U289" s="52" t="str">
        <f>IFERROR(INDEX(tblPiNAnalysis[[Site Management ]], MATCH(tblPiNHistorical[[#This Row],[ID]], tblPiNAnalysis[ID], 0)), "")</f>
        <v/>
      </c>
      <c r="V289" s="52" t="str">
        <f>IFERROR(INDEX(tblPiNAnalysis[Education], MATCH(tblPiNHistorical[[#This Row],[ID]], tblPiNAnalysis[ID], 0)), "")</f>
        <v/>
      </c>
      <c r="W289" s="28" t="str">
        <f>IFERROR(INDEX(tblPiNAnalysis[Food Security and Livlihoods], MATCH(tblPiNHistorical[[#This Row],[ID]], tblPiNAnalysis[ID], 0)), "")</f>
        <v/>
      </c>
      <c r="X289" s="28" t="str">
        <f>IFERROR(INDEX(tblPiNAnalysis[[Health ]], MATCH(tblPiNHistorical[[#This Row],[ID]], tblPiNAnalysis[ID], 0)), "")</f>
        <v/>
      </c>
      <c r="Y289" s="28" t="str">
        <f>IFERROR(INDEX(tblPiNAnalysis[Nutrition], MATCH(tblPiNHistorical[[#This Row],[ID]], tblPiNAnalysis[ID], 0)), "")</f>
        <v/>
      </c>
      <c r="Z289" s="28" t="str">
        <f>IFERROR(INDEX(tblPiNAnalysis[Protection], MATCH(tblPiNHistorical[[#This Row],[ID]], tblPiNAnalysis[ID], 0)), "")</f>
        <v/>
      </c>
      <c r="AA289" s="28" t="str">
        <f>IFERROR(INDEX(tblPiNAnalysis[CP], MATCH(tblPiNHistorical[[#This Row],[ID]], tblPiNAnalysis[ID], 0)), "")</f>
        <v/>
      </c>
      <c r="AB289" s="83" t="str">
        <f>IFERROR(INDEX(tblPiNAnalysis[GBV], MATCH(tblPiNHistorical[[#This Row],[ID]], tblPiNAnalysis[ID], 0)), "")</f>
        <v/>
      </c>
      <c r="AC289" s="28" t="str">
        <f>IFERROR(INDEX(tblPiNAnalysis[Mine Action], MATCH(tblPiNHistorical[[#This Row],[ID]], tblPiNAnalysis[ID], 0)), "")</f>
        <v/>
      </c>
      <c r="AD289" s="83" t="str">
        <f>IFERROR(INDEX(tblPiNAnalysis[[Shelter NFI ]], MATCH(tblPiNHistorical[[#This Row],[ID]], tblPiNAnalysis[ID], 0)), "")</f>
        <v/>
      </c>
      <c r="AE289" s="28" t="str">
        <f>IFERROR(INDEX(tblPiNAnalysis[WASH], MATCH(tblPiNHistorical[[#This Row],[ID]], tblPiNAnalysis[ID], 0)), "")</f>
        <v/>
      </c>
      <c r="AF289"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289" s="136" t="str">
        <f>IF(OR(tblPiNHistorical[[#This Row],[Education Old]]="", tblPiNHistorical[[#This Row],[Education Old]]=0, tblPiNHistorical[[#This Row],[Education New]]="", tblPiNHistorical[[#This Row],[Education New]]=0), "", tblPiNHistorical[[#This Row],[Education New]]-tblPiNHistorical[[#This Row],[Education Old]])</f>
        <v/>
      </c>
      <c r="AH289"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289" s="137" t="str">
        <f>IF(OR(tblPiNHistorical[[#This Row],[Health Old]]="", tblPiNHistorical[[#This Row],[Health Old]]=0, tblPiNHistorical[[#This Row],[Health New]]="", tblPiNHistorical[[#This Row],[Health New]]=0), "", tblPiNHistorical[[#This Row],[Health New]]-tblPiNHistorical[[#This Row],[Health Old]])</f>
        <v/>
      </c>
      <c r="AJ289" s="136" t="str">
        <f>IF(OR(tblPiNHistorical[[#This Row],[Nutrition Old]]="", tblPiNHistorical[[#This Row],[Nutrition Old]]=0, tblPiNHistorical[[#This Row],[Nutrition New]]="", tblPiNHistorical[[#This Row],[Nutrition New]]=0), "", tblPiNHistorical[[#This Row],[Nutrition New]]-tblPiNHistorical[[#This Row],[Nutrition Old]])</f>
        <v/>
      </c>
      <c r="AK289" s="136" t="str">
        <f>IF(OR(tblPiNHistorical[[#This Row],[Protection Old]]="", tblPiNHistorical[[#This Row],[Protection Old]]=0, tblPiNHistorical[[#This Row],[Protection New]]="", tblPiNHistorical[[#This Row],[Protection New]]=0), "", tblPiNHistorical[[#This Row],[Protection New]]-tblPiNHistorical[[#This Row],[Protection Old]])</f>
        <v/>
      </c>
      <c r="AL289" s="136" t="str">
        <f>IF(OR(tblPiNHistorical[[#This Row],[CP Old ]]="", tblPiNHistorical[[#This Row],[CP Old ]]=0, tblPiNHistorical[[#This Row],[CP New]]="", tblPiNHistorical[[#This Row],[CP New]]=0), "", tblPiNHistorical[[#This Row],[CP New]]-tblPiNHistorical[[#This Row],[CP Old ]])</f>
        <v/>
      </c>
      <c r="AM289" s="83" t="str">
        <f>IF(OR(tblPiNHistorical[[#This Row],[GBV Old]]="", tblPiNHistorical[[#This Row],[GBV Old]]=0, tblPiNHistorical[[#This Row],[GBV New]]="", tblPiNHistorical[[#This Row],[GBV New]]=0), "", tblPiNHistorical[[#This Row],[GBV New]]-tblPiNHistorical[[#This Row],[GBV Old]])</f>
        <v/>
      </c>
      <c r="AN289" s="83" t="str">
        <f>IF(OR(tblPiNHistorical[[#This Row],[Mine Action Old]]="", tblPiNHistorical[[#This Row],[Mine Action Old]]=0, tblPiNHistorical[[#This Row],[Mine Action New]]="", tblPiNHistorical[[#This Row],[Mine Action New]]=0), "", tblPiNHistorical[[#This Row],[Mine Action New]]-tblPiNHistorical[[#This Row],[Mine Action Old]])</f>
        <v/>
      </c>
      <c r="AO289" s="136" t="str">
        <f>IF(OR(tblPiNHistorical[[#This Row],[Shelter NFI Old]]="", tblPiNHistorical[[#This Row],[Shelter NFI Old]]=0, tblPiNHistorical[[#This Row],[Shelter NFI New]]="", tblPiNHistorical[[#This Row],[Shelter NFI New]]=0), "", tblPiNHistorical[[#This Row],[Shelter NFI New]]-tblPiNHistorical[[#This Row],[Shelter NFI Old]])</f>
        <v/>
      </c>
      <c r="AP289" s="138" t="str">
        <f>IF(OR(tblPiNHistorical[[#This Row],[WASH Old]]="", tblPiNHistorical[[#This Row],[WASH Old]]=0, tblPiNHistorical[[#This Row],[WASH New]]="", tblPiNHistorical[[#This Row],[WASH New]]=0), "", tblPiNHistorical[[#This Row],[WASH New]]-tblPiNHistorical[[#This Row],[WASH Old]])</f>
        <v/>
      </c>
      <c r="AQ289" s="139" t="str">
        <f>IFERROR(ROUND((tblPiNHistorical[[#This Row],[Site Management - New]] - tblPiNHistorical[[#This Row],[Site Management - Old]])/tblPiNHistorical[[#This Row],[Site Management - Old]], 1), "")</f>
        <v/>
      </c>
      <c r="AR289" s="140" t="str">
        <f>IFERROR(ROUND((tblPiNHistorical[[#This Row],[Education New]]-tblPiNHistorical[[#This Row],[Education Old]])/tblPiNHistorical[[#This Row],[Education Old]], 1), "")</f>
        <v/>
      </c>
      <c r="AS289" s="141" t="str">
        <f>IFERROR(ROUND((tblPiNHistorical[[#This Row],[Food Security and Livlihoods New]]-tblPiNHistorical[[#This Row],[Food Security and Livlihoods Old]])/tblPiNHistorical[[#This Row],[Food Security and Livlihoods Old]], 1), "")</f>
        <v/>
      </c>
      <c r="AT289" s="142" t="str">
        <f>IFERROR(ROUND((tblPiNHistorical[[#This Row],[Health New]]-tblPiNHistorical[[#This Row],[Health Old]])/tblPiNHistorical[[#This Row],[Health Old]], 1), "")</f>
        <v/>
      </c>
      <c r="AU289" s="140" t="str">
        <f>IFERROR(ROUND((tblPiNHistorical[[#This Row],[Nutrition New]]-tblPiNHistorical[[#This Row],[Nutrition Old]])/tblPiNHistorical[[#This Row],[Nutrition Old]], 1), "")</f>
        <v/>
      </c>
      <c r="AV289" s="140" t="str">
        <f>IFERROR(ROUND((tblPiNHistorical[[#This Row],[Protection New]]-tblPiNHistorical[[#This Row],[Protection Old]])/tblPiNHistorical[[#This Row],[Protection Old]], 1), "")</f>
        <v/>
      </c>
      <c r="AW289" s="84" t="str">
        <f>IFERROR(ROUND((tblPiNHistorical[[#This Row],[CP New]]-tblPiNHistorical[[#This Row],[CP Old ]])/tblPiNHistorical[[#This Row],[CP Old ]], 1), "")</f>
        <v/>
      </c>
      <c r="AX289" s="84" t="str">
        <f>IFERROR(ROUND((tblPiNHistorical[[#This Row],[GBV New]]-tblPiNHistorical[[#This Row],[GBV Old]])/tblPiNHistorical[[#This Row],[GBV Old]], 1), "")</f>
        <v/>
      </c>
      <c r="AY289" s="84" t="str">
        <f>IFERROR(ROUND((tblPiNHistorical[[#This Row],[Mine Action New]]-tblPiNHistorical[[#This Row],[Mine Action Old]])/tblPiNHistorical[[#This Row],[Mine Action Old]], 1), "")</f>
        <v/>
      </c>
      <c r="AZ289" s="140" t="str">
        <f>IFERROR(ROUND((tblPiNHistorical[[#This Row],[Shelter NFI New]]-tblPiNHistorical[[#This Row],[Shelter NFI Old]])/tblPiNHistorical[[#This Row],[Shelter NFI Old]], 1), "")</f>
        <v/>
      </c>
      <c r="BA289" s="31" t="str">
        <f>IFERROR(ROUND((tblPiNHistorical[[#This Row],[WASH New]]-tblPiNHistorical[[#This Row],[WASH Old]])/tblPiNHistorical[[#This Row],[WASH Old]], 1), "")</f>
        <v/>
      </c>
    </row>
    <row r="290" spans="1:53" ht="38.25" x14ac:dyDescent="0.25">
      <c r="A290"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RefugeesSD17020</v>
      </c>
      <c r="B290" s="134" t="s">
        <v>173</v>
      </c>
      <c r="C290" s="124" t="s">
        <v>134</v>
      </c>
      <c r="D290" s="124" t="s">
        <v>538</v>
      </c>
      <c r="E290" s="59" t="s">
        <v>539</v>
      </c>
      <c r="F290" s="54"/>
      <c r="G290" s="29"/>
      <c r="H290" s="53">
        <v>44</v>
      </c>
      <c r="I290" s="53" t="s">
        <v>90</v>
      </c>
      <c r="J290" s="34">
        <v>0</v>
      </c>
      <c r="K290" s="116">
        <v>3</v>
      </c>
      <c r="L290" s="114">
        <v>44</v>
      </c>
      <c r="M290" s="114">
        <v>22</v>
      </c>
      <c r="N290" s="114">
        <v>4</v>
      </c>
      <c r="O290" s="114">
        <v>44</v>
      </c>
      <c r="P290" s="114">
        <v>6.6440000000000001</v>
      </c>
      <c r="Q290" s="114">
        <v>19.536000000000001</v>
      </c>
      <c r="R290" s="114">
        <v>0</v>
      </c>
      <c r="S290" s="114">
        <v>0</v>
      </c>
      <c r="T290" s="196">
        <v>11</v>
      </c>
      <c r="U290" s="52" t="str">
        <f>IFERROR(INDEX(tblPiNAnalysis[[Site Management ]], MATCH(tblPiNHistorical[[#This Row],[ID]], tblPiNAnalysis[ID], 0)), "")</f>
        <v/>
      </c>
      <c r="V290" s="52" t="str">
        <f>IFERROR(INDEX(tblPiNAnalysis[Education], MATCH(tblPiNHistorical[[#This Row],[ID]], tblPiNAnalysis[ID], 0)), "")</f>
        <v/>
      </c>
      <c r="W290" s="28" t="str">
        <f>IFERROR(INDEX(tblPiNAnalysis[Food Security and Livlihoods], MATCH(tblPiNHistorical[[#This Row],[ID]], tblPiNAnalysis[ID], 0)), "")</f>
        <v/>
      </c>
      <c r="X290" s="28" t="str">
        <f>IFERROR(INDEX(tblPiNAnalysis[[Health ]], MATCH(tblPiNHistorical[[#This Row],[ID]], tblPiNAnalysis[ID], 0)), "")</f>
        <v/>
      </c>
      <c r="Y290" s="28" t="str">
        <f>IFERROR(INDEX(tblPiNAnalysis[Nutrition], MATCH(tblPiNHistorical[[#This Row],[ID]], tblPiNAnalysis[ID], 0)), "")</f>
        <v/>
      </c>
      <c r="Z290" s="28" t="str">
        <f>IFERROR(INDEX(tblPiNAnalysis[Protection], MATCH(tblPiNHistorical[[#This Row],[ID]], tblPiNAnalysis[ID], 0)), "")</f>
        <v/>
      </c>
      <c r="AA290" s="28" t="str">
        <f>IFERROR(INDEX(tblPiNAnalysis[CP], MATCH(tblPiNHistorical[[#This Row],[ID]], tblPiNAnalysis[ID], 0)), "")</f>
        <v/>
      </c>
      <c r="AB290" s="83" t="str">
        <f>IFERROR(INDEX(tblPiNAnalysis[GBV], MATCH(tblPiNHistorical[[#This Row],[ID]], tblPiNAnalysis[ID], 0)), "")</f>
        <v/>
      </c>
      <c r="AC290" s="28" t="str">
        <f>IFERROR(INDEX(tblPiNAnalysis[Mine Action], MATCH(tblPiNHistorical[[#This Row],[ID]], tblPiNAnalysis[ID], 0)), "")</f>
        <v/>
      </c>
      <c r="AD290" s="83" t="str">
        <f>IFERROR(INDEX(tblPiNAnalysis[[Shelter NFI ]], MATCH(tblPiNHistorical[[#This Row],[ID]], tblPiNAnalysis[ID], 0)), "")</f>
        <v/>
      </c>
      <c r="AE290" s="28" t="str">
        <f>IFERROR(INDEX(tblPiNAnalysis[WASH], MATCH(tblPiNHistorical[[#This Row],[ID]], tblPiNAnalysis[ID], 0)), "")</f>
        <v/>
      </c>
      <c r="AF290"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290" s="136" t="str">
        <f>IF(OR(tblPiNHistorical[[#This Row],[Education Old]]="", tblPiNHistorical[[#This Row],[Education Old]]=0, tblPiNHistorical[[#This Row],[Education New]]="", tblPiNHistorical[[#This Row],[Education New]]=0), "", tblPiNHistorical[[#This Row],[Education New]]-tblPiNHistorical[[#This Row],[Education Old]])</f>
        <v/>
      </c>
      <c r="AH290"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290" s="137" t="str">
        <f>IF(OR(tblPiNHistorical[[#This Row],[Health Old]]="", tblPiNHistorical[[#This Row],[Health Old]]=0, tblPiNHistorical[[#This Row],[Health New]]="", tblPiNHistorical[[#This Row],[Health New]]=0), "", tblPiNHistorical[[#This Row],[Health New]]-tblPiNHistorical[[#This Row],[Health Old]])</f>
        <v/>
      </c>
      <c r="AJ290" s="136" t="str">
        <f>IF(OR(tblPiNHistorical[[#This Row],[Nutrition Old]]="", tblPiNHistorical[[#This Row],[Nutrition Old]]=0, tblPiNHistorical[[#This Row],[Nutrition New]]="", tblPiNHistorical[[#This Row],[Nutrition New]]=0), "", tblPiNHistorical[[#This Row],[Nutrition New]]-tblPiNHistorical[[#This Row],[Nutrition Old]])</f>
        <v/>
      </c>
      <c r="AK290" s="136" t="str">
        <f>IF(OR(tblPiNHistorical[[#This Row],[Protection Old]]="", tblPiNHistorical[[#This Row],[Protection Old]]=0, tblPiNHistorical[[#This Row],[Protection New]]="", tblPiNHistorical[[#This Row],[Protection New]]=0), "", tblPiNHistorical[[#This Row],[Protection New]]-tblPiNHistorical[[#This Row],[Protection Old]])</f>
        <v/>
      </c>
      <c r="AL290" s="136" t="str">
        <f>IF(OR(tblPiNHistorical[[#This Row],[CP Old ]]="", tblPiNHistorical[[#This Row],[CP Old ]]=0, tblPiNHistorical[[#This Row],[CP New]]="", tblPiNHistorical[[#This Row],[CP New]]=0), "", tblPiNHistorical[[#This Row],[CP New]]-tblPiNHistorical[[#This Row],[CP Old ]])</f>
        <v/>
      </c>
      <c r="AM290" s="83" t="str">
        <f>IF(OR(tblPiNHistorical[[#This Row],[GBV Old]]="", tblPiNHistorical[[#This Row],[GBV Old]]=0, tblPiNHistorical[[#This Row],[GBV New]]="", tblPiNHistorical[[#This Row],[GBV New]]=0), "", tblPiNHistorical[[#This Row],[GBV New]]-tblPiNHistorical[[#This Row],[GBV Old]])</f>
        <v/>
      </c>
      <c r="AN290" s="83" t="str">
        <f>IF(OR(tblPiNHistorical[[#This Row],[Mine Action Old]]="", tblPiNHistorical[[#This Row],[Mine Action Old]]=0, tblPiNHistorical[[#This Row],[Mine Action New]]="", tblPiNHistorical[[#This Row],[Mine Action New]]=0), "", tblPiNHistorical[[#This Row],[Mine Action New]]-tblPiNHistorical[[#This Row],[Mine Action Old]])</f>
        <v/>
      </c>
      <c r="AO290" s="136" t="str">
        <f>IF(OR(tblPiNHistorical[[#This Row],[Shelter NFI Old]]="", tblPiNHistorical[[#This Row],[Shelter NFI Old]]=0, tblPiNHistorical[[#This Row],[Shelter NFI New]]="", tblPiNHistorical[[#This Row],[Shelter NFI New]]=0), "", tblPiNHistorical[[#This Row],[Shelter NFI New]]-tblPiNHistorical[[#This Row],[Shelter NFI Old]])</f>
        <v/>
      </c>
      <c r="AP290" s="138" t="str">
        <f>IF(OR(tblPiNHistorical[[#This Row],[WASH Old]]="", tblPiNHistorical[[#This Row],[WASH Old]]=0, tblPiNHistorical[[#This Row],[WASH New]]="", tblPiNHistorical[[#This Row],[WASH New]]=0), "", tblPiNHistorical[[#This Row],[WASH New]]-tblPiNHistorical[[#This Row],[WASH Old]])</f>
        <v/>
      </c>
      <c r="AQ290" s="139" t="str">
        <f>IFERROR(ROUND((tblPiNHistorical[[#This Row],[Site Management - New]] - tblPiNHistorical[[#This Row],[Site Management - Old]])/tblPiNHistorical[[#This Row],[Site Management - Old]], 1), "")</f>
        <v/>
      </c>
      <c r="AR290" s="140" t="str">
        <f>IFERROR(ROUND((tblPiNHistorical[[#This Row],[Education New]]-tblPiNHistorical[[#This Row],[Education Old]])/tblPiNHistorical[[#This Row],[Education Old]], 1), "")</f>
        <v/>
      </c>
      <c r="AS290" s="141" t="str">
        <f>IFERROR(ROUND((tblPiNHistorical[[#This Row],[Food Security and Livlihoods New]]-tblPiNHistorical[[#This Row],[Food Security and Livlihoods Old]])/tblPiNHistorical[[#This Row],[Food Security and Livlihoods Old]], 1), "")</f>
        <v/>
      </c>
      <c r="AT290" s="142" t="str">
        <f>IFERROR(ROUND((tblPiNHistorical[[#This Row],[Health New]]-tblPiNHistorical[[#This Row],[Health Old]])/tblPiNHistorical[[#This Row],[Health Old]], 1), "")</f>
        <v/>
      </c>
      <c r="AU290" s="140" t="str">
        <f>IFERROR(ROUND((tblPiNHistorical[[#This Row],[Nutrition New]]-tblPiNHistorical[[#This Row],[Nutrition Old]])/tblPiNHistorical[[#This Row],[Nutrition Old]], 1), "")</f>
        <v/>
      </c>
      <c r="AV290" s="140" t="str">
        <f>IFERROR(ROUND((tblPiNHistorical[[#This Row],[Protection New]]-tblPiNHistorical[[#This Row],[Protection Old]])/tblPiNHistorical[[#This Row],[Protection Old]], 1), "")</f>
        <v/>
      </c>
      <c r="AW290" s="84" t="str">
        <f>IFERROR(ROUND((tblPiNHistorical[[#This Row],[CP New]]-tblPiNHistorical[[#This Row],[CP Old ]])/tblPiNHistorical[[#This Row],[CP Old ]], 1), "")</f>
        <v/>
      </c>
      <c r="AX290" s="84" t="str">
        <f>IFERROR(ROUND((tblPiNHistorical[[#This Row],[GBV New]]-tblPiNHistorical[[#This Row],[GBV Old]])/tblPiNHistorical[[#This Row],[GBV Old]], 1), "")</f>
        <v/>
      </c>
      <c r="AY290" s="84" t="str">
        <f>IFERROR(ROUND((tblPiNHistorical[[#This Row],[Mine Action New]]-tblPiNHistorical[[#This Row],[Mine Action Old]])/tblPiNHistorical[[#This Row],[Mine Action Old]], 1), "")</f>
        <v/>
      </c>
      <c r="AZ290" s="140" t="str">
        <f>IFERROR(ROUND((tblPiNHistorical[[#This Row],[Shelter NFI New]]-tblPiNHistorical[[#This Row],[Shelter NFI Old]])/tblPiNHistorical[[#This Row],[Shelter NFI Old]], 1), "")</f>
        <v/>
      </c>
      <c r="BA290" s="31" t="str">
        <f>IFERROR(ROUND((tblPiNHistorical[[#This Row],[WASH New]]-tblPiNHistorical[[#This Row],[WASH Old]])/tblPiNHistorical[[#This Row],[WASH Old]], 1), "")</f>
        <v/>
      </c>
    </row>
    <row r="291" spans="1:53" ht="38.25" x14ac:dyDescent="0.25">
      <c r="A291"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RefugeesSD10072</v>
      </c>
      <c r="B291" s="134" t="s">
        <v>176</v>
      </c>
      <c r="C291" s="124" t="s">
        <v>127</v>
      </c>
      <c r="D291" s="124" t="s">
        <v>420</v>
      </c>
      <c r="E291" s="59" t="s">
        <v>421</v>
      </c>
      <c r="F291" s="54"/>
      <c r="G291" s="29"/>
      <c r="H291" s="53">
        <v>0</v>
      </c>
      <c r="I291" s="53" t="s">
        <v>90</v>
      </c>
      <c r="J291" s="34">
        <v>0</v>
      </c>
      <c r="K291" s="116">
        <v>0</v>
      </c>
      <c r="L291" s="114">
        <v>0</v>
      </c>
      <c r="M291" s="114">
        <v>0</v>
      </c>
      <c r="N291" s="114">
        <v>0</v>
      </c>
      <c r="O291" s="114">
        <v>0</v>
      </c>
      <c r="P291" s="114">
        <v>0</v>
      </c>
      <c r="Q291" s="114">
        <v>0</v>
      </c>
      <c r="R291" s="114">
        <v>0</v>
      </c>
      <c r="S291" s="114">
        <v>0</v>
      </c>
      <c r="T291" s="196">
        <v>0</v>
      </c>
      <c r="U291" s="52" t="str">
        <f>IFERROR(INDEX(tblPiNAnalysis[[Site Management ]], MATCH(tblPiNHistorical[[#This Row],[ID]], tblPiNAnalysis[ID], 0)), "")</f>
        <v/>
      </c>
      <c r="V291" s="52" t="str">
        <f>IFERROR(INDEX(tblPiNAnalysis[Education], MATCH(tblPiNHistorical[[#This Row],[ID]], tblPiNAnalysis[ID], 0)), "")</f>
        <v/>
      </c>
      <c r="W291" s="28" t="str">
        <f>IFERROR(INDEX(tblPiNAnalysis[Food Security and Livlihoods], MATCH(tblPiNHistorical[[#This Row],[ID]], tblPiNAnalysis[ID], 0)), "")</f>
        <v/>
      </c>
      <c r="X291" s="28" t="str">
        <f>IFERROR(INDEX(tblPiNAnalysis[[Health ]], MATCH(tblPiNHistorical[[#This Row],[ID]], tblPiNAnalysis[ID], 0)), "")</f>
        <v/>
      </c>
      <c r="Y291" s="28" t="str">
        <f>IFERROR(INDEX(tblPiNAnalysis[Nutrition], MATCH(tblPiNHistorical[[#This Row],[ID]], tblPiNAnalysis[ID], 0)), "")</f>
        <v/>
      </c>
      <c r="Z291" s="28" t="str">
        <f>IFERROR(INDEX(tblPiNAnalysis[Protection], MATCH(tblPiNHistorical[[#This Row],[ID]], tblPiNAnalysis[ID], 0)), "")</f>
        <v/>
      </c>
      <c r="AA291" s="28" t="str">
        <f>IFERROR(INDEX(tblPiNAnalysis[CP], MATCH(tblPiNHistorical[[#This Row],[ID]], tblPiNAnalysis[ID], 0)), "")</f>
        <v/>
      </c>
      <c r="AB291" s="83" t="str">
        <f>IFERROR(INDEX(tblPiNAnalysis[GBV], MATCH(tblPiNHistorical[[#This Row],[ID]], tblPiNAnalysis[ID], 0)), "")</f>
        <v/>
      </c>
      <c r="AC291" s="28" t="str">
        <f>IFERROR(INDEX(tblPiNAnalysis[Mine Action], MATCH(tblPiNHistorical[[#This Row],[ID]], tblPiNAnalysis[ID], 0)), "")</f>
        <v/>
      </c>
      <c r="AD291" s="83" t="str">
        <f>IFERROR(INDEX(tblPiNAnalysis[[Shelter NFI ]], MATCH(tblPiNHistorical[[#This Row],[ID]], tblPiNAnalysis[ID], 0)), "")</f>
        <v/>
      </c>
      <c r="AE291" s="28" t="str">
        <f>IFERROR(INDEX(tblPiNAnalysis[WASH], MATCH(tblPiNHistorical[[#This Row],[ID]], tblPiNAnalysis[ID], 0)), "")</f>
        <v/>
      </c>
      <c r="AF291"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291" s="136" t="str">
        <f>IF(OR(tblPiNHistorical[[#This Row],[Education Old]]="", tblPiNHistorical[[#This Row],[Education Old]]=0, tblPiNHistorical[[#This Row],[Education New]]="", tblPiNHistorical[[#This Row],[Education New]]=0), "", tblPiNHistorical[[#This Row],[Education New]]-tblPiNHistorical[[#This Row],[Education Old]])</f>
        <v/>
      </c>
      <c r="AH291"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291" s="137" t="str">
        <f>IF(OR(tblPiNHistorical[[#This Row],[Health Old]]="", tblPiNHistorical[[#This Row],[Health Old]]=0, tblPiNHistorical[[#This Row],[Health New]]="", tblPiNHistorical[[#This Row],[Health New]]=0), "", tblPiNHistorical[[#This Row],[Health New]]-tblPiNHistorical[[#This Row],[Health Old]])</f>
        <v/>
      </c>
      <c r="AJ291" s="136" t="str">
        <f>IF(OR(tblPiNHistorical[[#This Row],[Nutrition Old]]="", tblPiNHistorical[[#This Row],[Nutrition Old]]=0, tblPiNHistorical[[#This Row],[Nutrition New]]="", tblPiNHistorical[[#This Row],[Nutrition New]]=0), "", tblPiNHistorical[[#This Row],[Nutrition New]]-tblPiNHistorical[[#This Row],[Nutrition Old]])</f>
        <v/>
      </c>
      <c r="AK291" s="136" t="str">
        <f>IF(OR(tblPiNHistorical[[#This Row],[Protection Old]]="", tblPiNHistorical[[#This Row],[Protection Old]]=0, tblPiNHistorical[[#This Row],[Protection New]]="", tblPiNHistorical[[#This Row],[Protection New]]=0), "", tblPiNHistorical[[#This Row],[Protection New]]-tblPiNHistorical[[#This Row],[Protection Old]])</f>
        <v/>
      </c>
      <c r="AL291" s="136" t="str">
        <f>IF(OR(tblPiNHistorical[[#This Row],[CP Old ]]="", tblPiNHistorical[[#This Row],[CP Old ]]=0, tblPiNHistorical[[#This Row],[CP New]]="", tblPiNHistorical[[#This Row],[CP New]]=0), "", tblPiNHistorical[[#This Row],[CP New]]-tblPiNHistorical[[#This Row],[CP Old ]])</f>
        <v/>
      </c>
      <c r="AM291" s="83" t="str">
        <f>IF(OR(tblPiNHistorical[[#This Row],[GBV Old]]="", tblPiNHistorical[[#This Row],[GBV Old]]=0, tblPiNHistorical[[#This Row],[GBV New]]="", tblPiNHistorical[[#This Row],[GBV New]]=0), "", tblPiNHistorical[[#This Row],[GBV New]]-tblPiNHistorical[[#This Row],[GBV Old]])</f>
        <v/>
      </c>
      <c r="AN291" s="83" t="str">
        <f>IF(OR(tblPiNHistorical[[#This Row],[Mine Action Old]]="", tblPiNHistorical[[#This Row],[Mine Action Old]]=0, tblPiNHistorical[[#This Row],[Mine Action New]]="", tblPiNHistorical[[#This Row],[Mine Action New]]=0), "", tblPiNHistorical[[#This Row],[Mine Action New]]-tblPiNHistorical[[#This Row],[Mine Action Old]])</f>
        <v/>
      </c>
      <c r="AO291" s="136" t="str">
        <f>IF(OR(tblPiNHistorical[[#This Row],[Shelter NFI Old]]="", tblPiNHistorical[[#This Row],[Shelter NFI Old]]=0, tblPiNHistorical[[#This Row],[Shelter NFI New]]="", tblPiNHistorical[[#This Row],[Shelter NFI New]]=0), "", tblPiNHistorical[[#This Row],[Shelter NFI New]]-tblPiNHistorical[[#This Row],[Shelter NFI Old]])</f>
        <v/>
      </c>
      <c r="AP291" s="138" t="str">
        <f>IF(OR(tblPiNHistorical[[#This Row],[WASH Old]]="", tblPiNHistorical[[#This Row],[WASH Old]]=0, tblPiNHistorical[[#This Row],[WASH New]]="", tblPiNHistorical[[#This Row],[WASH New]]=0), "", tblPiNHistorical[[#This Row],[WASH New]]-tblPiNHistorical[[#This Row],[WASH Old]])</f>
        <v/>
      </c>
      <c r="AQ291" s="139" t="str">
        <f>IFERROR(ROUND((tblPiNHistorical[[#This Row],[Site Management - New]] - tblPiNHistorical[[#This Row],[Site Management - Old]])/tblPiNHistorical[[#This Row],[Site Management - Old]], 1), "")</f>
        <v/>
      </c>
      <c r="AR291" s="140" t="str">
        <f>IFERROR(ROUND((tblPiNHistorical[[#This Row],[Education New]]-tblPiNHistorical[[#This Row],[Education Old]])/tblPiNHistorical[[#This Row],[Education Old]], 1), "")</f>
        <v/>
      </c>
      <c r="AS291" s="141" t="str">
        <f>IFERROR(ROUND((tblPiNHistorical[[#This Row],[Food Security and Livlihoods New]]-tblPiNHistorical[[#This Row],[Food Security and Livlihoods Old]])/tblPiNHistorical[[#This Row],[Food Security and Livlihoods Old]], 1), "")</f>
        <v/>
      </c>
      <c r="AT291" s="142" t="str">
        <f>IFERROR(ROUND((tblPiNHistorical[[#This Row],[Health New]]-tblPiNHistorical[[#This Row],[Health Old]])/tblPiNHistorical[[#This Row],[Health Old]], 1), "")</f>
        <v/>
      </c>
      <c r="AU291" s="140" t="str">
        <f>IFERROR(ROUND((tblPiNHistorical[[#This Row],[Nutrition New]]-tblPiNHistorical[[#This Row],[Nutrition Old]])/tblPiNHistorical[[#This Row],[Nutrition Old]], 1), "")</f>
        <v/>
      </c>
      <c r="AV291" s="140" t="str">
        <f>IFERROR(ROUND((tblPiNHistorical[[#This Row],[Protection New]]-tblPiNHistorical[[#This Row],[Protection Old]])/tblPiNHistorical[[#This Row],[Protection Old]], 1), "")</f>
        <v/>
      </c>
      <c r="AW291" s="84" t="str">
        <f>IFERROR(ROUND((tblPiNHistorical[[#This Row],[CP New]]-tblPiNHistorical[[#This Row],[CP Old ]])/tblPiNHistorical[[#This Row],[CP Old ]], 1), "")</f>
        <v/>
      </c>
      <c r="AX291" s="84" t="str">
        <f>IFERROR(ROUND((tblPiNHistorical[[#This Row],[GBV New]]-tblPiNHistorical[[#This Row],[GBV Old]])/tblPiNHistorical[[#This Row],[GBV Old]], 1), "")</f>
        <v/>
      </c>
      <c r="AY291" s="84" t="str">
        <f>IFERROR(ROUND((tblPiNHistorical[[#This Row],[Mine Action New]]-tblPiNHistorical[[#This Row],[Mine Action Old]])/tblPiNHistorical[[#This Row],[Mine Action Old]], 1), "")</f>
        <v/>
      </c>
      <c r="AZ291" s="140" t="str">
        <f>IFERROR(ROUND((tblPiNHistorical[[#This Row],[Shelter NFI New]]-tblPiNHistorical[[#This Row],[Shelter NFI Old]])/tblPiNHistorical[[#This Row],[Shelter NFI Old]], 1), "")</f>
        <v/>
      </c>
      <c r="BA291" s="31" t="str">
        <f>IFERROR(ROUND((tblPiNHistorical[[#This Row],[WASH New]]-tblPiNHistorical[[#This Row],[WASH Old]])/tblPiNHistorical[[#This Row],[WASH Old]], 1), "")</f>
        <v/>
      </c>
    </row>
    <row r="292" spans="1:53" ht="38.25" x14ac:dyDescent="0.25">
      <c r="A292"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RefugeesSD10069</v>
      </c>
      <c r="B292" s="134" t="s">
        <v>176</v>
      </c>
      <c r="C292" s="124" t="s">
        <v>127</v>
      </c>
      <c r="D292" s="124" t="s">
        <v>414</v>
      </c>
      <c r="E292" s="59" t="s">
        <v>415</v>
      </c>
      <c r="F292" s="54"/>
      <c r="G292" s="29"/>
      <c r="H292" s="53">
        <v>0</v>
      </c>
      <c r="I292" s="53" t="s">
        <v>90</v>
      </c>
      <c r="J292" s="34">
        <v>0</v>
      </c>
      <c r="K292" s="116">
        <v>0</v>
      </c>
      <c r="L292" s="114">
        <v>0</v>
      </c>
      <c r="M292" s="114">
        <v>0</v>
      </c>
      <c r="N292" s="114">
        <v>0</v>
      </c>
      <c r="O292" s="114">
        <v>0</v>
      </c>
      <c r="P292" s="114">
        <v>0</v>
      </c>
      <c r="Q292" s="114">
        <v>0</v>
      </c>
      <c r="R292" s="114">
        <v>0</v>
      </c>
      <c r="S292" s="114">
        <v>0</v>
      </c>
      <c r="T292" s="196">
        <v>0</v>
      </c>
      <c r="U292" s="52" t="str">
        <f>IFERROR(INDEX(tblPiNAnalysis[[Site Management ]], MATCH(tblPiNHistorical[[#This Row],[ID]], tblPiNAnalysis[ID], 0)), "")</f>
        <v/>
      </c>
      <c r="V292" s="52" t="str">
        <f>IFERROR(INDEX(tblPiNAnalysis[Education], MATCH(tblPiNHistorical[[#This Row],[ID]], tblPiNAnalysis[ID], 0)), "")</f>
        <v/>
      </c>
      <c r="W292" s="28" t="str">
        <f>IFERROR(INDEX(tblPiNAnalysis[Food Security and Livlihoods], MATCH(tblPiNHistorical[[#This Row],[ID]], tblPiNAnalysis[ID], 0)), "")</f>
        <v/>
      </c>
      <c r="X292" s="28" t="str">
        <f>IFERROR(INDEX(tblPiNAnalysis[[Health ]], MATCH(tblPiNHistorical[[#This Row],[ID]], tblPiNAnalysis[ID], 0)), "")</f>
        <v/>
      </c>
      <c r="Y292" s="28" t="str">
        <f>IFERROR(INDEX(tblPiNAnalysis[Nutrition], MATCH(tblPiNHistorical[[#This Row],[ID]], tblPiNAnalysis[ID], 0)), "")</f>
        <v/>
      </c>
      <c r="Z292" s="28" t="str">
        <f>IFERROR(INDEX(tblPiNAnalysis[Protection], MATCH(tblPiNHistorical[[#This Row],[ID]], tblPiNAnalysis[ID], 0)), "")</f>
        <v/>
      </c>
      <c r="AA292" s="28" t="str">
        <f>IFERROR(INDEX(tblPiNAnalysis[CP], MATCH(tblPiNHistorical[[#This Row],[ID]], tblPiNAnalysis[ID], 0)), "")</f>
        <v/>
      </c>
      <c r="AB292" s="83" t="str">
        <f>IFERROR(INDEX(tblPiNAnalysis[GBV], MATCH(tblPiNHistorical[[#This Row],[ID]], tblPiNAnalysis[ID], 0)), "")</f>
        <v/>
      </c>
      <c r="AC292" s="28" t="str">
        <f>IFERROR(INDEX(tblPiNAnalysis[Mine Action], MATCH(tblPiNHistorical[[#This Row],[ID]], tblPiNAnalysis[ID], 0)), "")</f>
        <v/>
      </c>
      <c r="AD292" s="83" t="str">
        <f>IFERROR(INDEX(tblPiNAnalysis[[Shelter NFI ]], MATCH(tblPiNHistorical[[#This Row],[ID]], tblPiNAnalysis[ID], 0)), "")</f>
        <v/>
      </c>
      <c r="AE292" s="28" t="str">
        <f>IFERROR(INDEX(tblPiNAnalysis[WASH], MATCH(tblPiNHistorical[[#This Row],[ID]], tblPiNAnalysis[ID], 0)), "")</f>
        <v/>
      </c>
      <c r="AF292"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292" s="136" t="str">
        <f>IF(OR(tblPiNHistorical[[#This Row],[Education Old]]="", tblPiNHistorical[[#This Row],[Education Old]]=0, tblPiNHistorical[[#This Row],[Education New]]="", tblPiNHistorical[[#This Row],[Education New]]=0), "", tblPiNHistorical[[#This Row],[Education New]]-tblPiNHistorical[[#This Row],[Education Old]])</f>
        <v/>
      </c>
      <c r="AH292"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292" s="137" t="str">
        <f>IF(OR(tblPiNHistorical[[#This Row],[Health Old]]="", tblPiNHistorical[[#This Row],[Health Old]]=0, tblPiNHistorical[[#This Row],[Health New]]="", tblPiNHistorical[[#This Row],[Health New]]=0), "", tblPiNHistorical[[#This Row],[Health New]]-tblPiNHistorical[[#This Row],[Health Old]])</f>
        <v/>
      </c>
      <c r="AJ292" s="136" t="str">
        <f>IF(OR(tblPiNHistorical[[#This Row],[Nutrition Old]]="", tblPiNHistorical[[#This Row],[Nutrition Old]]=0, tblPiNHistorical[[#This Row],[Nutrition New]]="", tblPiNHistorical[[#This Row],[Nutrition New]]=0), "", tblPiNHistorical[[#This Row],[Nutrition New]]-tblPiNHistorical[[#This Row],[Nutrition Old]])</f>
        <v/>
      </c>
      <c r="AK292" s="136" t="str">
        <f>IF(OR(tblPiNHistorical[[#This Row],[Protection Old]]="", tblPiNHistorical[[#This Row],[Protection Old]]=0, tblPiNHistorical[[#This Row],[Protection New]]="", tblPiNHistorical[[#This Row],[Protection New]]=0), "", tblPiNHistorical[[#This Row],[Protection New]]-tblPiNHistorical[[#This Row],[Protection Old]])</f>
        <v/>
      </c>
      <c r="AL292" s="136" t="str">
        <f>IF(OR(tblPiNHistorical[[#This Row],[CP Old ]]="", tblPiNHistorical[[#This Row],[CP Old ]]=0, tblPiNHistorical[[#This Row],[CP New]]="", tblPiNHistorical[[#This Row],[CP New]]=0), "", tblPiNHistorical[[#This Row],[CP New]]-tblPiNHistorical[[#This Row],[CP Old ]])</f>
        <v/>
      </c>
      <c r="AM292" s="83" t="str">
        <f>IF(OR(tblPiNHistorical[[#This Row],[GBV Old]]="", tblPiNHistorical[[#This Row],[GBV Old]]=0, tblPiNHistorical[[#This Row],[GBV New]]="", tblPiNHistorical[[#This Row],[GBV New]]=0), "", tblPiNHistorical[[#This Row],[GBV New]]-tblPiNHistorical[[#This Row],[GBV Old]])</f>
        <v/>
      </c>
      <c r="AN292" s="83" t="str">
        <f>IF(OR(tblPiNHistorical[[#This Row],[Mine Action Old]]="", tblPiNHistorical[[#This Row],[Mine Action Old]]=0, tblPiNHistorical[[#This Row],[Mine Action New]]="", tblPiNHistorical[[#This Row],[Mine Action New]]=0), "", tblPiNHistorical[[#This Row],[Mine Action New]]-tblPiNHistorical[[#This Row],[Mine Action Old]])</f>
        <v/>
      </c>
      <c r="AO292" s="136" t="str">
        <f>IF(OR(tblPiNHistorical[[#This Row],[Shelter NFI Old]]="", tblPiNHistorical[[#This Row],[Shelter NFI Old]]=0, tblPiNHistorical[[#This Row],[Shelter NFI New]]="", tblPiNHistorical[[#This Row],[Shelter NFI New]]=0), "", tblPiNHistorical[[#This Row],[Shelter NFI New]]-tblPiNHistorical[[#This Row],[Shelter NFI Old]])</f>
        <v/>
      </c>
      <c r="AP292" s="138" t="str">
        <f>IF(OR(tblPiNHistorical[[#This Row],[WASH Old]]="", tblPiNHistorical[[#This Row],[WASH Old]]=0, tblPiNHistorical[[#This Row],[WASH New]]="", tblPiNHistorical[[#This Row],[WASH New]]=0), "", tblPiNHistorical[[#This Row],[WASH New]]-tblPiNHistorical[[#This Row],[WASH Old]])</f>
        <v/>
      </c>
      <c r="AQ292" s="139" t="str">
        <f>IFERROR(ROUND((tblPiNHistorical[[#This Row],[Site Management - New]] - tblPiNHistorical[[#This Row],[Site Management - Old]])/tblPiNHistorical[[#This Row],[Site Management - Old]], 1), "")</f>
        <v/>
      </c>
      <c r="AR292" s="140" t="str">
        <f>IFERROR(ROUND((tblPiNHistorical[[#This Row],[Education New]]-tblPiNHistorical[[#This Row],[Education Old]])/tblPiNHistorical[[#This Row],[Education Old]], 1), "")</f>
        <v/>
      </c>
      <c r="AS292" s="141" t="str">
        <f>IFERROR(ROUND((tblPiNHistorical[[#This Row],[Food Security and Livlihoods New]]-tblPiNHistorical[[#This Row],[Food Security and Livlihoods Old]])/tblPiNHistorical[[#This Row],[Food Security and Livlihoods Old]], 1), "")</f>
        <v/>
      </c>
      <c r="AT292" s="142" t="str">
        <f>IFERROR(ROUND((tblPiNHistorical[[#This Row],[Health New]]-tblPiNHistorical[[#This Row],[Health Old]])/tblPiNHistorical[[#This Row],[Health Old]], 1), "")</f>
        <v/>
      </c>
      <c r="AU292" s="140" t="str">
        <f>IFERROR(ROUND((tblPiNHistorical[[#This Row],[Nutrition New]]-tblPiNHistorical[[#This Row],[Nutrition Old]])/tblPiNHistorical[[#This Row],[Nutrition Old]], 1), "")</f>
        <v/>
      </c>
      <c r="AV292" s="140" t="str">
        <f>IFERROR(ROUND((tblPiNHistorical[[#This Row],[Protection New]]-tblPiNHistorical[[#This Row],[Protection Old]])/tblPiNHistorical[[#This Row],[Protection Old]], 1), "")</f>
        <v/>
      </c>
      <c r="AW292" s="84" t="str">
        <f>IFERROR(ROUND((tblPiNHistorical[[#This Row],[CP New]]-tblPiNHistorical[[#This Row],[CP Old ]])/tblPiNHistorical[[#This Row],[CP Old ]], 1), "")</f>
        <v/>
      </c>
      <c r="AX292" s="84" t="str">
        <f>IFERROR(ROUND((tblPiNHistorical[[#This Row],[GBV New]]-tblPiNHistorical[[#This Row],[GBV Old]])/tblPiNHistorical[[#This Row],[GBV Old]], 1), "")</f>
        <v/>
      </c>
      <c r="AY292" s="84" t="str">
        <f>IFERROR(ROUND((tblPiNHistorical[[#This Row],[Mine Action New]]-tblPiNHistorical[[#This Row],[Mine Action Old]])/tblPiNHistorical[[#This Row],[Mine Action Old]], 1), "")</f>
        <v/>
      </c>
      <c r="AZ292" s="140" t="str">
        <f>IFERROR(ROUND((tblPiNHistorical[[#This Row],[Shelter NFI New]]-tblPiNHistorical[[#This Row],[Shelter NFI Old]])/tblPiNHistorical[[#This Row],[Shelter NFI Old]], 1), "")</f>
        <v/>
      </c>
      <c r="BA292" s="31" t="str">
        <f>IFERROR(ROUND((tblPiNHistorical[[#This Row],[WASH New]]-tblPiNHistorical[[#This Row],[WASH Old]])/tblPiNHistorical[[#This Row],[WASH Old]], 1), "")</f>
        <v/>
      </c>
    </row>
    <row r="293" spans="1:53" ht="38.25" x14ac:dyDescent="0.25">
      <c r="A293"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RefugeesSD10063</v>
      </c>
      <c r="B293" s="134" t="s">
        <v>176</v>
      </c>
      <c r="C293" s="124" t="s">
        <v>127</v>
      </c>
      <c r="D293" s="124" t="s">
        <v>402</v>
      </c>
      <c r="E293" s="59" t="s">
        <v>403</v>
      </c>
      <c r="F293" s="54"/>
      <c r="G293" s="29"/>
      <c r="H293" s="53">
        <v>0</v>
      </c>
      <c r="I293" s="53" t="s">
        <v>90</v>
      </c>
      <c r="J293" s="34">
        <v>0</v>
      </c>
      <c r="K293" s="116">
        <v>0</v>
      </c>
      <c r="L293" s="114">
        <v>0</v>
      </c>
      <c r="M293" s="114">
        <v>0</v>
      </c>
      <c r="N293" s="114">
        <v>0</v>
      </c>
      <c r="O293" s="114">
        <v>0</v>
      </c>
      <c r="P293" s="114">
        <v>0</v>
      </c>
      <c r="Q293" s="114">
        <v>0</v>
      </c>
      <c r="R293" s="114">
        <v>0</v>
      </c>
      <c r="S293" s="114">
        <v>0</v>
      </c>
      <c r="T293" s="196">
        <v>0</v>
      </c>
      <c r="U293" s="52" t="str">
        <f>IFERROR(INDEX(tblPiNAnalysis[[Site Management ]], MATCH(tblPiNHistorical[[#This Row],[ID]], tblPiNAnalysis[ID], 0)), "")</f>
        <v/>
      </c>
      <c r="V293" s="52" t="str">
        <f>IFERROR(INDEX(tblPiNAnalysis[Education], MATCH(tblPiNHistorical[[#This Row],[ID]], tblPiNAnalysis[ID], 0)), "")</f>
        <v/>
      </c>
      <c r="W293" s="28" t="str">
        <f>IFERROR(INDEX(tblPiNAnalysis[Food Security and Livlihoods], MATCH(tblPiNHistorical[[#This Row],[ID]], tblPiNAnalysis[ID], 0)), "")</f>
        <v/>
      </c>
      <c r="X293" s="28" t="str">
        <f>IFERROR(INDEX(tblPiNAnalysis[[Health ]], MATCH(tblPiNHistorical[[#This Row],[ID]], tblPiNAnalysis[ID], 0)), "")</f>
        <v/>
      </c>
      <c r="Y293" s="28" t="str">
        <f>IFERROR(INDEX(tblPiNAnalysis[Nutrition], MATCH(tblPiNHistorical[[#This Row],[ID]], tblPiNAnalysis[ID], 0)), "")</f>
        <v/>
      </c>
      <c r="Z293" s="28" t="str">
        <f>IFERROR(INDEX(tblPiNAnalysis[Protection], MATCH(tblPiNHistorical[[#This Row],[ID]], tblPiNAnalysis[ID], 0)), "")</f>
        <v/>
      </c>
      <c r="AA293" s="28" t="str">
        <f>IFERROR(INDEX(tblPiNAnalysis[CP], MATCH(tblPiNHistorical[[#This Row],[ID]], tblPiNAnalysis[ID], 0)), "")</f>
        <v/>
      </c>
      <c r="AB293" s="83" t="str">
        <f>IFERROR(INDEX(tblPiNAnalysis[GBV], MATCH(tblPiNHistorical[[#This Row],[ID]], tblPiNAnalysis[ID], 0)), "")</f>
        <v/>
      </c>
      <c r="AC293" s="28" t="str">
        <f>IFERROR(INDEX(tblPiNAnalysis[Mine Action], MATCH(tblPiNHistorical[[#This Row],[ID]], tblPiNAnalysis[ID], 0)), "")</f>
        <v/>
      </c>
      <c r="AD293" s="83" t="str">
        <f>IFERROR(INDEX(tblPiNAnalysis[[Shelter NFI ]], MATCH(tblPiNHistorical[[#This Row],[ID]], tblPiNAnalysis[ID], 0)), "")</f>
        <v/>
      </c>
      <c r="AE293" s="28" t="str">
        <f>IFERROR(INDEX(tblPiNAnalysis[WASH], MATCH(tblPiNHistorical[[#This Row],[ID]], tblPiNAnalysis[ID], 0)), "")</f>
        <v/>
      </c>
      <c r="AF293"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293" s="136" t="str">
        <f>IF(OR(tblPiNHistorical[[#This Row],[Education Old]]="", tblPiNHistorical[[#This Row],[Education Old]]=0, tblPiNHistorical[[#This Row],[Education New]]="", tblPiNHistorical[[#This Row],[Education New]]=0), "", tblPiNHistorical[[#This Row],[Education New]]-tblPiNHistorical[[#This Row],[Education Old]])</f>
        <v/>
      </c>
      <c r="AH293"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293" s="137" t="str">
        <f>IF(OR(tblPiNHistorical[[#This Row],[Health Old]]="", tblPiNHistorical[[#This Row],[Health Old]]=0, tblPiNHistorical[[#This Row],[Health New]]="", tblPiNHistorical[[#This Row],[Health New]]=0), "", tblPiNHistorical[[#This Row],[Health New]]-tblPiNHistorical[[#This Row],[Health Old]])</f>
        <v/>
      </c>
      <c r="AJ293" s="136" t="str">
        <f>IF(OR(tblPiNHistorical[[#This Row],[Nutrition Old]]="", tblPiNHistorical[[#This Row],[Nutrition Old]]=0, tblPiNHistorical[[#This Row],[Nutrition New]]="", tblPiNHistorical[[#This Row],[Nutrition New]]=0), "", tblPiNHistorical[[#This Row],[Nutrition New]]-tblPiNHistorical[[#This Row],[Nutrition Old]])</f>
        <v/>
      </c>
      <c r="AK293" s="136" t="str">
        <f>IF(OR(tblPiNHistorical[[#This Row],[Protection Old]]="", tblPiNHistorical[[#This Row],[Protection Old]]=0, tblPiNHistorical[[#This Row],[Protection New]]="", tblPiNHistorical[[#This Row],[Protection New]]=0), "", tblPiNHistorical[[#This Row],[Protection New]]-tblPiNHistorical[[#This Row],[Protection Old]])</f>
        <v/>
      </c>
      <c r="AL293" s="136" t="str">
        <f>IF(OR(tblPiNHistorical[[#This Row],[CP Old ]]="", tblPiNHistorical[[#This Row],[CP Old ]]=0, tblPiNHistorical[[#This Row],[CP New]]="", tblPiNHistorical[[#This Row],[CP New]]=0), "", tblPiNHistorical[[#This Row],[CP New]]-tblPiNHistorical[[#This Row],[CP Old ]])</f>
        <v/>
      </c>
      <c r="AM293" s="83" t="str">
        <f>IF(OR(tblPiNHistorical[[#This Row],[GBV Old]]="", tblPiNHistorical[[#This Row],[GBV Old]]=0, tblPiNHistorical[[#This Row],[GBV New]]="", tblPiNHistorical[[#This Row],[GBV New]]=0), "", tblPiNHistorical[[#This Row],[GBV New]]-tblPiNHistorical[[#This Row],[GBV Old]])</f>
        <v/>
      </c>
      <c r="AN293" s="83" t="str">
        <f>IF(OR(tblPiNHistorical[[#This Row],[Mine Action Old]]="", tblPiNHistorical[[#This Row],[Mine Action Old]]=0, tblPiNHistorical[[#This Row],[Mine Action New]]="", tblPiNHistorical[[#This Row],[Mine Action New]]=0), "", tblPiNHistorical[[#This Row],[Mine Action New]]-tblPiNHistorical[[#This Row],[Mine Action Old]])</f>
        <v/>
      </c>
      <c r="AO293" s="136" t="str">
        <f>IF(OR(tblPiNHistorical[[#This Row],[Shelter NFI Old]]="", tblPiNHistorical[[#This Row],[Shelter NFI Old]]=0, tblPiNHistorical[[#This Row],[Shelter NFI New]]="", tblPiNHistorical[[#This Row],[Shelter NFI New]]=0), "", tblPiNHistorical[[#This Row],[Shelter NFI New]]-tblPiNHistorical[[#This Row],[Shelter NFI Old]])</f>
        <v/>
      </c>
      <c r="AP293" s="138" t="str">
        <f>IF(OR(tblPiNHistorical[[#This Row],[WASH Old]]="", tblPiNHistorical[[#This Row],[WASH Old]]=0, tblPiNHistorical[[#This Row],[WASH New]]="", tblPiNHistorical[[#This Row],[WASH New]]=0), "", tblPiNHistorical[[#This Row],[WASH New]]-tblPiNHistorical[[#This Row],[WASH Old]])</f>
        <v/>
      </c>
      <c r="AQ293" s="139" t="str">
        <f>IFERROR(ROUND((tblPiNHistorical[[#This Row],[Site Management - New]] - tblPiNHistorical[[#This Row],[Site Management - Old]])/tblPiNHistorical[[#This Row],[Site Management - Old]], 1), "")</f>
        <v/>
      </c>
      <c r="AR293" s="140" t="str">
        <f>IFERROR(ROUND((tblPiNHistorical[[#This Row],[Education New]]-tblPiNHistorical[[#This Row],[Education Old]])/tblPiNHistorical[[#This Row],[Education Old]], 1), "")</f>
        <v/>
      </c>
      <c r="AS293" s="141" t="str">
        <f>IFERROR(ROUND((tblPiNHistorical[[#This Row],[Food Security and Livlihoods New]]-tblPiNHistorical[[#This Row],[Food Security and Livlihoods Old]])/tblPiNHistorical[[#This Row],[Food Security and Livlihoods Old]], 1), "")</f>
        <v/>
      </c>
      <c r="AT293" s="142" t="str">
        <f>IFERROR(ROUND((tblPiNHistorical[[#This Row],[Health New]]-tblPiNHistorical[[#This Row],[Health Old]])/tblPiNHistorical[[#This Row],[Health Old]], 1), "")</f>
        <v/>
      </c>
      <c r="AU293" s="140" t="str">
        <f>IFERROR(ROUND((tblPiNHistorical[[#This Row],[Nutrition New]]-tblPiNHistorical[[#This Row],[Nutrition Old]])/tblPiNHistorical[[#This Row],[Nutrition Old]], 1), "")</f>
        <v/>
      </c>
      <c r="AV293" s="140" t="str">
        <f>IFERROR(ROUND((tblPiNHistorical[[#This Row],[Protection New]]-tblPiNHistorical[[#This Row],[Protection Old]])/tblPiNHistorical[[#This Row],[Protection Old]], 1), "")</f>
        <v/>
      </c>
      <c r="AW293" s="84" t="str">
        <f>IFERROR(ROUND((tblPiNHistorical[[#This Row],[CP New]]-tblPiNHistorical[[#This Row],[CP Old ]])/tblPiNHistorical[[#This Row],[CP Old ]], 1), "")</f>
        <v/>
      </c>
      <c r="AX293" s="84" t="str">
        <f>IFERROR(ROUND((tblPiNHistorical[[#This Row],[GBV New]]-tblPiNHistorical[[#This Row],[GBV Old]])/tblPiNHistorical[[#This Row],[GBV Old]], 1), "")</f>
        <v/>
      </c>
      <c r="AY293" s="84" t="str">
        <f>IFERROR(ROUND((tblPiNHistorical[[#This Row],[Mine Action New]]-tblPiNHistorical[[#This Row],[Mine Action Old]])/tblPiNHistorical[[#This Row],[Mine Action Old]], 1), "")</f>
        <v/>
      </c>
      <c r="AZ293" s="140" t="str">
        <f>IFERROR(ROUND((tblPiNHistorical[[#This Row],[Shelter NFI New]]-tblPiNHistorical[[#This Row],[Shelter NFI Old]])/tblPiNHistorical[[#This Row],[Shelter NFI Old]], 1), "")</f>
        <v/>
      </c>
      <c r="BA293" s="31" t="str">
        <f>IFERROR(ROUND((tblPiNHistorical[[#This Row],[WASH New]]-tblPiNHistorical[[#This Row],[WASH Old]])/tblPiNHistorical[[#This Row],[WASH Old]], 1), "")</f>
        <v/>
      </c>
    </row>
    <row r="294" spans="1:53" ht="38.25" x14ac:dyDescent="0.25">
      <c r="A294"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RefugeesSD10066</v>
      </c>
      <c r="B294" s="134" t="s">
        <v>176</v>
      </c>
      <c r="C294" s="124" t="s">
        <v>127</v>
      </c>
      <c r="D294" s="124" t="s">
        <v>408</v>
      </c>
      <c r="E294" s="59" t="s">
        <v>409</v>
      </c>
      <c r="F294" s="54"/>
      <c r="G294" s="29"/>
      <c r="H294" s="53">
        <v>0</v>
      </c>
      <c r="I294" s="53" t="s">
        <v>90</v>
      </c>
      <c r="J294" s="34">
        <v>0</v>
      </c>
      <c r="K294" s="116">
        <v>0</v>
      </c>
      <c r="L294" s="114">
        <v>0</v>
      </c>
      <c r="M294" s="114">
        <v>0</v>
      </c>
      <c r="N294" s="114">
        <v>0</v>
      </c>
      <c r="O294" s="114">
        <v>0</v>
      </c>
      <c r="P294" s="114">
        <v>0</v>
      </c>
      <c r="Q294" s="114">
        <v>0</v>
      </c>
      <c r="R294" s="114">
        <v>0</v>
      </c>
      <c r="S294" s="114">
        <v>0</v>
      </c>
      <c r="T294" s="196">
        <v>0</v>
      </c>
      <c r="U294" s="52" t="str">
        <f>IFERROR(INDEX(tblPiNAnalysis[[Site Management ]], MATCH(tblPiNHistorical[[#This Row],[ID]], tblPiNAnalysis[ID], 0)), "")</f>
        <v/>
      </c>
      <c r="V294" s="52" t="str">
        <f>IFERROR(INDEX(tblPiNAnalysis[Education], MATCH(tblPiNHistorical[[#This Row],[ID]], tblPiNAnalysis[ID], 0)), "")</f>
        <v/>
      </c>
      <c r="W294" s="28" t="str">
        <f>IFERROR(INDEX(tblPiNAnalysis[Food Security and Livlihoods], MATCH(tblPiNHistorical[[#This Row],[ID]], tblPiNAnalysis[ID], 0)), "")</f>
        <v/>
      </c>
      <c r="X294" s="28" t="str">
        <f>IFERROR(INDEX(tblPiNAnalysis[[Health ]], MATCH(tblPiNHistorical[[#This Row],[ID]], tblPiNAnalysis[ID], 0)), "")</f>
        <v/>
      </c>
      <c r="Y294" s="28" t="str">
        <f>IFERROR(INDEX(tblPiNAnalysis[Nutrition], MATCH(tblPiNHistorical[[#This Row],[ID]], tblPiNAnalysis[ID], 0)), "")</f>
        <v/>
      </c>
      <c r="Z294" s="28" t="str">
        <f>IFERROR(INDEX(tblPiNAnalysis[Protection], MATCH(tblPiNHistorical[[#This Row],[ID]], tblPiNAnalysis[ID], 0)), "")</f>
        <v/>
      </c>
      <c r="AA294" s="28" t="str">
        <f>IFERROR(INDEX(tblPiNAnalysis[CP], MATCH(tblPiNHistorical[[#This Row],[ID]], tblPiNAnalysis[ID], 0)), "")</f>
        <v/>
      </c>
      <c r="AB294" s="83" t="str">
        <f>IFERROR(INDEX(tblPiNAnalysis[GBV], MATCH(tblPiNHistorical[[#This Row],[ID]], tblPiNAnalysis[ID], 0)), "")</f>
        <v/>
      </c>
      <c r="AC294" s="28" t="str">
        <f>IFERROR(INDEX(tblPiNAnalysis[Mine Action], MATCH(tblPiNHistorical[[#This Row],[ID]], tblPiNAnalysis[ID], 0)), "")</f>
        <v/>
      </c>
      <c r="AD294" s="83" t="str">
        <f>IFERROR(INDEX(tblPiNAnalysis[[Shelter NFI ]], MATCH(tblPiNHistorical[[#This Row],[ID]], tblPiNAnalysis[ID], 0)), "")</f>
        <v/>
      </c>
      <c r="AE294" s="28" t="str">
        <f>IFERROR(INDEX(tblPiNAnalysis[WASH], MATCH(tblPiNHistorical[[#This Row],[ID]], tblPiNAnalysis[ID], 0)), "")</f>
        <v/>
      </c>
      <c r="AF294"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294" s="136" t="str">
        <f>IF(OR(tblPiNHistorical[[#This Row],[Education Old]]="", tblPiNHistorical[[#This Row],[Education Old]]=0, tblPiNHistorical[[#This Row],[Education New]]="", tblPiNHistorical[[#This Row],[Education New]]=0), "", tblPiNHistorical[[#This Row],[Education New]]-tblPiNHistorical[[#This Row],[Education Old]])</f>
        <v/>
      </c>
      <c r="AH294"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294" s="137" t="str">
        <f>IF(OR(tblPiNHistorical[[#This Row],[Health Old]]="", tblPiNHistorical[[#This Row],[Health Old]]=0, tblPiNHistorical[[#This Row],[Health New]]="", tblPiNHistorical[[#This Row],[Health New]]=0), "", tblPiNHistorical[[#This Row],[Health New]]-tblPiNHistorical[[#This Row],[Health Old]])</f>
        <v/>
      </c>
      <c r="AJ294" s="136" t="str">
        <f>IF(OR(tblPiNHistorical[[#This Row],[Nutrition Old]]="", tblPiNHistorical[[#This Row],[Nutrition Old]]=0, tblPiNHistorical[[#This Row],[Nutrition New]]="", tblPiNHistorical[[#This Row],[Nutrition New]]=0), "", tblPiNHistorical[[#This Row],[Nutrition New]]-tblPiNHistorical[[#This Row],[Nutrition Old]])</f>
        <v/>
      </c>
      <c r="AK294" s="136" t="str">
        <f>IF(OR(tblPiNHistorical[[#This Row],[Protection Old]]="", tblPiNHistorical[[#This Row],[Protection Old]]=0, tblPiNHistorical[[#This Row],[Protection New]]="", tblPiNHistorical[[#This Row],[Protection New]]=0), "", tblPiNHistorical[[#This Row],[Protection New]]-tblPiNHistorical[[#This Row],[Protection Old]])</f>
        <v/>
      </c>
      <c r="AL294" s="136" t="str">
        <f>IF(OR(tblPiNHistorical[[#This Row],[CP Old ]]="", tblPiNHistorical[[#This Row],[CP Old ]]=0, tblPiNHistorical[[#This Row],[CP New]]="", tblPiNHistorical[[#This Row],[CP New]]=0), "", tblPiNHistorical[[#This Row],[CP New]]-tblPiNHistorical[[#This Row],[CP Old ]])</f>
        <v/>
      </c>
      <c r="AM294" s="83" t="str">
        <f>IF(OR(tblPiNHistorical[[#This Row],[GBV Old]]="", tblPiNHistorical[[#This Row],[GBV Old]]=0, tblPiNHistorical[[#This Row],[GBV New]]="", tblPiNHistorical[[#This Row],[GBV New]]=0), "", tblPiNHistorical[[#This Row],[GBV New]]-tblPiNHistorical[[#This Row],[GBV Old]])</f>
        <v/>
      </c>
      <c r="AN294" s="83" t="str">
        <f>IF(OR(tblPiNHistorical[[#This Row],[Mine Action Old]]="", tblPiNHistorical[[#This Row],[Mine Action Old]]=0, tblPiNHistorical[[#This Row],[Mine Action New]]="", tblPiNHistorical[[#This Row],[Mine Action New]]=0), "", tblPiNHistorical[[#This Row],[Mine Action New]]-tblPiNHistorical[[#This Row],[Mine Action Old]])</f>
        <v/>
      </c>
      <c r="AO294" s="136" t="str">
        <f>IF(OR(tblPiNHistorical[[#This Row],[Shelter NFI Old]]="", tblPiNHistorical[[#This Row],[Shelter NFI Old]]=0, tblPiNHistorical[[#This Row],[Shelter NFI New]]="", tblPiNHistorical[[#This Row],[Shelter NFI New]]=0), "", tblPiNHistorical[[#This Row],[Shelter NFI New]]-tblPiNHistorical[[#This Row],[Shelter NFI Old]])</f>
        <v/>
      </c>
      <c r="AP294" s="138" t="str">
        <f>IF(OR(tblPiNHistorical[[#This Row],[WASH Old]]="", tblPiNHistorical[[#This Row],[WASH Old]]=0, tblPiNHistorical[[#This Row],[WASH New]]="", tblPiNHistorical[[#This Row],[WASH New]]=0), "", tblPiNHistorical[[#This Row],[WASH New]]-tblPiNHistorical[[#This Row],[WASH Old]])</f>
        <v/>
      </c>
      <c r="AQ294" s="139" t="str">
        <f>IFERROR(ROUND((tblPiNHistorical[[#This Row],[Site Management - New]] - tblPiNHistorical[[#This Row],[Site Management - Old]])/tblPiNHistorical[[#This Row],[Site Management - Old]], 1), "")</f>
        <v/>
      </c>
      <c r="AR294" s="140" t="str">
        <f>IFERROR(ROUND((tblPiNHistorical[[#This Row],[Education New]]-tblPiNHistorical[[#This Row],[Education Old]])/tblPiNHistorical[[#This Row],[Education Old]], 1), "")</f>
        <v/>
      </c>
      <c r="AS294" s="141" t="str">
        <f>IFERROR(ROUND((tblPiNHistorical[[#This Row],[Food Security and Livlihoods New]]-tblPiNHistorical[[#This Row],[Food Security and Livlihoods Old]])/tblPiNHistorical[[#This Row],[Food Security and Livlihoods Old]], 1), "")</f>
        <v/>
      </c>
      <c r="AT294" s="142" t="str">
        <f>IFERROR(ROUND((tblPiNHistorical[[#This Row],[Health New]]-tblPiNHistorical[[#This Row],[Health Old]])/tblPiNHistorical[[#This Row],[Health Old]], 1), "")</f>
        <v/>
      </c>
      <c r="AU294" s="140" t="str">
        <f>IFERROR(ROUND((tblPiNHistorical[[#This Row],[Nutrition New]]-tblPiNHistorical[[#This Row],[Nutrition Old]])/tblPiNHistorical[[#This Row],[Nutrition Old]], 1), "")</f>
        <v/>
      </c>
      <c r="AV294" s="140" t="str">
        <f>IFERROR(ROUND((tblPiNHistorical[[#This Row],[Protection New]]-tblPiNHistorical[[#This Row],[Protection Old]])/tblPiNHistorical[[#This Row],[Protection Old]], 1), "")</f>
        <v/>
      </c>
      <c r="AW294" s="84" t="str">
        <f>IFERROR(ROUND((tblPiNHistorical[[#This Row],[CP New]]-tblPiNHistorical[[#This Row],[CP Old ]])/tblPiNHistorical[[#This Row],[CP Old ]], 1), "")</f>
        <v/>
      </c>
      <c r="AX294" s="84" t="str">
        <f>IFERROR(ROUND((tblPiNHistorical[[#This Row],[GBV New]]-tblPiNHistorical[[#This Row],[GBV Old]])/tblPiNHistorical[[#This Row],[GBV Old]], 1), "")</f>
        <v/>
      </c>
      <c r="AY294" s="84" t="str">
        <f>IFERROR(ROUND((tblPiNHistorical[[#This Row],[Mine Action New]]-tblPiNHistorical[[#This Row],[Mine Action Old]])/tblPiNHistorical[[#This Row],[Mine Action Old]], 1), "")</f>
        <v/>
      </c>
      <c r="AZ294" s="140" t="str">
        <f>IFERROR(ROUND((tblPiNHistorical[[#This Row],[Shelter NFI New]]-tblPiNHistorical[[#This Row],[Shelter NFI Old]])/tblPiNHistorical[[#This Row],[Shelter NFI Old]], 1), "")</f>
        <v/>
      </c>
      <c r="BA294" s="31" t="str">
        <f>IFERROR(ROUND((tblPiNHistorical[[#This Row],[WASH New]]-tblPiNHistorical[[#This Row],[WASH Old]])/tblPiNHistorical[[#This Row],[WASH Old]], 1), "")</f>
        <v/>
      </c>
    </row>
    <row r="295" spans="1:53" ht="38.25" x14ac:dyDescent="0.25">
      <c r="A295"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RefugeesSD10070</v>
      </c>
      <c r="B295" s="134" t="s">
        <v>176</v>
      </c>
      <c r="C295" s="124" t="s">
        <v>127</v>
      </c>
      <c r="D295" s="124" t="s">
        <v>416</v>
      </c>
      <c r="E295" s="59" t="s">
        <v>417</v>
      </c>
      <c r="F295" s="54"/>
      <c r="G295" s="29"/>
      <c r="H295" s="53">
        <v>0</v>
      </c>
      <c r="I295" s="53" t="s">
        <v>90</v>
      </c>
      <c r="J295" s="34">
        <v>0</v>
      </c>
      <c r="K295" s="116">
        <v>0</v>
      </c>
      <c r="L295" s="114">
        <v>0</v>
      </c>
      <c r="M295" s="114">
        <v>0</v>
      </c>
      <c r="N295" s="114">
        <v>0</v>
      </c>
      <c r="O295" s="114">
        <v>0</v>
      </c>
      <c r="P295" s="114">
        <v>0</v>
      </c>
      <c r="Q295" s="114">
        <v>0</v>
      </c>
      <c r="R295" s="114">
        <v>0</v>
      </c>
      <c r="S295" s="114">
        <v>0</v>
      </c>
      <c r="T295" s="196">
        <v>0</v>
      </c>
      <c r="U295" s="52" t="str">
        <f>IFERROR(INDEX(tblPiNAnalysis[[Site Management ]], MATCH(tblPiNHistorical[[#This Row],[ID]], tblPiNAnalysis[ID], 0)), "")</f>
        <v/>
      </c>
      <c r="V295" s="52" t="str">
        <f>IFERROR(INDEX(tblPiNAnalysis[Education], MATCH(tblPiNHistorical[[#This Row],[ID]], tblPiNAnalysis[ID], 0)), "")</f>
        <v/>
      </c>
      <c r="W295" s="28" t="str">
        <f>IFERROR(INDEX(tblPiNAnalysis[Food Security and Livlihoods], MATCH(tblPiNHistorical[[#This Row],[ID]], tblPiNAnalysis[ID], 0)), "")</f>
        <v/>
      </c>
      <c r="X295" s="28" t="str">
        <f>IFERROR(INDEX(tblPiNAnalysis[[Health ]], MATCH(tblPiNHistorical[[#This Row],[ID]], tblPiNAnalysis[ID], 0)), "")</f>
        <v/>
      </c>
      <c r="Y295" s="28" t="str">
        <f>IFERROR(INDEX(tblPiNAnalysis[Nutrition], MATCH(tblPiNHistorical[[#This Row],[ID]], tblPiNAnalysis[ID], 0)), "")</f>
        <v/>
      </c>
      <c r="Z295" s="28" t="str">
        <f>IFERROR(INDEX(tblPiNAnalysis[Protection], MATCH(tblPiNHistorical[[#This Row],[ID]], tblPiNAnalysis[ID], 0)), "")</f>
        <v/>
      </c>
      <c r="AA295" s="28" t="str">
        <f>IFERROR(INDEX(tblPiNAnalysis[CP], MATCH(tblPiNHistorical[[#This Row],[ID]], tblPiNAnalysis[ID], 0)), "")</f>
        <v/>
      </c>
      <c r="AB295" s="83" t="str">
        <f>IFERROR(INDEX(tblPiNAnalysis[GBV], MATCH(tblPiNHistorical[[#This Row],[ID]], tblPiNAnalysis[ID], 0)), "")</f>
        <v/>
      </c>
      <c r="AC295" s="28" t="str">
        <f>IFERROR(INDEX(tblPiNAnalysis[Mine Action], MATCH(tblPiNHistorical[[#This Row],[ID]], tblPiNAnalysis[ID], 0)), "")</f>
        <v/>
      </c>
      <c r="AD295" s="83" t="str">
        <f>IFERROR(INDEX(tblPiNAnalysis[[Shelter NFI ]], MATCH(tblPiNHistorical[[#This Row],[ID]], tblPiNAnalysis[ID], 0)), "")</f>
        <v/>
      </c>
      <c r="AE295" s="28" t="str">
        <f>IFERROR(INDEX(tblPiNAnalysis[WASH], MATCH(tblPiNHistorical[[#This Row],[ID]], tblPiNAnalysis[ID], 0)), "")</f>
        <v/>
      </c>
      <c r="AF295"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295" s="136" t="str">
        <f>IF(OR(tblPiNHistorical[[#This Row],[Education Old]]="", tblPiNHistorical[[#This Row],[Education Old]]=0, tblPiNHistorical[[#This Row],[Education New]]="", tblPiNHistorical[[#This Row],[Education New]]=0), "", tblPiNHistorical[[#This Row],[Education New]]-tblPiNHistorical[[#This Row],[Education Old]])</f>
        <v/>
      </c>
      <c r="AH295"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295" s="137" t="str">
        <f>IF(OR(tblPiNHistorical[[#This Row],[Health Old]]="", tblPiNHistorical[[#This Row],[Health Old]]=0, tblPiNHistorical[[#This Row],[Health New]]="", tblPiNHistorical[[#This Row],[Health New]]=0), "", tblPiNHistorical[[#This Row],[Health New]]-tblPiNHistorical[[#This Row],[Health Old]])</f>
        <v/>
      </c>
      <c r="AJ295" s="136" t="str">
        <f>IF(OR(tblPiNHistorical[[#This Row],[Nutrition Old]]="", tblPiNHistorical[[#This Row],[Nutrition Old]]=0, tblPiNHistorical[[#This Row],[Nutrition New]]="", tblPiNHistorical[[#This Row],[Nutrition New]]=0), "", tblPiNHistorical[[#This Row],[Nutrition New]]-tblPiNHistorical[[#This Row],[Nutrition Old]])</f>
        <v/>
      </c>
      <c r="AK295" s="136" t="str">
        <f>IF(OR(tblPiNHistorical[[#This Row],[Protection Old]]="", tblPiNHistorical[[#This Row],[Protection Old]]=0, tblPiNHistorical[[#This Row],[Protection New]]="", tblPiNHistorical[[#This Row],[Protection New]]=0), "", tblPiNHistorical[[#This Row],[Protection New]]-tblPiNHistorical[[#This Row],[Protection Old]])</f>
        <v/>
      </c>
      <c r="AL295" s="136" t="str">
        <f>IF(OR(tblPiNHistorical[[#This Row],[CP Old ]]="", tblPiNHistorical[[#This Row],[CP Old ]]=0, tblPiNHistorical[[#This Row],[CP New]]="", tblPiNHistorical[[#This Row],[CP New]]=0), "", tblPiNHistorical[[#This Row],[CP New]]-tblPiNHistorical[[#This Row],[CP Old ]])</f>
        <v/>
      </c>
      <c r="AM295" s="83" t="str">
        <f>IF(OR(tblPiNHistorical[[#This Row],[GBV Old]]="", tblPiNHistorical[[#This Row],[GBV Old]]=0, tblPiNHistorical[[#This Row],[GBV New]]="", tblPiNHistorical[[#This Row],[GBV New]]=0), "", tblPiNHistorical[[#This Row],[GBV New]]-tblPiNHistorical[[#This Row],[GBV Old]])</f>
        <v/>
      </c>
      <c r="AN295" s="83" t="str">
        <f>IF(OR(tblPiNHistorical[[#This Row],[Mine Action Old]]="", tblPiNHistorical[[#This Row],[Mine Action Old]]=0, tblPiNHistorical[[#This Row],[Mine Action New]]="", tblPiNHistorical[[#This Row],[Mine Action New]]=0), "", tblPiNHistorical[[#This Row],[Mine Action New]]-tblPiNHistorical[[#This Row],[Mine Action Old]])</f>
        <v/>
      </c>
      <c r="AO295" s="136" t="str">
        <f>IF(OR(tblPiNHistorical[[#This Row],[Shelter NFI Old]]="", tblPiNHistorical[[#This Row],[Shelter NFI Old]]=0, tblPiNHistorical[[#This Row],[Shelter NFI New]]="", tblPiNHistorical[[#This Row],[Shelter NFI New]]=0), "", tblPiNHistorical[[#This Row],[Shelter NFI New]]-tblPiNHistorical[[#This Row],[Shelter NFI Old]])</f>
        <v/>
      </c>
      <c r="AP295" s="138" t="str">
        <f>IF(OR(tblPiNHistorical[[#This Row],[WASH Old]]="", tblPiNHistorical[[#This Row],[WASH Old]]=0, tblPiNHistorical[[#This Row],[WASH New]]="", tblPiNHistorical[[#This Row],[WASH New]]=0), "", tblPiNHistorical[[#This Row],[WASH New]]-tblPiNHistorical[[#This Row],[WASH Old]])</f>
        <v/>
      </c>
      <c r="AQ295" s="139" t="str">
        <f>IFERROR(ROUND((tblPiNHistorical[[#This Row],[Site Management - New]] - tblPiNHistorical[[#This Row],[Site Management - Old]])/tblPiNHistorical[[#This Row],[Site Management - Old]], 1), "")</f>
        <v/>
      </c>
      <c r="AR295" s="140" t="str">
        <f>IFERROR(ROUND((tblPiNHistorical[[#This Row],[Education New]]-tblPiNHistorical[[#This Row],[Education Old]])/tblPiNHistorical[[#This Row],[Education Old]], 1), "")</f>
        <v/>
      </c>
      <c r="AS295" s="141" t="str">
        <f>IFERROR(ROUND((tblPiNHistorical[[#This Row],[Food Security and Livlihoods New]]-tblPiNHistorical[[#This Row],[Food Security and Livlihoods Old]])/tblPiNHistorical[[#This Row],[Food Security and Livlihoods Old]], 1), "")</f>
        <v/>
      </c>
      <c r="AT295" s="142" t="str">
        <f>IFERROR(ROUND((tblPiNHistorical[[#This Row],[Health New]]-tblPiNHistorical[[#This Row],[Health Old]])/tblPiNHistorical[[#This Row],[Health Old]], 1), "")</f>
        <v/>
      </c>
      <c r="AU295" s="140" t="str">
        <f>IFERROR(ROUND((tblPiNHistorical[[#This Row],[Nutrition New]]-tblPiNHistorical[[#This Row],[Nutrition Old]])/tblPiNHistorical[[#This Row],[Nutrition Old]], 1), "")</f>
        <v/>
      </c>
      <c r="AV295" s="140" t="str">
        <f>IFERROR(ROUND((tblPiNHistorical[[#This Row],[Protection New]]-tblPiNHistorical[[#This Row],[Protection Old]])/tblPiNHistorical[[#This Row],[Protection Old]], 1), "")</f>
        <v/>
      </c>
      <c r="AW295" s="84" t="str">
        <f>IFERROR(ROUND((tblPiNHistorical[[#This Row],[CP New]]-tblPiNHistorical[[#This Row],[CP Old ]])/tblPiNHistorical[[#This Row],[CP Old ]], 1), "")</f>
        <v/>
      </c>
      <c r="AX295" s="84" t="str">
        <f>IFERROR(ROUND((tblPiNHistorical[[#This Row],[GBV New]]-tblPiNHistorical[[#This Row],[GBV Old]])/tblPiNHistorical[[#This Row],[GBV Old]], 1), "")</f>
        <v/>
      </c>
      <c r="AY295" s="84" t="str">
        <f>IFERROR(ROUND((tblPiNHistorical[[#This Row],[Mine Action New]]-tblPiNHistorical[[#This Row],[Mine Action Old]])/tblPiNHistorical[[#This Row],[Mine Action Old]], 1), "")</f>
        <v/>
      </c>
      <c r="AZ295" s="140" t="str">
        <f>IFERROR(ROUND((tblPiNHistorical[[#This Row],[Shelter NFI New]]-tblPiNHistorical[[#This Row],[Shelter NFI Old]])/tblPiNHistorical[[#This Row],[Shelter NFI Old]], 1), "")</f>
        <v/>
      </c>
      <c r="BA295" s="31" t="str">
        <f>IFERROR(ROUND((tblPiNHistorical[[#This Row],[WASH New]]-tblPiNHistorical[[#This Row],[WASH Old]])/tblPiNHistorical[[#This Row],[WASH Old]], 1), "")</f>
        <v/>
      </c>
    </row>
    <row r="296" spans="1:53" ht="38.25" x14ac:dyDescent="0.25">
      <c r="A296"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RefugeesSD10067</v>
      </c>
      <c r="B296" s="134" t="s">
        <v>176</v>
      </c>
      <c r="C296" s="124" t="s">
        <v>127</v>
      </c>
      <c r="D296" s="124" t="s">
        <v>410</v>
      </c>
      <c r="E296" s="59" t="s">
        <v>411</v>
      </c>
      <c r="F296" s="54"/>
      <c r="G296" s="29"/>
      <c r="H296" s="53">
        <v>0</v>
      </c>
      <c r="I296" s="53" t="s">
        <v>90</v>
      </c>
      <c r="J296" s="34">
        <v>0</v>
      </c>
      <c r="K296" s="116">
        <v>0</v>
      </c>
      <c r="L296" s="114">
        <v>0</v>
      </c>
      <c r="M296" s="114">
        <v>0</v>
      </c>
      <c r="N296" s="114">
        <v>0</v>
      </c>
      <c r="O296" s="114">
        <v>0</v>
      </c>
      <c r="P296" s="114">
        <v>0</v>
      </c>
      <c r="Q296" s="114">
        <v>0</v>
      </c>
      <c r="R296" s="114">
        <v>0</v>
      </c>
      <c r="S296" s="114">
        <v>0</v>
      </c>
      <c r="T296" s="196">
        <v>0</v>
      </c>
      <c r="U296" s="52" t="str">
        <f>IFERROR(INDEX(tblPiNAnalysis[[Site Management ]], MATCH(tblPiNHistorical[[#This Row],[ID]], tblPiNAnalysis[ID], 0)), "")</f>
        <v/>
      </c>
      <c r="V296" s="52" t="str">
        <f>IFERROR(INDEX(tblPiNAnalysis[Education], MATCH(tblPiNHistorical[[#This Row],[ID]], tblPiNAnalysis[ID], 0)), "")</f>
        <v/>
      </c>
      <c r="W296" s="28" t="str">
        <f>IFERROR(INDEX(tblPiNAnalysis[Food Security and Livlihoods], MATCH(tblPiNHistorical[[#This Row],[ID]], tblPiNAnalysis[ID], 0)), "")</f>
        <v/>
      </c>
      <c r="X296" s="28" t="str">
        <f>IFERROR(INDEX(tblPiNAnalysis[[Health ]], MATCH(tblPiNHistorical[[#This Row],[ID]], tblPiNAnalysis[ID], 0)), "")</f>
        <v/>
      </c>
      <c r="Y296" s="28" t="str">
        <f>IFERROR(INDEX(tblPiNAnalysis[Nutrition], MATCH(tblPiNHistorical[[#This Row],[ID]], tblPiNAnalysis[ID], 0)), "")</f>
        <v/>
      </c>
      <c r="Z296" s="28" t="str">
        <f>IFERROR(INDEX(tblPiNAnalysis[Protection], MATCH(tblPiNHistorical[[#This Row],[ID]], tblPiNAnalysis[ID], 0)), "")</f>
        <v/>
      </c>
      <c r="AA296" s="28" t="str">
        <f>IFERROR(INDEX(tblPiNAnalysis[CP], MATCH(tblPiNHistorical[[#This Row],[ID]], tblPiNAnalysis[ID], 0)), "")</f>
        <v/>
      </c>
      <c r="AB296" s="83" t="str">
        <f>IFERROR(INDEX(tblPiNAnalysis[GBV], MATCH(tblPiNHistorical[[#This Row],[ID]], tblPiNAnalysis[ID], 0)), "")</f>
        <v/>
      </c>
      <c r="AC296" s="28" t="str">
        <f>IFERROR(INDEX(tblPiNAnalysis[Mine Action], MATCH(tblPiNHistorical[[#This Row],[ID]], tblPiNAnalysis[ID], 0)), "")</f>
        <v/>
      </c>
      <c r="AD296" s="83" t="str">
        <f>IFERROR(INDEX(tblPiNAnalysis[[Shelter NFI ]], MATCH(tblPiNHistorical[[#This Row],[ID]], tblPiNAnalysis[ID], 0)), "")</f>
        <v/>
      </c>
      <c r="AE296" s="28" t="str">
        <f>IFERROR(INDEX(tblPiNAnalysis[WASH], MATCH(tblPiNHistorical[[#This Row],[ID]], tblPiNAnalysis[ID], 0)), "")</f>
        <v/>
      </c>
      <c r="AF296"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296" s="136" t="str">
        <f>IF(OR(tblPiNHistorical[[#This Row],[Education Old]]="", tblPiNHistorical[[#This Row],[Education Old]]=0, tblPiNHistorical[[#This Row],[Education New]]="", tblPiNHistorical[[#This Row],[Education New]]=0), "", tblPiNHistorical[[#This Row],[Education New]]-tblPiNHistorical[[#This Row],[Education Old]])</f>
        <v/>
      </c>
      <c r="AH296"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296" s="137" t="str">
        <f>IF(OR(tblPiNHistorical[[#This Row],[Health Old]]="", tblPiNHistorical[[#This Row],[Health Old]]=0, tblPiNHistorical[[#This Row],[Health New]]="", tblPiNHistorical[[#This Row],[Health New]]=0), "", tblPiNHistorical[[#This Row],[Health New]]-tblPiNHistorical[[#This Row],[Health Old]])</f>
        <v/>
      </c>
      <c r="AJ296" s="136" t="str">
        <f>IF(OR(tblPiNHistorical[[#This Row],[Nutrition Old]]="", tblPiNHistorical[[#This Row],[Nutrition Old]]=0, tblPiNHistorical[[#This Row],[Nutrition New]]="", tblPiNHistorical[[#This Row],[Nutrition New]]=0), "", tblPiNHistorical[[#This Row],[Nutrition New]]-tblPiNHistorical[[#This Row],[Nutrition Old]])</f>
        <v/>
      </c>
      <c r="AK296" s="136" t="str">
        <f>IF(OR(tblPiNHistorical[[#This Row],[Protection Old]]="", tblPiNHistorical[[#This Row],[Protection Old]]=0, tblPiNHistorical[[#This Row],[Protection New]]="", tblPiNHistorical[[#This Row],[Protection New]]=0), "", tblPiNHistorical[[#This Row],[Protection New]]-tblPiNHistorical[[#This Row],[Protection Old]])</f>
        <v/>
      </c>
      <c r="AL296" s="136" t="str">
        <f>IF(OR(tblPiNHistorical[[#This Row],[CP Old ]]="", tblPiNHistorical[[#This Row],[CP Old ]]=0, tblPiNHistorical[[#This Row],[CP New]]="", tblPiNHistorical[[#This Row],[CP New]]=0), "", tblPiNHistorical[[#This Row],[CP New]]-tblPiNHistorical[[#This Row],[CP Old ]])</f>
        <v/>
      </c>
      <c r="AM296" s="83" t="str">
        <f>IF(OR(tblPiNHistorical[[#This Row],[GBV Old]]="", tblPiNHistorical[[#This Row],[GBV Old]]=0, tblPiNHistorical[[#This Row],[GBV New]]="", tblPiNHistorical[[#This Row],[GBV New]]=0), "", tblPiNHistorical[[#This Row],[GBV New]]-tblPiNHistorical[[#This Row],[GBV Old]])</f>
        <v/>
      </c>
      <c r="AN296" s="83" t="str">
        <f>IF(OR(tblPiNHistorical[[#This Row],[Mine Action Old]]="", tblPiNHistorical[[#This Row],[Mine Action Old]]=0, tblPiNHistorical[[#This Row],[Mine Action New]]="", tblPiNHistorical[[#This Row],[Mine Action New]]=0), "", tblPiNHistorical[[#This Row],[Mine Action New]]-tblPiNHistorical[[#This Row],[Mine Action Old]])</f>
        <v/>
      </c>
      <c r="AO296" s="136" t="str">
        <f>IF(OR(tblPiNHistorical[[#This Row],[Shelter NFI Old]]="", tblPiNHistorical[[#This Row],[Shelter NFI Old]]=0, tblPiNHistorical[[#This Row],[Shelter NFI New]]="", tblPiNHistorical[[#This Row],[Shelter NFI New]]=0), "", tblPiNHistorical[[#This Row],[Shelter NFI New]]-tblPiNHistorical[[#This Row],[Shelter NFI Old]])</f>
        <v/>
      </c>
      <c r="AP296" s="138" t="str">
        <f>IF(OR(tblPiNHistorical[[#This Row],[WASH Old]]="", tblPiNHistorical[[#This Row],[WASH Old]]=0, tblPiNHistorical[[#This Row],[WASH New]]="", tblPiNHistorical[[#This Row],[WASH New]]=0), "", tblPiNHistorical[[#This Row],[WASH New]]-tblPiNHistorical[[#This Row],[WASH Old]])</f>
        <v/>
      </c>
      <c r="AQ296" s="139" t="str">
        <f>IFERROR(ROUND((tblPiNHistorical[[#This Row],[Site Management - New]] - tblPiNHistorical[[#This Row],[Site Management - Old]])/tblPiNHistorical[[#This Row],[Site Management - Old]], 1), "")</f>
        <v/>
      </c>
      <c r="AR296" s="140" t="str">
        <f>IFERROR(ROUND((tblPiNHistorical[[#This Row],[Education New]]-tblPiNHistorical[[#This Row],[Education Old]])/tblPiNHistorical[[#This Row],[Education Old]], 1), "")</f>
        <v/>
      </c>
      <c r="AS296" s="141" t="str">
        <f>IFERROR(ROUND((tblPiNHistorical[[#This Row],[Food Security and Livlihoods New]]-tblPiNHistorical[[#This Row],[Food Security and Livlihoods Old]])/tblPiNHistorical[[#This Row],[Food Security and Livlihoods Old]], 1), "")</f>
        <v/>
      </c>
      <c r="AT296" s="142" t="str">
        <f>IFERROR(ROUND((tblPiNHistorical[[#This Row],[Health New]]-tblPiNHistorical[[#This Row],[Health Old]])/tblPiNHistorical[[#This Row],[Health Old]], 1), "")</f>
        <v/>
      </c>
      <c r="AU296" s="140" t="str">
        <f>IFERROR(ROUND((tblPiNHistorical[[#This Row],[Nutrition New]]-tblPiNHistorical[[#This Row],[Nutrition Old]])/tblPiNHistorical[[#This Row],[Nutrition Old]], 1), "")</f>
        <v/>
      </c>
      <c r="AV296" s="140" t="str">
        <f>IFERROR(ROUND((tblPiNHistorical[[#This Row],[Protection New]]-tblPiNHistorical[[#This Row],[Protection Old]])/tblPiNHistorical[[#This Row],[Protection Old]], 1), "")</f>
        <v/>
      </c>
      <c r="AW296" s="84" t="str">
        <f>IFERROR(ROUND((tblPiNHistorical[[#This Row],[CP New]]-tblPiNHistorical[[#This Row],[CP Old ]])/tblPiNHistorical[[#This Row],[CP Old ]], 1), "")</f>
        <v/>
      </c>
      <c r="AX296" s="84" t="str">
        <f>IFERROR(ROUND((tblPiNHistorical[[#This Row],[GBV New]]-tblPiNHistorical[[#This Row],[GBV Old]])/tblPiNHistorical[[#This Row],[GBV Old]], 1), "")</f>
        <v/>
      </c>
      <c r="AY296" s="84" t="str">
        <f>IFERROR(ROUND((tblPiNHistorical[[#This Row],[Mine Action New]]-tblPiNHistorical[[#This Row],[Mine Action Old]])/tblPiNHistorical[[#This Row],[Mine Action Old]], 1), "")</f>
        <v/>
      </c>
      <c r="AZ296" s="140" t="str">
        <f>IFERROR(ROUND((tblPiNHistorical[[#This Row],[Shelter NFI New]]-tblPiNHistorical[[#This Row],[Shelter NFI Old]])/tblPiNHistorical[[#This Row],[Shelter NFI Old]], 1), "")</f>
        <v/>
      </c>
      <c r="BA296" s="31" t="str">
        <f>IFERROR(ROUND((tblPiNHistorical[[#This Row],[WASH New]]-tblPiNHistorical[[#This Row],[WASH Old]])/tblPiNHistorical[[#This Row],[WASH Old]], 1), "")</f>
        <v/>
      </c>
    </row>
    <row r="297" spans="1:53" ht="38.25" x14ac:dyDescent="0.25">
      <c r="A297"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RefugeesSD10064</v>
      </c>
      <c r="B297" s="134" t="s">
        <v>176</v>
      </c>
      <c r="C297" s="124" t="s">
        <v>127</v>
      </c>
      <c r="D297" s="124" t="s">
        <v>404</v>
      </c>
      <c r="E297" s="59" t="s">
        <v>405</v>
      </c>
      <c r="F297" s="54"/>
      <c r="G297" s="29"/>
      <c r="H297" s="53">
        <v>21471</v>
      </c>
      <c r="I297" s="53" t="s">
        <v>90</v>
      </c>
      <c r="J297" s="34">
        <v>0</v>
      </c>
      <c r="K297" s="116">
        <v>16567</v>
      </c>
      <c r="L297" s="114">
        <v>21324</v>
      </c>
      <c r="M297" s="114">
        <v>14714</v>
      </c>
      <c r="N297" s="114">
        <v>1946</v>
      </c>
      <c r="O297" s="114">
        <v>21324</v>
      </c>
      <c r="P297" s="114">
        <v>426.48</v>
      </c>
      <c r="Q297" s="114">
        <v>3326.5439999999999</v>
      </c>
      <c r="R297" s="114">
        <v>0</v>
      </c>
      <c r="S297" s="114">
        <v>12794</v>
      </c>
      <c r="T297" s="196">
        <v>9615</v>
      </c>
      <c r="U297" s="52" t="str">
        <f>IFERROR(INDEX(tblPiNAnalysis[[Site Management ]], MATCH(tblPiNHistorical[[#This Row],[ID]], tblPiNAnalysis[ID], 0)), "")</f>
        <v/>
      </c>
      <c r="V297" s="52" t="str">
        <f>IFERROR(INDEX(tblPiNAnalysis[Education], MATCH(tblPiNHistorical[[#This Row],[ID]], tblPiNAnalysis[ID], 0)), "")</f>
        <v/>
      </c>
      <c r="W297" s="28" t="str">
        <f>IFERROR(INDEX(tblPiNAnalysis[Food Security and Livlihoods], MATCH(tblPiNHistorical[[#This Row],[ID]], tblPiNAnalysis[ID], 0)), "")</f>
        <v/>
      </c>
      <c r="X297" s="28" t="str">
        <f>IFERROR(INDEX(tblPiNAnalysis[[Health ]], MATCH(tblPiNHistorical[[#This Row],[ID]], tblPiNAnalysis[ID], 0)), "")</f>
        <v/>
      </c>
      <c r="Y297" s="28" t="str">
        <f>IFERROR(INDEX(tblPiNAnalysis[Nutrition], MATCH(tblPiNHistorical[[#This Row],[ID]], tblPiNAnalysis[ID], 0)), "")</f>
        <v/>
      </c>
      <c r="Z297" s="28" t="str">
        <f>IFERROR(INDEX(tblPiNAnalysis[Protection], MATCH(tblPiNHistorical[[#This Row],[ID]], tblPiNAnalysis[ID], 0)), "")</f>
        <v/>
      </c>
      <c r="AA297" s="28" t="str">
        <f>IFERROR(INDEX(tblPiNAnalysis[CP], MATCH(tblPiNHistorical[[#This Row],[ID]], tblPiNAnalysis[ID], 0)), "")</f>
        <v/>
      </c>
      <c r="AB297" s="83" t="str">
        <f>IFERROR(INDEX(tblPiNAnalysis[GBV], MATCH(tblPiNHistorical[[#This Row],[ID]], tblPiNAnalysis[ID], 0)), "")</f>
        <v/>
      </c>
      <c r="AC297" s="28" t="str">
        <f>IFERROR(INDEX(tblPiNAnalysis[Mine Action], MATCH(tblPiNHistorical[[#This Row],[ID]], tblPiNAnalysis[ID], 0)), "")</f>
        <v/>
      </c>
      <c r="AD297" s="83" t="str">
        <f>IFERROR(INDEX(tblPiNAnalysis[[Shelter NFI ]], MATCH(tblPiNHistorical[[#This Row],[ID]], tblPiNAnalysis[ID], 0)), "")</f>
        <v/>
      </c>
      <c r="AE297" s="28" t="str">
        <f>IFERROR(INDEX(tblPiNAnalysis[WASH], MATCH(tblPiNHistorical[[#This Row],[ID]], tblPiNAnalysis[ID], 0)), "")</f>
        <v/>
      </c>
      <c r="AF297"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297" s="136" t="str">
        <f>IF(OR(tblPiNHistorical[[#This Row],[Education Old]]="", tblPiNHistorical[[#This Row],[Education Old]]=0, tblPiNHistorical[[#This Row],[Education New]]="", tblPiNHistorical[[#This Row],[Education New]]=0), "", tblPiNHistorical[[#This Row],[Education New]]-tblPiNHistorical[[#This Row],[Education Old]])</f>
        <v/>
      </c>
      <c r="AH297"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297" s="137" t="str">
        <f>IF(OR(tblPiNHistorical[[#This Row],[Health Old]]="", tblPiNHistorical[[#This Row],[Health Old]]=0, tblPiNHistorical[[#This Row],[Health New]]="", tblPiNHistorical[[#This Row],[Health New]]=0), "", tblPiNHistorical[[#This Row],[Health New]]-tblPiNHistorical[[#This Row],[Health Old]])</f>
        <v/>
      </c>
      <c r="AJ297" s="136" t="str">
        <f>IF(OR(tblPiNHistorical[[#This Row],[Nutrition Old]]="", tblPiNHistorical[[#This Row],[Nutrition Old]]=0, tblPiNHistorical[[#This Row],[Nutrition New]]="", tblPiNHistorical[[#This Row],[Nutrition New]]=0), "", tblPiNHistorical[[#This Row],[Nutrition New]]-tblPiNHistorical[[#This Row],[Nutrition Old]])</f>
        <v/>
      </c>
      <c r="AK297" s="136" t="str">
        <f>IF(OR(tblPiNHistorical[[#This Row],[Protection Old]]="", tblPiNHistorical[[#This Row],[Protection Old]]=0, tblPiNHistorical[[#This Row],[Protection New]]="", tblPiNHistorical[[#This Row],[Protection New]]=0), "", tblPiNHistorical[[#This Row],[Protection New]]-tblPiNHistorical[[#This Row],[Protection Old]])</f>
        <v/>
      </c>
      <c r="AL297" s="136" t="str">
        <f>IF(OR(tblPiNHistorical[[#This Row],[CP Old ]]="", tblPiNHistorical[[#This Row],[CP Old ]]=0, tblPiNHistorical[[#This Row],[CP New]]="", tblPiNHistorical[[#This Row],[CP New]]=0), "", tblPiNHistorical[[#This Row],[CP New]]-tblPiNHistorical[[#This Row],[CP Old ]])</f>
        <v/>
      </c>
      <c r="AM297" s="83" t="str">
        <f>IF(OR(tblPiNHistorical[[#This Row],[GBV Old]]="", tblPiNHistorical[[#This Row],[GBV Old]]=0, tblPiNHistorical[[#This Row],[GBV New]]="", tblPiNHistorical[[#This Row],[GBV New]]=0), "", tblPiNHistorical[[#This Row],[GBV New]]-tblPiNHistorical[[#This Row],[GBV Old]])</f>
        <v/>
      </c>
      <c r="AN297" s="83" t="str">
        <f>IF(OR(tblPiNHistorical[[#This Row],[Mine Action Old]]="", tblPiNHistorical[[#This Row],[Mine Action Old]]=0, tblPiNHistorical[[#This Row],[Mine Action New]]="", tblPiNHistorical[[#This Row],[Mine Action New]]=0), "", tblPiNHistorical[[#This Row],[Mine Action New]]-tblPiNHistorical[[#This Row],[Mine Action Old]])</f>
        <v/>
      </c>
      <c r="AO297" s="136" t="str">
        <f>IF(OR(tblPiNHistorical[[#This Row],[Shelter NFI Old]]="", tblPiNHistorical[[#This Row],[Shelter NFI Old]]=0, tblPiNHistorical[[#This Row],[Shelter NFI New]]="", tblPiNHistorical[[#This Row],[Shelter NFI New]]=0), "", tblPiNHistorical[[#This Row],[Shelter NFI New]]-tblPiNHistorical[[#This Row],[Shelter NFI Old]])</f>
        <v/>
      </c>
      <c r="AP297" s="138" t="str">
        <f>IF(OR(tblPiNHistorical[[#This Row],[WASH Old]]="", tblPiNHistorical[[#This Row],[WASH Old]]=0, tblPiNHistorical[[#This Row],[WASH New]]="", tblPiNHistorical[[#This Row],[WASH New]]=0), "", tblPiNHistorical[[#This Row],[WASH New]]-tblPiNHistorical[[#This Row],[WASH Old]])</f>
        <v/>
      </c>
      <c r="AQ297" s="139" t="str">
        <f>IFERROR(ROUND((tblPiNHistorical[[#This Row],[Site Management - New]] - tblPiNHistorical[[#This Row],[Site Management - Old]])/tblPiNHistorical[[#This Row],[Site Management - Old]], 1), "")</f>
        <v/>
      </c>
      <c r="AR297" s="140" t="str">
        <f>IFERROR(ROUND((tblPiNHistorical[[#This Row],[Education New]]-tblPiNHistorical[[#This Row],[Education Old]])/tblPiNHistorical[[#This Row],[Education Old]], 1), "")</f>
        <v/>
      </c>
      <c r="AS297" s="141" t="str">
        <f>IFERROR(ROUND((tblPiNHistorical[[#This Row],[Food Security and Livlihoods New]]-tblPiNHistorical[[#This Row],[Food Security and Livlihoods Old]])/tblPiNHistorical[[#This Row],[Food Security and Livlihoods Old]], 1), "")</f>
        <v/>
      </c>
      <c r="AT297" s="142" t="str">
        <f>IFERROR(ROUND((tblPiNHistorical[[#This Row],[Health New]]-tblPiNHistorical[[#This Row],[Health Old]])/tblPiNHistorical[[#This Row],[Health Old]], 1), "")</f>
        <v/>
      </c>
      <c r="AU297" s="140" t="str">
        <f>IFERROR(ROUND((tblPiNHistorical[[#This Row],[Nutrition New]]-tblPiNHistorical[[#This Row],[Nutrition Old]])/tblPiNHistorical[[#This Row],[Nutrition Old]], 1), "")</f>
        <v/>
      </c>
      <c r="AV297" s="140" t="str">
        <f>IFERROR(ROUND((tblPiNHistorical[[#This Row],[Protection New]]-tblPiNHistorical[[#This Row],[Protection Old]])/tblPiNHistorical[[#This Row],[Protection Old]], 1), "")</f>
        <v/>
      </c>
      <c r="AW297" s="84" t="str">
        <f>IFERROR(ROUND((tblPiNHistorical[[#This Row],[CP New]]-tblPiNHistorical[[#This Row],[CP Old ]])/tblPiNHistorical[[#This Row],[CP Old ]], 1), "")</f>
        <v/>
      </c>
      <c r="AX297" s="84" t="str">
        <f>IFERROR(ROUND((tblPiNHistorical[[#This Row],[GBV New]]-tblPiNHistorical[[#This Row],[GBV Old]])/tblPiNHistorical[[#This Row],[GBV Old]], 1), "")</f>
        <v/>
      </c>
      <c r="AY297" s="84" t="str">
        <f>IFERROR(ROUND((tblPiNHistorical[[#This Row],[Mine Action New]]-tblPiNHistorical[[#This Row],[Mine Action Old]])/tblPiNHistorical[[#This Row],[Mine Action Old]], 1), "")</f>
        <v/>
      </c>
      <c r="AZ297" s="140" t="str">
        <f>IFERROR(ROUND((tblPiNHistorical[[#This Row],[Shelter NFI New]]-tblPiNHistorical[[#This Row],[Shelter NFI Old]])/tblPiNHistorical[[#This Row],[Shelter NFI Old]], 1), "")</f>
        <v/>
      </c>
      <c r="BA297" s="31" t="str">
        <f>IFERROR(ROUND((tblPiNHistorical[[#This Row],[WASH New]]-tblPiNHistorical[[#This Row],[WASH Old]])/tblPiNHistorical[[#This Row],[WASH Old]], 1), "")</f>
        <v/>
      </c>
    </row>
    <row r="298" spans="1:53" ht="38.25" x14ac:dyDescent="0.25">
      <c r="A298"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RefugeesSD10068</v>
      </c>
      <c r="B298" s="134" t="s">
        <v>176</v>
      </c>
      <c r="C298" s="124" t="s">
        <v>127</v>
      </c>
      <c r="D298" s="124" t="s">
        <v>412</v>
      </c>
      <c r="E298" s="59" t="s">
        <v>413</v>
      </c>
      <c r="F298" s="54"/>
      <c r="G298" s="29"/>
      <c r="H298" s="53">
        <v>1005</v>
      </c>
      <c r="I298" s="53" t="s">
        <v>90</v>
      </c>
      <c r="J298" s="34">
        <v>0</v>
      </c>
      <c r="K298" s="116">
        <v>782</v>
      </c>
      <c r="L298" s="114">
        <v>1005</v>
      </c>
      <c r="M298" s="114">
        <v>492</v>
      </c>
      <c r="N298" s="114">
        <v>92</v>
      </c>
      <c r="O298" s="114">
        <v>1005</v>
      </c>
      <c r="P298" s="114">
        <v>20.100000000000001</v>
      </c>
      <c r="Q298" s="114">
        <v>156.78</v>
      </c>
      <c r="R298" s="114">
        <v>0</v>
      </c>
      <c r="S298" s="114">
        <v>0</v>
      </c>
      <c r="T298" s="196">
        <v>901</v>
      </c>
      <c r="U298" s="52" t="str">
        <f>IFERROR(INDEX(tblPiNAnalysis[[Site Management ]], MATCH(tblPiNHistorical[[#This Row],[ID]], tblPiNAnalysis[ID], 0)), "")</f>
        <v/>
      </c>
      <c r="V298" s="52" t="str">
        <f>IFERROR(INDEX(tblPiNAnalysis[Education], MATCH(tblPiNHistorical[[#This Row],[ID]], tblPiNAnalysis[ID], 0)), "")</f>
        <v/>
      </c>
      <c r="W298" s="28" t="str">
        <f>IFERROR(INDEX(tblPiNAnalysis[Food Security and Livlihoods], MATCH(tblPiNHistorical[[#This Row],[ID]], tblPiNAnalysis[ID], 0)), "")</f>
        <v/>
      </c>
      <c r="X298" s="28" t="str">
        <f>IFERROR(INDEX(tblPiNAnalysis[[Health ]], MATCH(tblPiNHistorical[[#This Row],[ID]], tblPiNAnalysis[ID], 0)), "")</f>
        <v/>
      </c>
      <c r="Y298" s="28" t="str">
        <f>IFERROR(INDEX(tblPiNAnalysis[Nutrition], MATCH(tblPiNHistorical[[#This Row],[ID]], tblPiNAnalysis[ID], 0)), "")</f>
        <v/>
      </c>
      <c r="Z298" s="28" t="str">
        <f>IFERROR(INDEX(tblPiNAnalysis[Protection], MATCH(tblPiNHistorical[[#This Row],[ID]], tblPiNAnalysis[ID], 0)), "")</f>
        <v/>
      </c>
      <c r="AA298" s="28" t="str">
        <f>IFERROR(INDEX(tblPiNAnalysis[CP], MATCH(tblPiNHistorical[[#This Row],[ID]], tblPiNAnalysis[ID], 0)), "")</f>
        <v/>
      </c>
      <c r="AB298" s="83" t="str">
        <f>IFERROR(INDEX(tblPiNAnalysis[GBV], MATCH(tblPiNHistorical[[#This Row],[ID]], tblPiNAnalysis[ID], 0)), "")</f>
        <v/>
      </c>
      <c r="AC298" s="28" t="str">
        <f>IFERROR(INDEX(tblPiNAnalysis[Mine Action], MATCH(tblPiNHistorical[[#This Row],[ID]], tblPiNAnalysis[ID], 0)), "")</f>
        <v/>
      </c>
      <c r="AD298" s="83" t="str">
        <f>IFERROR(INDEX(tblPiNAnalysis[[Shelter NFI ]], MATCH(tblPiNHistorical[[#This Row],[ID]], tblPiNAnalysis[ID], 0)), "")</f>
        <v/>
      </c>
      <c r="AE298" s="28" t="str">
        <f>IFERROR(INDEX(tblPiNAnalysis[WASH], MATCH(tblPiNHistorical[[#This Row],[ID]], tblPiNAnalysis[ID], 0)), "")</f>
        <v/>
      </c>
      <c r="AF298"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298" s="136" t="str">
        <f>IF(OR(tblPiNHistorical[[#This Row],[Education Old]]="", tblPiNHistorical[[#This Row],[Education Old]]=0, tblPiNHistorical[[#This Row],[Education New]]="", tblPiNHistorical[[#This Row],[Education New]]=0), "", tblPiNHistorical[[#This Row],[Education New]]-tblPiNHistorical[[#This Row],[Education Old]])</f>
        <v/>
      </c>
      <c r="AH298"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298" s="137" t="str">
        <f>IF(OR(tblPiNHistorical[[#This Row],[Health Old]]="", tblPiNHistorical[[#This Row],[Health Old]]=0, tblPiNHistorical[[#This Row],[Health New]]="", tblPiNHistorical[[#This Row],[Health New]]=0), "", tblPiNHistorical[[#This Row],[Health New]]-tblPiNHistorical[[#This Row],[Health Old]])</f>
        <v/>
      </c>
      <c r="AJ298" s="136" t="str">
        <f>IF(OR(tblPiNHistorical[[#This Row],[Nutrition Old]]="", tblPiNHistorical[[#This Row],[Nutrition Old]]=0, tblPiNHistorical[[#This Row],[Nutrition New]]="", tblPiNHistorical[[#This Row],[Nutrition New]]=0), "", tblPiNHistorical[[#This Row],[Nutrition New]]-tblPiNHistorical[[#This Row],[Nutrition Old]])</f>
        <v/>
      </c>
      <c r="AK298" s="136" t="str">
        <f>IF(OR(tblPiNHistorical[[#This Row],[Protection Old]]="", tblPiNHistorical[[#This Row],[Protection Old]]=0, tblPiNHistorical[[#This Row],[Protection New]]="", tblPiNHistorical[[#This Row],[Protection New]]=0), "", tblPiNHistorical[[#This Row],[Protection New]]-tblPiNHistorical[[#This Row],[Protection Old]])</f>
        <v/>
      </c>
      <c r="AL298" s="136" t="str">
        <f>IF(OR(tblPiNHistorical[[#This Row],[CP Old ]]="", tblPiNHistorical[[#This Row],[CP Old ]]=0, tblPiNHistorical[[#This Row],[CP New]]="", tblPiNHistorical[[#This Row],[CP New]]=0), "", tblPiNHistorical[[#This Row],[CP New]]-tblPiNHistorical[[#This Row],[CP Old ]])</f>
        <v/>
      </c>
      <c r="AM298" s="83" t="str">
        <f>IF(OR(tblPiNHistorical[[#This Row],[GBV Old]]="", tblPiNHistorical[[#This Row],[GBV Old]]=0, tblPiNHistorical[[#This Row],[GBV New]]="", tblPiNHistorical[[#This Row],[GBV New]]=0), "", tblPiNHistorical[[#This Row],[GBV New]]-tblPiNHistorical[[#This Row],[GBV Old]])</f>
        <v/>
      </c>
      <c r="AN298" s="83" t="str">
        <f>IF(OR(tblPiNHistorical[[#This Row],[Mine Action Old]]="", tblPiNHistorical[[#This Row],[Mine Action Old]]=0, tblPiNHistorical[[#This Row],[Mine Action New]]="", tblPiNHistorical[[#This Row],[Mine Action New]]=0), "", tblPiNHistorical[[#This Row],[Mine Action New]]-tblPiNHistorical[[#This Row],[Mine Action Old]])</f>
        <v/>
      </c>
      <c r="AO298" s="136" t="str">
        <f>IF(OR(tblPiNHistorical[[#This Row],[Shelter NFI Old]]="", tblPiNHistorical[[#This Row],[Shelter NFI Old]]=0, tblPiNHistorical[[#This Row],[Shelter NFI New]]="", tblPiNHistorical[[#This Row],[Shelter NFI New]]=0), "", tblPiNHistorical[[#This Row],[Shelter NFI New]]-tblPiNHistorical[[#This Row],[Shelter NFI Old]])</f>
        <v/>
      </c>
      <c r="AP298" s="138" t="str">
        <f>IF(OR(tblPiNHistorical[[#This Row],[WASH Old]]="", tblPiNHistorical[[#This Row],[WASH Old]]=0, tblPiNHistorical[[#This Row],[WASH New]]="", tblPiNHistorical[[#This Row],[WASH New]]=0), "", tblPiNHistorical[[#This Row],[WASH New]]-tblPiNHistorical[[#This Row],[WASH Old]])</f>
        <v/>
      </c>
      <c r="AQ298" s="139" t="str">
        <f>IFERROR(ROUND((tblPiNHistorical[[#This Row],[Site Management - New]] - tblPiNHistorical[[#This Row],[Site Management - Old]])/tblPiNHistorical[[#This Row],[Site Management - Old]], 1), "")</f>
        <v/>
      </c>
      <c r="AR298" s="140" t="str">
        <f>IFERROR(ROUND((tblPiNHistorical[[#This Row],[Education New]]-tblPiNHistorical[[#This Row],[Education Old]])/tblPiNHistorical[[#This Row],[Education Old]], 1), "")</f>
        <v/>
      </c>
      <c r="AS298" s="141" t="str">
        <f>IFERROR(ROUND((tblPiNHistorical[[#This Row],[Food Security and Livlihoods New]]-tblPiNHistorical[[#This Row],[Food Security and Livlihoods Old]])/tblPiNHistorical[[#This Row],[Food Security and Livlihoods Old]], 1), "")</f>
        <v/>
      </c>
      <c r="AT298" s="142" t="str">
        <f>IFERROR(ROUND((tblPiNHistorical[[#This Row],[Health New]]-tblPiNHistorical[[#This Row],[Health Old]])/tblPiNHistorical[[#This Row],[Health Old]], 1), "")</f>
        <v/>
      </c>
      <c r="AU298" s="140" t="str">
        <f>IFERROR(ROUND((tblPiNHistorical[[#This Row],[Nutrition New]]-tblPiNHistorical[[#This Row],[Nutrition Old]])/tblPiNHistorical[[#This Row],[Nutrition Old]], 1), "")</f>
        <v/>
      </c>
      <c r="AV298" s="140" t="str">
        <f>IFERROR(ROUND((tblPiNHistorical[[#This Row],[Protection New]]-tblPiNHistorical[[#This Row],[Protection Old]])/tblPiNHistorical[[#This Row],[Protection Old]], 1), "")</f>
        <v/>
      </c>
      <c r="AW298" s="84" t="str">
        <f>IFERROR(ROUND((tblPiNHistorical[[#This Row],[CP New]]-tblPiNHistorical[[#This Row],[CP Old ]])/tblPiNHistorical[[#This Row],[CP Old ]], 1), "")</f>
        <v/>
      </c>
      <c r="AX298" s="84" t="str">
        <f>IFERROR(ROUND((tblPiNHistorical[[#This Row],[GBV New]]-tblPiNHistorical[[#This Row],[GBV Old]])/tblPiNHistorical[[#This Row],[GBV Old]], 1), "")</f>
        <v/>
      </c>
      <c r="AY298" s="84" t="str">
        <f>IFERROR(ROUND((tblPiNHistorical[[#This Row],[Mine Action New]]-tblPiNHistorical[[#This Row],[Mine Action Old]])/tblPiNHistorical[[#This Row],[Mine Action Old]], 1), "")</f>
        <v/>
      </c>
      <c r="AZ298" s="140" t="str">
        <f>IFERROR(ROUND((tblPiNHistorical[[#This Row],[Shelter NFI New]]-tblPiNHistorical[[#This Row],[Shelter NFI Old]])/tblPiNHistorical[[#This Row],[Shelter NFI Old]], 1), "")</f>
        <v/>
      </c>
      <c r="BA298" s="31" t="str">
        <f>IFERROR(ROUND((tblPiNHistorical[[#This Row],[WASH New]]-tblPiNHistorical[[#This Row],[WASH Old]])/tblPiNHistorical[[#This Row],[WASH Old]], 1), "")</f>
        <v/>
      </c>
    </row>
    <row r="299" spans="1:53" ht="38.25" x14ac:dyDescent="0.25">
      <c r="A299"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RefugeesSD10071</v>
      </c>
      <c r="B299" s="134" t="s">
        <v>176</v>
      </c>
      <c r="C299" s="124" t="s">
        <v>127</v>
      </c>
      <c r="D299" s="124" t="s">
        <v>418</v>
      </c>
      <c r="E299" s="59" t="s">
        <v>419</v>
      </c>
      <c r="F299" s="54"/>
      <c r="G299" s="29"/>
      <c r="H299" s="53">
        <v>68</v>
      </c>
      <c r="I299" s="53" t="s">
        <v>90</v>
      </c>
      <c r="J299" s="34">
        <v>0</v>
      </c>
      <c r="K299" s="116">
        <v>52</v>
      </c>
      <c r="L299" s="114">
        <v>68</v>
      </c>
      <c r="M299" s="114">
        <v>33</v>
      </c>
      <c r="N299" s="114">
        <v>6</v>
      </c>
      <c r="O299" s="114">
        <v>68</v>
      </c>
      <c r="P299" s="114">
        <v>1.36</v>
      </c>
      <c r="Q299" s="114">
        <v>10.608000000000001</v>
      </c>
      <c r="R299" s="114">
        <v>0</v>
      </c>
      <c r="S299" s="114">
        <v>0</v>
      </c>
      <c r="T299" s="196">
        <v>64</v>
      </c>
      <c r="U299" s="52" t="str">
        <f>IFERROR(INDEX(tblPiNAnalysis[[Site Management ]], MATCH(tblPiNHistorical[[#This Row],[ID]], tblPiNAnalysis[ID], 0)), "")</f>
        <v/>
      </c>
      <c r="V299" s="52" t="str">
        <f>IFERROR(INDEX(tblPiNAnalysis[Education], MATCH(tblPiNHistorical[[#This Row],[ID]], tblPiNAnalysis[ID], 0)), "")</f>
        <v/>
      </c>
      <c r="W299" s="28" t="str">
        <f>IFERROR(INDEX(tblPiNAnalysis[Food Security and Livlihoods], MATCH(tblPiNHistorical[[#This Row],[ID]], tblPiNAnalysis[ID], 0)), "")</f>
        <v/>
      </c>
      <c r="X299" s="28" t="str">
        <f>IFERROR(INDEX(tblPiNAnalysis[[Health ]], MATCH(tblPiNHistorical[[#This Row],[ID]], tblPiNAnalysis[ID], 0)), "")</f>
        <v/>
      </c>
      <c r="Y299" s="28" t="str">
        <f>IFERROR(INDEX(tblPiNAnalysis[Nutrition], MATCH(tblPiNHistorical[[#This Row],[ID]], tblPiNAnalysis[ID], 0)), "")</f>
        <v/>
      </c>
      <c r="Z299" s="28" t="str">
        <f>IFERROR(INDEX(tblPiNAnalysis[Protection], MATCH(tblPiNHistorical[[#This Row],[ID]], tblPiNAnalysis[ID], 0)), "")</f>
        <v/>
      </c>
      <c r="AA299" s="28" t="str">
        <f>IFERROR(INDEX(tblPiNAnalysis[CP], MATCH(tblPiNHistorical[[#This Row],[ID]], tblPiNAnalysis[ID], 0)), "")</f>
        <v/>
      </c>
      <c r="AB299" s="83" t="str">
        <f>IFERROR(INDEX(tblPiNAnalysis[GBV], MATCH(tblPiNHistorical[[#This Row],[ID]], tblPiNAnalysis[ID], 0)), "")</f>
        <v/>
      </c>
      <c r="AC299" s="28" t="str">
        <f>IFERROR(INDEX(tblPiNAnalysis[Mine Action], MATCH(tblPiNHistorical[[#This Row],[ID]], tblPiNAnalysis[ID], 0)), "")</f>
        <v/>
      </c>
      <c r="AD299" s="83" t="str">
        <f>IFERROR(INDEX(tblPiNAnalysis[[Shelter NFI ]], MATCH(tblPiNHistorical[[#This Row],[ID]], tblPiNAnalysis[ID], 0)), "")</f>
        <v/>
      </c>
      <c r="AE299" s="28" t="str">
        <f>IFERROR(INDEX(tblPiNAnalysis[WASH], MATCH(tblPiNHistorical[[#This Row],[ID]], tblPiNAnalysis[ID], 0)), "")</f>
        <v/>
      </c>
      <c r="AF299"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299" s="136" t="str">
        <f>IF(OR(tblPiNHistorical[[#This Row],[Education Old]]="", tblPiNHistorical[[#This Row],[Education Old]]=0, tblPiNHistorical[[#This Row],[Education New]]="", tblPiNHistorical[[#This Row],[Education New]]=0), "", tblPiNHistorical[[#This Row],[Education New]]-tblPiNHistorical[[#This Row],[Education Old]])</f>
        <v/>
      </c>
      <c r="AH299"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299" s="137" t="str">
        <f>IF(OR(tblPiNHistorical[[#This Row],[Health Old]]="", tblPiNHistorical[[#This Row],[Health Old]]=0, tblPiNHistorical[[#This Row],[Health New]]="", tblPiNHistorical[[#This Row],[Health New]]=0), "", tblPiNHistorical[[#This Row],[Health New]]-tblPiNHistorical[[#This Row],[Health Old]])</f>
        <v/>
      </c>
      <c r="AJ299" s="136" t="str">
        <f>IF(OR(tblPiNHistorical[[#This Row],[Nutrition Old]]="", tblPiNHistorical[[#This Row],[Nutrition Old]]=0, tblPiNHistorical[[#This Row],[Nutrition New]]="", tblPiNHistorical[[#This Row],[Nutrition New]]=0), "", tblPiNHistorical[[#This Row],[Nutrition New]]-tblPiNHistorical[[#This Row],[Nutrition Old]])</f>
        <v/>
      </c>
      <c r="AK299" s="136" t="str">
        <f>IF(OR(tblPiNHistorical[[#This Row],[Protection Old]]="", tblPiNHistorical[[#This Row],[Protection Old]]=0, tblPiNHistorical[[#This Row],[Protection New]]="", tblPiNHistorical[[#This Row],[Protection New]]=0), "", tblPiNHistorical[[#This Row],[Protection New]]-tblPiNHistorical[[#This Row],[Protection Old]])</f>
        <v/>
      </c>
      <c r="AL299" s="136" t="str">
        <f>IF(OR(tblPiNHistorical[[#This Row],[CP Old ]]="", tblPiNHistorical[[#This Row],[CP Old ]]=0, tblPiNHistorical[[#This Row],[CP New]]="", tblPiNHistorical[[#This Row],[CP New]]=0), "", tblPiNHistorical[[#This Row],[CP New]]-tblPiNHistorical[[#This Row],[CP Old ]])</f>
        <v/>
      </c>
      <c r="AM299" s="83" t="str">
        <f>IF(OR(tblPiNHistorical[[#This Row],[GBV Old]]="", tblPiNHistorical[[#This Row],[GBV Old]]=0, tblPiNHistorical[[#This Row],[GBV New]]="", tblPiNHistorical[[#This Row],[GBV New]]=0), "", tblPiNHistorical[[#This Row],[GBV New]]-tblPiNHistorical[[#This Row],[GBV Old]])</f>
        <v/>
      </c>
      <c r="AN299" s="83" t="str">
        <f>IF(OR(tblPiNHistorical[[#This Row],[Mine Action Old]]="", tblPiNHistorical[[#This Row],[Mine Action Old]]=0, tblPiNHistorical[[#This Row],[Mine Action New]]="", tblPiNHistorical[[#This Row],[Mine Action New]]=0), "", tblPiNHistorical[[#This Row],[Mine Action New]]-tblPiNHistorical[[#This Row],[Mine Action Old]])</f>
        <v/>
      </c>
      <c r="AO299" s="136" t="str">
        <f>IF(OR(tblPiNHistorical[[#This Row],[Shelter NFI Old]]="", tblPiNHistorical[[#This Row],[Shelter NFI Old]]=0, tblPiNHistorical[[#This Row],[Shelter NFI New]]="", tblPiNHistorical[[#This Row],[Shelter NFI New]]=0), "", tblPiNHistorical[[#This Row],[Shelter NFI New]]-tblPiNHistorical[[#This Row],[Shelter NFI Old]])</f>
        <v/>
      </c>
      <c r="AP299" s="138" t="str">
        <f>IF(OR(tblPiNHistorical[[#This Row],[WASH Old]]="", tblPiNHistorical[[#This Row],[WASH Old]]=0, tblPiNHistorical[[#This Row],[WASH New]]="", tblPiNHistorical[[#This Row],[WASH New]]=0), "", tblPiNHistorical[[#This Row],[WASH New]]-tblPiNHistorical[[#This Row],[WASH Old]])</f>
        <v/>
      </c>
      <c r="AQ299" s="139" t="str">
        <f>IFERROR(ROUND((tblPiNHistorical[[#This Row],[Site Management - New]] - tblPiNHistorical[[#This Row],[Site Management - Old]])/tblPiNHistorical[[#This Row],[Site Management - Old]], 1), "")</f>
        <v/>
      </c>
      <c r="AR299" s="140" t="str">
        <f>IFERROR(ROUND((tblPiNHistorical[[#This Row],[Education New]]-tblPiNHistorical[[#This Row],[Education Old]])/tblPiNHistorical[[#This Row],[Education Old]], 1), "")</f>
        <v/>
      </c>
      <c r="AS299" s="141" t="str">
        <f>IFERROR(ROUND((tblPiNHistorical[[#This Row],[Food Security and Livlihoods New]]-tblPiNHistorical[[#This Row],[Food Security and Livlihoods Old]])/tblPiNHistorical[[#This Row],[Food Security and Livlihoods Old]], 1), "")</f>
        <v/>
      </c>
      <c r="AT299" s="142" t="str">
        <f>IFERROR(ROUND((tblPiNHistorical[[#This Row],[Health New]]-tblPiNHistorical[[#This Row],[Health Old]])/tblPiNHistorical[[#This Row],[Health Old]], 1), "")</f>
        <v/>
      </c>
      <c r="AU299" s="140" t="str">
        <f>IFERROR(ROUND((tblPiNHistorical[[#This Row],[Nutrition New]]-tblPiNHistorical[[#This Row],[Nutrition Old]])/tblPiNHistorical[[#This Row],[Nutrition Old]], 1), "")</f>
        <v/>
      </c>
      <c r="AV299" s="140" t="str">
        <f>IFERROR(ROUND((tblPiNHistorical[[#This Row],[Protection New]]-tblPiNHistorical[[#This Row],[Protection Old]])/tblPiNHistorical[[#This Row],[Protection Old]], 1), "")</f>
        <v/>
      </c>
      <c r="AW299" s="84" t="str">
        <f>IFERROR(ROUND((tblPiNHistorical[[#This Row],[CP New]]-tblPiNHistorical[[#This Row],[CP Old ]])/tblPiNHistorical[[#This Row],[CP Old ]], 1), "")</f>
        <v/>
      </c>
      <c r="AX299" s="84" t="str">
        <f>IFERROR(ROUND((tblPiNHistorical[[#This Row],[GBV New]]-tblPiNHistorical[[#This Row],[GBV Old]])/tblPiNHistorical[[#This Row],[GBV Old]], 1), "")</f>
        <v/>
      </c>
      <c r="AY299" s="84" t="str">
        <f>IFERROR(ROUND((tblPiNHistorical[[#This Row],[Mine Action New]]-tblPiNHistorical[[#This Row],[Mine Action Old]])/tblPiNHistorical[[#This Row],[Mine Action Old]], 1), "")</f>
        <v/>
      </c>
      <c r="AZ299" s="140" t="str">
        <f>IFERROR(ROUND((tblPiNHistorical[[#This Row],[Shelter NFI New]]-tblPiNHistorical[[#This Row],[Shelter NFI Old]])/tblPiNHistorical[[#This Row],[Shelter NFI Old]], 1), "")</f>
        <v/>
      </c>
      <c r="BA299" s="31" t="str">
        <f>IFERROR(ROUND((tblPiNHistorical[[#This Row],[WASH New]]-tblPiNHistorical[[#This Row],[WASH Old]])/tblPiNHistorical[[#This Row],[WASH Old]], 1), "")</f>
        <v/>
      </c>
    </row>
    <row r="300" spans="1:53" ht="38.25" x14ac:dyDescent="0.25">
      <c r="A300"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RefugeesSD10065</v>
      </c>
      <c r="B300" s="134" t="s">
        <v>176</v>
      </c>
      <c r="C300" s="124" t="s">
        <v>127</v>
      </c>
      <c r="D300" s="124" t="s">
        <v>406</v>
      </c>
      <c r="E300" s="59" t="s">
        <v>407</v>
      </c>
      <c r="F300" s="54"/>
      <c r="G300" s="29"/>
      <c r="H300" s="53">
        <v>32</v>
      </c>
      <c r="I300" s="53" t="s">
        <v>90</v>
      </c>
      <c r="J300" s="34">
        <v>0</v>
      </c>
      <c r="K300" s="116">
        <v>24</v>
      </c>
      <c r="L300" s="114">
        <v>32</v>
      </c>
      <c r="M300" s="114">
        <v>9</v>
      </c>
      <c r="N300" s="114">
        <v>2</v>
      </c>
      <c r="O300" s="114">
        <v>32</v>
      </c>
      <c r="P300" s="114">
        <v>0.64</v>
      </c>
      <c r="Q300" s="114">
        <v>4.992</v>
      </c>
      <c r="R300" s="114">
        <v>0</v>
      </c>
      <c r="S300" s="114">
        <v>0</v>
      </c>
      <c r="T300" s="196">
        <v>30</v>
      </c>
      <c r="U300" s="52" t="str">
        <f>IFERROR(INDEX(tblPiNAnalysis[[Site Management ]], MATCH(tblPiNHistorical[[#This Row],[ID]], tblPiNAnalysis[ID], 0)), "")</f>
        <v/>
      </c>
      <c r="V300" s="52" t="str">
        <f>IFERROR(INDEX(tblPiNAnalysis[Education], MATCH(tblPiNHistorical[[#This Row],[ID]], tblPiNAnalysis[ID], 0)), "")</f>
        <v/>
      </c>
      <c r="W300" s="28" t="str">
        <f>IFERROR(INDEX(tblPiNAnalysis[Food Security and Livlihoods], MATCH(tblPiNHistorical[[#This Row],[ID]], tblPiNAnalysis[ID], 0)), "")</f>
        <v/>
      </c>
      <c r="X300" s="28" t="str">
        <f>IFERROR(INDEX(tblPiNAnalysis[[Health ]], MATCH(tblPiNHistorical[[#This Row],[ID]], tblPiNAnalysis[ID], 0)), "")</f>
        <v/>
      </c>
      <c r="Y300" s="28" t="str">
        <f>IFERROR(INDEX(tblPiNAnalysis[Nutrition], MATCH(tblPiNHistorical[[#This Row],[ID]], tblPiNAnalysis[ID], 0)), "")</f>
        <v/>
      </c>
      <c r="Z300" s="28" t="str">
        <f>IFERROR(INDEX(tblPiNAnalysis[Protection], MATCH(tblPiNHistorical[[#This Row],[ID]], tblPiNAnalysis[ID], 0)), "")</f>
        <v/>
      </c>
      <c r="AA300" s="28" t="str">
        <f>IFERROR(INDEX(tblPiNAnalysis[CP], MATCH(tblPiNHistorical[[#This Row],[ID]], tblPiNAnalysis[ID], 0)), "")</f>
        <v/>
      </c>
      <c r="AB300" s="83" t="str">
        <f>IFERROR(INDEX(tblPiNAnalysis[GBV], MATCH(tblPiNHistorical[[#This Row],[ID]], tblPiNAnalysis[ID], 0)), "")</f>
        <v/>
      </c>
      <c r="AC300" s="28" t="str">
        <f>IFERROR(INDEX(tblPiNAnalysis[Mine Action], MATCH(tblPiNHistorical[[#This Row],[ID]], tblPiNAnalysis[ID], 0)), "")</f>
        <v/>
      </c>
      <c r="AD300" s="83" t="str">
        <f>IFERROR(INDEX(tblPiNAnalysis[[Shelter NFI ]], MATCH(tblPiNHistorical[[#This Row],[ID]], tblPiNAnalysis[ID], 0)), "")</f>
        <v/>
      </c>
      <c r="AE300" s="28" t="str">
        <f>IFERROR(INDEX(tblPiNAnalysis[WASH], MATCH(tblPiNHistorical[[#This Row],[ID]], tblPiNAnalysis[ID], 0)), "")</f>
        <v/>
      </c>
      <c r="AF300"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300" s="136" t="str">
        <f>IF(OR(tblPiNHistorical[[#This Row],[Education Old]]="", tblPiNHistorical[[#This Row],[Education Old]]=0, tblPiNHistorical[[#This Row],[Education New]]="", tblPiNHistorical[[#This Row],[Education New]]=0), "", tblPiNHistorical[[#This Row],[Education New]]-tblPiNHistorical[[#This Row],[Education Old]])</f>
        <v/>
      </c>
      <c r="AH300"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300" s="137" t="str">
        <f>IF(OR(tblPiNHistorical[[#This Row],[Health Old]]="", tblPiNHistorical[[#This Row],[Health Old]]=0, tblPiNHistorical[[#This Row],[Health New]]="", tblPiNHistorical[[#This Row],[Health New]]=0), "", tblPiNHistorical[[#This Row],[Health New]]-tblPiNHistorical[[#This Row],[Health Old]])</f>
        <v/>
      </c>
      <c r="AJ300" s="136" t="str">
        <f>IF(OR(tblPiNHistorical[[#This Row],[Nutrition Old]]="", tblPiNHistorical[[#This Row],[Nutrition Old]]=0, tblPiNHistorical[[#This Row],[Nutrition New]]="", tblPiNHistorical[[#This Row],[Nutrition New]]=0), "", tblPiNHistorical[[#This Row],[Nutrition New]]-tblPiNHistorical[[#This Row],[Nutrition Old]])</f>
        <v/>
      </c>
      <c r="AK300" s="136" t="str">
        <f>IF(OR(tblPiNHistorical[[#This Row],[Protection Old]]="", tblPiNHistorical[[#This Row],[Protection Old]]=0, tblPiNHistorical[[#This Row],[Protection New]]="", tblPiNHistorical[[#This Row],[Protection New]]=0), "", tblPiNHistorical[[#This Row],[Protection New]]-tblPiNHistorical[[#This Row],[Protection Old]])</f>
        <v/>
      </c>
      <c r="AL300" s="136" t="str">
        <f>IF(OR(tblPiNHistorical[[#This Row],[CP Old ]]="", tblPiNHistorical[[#This Row],[CP Old ]]=0, tblPiNHistorical[[#This Row],[CP New]]="", tblPiNHistorical[[#This Row],[CP New]]=0), "", tblPiNHistorical[[#This Row],[CP New]]-tblPiNHistorical[[#This Row],[CP Old ]])</f>
        <v/>
      </c>
      <c r="AM300" s="83" t="str">
        <f>IF(OR(tblPiNHistorical[[#This Row],[GBV Old]]="", tblPiNHistorical[[#This Row],[GBV Old]]=0, tblPiNHistorical[[#This Row],[GBV New]]="", tblPiNHistorical[[#This Row],[GBV New]]=0), "", tblPiNHistorical[[#This Row],[GBV New]]-tblPiNHistorical[[#This Row],[GBV Old]])</f>
        <v/>
      </c>
      <c r="AN300" s="83" t="str">
        <f>IF(OR(tblPiNHistorical[[#This Row],[Mine Action Old]]="", tblPiNHistorical[[#This Row],[Mine Action Old]]=0, tblPiNHistorical[[#This Row],[Mine Action New]]="", tblPiNHistorical[[#This Row],[Mine Action New]]=0), "", tblPiNHistorical[[#This Row],[Mine Action New]]-tblPiNHistorical[[#This Row],[Mine Action Old]])</f>
        <v/>
      </c>
      <c r="AO300" s="136" t="str">
        <f>IF(OR(tblPiNHistorical[[#This Row],[Shelter NFI Old]]="", tblPiNHistorical[[#This Row],[Shelter NFI Old]]=0, tblPiNHistorical[[#This Row],[Shelter NFI New]]="", tblPiNHistorical[[#This Row],[Shelter NFI New]]=0), "", tblPiNHistorical[[#This Row],[Shelter NFI New]]-tblPiNHistorical[[#This Row],[Shelter NFI Old]])</f>
        <v/>
      </c>
      <c r="AP300" s="138" t="str">
        <f>IF(OR(tblPiNHistorical[[#This Row],[WASH Old]]="", tblPiNHistorical[[#This Row],[WASH Old]]=0, tblPiNHistorical[[#This Row],[WASH New]]="", tblPiNHistorical[[#This Row],[WASH New]]=0), "", tblPiNHistorical[[#This Row],[WASH New]]-tblPiNHistorical[[#This Row],[WASH Old]])</f>
        <v/>
      </c>
      <c r="AQ300" s="139" t="str">
        <f>IFERROR(ROUND((tblPiNHistorical[[#This Row],[Site Management - New]] - tblPiNHistorical[[#This Row],[Site Management - Old]])/tblPiNHistorical[[#This Row],[Site Management - Old]], 1), "")</f>
        <v/>
      </c>
      <c r="AR300" s="140" t="str">
        <f>IFERROR(ROUND((tblPiNHistorical[[#This Row],[Education New]]-tblPiNHistorical[[#This Row],[Education Old]])/tblPiNHistorical[[#This Row],[Education Old]], 1), "")</f>
        <v/>
      </c>
      <c r="AS300" s="141" t="str">
        <f>IFERROR(ROUND((tblPiNHistorical[[#This Row],[Food Security and Livlihoods New]]-tblPiNHistorical[[#This Row],[Food Security and Livlihoods Old]])/tblPiNHistorical[[#This Row],[Food Security and Livlihoods Old]], 1), "")</f>
        <v/>
      </c>
      <c r="AT300" s="142" t="str">
        <f>IFERROR(ROUND((tblPiNHistorical[[#This Row],[Health New]]-tblPiNHistorical[[#This Row],[Health Old]])/tblPiNHistorical[[#This Row],[Health Old]], 1), "")</f>
        <v/>
      </c>
      <c r="AU300" s="140" t="str">
        <f>IFERROR(ROUND((tblPiNHistorical[[#This Row],[Nutrition New]]-tblPiNHistorical[[#This Row],[Nutrition Old]])/tblPiNHistorical[[#This Row],[Nutrition Old]], 1), "")</f>
        <v/>
      </c>
      <c r="AV300" s="140" t="str">
        <f>IFERROR(ROUND((tblPiNHistorical[[#This Row],[Protection New]]-tblPiNHistorical[[#This Row],[Protection Old]])/tblPiNHistorical[[#This Row],[Protection Old]], 1), "")</f>
        <v/>
      </c>
      <c r="AW300" s="84" t="str">
        <f>IFERROR(ROUND((tblPiNHistorical[[#This Row],[CP New]]-tblPiNHistorical[[#This Row],[CP Old ]])/tblPiNHistorical[[#This Row],[CP Old ]], 1), "")</f>
        <v/>
      </c>
      <c r="AX300" s="84" t="str">
        <f>IFERROR(ROUND((tblPiNHistorical[[#This Row],[GBV New]]-tblPiNHistorical[[#This Row],[GBV Old]])/tblPiNHistorical[[#This Row],[GBV Old]], 1), "")</f>
        <v/>
      </c>
      <c r="AY300" s="84" t="str">
        <f>IFERROR(ROUND((tblPiNHistorical[[#This Row],[Mine Action New]]-tblPiNHistorical[[#This Row],[Mine Action Old]])/tblPiNHistorical[[#This Row],[Mine Action Old]], 1), "")</f>
        <v/>
      </c>
      <c r="AZ300" s="140" t="str">
        <f>IFERROR(ROUND((tblPiNHistorical[[#This Row],[Shelter NFI New]]-tblPiNHistorical[[#This Row],[Shelter NFI Old]])/tblPiNHistorical[[#This Row],[Shelter NFI Old]], 1), "")</f>
        <v/>
      </c>
      <c r="BA300" s="31" t="str">
        <f>IFERROR(ROUND((tblPiNHistorical[[#This Row],[WASH New]]-tblPiNHistorical[[#This Row],[WASH Old]])/tblPiNHistorical[[#This Row],[WASH Old]], 1), "")</f>
        <v/>
      </c>
    </row>
    <row r="301" spans="1:53" ht="38.25" x14ac:dyDescent="0.25">
      <c r="A301"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RefugeesSD16008</v>
      </c>
      <c r="B301" s="134" t="s">
        <v>179</v>
      </c>
      <c r="C301" s="124" t="s">
        <v>133</v>
      </c>
      <c r="D301" s="124" t="s">
        <v>512</v>
      </c>
      <c r="E301" s="59" t="s">
        <v>513</v>
      </c>
      <c r="F301" s="54"/>
      <c r="G301" s="29"/>
      <c r="H301" s="53">
        <v>0</v>
      </c>
      <c r="I301" s="53" t="s">
        <v>90</v>
      </c>
      <c r="J301" s="34">
        <v>0</v>
      </c>
      <c r="K301" s="116">
        <v>0</v>
      </c>
      <c r="L301" s="114">
        <v>0</v>
      </c>
      <c r="M301" s="114">
        <v>0</v>
      </c>
      <c r="N301" s="114">
        <v>0</v>
      </c>
      <c r="O301" s="114">
        <v>0</v>
      </c>
      <c r="P301" s="114">
        <v>0</v>
      </c>
      <c r="Q301" s="114">
        <v>0</v>
      </c>
      <c r="R301" s="114">
        <v>0</v>
      </c>
      <c r="S301" s="114">
        <v>0</v>
      </c>
      <c r="T301" s="196">
        <v>0</v>
      </c>
      <c r="U301" s="52" t="str">
        <f>IFERROR(INDEX(tblPiNAnalysis[[Site Management ]], MATCH(tblPiNHistorical[[#This Row],[ID]], tblPiNAnalysis[ID], 0)), "")</f>
        <v/>
      </c>
      <c r="V301" s="52" t="str">
        <f>IFERROR(INDEX(tblPiNAnalysis[Education], MATCH(tblPiNHistorical[[#This Row],[ID]], tblPiNAnalysis[ID], 0)), "")</f>
        <v/>
      </c>
      <c r="W301" s="28" t="str">
        <f>IFERROR(INDEX(tblPiNAnalysis[Food Security and Livlihoods], MATCH(tblPiNHistorical[[#This Row],[ID]], tblPiNAnalysis[ID], 0)), "")</f>
        <v/>
      </c>
      <c r="X301" s="28" t="str">
        <f>IFERROR(INDEX(tblPiNAnalysis[[Health ]], MATCH(tblPiNHistorical[[#This Row],[ID]], tblPiNAnalysis[ID], 0)), "")</f>
        <v/>
      </c>
      <c r="Y301" s="28" t="str">
        <f>IFERROR(INDEX(tblPiNAnalysis[Nutrition], MATCH(tblPiNHistorical[[#This Row],[ID]], tblPiNAnalysis[ID], 0)), "")</f>
        <v/>
      </c>
      <c r="Z301" s="28" t="str">
        <f>IFERROR(INDEX(tblPiNAnalysis[Protection], MATCH(tblPiNHistorical[[#This Row],[ID]], tblPiNAnalysis[ID], 0)), "")</f>
        <v/>
      </c>
      <c r="AA301" s="28" t="str">
        <f>IFERROR(INDEX(tblPiNAnalysis[CP], MATCH(tblPiNHistorical[[#This Row],[ID]], tblPiNAnalysis[ID], 0)), "")</f>
        <v/>
      </c>
      <c r="AB301" s="83" t="str">
        <f>IFERROR(INDEX(tblPiNAnalysis[GBV], MATCH(tblPiNHistorical[[#This Row],[ID]], tblPiNAnalysis[ID], 0)), "")</f>
        <v/>
      </c>
      <c r="AC301" s="28" t="str">
        <f>IFERROR(INDEX(tblPiNAnalysis[Mine Action], MATCH(tblPiNHistorical[[#This Row],[ID]], tblPiNAnalysis[ID], 0)), "")</f>
        <v/>
      </c>
      <c r="AD301" s="83" t="str">
        <f>IFERROR(INDEX(tblPiNAnalysis[[Shelter NFI ]], MATCH(tblPiNHistorical[[#This Row],[ID]], tblPiNAnalysis[ID], 0)), "")</f>
        <v/>
      </c>
      <c r="AE301" s="28" t="str">
        <f>IFERROR(INDEX(tblPiNAnalysis[WASH], MATCH(tblPiNHistorical[[#This Row],[ID]], tblPiNAnalysis[ID], 0)), "")</f>
        <v/>
      </c>
      <c r="AF301"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301" s="136" t="str">
        <f>IF(OR(tblPiNHistorical[[#This Row],[Education Old]]="", tblPiNHistorical[[#This Row],[Education Old]]=0, tblPiNHistorical[[#This Row],[Education New]]="", tblPiNHistorical[[#This Row],[Education New]]=0), "", tblPiNHistorical[[#This Row],[Education New]]-tblPiNHistorical[[#This Row],[Education Old]])</f>
        <v/>
      </c>
      <c r="AH301"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301" s="137" t="str">
        <f>IF(OR(tblPiNHistorical[[#This Row],[Health Old]]="", tblPiNHistorical[[#This Row],[Health Old]]=0, tblPiNHistorical[[#This Row],[Health New]]="", tblPiNHistorical[[#This Row],[Health New]]=0), "", tblPiNHistorical[[#This Row],[Health New]]-tblPiNHistorical[[#This Row],[Health Old]])</f>
        <v/>
      </c>
      <c r="AJ301" s="136" t="str">
        <f>IF(OR(tblPiNHistorical[[#This Row],[Nutrition Old]]="", tblPiNHistorical[[#This Row],[Nutrition Old]]=0, tblPiNHistorical[[#This Row],[Nutrition New]]="", tblPiNHistorical[[#This Row],[Nutrition New]]=0), "", tblPiNHistorical[[#This Row],[Nutrition New]]-tblPiNHistorical[[#This Row],[Nutrition Old]])</f>
        <v/>
      </c>
      <c r="AK301" s="136" t="str">
        <f>IF(OR(tblPiNHistorical[[#This Row],[Protection Old]]="", tblPiNHistorical[[#This Row],[Protection Old]]=0, tblPiNHistorical[[#This Row],[Protection New]]="", tblPiNHistorical[[#This Row],[Protection New]]=0), "", tblPiNHistorical[[#This Row],[Protection New]]-tblPiNHistorical[[#This Row],[Protection Old]])</f>
        <v/>
      </c>
      <c r="AL301" s="136" t="str">
        <f>IF(OR(tblPiNHistorical[[#This Row],[CP Old ]]="", tblPiNHistorical[[#This Row],[CP Old ]]=0, tblPiNHistorical[[#This Row],[CP New]]="", tblPiNHistorical[[#This Row],[CP New]]=0), "", tblPiNHistorical[[#This Row],[CP New]]-tblPiNHistorical[[#This Row],[CP Old ]])</f>
        <v/>
      </c>
      <c r="AM301" s="83" t="str">
        <f>IF(OR(tblPiNHistorical[[#This Row],[GBV Old]]="", tblPiNHistorical[[#This Row],[GBV Old]]=0, tblPiNHistorical[[#This Row],[GBV New]]="", tblPiNHistorical[[#This Row],[GBV New]]=0), "", tblPiNHistorical[[#This Row],[GBV New]]-tblPiNHistorical[[#This Row],[GBV Old]])</f>
        <v/>
      </c>
      <c r="AN301" s="83" t="str">
        <f>IF(OR(tblPiNHistorical[[#This Row],[Mine Action Old]]="", tblPiNHistorical[[#This Row],[Mine Action Old]]=0, tblPiNHistorical[[#This Row],[Mine Action New]]="", tblPiNHistorical[[#This Row],[Mine Action New]]=0), "", tblPiNHistorical[[#This Row],[Mine Action New]]-tblPiNHistorical[[#This Row],[Mine Action Old]])</f>
        <v/>
      </c>
      <c r="AO301" s="136" t="str">
        <f>IF(OR(tblPiNHistorical[[#This Row],[Shelter NFI Old]]="", tblPiNHistorical[[#This Row],[Shelter NFI Old]]=0, tblPiNHistorical[[#This Row],[Shelter NFI New]]="", tblPiNHistorical[[#This Row],[Shelter NFI New]]=0), "", tblPiNHistorical[[#This Row],[Shelter NFI New]]-tblPiNHistorical[[#This Row],[Shelter NFI Old]])</f>
        <v/>
      </c>
      <c r="AP301" s="138" t="str">
        <f>IF(OR(tblPiNHistorical[[#This Row],[WASH Old]]="", tblPiNHistorical[[#This Row],[WASH Old]]=0, tblPiNHistorical[[#This Row],[WASH New]]="", tblPiNHistorical[[#This Row],[WASH New]]=0), "", tblPiNHistorical[[#This Row],[WASH New]]-tblPiNHistorical[[#This Row],[WASH Old]])</f>
        <v/>
      </c>
      <c r="AQ301" s="139" t="str">
        <f>IFERROR(ROUND((tblPiNHistorical[[#This Row],[Site Management - New]] - tblPiNHistorical[[#This Row],[Site Management - Old]])/tblPiNHistorical[[#This Row],[Site Management - Old]], 1), "")</f>
        <v/>
      </c>
      <c r="AR301" s="140" t="str">
        <f>IFERROR(ROUND((tblPiNHistorical[[#This Row],[Education New]]-tblPiNHistorical[[#This Row],[Education Old]])/tblPiNHistorical[[#This Row],[Education Old]], 1), "")</f>
        <v/>
      </c>
      <c r="AS301" s="141" t="str">
        <f>IFERROR(ROUND((tblPiNHistorical[[#This Row],[Food Security and Livlihoods New]]-tblPiNHistorical[[#This Row],[Food Security and Livlihoods Old]])/tblPiNHistorical[[#This Row],[Food Security and Livlihoods Old]], 1), "")</f>
        <v/>
      </c>
      <c r="AT301" s="142" t="str">
        <f>IFERROR(ROUND((tblPiNHistorical[[#This Row],[Health New]]-tblPiNHistorical[[#This Row],[Health Old]])/tblPiNHistorical[[#This Row],[Health Old]], 1), "")</f>
        <v/>
      </c>
      <c r="AU301" s="140" t="str">
        <f>IFERROR(ROUND((tblPiNHistorical[[#This Row],[Nutrition New]]-tblPiNHistorical[[#This Row],[Nutrition Old]])/tblPiNHistorical[[#This Row],[Nutrition Old]], 1), "")</f>
        <v/>
      </c>
      <c r="AV301" s="140" t="str">
        <f>IFERROR(ROUND((tblPiNHistorical[[#This Row],[Protection New]]-tblPiNHistorical[[#This Row],[Protection Old]])/tblPiNHistorical[[#This Row],[Protection Old]], 1), "")</f>
        <v/>
      </c>
      <c r="AW301" s="84" t="str">
        <f>IFERROR(ROUND((tblPiNHistorical[[#This Row],[CP New]]-tblPiNHistorical[[#This Row],[CP Old ]])/tblPiNHistorical[[#This Row],[CP Old ]], 1), "")</f>
        <v/>
      </c>
      <c r="AX301" s="84" t="str">
        <f>IFERROR(ROUND((tblPiNHistorical[[#This Row],[GBV New]]-tblPiNHistorical[[#This Row],[GBV Old]])/tblPiNHistorical[[#This Row],[GBV Old]], 1), "")</f>
        <v/>
      </c>
      <c r="AY301" s="84" t="str">
        <f>IFERROR(ROUND((tblPiNHistorical[[#This Row],[Mine Action New]]-tblPiNHistorical[[#This Row],[Mine Action Old]])/tblPiNHistorical[[#This Row],[Mine Action Old]], 1), "")</f>
        <v/>
      </c>
      <c r="AZ301" s="140" t="str">
        <f>IFERROR(ROUND((tblPiNHistorical[[#This Row],[Shelter NFI New]]-tblPiNHistorical[[#This Row],[Shelter NFI Old]])/tblPiNHistorical[[#This Row],[Shelter NFI Old]], 1), "")</f>
        <v/>
      </c>
      <c r="BA301" s="31" t="str">
        <f>IFERROR(ROUND((tblPiNHistorical[[#This Row],[WASH New]]-tblPiNHistorical[[#This Row],[WASH Old]])/tblPiNHistorical[[#This Row],[WASH Old]], 1), "")</f>
        <v/>
      </c>
    </row>
    <row r="302" spans="1:53" ht="38.25" x14ac:dyDescent="0.25">
      <c r="A302"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RefugeesSD16011</v>
      </c>
      <c r="B302" s="134" t="s">
        <v>179</v>
      </c>
      <c r="C302" s="124" t="s">
        <v>133</v>
      </c>
      <c r="D302" s="124" t="s">
        <v>518</v>
      </c>
      <c r="E302" s="59" t="s">
        <v>519</v>
      </c>
      <c r="F302" s="54"/>
      <c r="G302" s="29"/>
      <c r="H302" s="53">
        <v>0</v>
      </c>
      <c r="I302" s="53" t="s">
        <v>90</v>
      </c>
      <c r="J302" s="34">
        <v>0</v>
      </c>
      <c r="K302" s="116">
        <v>0</v>
      </c>
      <c r="L302" s="114">
        <v>0</v>
      </c>
      <c r="M302" s="114">
        <v>0</v>
      </c>
      <c r="N302" s="114">
        <v>0</v>
      </c>
      <c r="O302" s="114">
        <v>0</v>
      </c>
      <c r="P302" s="114">
        <v>0</v>
      </c>
      <c r="Q302" s="114">
        <v>0</v>
      </c>
      <c r="R302" s="114">
        <v>0</v>
      </c>
      <c r="S302" s="114">
        <v>0</v>
      </c>
      <c r="T302" s="196">
        <v>0</v>
      </c>
      <c r="U302" s="52" t="str">
        <f>IFERROR(INDEX(tblPiNAnalysis[[Site Management ]], MATCH(tblPiNHistorical[[#This Row],[ID]], tblPiNAnalysis[ID], 0)), "")</f>
        <v/>
      </c>
      <c r="V302" s="52" t="str">
        <f>IFERROR(INDEX(tblPiNAnalysis[Education], MATCH(tblPiNHistorical[[#This Row],[ID]], tblPiNAnalysis[ID], 0)), "")</f>
        <v/>
      </c>
      <c r="W302" s="28" t="str">
        <f>IFERROR(INDEX(tblPiNAnalysis[Food Security and Livlihoods], MATCH(tblPiNHistorical[[#This Row],[ID]], tblPiNAnalysis[ID], 0)), "")</f>
        <v/>
      </c>
      <c r="X302" s="28" t="str">
        <f>IFERROR(INDEX(tblPiNAnalysis[[Health ]], MATCH(tblPiNHistorical[[#This Row],[ID]], tblPiNAnalysis[ID], 0)), "")</f>
        <v/>
      </c>
      <c r="Y302" s="28" t="str">
        <f>IFERROR(INDEX(tblPiNAnalysis[Nutrition], MATCH(tblPiNHistorical[[#This Row],[ID]], tblPiNAnalysis[ID], 0)), "")</f>
        <v/>
      </c>
      <c r="Z302" s="28" t="str">
        <f>IFERROR(INDEX(tblPiNAnalysis[Protection], MATCH(tblPiNHistorical[[#This Row],[ID]], tblPiNAnalysis[ID], 0)), "")</f>
        <v/>
      </c>
      <c r="AA302" s="28" t="str">
        <f>IFERROR(INDEX(tblPiNAnalysis[CP], MATCH(tblPiNHistorical[[#This Row],[ID]], tblPiNAnalysis[ID], 0)), "")</f>
        <v/>
      </c>
      <c r="AB302" s="83" t="str">
        <f>IFERROR(INDEX(tblPiNAnalysis[GBV], MATCH(tblPiNHistorical[[#This Row],[ID]], tblPiNAnalysis[ID], 0)), "")</f>
        <v/>
      </c>
      <c r="AC302" s="28" t="str">
        <f>IFERROR(INDEX(tblPiNAnalysis[Mine Action], MATCH(tblPiNHistorical[[#This Row],[ID]], tblPiNAnalysis[ID], 0)), "")</f>
        <v/>
      </c>
      <c r="AD302" s="83" t="str">
        <f>IFERROR(INDEX(tblPiNAnalysis[[Shelter NFI ]], MATCH(tblPiNHistorical[[#This Row],[ID]], tblPiNAnalysis[ID], 0)), "")</f>
        <v/>
      </c>
      <c r="AE302" s="28" t="str">
        <f>IFERROR(INDEX(tblPiNAnalysis[WASH], MATCH(tblPiNHistorical[[#This Row],[ID]], tblPiNAnalysis[ID], 0)), "")</f>
        <v/>
      </c>
      <c r="AF302"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302" s="136" t="str">
        <f>IF(OR(tblPiNHistorical[[#This Row],[Education Old]]="", tblPiNHistorical[[#This Row],[Education Old]]=0, tblPiNHistorical[[#This Row],[Education New]]="", tblPiNHistorical[[#This Row],[Education New]]=0), "", tblPiNHistorical[[#This Row],[Education New]]-tblPiNHistorical[[#This Row],[Education Old]])</f>
        <v/>
      </c>
      <c r="AH302"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302" s="137" t="str">
        <f>IF(OR(tblPiNHistorical[[#This Row],[Health Old]]="", tblPiNHistorical[[#This Row],[Health Old]]=0, tblPiNHistorical[[#This Row],[Health New]]="", tblPiNHistorical[[#This Row],[Health New]]=0), "", tblPiNHistorical[[#This Row],[Health New]]-tblPiNHistorical[[#This Row],[Health Old]])</f>
        <v/>
      </c>
      <c r="AJ302" s="136" t="str">
        <f>IF(OR(tblPiNHistorical[[#This Row],[Nutrition Old]]="", tblPiNHistorical[[#This Row],[Nutrition Old]]=0, tblPiNHistorical[[#This Row],[Nutrition New]]="", tblPiNHistorical[[#This Row],[Nutrition New]]=0), "", tblPiNHistorical[[#This Row],[Nutrition New]]-tblPiNHistorical[[#This Row],[Nutrition Old]])</f>
        <v/>
      </c>
      <c r="AK302" s="136" t="str">
        <f>IF(OR(tblPiNHistorical[[#This Row],[Protection Old]]="", tblPiNHistorical[[#This Row],[Protection Old]]=0, tblPiNHistorical[[#This Row],[Protection New]]="", tblPiNHistorical[[#This Row],[Protection New]]=0), "", tblPiNHistorical[[#This Row],[Protection New]]-tblPiNHistorical[[#This Row],[Protection Old]])</f>
        <v/>
      </c>
      <c r="AL302" s="136" t="str">
        <f>IF(OR(tblPiNHistorical[[#This Row],[CP Old ]]="", tblPiNHistorical[[#This Row],[CP Old ]]=0, tblPiNHistorical[[#This Row],[CP New]]="", tblPiNHistorical[[#This Row],[CP New]]=0), "", tblPiNHistorical[[#This Row],[CP New]]-tblPiNHistorical[[#This Row],[CP Old ]])</f>
        <v/>
      </c>
      <c r="AM302" s="83" t="str">
        <f>IF(OR(tblPiNHistorical[[#This Row],[GBV Old]]="", tblPiNHistorical[[#This Row],[GBV Old]]=0, tblPiNHistorical[[#This Row],[GBV New]]="", tblPiNHistorical[[#This Row],[GBV New]]=0), "", tblPiNHistorical[[#This Row],[GBV New]]-tblPiNHistorical[[#This Row],[GBV Old]])</f>
        <v/>
      </c>
      <c r="AN302" s="83" t="str">
        <f>IF(OR(tblPiNHistorical[[#This Row],[Mine Action Old]]="", tblPiNHistorical[[#This Row],[Mine Action Old]]=0, tblPiNHistorical[[#This Row],[Mine Action New]]="", tblPiNHistorical[[#This Row],[Mine Action New]]=0), "", tblPiNHistorical[[#This Row],[Mine Action New]]-tblPiNHistorical[[#This Row],[Mine Action Old]])</f>
        <v/>
      </c>
      <c r="AO302" s="136" t="str">
        <f>IF(OR(tblPiNHistorical[[#This Row],[Shelter NFI Old]]="", tblPiNHistorical[[#This Row],[Shelter NFI Old]]=0, tblPiNHistorical[[#This Row],[Shelter NFI New]]="", tblPiNHistorical[[#This Row],[Shelter NFI New]]=0), "", tblPiNHistorical[[#This Row],[Shelter NFI New]]-tblPiNHistorical[[#This Row],[Shelter NFI Old]])</f>
        <v/>
      </c>
      <c r="AP302" s="138" t="str">
        <f>IF(OR(tblPiNHistorical[[#This Row],[WASH Old]]="", tblPiNHistorical[[#This Row],[WASH Old]]=0, tblPiNHistorical[[#This Row],[WASH New]]="", tblPiNHistorical[[#This Row],[WASH New]]=0), "", tblPiNHistorical[[#This Row],[WASH New]]-tblPiNHistorical[[#This Row],[WASH Old]])</f>
        <v/>
      </c>
      <c r="AQ302" s="139" t="str">
        <f>IFERROR(ROUND((tblPiNHistorical[[#This Row],[Site Management - New]] - tblPiNHistorical[[#This Row],[Site Management - Old]])/tblPiNHistorical[[#This Row],[Site Management - Old]], 1), "")</f>
        <v/>
      </c>
      <c r="AR302" s="140" t="str">
        <f>IFERROR(ROUND((tblPiNHistorical[[#This Row],[Education New]]-tblPiNHistorical[[#This Row],[Education Old]])/tblPiNHistorical[[#This Row],[Education Old]], 1), "")</f>
        <v/>
      </c>
      <c r="AS302" s="141" t="str">
        <f>IFERROR(ROUND((tblPiNHistorical[[#This Row],[Food Security and Livlihoods New]]-tblPiNHistorical[[#This Row],[Food Security and Livlihoods Old]])/tblPiNHistorical[[#This Row],[Food Security and Livlihoods Old]], 1), "")</f>
        <v/>
      </c>
      <c r="AT302" s="142" t="str">
        <f>IFERROR(ROUND((tblPiNHistorical[[#This Row],[Health New]]-tblPiNHistorical[[#This Row],[Health Old]])/tblPiNHistorical[[#This Row],[Health Old]], 1), "")</f>
        <v/>
      </c>
      <c r="AU302" s="140" t="str">
        <f>IFERROR(ROUND((tblPiNHistorical[[#This Row],[Nutrition New]]-tblPiNHistorical[[#This Row],[Nutrition Old]])/tblPiNHistorical[[#This Row],[Nutrition Old]], 1), "")</f>
        <v/>
      </c>
      <c r="AV302" s="140" t="str">
        <f>IFERROR(ROUND((tblPiNHistorical[[#This Row],[Protection New]]-tblPiNHistorical[[#This Row],[Protection Old]])/tblPiNHistorical[[#This Row],[Protection Old]], 1), "")</f>
        <v/>
      </c>
      <c r="AW302" s="84" t="str">
        <f>IFERROR(ROUND((tblPiNHistorical[[#This Row],[CP New]]-tblPiNHistorical[[#This Row],[CP Old ]])/tblPiNHistorical[[#This Row],[CP Old ]], 1), "")</f>
        <v/>
      </c>
      <c r="AX302" s="84" t="str">
        <f>IFERROR(ROUND((tblPiNHistorical[[#This Row],[GBV New]]-tblPiNHistorical[[#This Row],[GBV Old]])/tblPiNHistorical[[#This Row],[GBV Old]], 1), "")</f>
        <v/>
      </c>
      <c r="AY302" s="84" t="str">
        <f>IFERROR(ROUND((tblPiNHistorical[[#This Row],[Mine Action New]]-tblPiNHistorical[[#This Row],[Mine Action Old]])/tblPiNHistorical[[#This Row],[Mine Action Old]], 1), "")</f>
        <v/>
      </c>
      <c r="AZ302" s="140" t="str">
        <f>IFERROR(ROUND((tblPiNHistorical[[#This Row],[Shelter NFI New]]-tblPiNHistorical[[#This Row],[Shelter NFI Old]])/tblPiNHistorical[[#This Row],[Shelter NFI Old]], 1), "")</f>
        <v/>
      </c>
      <c r="BA302" s="31" t="str">
        <f>IFERROR(ROUND((tblPiNHistorical[[#This Row],[WASH New]]-tblPiNHistorical[[#This Row],[WASH Old]])/tblPiNHistorical[[#This Row],[WASH Old]], 1), "")</f>
        <v/>
      </c>
    </row>
    <row r="303" spans="1:53" ht="38.25" x14ac:dyDescent="0.25">
      <c r="A303"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RefugeesSD16014</v>
      </c>
      <c r="B303" s="134" t="s">
        <v>179</v>
      </c>
      <c r="C303" s="124" t="s">
        <v>133</v>
      </c>
      <c r="D303" s="124" t="s">
        <v>524</v>
      </c>
      <c r="E303" s="59" t="s">
        <v>525</v>
      </c>
      <c r="F303" s="54"/>
      <c r="G303" s="29"/>
      <c r="H303" s="53">
        <v>0</v>
      </c>
      <c r="I303" s="53" t="s">
        <v>90</v>
      </c>
      <c r="J303" s="34">
        <v>0</v>
      </c>
      <c r="K303" s="116">
        <v>0</v>
      </c>
      <c r="L303" s="114">
        <v>0</v>
      </c>
      <c r="M303" s="114">
        <v>0</v>
      </c>
      <c r="N303" s="114">
        <v>0</v>
      </c>
      <c r="O303" s="114">
        <v>0</v>
      </c>
      <c r="P303" s="114">
        <v>0</v>
      </c>
      <c r="Q303" s="114">
        <v>0</v>
      </c>
      <c r="R303" s="114">
        <v>0</v>
      </c>
      <c r="S303" s="114">
        <v>0</v>
      </c>
      <c r="T303" s="196">
        <v>0</v>
      </c>
      <c r="U303" s="52" t="str">
        <f>IFERROR(INDEX(tblPiNAnalysis[[Site Management ]], MATCH(tblPiNHistorical[[#This Row],[ID]], tblPiNAnalysis[ID], 0)), "")</f>
        <v/>
      </c>
      <c r="V303" s="52" t="str">
        <f>IFERROR(INDEX(tblPiNAnalysis[Education], MATCH(tblPiNHistorical[[#This Row],[ID]], tblPiNAnalysis[ID], 0)), "")</f>
        <v/>
      </c>
      <c r="W303" s="28" t="str">
        <f>IFERROR(INDEX(tblPiNAnalysis[Food Security and Livlihoods], MATCH(tblPiNHistorical[[#This Row],[ID]], tblPiNAnalysis[ID], 0)), "")</f>
        <v/>
      </c>
      <c r="X303" s="28" t="str">
        <f>IFERROR(INDEX(tblPiNAnalysis[[Health ]], MATCH(tblPiNHistorical[[#This Row],[ID]], tblPiNAnalysis[ID], 0)), "")</f>
        <v/>
      </c>
      <c r="Y303" s="28" t="str">
        <f>IFERROR(INDEX(tblPiNAnalysis[Nutrition], MATCH(tblPiNHistorical[[#This Row],[ID]], tblPiNAnalysis[ID], 0)), "")</f>
        <v/>
      </c>
      <c r="Z303" s="28" t="str">
        <f>IFERROR(INDEX(tblPiNAnalysis[Protection], MATCH(tblPiNHistorical[[#This Row],[ID]], tblPiNAnalysis[ID], 0)), "")</f>
        <v/>
      </c>
      <c r="AA303" s="28" t="str">
        <f>IFERROR(INDEX(tblPiNAnalysis[CP], MATCH(tblPiNHistorical[[#This Row],[ID]], tblPiNAnalysis[ID], 0)), "")</f>
        <v/>
      </c>
      <c r="AB303" s="83" t="str">
        <f>IFERROR(INDEX(tblPiNAnalysis[GBV], MATCH(tblPiNHistorical[[#This Row],[ID]], tblPiNAnalysis[ID], 0)), "")</f>
        <v/>
      </c>
      <c r="AC303" s="28" t="str">
        <f>IFERROR(INDEX(tblPiNAnalysis[Mine Action], MATCH(tblPiNHistorical[[#This Row],[ID]], tblPiNAnalysis[ID], 0)), "")</f>
        <v/>
      </c>
      <c r="AD303" s="83" t="str">
        <f>IFERROR(INDEX(tblPiNAnalysis[[Shelter NFI ]], MATCH(tblPiNHistorical[[#This Row],[ID]], tblPiNAnalysis[ID], 0)), "")</f>
        <v/>
      </c>
      <c r="AE303" s="28" t="str">
        <f>IFERROR(INDEX(tblPiNAnalysis[WASH], MATCH(tblPiNHistorical[[#This Row],[ID]], tblPiNAnalysis[ID], 0)), "")</f>
        <v/>
      </c>
      <c r="AF303"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303" s="136" t="str">
        <f>IF(OR(tblPiNHistorical[[#This Row],[Education Old]]="", tblPiNHistorical[[#This Row],[Education Old]]=0, tblPiNHistorical[[#This Row],[Education New]]="", tblPiNHistorical[[#This Row],[Education New]]=0), "", tblPiNHistorical[[#This Row],[Education New]]-tblPiNHistorical[[#This Row],[Education Old]])</f>
        <v/>
      </c>
      <c r="AH303"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303" s="137" t="str">
        <f>IF(OR(tblPiNHistorical[[#This Row],[Health Old]]="", tblPiNHistorical[[#This Row],[Health Old]]=0, tblPiNHistorical[[#This Row],[Health New]]="", tblPiNHistorical[[#This Row],[Health New]]=0), "", tblPiNHistorical[[#This Row],[Health New]]-tblPiNHistorical[[#This Row],[Health Old]])</f>
        <v/>
      </c>
      <c r="AJ303" s="136" t="str">
        <f>IF(OR(tblPiNHistorical[[#This Row],[Nutrition Old]]="", tblPiNHistorical[[#This Row],[Nutrition Old]]=0, tblPiNHistorical[[#This Row],[Nutrition New]]="", tblPiNHistorical[[#This Row],[Nutrition New]]=0), "", tblPiNHistorical[[#This Row],[Nutrition New]]-tblPiNHistorical[[#This Row],[Nutrition Old]])</f>
        <v/>
      </c>
      <c r="AK303" s="136" t="str">
        <f>IF(OR(tblPiNHistorical[[#This Row],[Protection Old]]="", tblPiNHistorical[[#This Row],[Protection Old]]=0, tblPiNHistorical[[#This Row],[Protection New]]="", tblPiNHistorical[[#This Row],[Protection New]]=0), "", tblPiNHistorical[[#This Row],[Protection New]]-tblPiNHistorical[[#This Row],[Protection Old]])</f>
        <v/>
      </c>
      <c r="AL303" s="136" t="str">
        <f>IF(OR(tblPiNHistorical[[#This Row],[CP Old ]]="", tblPiNHistorical[[#This Row],[CP Old ]]=0, tblPiNHistorical[[#This Row],[CP New]]="", tblPiNHistorical[[#This Row],[CP New]]=0), "", tblPiNHistorical[[#This Row],[CP New]]-tblPiNHistorical[[#This Row],[CP Old ]])</f>
        <v/>
      </c>
      <c r="AM303" s="83" t="str">
        <f>IF(OR(tblPiNHistorical[[#This Row],[GBV Old]]="", tblPiNHistorical[[#This Row],[GBV Old]]=0, tblPiNHistorical[[#This Row],[GBV New]]="", tblPiNHistorical[[#This Row],[GBV New]]=0), "", tblPiNHistorical[[#This Row],[GBV New]]-tblPiNHistorical[[#This Row],[GBV Old]])</f>
        <v/>
      </c>
      <c r="AN303" s="83" t="str">
        <f>IF(OR(tblPiNHistorical[[#This Row],[Mine Action Old]]="", tblPiNHistorical[[#This Row],[Mine Action Old]]=0, tblPiNHistorical[[#This Row],[Mine Action New]]="", tblPiNHistorical[[#This Row],[Mine Action New]]=0), "", tblPiNHistorical[[#This Row],[Mine Action New]]-tblPiNHistorical[[#This Row],[Mine Action Old]])</f>
        <v/>
      </c>
      <c r="AO303" s="136" t="str">
        <f>IF(OR(tblPiNHistorical[[#This Row],[Shelter NFI Old]]="", tblPiNHistorical[[#This Row],[Shelter NFI Old]]=0, tblPiNHistorical[[#This Row],[Shelter NFI New]]="", tblPiNHistorical[[#This Row],[Shelter NFI New]]=0), "", tblPiNHistorical[[#This Row],[Shelter NFI New]]-tblPiNHistorical[[#This Row],[Shelter NFI Old]])</f>
        <v/>
      </c>
      <c r="AP303" s="138" t="str">
        <f>IF(OR(tblPiNHistorical[[#This Row],[WASH Old]]="", tblPiNHistorical[[#This Row],[WASH Old]]=0, tblPiNHistorical[[#This Row],[WASH New]]="", tblPiNHistorical[[#This Row],[WASH New]]=0), "", tblPiNHistorical[[#This Row],[WASH New]]-tblPiNHistorical[[#This Row],[WASH Old]])</f>
        <v/>
      </c>
      <c r="AQ303" s="139" t="str">
        <f>IFERROR(ROUND((tblPiNHistorical[[#This Row],[Site Management - New]] - tblPiNHistorical[[#This Row],[Site Management - Old]])/tblPiNHistorical[[#This Row],[Site Management - Old]], 1), "")</f>
        <v/>
      </c>
      <c r="AR303" s="140" t="str">
        <f>IFERROR(ROUND((tblPiNHistorical[[#This Row],[Education New]]-tblPiNHistorical[[#This Row],[Education Old]])/tblPiNHistorical[[#This Row],[Education Old]], 1), "")</f>
        <v/>
      </c>
      <c r="AS303" s="141" t="str">
        <f>IFERROR(ROUND((tblPiNHistorical[[#This Row],[Food Security and Livlihoods New]]-tblPiNHistorical[[#This Row],[Food Security and Livlihoods Old]])/tblPiNHistorical[[#This Row],[Food Security and Livlihoods Old]], 1), "")</f>
        <v/>
      </c>
      <c r="AT303" s="142" t="str">
        <f>IFERROR(ROUND((tblPiNHistorical[[#This Row],[Health New]]-tblPiNHistorical[[#This Row],[Health Old]])/tblPiNHistorical[[#This Row],[Health Old]], 1), "")</f>
        <v/>
      </c>
      <c r="AU303" s="140" t="str">
        <f>IFERROR(ROUND((tblPiNHistorical[[#This Row],[Nutrition New]]-tblPiNHistorical[[#This Row],[Nutrition Old]])/tblPiNHistorical[[#This Row],[Nutrition Old]], 1), "")</f>
        <v/>
      </c>
      <c r="AV303" s="140" t="str">
        <f>IFERROR(ROUND((tblPiNHistorical[[#This Row],[Protection New]]-tblPiNHistorical[[#This Row],[Protection Old]])/tblPiNHistorical[[#This Row],[Protection Old]], 1), "")</f>
        <v/>
      </c>
      <c r="AW303" s="84" t="str">
        <f>IFERROR(ROUND((tblPiNHistorical[[#This Row],[CP New]]-tblPiNHistorical[[#This Row],[CP Old ]])/tblPiNHistorical[[#This Row],[CP Old ]], 1), "")</f>
        <v/>
      </c>
      <c r="AX303" s="84" t="str">
        <f>IFERROR(ROUND((tblPiNHistorical[[#This Row],[GBV New]]-tblPiNHistorical[[#This Row],[GBV Old]])/tblPiNHistorical[[#This Row],[GBV Old]], 1), "")</f>
        <v/>
      </c>
      <c r="AY303" s="84" t="str">
        <f>IFERROR(ROUND((tblPiNHistorical[[#This Row],[Mine Action New]]-tblPiNHistorical[[#This Row],[Mine Action Old]])/tblPiNHistorical[[#This Row],[Mine Action Old]], 1), "")</f>
        <v/>
      </c>
      <c r="AZ303" s="140" t="str">
        <f>IFERROR(ROUND((tblPiNHistorical[[#This Row],[Shelter NFI New]]-tblPiNHistorical[[#This Row],[Shelter NFI Old]])/tblPiNHistorical[[#This Row],[Shelter NFI Old]], 1), "")</f>
        <v/>
      </c>
      <c r="BA303" s="31" t="str">
        <f>IFERROR(ROUND((tblPiNHistorical[[#This Row],[WASH New]]-tblPiNHistorical[[#This Row],[WASH Old]])/tblPiNHistorical[[#This Row],[WASH Old]], 1), "")</f>
        <v/>
      </c>
    </row>
    <row r="304" spans="1:53" ht="38.25" x14ac:dyDescent="0.25">
      <c r="A304"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RefugeesSD16009</v>
      </c>
      <c r="B304" s="134" t="s">
        <v>179</v>
      </c>
      <c r="C304" s="124" t="s">
        <v>133</v>
      </c>
      <c r="D304" s="124" t="s">
        <v>514</v>
      </c>
      <c r="E304" s="59" t="s">
        <v>515</v>
      </c>
      <c r="F304" s="54"/>
      <c r="G304" s="29"/>
      <c r="H304" s="53">
        <v>0</v>
      </c>
      <c r="I304" s="53" t="s">
        <v>90</v>
      </c>
      <c r="J304" s="34">
        <v>0</v>
      </c>
      <c r="K304" s="116">
        <v>0</v>
      </c>
      <c r="L304" s="114">
        <v>0</v>
      </c>
      <c r="M304" s="114">
        <v>0</v>
      </c>
      <c r="N304" s="114">
        <v>0</v>
      </c>
      <c r="O304" s="114">
        <v>0</v>
      </c>
      <c r="P304" s="114">
        <v>0</v>
      </c>
      <c r="Q304" s="114">
        <v>0</v>
      </c>
      <c r="R304" s="114">
        <v>0</v>
      </c>
      <c r="S304" s="114">
        <v>0</v>
      </c>
      <c r="T304" s="196">
        <v>0</v>
      </c>
      <c r="U304" s="52" t="str">
        <f>IFERROR(INDEX(tblPiNAnalysis[[Site Management ]], MATCH(tblPiNHistorical[[#This Row],[ID]], tblPiNAnalysis[ID], 0)), "")</f>
        <v/>
      </c>
      <c r="V304" s="52" t="str">
        <f>IFERROR(INDEX(tblPiNAnalysis[Education], MATCH(tblPiNHistorical[[#This Row],[ID]], tblPiNAnalysis[ID], 0)), "")</f>
        <v/>
      </c>
      <c r="W304" s="28" t="str">
        <f>IFERROR(INDEX(tblPiNAnalysis[Food Security and Livlihoods], MATCH(tblPiNHistorical[[#This Row],[ID]], tblPiNAnalysis[ID], 0)), "")</f>
        <v/>
      </c>
      <c r="X304" s="28" t="str">
        <f>IFERROR(INDEX(tblPiNAnalysis[[Health ]], MATCH(tblPiNHistorical[[#This Row],[ID]], tblPiNAnalysis[ID], 0)), "")</f>
        <v/>
      </c>
      <c r="Y304" s="28" t="str">
        <f>IFERROR(INDEX(tblPiNAnalysis[Nutrition], MATCH(tblPiNHistorical[[#This Row],[ID]], tblPiNAnalysis[ID], 0)), "")</f>
        <v/>
      </c>
      <c r="Z304" s="28" t="str">
        <f>IFERROR(INDEX(tblPiNAnalysis[Protection], MATCH(tblPiNHistorical[[#This Row],[ID]], tblPiNAnalysis[ID], 0)), "")</f>
        <v/>
      </c>
      <c r="AA304" s="28" t="str">
        <f>IFERROR(INDEX(tblPiNAnalysis[CP], MATCH(tblPiNHistorical[[#This Row],[ID]], tblPiNAnalysis[ID], 0)), "")</f>
        <v/>
      </c>
      <c r="AB304" s="83" t="str">
        <f>IFERROR(INDEX(tblPiNAnalysis[GBV], MATCH(tblPiNHistorical[[#This Row],[ID]], tblPiNAnalysis[ID], 0)), "")</f>
        <v/>
      </c>
      <c r="AC304" s="28" t="str">
        <f>IFERROR(INDEX(tblPiNAnalysis[Mine Action], MATCH(tblPiNHistorical[[#This Row],[ID]], tblPiNAnalysis[ID], 0)), "")</f>
        <v/>
      </c>
      <c r="AD304" s="83" t="str">
        <f>IFERROR(INDEX(tblPiNAnalysis[[Shelter NFI ]], MATCH(tblPiNHistorical[[#This Row],[ID]], tblPiNAnalysis[ID], 0)), "")</f>
        <v/>
      </c>
      <c r="AE304" s="28" t="str">
        <f>IFERROR(INDEX(tblPiNAnalysis[WASH], MATCH(tblPiNHistorical[[#This Row],[ID]], tblPiNAnalysis[ID], 0)), "")</f>
        <v/>
      </c>
      <c r="AF304"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304" s="136" t="str">
        <f>IF(OR(tblPiNHistorical[[#This Row],[Education Old]]="", tblPiNHistorical[[#This Row],[Education Old]]=0, tblPiNHistorical[[#This Row],[Education New]]="", tblPiNHistorical[[#This Row],[Education New]]=0), "", tblPiNHistorical[[#This Row],[Education New]]-tblPiNHistorical[[#This Row],[Education Old]])</f>
        <v/>
      </c>
      <c r="AH304"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304" s="137" t="str">
        <f>IF(OR(tblPiNHistorical[[#This Row],[Health Old]]="", tblPiNHistorical[[#This Row],[Health Old]]=0, tblPiNHistorical[[#This Row],[Health New]]="", tblPiNHistorical[[#This Row],[Health New]]=0), "", tblPiNHistorical[[#This Row],[Health New]]-tblPiNHistorical[[#This Row],[Health Old]])</f>
        <v/>
      </c>
      <c r="AJ304" s="136" t="str">
        <f>IF(OR(tblPiNHistorical[[#This Row],[Nutrition Old]]="", tblPiNHistorical[[#This Row],[Nutrition Old]]=0, tblPiNHistorical[[#This Row],[Nutrition New]]="", tblPiNHistorical[[#This Row],[Nutrition New]]=0), "", tblPiNHistorical[[#This Row],[Nutrition New]]-tblPiNHistorical[[#This Row],[Nutrition Old]])</f>
        <v/>
      </c>
      <c r="AK304" s="136" t="str">
        <f>IF(OR(tblPiNHistorical[[#This Row],[Protection Old]]="", tblPiNHistorical[[#This Row],[Protection Old]]=0, tblPiNHistorical[[#This Row],[Protection New]]="", tblPiNHistorical[[#This Row],[Protection New]]=0), "", tblPiNHistorical[[#This Row],[Protection New]]-tblPiNHistorical[[#This Row],[Protection Old]])</f>
        <v/>
      </c>
      <c r="AL304" s="136" t="str">
        <f>IF(OR(tblPiNHistorical[[#This Row],[CP Old ]]="", tblPiNHistorical[[#This Row],[CP Old ]]=0, tblPiNHistorical[[#This Row],[CP New]]="", tblPiNHistorical[[#This Row],[CP New]]=0), "", tblPiNHistorical[[#This Row],[CP New]]-tblPiNHistorical[[#This Row],[CP Old ]])</f>
        <v/>
      </c>
      <c r="AM304" s="83" t="str">
        <f>IF(OR(tblPiNHistorical[[#This Row],[GBV Old]]="", tblPiNHistorical[[#This Row],[GBV Old]]=0, tblPiNHistorical[[#This Row],[GBV New]]="", tblPiNHistorical[[#This Row],[GBV New]]=0), "", tblPiNHistorical[[#This Row],[GBV New]]-tblPiNHistorical[[#This Row],[GBV Old]])</f>
        <v/>
      </c>
      <c r="AN304" s="83" t="str">
        <f>IF(OR(tblPiNHistorical[[#This Row],[Mine Action Old]]="", tblPiNHistorical[[#This Row],[Mine Action Old]]=0, tblPiNHistorical[[#This Row],[Mine Action New]]="", tblPiNHistorical[[#This Row],[Mine Action New]]=0), "", tblPiNHistorical[[#This Row],[Mine Action New]]-tblPiNHistorical[[#This Row],[Mine Action Old]])</f>
        <v/>
      </c>
      <c r="AO304" s="136" t="str">
        <f>IF(OR(tblPiNHistorical[[#This Row],[Shelter NFI Old]]="", tblPiNHistorical[[#This Row],[Shelter NFI Old]]=0, tblPiNHistorical[[#This Row],[Shelter NFI New]]="", tblPiNHistorical[[#This Row],[Shelter NFI New]]=0), "", tblPiNHistorical[[#This Row],[Shelter NFI New]]-tblPiNHistorical[[#This Row],[Shelter NFI Old]])</f>
        <v/>
      </c>
      <c r="AP304" s="138" t="str">
        <f>IF(OR(tblPiNHistorical[[#This Row],[WASH Old]]="", tblPiNHistorical[[#This Row],[WASH Old]]=0, tblPiNHistorical[[#This Row],[WASH New]]="", tblPiNHistorical[[#This Row],[WASH New]]=0), "", tblPiNHistorical[[#This Row],[WASH New]]-tblPiNHistorical[[#This Row],[WASH Old]])</f>
        <v/>
      </c>
      <c r="AQ304" s="139" t="str">
        <f>IFERROR(ROUND((tblPiNHistorical[[#This Row],[Site Management - New]] - tblPiNHistorical[[#This Row],[Site Management - Old]])/tblPiNHistorical[[#This Row],[Site Management - Old]], 1), "")</f>
        <v/>
      </c>
      <c r="AR304" s="140" t="str">
        <f>IFERROR(ROUND((tblPiNHistorical[[#This Row],[Education New]]-tblPiNHistorical[[#This Row],[Education Old]])/tblPiNHistorical[[#This Row],[Education Old]], 1), "")</f>
        <v/>
      </c>
      <c r="AS304" s="141" t="str">
        <f>IFERROR(ROUND((tblPiNHistorical[[#This Row],[Food Security and Livlihoods New]]-tblPiNHistorical[[#This Row],[Food Security and Livlihoods Old]])/tblPiNHistorical[[#This Row],[Food Security and Livlihoods Old]], 1), "")</f>
        <v/>
      </c>
      <c r="AT304" s="142" t="str">
        <f>IFERROR(ROUND((tblPiNHistorical[[#This Row],[Health New]]-tblPiNHistorical[[#This Row],[Health Old]])/tblPiNHistorical[[#This Row],[Health Old]], 1), "")</f>
        <v/>
      </c>
      <c r="AU304" s="140" t="str">
        <f>IFERROR(ROUND((tblPiNHistorical[[#This Row],[Nutrition New]]-tblPiNHistorical[[#This Row],[Nutrition Old]])/tblPiNHistorical[[#This Row],[Nutrition Old]], 1), "")</f>
        <v/>
      </c>
      <c r="AV304" s="140" t="str">
        <f>IFERROR(ROUND((tblPiNHistorical[[#This Row],[Protection New]]-tblPiNHistorical[[#This Row],[Protection Old]])/tblPiNHistorical[[#This Row],[Protection Old]], 1), "")</f>
        <v/>
      </c>
      <c r="AW304" s="84" t="str">
        <f>IFERROR(ROUND((tblPiNHistorical[[#This Row],[CP New]]-tblPiNHistorical[[#This Row],[CP Old ]])/tblPiNHistorical[[#This Row],[CP Old ]], 1), "")</f>
        <v/>
      </c>
      <c r="AX304" s="84" t="str">
        <f>IFERROR(ROUND((tblPiNHistorical[[#This Row],[GBV New]]-tblPiNHistorical[[#This Row],[GBV Old]])/tblPiNHistorical[[#This Row],[GBV Old]], 1), "")</f>
        <v/>
      </c>
      <c r="AY304" s="84" t="str">
        <f>IFERROR(ROUND((tblPiNHistorical[[#This Row],[Mine Action New]]-tblPiNHistorical[[#This Row],[Mine Action Old]])/tblPiNHistorical[[#This Row],[Mine Action Old]], 1), "")</f>
        <v/>
      </c>
      <c r="AZ304" s="140" t="str">
        <f>IFERROR(ROUND((tblPiNHistorical[[#This Row],[Shelter NFI New]]-tblPiNHistorical[[#This Row],[Shelter NFI Old]])/tblPiNHistorical[[#This Row],[Shelter NFI Old]], 1), "")</f>
        <v/>
      </c>
      <c r="BA304" s="31" t="str">
        <f>IFERROR(ROUND((tblPiNHistorical[[#This Row],[WASH New]]-tblPiNHistorical[[#This Row],[WASH Old]])/tblPiNHistorical[[#This Row],[WASH Old]], 1), "")</f>
        <v/>
      </c>
    </row>
    <row r="305" spans="1:53" ht="38.25" x14ac:dyDescent="0.25">
      <c r="A305"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RefugeesSD16012</v>
      </c>
      <c r="B305" s="134" t="s">
        <v>179</v>
      </c>
      <c r="C305" s="124" t="s">
        <v>133</v>
      </c>
      <c r="D305" s="124" t="s">
        <v>520</v>
      </c>
      <c r="E305" s="59" t="s">
        <v>521</v>
      </c>
      <c r="F305" s="54"/>
      <c r="G305" s="29"/>
      <c r="H305" s="53">
        <v>1506</v>
      </c>
      <c r="I305" s="53" t="s">
        <v>90</v>
      </c>
      <c r="J305" s="34">
        <v>0</v>
      </c>
      <c r="K305" s="116">
        <v>758</v>
      </c>
      <c r="L305" s="114">
        <v>1506</v>
      </c>
      <c r="M305" s="114">
        <v>1039</v>
      </c>
      <c r="N305" s="114">
        <v>137</v>
      </c>
      <c r="O305" s="114">
        <v>1506</v>
      </c>
      <c r="P305" s="114">
        <v>30.12</v>
      </c>
      <c r="Q305" s="114">
        <v>234.93600000000001</v>
      </c>
      <c r="R305" s="114">
        <v>0</v>
      </c>
      <c r="S305" s="114">
        <v>0</v>
      </c>
      <c r="T305" s="196">
        <v>550</v>
      </c>
      <c r="U305" s="52" t="str">
        <f>IFERROR(INDEX(tblPiNAnalysis[[Site Management ]], MATCH(tblPiNHistorical[[#This Row],[ID]], tblPiNAnalysis[ID], 0)), "")</f>
        <v/>
      </c>
      <c r="V305" s="52" t="str">
        <f>IFERROR(INDEX(tblPiNAnalysis[Education], MATCH(tblPiNHistorical[[#This Row],[ID]], tblPiNAnalysis[ID], 0)), "")</f>
        <v/>
      </c>
      <c r="W305" s="28" t="str">
        <f>IFERROR(INDEX(tblPiNAnalysis[Food Security and Livlihoods], MATCH(tblPiNHistorical[[#This Row],[ID]], tblPiNAnalysis[ID], 0)), "")</f>
        <v/>
      </c>
      <c r="X305" s="28" t="str">
        <f>IFERROR(INDEX(tblPiNAnalysis[[Health ]], MATCH(tblPiNHistorical[[#This Row],[ID]], tblPiNAnalysis[ID], 0)), "")</f>
        <v/>
      </c>
      <c r="Y305" s="28" t="str">
        <f>IFERROR(INDEX(tblPiNAnalysis[Nutrition], MATCH(tblPiNHistorical[[#This Row],[ID]], tblPiNAnalysis[ID], 0)), "")</f>
        <v/>
      </c>
      <c r="Z305" s="28" t="str">
        <f>IFERROR(INDEX(tblPiNAnalysis[Protection], MATCH(tblPiNHistorical[[#This Row],[ID]], tblPiNAnalysis[ID], 0)), "")</f>
        <v/>
      </c>
      <c r="AA305" s="28" t="str">
        <f>IFERROR(INDEX(tblPiNAnalysis[CP], MATCH(tblPiNHistorical[[#This Row],[ID]], tblPiNAnalysis[ID], 0)), "")</f>
        <v/>
      </c>
      <c r="AB305" s="83" t="str">
        <f>IFERROR(INDEX(tblPiNAnalysis[GBV], MATCH(tblPiNHistorical[[#This Row],[ID]], tblPiNAnalysis[ID], 0)), "")</f>
        <v/>
      </c>
      <c r="AC305" s="28" t="str">
        <f>IFERROR(INDEX(tblPiNAnalysis[Mine Action], MATCH(tblPiNHistorical[[#This Row],[ID]], tblPiNAnalysis[ID], 0)), "")</f>
        <v/>
      </c>
      <c r="AD305" s="83" t="str">
        <f>IFERROR(INDEX(tblPiNAnalysis[[Shelter NFI ]], MATCH(tblPiNHistorical[[#This Row],[ID]], tblPiNAnalysis[ID], 0)), "")</f>
        <v/>
      </c>
      <c r="AE305" s="28" t="str">
        <f>IFERROR(INDEX(tblPiNAnalysis[WASH], MATCH(tblPiNHistorical[[#This Row],[ID]], tblPiNAnalysis[ID], 0)), "")</f>
        <v/>
      </c>
      <c r="AF305"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305" s="136" t="str">
        <f>IF(OR(tblPiNHistorical[[#This Row],[Education Old]]="", tblPiNHistorical[[#This Row],[Education Old]]=0, tblPiNHistorical[[#This Row],[Education New]]="", tblPiNHistorical[[#This Row],[Education New]]=0), "", tblPiNHistorical[[#This Row],[Education New]]-tblPiNHistorical[[#This Row],[Education Old]])</f>
        <v/>
      </c>
      <c r="AH305"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305" s="137" t="str">
        <f>IF(OR(tblPiNHistorical[[#This Row],[Health Old]]="", tblPiNHistorical[[#This Row],[Health Old]]=0, tblPiNHistorical[[#This Row],[Health New]]="", tblPiNHistorical[[#This Row],[Health New]]=0), "", tblPiNHistorical[[#This Row],[Health New]]-tblPiNHistorical[[#This Row],[Health Old]])</f>
        <v/>
      </c>
      <c r="AJ305" s="136" t="str">
        <f>IF(OR(tblPiNHistorical[[#This Row],[Nutrition Old]]="", tblPiNHistorical[[#This Row],[Nutrition Old]]=0, tblPiNHistorical[[#This Row],[Nutrition New]]="", tblPiNHistorical[[#This Row],[Nutrition New]]=0), "", tblPiNHistorical[[#This Row],[Nutrition New]]-tblPiNHistorical[[#This Row],[Nutrition Old]])</f>
        <v/>
      </c>
      <c r="AK305" s="136" t="str">
        <f>IF(OR(tblPiNHistorical[[#This Row],[Protection Old]]="", tblPiNHistorical[[#This Row],[Protection Old]]=0, tblPiNHistorical[[#This Row],[Protection New]]="", tblPiNHistorical[[#This Row],[Protection New]]=0), "", tblPiNHistorical[[#This Row],[Protection New]]-tblPiNHistorical[[#This Row],[Protection Old]])</f>
        <v/>
      </c>
      <c r="AL305" s="136" t="str">
        <f>IF(OR(tblPiNHistorical[[#This Row],[CP Old ]]="", tblPiNHistorical[[#This Row],[CP Old ]]=0, tblPiNHistorical[[#This Row],[CP New]]="", tblPiNHistorical[[#This Row],[CP New]]=0), "", tblPiNHistorical[[#This Row],[CP New]]-tblPiNHistorical[[#This Row],[CP Old ]])</f>
        <v/>
      </c>
      <c r="AM305" s="83" t="str">
        <f>IF(OR(tblPiNHistorical[[#This Row],[GBV Old]]="", tblPiNHistorical[[#This Row],[GBV Old]]=0, tblPiNHistorical[[#This Row],[GBV New]]="", tblPiNHistorical[[#This Row],[GBV New]]=0), "", tblPiNHistorical[[#This Row],[GBV New]]-tblPiNHistorical[[#This Row],[GBV Old]])</f>
        <v/>
      </c>
      <c r="AN305" s="83" t="str">
        <f>IF(OR(tblPiNHistorical[[#This Row],[Mine Action Old]]="", tblPiNHistorical[[#This Row],[Mine Action Old]]=0, tblPiNHistorical[[#This Row],[Mine Action New]]="", tblPiNHistorical[[#This Row],[Mine Action New]]=0), "", tblPiNHistorical[[#This Row],[Mine Action New]]-tblPiNHistorical[[#This Row],[Mine Action Old]])</f>
        <v/>
      </c>
      <c r="AO305" s="136" t="str">
        <f>IF(OR(tblPiNHistorical[[#This Row],[Shelter NFI Old]]="", tblPiNHistorical[[#This Row],[Shelter NFI Old]]=0, tblPiNHistorical[[#This Row],[Shelter NFI New]]="", tblPiNHistorical[[#This Row],[Shelter NFI New]]=0), "", tblPiNHistorical[[#This Row],[Shelter NFI New]]-tblPiNHistorical[[#This Row],[Shelter NFI Old]])</f>
        <v/>
      </c>
      <c r="AP305" s="138" t="str">
        <f>IF(OR(tblPiNHistorical[[#This Row],[WASH Old]]="", tblPiNHistorical[[#This Row],[WASH Old]]=0, tblPiNHistorical[[#This Row],[WASH New]]="", tblPiNHistorical[[#This Row],[WASH New]]=0), "", tblPiNHistorical[[#This Row],[WASH New]]-tblPiNHistorical[[#This Row],[WASH Old]])</f>
        <v/>
      </c>
      <c r="AQ305" s="139" t="str">
        <f>IFERROR(ROUND((tblPiNHistorical[[#This Row],[Site Management - New]] - tblPiNHistorical[[#This Row],[Site Management - Old]])/tblPiNHistorical[[#This Row],[Site Management - Old]], 1), "")</f>
        <v/>
      </c>
      <c r="AR305" s="140" t="str">
        <f>IFERROR(ROUND((tblPiNHistorical[[#This Row],[Education New]]-tblPiNHistorical[[#This Row],[Education Old]])/tblPiNHistorical[[#This Row],[Education Old]], 1), "")</f>
        <v/>
      </c>
      <c r="AS305" s="141" t="str">
        <f>IFERROR(ROUND((tblPiNHistorical[[#This Row],[Food Security and Livlihoods New]]-tblPiNHistorical[[#This Row],[Food Security and Livlihoods Old]])/tblPiNHistorical[[#This Row],[Food Security and Livlihoods Old]], 1), "")</f>
        <v/>
      </c>
      <c r="AT305" s="142" t="str">
        <f>IFERROR(ROUND((tblPiNHistorical[[#This Row],[Health New]]-tblPiNHistorical[[#This Row],[Health Old]])/tblPiNHistorical[[#This Row],[Health Old]], 1), "")</f>
        <v/>
      </c>
      <c r="AU305" s="140" t="str">
        <f>IFERROR(ROUND((tblPiNHistorical[[#This Row],[Nutrition New]]-tblPiNHistorical[[#This Row],[Nutrition Old]])/tblPiNHistorical[[#This Row],[Nutrition Old]], 1), "")</f>
        <v/>
      </c>
      <c r="AV305" s="140" t="str">
        <f>IFERROR(ROUND((tblPiNHistorical[[#This Row],[Protection New]]-tblPiNHistorical[[#This Row],[Protection Old]])/tblPiNHistorical[[#This Row],[Protection Old]], 1), "")</f>
        <v/>
      </c>
      <c r="AW305" s="84" t="str">
        <f>IFERROR(ROUND((tblPiNHistorical[[#This Row],[CP New]]-tblPiNHistorical[[#This Row],[CP Old ]])/tblPiNHistorical[[#This Row],[CP Old ]], 1), "")</f>
        <v/>
      </c>
      <c r="AX305" s="84" t="str">
        <f>IFERROR(ROUND((tblPiNHistorical[[#This Row],[GBV New]]-tblPiNHistorical[[#This Row],[GBV Old]])/tblPiNHistorical[[#This Row],[GBV Old]], 1), "")</f>
        <v/>
      </c>
      <c r="AY305" s="84" t="str">
        <f>IFERROR(ROUND((tblPiNHistorical[[#This Row],[Mine Action New]]-tblPiNHistorical[[#This Row],[Mine Action Old]])/tblPiNHistorical[[#This Row],[Mine Action Old]], 1), "")</f>
        <v/>
      </c>
      <c r="AZ305" s="140" t="str">
        <f>IFERROR(ROUND((tblPiNHistorical[[#This Row],[Shelter NFI New]]-tblPiNHistorical[[#This Row],[Shelter NFI Old]])/tblPiNHistorical[[#This Row],[Shelter NFI Old]], 1), "")</f>
        <v/>
      </c>
      <c r="BA305" s="31" t="str">
        <f>IFERROR(ROUND((tblPiNHistorical[[#This Row],[WASH New]]-tblPiNHistorical[[#This Row],[WASH Old]])/tblPiNHistorical[[#This Row],[WASH Old]], 1), "")</f>
        <v/>
      </c>
    </row>
    <row r="306" spans="1:53" ht="38.25" x14ac:dyDescent="0.25">
      <c r="A306"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RefugeesSD16013</v>
      </c>
      <c r="B306" s="134" t="s">
        <v>179</v>
      </c>
      <c r="C306" s="124" t="s">
        <v>133</v>
      </c>
      <c r="D306" s="124" t="s">
        <v>522</v>
      </c>
      <c r="E306" s="59" t="s">
        <v>523</v>
      </c>
      <c r="F306" s="54"/>
      <c r="G306" s="29"/>
      <c r="H306" s="53">
        <v>1130</v>
      </c>
      <c r="I306" s="53" t="s">
        <v>90</v>
      </c>
      <c r="J306" s="34">
        <v>0</v>
      </c>
      <c r="K306" s="116">
        <v>0</v>
      </c>
      <c r="L306" s="114">
        <v>1130</v>
      </c>
      <c r="M306" s="114">
        <v>554</v>
      </c>
      <c r="N306" s="114">
        <v>103</v>
      </c>
      <c r="O306" s="114">
        <v>1130</v>
      </c>
      <c r="P306" s="114">
        <v>22.6</v>
      </c>
      <c r="Q306" s="114">
        <v>176.28</v>
      </c>
      <c r="R306" s="114">
        <v>0</v>
      </c>
      <c r="S306" s="114">
        <v>0</v>
      </c>
      <c r="T306" s="196">
        <v>445</v>
      </c>
      <c r="U306" s="52" t="str">
        <f>IFERROR(INDEX(tblPiNAnalysis[[Site Management ]], MATCH(tblPiNHistorical[[#This Row],[ID]], tblPiNAnalysis[ID], 0)), "")</f>
        <v/>
      </c>
      <c r="V306" s="52" t="str">
        <f>IFERROR(INDEX(tblPiNAnalysis[Education], MATCH(tblPiNHistorical[[#This Row],[ID]], tblPiNAnalysis[ID], 0)), "")</f>
        <v/>
      </c>
      <c r="W306" s="28" t="str">
        <f>IFERROR(INDEX(tblPiNAnalysis[Food Security and Livlihoods], MATCH(tblPiNHistorical[[#This Row],[ID]], tblPiNAnalysis[ID], 0)), "")</f>
        <v/>
      </c>
      <c r="X306" s="28" t="str">
        <f>IFERROR(INDEX(tblPiNAnalysis[[Health ]], MATCH(tblPiNHistorical[[#This Row],[ID]], tblPiNAnalysis[ID], 0)), "")</f>
        <v/>
      </c>
      <c r="Y306" s="28" t="str">
        <f>IFERROR(INDEX(tblPiNAnalysis[Nutrition], MATCH(tblPiNHistorical[[#This Row],[ID]], tblPiNAnalysis[ID], 0)), "")</f>
        <v/>
      </c>
      <c r="Z306" s="28" t="str">
        <f>IFERROR(INDEX(tblPiNAnalysis[Protection], MATCH(tblPiNHistorical[[#This Row],[ID]], tblPiNAnalysis[ID], 0)), "")</f>
        <v/>
      </c>
      <c r="AA306" s="28" t="str">
        <f>IFERROR(INDEX(tblPiNAnalysis[CP], MATCH(tblPiNHistorical[[#This Row],[ID]], tblPiNAnalysis[ID], 0)), "")</f>
        <v/>
      </c>
      <c r="AB306" s="83" t="str">
        <f>IFERROR(INDEX(tblPiNAnalysis[GBV], MATCH(tblPiNHistorical[[#This Row],[ID]], tblPiNAnalysis[ID], 0)), "")</f>
        <v/>
      </c>
      <c r="AC306" s="28" t="str">
        <f>IFERROR(INDEX(tblPiNAnalysis[Mine Action], MATCH(tblPiNHistorical[[#This Row],[ID]], tblPiNAnalysis[ID], 0)), "")</f>
        <v/>
      </c>
      <c r="AD306" s="83" t="str">
        <f>IFERROR(INDEX(tblPiNAnalysis[[Shelter NFI ]], MATCH(tblPiNHistorical[[#This Row],[ID]], tblPiNAnalysis[ID], 0)), "")</f>
        <v/>
      </c>
      <c r="AE306" s="28" t="str">
        <f>IFERROR(INDEX(tblPiNAnalysis[WASH], MATCH(tblPiNHistorical[[#This Row],[ID]], tblPiNAnalysis[ID], 0)), "")</f>
        <v/>
      </c>
      <c r="AF306"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306" s="136" t="str">
        <f>IF(OR(tblPiNHistorical[[#This Row],[Education Old]]="", tblPiNHistorical[[#This Row],[Education Old]]=0, tblPiNHistorical[[#This Row],[Education New]]="", tblPiNHistorical[[#This Row],[Education New]]=0), "", tblPiNHistorical[[#This Row],[Education New]]-tblPiNHistorical[[#This Row],[Education Old]])</f>
        <v/>
      </c>
      <c r="AH306"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306" s="137" t="str">
        <f>IF(OR(tblPiNHistorical[[#This Row],[Health Old]]="", tblPiNHistorical[[#This Row],[Health Old]]=0, tblPiNHistorical[[#This Row],[Health New]]="", tblPiNHistorical[[#This Row],[Health New]]=0), "", tblPiNHistorical[[#This Row],[Health New]]-tblPiNHistorical[[#This Row],[Health Old]])</f>
        <v/>
      </c>
      <c r="AJ306" s="136" t="str">
        <f>IF(OR(tblPiNHistorical[[#This Row],[Nutrition Old]]="", tblPiNHistorical[[#This Row],[Nutrition Old]]=0, tblPiNHistorical[[#This Row],[Nutrition New]]="", tblPiNHistorical[[#This Row],[Nutrition New]]=0), "", tblPiNHistorical[[#This Row],[Nutrition New]]-tblPiNHistorical[[#This Row],[Nutrition Old]])</f>
        <v/>
      </c>
      <c r="AK306" s="136" t="str">
        <f>IF(OR(tblPiNHistorical[[#This Row],[Protection Old]]="", tblPiNHistorical[[#This Row],[Protection Old]]=0, tblPiNHistorical[[#This Row],[Protection New]]="", tblPiNHistorical[[#This Row],[Protection New]]=0), "", tblPiNHistorical[[#This Row],[Protection New]]-tblPiNHistorical[[#This Row],[Protection Old]])</f>
        <v/>
      </c>
      <c r="AL306" s="136" t="str">
        <f>IF(OR(tblPiNHistorical[[#This Row],[CP Old ]]="", tblPiNHistorical[[#This Row],[CP Old ]]=0, tblPiNHistorical[[#This Row],[CP New]]="", tblPiNHistorical[[#This Row],[CP New]]=0), "", tblPiNHistorical[[#This Row],[CP New]]-tblPiNHistorical[[#This Row],[CP Old ]])</f>
        <v/>
      </c>
      <c r="AM306" s="83" t="str">
        <f>IF(OR(tblPiNHistorical[[#This Row],[GBV Old]]="", tblPiNHistorical[[#This Row],[GBV Old]]=0, tblPiNHistorical[[#This Row],[GBV New]]="", tblPiNHistorical[[#This Row],[GBV New]]=0), "", tblPiNHistorical[[#This Row],[GBV New]]-tblPiNHistorical[[#This Row],[GBV Old]])</f>
        <v/>
      </c>
      <c r="AN306" s="83" t="str">
        <f>IF(OR(tblPiNHistorical[[#This Row],[Mine Action Old]]="", tblPiNHistorical[[#This Row],[Mine Action Old]]=0, tblPiNHistorical[[#This Row],[Mine Action New]]="", tblPiNHistorical[[#This Row],[Mine Action New]]=0), "", tblPiNHistorical[[#This Row],[Mine Action New]]-tblPiNHistorical[[#This Row],[Mine Action Old]])</f>
        <v/>
      </c>
      <c r="AO306" s="136" t="str">
        <f>IF(OR(tblPiNHistorical[[#This Row],[Shelter NFI Old]]="", tblPiNHistorical[[#This Row],[Shelter NFI Old]]=0, tblPiNHistorical[[#This Row],[Shelter NFI New]]="", tblPiNHistorical[[#This Row],[Shelter NFI New]]=0), "", tblPiNHistorical[[#This Row],[Shelter NFI New]]-tblPiNHistorical[[#This Row],[Shelter NFI Old]])</f>
        <v/>
      </c>
      <c r="AP306" s="138" t="str">
        <f>IF(OR(tblPiNHistorical[[#This Row],[WASH Old]]="", tblPiNHistorical[[#This Row],[WASH Old]]=0, tblPiNHistorical[[#This Row],[WASH New]]="", tblPiNHistorical[[#This Row],[WASH New]]=0), "", tblPiNHistorical[[#This Row],[WASH New]]-tblPiNHistorical[[#This Row],[WASH Old]])</f>
        <v/>
      </c>
      <c r="AQ306" s="139" t="str">
        <f>IFERROR(ROUND((tblPiNHistorical[[#This Row],[Site Management - New]] - tblPiNHistorical[[#This Row],[Site Management - Old]])/tblPiNHistorical[[#This Row],[Site Management - Old]], 1), "")</f>
        <v/>
      </c>
      <c r="AR306" s="140" t="str">
        <f>IFERROR(ROUND((tblPiNHistorical[[#This Row],[Education New]]-tblPiNHistorical[[#This Row],[Education Old]])/tblPiNHistorical[[#This Row],[Education Old]], 1), "")</f>
        <v/>
      </c>
      <c r="AS306" s="141" t="str">
        <f>IFERROR(ROUND((tblPiNHistorical[[#This Row],[Food Security and Livlihoods New]]-tblPiNHistorical[[#This Row],[Food Security and Livlihoods Old]])/tblPiNHistorical[[#This Row],[Food Security and Livlihoods Old]], 1), "")</f>
        <v/>
      </c>
      <c r="AT306" s="142" t="str">
        <f>IFERROR(ROUND((tblPiNHistorical[[#This Row],[Health New]]-tblPiNHistorical[[#This Row],[Health Old]])/tblPiNHistorical[[#This Row],[Health Old]], 1), "")</f>
        <v/>
      </c>
      <c r="AU306" s="140" t="str">
        <f>IFERROR(ROUND((tblPiNHistorical[[#This Row],[Nutrition New]]-tblPiNHistorical[[#This Row],[Nutrition Old]])/tblPiNHistorical[[#This Row],[Nutrition Old]], 1), "")</f>
        <v/>
      </c>
      <c r="AV306" s="140" t="str">
        <f>IFERROR(ROUND((tblPiNHistorical[[#This Row],[Protection New]]-tblPiNHistorical[[#This Row],[Protection Old]])/tblPiNHistorical[[#This Row],[Protection Old]], 1), "")</f>
        <v/>
      </c>
      <c r="AW306" s="84" t="str">
        <f>IFERROR(ROUND((tblPiNHistorical[[#This Row],[CP New]]-tblPiNHistorical[[#This Row],[CP Old ]])/tblPiNHistorical[[#This Row],[CP Old ]], 1), "")</f>
        <v/>
      </c>
      <c r="AX306" s="84" t="str">
        <f>IFERROR(ROUND((tblPiNHistorical[[#This Row],[GBV New]]-tblPiNHistorical[[#This Row],[GBV Old]])/tblPiNHistorical[[#This Row],[GBV Old]], 1), "")</f>
        <v/>
      </c>
      <c r="AY306" s="84" t="str">
        <f>IFERROR(ROUND((tblPiNHistorical[[#This Row],[Mine Action New]]-tblPiNHistorical[[#This Row],[Mine Action Old]])/tblPiNHistorical[[#This Row],[Mine Action Old]], 1), "")</f>
        <v/>
      </c>
      <c r="AZ306" s="140" t="str">
        <f>IFERROR(ROUND((tblPiNHistorical[[#This Row],[Shelter NFI New]]-tblPiNHistorical[[#This Row],[Shelter NFI Old]])/tblPiNHistorical[[#This Row],[Shelter NFI Old]], 1), "")</f>
        <v/>
      </c>
      <c r="BA306" s="31" t="str">
        <f>IFERROR(ROUND((tblPiNHistorical[[#This Row],[WASH New]]-tblPiNHistorical[[#This Row],[WASH Old]])/tblPiNHistorical[[#This Row],[WASH Old]], 1), "")</f>
        <v/>
      </c>
    </row>
    <row r="307" spans="1:53" ht="38.25" x14ac:dyDescent="0.25">
      <c r="A307"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RefugeesSD16010</v>
      </c>
      <c r="B307" s="134" t="s">
        <v>179</v>
      </c>
      <c r="C307" s="124" t="s">
        <v>133</v>
      </c>
      <c r="D307" s="124" t="s">
        <v>516</v>
      </c>
      <c r="E307" s="59" t="s">
        <v>517</v>
      </c>
      <c r="F307" s="54"/>
      <c r="G307" s="29"/>
      <c r="H307" s="53">
        <v>1130</v>
      </c>
      <c r="I307" s="53" t="s">
        <v>90</v>
      </c>
      <c r="J307" s="34">
        <v>0</v>
      </c>
      <c r="K307" s="116">
        <v>252</v>
      </c>
      <c r="L307" s="114">
        <v>1130</v>
      </c>
      <c r="M307" s="114">
        <v>780</v>
      </c>
      <c r="N307" s="114">
        <v>103</v>
      </c>
      <c r="O307" s="114">
        <v>1130</v>
      </c>
      <c r="P307" s="114">
        <v>22.6</v>
      </c>
      <c r="Q307" s="114">
        <v>376.29</v>
      </c>
      <c r="R307" s="114">
        <v>0</v>
      </c>
      <c r="S307" s="114">
        <v>0</v>
      </c>
      <c r="T307" s="196">
        <v>1020</v>
      </c>
      <c r="U307" s="52" t="str">
        <f>IFERROR(INDEX(tblPiNAnalysis[[Site Management ]], MATCH(tblPiNHistorical[[#This Row],[ID]], tblPiNAnalysis[ID], 0)), "")</f>
        <v/>
      </c>
      <c r="V307" s="52" t="str">
        <f>IFERROR(INDEX(tblPiNAnalysis[Education], MATCH(tblPiNHistorical[[#This Row],[ID]], tblPiNAnalysis[ID], 0)), "")</f>
        <v/>
      </c>
      <c r="W307" s="28" t="str">
        <f>IFERROR(INDEX(tblPiNAnalysis[Food Security and Livlihoods], MATCH(tblPiNHistorical[[#This Row],[ID]], tblPiNAnalysis[ID], 0)), "")</f>
        <v/>
      </c>
      <c r="X307" s="28" t="str">
        <f>IFERROR(INDEX(tblPiNAnalysis[[Health ]], MATCH(tblPiNHistorical[[#This Row],[ID]], tblPiNAnalysis[ID], 0)), "")</f>
        <v/>
      </c>
      <c r="Y307" s="28" t="str">
        <f>IFERROR(INDEX(tblPiNAnalysis[Nutrition], MATCH(tblPiNHistorical[[#This Row],[ID]], tblPiNAnalysis[ID], 0)), "")</f>
        <v/>
      </c>
      <c r="Z307" s="28" t="str">
        <f>IFERROR(INDEX(tblPiNAnalysis[Protection], MATCH(tblPiNHistorical[[#This Row],[ID]], tblPiNAnalysis[ID], 0)), "")</f>
        <v/>
      </c>
      <c r="AA307" s="28" t="str">
        <f>IFERROR(INDEX(tblPiNAnalysis[CP], MATCH(tblPiNHistorical[[#This Row],[ID]], tblPiNAnalysis[ID], 0)), "")</f>
        <v/>
      </c>
      <c r="AB307" s="83" t="str">
        <f>IFERROR(INDEX(tblPiNAnalysis[GBV], MATCH(tblPiNHistorical[[#This Row],[ID]], tblPiNAnalysis[ID], 0)), "")</f>
        <v/>
      </c>
      <c r="AC307" s="28" t="str">
        <f>IFERROR(INDEX(tblPiNAnalysis[Mine Action], MATCH(tblPiNHistorical[[#This Row],[ID]], tblPiNAnalysis[ID], 0)), "")</f>
        <v/>
      </c>
      <c r="AD307" s="83" t="str">
        <f>IFERROR(INDEX(tblPiNAnalysis[[Shelter NFI ]], MATCH(tblPiNHistorical[[#This Row],[ID]], tblPiNAnalysis[ID], 0)), "")</f>
        <v/>
      </c>
      <c r="AE307" s="28" t="str">
        <f>IFERROR(INDEX(tblPiNAnalysis[WASH], MATCH(tblPiNHistorical[[#This Row],[ID]], tblPiNAnalysis[ID], 0)), "")</f>
        <v/>
      </c>
      <c r="AF307"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307" s="136" t="str">
        <f>IF(OR(tblPiNHistorical[[#This Row],[Education Old]]="", tblPiNHistorical[[#This Row],[Education Old]]=0, tblPiNHistorical[[#This Row],[Education New]]="", tblPiNHistorical[[#This Row],[Education New]]=0), "", tblPiNHistorical[[#This Row],[Education New]]-tblPiNHistorical[[#This Row],[Education Old]])</f>
        <v/>
      </c>
      <c r="AH307"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307" s="137" t="str">
        <f>IF(OR(tblPiNHistorical[[#This Row],[Health Old]]="", tblPiNHistorical[[#This Row],[Health Old]]=0, tblPiNHistorical[[#This Row],[Health New]]="", tblPiNHistorical[[#This Row],[Health New]]=0), "", tblPiNHistorical[[#This Row],[Health New]]-tblPiNHistorical[[#This Row],[Health Old]])</f>
        <v/>
      </c>
      <c r="AJ307" s="136" t="str">
        <f>IF(OR(tblPiNHistorical[[#This Row],[Nutrition Old]]="", tblPiNHistorical[[#This Row],[Nutrition Old]]=0, tblPiNHistorical[[#This Row],[Nutrition New]]="", tblPiNHistorical[[#This Row],[Nutrition New]]=0), "", tblPiNHistorical[[#This Row],[Nutrition New]]-tblPiNHistorical[[#This Row],[Nutrition Old]])</f>
        <v/>
      </c>
      <c r="AK307" s="136" t="str">
        <f>IF(OR(tblPiNHistorical[[#This Row],[Protection Old]]="", tblPiNHistorical[[#This Row],[Protection Old]]=0, tblPiNHistorical[[#This Row],[Protection New]]="", tblPiNHistorical[[#This Row],[Protection New]]=0), "", tblPiNHistorical[[#This Row],[Protection New]]-tblPiNHistorical[[#This Row],[Protection Old]])</f>
        <v/>
      </c>
      <c r="AL307" s="136" t="str">
        <f>IF(OR(tblPiNHistorical[[#This Row],[CP Old ]]="", tblPiNHistorical[[#This Row],[CP Old ]]=0, tblPiNHistorical[[#This Row],[CP New]]="", tblPiNHistorical[[#This Row],[CP New]]=0), "", tblPiNHistorical[[#This Row],[CP New]]-tblPiNHistorical[[#This Row],[CP Old ]])</f>
        <v/>
      </c>
      <c r="AM307" s="83" t="str">
        <f>IF(OR(tblPiNHistorical[[#This Row],[GBV Old]]="", tblPiNHistorical[[#This Row],[GBV Old]]=0, tblPiNHistorical[[#This Row],[GBV New]]="", tblPiNHistorical[[#This Row],[GBV New]]=0), "", tblPiNHistorical[[#This Row],[GBV New]]-tblPiNHistorical[[#This Row],[GBV Old]])</f>
        <v/>
      </c>
      <c r="AN307" s="83" t="str">
        <f>IF(OR(tblPiNHistorical[[#This Row],[Mine Action Old]]="", tblPiNHistorical[[#This Row],[Mine Action Old]]=0, tblPiNHistorical[[#This Row],[Mine Action New]]="", tblPiNHistorical[[#This Row],[Mine Action New]]=0), "", tblPiNHistorical[[#This Row],[Mine Action New]]-tblPiNHistorical[[#This Row],[Mine Action Old]])</f>
        <v/>
      </c>
      <c r="AO307" s="136" t="str">
        <f>IF(OR(tblPiNHistorical[[#This Row],[Shelter NFI Old]]="", tblPiNHistorical[[#This Row],[Shelter NFI Old]]=0, tblPiNHistorical[[#This Row],[Shelter NFI New]]="", tblPiNHistorical[[#This Row],[Shelter NFI New]]=0), "", tblPiNHistorical[[#This Row],[Shelter NFI New]]-tblPiNHistorical[[#This Row],[Shelter NFI Old]])</f>
        <v/>
      </c>
      <c r="AP307" s="138" t="str">
        <f>IF(OR(tblPiNHistorical[[#This Row],[WASH Old]]="", tblPiNHistorical[[#This Row],[WASH Old]]=0, tblPiNHistorical[[#This Row],[WASH New]]="", tblPiNHistorical[[#This Row],[WASH New]]=0), "", tblPiNHistorical[[#This Row],[WASH New]]-tblPiNHistorical[[#This Row],[WASH Old]])</f>
        <v/>
      </c>
      <c r="AQ307" s="139" t="str">
        <f>IFERROR(ROUND((tblPiNHistorical[[#This Row],[Site Management - New]] - tblPiNHistorical[[#This Row],[Site Management - Old]])/tblPiNHistorical[[#This Row],[Site Management - Old]], 1), "")</f>
        <v/>
      </c>
      <c r="AR307" s="140" t="str">
        <f>IFERROR(ROUND((tblPiNHistorical[[#This Row],[Education New]]-tblPiNHistorical[[#This Row],[Education Old]])/tblPiNHistorical[[#This Row],[Education Old]], 1), "")</f>
        <v/>
      </c>
      <c r="AS307" s="141" t="str">
        <f>IFERROR(ROUND((tblPiNHistorical[[#This Row],[Food Security and Livlihoods New]]-tblPiNHistorical[[#This Row],[Food Security and Livlihoods Old]])/tblPiNHistorical[[#This Row],[Food Security and Livlihoods Old]], 1), "")</f>
        <v/>
      </c>
      <c r="AT307" s="142" t="str">
        <f>IFERROR(ROUND((tblPiNHistorical[[#This Row],[Health New]]-tblPiNHistorical[[#This Row],[Health Old]])/tblPiNHistorical[[#This Row],[Health Old]], 1), "")</f>
        <v/>
      </c>
      <c r="AU307" s="140" t="str">
        <f>IFERROR(ROUND((tblPiNHistorical[[#This Row],[Nutrition New]]-tblPiNHistorical[[#This Row],[Nutrition Old]])/tblPiNHistorical[[#This Row],[Nutrition Old]], 1), "")</f>
        <v/>
      </c>
      <c r="AV307" s="140" t="str">
        <f>IFERROR(ROUND((tblPiNHistorical[[#This Row],[Protection New]]-tblPiNHistorical[[#This Row],[Protection Old]])/tblPiNHistorical[[#This Row],[Protection Old]], 1), "")</f>
        <v/>
      </c>
      <c r="AW307" s="84" t="str">
        <f>IFERROR(ROUND((tblPiNHistorical[[#This Row],[CP New]]-tblPiNHistorical[[#This Row],[CP Old ]])/tblPiNHistorical[[#This Row],[CP Old ]], 1), "")</f>
        <v/>
      </c>
      <c r="AX307" s="84" t="str">
        <f>IFERROR(ROUND((tblPiNHistorical[[#This Row],[GBV New]]-tblPiNHistorical[[#This Row],[GBV Old]])/tblPiNHistorical[[#This Row],[GBV Old]], 1), "")</f>
        <v/>
      </c>
      <c r="AY307" s="84" t="str">
        <f>IFERROR(ROUND((tblPiNHistorical[[#This Row],[Mine Action New]]-tblPiNHistorical[[#This Row],[Mine Action Old]])/tblPiNHistorical[[#This Row],[Mine Action Old]], 1), "")</f>
        <v/>
      </c>
      <c r="AZ307" s="140" t="str">
        <f>IFERROR(ROUND((tblPiNHistorical[[#This Row],[Shelter NFI New]]-tblPiNHistorical[[#This Row],[Shelter NFI Old]])/tblPiNHistorical[[#This Row],[Shelter NFI Old]], 1), "")</f>
        <v/>
      </c>
      <c r="BA307" s="31" t="str">
        <f>IFERROR(ROUND((tblPiNHistorical[[#This Row],[WASH New]]-tblPiNHistorical[[#This Row],[WASH Old]])/tblPiNHistorical[[#This Row],[WASH Old]], 1), "")</f>
        <v/>
      </c>
    </row>
    <row r="308" spans="1:53" ht="38.25" x14ac:dyDescent="0.25">
      <c r="A308"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RefugeesSD14037</v>
      </c>
      <c r="B308" s="134" t="s">
        <v>182</v>
      </c>
      <c r="C308" s="124" t="s">
        <v>131</v>
      </c>
      <c r="D308" s="124" t="s">
        <v>483</v>
      </c>
      <c r="E308" s="59" t="s">
        <v>484</v>
      </c>
      <c r="F308" s="54"/>
      <c r="G308" s="29"/>
      <c r="H308" s="53">
        <v>0</v>
      </c>
      <c r="I308" s="53" t="s">
        <v>90</v>
      </c>
      <c r="J308" s="34">
        <v>0</v>
      </c>
      <c r="K308" s="116">
        <v>0</v>
      </c>
      <c r="L308" s="114">
        <v>0</v>
      </c>
      <c r="M308" s="114">
        <v>0</v>
      </c>
      <c r="N308" s="114">
        <v>0</v>
      </c>
      <c r="O308" s="114">
        <v>0</v>
      </c>
      <c r="P308" s="114">
        <v>0</v>
      </c>
      <c r="Q308" s="114">
        <v>0</v>
      </c>
      <c r="R308" s="114">
        <v>0</v>
      </c>
      <c r="S308" s="114">
        <v>0</v>
      </c>
      <c r="T308" s="196">
        <v>0</v>
      </c>
      <c r="U308" s="52" t="str">
        <f>IFERROR(INDEX(tblPiNAnalysis[[Site Management ]], MATCH(tblPiNHistorical[[#This Row],[ID]], tblPiNAnalysis[ID], 0)), "")</f>
        <v/>
      </c>
      <c r="V308" s="52" t="str">
        <f>IFERROR(INDEX(tblPiNAnalysis[Education], MATCH(tblPiNHistorical[[#This Row],[ID]], tblPiNAnalysis[ID], 0)), "")</f>
        <v/>
      </c>
      <c r="W308" s="28" t="str">
        <f>IFERROR(INDEX(tblPiNAnalysis[Food Security and Livlihoods], MATCH(tblPiNHistorical[[#This Row],[ID]], tblPiNAnalysis[ID], 0)), "")</f>
        <v/>
      </c>
      <c r="X308" s="28" t="str">
        <f>IFERROR(INDEX(tblPiNAnalysis[[Health ]], MATCH(tblPiNHistorical[[#This Row],[ID]], tblPiNAnalysis[ID], 0)), "")</f>
        <v/>
      </c>
      <c r="Y308" s="28" t="str">
        <f>IFERROR(INDEX(tblPiNAnalysis[Nutrition], MATCH(tblPiNHistorical[[#This Row],[ID]], tblPiNAnalysis[ID], 0)), "")</f>
        <v/>
      </c>
      <c r="Z308" s="28" t="str">
        <f>IFERROR(INDEX(tblPiNAnalysis[Protection], MATCH(tblPiNHistorical[[#This Row],[ID]], tblPiNAnalysis[ID], 0)), "")</f>
        <v/>
      </c>
      <c r="AA308" s="28" t="str">
        <f>IFERROR(INDEX(tblPiNAnalysis[CP], MATCH(tblPiNHistorical[[#This Row],[ID]], tblPiNAnalysis[ID], 0)), "")</f>
        <v/>
      </c>
      <c r="AB308" s="83" t="str">
        <f>IFERROR(INDEX(tblPiNAnalysis[GBV], MATCH(tblPiNHistorical[[#This Row],[ID]], tblPiNAnalysis[ID], 0)), "")</f>
        <v/>
      </c>
      <c r="AC308" s="28" t="str">
        <f>IFERROR(INDEX(tblPiNAnalysis[Mine Action], MATCH(tblPiNHistorical[[#This Row],[ID]], tblPiNAnalysis[ID], 0)), "")</f>
        <v/>
      </c>
      <c r="AD308" s="83" t="str">
        <f>IFERROR(INDEX(tblPiNAnalysis[[Shelter NFI ]], MATCH(tblPiNHistorical[[#This Row],[ID]], tblPiNAnalysis[ID], 0)), "")</f>
        <v/>
      </c>
      <c r="AE308" s="28" t="str">
        <f>IFERROR(INDEX(tblPiNAnalysis[WASH], MATCH(tblPiNHistorical[[#This Row],[ID]], tblPiNAnalysis[ID], 0)), "")</f>
        <v/>
      </c>
      <c r="AF308"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308" s="136" t="str">
        <f>IF(OR(tblPiNHistorical[[#This Row],[Education Old]]="", tblPiNHistorical[[#This Row],[Education Old]]=0, tblPiNHistorical[[#This Row],[Education New]]="", tblPiNHistorical[[#This Row],[Education New]]=0), "", tblPiNHistorical[[#This Row],[Education New]]-tblPiNHistorical[[#This Row],[Education Old]])</f>
        <v/>
      </c>
      <c r="AH308"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308" s="137" t="str">
        <f>IF(OR(tblPiNHistorical[[#This Row],[Health Old]]="", tblPiNHistorical[[#This Row],[Health Old]]=0, tblPiNHistorical[[#This Row],[Health New]]="", tblPiNHistorical[[#This Row],[Health New]]=0), "", tblPiNHistorical[[#This Row],[Health New]]-tblPiNHistorical[[#This Row],[Health Old]])</f>
        <v/>
      </c>
      <c r="AJ308" s="136" t="str">
        <f>IF(OR(tblPiNHistorical[[#This Row],[Nutrition Old]]="", tblPiNHistorical[[#This Row],[Nutrition Old]]=0, tblPiNHistorical[[#This Row],[Nutrition New]]="", tblPiNHistorical[[#This Row],[Nutrition New]]=0), "", tblPiNHistorical[[#This Row],[Nutrition New]]-tblPiNHistorical[[#This Row],[Nutrition Old]])</f>
        <v/>
      </c>
      <c r="AK308" s="136" t="str">
        <f>IF(OR(tblPiNHistorical[[#This Row],[Protection Old]]="", tblPiNHistorical[[#This Row],[Protection Old]]=0, tblPiNHistorical[[#This Row],[Protection New]]="", tblPiNHistorical[[#This Row],[Protection New]]=0), "", tblPiNHistorical[[#This Row],[Protection New]]-tblPiNHistorical[[#This Row],[Protection Old]])</f>
        <v/>
      </c>
      <c r="AL308" s="136" t="str">
        <f>IF(OR(tblPiNHistorical[[#This Row],[CP Old ]]="", tblPiNHistorical[[#This Row],[CP Old ]]=0, tblPiNHistorical[[#This Row],[CP New]]="", tblPiNHistorical[[#This Row],[CP New]]=0), "", tblPiNHistorical[[#This Row],[CP New]]-tblPiNHistorical[[#This Row],[CP Old ]])</f>
        <v/>
      </c>
      <c r="AM308" s="83" t="str">
        <f>IF(OR(tblPiNHistorical[[#This Row],[GBV Old]]="", tblPiNHistorical[[#This Row],[GBV Old]]=0, tblPiNHistorical[[#This Row],[GBV New]]="", tblPiNHistorical[[#This Row],[GBV New]]=0), "", tblPiNHistorical[[#This Row],[GBV New]]-tblPiNHistorical[[#This Row],[GBV Old]])</f>
        <v/>
      </c>
      <c r="AN308" s="83" t="str">
        <f>IF(OR(tblPiNHistorical[[#This Row],[Mine Action Old]]="", tblPiNHistorical[[#This Row],[Mine Action Old]]=0, tblPiNHistorical[[#This Row],[Mine Action New]]="", tblPiNHistorical[[#This Row],[Mine Action New]]=0), "", tblPiNHistorical[[#This Row],[Mine Action New]]-tblPiNHistorical[[#This Row],[Mine Action Old]])</f>
        <v/>
      </c>
      <c r="AO308" s="136" t="str">
        <f>IF(OR(tblPiNHistorical[[#This Row],[Shelter NFI Old]]="", tblPiNHistorical[[#This Row],[Shelter NFI Old]]=0, tblPiNHistorical[[#This Row],[Shelter NFI New]]="", tblPiNHistorical[[#This Row],[Shelter NFI New]]=0), "", tblPiNHistorical[[#This Row],[Shelter NFI New]]-tblPiNHistorical[[#This Row],[Shelter NFI Old]])</f>
        <v/>
      </c>
      <c r="AP308" s="138" t="str">
        <f>IF(OR(tblPiNHistorical[[#This Row],[WASH Old]]="", tblPiNHistorical[[#This Row],[WASH Old]]=0, tblPiNHistorical[[#This Row],[WASH New]]="", tblPiNHistorical[[#This Row],[WASH New]]=0), "", tblPiNHistorical[[#This Row],[WASH New]]-tblPiNHistorical[[#This Row],[WASH Old]])</f>
        <v/>
      </c>
      <c r="AQ308" s="139" t="str">
        <f>IFERROR(ROUND((tblPiNHistorical[[#This Row],[Site Management - New]] - tblPiNHistorical[[#This Row],[Site Management - Old]])/tblPiNHistorical[[#This Row],[Site Management - Old]], 1), "")</f>
        <v/>
      </c>
      <c r="AR308" s="140" t="str">
        <f>IFERROR(ROUND((tblPiNHistorical[[#This Row],[Education New]]-tblPiNHistorical[[#This Row],[Education Old]])/tblPiNHistorical[[#This Row],[Education Old]], 1), "")</f>
        <v/>
      </c>
      <c r="AS308" s="141" t="str">
        <f>IFERROR(ROUND((tblPiNHistorical[[#This Row],[Food Security and Livlihoods New]]-tblPiNHistorical[[#This Row],[Food Security and Livlihoods Old]])/tblPiNHistorical[[#This Row],[Food Security and Livlihoods Old]], 1), "")</f>
        <v/>
      </c>
      <c r="AT308" s="142" t="str">
        <f>IFERROR(ROUND((tblPiNHistorical[[#This Row],[Health New]]-tblPiNHistorical[[#This Row],[Health Old]])/tblPiNHistorical[[#This Row],[Health Old]], 1), "")</f>
        <v/>
      </c>
      <c r="AU308" s="140" t="str">
        <f>IFERROR(ROUND((tblPiNHistorical[[#This Row],[Nutrition New]]-tblPiNHistorical[[#This Row],[Nutrition Old]])/tblPiNHistorical[[#This Row],[Nutrition Old]], 1), "")</f>
        <v/>
      </c>
      <c r="AV308" s="140" t="str">
        <f>IFERROR(ROUND((tblPiNHistorical[[#This Row],[Protection New]]-tblPiNHistorical[[#This Row],[Protection Old]])/tblPiNHistorical[[#This Row],[Protection Old]], 1), "")</f>
        <v/>
      </c>
      <c r="AW308" s="84" t="str">
        <f>IFERROR(ROUND((tblPiNHistorical[[#This Row],[CP New]]-tblPiNHistorical[[#This Row],[CP Old ]])/tblPiNHistorical[[#This Row],[CP Old ]], 1), "")</f>
        <v/>
      </c>
      <c r="AX308" s="84" t="str">
        <f>IFERROR(ROUND((tblPiNHistorical[[#This Row],[GBV New]]-tblPiNHistorical[[#This Row],[GBV Old]])/tblPiNHistorical[[#This Row],[GBV Old]], 1), "")</f>
        <v/>
      </c>
      <c r="AY308" s="84" t="str">
        <f>IFERROR(ROUND((tblPiNHistorical[[#This Row],[Mine Action New]]-tblPiNHistorical[[#This Row],[Mine Action Old]])/tblPiNHistorical[[#This Row],[Mine Action Old]], 1), "")</f>
        <v/>
      </c>
      <c r="AZ308" s="140" t="str">
        <f>IFERROR(ROUND((tblPiNHistorical[[#This Row],[Shelter NFI New]]-tblPiNHistorical[[#This Row],[Shelter NFI Old]])/tblPiNHistorical[[#This Row],[Shelter NFI Old]], 1), "")</f>
        <v/>
      </c>
      <c r="BA308" s="31" t="str">
        <f>IFERROR(ROUND((tblPiNHistorical[[#This Row],[WASH New]]-tblPiNHistorical[[#This Row],[WASH Old]])/tblPiNHistorical[[#This Row],[WASH Old]], 1), "")</f>
        <v/>
      </c>
    </row>
    <row r="309" spans="1:53" ht="38.25" x14ac:dyDescent="0.25">
      <c r="A309"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RefugeesSD14039</v>
      </c>
      <c r="B309" s="134" t="s">
        <v>182</v>
      </c>
      <c r="C309" s="124" t="s">
        <v>131</v>
      </c>
      <c r="D309" s="124" t="s">
        <v>486</v>
      </c>
      <c r="E309" s="59" t="s">
        <v>487</v>
      </c>
      <c r="F309" s="54"/>
      <c r="G309" s="29"/>
      <c r="H309" s="53">
        <v>0</v>
      </c>
      <c r="I309" s="53" t="s">
        <v>90</v>
      </c>
      <c r="J309" s="34">
        <v>0</v>
      </c>
      <c r="K309" s="116">
        <v>0</v>
      </c>
      <c r="L309" s="114">
        <v>0</v>
      </c>
      <c r="M309" s="114">
        <v>0</v>
      </c>
      <c r="N309" s="114">
        <v>0</v>
      </c>
      <c r="O309" s="114">
        <v>0</v>
      </c>
      <c r="P309" s="114">
        <v>0</v>
      </c>
      <c r="Q309" s="114">
        <v>0</v>
      </c>
      <c r="R309" s="114">
        <v>0</v>
      </c>
      <c r="S309" s="114">
        <v>0</v>
      </c>
      <c r="T309" s="196">
        <v>0</v>
      </c>
      <c r="U309" s="52" t="str">
        <f>IFERROR(INDEX(tblPiNAnalysis[[Site Management ]], MATCH(tblPiNHistorical[[#This Row],[ID]], tblPiNAnalysis[ID], 0)), "")</f>
        <v/>
      </c>
      <c r="V309" s="52" t="str">
        <f>IFERROR(INDEX(tblPiNAnalysis[Education], MATCH(tblPiNHistorical[[#This Row],[ID]], tblPiNAnalysis[ID], 0)), "")</f>
        <v/>
      </c>
      <c r="W309" s="28" t="str">
        <f>IFERROR(INDEX(tblPiNAnalysis[Food Security and Livlihoods], MATCH(tblPiNHistorical[[#This Row],[ID]], tblPiNAnalysis[ID], 0)), "")</f>
        <v/>
      </c>
      <c r="X309" s="28" t="str">
        <f>IFERROR(INDEX(tblPiNAnalysis[[Health ]], MATCH(tblPiNHistorical[[#This Row],[ID]], tblPiNAnalysis[ID], 0)), "")</f>
        <v/>
      </c>
      <c r="Y309" s="28" t="str">
        <f>IFERROR(INDEX(tblPiNAnalysis[Nutrition], MATCH(tblPiNHistorical[[#This Row],[ID]], tblPiNAnalysis[ID], 0)), "")</f>
        <v/>
      </c>
      <c r="Z309" s="28" t="str">
        <f>IFERROR(INDEX(tblPiNAnalysis[Protection], MATCH(tblPiNHistorical[[#This Row],[ID]], tblPiNAnalysis[ID], 0)), "")</f>
        <v/>
      </c>
      <c r="AA309" s="28" t="str">
        <f>IFERROR(INDEX(tblPiNAnalysis[CP], MATCH(tblPiNHistorical[[#This Row],[ID]], tblPiNAnalysis[ID], 0)), "")</f>
        <v/>
      </c>
      <c r="AB309" s="83" t="str">
        <f>IFERROR(INDEX(tblPiNAnalysis[GBV], MATCH(tblPiNHistorical[[#This Row],[ID]], tblPiNAnalysis[ID], 0)), "")</f>
        <v/>
      </c>
      <c r="AC309" s="28" t="str">
        <f>IFERROR(INDEX(tblPiNAnalysis[Mine Action], MATCH(tblPiNHistorical[[#This Row],[ID]], tblPiNAnalysis[ID], 0)), "")</f>
        <v/>
      </c>
      <c r="AD309" s="83" t="str">
        <f>IFERROR(INDEX(tblPiNAnalysis[[Shelter NFI ]], MATCH(tblPiNHistorical[[#This Row],[ID]], tblPiNAnalysis[ID], 0)), "")</f>
        <v/>
      </c>
      <c r="AE309" s="28" t="str">
        <f>IFERROR(INDEX(tblPiNAnalysis[WASH], MATCH(tblPiNHistorical[[#This Row],[ID]], tblPiNAnalysis[ID], 0)), "")</f>
        <v/>
      </c>
      <c r="AF309"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309" s="136" t="str">
        <f>IF(OR(tblPiNHistorical[[#This Row],[Education Old]]="", tblPiNHistorical[[#This Row],[Education Old]]=0, tblPiNHistorical[[#This Row],[Education New]]="", tblPiNHistorical[[#This Row],[Education New]]=0), "", tblPiNHistorical[[#This Row],[Education New]]-tblPiNHistorical[[#This Row],[Education Old]])</f>
        <v/>
      </c>
      <c r="AH309"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309" s="137" t="str">
        <f>IF(OR(tblPiNHistorical[[#This Row],[Health Old]]="", tblPiNHistorical[[#This Row],[Health Old]]=0, tblPiNHistorical[[#This Row],[Health New]]="", tblPiNHistorical[[#This Row],[Health New]]=0), "", tblPiNHistorical[[#This Row],[Health New]]-tblPiNHistorical[[#This Row],[Health Old]])</f>
        <v/>
      </c>
      <c r="AJ309" s="136" t="str">
        <f>IF(OR(tblPiNHistorical[[#This Row],[Nutrition Old]]="", tblPiNHistorical[[#This Row],[Nutrition Old]]=0, tblPiNHistorical[[#This Row],[Nutrition New]]="", tblPiNHistorical[[#This Row],[Nutrition New]]=0), "", tblPiNHistorical[[#This Row],[Nutrition New]]-tblPiNHistorical[[#This Row],[Nutrition Old]])</f>
        <v/>
      </c>
      <c r="AK309" s="136" t="str">
        <f>IF(OR(tblPiNHistorical[[#This Row],[Protection Old]]="", tblPiNHistorical[[#This Row],[Protection Old]]=0, tblPiNHistorical[[#This Row],[Protection New]]="", tblPiNHistorical[[#This Row],[Protection New]]=0), "", tblPiNHistorical[[#This Row],[Protection New]]-tblPiNHistorical[[#This Row],[Protection Old]])</f>
        <v/>
      </c>
      <c r="AL309" s="136" t="str">
        <f>IF(OR(tblPiNHistorical[[#This Row],[CP Old ]]="", tblPiNHistorical[[#This Row],[CP Old ]]=0, tblPiNHistorical[[#This Row],[CP New]]="", tblPiNHistorical[[#This Row],[CP New]]=0), "", tblPiNHistorical[[#This Row],[CP New]]-tblPiNHistorical[[#This Row],[CP Old ]])</f>
        <v/>
      </c>
      <c r="AM309" s="83" t="str">
        <f>IF(OR(tblPiNHistorical[[#This Row],[GBV Old]]="", tblPiNHistorical[[#This Row],[GBV Old]]=0, tblPiNHistorical[[#This Row],[GBV New]]="", tblPiNHistorical[[#This Row],[GBV New]]=0), "", tblPiNHistorical[[#This Row],[GBV New]]-tblPiNHistorical[[#This Row],[GBV Old]])</f>
        <v/>
      </c>
      <c r="AN309" s="83" t="str">
        <f>IF(OR(tblPiNHistorical[[#This Row],[Mine Action Old]]="", tblPiNHistorical[[#This Row],[Mine Action Old]]=0, tblPiNHistorical[[#This Row],[Mine Action New]]="", tblPiNHistorical[[#This Row],[Mine Action New]]=0), "", tblPiNHistorical[[#This Row],[Mine Action New]]-tblPiNHistorical[[#This Row],[Mine Action Old]])</f>
        <v/>
      </c>
      <c r="AO309" s="136" t="str">
        <f>IF(OR(tblPiNHistorical[[#This Row],[Shelter NFI Old]]="", tblPiNHistorical[[#This Row],[Shelter NFI Old]]=0, tblPiNHistorical[[#This Row],[Shelter NFI New]]="", tblPiNHistorical[[#This Row],[Shelter NFI New]]=0), "", tblPiNHistorical[[#This Row],[Shelter NFI New]]-tblPiNHistorical[[#This Row],[Shelter NFI Old]])</f>
        <v/>
      </c>
      <c r="AP309" s="138" t="str">
        <f>IF(OR(tblPiNHistorical[[#This Row],[WASH Old]]="", tblPiNHistorical[[#This Row],[WASH Old]]=0, tblPiNHistorical[[#This Row],[WASH New]]="", tblPiNHistorical[[#This Row],[WASH New]]=0), "", tblPiNHistorical[[#This Row],[WASH New]]-tblPiNHistorical[[#This Row],[WASH Old]])</f>
        <v/>
      </c>
      <c r="AQ309" s="139" t="str">
        <f>IFERROR(ROUND((tblPiNHistorical[[#This Row],[Site Management - New]] - tblPiNHistorical[[#This Row],[Site Management - Old]])/tblPiNHistorical[[#This Row],[Site Management - Old]], 1), "")</f>
        <v/>
      </c>
      <c r="AR309" s="140" t="str">
        <f>IFERROR(ROUND((tblPiNHistorical[[#This Row],[Education New]]-tblPiNHistorical[[#This Row],[Education Old]])/tblPiNHistorical[[#This Row],[Education Old]], 1), "")</f>
        <v/>
      </c>
      <c r="AS309" s="141" t="str">
        <f>IFERROR(ROUND((tblPiNHistorical[[#This Row],[Food Security and Livlihoods New]]-tblPiNHistorical[[#This Row],[Food Security and Livlihoods Old]])/tblPiNHistorical[[#This Row],[Food Security and Livlihoods Old]], 1), "")</f>
        <v/>
      </c>
      <c r="AT309" s="142" t="str">
        <f>IFERROR(ROUND((tblPiNHistorical[[#This Row],[Health New]]-tblPiNHistorical[[#This Row],[Health Old]])/tblPiNHistorical[[#This Row],[Health Old]], 1), "")</f>
        <v/>
      </c>
      <c r="AU309" s="140" t="str">
        <f>IFERROR(ROUND((tblPiNHistorical[[#This Row],[Nutrition New]]-tblPiNHistorical[[#This Row],[Nutrition Old]])/tblPiNHistorical[[#This Row],[Nutrition Old]], 1), "")</f>
        <v/>
      </c>
      <c r="AV309" s="140" t="str">
        <f>IFERROR(ROUND((tblPiNHistorical[[#This Row],[Protection New]]-tblPiNHistorical[[#This Row],[Protection Old]])/tblPiNHistorical[[#This Row],[Protection Old]], 1), "")</f>
        <v/>
      </c>
      <c r="AW309" s="84" t="str">
        <f>IFERROR(ROUND((tblPiNHistorical[[#This Row],[CP New]]-tblPiNHistorical[[#This Row],[CP Old ]])/tblPiNHistorical[[#This Row],[CP Old ]], 1), "")</f>
        <v/>
      </c>
      <c r="AX309" s="84" t="str">
        <f>IFERROR(ROUND((tblPiNHistorical[[#This Row],[GBV New]]-tblPiNHistorical[[#This Row],[GBV Old]])/tblPiNHistorical[[#This Row],[GBV Old]], 1), "")</f>
        <v/>
      </c>
      <c r="AY309" s="84" t="str">
        <f>IFERROR(ROUND((tblPiNHistorical[[#This Row],[Mine Action New]]-tblPiNHistorical[[#This Row],[Mine Action Old]])/tblPiNHistorical[[#This Row],[Mine Action Old]], 1), "")</f>
        <v/>
      </c>
      <c r="AZ309" s="140" t="str">
        <f>IFERROR(ROUND((tblPiNHistorical[[#This Row],[Shelter NFI New]]-tblPiNHistorical[[#This Row],[Shelter NFI Old]])/tblPiNHistorical[[#This Row],[Shelter NFI Old]], 1), "")</f>
        <v/>
      </c>
      <c r="BA309" s="31" t="str">
        <f>IFERROR(ROUND((tblPiNHistorical[[#This Row],[WASH New]]-tblPiNHistorical[[#This Row],[WASH Old]])/tblPiNHistorical[[#This Row],[WASH Old]], 1), "")</f>
        <v/>
      </c>
    </row>
    <row r="310" spans="1:53" ht="38.25" x14ac:dyDescent="0.25">
      <c r="A310"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RefugeesSD14040</v>
      </c>
      <c r="B310" s="134" t="s">
        <v>182</v>
      </c>
      <c r="C310" s="124" t="s">
        <v>131</v>
      </c>
      <c r="D310" s="124" t="s">
        <v>488</v>
      </c>
      <c r="E310" s="59" t="s">
        <v>489</v>
      </c>
      <c r="F310" s="54"/>
      <c r="G310" s="29"/>
      <c r="H310" s="53">
        <v>9807</v>
      </c>
      <c r="I310" s="53" t="s">
        <v>90</v>
      </c>
      <c r="J310" s="34">
        <v>0</v>
      </c>
      <c r="K310" s="116">
        <v>1215</v>
      </c>
      <c r="L310" s="114">
        <v>9808</v>
      </c>
      <c r="M310" s="114">
        <v>4806</v>
      </c>
      <c r="N310" s="114">
        <v>895</v>
      </c>
      <c r="O310" s="114">
        <v>9808</v>
      </c>
      <c r="P310" s="114">
        <v>196.16</v>
      </c>
      <c r="Q310" s="114">
        <v>1343.6960000000001</v>
      </c>
      <c r="R310" s="114">
        <v>0</v>
      </c>
      <c r="S310" s="114">
        <v>0</v>
      </c>
      <c r="T310" s="196">
        <v>8486</v>
      </c>
      <c r="U310" s="52" t="str">
        <f>IFERROR(INDEX(tblPiNAnalysis[[Site Management ]], MATCH(tblPiNHistorical[[#This Row],[ID]], tblPiNAnalysis[ID], 0)), "")</f>
        <v/>
      </c>
      <c r="V310" s="52" t="str">
        <f>IFERROR(INDEX(tblPiNAnalysis[Education], MATCH(tblPiNHistorical[[#This Row],[ID]], tblPiNAnalysis[ID], 0)), "")</f>
        <v/>
      </c>
      <c r="W310" s="28" t="str">
        <f>IFERROR(INDEX(tblPiNAnalysis[Food Security and Livlihoods], MATCH(tblPiNHistorical[[#This Row],[ID]], tblPiNAnalysis[ID], 0)), "")</f>
        <v/>
      </c>
      <c r="X310" s="28" t="str">
        <f>IFERROR(INDEX(tblPiNAnalysis[[Health ]], MATCH(tblPiNHistorical[[#This Row],[ID]], tblPiNAnalysis[ID], 0)), "")</f>
        <v/>
      </c>
      <c r="Y310" s="28" t="str">
        <f>IFERROR(INDEX(tblPiNAnalysis[Nutrition], MATCH(tblPiNHistorical[[#This Row],[ID]], tblPiNAnalysis[ID], 0)), "")</f>
        <v/>
      </c>
      <c r="Z310" s="28" t="str">
        <f>IFERROR(INDEX(tblPiNAnalysis[Protection], MATCH(tblPiNHistorical[[#This Row],[ID]], tblPiNAnalysis[ID], 0)), "")</f>
        <v/>
      </c>
      <c r="AA310" s="28" t="str">
        <f>IFERROR(INDEX(tblPiNAnalysis[CP], MATCH(tblPiNHistorical[[#This Row],[ID]], tblPiNAnalysis[ID], 0)), "")</f>
        <v/>
      </c>
      <c r="AB310" s="83" t="str">
        <f>IFERROR(INDEX(tblPiNAnalysis[GBV], MATCH(tblPiNHistorical[[#This Row],[ID]], tblPiNAnalysis[ID], 0)), "")</f>
        <v/>
      </c>
      <c r="AC310" s="28" t="str">
        <f>IFERROR(INDEX(tblPiNAnalysis[Mine Action], MATCH(tblPiNHistorical[[#This Row],[ID]], tblPiNAnalysis[ID], 0)), "")</f>
        <v/>
      </c>
      <c r="AD310" s="83" t="str">
        <f>IFERROR(INDEX(tblPiNAnalysis[[Shelter NFI ]], MATCH(tblPiNHistorical[[#This Row],[ID]], tblPiNAnalysis[ID], 0)), "")</f>
        <v/>
      </c>
      <c r="AE310" s="28" t="str">
        <f>IFERROR(INDEX(tblPiNAnalysis[WASH], MATCH(tblPiNHistorical[[#This Row],[ID]], tblPiNAnalysis[ID], 0)), "")</f>
        <v/>
      </c>
      <c r="AF310"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310" s="136" t="str">
        <f>IF(OR(tblPiNHistorical[[#This Row],[Education Old]]="", tblPiNHistorical[[#This Row],[Education Old]]=0, tblPiNHistorical[[#This Row],[Education New]]="", tblPiNHistorical[[#This Row],[Education New]]=0), "", tblPiNHistorical[[#This Row],[Education New]]-tblPiNHistorical[[#This Row],[Education Old]])</f>
        <v/>
      </c>
      <c r="AH310"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310" s="137" t="str">
        <f>IF(OR(tblPiNHistorical[[#This Row],[Health Old]]="", tblPiNHistorical[[#This Row],[Health Old]]=0, tblPiNHistorical[[#This Row],[Health New]]="", tblPiNHistorical[[#This Row],[Health New]]=0), "", tblPiNHistorical[[#This Row],[Health New]]-tblPiNHistorical[[#This Row],[Health Old]])</f>
        <v/>
      </c>
      <c r="AJ310" s="136" t="str">
        <f>IF(OR(tblPiNHistorical[[#This Row],[Nutrition Old]]="", tblPiNHistorical[[#This Row],[Nutrition Old]]=0, tblPiNHistorical[[#This Row],[Nutrition New]]="", tblPiNHistorical[[#This Row],[Nutrition New]]=0), "", tblPiNHistorical[[#This Row],[Nutrition New]]-tblPiNHistorical[[#This Row],[Nutrition Old]])</f>
        <v/>
      </c>
      <c r="AK310" s="136" t="str">
        <f>IF(OR(tblPiNHistorical[[#This Row],[Protection Old]]="", tblPiNHistorical[[#This Row],[Protection Old]]=0, tblPiNHistorical[[#This Row],[Protection New]]="", tblPiNHistorical[[#This Row],[Protection New]]=0), "", tblPiNHistorical[[#This Row],[Protection New]]-tblPiNHistorical[[#This Row],[Protection Old]])</f>
        <v/>
      </c>
      <c r="AL310" s="136" t="str">
        <f>IF(OR(tblPiNHistorical[[#This Row],[CP Old ]]="", tblPiNHistorical[[#This Row],[CP Old ]]=0, tblPiNHistorical[[#This Row],[CP New]]="", tblPiNHistorical[[#This Row],[CP New]]=0), "", tblPiNHistorical[[#This Row],[CP New]]-tblPiNHistorical[[#This Row],[CP Old ]])</f>
        <v/>
      </c>
      <c r="AM310" s="83" t="str">
        <f>IF(OR(tblPiNHistorical[[#This Row],[GBV Old]]="", tblPiNHistorical[[#This Row],[GBV Old]]=0, tblPiNHistorical[[#This Row],[GBV New]]="", tblPiNHistorical[[#This Row],[GBV New]]=0), "", tblPiNHistorical[[#This Row],[GBV New]]-tblPiNHistorical[[#This Row],[GBV Old]])</f>
        <v/>
      </c>
      <c r="AN310" s="83" t="str">
        <f>IF(OR(tblPiNHistorical[[#This Row],[Mine Action Old]]="", tblPiNHistorical[[#This Row],[Mine Action Old]]=0, tblPiNHistorical[[#This Row],[Mine Action New]]="", tblPiNHistorical[[#This Row],[Mine Action New]]=0), "", tblPiNHistorical[[#This Row],[Mine Action New]]-tblPiNHistorical[[#This Row],[Mine Action Old]])</f>
        <v/>
      </c>
      <c r="AO310" s="136" t="str">
        <f>IF(OR(tblPiNHistorical[[#This Row],[Shelter NFI Old]]="", tblPiNHistorical[[#This Row],[Shelter NFI Old]]=0, tblPiNHistorical[[#This Row],[Shelter NFI New]]="", tblPiNHistorical[[#This Row],[Shelter NFI New]]=0), "", tblPiNHistorical[[#This Row],[Shelter NFI New]]-tblPiNHistorical[[#This Row],[Shelter NFI Old]])</f>
        <v/>
      </c>
      <c r="AP310" s="138" t="str">
        <f>IF(OR(tblPiNHistorical[[#This Row],[WASH Old]]="", tblPiNHistorical[[#This Row],[WASH Old]]=0, tblPiNHistorical[[#This Row],[WASH New]]="", tblPiNHistorical[[#This Row],[WASH New]]=0), "", tblPiNHistorical[[#This Row],[WASH New]]-tblPiNHistorical[[#This Row],[WASH Old]])</f>
        <v/>
      </c>
      <c r="AQ310" s="139" t="str">
        <f>IFERROR(ROUND((tblPiNHistorical[[#This Row],[Site Management - New]] - tblPiNHistorical[[#This Row],[Site Management - Old]])/tblPiNHistorical[[#This Row],[Site Management - Old]], 1), "")</f>
        <v/>
      </c>
      <c r="AR310" s="140" t="str">
        <f>IFERROR(ROUND((tblPiNHistorical[[#This Row],[Education New]]-tblPiNHistorical[[#This Row],[Education Old]])/tblPiNHistorical[[#This Row],[Education Old]], 1), "")</f>
        <v/>
      </c>
      <c r="AS310" s="141" t="str">
        <f>IFERROR(ROUND((tblPiNHistorical[[#This Row],[Food Security and Livlihoods New]]-tblPiNHistorical[[#This Row],[Food Security and Livlihoods Old]])/tblPiNHistorical[[#This Row],[Food Security and Livlihoods Old]], 1), "")</f>
        <v/>
      </c>
      <c r="AT310" s="142" t="str">
        <f>IFERROR(ROUND((tblPiNHistorical[[#This Row],[Health New]]-tblPiNHistorical[[#This Row],[Health Old]])/tblPiNHistorical[[#This Row],[Health Old]], 1), "")</f>
        <v/>
      </c>
      <c r="AU310" s="140" t="str">
        <f>IFERROR(ROUND((tblPiNHistorical[[#This Row],[Nutrition New]]-tblPiNHistorical[[#This Row],[Nutrition Old]])/tblPiNHistorical[[#This Row],[Nutrition Old]], 1), "")</f>
        <v/>
      </c>
      <c r="AV310" s="140" t="str">
        <f>IFERROR(ROUND((tblPiNHistorical[[#This Row],[Protection New]]-tblPiNHistorical[[#This Row],[Protection Old]])/tblPiNHistorical[[#This Row],[Protection Old]], 1), "")</f>
        <v/>
      </c>
      <c r="AW310" s="84" t="str">
        <f>IFERROR(ROUND((tblPiNHistorical[[#This Row],[CP New]]-tblPiNHistorical[[#This Row],[CP Old ]])/tblPiNHistorical[[#This Row],[CP Old ]], 1), "")</f>
        <v/>
      </c>
      <c r="AX310" s="84" t="str">
        <f>IFERROR(ROUND((tblPiNHistorical[[#This Row],[GBV New]]-tblPiNHistorical[[#This Row],[GBV Old]])/tblPiNHistorical[[#This Row],[GBV Old]], 1), "")</f>
        <v/>
      </c>
      <c r="AY310" s="84" t="str">
        <f>IFERROR(ROUND((tblPiNHistorical[[#This Row],[Mine Action New]]-tblPiNHistorical[[#This Row],[Mine Action Old]])/tblPiNHistorical[[#This Row],[Mine Action Old]], 1), "")</f>
        <v/>
      </c>
      <c r="AZ310" s="140" t="str">
        <f>IFERROR(ROUND((tblPiNHistorical[[#This Row],[Shelter NFI New]]-tblPiNHistorical[[#This Row],[Shelter NFI Old]])/tblPiNHistorical[[#This Row],[Shelter NFI Old]], 1), "")</f>
        <v/>
      </c>
      <c r="BA310" s="31" t="str">
        <f>IFERROR(ROUND((tblPiNHistorical[[#This Row],[WASH New]]-tblPiNHistorical[[#This Row],[WASH Old]])/tblPiNHistorical[[#This Row],[WASH Old]], 1), "")</f>
        <v/>
      </c>
    </row>
    <row r="311" spans="1:53" ht="38.25" x14ac:dyDescent="0.25">
      <c r="A311"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RefugeesSD14041</v>
      </c>
      <c r="B311" s="134" t="s">
        <v>182</v>
      </c>
      <c r="C311" s="124" t="s">
        <v>131</v>
      </c>
      <c r="D311" s="124" t="s">
        <v>490</v>
      </c>
      <c r="E311" s="59" t="s">
        <v>491</v>
      </c>
      <c r="F311" s="54"/>
      <c r="G311" s="29"/>
      <c r="H311" s="53">
        <v>0</v>
      </c>
      <c r="I311" s="53" t="s">
        <v>90</v>
      </c>
      <c r="J311" s="34">
        <v>0</v>
      </c>
      <c r="K311" s="116">
        <v>0</v>
      </c>
      <c r="L311" s="114">
        <v>0</v>
      </c>
      <c r="M311" s="114">
        <v>0</v>
      </c>
      <c r="N311" s="114">
        <v>0</v>
      </c>
      <c r="O311" s="114">
        <v>0</v>
      </c>
      <c r="P311" s="114">
        <v>0</v>
      </c>
      <c r="Q311" s="114">
        <v>0</v>
      </c>
      <c r="R311" s="114">
        <v>0</v>
      </c>
      <c r="S311" s="114">
        <v>0</v>
      </c>
      <c r="T311" s="196">
        <v>0</v>
      </c>
      <c r="U311" s="52" t="str">
        <f>IFERROR(INDEX(tblPiNAnalysis[[Site Management ]], MATCH(tblPiNHistorical[[#This Row],[ID]], tblPiNAnalysis[ID], 0)), "")</f>
        <v/>
      </c>
      <c r="V311" s="52" t="str">
        <f>IFERROR(INDEX(tblPiNAnalysis[Education], MATCH(tblPiNHistorical[[#This Row],[ID]], tblPiNAnalysis[ID], 0)), "")</f>
        <v/>
      </c>
      <c r="W311" s="28" t="str">
        <f>IFERROR(INDEX(tblPiNAnalysis[Food Security and Livlihoods], MATCH(tblPiNHistorical[[#This Row],[ID]], tblPiNAnalysis[ID], 0)), "")</f>
        <v/>
      </c>
      <c r="X311" s="28" t="str">
        <f>IFERROR(INDEX(tblPiNAnalysis[[Health ]], MATCH(tblPiNHistorical[[#This Row],[ID]], tblPiNAnalysis[ID], 0)), "")</f>
        <v/>
      </c>
      <c r="Y311" s="28" t="str">
        <f>IFERROR(INDEX(tblPiNAnalysis[Nutrition], MATCH(tblPiNHistorical[[#This Row],[ID]], tblPiNAnalysis[ID], 0)), "")</f>
        <v/>
      </c>
      <c r="Z311" s="28" t="str">
        <f>IFERROR(INDEX(tblPiNAnalysis[Protection], MATCH(tblPiNHistorical[[#This Row],[ID]], tblPiNAnalysis[ID], 0)), "")</f>
        <v/>
      </c>
      <c r="AA311" s="28" t="str">
        <f>IFERROR(INDEX(tblPiNAnalysis[CP], MATCH(tblPiNHistorical[[#This Row],[ID]], tblPiNAnalysis[ID], 0)), "")</f>
        <v/>
      </c>
      <c r="AB311" s="83" t="str">
        <f>IFERROR(INDEX(tblPiNAnalysis[GBV], MATCH(tblPiNHistorical[[#This Row],[ID]], tblPiNAnalysis[ID], 0)), "")</f>
        <v/>
      </c>
      <c r="AC311" s="28" t="str">
        <f>IFERROR(INDEX(tblPiNAnalysis[Mine Action], MATCH(tblPiNHistorical[[#This Row],[ID]], tblPiNAnalysis[ID], 0)), "")</f>
        <v/>
      </c>
      <c r="AD311" s="83" t="str">
        <f>IFERROR(INDEX(tblPiNAnalysis[[Shelter NFI ]], MATCH(tblPiNHistorical[[#This Row],[ID]], tblPiNAnalysis[ID], 0)), "")</f>
        <v/>
      </c>
      <c r="AE311" s="28" t="str">
        <f>IFERROR(INDEX(tblPiNAnalysis[WASH], MATCH(tblPiNHistorical[[#This Row],[ID]], tblPiNAnalysis[ID], 0)), "")</f>
        <v/>
      </c>
      <c r="AF311"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311" s="136" t="str">
        <f>IF(OR(tblPiNHistorical[[#This Row],[Education Old]]="", tblPiNHistorical[[#This Row],[Education Old]]=0, tblPiNHistorical[[#This Row],[Education New]]="", tblPiNHistorical[[#This Row],[Education New]]=0), "", tblPiNHistorical[[#This Row],[Education New]]-tblPiNHistorical[[#This Row],[Education Old]])</f>
        <v/>
      </c>
      <c r="AH311"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311" s="137" t="str">
        <f>IF(OR(tblPiNHistorical[[#This Row],[Health Old]]="", tblPiNHistorical[[#This Row],[Health Old]]=0, tblPiNHistorical[[#This Row],[Health New]]="", tblPiNHistorical[[#This Row],[Health New]]=0), "", tblPiNHistorical[[#This Row],[Health New]]-tblPiNHistorical[[#This Row],[Health Old]])</f>
        <v/>
      </c>
      <c r="AJ311" s="136" t="str">
        <f>IF(OR(tblPiNHistorical[[#This Row],[Nutrition Old]]="", tblPiNHistorical[[#This Row],[Nutrition Old]]=0, tblPiNHistorical[[#This Row],[Nutrition New]]="", tblPiNHistorical[[#This Row],[Nutrition New]]=0), "", tblPiNHistorical[[#This Row],[Nutrition New]]-tblPiNHistorical[[#This Row],[Nutrition Old]])</f>
        <v/>
      </c>
      <c r="AK311" s="136" t="str">
        <f>IF(OR(tblPiNHistorical[[#This Row],[Protection Old]]="", tblPiNHistorical[[#This Row],[Protection Old]]=0, tblPiNHistorical[[#This Row],[Protection New]]="", tblPiNHistorical[[#This Row],[Protection New]]=0), "", tblPiNHistorical[[#This Row],[Protection New]]-tblPiNHistorical[[#This Row],[Protection Old]])</f>
        <v/>
      </c>
      <c r="AL311" s="136" t="str">
        <f>IF(OR(tblPiNHistorical[[#This Row],[CP Old ]]="", tblPiNHistorical[[#This Row],[CP Old ]]=0, tblPiNHistorical[[#This Row],[CP New]]="", tblPiNHistorical[[#This Row],[CP New]]=0), "", tblPiNHistorical[[#This Row],[CP New]]-tblPiNHistorical[[#This Row],[CP Old ]])</f>
        <v/>
      </c>
      <c r="AM311" s="83" t="str">
        <f>IF(OR(tblPiNHistorical[[#This Row],[GBV Old]]="", tblPiNHistorical[[#This Row],[GBV Old]]=0, tblPiNHistorical[[#This Row],[GBV New]]="", tblPiNHistorical[[#This Row],[GBV New]]=0), "", tblPiNHistorical[[#This Row],[GBV New]]-tblPiNHistorical[[#This Row],[GBV Old]])</f>
        <v/>
      </c>
      <c r="AN311" s="83" t="str">
        <f>IF(OR(tblPiNHistorical[[#This Row],[Mine Action Old]]="", tblPiNHistorical[[#This Row],[Mine Action Old]]=0, tblPiNHistorical[[#This Row],[Mine Action New]]="", tblPiNHistorical[[#This Row],[Mine Action New]]=0), "", tblPiNHistorical[[#This Row],[Mine Action New]]-tblPiNHistorical[[#This Row],[Mine Action Old]])</f>
        <v/>
      </c>
      <c r="AO311" s="136" t="str">
        <f>IF(OR(tblPiNHistorical[[#This Row],[Shelter NFI Old]]="", tblPiNHistorical[[#This Row],[Shelter NFI Old]]=0, tblPiNHistorical[[#This Row],[Shelter NFI New]]="", tblPiNHistorical[[#This Row],[Shelter NFI New]]=0), "", tblPiNHistorical[[#This Row],[Shelter NFI New]]-tblPiNHistorical[[#This Row],[Shelter NFI Old]])</f>
        <v/>
      </c>
      <c r="AP311" s="138" t="str">
        <f>IF(OR(tblPiNHistorical[[#This Row],[WASH Old]]="", tblPiNHistorical[[#This Row],[WASH Old]]=0, tblPiNHistorical[[#This Row],[WASH New]]="", tblPiNHistorical[[#This Row],[WASH New]]=0), "", tblPiNHistorical[[#This Row],[WASH New]]-tblPiNHistorical[[#This Row],[WASH Old]])</f>
        <v/>
      </c>
      <c r="AQ311" s="139" t="str">
        <f>IFERROR(ROUND((tblPiNHistorical[[#This Row],[Site Management - New]] - tblPiNHistorical[[#This Row],[Site Management - Old]])/tblPiNHistorical[[#This Row],[Site Management - Old]], 1), "")</f>
        <v/>
      </c>
      <c r="AR311" s="140" t="str">
        <f>IFERROR(ROUND((tblPiNHistorical[[#This Row],[Education New]]-tblPiNHistorical[[#This Row],[Education Old]])/tblPiNHistorical[[#This Row],[Education Old]], 1), "")</f>
        <v/>
      </c>
      <c r="AS311" s="141" t="str">
        <f>IFERROR(ROUND((tblPiNHistorical[[#This Row],[Food Security and Livlihoods New]]-tblPiNHistorical[[#This Row],[Food Security and Livlihoods Old]])/tblPiNHistorical[[#This Row],[Food Security and Livlihoods Old]], 1), "")</f>
        <v/>
      </c>
      <c r="AT311" s="142" t="str">
        <f>IFERROR(ROUND((tblPiNHistorical[[#This Row],[Health New]]-tblPiNHistorical[[#This Row],[Health Old]])/tblPiNHistorical[[#This Row],[Health Old]], 1), "")</f>
        <v/>
      </c>
      <c r="AU311" s="140" t="str">
        <f>IFERROR(ROUND((tblPiNHistorical[[#This Row],[Nutrition New]]-tblPiNHistorical[[#This Row],[Nutrition Old]])/tblPiNHistorical[[#This Row],[Nutrition Old]], 1), "")</f>
        <v/>
      </c>
      <c r="AV311" s="140" t="str">
        <f>IFERROR(ROUND((tblPiNHistorical[[#This Row],[Protection New]]-tblPiNHistorical[[#This Row],[Protection Old]])/tblPiNHistorical[[#This Row],[Protection Old]], 1), "")</f>
        <v/>
      </c>
      <c r="AW311" s="84" t="str">
        <f>IFERROR(ROUND((tblPiNHistorical[[#This Row],[CP New]]-tblPiNHistorical[[#This Row],[CP Old ]])/tblPiNHistorical[[#This Row],[CP Old ]], 1), "")</f>
        <v/>
      </c>
      <c r="AX311" s="84" t="str">
        <f>IFERROR(ROUND((tblPiNHistorical[[#This Row],[GBV New]]-tblPiNHistorical[[#This Row],[GBV Old]])/tblPiNHistorical[[#This Row],[GBV Old]], 1), "")</f>
        <v/>
      </c>
      <c r="AY311" s="84" t="str">
        <f>IFERROR(ROUND((tblPiNHistorical[[#This Row],[Mine Action New]]-tblPiNHistorical[[#This Row],[Mine Action Old]])/tblPiNHistorical[[#This Row],[Mine Action Old]], 1), "")</f>
        <v/>
      </c>
      <c r="AZ311" s="140" t="str">
        <f>IFERROR(ROUND((tblPiNHistorical[[#This Row],[Shelter NFI New]]-tblPiNHistorical[[#This Row],[Shelter NFI Old]])/tblPiNHistorical[[#This Row],[Shelter NFI Old]], 1), "")</f>
        <v/>
      </c>
      <c r="BA311" s="31" t="str">
        <f>IFERROR(ROUND((tblPiNHistorical[[#This Row],[WASH New]]-tblPiNHistorical[[#This Row],[WASH Old]])/tblPiNHistorical[[#This Row],[WASH Old]], 1), "")</f>
        <v/>
      </c>
    </row>
    <row r="312" spans="1:53" ht="38.25" x14ac:dyDescent="0.25">
      <c r="A312"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RefugeesSD14038</v>
      </c>
      <c r="B312" s="134" t="s">
        <v>182</v>
      </c>
      <c r="C312" s="124" t="s">
        <v>131</v>
      </c>
      <c r="D312" s="124" t="s">
        <v>182</v>
      </c>
      <c r="E312" s="59" t="s">
        <v>485</v>
      </c>
      <c r="F312" s="54"/>
      <c r="G312" s="29"/>
      <c r="H312" s="53">
        <v>28</v>
      </c>
      <c r="I312" s="53" t="s">
        <v>90</v>
      </c>
      <c r="J312" s="34">
        <v>0</v>
      </c>
      <c r="K312" s="116">
        <v>0</v>
      </c>
      <c r="L312" s="114">
        <v>28</v>
      </c>
      <c r="M312" s="114">
        <v>14</v>
      </c>
      <c r="N312" s="114">
        <v>2</v>
      </c>
      <c r="O312" s="114">
        <v>28</v>
      </c>
      <c r="P312" s="114">
        <v>0.56000000000000005</v>
      </c>
      <c r="Q312" s="114">
        <v>3.8360000000000003</v>
      </c>
      <c r="R312" s="114">
        <v>0</v>
      </c>
      <c r="S312" s="114">
        <v>0</v>
      </c>
      <c r="T312" s="196">
        <v>10</v>
      </c>
      <c r="U312" s="52" t="str">
        <f>IFERROR(INDEX(tblPiNAnalysis[[Site Management ]], MATCH(tblPiNHistorical[[#This Row],[ID]], tblPiNAnalysis[ID], 0)), "")</f>
        <v/>
      </c>
      <c r="V312" s="52" t="str">
        <f>IFERROR(INDEX(tblPiNAnalysis[Education], MATCH(tblPiNHistorical[[#This Row],[ID]], tblPiNAnalysis[ID], 0)), "")</f>
        <v/>
      </c>
      <c r="W312" s="28" t="str">
        <f>IFERROR(INDEX(tblPiNAnalysis[Food Security and Livlihoods], MATCH(tblPiNHistorical[[#This Row],[ID]], tblPiNAnalysis[ID], 0)), "")</f>
        <v/>
      </c>
      <c r="X312" s="28" t="str">
        <f>IFERROR(INDEX(tblPiNAnalysis[[Health ]], MATCH(tblPiNHistorical[[#This Row],[ID]], tblPiNAnalysis[ID], 0)), "")</f>
        <v/>
      </c>
      <c r="Y312" s="28" t="str">
        <f>IFERROR(INDEX(tblPiNAnalysis[Nutrition], MATCH(tblPiNHistorical[[#This Row],[ID]], tblPiNAnalysis[ID], 0)), "")</f>
        <v/>
      </c>
      <c r="Z312" s="28" t="str">
        <f>IFERROR(INDEX(tblPiNAnalysis[Protection], MATCH(tblPiNHistorical[[#This Row],[ID]], tblPiNAnalysis[ID], 0)), "")</f>
        <v/>
      </c>
      <c r="AA312" s="28" t="str">
        <f>IFERROR(INDEX(tblPiNAnalysis[CP], MATCH(tblPiNHistorical[[#This Row],[ID]], tblPiNAnalysis[ID], 0)), "")</f>
        <v/>
      </c>
      <c r="AB312" s="83" t="str">
        <f>IFERROR(INDEX(tblPiNAnalysis[GBV], MATCH(tblPiNHistorical[[#This Row],[ID]], tblPiNAnalysis[ID], 0)), "")</f>
        <v/>
      </c>
      <c r="AC312" s="28" t="str">
        <f>IFERROR(INDEX(tblPiNAnalysis[Mine Action], MATCH(tblPiNHistorical[[#This Row],[ID]], tblPiNAnalysis[ID], 0)), "")</f>
        <v/>
      </c>
      <c r="AD312" s="83" t="str">
        <f>IFERROR(INDEX(tblPiNAnalysis[[Shelter NFI ]], MATCH(tblPiNHistorical[[#This Row],[ID]], tblPiNAnalysis[ID], 0)), "")</f>
        <v/>
      </c>
      <c r="AE312" s="28" t="str">
        <f>IFERROR(INDEX(tblPiNAnalysis[WASH], MATCH(tblPiNHistorical[[#This Row],[ID]], tblPiNAnalysis[ID], 0)), "")</f>
        <v/>
      </c>
      <c r="AF312"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312" s="136" t="str">
        <f>IF(OR(tblPiNHistorical[[#This Row],[Education Old]]="", tblPiNHistorical[[#This Row],[Education Old]]=0, tblPiNHistorical[[#This Row],[Education New]]="", tblPiNHistorical[[#This Row],[Education New]]=0), "", tblPiNHistorical[[#This Row],[Education New]]-tblPiNHistorical[[#This Row],[Education Old]])</f>
        <v/>
      </c>
      <c r="AH312"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312" s="137" t="str">
        <f>IF(OR(tblPiNHistorical[[#This Row],[Health Old]]="", tblPiNHistorical[[#This Row],[Health Old]]=0, tblPiNHistorical[[#This Row],[Health New]]="", tblPiNHistorical[[#This Row],[Health New]]=0), "", tblPiNHistorical[[#This Row],[Health New]]-tblPiNHistorical[[#This Row],[Health Old]])</f>
        <v/>
      </c>
      <c r="AJ312" s="136" t="str">
        <f>IF(OR(tblPiNHistorical[[#This Row],[Nutrition Old]]="", tblPiNHistorical[[#This Row],[Nutrition Old]]=0, tblPiNHistorical[[#This Row],[Nutrition New]]="", tblPiNHistorical[[#This Row],[Nutrition New]]=0), "", tblPiNHistorical[[#This Row],[Nutrition New]]-tblPiNHistorical[[#This Row],[Nutrition Old]])</f>
        <v/>
      </c>
      <c r="AK312" s="136" t="str">
        <f>IF(OR(tblPiNHistorical[[#This Row],[Protection Old]]="", tblPiNHistorical[[#This Row],[Protection Old]]=0, tblPiNHistorical[[#This Row],[Protection New]]="", tblPiNHistorical[[#This Row],[Protection New]]=0), "", tblPiNHistorical[[#This Row],[Protection New]]-tblPiNHistorical[[#This Row],[Protection Old]])</f>
        <v/>
      </c>
      <c r="AL312" s="136" t="str">
        <f>IF(OR(tblPiNHistorical[[#This Row],[CP Old ]]="", tblPiNHistorical[[#This Row],[CP Old ]]=0, tblPiNHistorical[[#This Row],[CP New]]="", tblPiNHistorical[[#This Row],[CP New]]=0), "", tblPiNHistorical[[#This Row],[CP New]]-tblPiNHistorical[[#This Row],[CP Old ]])</f>
        <v/>
      </c>
      <c r="AM312" s="83" t="str">
        <f>IF(OR(tblPiNHistorical[[#This Row],[GBV Old]]="", tblPiNHistorical[[#This Row],[GBV Old]]=0, tblPiNHistorical[[#This Row],[GBV New]]="", tblPiNHistorical[[#This Row],[GBV New]]=0), "", tblPiNHistorical[[#This Row],[GBV New]]-tblPiNHistorical[[#This Row],[GBV Old]])</f>
        <v/>
      </c>
      <c r="AN312" s="83" t="str">
        <f>IF(OR(tblPiNHistorical[[#This Row],[Mine Action Old]]="", tblPiNHistorical[[#This Row],[Mine Action Old]]=0, tblPiNHistorical[[#This Row],[Mine Action New]]="", tblPiNHistorical[[#This Row],[Mine Action New]]=0), "", tblPiNHistorical[[#This Row],[Mine Action New]]-tblPiNHistorical[[#This Row],[Mine Action Old]])</f>
        <v/>
      </c>
      <c r="AO312" s="136" t="str">
        <f>IF(OR(tblPiNHistorical[[#This Row],[Shelter NFI Old]]="", tblPiNHistorical[[#This Row],[Shelter NFI Old]]=0, tblPiNHistorical[[#This Row],[Shelter NFI New]]="", tblPiNHistorical[[#This Row],[Shelter NFI New]]=0), "", tblPiNHistorical[[#This Row],[Shelter NFI New]]-tblPiNHistorical[[#This Row],[Shelter NFI Old]])</f>
        <v/>
      </c>
      <c r="AP312" s="138" t="str">
        <f>IF(OR(tblPiNHistorical[[#This Row],[WASH Old]]="", tblPiNHistorical[[#This Row],[WASH Old]]=0, tblPiNHistorical[[#This Row],[WASH New]]="", tblPiNHistorical[[#This Row],[WASH New]]=0), "", tblPiNHistorical[[#This Row],[WASH New]]-tblPiNHistorical[[#This Row],[WASH Old]])</f>
        <v/>
      </c>
      <c r="AQ312" s="139" t="str">
        <f>IFERROR(ROUND((tblPiNHistorical[[#This Row],[Site Management - New]] - tblPiNHistorical[[#This Row],[Site Management - Old]])/tblPiNHistorical[[#This Row],[Site Management - Old]], 1), "")</f>
        <v/>
      </c>
      <c r="AR312" s="140" t="str">
        <f>IFERROR(ROUND((tblPiNHistorical[[#This Row],[Education New]]-tblPiNHistorical[[#This Row],[Education Old]])/tblPiNHistorical[[#This Row],[Education Old]], 1), "")</f>
        <v/>
      </c>
      <c r="AS312" s="141" t="str">
        <f>IFERROR(ROUND((tblPiNHistorical[[#This Row],[Food Security and Livlihoods New]]-tblPiNHistorical[[#This Row],[Food Security and Livlihoods Old]])/tblPiNHistorical[[#This Row],[Food Security and Livlihoods Old]], 1), "")</f>
        <v/>
      </c>
      <c r="AT312" s="142" t="str">
        <f>IFERROR(ROUND((tblPiNHistorical[[#This Row],[Health New]]-tblPiNHistorical[[#This Row],[Health Old]])/tblPiNHistorical[[#This Row],[Health Old]], 1), "")</f>
        <v/>
      </c>
      <c r="AU312" s="140" t="str">
        <f>IFERROR(ROUND((tblPiNHistorical[[#This Row],[Nutrition New]]-tblPiNHistorical[[#This Row],[Nutrition Old]])/tblPiNHistorical[[#This Row],[Nutrition Old]], 1), "")</f>
        <v/>
      </c>
      <c r="AV312" s="140" t="str">
        <f>IFERROR(ROUND((tblPiNHistorical[[#This Row],[Protection New]]-tblPiNHistorical[[#This Row],[Protection Old]])/tblPiNHistorical[[#This Row],[Protection Old]], 1), "")</f>
        <v/>
      </c>
      <c r="AW312" s="84" t="str">
        <f>IFERROR(ROUND((tblPiNHistorical[[#This Row],[CP New]]-tblPiNHistorical[[#This Row],[CP Old ]])/tblPiNHistorical[[#This Row],[CP Old ]], 1), "")</f>
        <v/>
      </c>
      <c r="AX312" s="84" t="str">
        <f>IFERROR(ROUND((tblPiNHistorical[[#This Row],[GBV New]]-tblPiNHistorical[[#This Row],[GBV Old]])/tblPiNHistorical[[#This Row],[GBV Old]], 1), "")</f>
        <v/>
      </c>
      <c r="AY312" s="84" t="str">
        <f>IFERROR(ROUND((tblPiNHistorical[[#This Row],[Mine Action New]]-tblPiNHistorical[[#This Row],[Mine Action Old]])/tblPiNHistorical[[#This Row],[Mine Action Old]], 1), "")</f>
        <v/>
      </c>
      <c r="AZ312" s="140" t="str">
        <f>IFERROR(ROUND((tblPiNHistorical[[#This Row],[Shelter NFI New]]-tblPiNHistorical[[#This Row],[Shelter NFI Old]])/tblPiNHistorical[[#This Row],[Shelter NFI Old]], 1), "")</f>
        <v/>
      </c>
      <c r="BA312" s="31" t="str">
        <f>IFERROR(ROUND((tblPiNHistorical[[#This Row],[WASH New]]-tblPiNHistorical[[#This Row],[WASH Old]])/tblPiNHistorical[[#This Row],[WASH Old]], 1), "")</f>
        <v/>
      </c>
    </row>
    <row r="313" spans="1:53" ht="38.25" x14ac:dyDescent="0.25">
      <c r="A313"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RefugeesSD14042</v>
      </c>
      <c r="B313" s="134" t="s">
        <v>182</v>
      </c>
      <c r="C313" s="124" t="s">
        <v>131</v>
      </c>
      <c r="D313" s="124" t="s">
        <v>492</v>
      </c>
      <c r="E313" s="59" t="s">
        <v>493</v>
      </c>
      <c r="F313" s="54"/>
      <c r="G313" s="29"/>
      <c r="H313" s="53">
        <v>0</v>
      </c>
      <c r="I313" s="53" t="s">
        <v>90</v>
      </c>
      <c r="J313" s="34">
        <v>0</v>
      </c>
      <c r="K313" s="116">
        <v>0</v>
      </c>
      <c r="L313" s="114">
        <v>0</v>
      </c>
      <c r="M313" s="114">
        <v>0</v>
      </c>
      <c r="N313" s="114">
        <v>0</v>
      </c>
      <c r="O313" s="114">
        <v>0</v>
      </c>
      <c r="P313" s="114">
        <v>0</v>
      </c>
      <c r="Q313" s="114">
        <v>0</v>
      </c>
      <c r="R313" s="114">
        <v>0</v>
      </c>
      <c r="S313" s="114">
        <v>0</v>
      </c>
      <c r="T313" s="196">
        <v>0</v>
      </c>
      <c r="U313" s="52" t="str">
        <f>IFERROR(INDEX(tblPiNAnalysis[[Site Management ]], MATCH(tblPiNHistorical[[#This Row],[ID]], tblPiNAnalysis[ID], 0)), "")</f>
        <v/>
      </c>
      <c r="V313" s="52" t="str">
        <f>IFERROR(INDEX(tblPiNAnalysis[Education], MATCH(tblPiNHistorical[[#This Row],[ID]], tblPiNAnalysis[ID], 0)), "")</f>
        <v/>
      </c>
      <c r="W313" s="28" t="str">
        <f>IFERROR(INDEX(tblPiNAnalysis[Food Security and Livlihoods], MATCH(tblPiNHistorical[[#This Row],[ID]], tblPiNAnalysis[ID], 0)), "")</f>
        <v/>
      </c>
      <c r="X313" s="28" t="str">
        <f>IFERROR(INDEX(tblPiNAnalysis[[Health ]], MATCH(tblPiNHistorical[[#This Row],[ID]], tblPiNAnalysis[ID], 0)), "")</f>
        <v/>
      </c>
      <c r="Y313" s="28" t="str">
        <f>IFERROR(INDEX(tblPiNAnalysis[Nutrition], MATCH(tblPiNHistorical[[#This Row],[ID]], tblPiNAnalysis[ID], 0)), "")</f>
        <v/>
      </c>
      <c r="Z313" s="28" t="str">
        <f>IFERROR(INDEX(tblPiNAnalysis[Protection], MATCH(tblPiNHistorical[[#This Row],[ID]], tblPiNAnalysis[ID], 0)), "")</f>
        <v/>
      </c>
      <c r="AA313" s="28" t="str">
        <f>IFERROR(INDEX(tblPiNAnalysis[CP], MATCH(tblPiNHistorical[[#This Row],[ID]], tblPiNAnalysis[ID], 0)), "")</f>
        <v/>
      </c>
      <c r="AB313" s="83" t="str">
        <f>IFERROR(INDEX(tblPiNAnalysis[GBV], MATCH(tblPiNHistorical[[#This Row],[ID]], tblPiNAnalysis[ID], 0)), "")</f>
        <v/>
      </c>
      <c r="AC313" s="28" t="str">
        <f>IFERROR(INDEX(tblPiNAnalysis[Mine Action], MATCH(tblPiNHistorical[[#This Row],[ID]], tblPiNAnalysis[ID], 0)), "")</f>
        <v/>
      </c>
      <c r="AD313" s="83" t="str">
        <f>IFERROR(INDEX(tblPiNAnalysis[[Shelter NFI ]], MATCH(tblPiNHistorical[[#This Row],[ID]], tblPiNAnalysis[ID], 0)), "")</f>
        <v/>
      </c>
      <c r="AE313" s="28" t="str">
        <f>IFERROR(INDEX(tblPiNAnalysis[WASH], MATCH(tblPiNHistorical[[#This Row],[ID]], tblPiNAnalysis[ID], 0)), "")</f>
        <v/>
      </c>
      <c r="AF313"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313" s="136" t="str">
        <f>IF(OR(tblPiNHistorical[[#This Row],[Education Old]]="", tblPiNHistorical[[#This Row],[Education Old]]=0, tblPiNHistorical[[#This Row],[Education New]]="", tblPiNHistorical[[#This Row],[Education New]]=0), "", tblPiNHistorical[[#This Row],[Education New]]-tblPiNHistorical[[#This Row],[Education Old]])</f>
        <v/>
      </c>
      <c r="AH313"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313" s="137" t="str">
        <f>IF(OR(tblPiNHistorical[[#This Row],[Health Old]]="", tblPiNHistorical[[#This Row],[Health Old]]=0, tblPiNHistorical[[#This Row],[Health New]]="", tblPiNHistorical[[#This Row],[Health New]]=0), "", tblPiNHistorical[[#This Row],[Health New]]-tblPiNHistorical[[#This Row],[Health Old]])</f>
        <v/>
      </c>
      <c r="AJ313" s="136" t="str">
        <f>IF(OR(tblPiNHistorical[[#This Row],[Nutrition Old]]="", tblPiNHistorical[[#This Row],[Nutrition Old]]=0, tblPiNHistorical[[#This Row],[Nutrition New]]="", tblPiNHistorical[[#This Row],[Nutrition New]]=0), "", tblPiNHistorical[[#This Row],[Nutrition New]]-tblPiNHistorical[[#This Row],[Nutrition Old]])</f>
        <v/>
      </c>
      <c r="AK313" s="136" t="str">
        <f>IF(OR(tblPiNHistorical[[#This Row],[Protection Old]]="", tblPiNHistorical[[#This Row],[Protection Old]]=0, tblPiNHistorical[[#This Row],[Protection New]]="", tblPiNHistorical[[#This Row],[Protection New]]=0), "", tblPiNHistorical[[#This Row],[Protection New]]-tblPiNHistorical[[#This Row],[Protection Old]])</f>
        <v/>
      </c>
      <c r="AL313" s="136" t="str">
        <f>IF(OR(tblPiNHistorical[[#This Row],[CP Old ]]="", tblPiNHistorical[[#This Row],[CP Old ]]=0, tblPiNHistorical[[#This Row],[CP New]]="", tblPiNHistorical[[#This Row],[CP New]]=0), "", tblPiNHistorical[[#This Row],[CP New]]-tblPiNHistorical[[#This Row],[CP Old ]])</f>
        <v/>
      </c>
      <c r="AM313" s="83" t="str">
        <f>IF(OR(tblPiNHistorical[[#This Row],[GBV Old]]="", tblPiNHistorical[[#This Row],[GBV Old]]=0, tblPiNHistorical[[#This Row],[GBV New]]="", tblPiNHistorical[[#This Row],[GBV New]]=0), "", tblPiNHistorical[[#This Row],[GBV New]]-tblPiNHistorical[[#This Row],[GBV Old]])</f>
        <v/>
      </c>
      <c r="AN313" s="83" t="str">
        <f>IF(OR(tblPiNHistorical[[#This Row],[Mine Action Old]]="", tblPiNHistorical[[#This Row],[Mine Action Old]]=0, tblPiNHistorical[[#This Row],[Mine Action New]]="", tblPiNHistorical[[#This Row],[Mine Action New]]=0), "", tblPiNHistorical[[#This Row],[Mine Action New]]-tblPiNHistorical[[#This Row],[Mine Action Old]])</f>
        <v/>
      </c>
      <c r="AO313" s="136" t="str">
        <f>IF(OR(tblPiNHistorical[[#This Row],[Shelter NFI Old]]="", tblPiNHistorical[[#This Row],[Shelter NFI Old]]=0, tblPiNHistorical[[#This Row],[Shelter NFI New]]="", tblPiNHistorical[[#This Row],[Shelter NFI New]]=0), "", tblPiNHistorical[[#This Row],[Shelter NFI New]]-tblPiNHistorical[[#This Row],[Shelter NFI Old]])</f>
        <v/>
      </c>
      <c r="AP313" s="138" t="str">
        <f>IF(OR(tblPiNHistorical[[#This Row],[WASH Old]]="", tblPiNHistorical[[#This Row],[WASH Old]]=0, tblPiNHistorical[[#This Row],[WASH New]]="", tblPiNHistorical[[#This Row],[WASH New]]=0), "", tblPiNHistorical[[#This Row],[WASH New]]-tblPiNHistorical[[#This Row],[WASH Old]])</f>
        <v/>
      </c>
      <c r="AQ313" s="139" t="str">
        <f>IFERROR(ROUND((tblPiNHistorical[[#This Row],[Site Management - New]] - tblPiNHistorical[[#This Row],[Site Management - Old]])/tblPiNHistorical[[#This Row],[Site Management - Old]], 1), "")</f>
        <v/>
      </c>
      <c r="AR313" s="140" t="str">
        <f>IFERROR(ROUND((tblPiNHistorical[[#This Row],[Education New]]-tblPiNHistorical[[#This Row],[Education Old]])/tblPiNHistorical[[#This Row],[Education Old]], 1), "")</f>
        <v/>
      </c>
      <c r="AS313" s="141" t="str">
        <f>IFERROR(ROUND((tblPiNHistorical[[#This Row],[Food Security and Livlihoods New]]-tblPiNHistorical[[#This Row],[Food Security and Livlihoods Old]])/tblPiNHistorical[[#This Row],[Food Security and Livlihoods Old]], 1), "")</f>
        <v/>
      </c>
      <c r="AT313" s="142" t="str">
        <f>IFERROR(ROUND((tblPiNHistorical[[#This Row],[Health New]]-tblPiNHistorical[[#This Row],[Health Old]])/tblPiNHistorical[[#This Row],[Health Old]], 1), "")</f>
        <v/>
      </c>
      <c r="AU313" s="140" t="str">
        <f>IFERROR(ROUND((tblPiNHistorical[[#This Row],[Nutrition New]]-tblPiNHistorical[[#This Row],[Nutrition Old]])/tblPiNHistorical[[#This Row],[Nutrition Old]], 1), "")</f>
        <v/>
      </c>
      <c r="AV313" s="140" t="str">
        <f>IFERROR(ROUND((tblPiNHistorical[[#This Row],[Protection New]]-tblPiNHistorical[[#This Row],[Protection Old]])/tblPiNHistorical[[#This Row],[Protection Old]], 1), "")</f>
        <v/>
      </c>
      <c r="AW313" s="84" t="str">
        <f>IFERROR(ROUND((tblPiNHistorical[[#This Row],[CP New]]-tblPiNHistorical[[#This Row],[CP Old ]])/tblPiNHistorical[[#This Row],[CP Old ]], 1), "")</f>
        <v/>
      </c>
      <c r="AX313" s="84" t="str">
        <f>IFERROR(ROUND((tblPiNHistorical[[#This Row],[GBV New]]-tblPiNHistorical[[#This Row],[GBV Old]])/tblPiNHistorical[[#This Row],[GBV Old]], 1), "")</f>
        <v/>
      </c>
      <c r="AY313" s="84" t="str">
        <f>IFERROR(ROUND((tblPiNHistorical[[#This Row],[Mine Action New]]-tblPiNHistorical[[#This Row],[Mine Action Old]])/tblPiNHistorical[[#This Row],[Mine Action Old]], 1), "")</f>
        <v/>
      </c>
      <c r="AZ313" s="140" t="str">
        <f>IFERROR(ROUND((tblPiNHistorical[[#This Row],[Shelter NFI New]]-tblPiNHistorical[[#This Row],[Shelter NFI Old]])/tblPiNHistorical[[#This Row],[Shelter NFI Old]], 1), "")</f>
        <v/>
      </c>
      <c r="BA313" s="31" t="str">
        <f>IFERROR(ROUND((tblPiNHistorical[[#This Row],[WASH New]]-tblPiNHistorical[[#This Row],[WASH Old]])/tblPiNHistorical[[#This Row],[WASH Old]], 1), "")</f>
        <v/>
      </c>
    </row>
    <row r="314" spans="1:53" ht="38.25" x14ac:dyDescent="0.25">
      <c r="A314"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RefugeesSD14043</v>
      </c>
      <c r="B314" s="134" t="s">
        <v>182</v>
      </c>
      <c r="C314" s="124" t="s">
        <v>131</v>
      </c>
      <c r="D314" s="124" t="s">
        <v>494</v>
      </c>
      <c r="E314" s="59" t="s">
        <v>495</v>
      </c>
      <c r="F314" s="54"/>
      <c r="G314" s="29"/>
      <c r="H314" s="53">
        <v>9</v>
      </c>
      <c r="I314" s="53" t="s">
        <v>90</v>
      </c>
      <c r="J314" s="34">
        <v>0</v>
      </c>
      <c r="K314" s="116">
        <v>0</v>
      </c>
      <c r="L314" s="114">
        <v>9</v>
      </c>
      <c r="M314" s="114">
        <v>6</v>
      </c>
      <c r="N314" s="114">
        <v>1</v>
      </c>
      <c r="O314" s="114">
        <v>9</v>
      </c>
      <c r="P314" s="114">
        <v>0.18</v>
      </c>
      <c r="Q314" s="114">
        <v>1.2330000000000001</v>
      </c>
      <c r="R314" s="114">
        <v>0</v>
      </c>
      <c r="S314" s="114">
        <v>0</v>
      </c>
      <c r="T314" s="196">
        <v>4</v>
      </c>
      <c r="U314" s="52" t="str">
        <f>IFERROR(INDEX(tblPiNAnalysis[[Site Management ]], MATCH(tblPiNHistorical[[#This Row],[ID]], tblPiNAnalysis[ID], 0)), "")</f>
        <v/>
      </c>
      <c r="V314" s="52" t="str">
        <f>IFERROR(INDEX(tblPiNAnalysis[Education], MATCH(tblPiNHistorical[[#This Row],[ID]], tblPiNAnalysis[ID], 0)), "")</f>
        <v/>
      </c>
      <c r="W314" s="28" t="str">
        <f>IFERROR(INDEX(tblPiNAnalysis[Food Security and Livlihoods], MATCH(tblPiNHistorical[[#This Row],[ID]], tblPiNAnalysis[ID], 0)), "")</f>
        <v/>
      </c>
      <c r="X314" s="28" t="str">
        <f>IFERROR(INDEX(tblPiNAnalysis[[Health ]], MATCH(tblPiNHistorical[[#This Row],[ID]], tblPiNAnalysis[ID], 0)), "")</f>
        <v/>
      </c>
      <c r="Y314" s="28" t="str">
        <f>IFERROR(INDEX(tblPiNAnalysis[Nutrition], MATCH(tblPiNHistorical[[#This Row],[ID]], tblPiNAnalysis[ID], 0)), "")</f>
        <v/>
      </c>
      <c r="Z314" s="28" t="str">
        <f>IFERROR(INDEX(tblPiNAnalysis[Protection], MATCH(tblPiNHistorical[[#This Row],[ID]], tblPiNAnalysis[ID], 0)), "")</f>
        <v/>
      </c>
      <c r="AA314" s="28" t="str">
        <f>IFERROR(INDEX(tblPiNAnalysis[CP], MATCH(tblPiNHistorical[[#This Row],[ID]], tblPiNAnalysis[ID], 0)), "")</f>
        <v/>
      </c>
      <c r="AB314" s="83" t="str">
        <f>IFERROR(INDEX(tblPiNAnalysis[GBV], MATCH(tblPiNHistorical[[#This Row],[ID]], tblPiNAnalysis[ID], 0)), "")</f>
        <v/>
      </c>
      <c r="AC314" s="28" t="str">
        <f>IFERROR(INDEX(tblPiNAnalysis[Mine Action], MATCH(tblPiNHistorical[[#This Row],[ID]], tblPiNAnalysis[ID], 0)), "")</f>
        <v/>
      </c>
      <c r="AD314" s="83" t="str">
        <f>IFERROR(INDEX(tblPiNAnalysis[[Shelter NFI ]], MATCH(tblPiNHistorical[[#This Row],[ID]], tblPiNAnalysis[ID], 0)), "")</f>
        <v/>
      </c>
      <c r="AE314" s="28" t="str">
        <f>IFERROR(INDEX(tblPiNAnalysis[WASH], MATCH(tblPiNHistorical[[#This Row],[ID]], tblPiNAnalysis[ID], 0)), "")</f>
        <v/>
      </c>
      <c r="AF314"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314" s="136" t="str">
        <f>IF(OR(tblPiNHistorical[[#This Row],[Education Old]]="", tblPiNHistorical[[#This Row],[Education Old]]=0, tblPiNHistorical[[#This Row],[Education New]]="", tblPiNHistorical[[#This Row],[Education New]]=0), "", tblPiNHistorical[[#This Row],[Education New]]-tblPiNHistorical[[#This Row],[Education Old]])</f>
        <v/>
      </c>
      <c r="AH314"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314" s="137" t="str">
        <f>IF(OR(tblPiNHistorical[[#This Row],[Health Old]]="", tblPiNHistorical[[#This Row],[Health Old]]=0, tblPiNHistorical[[#This Row],[Health New]]="", tblPiNHistorical[[#This Row],[Health New]]=0), "", tblPiNHistorical[[#This Row],[Health New]]-tblPiNHistorical[[#This Row],[Health Old]])</f>
        <v/>
      </c>
      <c r="AJ314" s="136" t="str">
        <f>IF(OR(tblPiNHistorical[[#This Row],[Nutrition Old]]="", tblPiNHistorical[[#This Row],[Nutrition Old]]=0, tblPiNHistorical[[#This Row],[Nutrition New]]="", tblPiNHistorical[[#This Row],[Nutrition New]]=0), "", tblPiNHistorical[[#This Row],[Nutrition New]]-tblPiNHistorical[[#This Row],[Nutrition Old]])</f>
        <v/>
      </c>
      <c r="AK314" s="136" t="str">
        <f>IF(OR(tblPiNHistorical[[#This Row],[Protection Old]]="", tblPiNHistorical[[#This Row],[Protection Old]]=0, tblPiNHistorical[[#This Row],[Protection New]]="", tblPiNHistorical[[#This Row],[Protection New]]=0), "", tblPiNHistorical[[#This Row],[Protection New]]-tblPiNHistorical[[#This Row],[Protection Old]])</f>
        <v/>
      </c>
      <c r="AL314" s="136" t="str">
        <f>IF(OR(tblPiNHistorical[[#This Row],[CP Old ]]="", tblPiNHistorical[[#This Row],[CP Old ]]=0, tblPiNHistorical[[#This Row],[CP New]]="", tblPiNHistorical[[#This Row],[CP New]]=0), "", tblPiNHistorical[[#This Row],[CP New]]-tblPiNHistorical[[#This Row],[CP Old ]])</f>
        <v/>
      </c>
      <c r="AM314" s="83" t="str">
        <f>IF(OR(tblPiNHistorical[[#This Row],[GBV Old]]="", tblPiNHistorical[[#This Row],[GBV Old]]=0, tblPiNHistorical[[#This Row],[GBV New]]="", tblPiNHistorical[[#This Row],[GBV New]]=0), "", tblPiNHistorical[[#This Row],[GBV New]]-tblPiNHistorical[[#This Row],[GBV Old]])</f>
        <v/>
      </c>
      <c r="AN314" s="83" t="str">
        <f>IF(OR(tblPiNHistorical[[#This Row],[Mine Action Old]]="", tblPiNHistorical[[#This Row],[Mine Action Old]]=0, tblPiNHistorical[[#This Row],[Mine Action New]]="", tblPiNHistorical[[#This Row],[Mine Action New]]=0), "", tblPiNHistorical[[#This Row],[Mine Action New]]-tblPiNHistorical[[#This Row],[Mine Action Old]])</f>
        <v/>
      </c>
      <c r="AO314" s="136" t="str">
        <f>IF(OR(tblPiNHistorical[[#This Row],[Shelter NFI Old]]="", tblPiNHistorical[[#This Row],[Shelter NFI Old]]=0, tblPiNHistorical[[#This Row],[Shelter NFI New]]="", tblPiNHistorical[[#This Row],[Shelter NFI New]]=0), "", tblPiNHistorical[[#This Row],[Shelter NFI New]]-tblPiNHistorical[[#This Row],[Shelter NFI Old]])</f>
        <v/>
      </c>
      <c r="AP314" s="138" t="str">
        <f>IF(OR(tblPiNHistorical[[#This Row],[WASH Old]]="", tblPiNHistorical[[#This Row],[WASH Old]]=0, tblPiNHistorical[[#This Row],[WASH New]]="", tblPiNHistorical[[#This Row],[WASH New]]=0), "", tblPiNHistorical[[#This Row],[WASH New]]-tblPiNHistorical[[#This Row],[WASH Old]])</f>
        <v/>
      </c>
      <c r="AQ314" s="139" t="str">
        <f>IFERROR(ROUND((tblPiNHistorical[[#This Row],[Site Management - New]] - tblPiNHistorical[[#This Row],[Site Management - Old]])/tblPiNHistorical[[#This Row],[Site Management - Old]], 1), "")</f>
        <v/>
      </c>
      <c r="AR314" s="140" t="str">
        <f>IFERROR(ROUND((tblPiNHistorical[[#This Row],[Education New]]-tblPiNHistorical[[#This Row],[Education Old]])/tblPiNHistorical[[#This Row],[Education Old]], 1), "")</f>
        <v/>
      </c>
      <c r="AS314" s="141" t="str">
        <f>IFERROR(ROUND((tblPiNHistorical[[#This Row],[Food Security and Livlihoods New]]-tblPiNHistorical[[#This Row],[Food Security and Livlihoods Old]])/tblPiNHistorical[[#This Row],[Food Security and Livlihoods Old]], 1), "")</f>
        <v/>
      </c>
      <c r="AT314" s="142" t="str">
        <f>IFERROR(ROUND((tblPiNHistorical[[#This Row],[Health New]]-tblPiNHistorical[[#This Row],[Health Old]])/tblPiNHistorical[[#This Row],[Health Old]], 1), "")</f>
        <v/>
      </c>
      <c r="AU314" s="140" t="str">
        <f>IFERROR(ROUND((tblPiNHistorical[[#This Row],[Nutrition New]]-tblPiNHistorical[[#This Row],[Nutrition Old]])/tblPiNHistorical[[#This Row],[Nutrition Old]], 1), "")</f>
        <v/>
      </c>
      <c r="AV314" s="140" t="str">
        <f>IFERROR(ROUND((tblPiNHistorical[[#This Row],[Protection New]]-tblPiNHistorical[[#This Row],[Protection Old]])/tblPiNHistorical[[#This Row],[Protection Old]], 1), "")</f>
        <v/>
      </c>
      <c r="AW314" s="84" t="str">
        <f>IFERROR(ROUND((tblPiNHistorical[[#This Row],[CP New]]-tblPiNHistorical[[#This Row],[CP Old ]])/tblPiNHistorical[[#This Row],[CP Old ]], 1), "")</f>
        <v/>
      </c>
      <c r="AX314" s="84" t="str">
        <f>IFERROR(ROUND((tblPiNHistorical[[#This Row],[GBV New]]-tblPiNHistorical[[#This Row],[GBV Old]])/tblPiNHistorical[[#This Row],[GBV Old]], 1), "")</f>
        <v/>
      </c>
      <c r="AY314" s="84" t="str">
        <f>IFERROR(ROUND((tblPiNHistorical[[#This Row],[Mine Action New]]-tblPiNHistorical[[#This Row],[Mine Action Old]])/tblPiNHistorical[[#This Row],[Mine Action Old]], 1), "")</f>
        <v/>
      </c>
      <c r="AZ314" s="140" t="str">
        <f>IFERROR(ROUND((tblPiNHistorical[[#This Row],[Shelter NFI New]]-tblPiNHistorical[[#This Row],[Shelter NFI Old]])/tblPiNHistorical[[#This Row],[Shelter NFI Old]], 1), "")</f>
        <v/>
      </c>
      <c r="BA314" s="31" t="str">
        <f>IFERROR(ROUND((tblPiNHistorical[[#This Row],[WASH New]]-tblPiNHistorical[[#This Row],[WASH Old]])/tblPiNHistorical[[#This Row],[WASH Old]], 1), "")</f>
        <v/>
      </c>
    </row>
    <row r="315" spans="1:53" ht="38.25" x14ac:dyDescent="0.25">
      <c r="A315"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RefugeesSD03141</v>
      </c>
      <c r="B315" s="134" t="s">
        <v>185</v>
      </c>
      <c r="C315" s="124" t="s">
        <v>120</v>
      </c>
      <c r="D315" s="124" t="s">
        <v>233</v>
      </c>
      <c r="E315" s="59" t="s">
        <v>232</v>
      </c>
      <c r="F315" s="54"/>
      <c r="G315" s="29"/>
      <c r="H315" s="53">
        <v>16268</v>
      </c>
      <c r="I315" s="53" t="s">
        <v>90</v>
      </c>
      <c r="J315" s="34">
        <v>0</v>
      </c>
      <c r="K315" s="116">
        <v>7603</v>
      </c>
      <c r="L315" s="114">
        <v>16268</v>
      </c>
      <c r="M315" s="114">
        <v>7971</v>
      </c>
      <c r="N315" s="114">
        <v>1485</v>
      </c>
      <c r="O315" s="114">
        <v>16268</v>
      </c>
      <c r="P315" s="114">
        <v>1577.9960000000001</v>
      </c>
      <c r="Q315" s="114">
        <v>7239.26</v>
      </c>
      <c r="R315" s="114">
        <v>0</v>
      </c>
      <c r="S315" s="114">
        <v>9761</v>
      </c>
      <c r="T315" s="196">
        <v>14137</v>
      </c>
      <c r="U315" s="52" t="str">
        <f>IFERROR(INDEX(tblPiNAnalysis[[Site Management ]], MATCH(tblPiNHistorical[[#This Row],[ID]], tblPiNAnalysis[ID], 0)), "")</f>
        <v/>
      </c>
      <c r="V315" s="52" t="str">
        <f>IFERROR(INDEX(tblPiNAnalysis[Education], MATCH(tblPiNHistorical[[#This Row],[ID]], tblPiNAnalysis[ID], 0)), "")</f>
        <v/>
      </c>
      <c r="W315" s="28" t="str">
        <f>IFERROR(INDEX(tblPiNAnalysis[Food Security and Livlihoods], MATCH(tblPiNHistorical[[#This Row],[ID]], tblPiNAnalysis[ID], 0)), "")</f>
        <v/>
      </c>
      <c r="X315" s="28" t="str">
        <f>IFERROR(INDEX(tblPiNAnalysis[[Health ]], MATCH(tblPiNHistorical[[#This Row],[ID]], tblPiNAnalysis[ID], 0)), "")</f>
        <v/>
      </c>
      <c r="Y315" s="28" t="str">
        <f>IFERROR(INDEX(tblPiNAnalysis[Nutrition], MATCH(tblPiNHistorical[[#This Row],[ID]], tblPiNAnalysis[ID], 0)), "")</f>
        <v/>
      </c>
      <c r="Z315" s="28" t="str">
        <f>IFERROR(INDEX(tblPiNAnalysis[Protection], MATCH(tblPiNHistorical[[#This Row],[ID]], tblPiNAnalysis[ID], 0)), "")</f>
        <v/>
      </c>
      <c r="AA315" s="28" t="str">
        <f>IFERROR(INDEX(tblPiNAnalysis[CP], MATCH(tblPiNHistorical[[#This Row],[ID]], tblPiNAnalysis[ID], 0)), "")</f>
        <v/>
      </c>
      <c r="AB315" s="83" t="str">
        <f>IFERROR(INDEX(tblPiNAnalysis[GBV], MATCH(tblPiNHistorical[[#This Row],[ID]], tblPiNAnalysis[ID], 0)), "")</f>
        <v/>
      </c>
      <c r="AC315" s="28" t="str">
        <f>IFERROR(INDEX(tblPiNAnalysis[Mine Action], MATCH(tblPiNHistorical[[#This Row],[ID]], tblPiNAnalysis[ID], 0)), "")</f>
        <v/>
      </c>
      <c r="AD315" s="83" t="str">
        <f>IFERROR(INDEX(tblPiNAnalysis[[Shelter NFI ]], MATCH(tblPiNHistorical[[#This Row],[ID]], tblPiNAnalysis[ID], 0)), "")</f>
        <v/>
      </c>
      <c r="AE315" s="28" t="str">
        <f>IFERROR(INDEX(tblPiNAnalysis[WASH], MATCH(tblPiNHistorical[[#This Row],[ID]], tblPiNAnalysis[ID], 0)), "")</f>
        <v/>
      </c>
      <c r="AF315"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315" s="136" t="str">
        <f>IF(OR(tblPiNHistorical[[#This Row],[Education Old]]="", tblPiNHistorical[[#This Row],[Education Old]]=0, tblPiNHistorical[[#This Row],[Education New]]="", tblPiNHistorical[[#This Row],[Education New]]=0), "", tblPiNHistorical[[#This Row],[Education New]]-tblPiNHistorical[[#This Row],[Education Old]])</f>
        <v/>
      </c>
      <c r="AH315"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315" s="137" t="str">
        <f>IF(OR(tblPiNHistorical[[#This Row],[Health Old]]="", tblPiNHistorical[[#This Row],[Health Old]]=0, tblPiNHistorical[[#This Row],[Health New]]="", tblPiNHistorical[[#This Row],[Health New]]=0), "", tblPiNHistorical[[#This Row],[Health New]]-tblPiNHistorical[[#This Row],[Health Old]])</f>
        <v/>
      </c>
      <c r="AJ315" s="136" t="str">
        <f>IF(OR(tblPiNHistorical[[#This Row],[Nutrition Old]]="", tblPiNHistorical[[#This Row],[Nutrition Old]]=0, tblPiNHistorical[[#This Row],[Nutrition New]]="", tblPiNHistorical[[#This Row],[Nutrition New]]=0), "", tblPiNHistorical[[#This Row],[Nutrition New]]-tblPiNHistorical[[#This Row],[Nutrition Old]])</f>
        <v/>
      </c>
      <c r="AK315" s="136" t="str">
        <f>IF(OR(tblPiNHistorical[[#This Row],[Protection Old]]="", tblPiNHistorical[[#This Row],[Protection Old]]=0, tblPiNHistorical[[#This Row],[Protection New]]="", tblPiNHistorical[[#This Row],[Protection New]]=0), "", tblPiNHistorical[[#This Row],[Protection New]]-tblPiNHistorical[[#This Row],[Protection Old]])</f>
        <v/>
      </c>
      <c r="AL315" s="136" t="str">
        <f>IF(OR(tblPiNHistorical[[#This Row],[CP Old ]]="", tblPiNHistorical[[#This Row],[CP Old ]]=0, tblPiNHistorical[[#This Row],[CP New]]="", tblPiNHistorical[[#This Row],[CP New]]=0), "", tblPiNHistorical[[#This Row],[CP New]]-tblPiNHistorical[[#This Row],[CP Old ]])</f>
        <v/>
      </c>
      <c r="AM315" s="83" t="str">
        <f>IF(OR(tblPiNHistorical[[#This Row],[GBV Old]]="", tblPiNHistorical[[#This Row],[GBV Old]]=0, tblPiNHistorical[[#This Row],[GBV New]]="", tblPiNHistorical[[#This Row],[GBV New]]=0), "", tblPiNHistorical[[#This Row],[GBV New]]-tblPiNHistorical[[#This Row],[GBV Old]])</f>
        <v/>
      </c>
      <c r="AN315" s="83" t="str">
        <f>IF(OR(tblPiNHistorical[[#This Row],[Mine Action Old]]="", tblPiNHistorical[[#This Row],[Mine Action Old]]=0, tblPiNHistorical[[#This Row],[Mine Action New]]="", tblPiNHistorical[[#This Row],[Mine Action New]]=0), "", tblPiNHistorical[[#This Row],[Mine Action New]]-tblPiNHistorical[[#This Row],[Mine Action Old]])</f>
        <v/>
      </c>
      <c r="AO315" s="136" t="str">
        <f>IF(OR(tblPiNHistorical[[#This Row],[Shelter NFI Old]]="", tblPiNHistorical[[#This Row],[Shelter NFI Old]]=0, tblPiNHistorical[[#This Row],[Shelter NFI New]]="", tblPiNHistorical[[#This Row],[Shelter NFI New]]=0), "", tblPiNHistorical[[#This Row],[Shelter NFI New]]-tblPiNHistorical[[#This Row],[Shelter NFI Old]])</f>
        <v/>
      </c>
      <c r="AP315" s="138" t="str">
        <f>IF(OR(tblPiNHistorical[[#This Row],[WASH Old]]="", tblPiNHistorical[[#This Row],[WASH Old]]=0, tblPiNHistorical[[#This Row],[WASH New]]="", tblPiNHistorical[[#This Row],[WASH New]]=0), "", tblPiNHistorical[[#This Row],[WASH New]]-tblPiNHistorical[[#This Row],[WASH Old]])</f>
        <v/>
      </c>
      <c r="AQ315" s="139" t="str">
        <f>IFERROR(ROUND((tblPiNHistorical[[#This Row],[Site Management - New]] - tblPiNHistorical[[#This Row],[Site Management - Old]])/tblPiNHistorical[[#This Row],[Site Management - Old]], 1), "")</f>
        <v/>
      </c>
      <c r="AR315" s="140" t="str">
        <f>IFERROR(ROUND((tblPiNHistorical[[#This Row],[Education New]]-tblPiNHistorical[[#This Row],[Education Old]])/tblPiNHistorical[[#This Row],[Education Old]], 1), "")</f>
        <v/>
      </c>
      <c r="AS315" s="141" t="str">
        <f>IFERROR(ROUND((tblPiNHistorical[[#This Row],[Food Security and Livlihoods New]]-tblPiNHistorical[[#This Row],[Food Security and Livlihoods Old]])/tblPiNHistorical[[#This Row],[Food Security and Livlihoods Old]], 1), "")</f>
        <v/>
      </c>
      <c r="AT315" s="142" t="str">
        <f>IFERROR(ROUND((tblPiNHistorical[[#This Row],[Health New]]-tblPiNHistorical[[#This Row],[Health Old]])/tblPiNHistorical[[#This Row],[Health Old]], 1), "")</f>
        <v/>
      </c>
      <c r="AU315" s="140" t="str">
        <f>IFERROR(ROUND((tblPiNHistorical[[#This Row],[Nutrition New]]-tblPiNHistorical[[#This Row],[Nutrition Old]])/tblPiNHistorical[[#This Row],[Nutrition Old]], 1), "")</f>
        <v/>
      </c>
      <c r="AV315" s="140" t="str">
        <f>IFERROR(ROUND((tblPiNHistorical[[#This Row],[Protection New]]-tblPiNHistorical[[#This Row],[Protection Old]])/tblPiNHistorical[[#This Row],[Protection Old]], 1), "")</f>
        <v/>
      </c>
      <c r="AW315" s="84" t="str">
        <f>IFERROR(ROUND((tblPiNHistorical[[#This Row],[CP New]]-tblPiNHistorical[[#This Row],[CP Old ]])/tblPiNHistorical[[#This Row],[CP Old ]], 1), "")</f>
        <v/>
      </c>
      <c r="AX315" s="84" t="str">
        <f>IFERROR(ROUND((tblPiNHistorical[[#This Row],[GBV New]]-tblPiNHistorical[[#This Row],[GBV Old]])/tblPiNHistorical[[#This Row],[GBV Old]], 1), "")</f>
        <v/>
      </c>
      <c r="AY315" s="84" t="str">
        <f>IFERROR(ROUND((tblPiNHistorical[[#This Row],[Mine Action New]]-tblPiNHistorical[[#This Row],[Mine Action Old]])/tblPiNHistorical[[#This Row],[Mine Action Old]], 1), "")</f>
        <v/>
      </c>
      <c r="AZ315" s="140" t="str">
        <f>IFERROR(ROUND((tblPiNHistorical[[#This Row],[Shelter NFI New]]-tblPiNHistorical[[#This Row],[Shelter NFI Old]])/tblPiNHistorical[[#This Row],[Shelter NFI Old]], 1), "")</f>
        <v/>
      </c>
      <c r="BA315" s="31" t="str">
        <f>IFERROR(ROUND((tblPiNHistorical[[#This Row],[WASH New]]-tblPiNHistorical[[#This Row],[WASH Old]])/tblPiNHistorical[[#This Row],[WASH Old]], 1), "")</f>
        <v/>
      </c>
    </row>
    <row r="316" spans="1:53" ht="38.25" x14ac:dyDescent="0.25">
      <c r="A316"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RefugeesSD03150</v>
      </c>
      <c r="B316" s="134" t="s">
        <v>185</v>
      </c>
      <c r="C316" s="124" t="s">
        <v>120</v>
      </c>
      <c r="D316" s="124" t="s">
        <v>247</v>
      </c>
      <c r="E316" s="59" t="s">
        <v>246</v>
      </c>
      <c r="F316" s="54"/>
      <c r="G316" s="29"/>
      <c r="H316" s="53">
        <v>0</v>
      </c>
      <c r="I316" s="53" t="s">
        <v>90</v>
      </c>
      <c r="J316" s="34">
        <v>0</v>
      </c>
      <c r="K316" s="116">
        <v>0</v>
      </c>
      <c r="L316" s="114">
        <v>0</v>
      </c>
      <c r="M316" s="114">
        <v>0</v>
      </c>
      <c r="N316" s="114">
        <v>0</v>
      </c>
      <c r="O316" s="114">
        <v>0</v>
      </c>
      <c r="P316" s="114">
        <v>0</v>
      </c>
      <c r="Q316" s="114">
        <v>0</v>
      </c>
      <c r="R316" s="114">
        <v>0</v>
      </c>
      <c r="S316" s="114">
        <v>0</v>
      </c>
      <c r="T316" s="196">
        <v>0</v>
      </c>
      <c r="U316" s="52" t="str">
        <f>IFERROR(INDEX(tblPiNAnalysis[[Site Management ]], MATCH(tblPiNHistorical[[#This Row],[ID]], tblPiNAnalysis[ID], 0)), "")</f>
        <v/>
      </c>
      <c r="V316" s="52" t="str">
        <f>IFERROR(INDEX(tblPiNAnalysis[Education], MATCH(tblPiNHistorical[[#This Row],[ID]], tblPiNAnalysis[ID], 0)), "")</f>
        <v/>
      </c>
      <c r="W316" s="28" t="str">
        <f>IFERROR(INDEX(tblPiNAnalysis[Food Security and Livlihoods], MATCH(tblPiNHistorical[[#This Row],[ID]], tblPiNAnalysis[ID], 0)), "")</f>
        <v/>
      </c>
      <c r="X316" s="28" t="str">
        <f>IFERROR(INDEX(tblPiNAnalysis[[Health ]], MATCH(tblPiNHistorical[[#This Row],[ID]], tblPiNAnalysis[ID], 0)), "")</f>
        <v/>
      </c>
      <c r="Y316" s="28" t="str">
        <f>IFERROR(INDEX(tblPiNAnalysis[Nutrition], MATCH(tblPiNHistorical[[#This Row],[ID]], tblPiNAnalysis[ID], 0)), "")</f>
        <v/>
      </c>
      <c r="Z316" s="28" t="str">
        <f>IFERROR(INDEX(tblPiNAnalysis[Protection], MATCH(tblPiNHistorical[[#This Row],[ID]], tblPiNAnalysis[ID], 0)), "")</f>
        <v/>
      </c>
      <c r="AA316" s="28" t="str">
        <f>IFERROR(INDEX(tblPiNAnalysis[CP], MATCH(tblPiNHistorical[[#This Row],[ID]], tblPiNAnalysis[ID], 0)), "")</f>
        <v/>
      </c>
      <c r="AB316" s="83" t="str">
        <f>IFERROR(INDEX(tblPiNAnalysis[GBV], MATCH(tblPiNHistorical[[#This Row],[ID]], tblPiNAnalysis[ID], 0)), "")</f>
        <v/>
      </c>
      <c r="AC316" s="28" t="str">
        <f>IFERROR(INDEX(tblPiNAnalysis[Mine Action], MATCH(tblPiNHistorical[[#This Row],[ID]], tblPiNAnalysis[ID], 0)), "")</f>
        <v/>
      </c>
      <c r="AD316" s="83" t="str">
        <f>IFERROR(INDEX(tblPiNAnalysis[[Shelter NFI ]], MATCH(tblPiNHistorical[[#This Row],[ID]], tblPiNAnalysis[ID], 0)), "")</f>
        <v/>
      </c>
      <c r="AE316" s="28" t="str">
        <f>IFERROR(INDEX(tblPiNAnalysis[WASH], MATCH(tblPiNHistorical[[#This Row],[ID]], tblPiNAnalysis[ID], 0)), "")</f>
        <v/>
      </c>
      <c r="AF316"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316" s="136" t="str">
        <f>IF(OR(tblPiNHistorical[[#This Row],[Education Old]]="", tblPiNHistorical[[#This Row],[Education Old]]=0, tblPiNHistorical[[#This Row],[Education New]]="", tblPiNHistorical[[#This Row],[Education New]]=0), "", tblPiNHistorical[[#This Row],[Education New]]-tblPiNHistorical[[#This Row],[Education Old]])</f>
        <v/>
      </c>
      <c r="AH316"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316" s="137" t="str">
        <f>IF(OR(tblPiNHistorical[[#This Row],[Health Old]]="", tblPiNHistorical[[#This Row],[Health Old]]=0, tblPiNHistorical[[#This Row],[Health New]]="", tblPiNHistorical[[#This Row],[Health New]]=0), "", tblPiNHistorical[[#This Row],[Health New]]-tblPiNHistorical[[#This Row],[Health Old]])</f>
        <v/>
      </c>
      <c r="AJ316" s="136" t="str">
        <f>IF(OR(tblPiNHistorical[[#This Row],[Nutrition Old]]="", tblPiNHistorical[[#This Row],[Nutrition Old]]=0, tblPiNHistorical[[#This Row],[Nutrition New]]="", tblPiNHistorical[[#This Row],[Nutrition New]]=0), "", tblPiNHistorical[[#This Row],[Nutrition New]]-tblPiNHistorical[[#This Row],[Nutrition Old]])</f>
        <v/>
      </c>
      <c r="AK316" s="136" t="str">
        <f>IF(OR(tblPiNHistorical[[#This Row],[Protection Old]]="", tblPiNHistorical[[#This Row],[Protection Old]]=0, tblPiNHistorical[[#This Row],[Protection New]]="", tblPiNHistorical[[#This Row],[Protection New]]=0), "", tblPiNHistorical[[#This Row],[Protection New]]-tblPiNHistorical[[#This Row],[Protection Old]])</f>
        <v/>
      </c>
      <c r="AL316" s="136" t="str">
        <f>IF(OR(tblPiNHistorical[[#This Row],[CP Old ]]="", tblPiNHistorical[[#This Row],[CP Old ]]=0, tblPiNHistorical[[#This Row],[CP New]]="", tblPiNHistorical[[#This Row],[CP New]]=0), "", tblPiNHistorical[[#This Row],[CP New]]-tblPiNHistorical[[#This Row],[CP Old ]])</f>
        <v/>
      </c>
      <c r="AM316" s="83" t="str">
        <f>IF(OR(tblPiNHistorical[[#This Row],[GBV Old]]="", tblPiNHistorical[[#This Row],[GBV Old]]=0, tblPiNHistorical[[#This Row],[GBV New]]="", tblPiNHistorical[[#This Row],[GBV New]]=0), "", tblPiNHistorical[[#This Row],[GBV New]]-tblPiNHistorical[[#This Row],[GBV Old]])</f>
        <v/>
      </c>
      <c r="AN316" s="83" t="str">
        <f>IF(OR(tblPiNHistorical[[#This Row],[Mine Action Old]]="", tblPiNHistorical[[#This Row],[Mine Action Old]]=0, tblPiNHistorical[[#This Row],[Mine Action New]]="", tblPiNHistorical[[#This Row],[Mine Action New]]=0), "", tblPiNHistorical[[#This Row],[Mine Action New]]-tblPiNHistorical[[#This Row],[Mine Action Old]])</f>
        <v/>
      </c>
      <c r="AO316" s="136" t="str">
        <f>IF(OR(tblPiNHistorical[[#This Row],[Shelter NFI Old]]="", tblPiNHistorical[[#This Row],[Shelter NFI Old]]=0, tblPiNHistorical[[#This Row],[Shelter NFI New]]="", tblPiNHistorical[[#This Row],[Shelter NFI New]]=0), "", tblPiNHistorical[[#This Row],[Shelter NFI New]]-tblPiNHistorical[[#This Row],[Shelter NFI Old]])</f>
        <v/>
      </c>
      <c r="AP316" s="138" t="str">
        <f>IF(OR(tblPiNHistorical[[#This Row],[WASH Old]]="", tblPiNHistorical[[#This Row],[WASH Old]]=0, tblPiNHistorical[[#This Row],[WASH New]]="", tblPiNHistorical[[#This Row],[WASH New]]=0), "", tblPiNHistorical[[#This Row],[WASH New]]-tblPiNHistorical[[#This Row],[WASH Old]])</f>
        <v/>
      </c>
      <c r="AQ316" s="139" t="str">
        <f>IFERROR(ROUND((tblPiNHistorical[[#This Row],[Site Management - New]] - tblPiNHistorical[[#This Row],[Site Management - Old]])/tblPiNHistorical[[#This Row],[Site Management - Old]], 1), "")</f>
        <v/>
      </c>
      <c r="AR316" s="140" t="str">
        <f>IFERROR(ROUND((tblPiNHistorical[[#This Row],[Education New]]-tblPiNHistorical[[#This Row],[Education Old]])/tblPiNHistorical[[#This Row],[Education Old]], 1), "")</f>
        <v/>
      </c>
      <c r="AS316" s="141" t="str">
        <f>IFERROR(ROUND((tblPiNHistorical[[#This Row],[Food Security and Livlihoods New]]-tblPiNHistorical[[#This Row],[Food Security and Livlihoods Old]])/tblPiNHistorical[[#This Row],[Food Security and Livlihoods Old]], 1), "")</f>
        <v/>
      </c>
      <c r="AT316" s="142" t="str">
        <f>IFERROR(ROUND((tblPiNHistorical[[#This Row],[Health New]]-tblPiNHistorical[[#This Row],[Health Old]])/tblPiNHistorical[[#This Row],[Health Old]], 1), "")</f>
        <v/>
      </c>
      <c r="AU316" s="140" t="str">
        <f>IFERROR(ROUND((tblPiNHistorical[[#This Row],[Nutrition New]]-tblPiNHistorical[[#This Row],[Nutrition Old]])/tblPiNHistorical[[#This Row],[Nutrition Old]], 1), "")</f>
        <v/>
      </c>
      <c r="AV316" s="140" t="str">
        <f>IFERROR(ROUND((tblPiNHistorical[[#This Row],[Protection New]]-tblPiNHistorical[[#This Row],[Protection Old]])/tblPiNHistorical[[#This Row],[Protection Old]], 1), "")</f>
        <v/>
      </c>
      <c r="AW316" s="84" t="str">
        <f>IFERROR(ROUND((tblPiNHistorical[[#This Row],[CP New]]-tblPiNHistorical[[#This Row],[CP Old ]])/tblPiNHistorical[[#This Row],[CP Old ]], 1), "")</f>
        <v/>
      </c>
      <c r="AX316" s="84" t="str">
        <f>IFERROR(ROUND((tblPiNHistorical[[#This Row],[GBV New]]-tblPiNHistorical[[#This Row],[GBV Old]])/tblPiNHistorical[[#This Row],[GBV Old]], 1), "")</f>
        <v/>
      </c>
      <c r="AY316" s="84" t="str">
        <f>IFERROR(ROUND((tblPiNHistorical[[#This Row],[Mine Action New]]-tblPiNHistorical[[#This Row],[Mine Action Old]])/tblPiNHistorical[[#This Row],[Mine Action Old]], 1), "")</f>
        <v/>
      </c>
      <c r="AZ316" s="140" t="str">
        <f>IFERROR(ROUND((tblPiNHistorical[[#This Row],[Shelter NFI New]]-tblPiNHistorical[[#This Row],[Shelter NFI Old]])/tblPiNHistorical[[#This Row],[Shelter NFI Old]], 1), "")</f>
        <v/>
      </c>
      <c r="BA316" s="31" t="str">
        <f>IFERROR(ROUND((tblPiNHistorical[[#This Row],[WASH New]]-tblPiNHistorical[[#This Row],[WASH Old]])/tblPiNHistorical[[#This Row],[WASH Old]], 1), "")</f>
        <v/>
      </c>
    </row>
    <row r="317" spans="1:53" ht="38.25" x14ac:dyDescent="0.25">
      <c r="A317"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RefugeesSD03166</v>
      </c>
      <c r="B317" s="134" t="s">
        <v>185</v>
      </c>
      <c r="C317" s="124" t="s">
        <v>120</v>
      </c>
      <c r="D317" s="124" t="s">
        <v>269</v>
      </c>
      <c r="E317" s="59" t="s">
        <v>268</v>
      </c>
      <c r="F317" s="54"/>
      <c r="G317" s="29"/>
      <c r="H317" s="53">
        <v>1261</v>
      </c>
      <c r="I317" s="53" t="s">
        <v>90</v>
      </c>
      <c r="J317" s="34">
        <v>0</v>
      </c>
      <c r="K317" s="116">
        <v>429</v>
      </c>
      <c r="L317" s="114">
        <v>1261</v>
      </c>
      <c r="M317" s="114">
        <v>618</v>
      </c>
      <c r="N317" s="114">
        <v>115</v>
      </c>
      <c r="O317" s="114">
        <v>1261</v>
      </c>
      <c r="P317" s="114">
        <v>336.68700000000001</v>
      </c>
      <c r="Q317" s="114">
        <v>672.11300000000006</v>
      </c>
      <c r="R317" s="114">
        <v>378.3</v>
      </c>
      <c r="S317" s="114">
        <v>504</v>
      </c>
      <c r="T317" s="196">
        <v>945</v>
      </c>
      <c r="U317" s="52" t="str">
        <f>IFERROR(INDEX(tblPiNAnalysis[[Site Management ]], MATCH(tblPiNHistorical[[#This Row],[ID]], tblPiNAnalysis[ID], 0)), "")</f>
        <v/>
      </c>
      <c r="V317" s="52" t="str">
        <f>IFERROR(INDEX(tblPiNAnalysis[Education], MATCH(tblPiNHistorical[[#This Row],[ID]], tblPiNAnalysis[ID], 0)), "")</f>
        <v/>
      </c>
      <c r="W317" s="28" t="str">
        <f>IFERROR(INDEX(tblPiNAnalysis[Food Security and Livlihoods], MATCH(tblPiNHistorical[[#This Row],[ID]], tblPiNAnalysis[ID], 0)), "")</f>
        <v/>
      </c>
      <c r="X317" s="28" t="str">
        <f>IFERROR(INDEX(tblPiNAnalysis[[Health ]], MATCH(tblPiNHistorical[[#This Row],[ID]], tblPiNAnalysis[ID], 0)), "")</f>
        <v/>
      </c>
      <c r="Y317" s="28" t="str">
        <f>IFERROR(INDEX(tblPiNAnalysis[Nutrition], MATCH(tblPiNHistorical[[#This Row],[ID]], tblPiNAnalysis[ID], 0)), "")</f>
        <v/>
      </c>
      <c r="Z317" s="28" t="str">
        <f>IFERROR(INDEX(tblPiNAnalysis[Protection], MATCH(tblPiNHistorical[[#This Row],[ID]], tblPiNAnalysis[ID], 0)), "")</f>
        <v/>
      </c>
      <c r="AA317" s="28" t="str">
        <f>IFERROR(INDEX(tblPiNAnalysis[CP], MATCH(tblPiNHistorical[[#This Row],[ID]], tblPiNAnalysis[ID], 0)), "")</f>
        <v/>
      </c>
      <c r="AB317" s="83" t="str">
        <f>IFERROR(INDEX(tblPiNAnalysis[GBV], MATCH(tblPiNHistorical[[#This Row],[ID]], tblPiNAnalysis[ID], 0)), "")</f>
        <v/>
      </c>
      <c r="AC317" s="28" t="str">
        <f>IFERROR(INDEX(tblPiNAnalysis[Mine Action], MATCH(tblPiNHistorical[[#This Row],[ID]], tblPiNAnalysis[ID], 0)), "")</f>
        <v/>
      </c>
      <c r="AD317" s="83" t="str">
        <f>IFERROR(INDEX(tblPiNAnalysis[[Shelter NFI ]], MATCH(tblPiNHistorical[[#This Row],[ID]], tblPiNAnalysis[ID], 0)), "")</f>
        <v/>
      </c>
      <c r="AE317" s="28" t="str">
        <f>IFERROR(INDEX(tblPiNAnalysis[WASH], MATCH(tblPiNHistorical[[#This Row],[ID]], tblPiNAnalysis[ID], 0)), "")</f>
        <v/>
      </c>
      <c r="AF317"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317" s="136" t="str">
        <f>IF(OR(tblPiNHistorical[[#This Row],[Education Old]]="", tblPiNHistorical[[#This Row],[Education Old]]=0, tblPiNHistorical[[#This Row],[Education New]]="", tblPiNHistorical[[#This Row],[Education New]]=0), "", tblPiNHistorical[[#This Row],[Education New]]-tblPiNHistorical[[#This Row],[Education Old]])</f>
        <v/>
      </c>
      <c r="AH317"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317" s="137" t="str">
        <f>IF(OR(tblPiNHistorical[[#This Row],[Health Old]]="", tblPiNHistorical[[#This Row],[Health Old]]=0, tblPiNHistorical[[#This Row],[Health New]]="", tblPiNHistorical[[#This Row],[Health New]]=0), "", tblPiNHistorical[[#This Row],[Health New]]-tblPiNHistorical[[#This Row],[Health Old]])</f>
        <v/>
      </c>
      <c r="AJ317" s="136" t="str">
        <f>IF(OR(tblPiNHistorical[[#This Row],[Nutrition Old]]="", tblPiNHistorical[[#This Row],[Nutrition Old]]=0, tblPiNHistorical[[#This Row],[Nutrition New]]="", tblPiNHistorical[[#This Row],[Nutrition New]]=0), "", tblPiNHistorical[[#This Row],[Nutrition New]]-tblPiNHistorical[[#This Row],[Nutrition Old]])</f>
        <v/>
      </c>
      <c r="AK317" s="136" t="str">
        <f>IF(OR(tblPiNHistorical[[#This Row],[Protection Old]]="", tblPiNHistorical[[#This Row],[Protection Old]]=0, tblPiNHistorical[[#This Row],[Protection New]]="", tblPiNHistorical[[#This Row],[Protection New]]=0), "", tblPiNHistorical[[#This Row],[Protection New]]-tblPiNHistorical[[#This Row],[Protection Old]])</f>
        <v/>
      </c>
      <c r="AL317" s="136" t="str">
        <f>IF(OR(tblPiNHistorical[[#This Row],[CP Old ]]="", tblPiNHistorical[[#This Row],[CP Old ]]=0, tblPiNHistorical[[#This Row],[CP New]]="", tblPiNHistorical[[#This Row],[CP New]]=0), "", tblPiNHistorical[[#This Row],[CP New]]-tblPiNHistorical[[#This Row],[CP Old ]])</f>
        <v/>
      </c>
      <c r="AM317" s="83" t="str">
        <f>IF(OR(tblPiNHistorical[[#This Row],[GBV Old]]="", tblPiNHistorical[[#This Row],[GBV Old]]=0, tblPiNHistorical[[#This Row],[GBV New]]="", tblPiNHistorical[[#This Row],[GBV New]]=0), "", tblPiNHistorical[[#This Row],[GBV New]]-tblPiNHistorical[[#This Row],[GBV Old]])</f>
        <v/>
      </c>
      <c r="AN317" s="83" t="str">
        <f>IF(OR(tblPiNHistorical[[#This Row],[Mine Action Old]]="", tblPiNHistorical[[#This Row],[Mine Action Old]]=0, tblPiNHistorical[[#This Row],[Mine Action New]]="", tblPiNHistorical[[#This Row],[Mine Action New]]=0), "", tblPiNHistorical[[#This Row],[Mine Action New]]-tblPiNHistorical[[#This Row],[Mine Action Old]])</f>
        <v/>
      </c>
      <c r="AO317" s="136" t="str">
        <f>IF(OR(tblPiNHistorical[[#This Row],[Shelter NFI Old]]="", tblPiNHistorical[[#This Row],[Shelter NFI Old]]=0, tblPiNHistorical[[#This Row],[Shelter NFI New]]="", tblPiNHistorical[[#This Row],[Shelter NFI New]]=0), "", tblPiNHistorical[[#This Row],[Shelter NFI New]]-tblPiNHistorical[[#This Row],[Shelter NFI Old]])</f>
        <v/>
      </c>
      <c r="AP317" s="138" t="str">
        <f>IF(OR(tblPiNHistorical[[#This Row],[WASH Old]]="", tblPiNHistorical[[#This Row],[WASH Old]]=0, tblPiNHistorical[[#This Row],[WASH New]]="", tblPiNHistorical[[#This Row],[WASH New]]=0), "", tblPiNHistorical[[#This Row],[WASH New]]-tblPiNHistorical[[#This Row],[WASH Old]])</f>
        <v/>
      </c>
      <c r="AQ317" s="139" t="str">
        <f>IFERROR(ROUND((tblPiNHistorical[[#This Row],[Site Management - New]] - tblPiNHistorical[[#This Row],[Site Management - Old]])/tblPiNHistorical[[#This Row],[Site Management - Old]], 1), "")</f>
        <v/>
      </c>
      <c r="AR317" s="140" t="str">
        <f>IFERROR(ROUND((tblPiNHistorical[[#This Row],[Education New]]-tblPiNHistorical[[#This Row],[Education Old]])/tblPiNHistorical[[#This Row],[Education Old]], 1), "")</f>
        <v/>
      </c>
      <c r="AS317" s="141" t="str">
        <f>IFERROR(ROUND((tblPiNHistorical[[#This Row],[Food Security and Livlihoods New]]-tblPiNHistorical[[#This Row],[Food Security and Livlihoods Old]])/tblPiNHistorical[[#This Row],[Food Security and Livlihoods Old]], 1), "")</f>
        <v/>
      </c>
      <c r="AT317" s="142" t="str">
        <f>IFERROR(ROUND((tblPiNHistorical[[#This Row],[Health New]]-tblPiNHistorical[[#This Row],[Health Old]])/tblPiNHistorical[[#This Row],[Health Old]], 1), "")</f>
        <v/>
      </c>
      <c r="AU317" s="140" t="str">
        <f>IFERROR(ROUND((tblPiNHistorical[[#This Row],[Nutrition New]]-tblPiNHistorical[[#This Row],[Nutrition Old]])/tblPiNHistorical[[#This Row],[Nutrition Old]], 1), "")</f>
        <v/>
      </c>
      <c r="AV317" s="140" t="str">
        <f>IFERROR(ROUND((tblPiNHistorical[[#This Row],[Protection New]]-tblPiNHistorical[[#This Row],[Protection Old]])/tblPiNHistorical[[#This Row],[Protection Old]], 1), "")</f>
        <v/>
      </c>
      <c r="AW317" s="84" t="str">
        <f>IFERROR(ROUND((tblPiNHistorical[[#This Row],[CP New]]-tblPiNHistorical[[#This Row],[CP Old ]])/tblPiNHistorical[[#This Row],[CP Old ]], 1), "")</f>
        <v/>
      </c>
      <c r="AX317" s="84" t="str">
        <f>IFERROR(ROUND((tblPiNHistorical[[#This Row],[GBV New]]-tblPiNHistorical[[#This Row],[GBV Old]])/tblPiNHistorical[[#This Row],[GBV Old]], 1), "")</f>
        <v/>
      </c>
      <c r="AY317" s="84" t="str">
        <f>IFERROR(ROUND((tblPiNHistorical[[#This Row],[Mine Action New]]-tblPiNHistorical[[#This Row],[Mine Action Old]])/tblPiNHistorical[[#This Row],[Mine Action Old]], 1), "")</f>
        <v/>
      </c>
      <c r="AZ317" s="140" t="str">
        <f>IFERROR(ROUND((tblPiNHistorical[[#This Row],[Shelter NFI New]]-tblPiNHistorical[[#This Row],[Shelter NFI Old]])/tblPiNHistorical[[#This Row],[Shelter NFI Old]], 1), "")</f>
        <v/>
      </c>
      <c r="BA317" s="31" t="str">
        <f>IFERROR(ROUND((tblPiNHistorical[[#This Row],[WASH New]]-tblPiNHistorical[[#This Row],[WASH Old]])/tblPiNHistorical[[#This Row],[WASH Old]], 1), "")</f>
        <v/>
      </c>
    </row>
    <row r="318" spans="1:53" ht="38.25" x14ac:dyDescent="0.25">
      <c r="A318"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RefugeesSD03156</v>
      </c>
      <c r="B318" s="134" t="s">
        <v>185</v>
      </c>
      <c r="C318" s="124" t="s">
        <v>120</v>
      </c>
      <c r="D318" s="124" t="s">
        <v>255</v>
      </c>
      <c r="E318" s="59" t="s">
        <v>254</v>
      </c>
      <c r="F318" s="54"/>
      <c r="G318" s="29"/>
      <c r="H318" s="53">
        <v>0</v>
      </c>
      <c r="I318" s="53" t="s">
        <v>90</v>
      </c>
      <c r="J318" s="34">
        <v>0</v>
      </c>
      <c r="K318" s="116">
        <v>0</v>
      </c>
      <c r="L318" s="114">
        <v>0</v>
      </c>
      <c r="M318" s="114">
        <v>0</v>
      </c>
      <c r="N318" s="114">
        <v>0</v>
      </c>
      <c r="O318" s="114">
        <v>0</v>
      </c>
      <c r="P318" s="114">
        <v>0</v>
      </c>
      <c r="Q318" s="114">
        <v>0</v>
      </c>
      <c r="R318" s="114">
        <v>0</v>
      </c>
      <c r="S318" s="114">
        <v>0</v>
      </c>
      <c r="T318" s="196">
        <v>0</v>
      </c>
      <c r="U318" s="52" t="str">
        <f>IFERROR(INDEX(tblPiNAnalysis[[Site Management ]], MATCH(tblPiNHistorical[[#This Row],[ID]], tblPiNAnalysis[ID], 0)), "")</f>
        <v/>
      </c>
      <c r="V318" s="52" t="str">
        <f>IFERROR(INDEX(tblPiNAnalysis[Education], MATCH(tblPiNHistorical[[#This Row],[ID]], tblPiNAnalysis[ID], 0)), "")</f>
        <v/>
      </c>
      <c r="W318" s="28" t="str">
        <f>IFERROR(INDEX(tblPiNAnalysis[Food Security and Livlihoods], MATCH(tblPiNHistorical[[#This Row],[ID]], tblPiNAnalysis[ID], 0)), "")</f>
        <v/>
      </c>
      <c r="X318" s="28" t="str">
        <f>IFERROR(INDEX(tblPiNAnalysis[[Health ]], MATCH(tblPiNHistorical[[#This Row],[ID]], tblPiNAnalysis[ID], 0)), "")</f>
        <v/>
      </c>
      <c r="Y318" s="28" t="str">
        <f>IFERROR(INDEX(tblPiNAnalysis[Nutrition], MATCH(tblPiNHistorical[[#This Row],[ID]], tblPiNAnalysis[ID], 0)), "")</f>
        <v/>
      </c>
      <c r="Z318" s="28" t="str">
        <f>IFERROR(INDEX(tblPiNAnalysis[Protection], MATCH(tblPiNHistorical[[#This Row],[ID]], tblPiNAnalysis[ID], 0)), "")</f>
        <v/>
      </c>
      <c r="AA318" s="28" t="str">
        <f>IFERROR(INDEX(tblPiNAnalysis[CP], MATCH(tblPiNHistorical[[#This Row],[ID]], tblPiNAnalysis[ID], 0)), "")</f>
        <v/>
      </c>
      <c r="AB318" s="83" t="str">
        <f>IFERROR(INDEX(tblPiNAnalysis[GBV], MATCH(tblPiNHistorical[[#This Row],[ID]], tblPiNAnalysis[ID], 0)), "")</f>
        <v/>
      </c>
      <c r="AC318" s="28" t="str">
        <f>IFERROR(INDEX(tblPiNAnalysis[Mine Action], MATCH(tblPiNHistorical[[#This Row],[ID]], tblPiNAnalysis[ID], 0)), "")</f>
        <v/>
      </c>
      <c r="AD318" s="83" t="str">
        <f>IFERROR(INDEX(tblPiNAnalysis[[Shelter NFI ]], MATCH(tblPiNHistorical[[#This Row],[ID]], tblPiNAnalysis[ID], 0)), "")</f>
        <v/>
      </c>
      <c r="AE318" s="28" t="str">
        <f>IFERROR(INDEX(tblPiNAnalysis[WASH], MATCH(tblPiNHistorical[[#This Row],[ID]], tblPiNAnalysis[ID], 0)), "")</f>
        <v/>
      </c>
      <c r="AF318"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318" s="136" t="str">
        <f>IF(OR(tblPiNHistorical[[#This Row],[Education Old]]="", tblPiNHistorical[[#This Row],[Education Old]]=0, tblPiNHistorical[[#This Row],[Education New]]="", tblPiNHistorical[[#This Row],[Education New]]=0), "", tblPiNHistorical[[#This Row],[Education New]]-tblPiNHistorical[[#This Row],[Education Old]])</f>
        <v/>
      </c>
      <c r="AH318"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318" s="137" t="str">
        <f>IF(OR(tblPiNHistorical[[#This Row],[Health Old]]="", tblPiNHistorical[[#This Row],[Health Old]]=0, tblPiNHistorical[[#This Row],[Health New]]="", tblPiNHistorical[[#This Row],[Health New]]=0), "", tblPiNHistorical[[#This Row],[Health New]]-tblPiNHistorical[[#This Row],[Health Old]])</f>
        <v/>
      </c>
      <c r="AJ318" s="136" t="str">
        <f>IF(OR(tblPiNHistorical[[#This Row],[Nutrition Old]]="", tblPiNHistorical[[#This Row],[Nutrition Old]]=0, tblPiNHistorical[[#This Row],[Nutrition New]]="", tblPiNHistorical[[#This Row],[Nutrition New]]=0), "", tblPiNHistorical[[#This Row],[Nutrition New]]-tblPiNHistorical[[#This Row],[Nutrition Old]])</f>
        <v/>
      </c>
      <c r="AK318" s="136" t="str">
        <f>IF(OR(tblPiNHistorical[[#This Row],[Protection Old]]="", tblPiNHistorical[[#This Row],[Protection Old]]=0, tblPiNHistorical[[#This Row],[Protection New]]="", tblPiNHistorical[[#This Row],[Protection New]]=0), "", tblPiNHistorical[[#This Row],[Protection New]]-tblPiNHistorical[[#This Row],[Protection Old]])</f>
        <v/>
      </c>
      <c r="AL318" s="136" t="str">
        <f>IF(OR(tblPiNHistorical[[#This Row],[CP Old ]]="", tblPiNHistorical[[#This Row],[CP Old ]]=0, tblPiNHistorical[[#This Row],[CP New]]="", tblPiNHistorical[[#This Row],[CP New]]=0), "", tblPiNHistorical[[#This Row],[CP New]]-tblPiNHistorical[[#This Row],[CP Old ]])</f>
        <v/>
      </c>
      <c r="AM318" s="83" t="str">
        <f>IF(OR(tblPiNHistorical[[#This Row],[GBV Old]]="", tblPiNHistorical[[#This Row],[GBV Old]]=0, tblPiNHistorical[[#This Row],[GBV New]]="", tblPiNHistorical[[#This Row],[GBV New]]=0), "", tblPiNHistorical[[#This Row],[GBV New]]-tblPiNHistorical[[#This Row],[GBV Old]])</f>
        <v/>
      </c>
      <c r="AN318" s="83" t="str">
        <f>IF(OR(tblPiNHistorical[[#This Row],[Mine Action Old]]="", tblPiNHistorical[[#This Row],[Mine Action Old]]=0, tblPiNHistorical[[#This Row],[Mine Action New]]="", tblPiNHistorical[[#This Row],[Mine Action New]]=0), "", tblPiNHistorical[[#This Row],[Mine Action New]]-tblPiNHistorical[[#This Row],[Mine Action Old]])</f>
        <v/>
      </c>
      <c r="AO318" s="136" t="str">
        <f>IF(OR(tblPiNHistorical[[#This Row],[Shelter NFI Old]]="", tblPiNHistorical[[#This Row],[Shelter NFI Old]]=0, tblPiNHistorical[[#This Row],[Shelter NFI New]]="", tblPiNHistorical[[#This Row],[Shelter NFI New]]=0), "", tblPiNHistorical[[#This Row],[Shelter NFI New]]-tblPiNHistorical[[#This Row],[Shelter NFI Old]])</f>
        <v/>
      </c>
      <c r="AP318" s="138" t="str">
        <f>IF(OR(tblPiNHistorical[[#This Row],[WASH Old]]="", tblPiNHistorical[[#This Row],[WASH Old]]=0, tblPiNHistorical[[#This Row],[WASH New]]="", tblPiNHistorical[[#This Row],[WASH New]]=0), "", tblPiNHistorical[[#This Row],[WASH New]]-tblPiNHistorical[[#This Row],[WASH Old]])</f>
        <v/>
      </c>
      <c r="AQ318" s="139" t="str">
        <f>IFERROR(ROUND((tblPiNHistorical[[#This Row],[Site Management - New]] - tblPiNHistorical[[#This Row],[Site Management - Old]])/tblPiNHistorical[[#This Row],[Site Management - Old]], 1), "")</f>
        <v/>
      </c>
      <c r="AR318" s="140" t="str">
        <f>IFERROR(ROUND((tblPiNHistorical[[#This Row],[Education New]]-tblPiNHistorical[[#This Row],[Education Old]])/tblPiNHistorical[[#This Row],[Education Old]], 1), "")</f>
        <v/>
      </c>
      <c r="AS318" s="141" t="str">
        <f>IFERROR(ROUND((tblPiNHistorical[[#This Row],[Food Security and Livlihoods New]]-tblPiNHistorical[[#This Row],[Food Security and Livlihoods Old]])/tblPiNHistorical[[#This Row],[Food Security and Livlihoods Old]], 1), "")</f>
        <v/>
      </c>
      <c r="AT318" s="142" t="str">
        <f>IFERROR(ROUND((tblPiNHistorical[[#This Row],[Health New]]-tblPiNHistorical[[#This Row],[Health Old]])/tblPiNHistorical[[#This Row],[Health Old]], 1), "")</f>
        <v/>
      </c>
      <c r="AU318" s="140" t="str">
        <f>IFERROR(ROUND((tblPiNHistorical[[#This Row],[Nutrition New]]-tblPiNHistorical[[#This Row],[Nutrition Old]])/tblPiNHistorical[[#This Row],[Nutrition Old]], 1), "")</f>
        <v/>
      </c>
      <c r="AV318" s="140" t="str">
        <f>IFERROR(ROUND((tblPiNHistorical[[#This Row],[Protection New]]-tblPiNHistorical[[#This Row],[Protection Old]])/tblPiNHistorical[[#This Row],[Protection Old]], 1), "")</f>
        <v/>
      </c>
      <c r="AW318" s="84" t="str">
        <f>IFERROR(ROUND((tblPiNHistorical[[#This Row],[CP New]]-tblPiNHistorical[[#This Row],[CP Old ]])/tblPiNHistorical[[#This Row],[CP Old ]], 1), "")</f>
        <v/>
      </c>
      <c r="AX318" s="84" t="str">
        <f>IFERROR(ROUND((tblPiNHistorical[[#This Row],[GBV New]]-tblPiNHistorical[[#This Row],[GBV Old]])/tblPiNHistorical[[#This Row],[GBV Old]], 1), "")</f>
        <v/>
      </c>
      <c r="AY318" s="84" t="str">
        <f>IFERROR(ROUND((tblPiNHistorical[[#This Row],[Mine Action New]]-tblPiNHistorical[[#This Row],[Mine Action Old]])/tblPiNHistorical[[#This Row],[Mine Action Old]], 1), "")</f>
        <v/>
      </c>
      <c r="AZ318" s="140" t="str">
        <f>IFERROR(ROUND((tblPiNHistorical[[#This Row],[Shelter NFI New]]-tblPiNHistorical[[#This Row],[Shelter NFI Old]])/tblPiNHistorical[[#This Row],[Shelter NFI Old]], 1), "")</f>
        <v/>
      </c>
      <c r="BA318" s="31" t="str">
        <f>IFERROR(ROUND((tblPiNHistorical[[#This Row],[WASH New]]-tblPiNHistorical[[#This Row],[WASH Old]])/tblPiNHistorical[[#This Row],[WASH Old]], 1), "")</f>
        <v/>
      </c>
    </row>
    <row r="319" spans="1:53" ht="38.25" x14ac:dyDescent="0.25">
      <c r="A319"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RefugeesSD03162</v>
      </c>
      <c r="B319" s="134" t="s">
        <v>185</v>
      </c>
      <c r="C319" s="124" t="s">
        <v>120</v>
      </c>
      <c r="D319" s="124" t="s">
        <v>265</v>
      </c>
      <c r="E319" s="59" t="s">
        <v>264</v>
      </c>
      <c r="F319" s="54"/>
      <c r="G319" s="29"/>
      <c r="H319" s="53">
        <v>6408</v>
      </c>
      <c r="I319" s="53" t="s">
        <v>90</v>
      </c>
      <c r="J319" s="34">
        <v>0</v>
      </c>
      <c r="K319" s="116">
        <v>2511</v>
      </c>
      <c r="L319" s="114">
        <v>6408</v>
      </c>
      <c r="M319" s="114">
        <v>6216</v>
      </c>
      <c r="N319" s="114">
        <v>585</v>
      </c>
      <c r="O319" s="114">
        <v>6408</v>
      </c>
      <c r="P319" s="114">
        <v>653.61599999999999</v>
      </c>
      <c r="Q319" s="114">
        <v>2928.4560000000001</v>
      </c>
      <c r="R319" s="114">
        <v>3204</v>
      </c>
      <c r="S319" s="114">
        <v>2563</v>
      </c>
      <c r="T319" s="196">
        <v>3278</v>
      </c>
      <c r="U319" s="52" t="str">
        <f>IFERROR(INDEX(tblPiNAnalysis[[Site Management ]], MATCH(tblPiNHistorical[[#This Row],[ID]], tblPiNAnalysis[ID], 0)), "")</f>
        <v/>
      </c>
      <c r="V319" s="52" t="str">
        <f>IFERROR(INDEX(tblPiNAnalysis[Education], MATCH(tblPiNHistorical[[#This Row],[ID]], tblPiNAnalysis[ID], 0)), "")</f>
        <v/>
      </c>
      <c r="W319" s="28" t="str">
        <f>IFERROR(INDEX(tblPiNAnalysis[Food Security and Livlihoods], MATCH(tblPiNHistorical[[#This Row],[ID]], tblPiNAnalysis[ID], 0)), "")</f>
        <v/>
      </c>
      <c r="X319" s="28" t="str">
        <f>IFERROR(INDEX(tblPiNAnalysis[[Health ]], MATCH(tblPiNHistorical[[#This Row],[ID]], tblPiNAnalysis[ID], 0)), "")</f>
        <v/>
      </c>
      <c r="Y319" s="28" t="str">
        <f>IFERROR(INDEX(tblPiNAnalysis[Nutrition], MATCH(tblPiNHistorical[[#This Row],[ID]], tblPiNAnalysis[ID], 0)), "")</f>
        <v/>
      </c>
      <c r="Z319" s="28" t="str">
        <f>IFERROR(INDEX(tblPiNAnalysis[Protection], MATCH(tblPiNHistorical[[#This Row],[ID]], tblPiNAnalysis[ID], 0)), "")</f>
        <v/>
      </c>
      <c r="AA319" s="28" t="str">
        <f>IFERROR(INDEX(tblPiNAnalysis[CP], MATCH(tblPiNHistorical[[#This Row],[ID]], tblPiNAnalysis[ID], 0)), "")</f>
        <v/>
      </c>
      <c r="AB319" s="83" t="str">
        <f>IFERROR(INDEX(tblPiNAnalysis[GBV], MATCH(tblPiNHistorical[[#This Row],[ID]], tblPiNAnalysis[ID], 0)), "")</f>
        <v/>
      </c>
      <c r="AC319" s="28" t="str">
        <f>IFERROR(INDEX(tblPiNAnalysis[Mine Action], MATCH(tblPiNHistorical[[#This Row],[ID]], tblPiNAnalysis[ID], 0)), "")</f>
        <v/>
      </c>
      <c r="AD319" s="83" t="str">
        <f>IFERROR(INDEX(tblPiNAnalysis[[Shelter NFI ]], MATCH(tblPiNHistorical[[#This Row],[ID]], tblPiNAnalysis[ID], 0)), "")</f>
        <v/>
      </c>
      <c r="AE319" s="28" t="str">
        <f>IFERROR(INDEX(tblPiNAnalysis[WASH], MATCH(tblPiNHistorical[[#This Row],[ID]], tblPiNAnalysis[ID], 0)), "")</f>
        <v/>
      </c>
      <c r="AF319"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319" s="136" t="str">
        <f>IF(OR(tblPiNHistorical[[#This Row],[Education Old]]="", tblPiNHistorical[[#This Row],[Education Old]]=0, tblPiNHistorical[[#This Row],[Education New]]="", tblPiNHistorical[[#This Row],[Education New]]=0), "", tblPiNHistorical[[#This Row],[Education New]]-tblPiNHistorical[[#This Row],[Education Old]])</f>
        <v/>
      </c>
      <c r="AH319"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319" s="137" t="str">
        <f>IF(OR(tblPiNHistorical[[#This Row],[Health Old]]="", tblPiNHistorical[[#This Row],[Health Old]]=0, tblPiNHistorical[[#This Row],[Health New]]="", tblPiNHistorical[[#This Row],[Health New]]=0), "", tblPiNHistorical[[#This Row],[Health New]]-tblPiNHistorical[[#This Row],[Health Old]])</f>
        <v/>
      </c>
      <c r="AJ319" s="136" t="str">
        <f>IF(OR(tblPiNHistorical[[#This Row],[Nutrition Old]]="", tblPiNHistorical[[#This Row],[Nutrition Old]]=0, tblPiNHistorical[[#This Row],[Nutrition New]]="", tblPiNHistorical[[#This Row],[Nutrition New]]=0), "", tblPiNHistorical[[#This Row],[Nutrition New]]-tblPiNHistorical[[#This Row],[Nutrition Old]])</f>
        <v/>
      </c>
      <c r="AK319" s="136" t="str">
        <f>IF(OR(tblPiNHistorical[[#This Row],[Protection Old]]="", tblPiNHistorical[[#This Row],[Protection Old]]=0, tblPiNHistorical[[#This Row],[Protection New]]="", tblPiNHistorical[[#This Row],[Protection New]]=0), "", tblPiNHistorical[[#This Row],[Protection New]]-tblPiNHistorical[[#This Row],[Protection Old]])</f>
        <v/>
      </c>
      <c r="AL319" s="136" t="str">
        <f>IF(OR(tblPiNHistorical[[#This Row],[CP Old ]]="", tblPiNHistorical[[#This Row],[CP Old ]]=0, tblPiNHistorical[[#This Row],[CP New]]="", tblPiNHistorical[[#This Row],[CP New]]=0), "", tblPiNHistorical[[#This Row],[CP New]]-tblPiNHistorical[[#This Row],[CP Old ]])</f>
        <v/>
      </c>
      <c r="AM319" s="83" t="str">
        <f>IF(OR(tblPiNHistorical[[#This Row],[GBV Old]]="", tblPiNHistorical[[#This Row],[GBV Old]]=0, tblPiNHistorical[[#This Row],[GBV New]]="", tblPiNHistorical[[#This Row],[GBV New]]=0), "", tblPiNHistorical[[#This Row],[GBV New]]-tblPiNHistorical[[#This Row],[GBV Old]])</f>
        <v/>
      </c>
      <c r="AN319" s="83" t="str">
        <f>IF(OR(tblPiNHistorical[[#This Row],[Mine Action Old]]="", tblPiNHistorical[[#This Row],[Mine Action Old]]=0, tblPiNHistorical[[#This Row],[Mine Action New]]="", tblPiNHistorical[[#This Row],[Mine Action New]]=0), "", tblPiNHistorical[[#This Row],[Mine Action New]]-tblPiNHistorical[[#This Row],[Mine Action Old]])</f>
        <v/>
      </c>
      <c r="AO319" s="136" t="str">
        <f>IF(OR(tblPiNHistorical[[#This Row],[Shelter NFI Old]]="", tblPiNHistorical[[#This Row],[Shelter NFI Old]]=0, tblPiNHistorical[[#This Row],[Shelter NFI New]]="", tblPiNHistorical[[#This Row],[Shelter NFI New]]=0), "", tblPiNHistorical[[#This Row],[Shelter NFI New]]-tblPiNHistorical[[#This Row],[Shelter NFI Old]])</f>
        <v/>
      </c>
      <c r="AP319" s="138" t="str">
        <f>IF(OR(tblPiNHistorical[[#This Row],[WASH Old]]="", tblPiNHistorical[[#This Row],[WASH Old]]=0, tblPiNHistorical[[#This Row],[WASH New]]="", tblPiNHistorical[[#This Row],[WASH New]]=0), "", tblPiNHistorical[[#This Row],[WASH New]]-tblPiNHistorical[[#This Row],[WASH Old]])</f>
        <v/>
      </c>
      <c r="AQ319" s="139" t="str">
        <f>IFERROR(ROUND((tblPiNHistorical[[#This Row],[Site Management - New]] - tblPiNHistorical[[#This Row],[Site Management - Old]])/tblPiNHistorical[[#This Row],[Site Management - Old]], 1), "")</f>
        <v/>
      </c>
      <c r="AR319" s="140" t="str">
        <f>IFERROR(ROUND((tblPiNHistorical[[#This Row],[Education New]]-tblPiNHistorical[[#This Row],[Education Old]])/tblPiNHistorical[[#This Row],[Education Old]], 1), "")</f>
        <v/>
      </c>
      <c r="AS319" s="141" t="str">
        <f>IFERROR(ROUND((tblPiNHistorical[[#This Row],[Food Security and Livlihoods New]]-tblPiNHistorical[[#This Row],[Food Security and Livlihoods Old]])/tblPiNHistorical[[#This Row],[Food Security and Livlihoods Old]], 1), "")</f>
        <v/>
      </c>
      <c r="AT319" s="142" t="str">
        <f>IFERROR(ROUND((tblPiNHistorical[[#This Row],[Health New]]-tblPiNHistorical[[#This Row],[Health Old]])/tblPiNHistorical[[#This Row],[Health Old]], 1), "")</f>
        <v/>
      </c>
      <c r="AU319" s="140" t="str">
        <f>IFERROR(ROUND((tblPiNHistorical[[#This Row],[Nutrition New]]-tblPiNHistorical[[#This Row],[Nutrition Old]])/tblPiNHistorical[[#This Row],[Nutrition Old]], 1), "")</f>
        <v/>
      </c>
      <c r="AV319" s="140" t="str">
        <f>IFERROR(ROUND((tblPiNHistorical[[#This Row],[Protection New]]-tblPiNHistorical[[#This Row],[Protection Old]])/tblPiNHistorical[[#This Row],[Protection Old]], 1), "")</f>
        <v/>
      </c>
      <c r="AW319" s="84" t="str">
        <f>IFERROR(ROUND((tblPiNHistorical[[#This Row],[CP New]]-tblPiNHistorical[[#This Row],[CP Old ]])/tblPiNHistorical[[#This Row],[CP Old ]], 1), "")</f>
        <v/>
      </c>
      <c r="AX319" s="84" t="str">
        <f>IFERROR(ROUND((tblPiNHistorical[[#This Row],[GBV New]]-tblPiNHistorical[[#This Row],[GBV Old]])/tblPiNHistorical[[#This Row],[GBV Old]], 1), "")</f>
        <v/>
      </c>
      <c r="AY319" s="84" t="str">
        <f>IFERROR(ROUND((tblPiNHistorical[[#This Row],[Mine Action New]]-tblPiNHistorical[[#This Row],[Mine Action Old]])/tblPiNHistorical[[#This Row],[Mine Action Old]], 1), "")</f>
        <v/>
      </c>
      <c r="AZ319" s="140" t="str">
        <f>IFERROR(ROUND((tblPiNHistorical[[#This Row],[Shelter NFI New]]-tblPiNHistorical[[#This Row],[Shelter NFI Old]])/tblPiNHistorical[[#This Row],[Shelter NFI Old]], 1), "")</f>
        <v/>
      </c>
      <c r="BA319" s="31" t="str">
        <f>IFERROR(ROUND((tblPiNHistorical[[#This Row],[WASH New]]-tblPiNHistorical[[#This Row],[WASH Old]])/tblPiNHistorical[[#This Row],[WASH Old]], 1), "")</f>
        <v/>
      </c>
    </row>
    <row r="320" spans="1:53" ht="38.25" x14ac:dyDescent="0.25">
      <c r="A320"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RefugeesSD03161</v>
      </c>
      <c r="B320" s="134" t="s">
        <v>185</v>
      </c>
      <c r="C320" s="124" t="s">
        <v>120</v>
      </c>
      <c r="D320" s="124" t="s">
        <v>263</v>
      </c>
      <c r="E320" s="59" t="s">
        <v>262</v>
      </c>
      <c r="F320" s="54"/>
      <c r="G320" s="29"/>
      <c r="H320" s="53">
        <v>692</v>
      </c>
      <c r="I320" s="53" t="s">
        <v>90</v>
      </c>
      <c r="J320" s="34">
        <v>0</v>
      </c>
      <c r="K320" s="116">
        <v>395</v>
      </c>
      <c r="L320" s="114">
        <v>692</v>
      </c>
      <c r="M320" s="114">
        <v>477</v>
      </c>
      <c r="N320" s="114">
        <v>63</v>
      </c>
      <c r="O320" s="114">
        <v>692</v>
      </c>
      <c r="P320" s="114">
        <v>35.984000000000002</v>
      </c>
      <c r="Q320" s="114">
        <v>280.26</v>
      </c>
      <c r="R320" s="114">
        <v>138.4</v>
      </c>
      <c r="S320" s="114">
        <v>277</v>
      </c>
      <c r="T320" s="196">
        <v>551</v>
      </c>
      <c r="U320" s="52" t="str">
        <f>IFERROR(INDEX(tblPiNAnalysis[[Site Management ]], MATCH(tblPiNHistorical[[#This Row],[ID]], tblPiNAnalysis[ID], 0)), "")</f>
        <v/>
      </c>
      <c r="V320" s="52" t="str">
        <f>IFERROR(INDEX(tblPiNAnalysis[Education], MATCH(tblPiNHistorical[[#This Row],[ID]], tblPiNAnalysis[ID], 0)), "")</f>
        <v/>
      </c>
      <c r="W320" s="28" t="str">
        <f>IFERROR(INDEX(tblPiNAnalysis[Food Security and Livlihoods], MATCH(tblPiNHistorical[[#This Row],[ID]], tblPiNAnalysis[ID], 0)), "")</f>
        <v/>
      </c>
      <c r="X320" s="28" t="str">
        <f>IFERROR(INDEX(tblPiNAnalysis[[Health ]], MATCH(tblPiNHistorical[[#This Row],[ID]], tblPiNAnalysis[ID], 0)), "")</f>
        <v/>
      </c>
      <c r="Y320" s="28" t="str">
        <f>IFERROR(INDEX(tblPiNAnalysis[Nutrition], MATCH(tblPiNHistorical[[#This Row],[ID]], tblPiNAnalysis[ID], 0)), "")</f>
        <v/>
      </c>
      <c r="Z320" s="28" t="str">
        <f>IFERROR(INDEX(tblPiNAnalysis[Protection], MATCH(tblPiNHistorical[[#This Row],[ID]], tblPiNAnalysis[ID], 0)), "")</f>
        <v/>
      </c>
      <c r="AA320" s="28" t="str">
        <f>IFERROR(INDEX(tblPiNAnalysis[CP], MATCH(tblPiNHistorical[[#This Row],[ID]], tblPiNAnalysis[ID], 0)), "")</f>
        <v/>
      </c>
      <c r="AB320" s="83" t="str">
        <f>IFERROR(INDEX(tblPiNAnalysis[GBV], MATCH(tblPiNHistorical[[#This Row],[ID]], tblPiNAnalysis[ID], 0)), "")</f>
        <v/>
      </c>
      <c r="AC320" s="28" t="str">
        <f>IFERROR(INDEX(tblPiNAnalysis[Mine Action], MATCH(tblPiNHistorical[[#This Row],[ID]], tblPiNAnalysis[ID], 0)), "")</f>
        <v/>
      </c>
      <c r="AD320" s="83" t="str">
        <f>IFERROR(INDEX(tblPiNAnalysis[[Shelter NFI ]], MATCH(tblPiNHistorical[[#This Row],[ID]], tblPiNAnalysis[ID], 0)), "")</f>
        <v/>
      </c>
      <c r="AE320" s="28" t="str">
        <f>IFERROR(INDEX(tblPiNAnalysis[WASH], MATCH(tblPiNHistorical[[#This Row],[ID]], tblPiNAnalysis[ID], 0)), "")</f>
        <v/>
      </c>
      <c r="AF320"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320" s="136" t="str">
        <f>IF(OR(tblPiNHistorical[[#This Row],[Education Old]]="", tblPiNHistorical[[#This Row],[Education Old]]=0, tblPiNHistorical[[#This Row],[Education New]]="", tblPiNHistorical[[#This Row],[Education New]]=0), "", tblPiNHistorical[[#This Row],[Education New]]-tblPiNHistorical[[#This Row],[Education Old]])</f>
        <v/>
      </c>
      <c r="AH320"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320" s="137" t="str">
        <f>IF(OR(tblPiNHistorical[[#This Row],[Health Old]]="", tblPiNHistorical[[#This Row],[Health Old]]=0, tblPiNHistorical[[#This Row],[Health New]]="", tblPiNHistorical[[#This Row],[Health New]]=0), "", tblPiNHistorical[[#This Row],[Health New]]-tblPiNHistorical[[#This Row],[Health Old]])</f>
        <v/>
      </c>
      <c r="AJ320" s="136" t="str">
        <f>IF(OR(tblPiNHistorical[[#This Row],[Nutrition Old]]="", tblPiNHistorical[[#This Row],[Nutrition Old]]=0, tblPiNHistorical[[#This Row],[Nutrition New]]="", tblPiNHistorical[[#This Row],[Nutrition New]]=0), "", tblPiNHistorical[[#This Row],[Nutrition New]]-tblPiNHistorical[[#This Row],[Nutrition Old]])</f>
        <v/>
      </c>
      <c r="AK320" s="136" t="str">
        <f>IF(OR(tblPiNHistorical[[#This Row],[Protection Old]]="", tblPiNHistorical[[#This Row],[Protection Old]]=0, tblPiNHistorical[[#This Row],[Protection New]]="", tblPiNHistorical[[#This Row],[Protection New]]=0), "", tblPiNHistorical[[#This Row],[Protection New]]-tblPiNHistorical[[#This Row],[Protection Old]])</f>
        <v/>
      </c>
      <c r="AL320" s="136" t="str">
        <f>IF(OR(tblPiNHistorical[[#This Row],[CP Old ]]="", tblPiNHistorical[[#This Row],[CP Old ]]=0, tblPiNHistorical[[#This Row],[CP New]]="", tblPiNHistorical[[#This Row],[CP New]]=0), "", tblPiNHistorical[[#This Row],[CP New]]-tblPiNHistorical[[#This Row],[CP Old ]])</f>
        <v/>
      </c>
      <c r="AM320" s="83" t="str">
        <f>IF(OR(tblPiNHistorical[[#This Row],[GBV Old]]="", tblPiNHistorical[[#This Row],[GBV Old]]=0, tblPiNHistorical[[#This Row],[GBV New]]="", tblPiNHistorical[[#This Row],[GBV New]]=0), "", tblPiNHistorical[[#This Row],[GBV New]]-tblPiNHistorical[[#This Row],[GBV Old]])</f>
        <v/>
      </c>
      <c r="AN320" s="83" t="str">
        <f>IF(OR(tblPiNHistorical[[#This Row],[Mine Action Old]]="", tblPiNHistorical[[#This Row],[Mine Action Old]]=0, tblPiNHistorical[[#This Row],[Mine Action New]]="", tblPiNHistorical[[#This Row],[Mine Action New]]=0), "", tblPiNHistorical[[#This Row],[Mine Action New]]-tblPiNHistorical[[#This Row],[Mine Action Old]])</f>
        <v/>
      </c>
      <c r="AO320" s="136" t="str">
        <f>IF(OR(tblPiNHistorical[[#This Row],[Shelter NFI Old]]="", tblPiNHistorical[[#This Row],[Shelter NFI Old]]=0, tblPiNHistorical[[#This Row],[Shelter NFI New]]="", tblPiNHistorical[[#This Row],[Shelter NFI New]]=0), "", tblPiNHistorical[[#This Row],[Shelter NFI New]]-tblPiNHistorical[[#This Row],[Shelter NFI Old]])</f>
        <v/>
      </c>
      <c r="AP320" s="138" t="str">
        <f>IF(OR(tblPiNHistorical[[#This Row],[WASH Old]]="", tblPiNHistorical[[#This Row],[WASH Old]]=0, tblPiNHistorical[[#This Row],[WASH New]]="", tblPiNHistorical[[#This Row],[WASH New]]=0), "", tblPiNHistorical[[#This Row],[WASH New]]-tblPiNHistorical[[#This Row],[WASH Old]])</f>
        <v/>
      </c>
      <c r="AQ320" s="139" t="str">
        <f>IFERROR(ROUND((tblPiNHistorical[[#This Row],[Site Management - New]] - tblPiNHistorical[[#This Row],[Site Management - Old]])/tblPiNHistorical[[#This Row],[Site Management - Old]], 1), "")</f>
        <v/>
      </c>
      <c r="AR320" s="140" t="str">
        <f>IFERROR(ROUND((tblPiNHistorical[[#This Row],[Education New]]-tblPiNHistorical[[#This Row],[Education Old]])/tblPiNHistorical[[#This Row],[Education Old]], 1), "")</f>
        <v/>
      </c>
      <c r="AS320" s="141" t="str">
        <f>IFERROR(ROUND((tblPiNHistorical[[#This Row],[Food Security and Livlihoods New]]-tblPiNHistorical[[#This Row],[Food Security and Livlihoods Old]])/tblPiNHistorical[[#This Row],[Food Security and Livlihoods Old]], 1), "")</f>
        <v/>
      </c>
      <c r="AT320" s="142" t="str">
        <f>IFERROR(ROUND((tblPiNHistorical[[#This Row],[Health New]]-tblPiNHistorical[[#This Row],[Health Old]])/tblPiNHistorical[[#This Row],[Health Old]], 1), "")</f>
        <v/>
      </c>
      <c r="AU320" s="140" t="str">
        <f>IFERROR(ROUND((tblPiNHistorical[[#This Row],[Nutrition New]]-tblPiNHistorical[[#This Row],[Nutrition Old]])/tblPiNHistorical[[#This Row],[Nutrition Old]], 1), "")</f>
        <v/>
      </c>
      <c r="AV320" s="140" t="str">
        <f>IFERROR(ROUND((tblPiNHistorical[[#This Row],[Protection New]]-tblPiNHistorical[[#This Row],[Protection Old]])/tblPiNHistorical[[#This Row],[Protection Old]], 1), "")</f>
        <v/>
      </c>
      <c r="AW320" s="84" t="str">
        <f>IFERROR(ROUND((tblPiNHistorical[[#This Row],[CP New]]-tblPiNHistorical[[#This Row],[CP Old ]])/tblPiNHistorical[[#This Row],[CP Old ]], 1), "")</f>
        <v/>
      </c>
      <c r="AX320" s="84" t="str">
        <f>IFERROR(ROUND((tblPiNHistorical[[#This Row],[GBV New]]-tblPiNHistorical[[#This Row],[GBV Old]])/tblPiNHistorical[[#This Row],[GBV Old]], 1), "")</f>
        <v/>
      </c>
      <c r="AY320" s="84" t="str">
        <f>IFERROR(ROUND((tblPiNHistorical[[#This Row],[Mine Action New]]-tblPiNHistorical[[#This Row],[Mine Action Old]])/tblPiNHistorical[[#This Row],[Mine Action Old]], 1), "")</f>
        <v/>
      </c>
      <c r="AZ320" s="140" t="str">
        <f>IFERROR(ROUND((tblPiNHistorical[[#This Row],[Shelter NFI New]]-tblPiNHistorical[[#This Row],[Shelter NFI Old]])/tblPiNHistorical[[#This Row],[Shelter NFI Old]], 1), "")</f>
        <v/>
      </c>
      <c r="BA320" s="31" t="str">
        <f>IFERROR(ROUND((tblPiNHistorical[[#This Row],[WASH New]]-tblPiNHistorical[[#This Row],[WASH Old]])/tblPiNHistorical[[#This Row],[WASH Old]], 1), "")</f>
        <v/>
      </c>
    </row>
    <row r="321" spans="1:53" ht="38.25" x14ac:dyDescent="0.25">
      <c r="A321"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RefugeesSD03172</v>
      </c>
      <c r="B321" s="134" t="s">
        <v>185</v>
      </c>
      <c r="C321" s="124" t="s">
        <v>120</v>
      </c>
      <c r="D321" s="124" t="s">
        <v>273</v>
      </c>
      <c r="E321" s="59" t="s">
        <v>272</v>
      </c>
      <c r="F321" s="54"/>
      <c r="G321" s="29"/>
      <c r="H321" s="53">
        <v>2046</v>
      </c>
      <c r="I321" s="53" t="s">
        <v>90</v>
      </c>
      <c r="J321" s="34">
        <v>0</v>
      </c>
      <c r="K321" s="116">
        <v>800</v>
      </c>
      <c r="L321" s="114">
        <v>2046</v>
      </c>
      <c r="M321" s="114">
        <v>1003</v>
      </c>
      <c r="N321" s="114">
        <v>187</v>
      </c>
      <c r="O321" s="114">
        <v>2046</v>
      </c>
      <c r="P321" s="114">
        <v>390.786</v>
      </c>
      <c r="Q321" s="114">
        <v>1415.8319999999999</v>
      </c>
      <c r="R321" s="114">
        <v>0</v>
      </c>
      <c r="S321" s="114">
        <v>0</v>
      </c>
      <c r="T321" s="196">
        <v>1501</v>
      </c>
      <c r="U321" s="52" t="str">
        <f>IFERROR(INDEX(tblPiNAnalysis[[Site Management ]], MATCH(tblPiNHistorical[[#This Row],[ID]], tblPiNAnalysis[ID], 0)), "")</f>
        <v/>
      </c>
      <c r="V321" s="52" t="str">
        <f>IFERROR(INDEX(tblPiNAnalysis[Education], MATCH(tblPiNHistorical[[#This Row],[ID]], tblPiNAnalysis[ID], 0)), "")</f>
        <v/>
      </c>
      <c r="W321" s="28" t="str">
        <f>IFERROR(INDEX(tblPiNAnalysis[Food Security and Livlihoods], MATCH(tblPiNHistorical[[#This Row],[ID]], tblPiNAnalysis[ID], 0)), "")</f>
        <v/>
      </c>
      <c r="X321" s="28" t="str">
        <f>IFERROR(INDEX(tblPiNAnalysis[[Health ]], MATCH(tblPiNHistorical[[#This Row],[ID]], tblPiNAnalysis[ID], 0)), "")</f>
        <v/>
      </c>
      <c r="Y321" s="28" t="str">
        <f>IFERROR(INDEX(tblPiNAnalysis[Nutrition], MATCH(tblPiNHistorical[[#This Row],[ID]], tblPiNAnalysis[ID], 0)), "")</f>
        <v/>
      </c>
      <c r="Z321" s="28" t="str">
        <f>IFERROR(INDEX(tblPiNAnalysis[Protection], MATCH(tblPiNHistorical[[#This Row],[ID]], tblPiNAnalysis[ID], 0)), "")</f>
        <v/>
      </c>
      <c r="AA321" s="28" t="str">
        <f>IFERROR(INDEX(tblPiNAnalysis[CP], MATCH(tblPiNHistorical[[#This Row],[ID]], tblPiNAnalysis[ID], 0)), "")</f>
        <v/>
      </c>
      <c r="AB321" s="83" t="str">
        <f>IFERROR(INDEX(tblPiNAnalysis[GBV], MATCH(tblPiNHistorical[[#This Row],[ID]], tblPiNAnalysis[ID], 0)), "")</f>
        <v/>
      </c>
      <c r="AC321" s="28" t="str">
        <f>IFERROR(INDEX(tblPiNAnalysis[Mine Action], MATCH(tblPiNHistorical[[#This Row],[ID]], tblPiNAnalysis[ID], 0)), "")</f>
        <v/>
      </c>
      <c r="AD321" s="83" t="str">
        <f>IFERROR(INDEX(tblPiNAnalysis[[Shelter NFI ]], MATCH(tblPiNHistorical[[#This Row],[ID]], tblPiNAnalysis[ID], 0)), "")</f>
        <v/>
      </c>
      <c r="AE321" s="28" t="str">
        <f>IFERROR(INDEX(tblPiNAnalysis[WASH], MATCH(tblPiNHistorical[[#This Row],[ID]], tblPiNAnalysis[ID], 0)), "")</f>
        <v/>
      </c>
      <c r="AF321"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321" s="136" t="str">
        <f>IF(OR(tblPiNHistorical[[#This Row],[Education Old]]="", tblPiNHistorical[[#This Row],[Education Old]]=0, tblPiNHistorical[[#This Row],[Education New]]="", tblPiNHistorical[[#This Row],[Education New]]=0), "", tblPiNHistorical[[#This Row],[Education New]]-tblPiNHistorical[[#This Row],[Education Old]])</f>
        <v/>
      </c>
      <c r="AH321"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321" s="137" t="str">
        <f>IF(OR(tblPiNHistorical[[#This Row],[Health Old]]="", tblPiNHistorical[[#This Row],[Health Old]]=0, tblPiNHistorical[[#This Row],[Health New]]="", tblPiNHistorical[[#This Row],[Health New]]=0), "", tblPiNHistorical[[#This Row],[Health New]]-tblPiNHistorical[[#This Row],[Health Old]])</f>
        <v/>
      </c>
      <c r="AJ321" s="136" t="str">
        <f>IF(OR(tblPiNHistorical[[#This Row],[Nutrition Old]]="", tblPiNHistorical[[#This Row],[Nutrition Old]]=0, tblPiNHistorical[[#This Row],[Nutrition New]]="", tblPiNHistorical[[#This Row],[Nutrition New]]=0), "", tblPiNHistorical[[#This Row],[Nutrition New]]-tblPiNHistorical[[#This Row],[Nutrition Old]])</f>
        <v/>
      </c>
      <c r="AK321" s="136" t="str">
        <f>IF(OR(tblPiNHistorical[[#This Row],[Protection Old]]="", tblPiNHistorical[[#This Row],[Protection Old]]=0, tblPiNHistorical[[#This Row],[Protection New]]="", tblPiNHistorical[[#This Row],[Protection New]]=0), "", tblPiNHistorical[[#This Row],[Protection New]]-tblPiNHistorical[[#This Row],[Protection Old]])</f>
        <v/>
      </c>
      <c r="AL321" s="136" t="str">
        <f>IF(OR(tblPiNHistorical[[#This Row],[CP Old ]]="", tblPiNHistorical[[#This Row],[CP Old ]]=0, tblPiNHistorical[[#This Row],[CP New]]="", tblPiNHistorical[[#This Row],[CP New]]=0), "", tblPiNHistorical[[#This Row],[CP New]]-tblPiNHistorical[[#This Row],[CP Old ]])</f>
        <v/>
      </c>
      <c r="AM321" s="83" t="str">
        <f>IF(OR(tblPiNHistorical[[#This Row],[GBV Old]]="", tblPiNHistorical[[#This Row],[GBV Old]]=0, tblPiNHistorical[[#This Row],[GBV New]]="", tblPiNHistorical[[#This Row],[GBV New]]=0), "", tblPiNHistorical[[#This Row],[GBV New]]-tblPiNHistorical[[#This Row],[GBV Old]])</f>
        <v/>
      </c>
      <c r="AN321" s="83" t="str">
        <f>IF(OR(tblPiNHistorical[[#This Row],[Mine Action Old]]="", tblPiNHistorical[[#This Row],[Mine Action Old]]=0, tblPiNHistorical[[#This Row],[Mine Action New]]="", tblPiNHistorical[[#This Row],[Mine Action New]]=0), "", tblPiNHistorical[[#This Row],[Mine Action New]]-tblPiNHistorical[[#This Row],[Mine Action Old]])</f>
        <v/>
      </c>
      <c r="AO321" s="136" t="str">
        <f>IF(OR(tblPiNHistorical[[#This Row],[Shelter NFI Old]]="", tblPiNHistorical[[#This Row],[Shelter NFI Old]]=0, tblPiNHistorical[[#This Row],[Shelter NFI New]]="", tblPiNHistorical[[#This Row],[Shelter NFI New]]=0), "", tblPiNHistorical[[#This Row],[Shelter NFI New]]-tblPiNHistorical[[#This Row],[Shelter NFI Old]])</f>
        <v/>
      </c>
      <c r="AP321" s="138" t="str">
        <f>IF(OR(tblPiNHistorical[[#This Row],[WASH Old]]="", tblPiNHistorical[[#This Row],[WASH Old]]=0, tblPiNHistorical[[#This Row],[WASH New]]="", tblPiNHistorical[[#This Row],[WASH New]]=0), "", tblPiNHistorical[[#This Row],[WASH New]]-tblPiNHistorical[[#This Row],[WASH Old]])</f>
        <v/>
      </c>
      <c r="AQ321" s="139" t="str">
        <f>IFERROR(ROUND((tblPiNHistorical[[#This Row],[Site Management - New]] - tblPiNHistorical[[#This Row],[Site Management - Old]])/tblPiNHistorical[[#This Row],[Site Management - Old]], 1), "")</f>
        <v/>
      </c>
      <c r="AR321" s="140" t="str">
        <f>IFERROR(ROUND((tblPiNHistorical[[#This Row],[Education New]]-tblPiNHistorical[[#This Row],[Education Old]])/tblPiNHistorical[[#This Row],[Education Old]], 1), "")</f>
        <v/>
      </c>
      <c r="AS321" s="141" t="str">
        <f>IFERROR(ROUND((tblPiNHistorical[[#This Row],[Food Security and Livlihoods New]]-tblPiNHistorical[[#This Row],[Food Security and Livlihoods Old]])/tblPiNHistorical[[#This Row],[Food Security and Livlihoods Old]], 1), "")</f>
        <v/>
      </c>
      <c r="AT321" s="142" t="str">
        <f>IFERROR(ROUND((tblPiNHistorical[[#This Row],[Health New]]-tblPiNHistorical[[#This Row],[Health Old]])/tblPiNHistorical[[#This Row],[Health Old]], 1), "")</f>
        <v/>
      </c>
      <c r="AU321" s="140" t="str">
        <f>IFERROR(ROUND((tblPiNHistorical[[#This Row],[Nutrition New]]-tblPiNHistorical[[#This Row],[Nutrition Old]])/tblPiNHistorical[[#This Row],[Nutrition Old]], 1), "")</f>
        <v/>
      </c>
      <c r="AV321" s="140" t="str">
        <f>IFERROR(ROUND((tblPiNHistorical[[#This Row],[Protection New]]-tblPiNHistorical[[#This Row],[Protection Old]])/tblPiNHistorical[[#This Row],[Protection Old]], 1), "")</f>
        <v/>
      </c>
      <c r="AW321" s="84" t="str">
        <f>IFERROR(ROUND((tblPiNHistorical[[#This Row],[CP New]]-tblPiNHistorical[[#This Row],[CP Old ]])/tblPiNHistorical[[#This Row],[CP Old ]], 1), "")</f>
        <v/>
      </c>
      <c r="AX321" s="84" t="str">
        <f>IFERROR(ROUND((tblPiNHistorical[[#This Row],[GBV New]]-tblPiNHistorical[[#This Row],[GBV Old]])/tblPiNHistorical[[#This Row],[GBV Old]], 1), "")</f>
        <v/>
      </c>
      <c r="AY321" s="84" t="str">
        <f>IFERROR(ROUND((tblPiNHistorical[[#This Row],[Mine Action New]]-tblPiNHistorical[[#This Row],[Mine Action Old]])/tblPiNHistorical[[#This Row],[Mine Action Old]], 1), "")</f>
        <v/>
      </c>
      <c r="AZ321" s="140" t="str">
        <f>IFERROR(ROUND((tblPiNHistorical[[#This Row],[Shelter NFI New]]-tblPiNHistorical[[#This Row],[Shelter NFI Old]])/tblPiNHistorical[[#This Row],[Shelter NFI Old]], 1), "")</f>
        <v/>
      </c>
      <c r="BA321" s="31" t="str">
        <f>IFERROR(ROUND((tblPiNHistorical[[#This Row],[WASH New]]-tblPiNHistorical[[#This Row],[WASH Old]])/tblPiNHistorical[[#This Row],[WASH Old]], 1), "")</f>
        <v/>
      </c>
    </row>
    <row r="322" spans="1:53" ht="38.25" x14ac:dyDescent="0.25">
      <c r="A322"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RefugeesSD03143</v>
      </c>
      <c r="B322" s="134" t="s">
        <v>185</v>
      </c>
      <c r="C322" s="124" t="s">
        <v>120</v>
      </c>
      <c r="D322" s="124" t="s">
        <v>235</v>
      </c>
      <c r="E322" s="59" t="s">
        <v>234</v>
      </c>
      <c r="F322" s="54"/>
      <c r="G322" s="29"/>
      <c r="H322" s="53">
        <v>0</v>
      </c>
      <c r="I322" s="53" t="s">
        <v>90</v>
      </c>
      <c r="J322" s="34">
        <v>0</v>
      </c>
      <c r="K322" s="116">
        <v>0</v>
      </c>
      <c r="L322" s="114">
        <v>0</v>
      </c>
      <c r="M322" s="114">
        <v>0</v>
      </c>
      <c r="N322" s="114">
        <v>0</v>
      </c>
      <c r="O322" s="114">
        <v>0</v>
      </c>
      <c r="P322" s="114">
        <v>0</v>
      </c>
      <c r="Q322" s="114">
        <v>0</v>
      </c>
      <c r="R322" s="114">
        <v>0</v>
      </c>
      <c r="S322" s="114">
        <v>0</v>
      </c>
      <c r="T322" s="196">
        <v>0</v>
      </c>
      <c r="U322" s="52" t="str">
        <f>IFERROR(INDEX(tblPiNAnalysis[[Site Management ]], MATCH(tblPiNHistorical[[#This Row],[ID]], tblPiNAnalysis[ID], 0)), "")</f>
        <v/>
      </c>
      <c r="V322" s="52" t="str">
        <f>IFERROR(INDEX(tblPiNAnalysis[Education], MATCH(tblPiNHistorical[[#This Row],[ID]], tblPiNAnalysis[ID], 0)), "")</f>
        <v/>
      </c>
      <c r="W322" s="28" t="str">
        <f>IFERROR(INDEX(tblPiNAnalysis[Food Security and Livlihoods], MATCH(tblPiNHistorical[[#This Row],[ID]], tblPiNAnalysis[ID], 0)), "")</f>
        <v/>
      </c>
      <c r="X322" s="28" t="str">
        <f>IFERROR(INDEX(tblPiNAnalysis[[Health ]], MATCH(tblPiNHistorical[[#This Row],[ID]], tblPiNAnalysis[ID], 0)), "")</f>
        <v/>
      </c>
      <c r="Y322" s="28" t="str">
        <f>IFERROR(INDEX(tblPiNAnalysis[Nutrition], MATCH(tblPiNHistorical[[#This Row],[ID]], tblPiNAnalysis[ID], 0)), "")</f>
        <v/>
      </c>
      <c r="Z322" s="28" t="str">
        <f>IFERROR(INDEX(tblPiNAnalysis[Protection], MATCH(tblPiNHistorical[[#This Row],[ID]], tblPiNAnalysis[ID], 0)), "")</f>
        <v/>
      </c>
      <c r="AA322" s="28" t="str">
        <f>IFERROR(INDEX(tblPiNAnalysis[CP], MATCH(tblPiNHistorical[[#This Row],[ID]], tblPiNAnalysis[ID], 0)), "")</f>
        <v/>
      </c>
      <c r="AB322" s="83" t="str">
        <f>IFERROR(INDEX(tblPiNAnalysis[GBV], MATCH(tblPiNHistorical[[#This Row],[ID]], tblPiNAnalysis[ID], 0)), "")</f>
        <v/>
      </c>
      <c r="AC322" s="28" t="str">
        <f>IFERROR(INDEX(tblPiNAnalysis[Mine Action], MATCH(tblPiNHistorical[[#This Row],[ID]], tblPiNAnalysis[ID], 0)), "")</f>
        <v/>
      </c>
      <c r="AD322" s="83" t="str">
        <f>IFERROR(INDEX(tblPiNAnalysis[[Shelter NFI ]], MATCH(tblPiNHistorical[[#This Row],[ID]], tblPiNAnalysis[ID], 0)), "")</f>
        <v/>
      </c>
      <c r="AE322" s="28" t="str">
        <f>IFERROR(INDEX(tblPiNAnalysis[WASH], MATCH(tblPiNHistorical[[#This Row],[ID]], tblPiNAnalysis[ID], 0)), "")</f>
        <v/>
      </c>
      <c r="AF322"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322" s="136" t="str">
        <f>IF(OR(tblPiNHistorical[[#This Row],[Education Old]]="", tblPiNHistorical[[#This Row],[Education Old]]=0, tblPiNHistorical[[#This Row],[Education New]]="", tblPiNHistorical[[#This Row],[Education New]]=0), "", tblPiNHistorical[[#This Row],[Education New]]-tblPiNHistorical[[#This Row],[Education Old]])</f>
        <v/>
      </c>
      <c r="AH322"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322" s="137" t="str">
        <f>IF(OR(tblPiNHistorical[[#This Row],[Health Old]]="", tblPiNHistorical[[#This Row],[Health Old]]=0, tblPiNHistorical[[#This Row],[Health New]]="", tblPiNHistorical[[#This Row],[Health New]]=0), "", tblPiNHistorical[[#This Row],[Health New]]-tblPiNHistorical[[#This Row],[Health Old]])</f>
        <v/>
      </c>
      <c r="AJ322" s="136" t="str">
        <f>IF(OR(tblPiNHistorical[[#This Row],[Nutrition Old]]="", tblPiNHistorical[[#This Row],[Nutrition Old]]=0, tblPiNHistorical[[#This Row],[Nutrition New]]="", tblPiNHistorical[[#This Row],[Nutrition New]]=0), "", tblPiNHistorical[[#This Row],[Nutrition New]]-tblPiNHistorical[[#This Row],[Nutrition Old]])</f>
        <v/>
      </c>
      <c r="AK322" s="136" t="str">
        <f>IF(OR(tblPiNHistorical[[#This Row],[Protection Old]]="", tblPiNHistorical[[#This Row],[Protection Old]]=0, tblPiNHistorical[[#This Row],[Protection New]]="", tblPiNHistorical[[#This Row],[Protection New]]=0), "", tblPiNHistorical[[#This Row],[Protection New]]-tblPiNHistorical[[#This Row],[Protection Old]])</f>
        <v/>
      </c>
      <c r="AL322" s="136" t="str">
        <f>IF(OR(tblPiNHistorical[[#This Row],[CP Old ]]="", tblPiNHistorical[[#This Row],[CP Old ]]=0, tblPiNHistorical[[#This Row],[CP New]]="", tblPiNHistorical[[#This Row],[CP New]]=0), "", tblPiNHistorical[[#This Row],[CP New]]-tblPiNHistorical[[#This Row],[CP Old ]])</f>
        <v/>
      </c>
      <c r="AM322" s="83" t="str">
        <f>IF(OR(tblPiNHistorical[[#This Row],[GBV Old]]="", tblPiNHistorical[[#This Row],[GBV Old]]=0, tblPiNHistorical[[#This Row],[GBV New]]="", tblPiNHistorical[[#This Row],[GBV New]]=0), "", tblPiNHistorical[[#This Row],[GBV New]]-tblPiNHistorical[[#This Row],[GBV Old]])</f>
        <v/>
      </c>
      <c r="AN322" s="83" t="str">
        <f>IF(OR(tblPiNHistorical[[#This Row],[Mine Action Old]]="", tblPiNHistorical[[#This Row],[Mine Action Old]]=0, tblPiNHistorical[[#This Row],[Mine Action New]]="", tblPiNHistorical[[#This Row],[Mine Action New]]=0), "", tblPiNHistorical[[#This Row],[Mine Action New]]-tblPiNHistorical[[#This Row],[Mine Action Old]])</f>
        <v/>
      </c>
      <c r="AO322" s="136" t="str">
        <f>IF(OR(tblPiNHistorical[[#This Row],[Shelter NFI Old]]="", tblPiNHistorical[[#This Row],[Shelter NFI Old]]=0, tblPiNHistorical[[#This Row],[Shelter NFI New]]="", tblPiNHistorical[[#This Row],[Shelter NFI New]]=0), "", tblPiNHistorical[[#This Row],[Shelter NFI New]]-tblPiNHistorical[[#This Row],[Shelter NFI Old]])</f>
        <v/>
      </c>
      <c r="AP322" s="138" t="str">
        <f>IF(OR(tblPiNHistorical[[#This Row],[WASH Old]]="", tblPiNHistorical[[#This Row],[WASH Old]]=0, tblPiNHistorical[[#This Row],[WASH New]]="", tblPiNHistorical[[#This Row],[WASH New]]=0), "", tblPiNHistorical[[#This Row],[WASH New]]-tblPiNHistorical[[#This Row],[WASH Old]])</f>
        <v/>
      </c>
      <c r="AQ322" s="139" t="str">
        <f>IFERROR(ROUND((tblPiNHistorical[[#This Row],[Site Management - New]] - tblPiNHistorical[[#This Row],[Site Management - Old]])/tblPiNHistorical[[#This Row],[Site Management - Old]], 1), "")</f>
        <v/>
      </c>
      <c r="AR322" s="140" t="str">
        <f>IFERROR(ROUND((tblPiNHistorical[[#This Row],[Education New]]-tblPiNHistorical[[#This Row],[Education Old]])/tblPiNHistorical[[#This Row],[Education Old]], 1), "")</f>
        <v/>
      </c>
      <c r="AS322" s="141" t="str">
        <f>IFERROR(ROUND((tblPiNHistorical[[#This Row],[Food Security and Livlihoods New]]-tblPiNHistorical[[#This Row],[Food Security and Livlihoods Old]])/tblPiNHistorical[[#This Row],[Food Security and Livlihoods Old]], 1), "")</f>
        <v/>
      </c>
      <c r="AT322" s="142" t="str">
        <f>IFERROR(ROUND((tblPiNHistorical[[#This Row],[Health New]]-tblPiNHistorical[[#This Row],[Health Old]])/tblPiNHistorical[[#This Row],[Health Old]], 1), "")</f>
        <v/>
      </c>
      <c r="AU322" s="140" t="str">
        <f>IFERROR(ROUND((tblPiNHistorical[[#This Row],[Nutrition New]]-tblPiNHistorical[[#This Row],[Nutrition Old]])/tblPiNHistorical[[#This Row],[Nutrition Old]], 1), "")</f>
        <v/>
      </c>
      <c r="AV322" s="140" t="str">
        <f>IFERROR(ROUND((tblPiNHistorical[[#This Row],[Protection New]]-tblPiNHistorical[[#This Row],[Protection Old]])/tblPiNHistorical[[#This Row],[Protection Old]], 1), "")</f>
        <v/>
      </c>
      <c r="AW322" s="84" t="str">
        <f>IFERROR(ROUND((tblPiNHistorical[[#This Row],[CP New]]-tblPiNHistorical[[#This Row],[CP Old ]])/tblPiNHistorical[[#This Row],[CP Old ]], 1), "")</f>
        <v/>
      </c>
      <c r="AX322" s="84" t="str">
        <f>IFERROR(ROUND((tblPiNHistorical[[#This Row],[GBV New]]-tblPiNHistorical[[#This Row],[GBV Old]])/tblPiNHistorical[[#This Row],[GBV Old]], 1), "")</f>
        <v/>
      </c>
      <c r="AY322" s="84" t="str">
        <f>IFERROR(ROUND((tblPiNHistorical[[#This Row],[Mine Action New]]-tblPiNHistorical[[#This Row],[Mine Action Old]])/tblPiNHistorical[[#This Row],[Mine Action Old]], 1), "")</f>
        <v/>
      </c>
      <c r="AZ322" s="140" t="str">
        <f>IFERROR(ROUND((tblPiNHistorical[[#This Row],[Shelter NFI New]]-tblPiNHistorical[[#This Row],[Shelter NFI Old]])/tblPiNHistorical[[#This Row],[Shelter NFI Old]], 1), "")</f>
        <v/>
      </c>
      <c r="BA322" s="31" t="str">
        <f>IFERROR(ROUND((tblPiNHistorical[[#This Row],[WASH New]]-tblPiNHistorical[[#This Row],[WASH Old]])/tblPiNHistorical[[#This Row],[WASH Old]], 1), "")</f>
        <v/>
      </c>
    </row>
    <row r="323" spans="1:53" ht="38.25" x14ac:dyDescent="0.25">
      <c r="A323"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RefugeesSD03153</v>
      </c>
      <c r="B323" s="134" t="s">
        <v>185</v>
      </c>
      <c r="C323" s="124" t="s">
        <v>120</v>
      </c>
      <c r="D323" s="124" t="s">
        <v>251</v>
      </c>
      <c r="E323" s="59" t="s">
        <v>250</v>
      </c>
      <c r="F323" s="54"/>
      <c r="G323" s="29"/>
      <c r="H323" s="53">
        <v>0</v>
      </c>
      <c r="I323" s="53" t="s">
        <v>90</v>
      </c>
      <c r="J323" s="34">
        <v>0</v>
      </c>
      <c r="K323" s="116">
        <v>0</v>
      </c>
      <c r="L323" s="114">
        <v>0</v>
      </c>
      <c r="M323" s="114">
        <v>0</v>
      </c>
      <c r="N323" s="114">
        <v>0</v>
      </c>
      <c r="O323" s="114">
        <v>0</v>
      </c>
      <c r="P323" s="114">
        <v>0</v>
      </c>
      <c r="Q323" s="114">
        <v>0</v>
      </c>
      <c r="R323" s="114">
        <v>0</v>
      </c>
      <c r="S323" s="114">
        <v>0</v>
      </c>
      <c r="T323" s="196">
        <v>0</v>
      </c>
      <c r="U323" s="52" t="str">
        <f>IFERROR(INDEX(tblPiNAnalysis[[Site Management ]], MATCH(tblPiNHistorical[[#This Row],[ID]], tblPiNAnalysis[ID], 0)), "")</f>
        <v/>
      </c>
      <c r="V323" s="52" t="str">
        <f>IFERROR(INDEX(tblPiNAnalysis[Education], MATCH(tblPiNHistorical[[#This Row],[ID]], tblPiNAnalysis[ID], 0)), "")</f>
        <v/>
      </c>
      <c r="W323" s="28" t="str">
        <f>IFERROR(INDEX(tblPiNAnalysis[Food Security and Livlihoods], MATCH(tblPiNHistorical[[#This Row],[ID]], tblPiNAnalysis[ID], 0)), "")</f>
        <v/>
      </c>
      <c r="X323" s="28" t="str">
        <f>IFERROR(INDEX(tblPiNAnalysis[[Health ]], MATCH(tblPiNHistorical[[#This Row],[ID]], tblPiNAnalysis[ID], 0)), "")</f>
        <v/>
      </c>
      <c r="Y323" s="28" t="str">
        <f>IFERROR(INDEX(tblPiNAnalysis[Nutrition], MATCH(tblPiNHistorical[[#This Row],[ID]], tblPiNAnalysis[ID], 0)), "")</f>
        <v/>
      </c>
      <c r="Z323" s="28" t="str">
        <f>IFERROR(INDEX(tblPiNAnalysis[Protection], MATCH(tblPiNHistorical[[#This Row],[ID]], tblPiNAnalysis[ID], 0)), "")</f>
        <v/>
      </c>
      <c r="AA323" s="28" t="str">
        <f>IFERROR(INDEX(tblPiNAnalysis[CP], MATCH(tblPiNHistorical[[#This Row],[ID]], tblPiNAnalysis[ID], 0)), "")</f>
        <v/>
      </c>
      <c r="AB323" s="83" t="str">
        <f>IFERROR(INDEX(tblPiNAnalysis[GBV], MATCH(tblPiNHistorical[[#This Row],[ID]], tblPiNAnalysis[ID], 0)), "")</f>
        <v/>
      </c>
      <c r="AC323" s="28" t="str">
        <f>IFERROR(INDEX(tblPiNAnalysis[Mine Action], MATCH(tblPiNHistorical[[#This Row],[ID]], tblPiNAnalysis[ID], 0)), "")</f>
        <v/>
      </c>
      <c r="AD323" s="83" t="str">
        <f>IFERROR(INDEX(tblPiNAnalysis[[Shelter NFI ]], MATCH(tblPiNHistorical[[#This Row],[ID]], tblPiNAnalysis[ID], 0)), "")</f>
        <v/>
      </c>
      <c r="AE323" s="28" t="str">
        <f>IFERROR(INDEX(tblPiNAnalysis[WASH], MATCH(tblPiNHistorical[[#This Row],[ID]], tblPiNAnalysis[ID], 0)), "")</f>
        <v/>
      </c>
      <c r="AF323"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323" s="136" t="str">
        <f>IF(OR(tblPiNHistorical[[#This Row],[Education Old]]="", tblPiNHistorical[[#This Row],[Education Old]]=0, tblPiNHistorical[[#This Row],[Education New]]="", tblPiNHistorical[[#This Row],[Education New]]=0), "", tblPiNHistorical[[#This Row],[Education New]]-tblPiNHistorical[[#This Row],[Education Old]])</f>
        <v/>
      </c>
      <c r="AH323"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323" s="137" t="str">
        <f>IF(OR(tblPiNHistorical[[#This Row],[Health Old]]="", tblPiNHistorical[[#This Row],[Health Old]]=0, tblPiNHistorical[[#This Row],[Health New]]="", tblPiNHistorical[[#This Row],[Health New]]=0), "", tblPiNHistorical[[#This Row],[Health New]]-tblPiNHistorical[[#This Row],[Health Old]])</f>
        <v/>
      </c>
      <c r="AJ323" s="136" t="str">
        <f>IF(OR(tblPiNHistorical[[#This Row],[Nutrition Old]]="", tblPiNHistorical[[#This Row],[Nutrition Old]]=0, tblPiNHistorical[[#This Row],[Nutrition New]]="", tblPiNHistorical[[#This Row],[Nutrition New]]=0), "", tblPiNHistorical[[#This Row],[Nutrition New]]-tblPiNHistorical[[#This Row],[Nutrition Old]])</f>
        <v/>
      </c>
      <c r="AK323" s="136" t="str">
        <f>IF(OR(tblPiNHistorical[[#This Row],[Protection Old]]="", tblPiNHistorical[[#This Row],[Protection Old]]=0, tblPiNHistorical[[#This Row],[Protection New]]="", tblPiNHistorical[[#This Row],[Protection New]]=0), "", tblPiNHistorical[[#This Row],[Protection New]]-tblPiNHistorical[[#This Row],[Protection Old]])</f>
        <v/>
      </c>
      <c r="AL323" s="136" t="str">
        <f>IF(OR(tblPiNHistorical[[#This Row],[CP Old ]]="", tblPiNHistorical[[#This Row],[CP Old ]]=0, tblPiNHistorical[[#This Row],[CP New]]="", tblPiNHistorical[[#This Row],[CP New]]=0), "", tblPiNHistorical[[#This Row],[CP New]]-tblPiNHistorical[[#This Row],[CP Old ]])</f>
        <v/>
      </c>
      <c r="AM323" s="83" t="str">
        <f>IF(OR(tblPiNHistorical[[#This Row],[GBV Old]]="", tblPiNHistorical[[#This Row],[GBV Old]]=0, tblPiNHistorical[[#This Row],[GBV New]]="", tblPiNHistorical[[#This Row],[GBV New]]=0), "", tblPiNHistorical[[#This Row],[GBV New]]-tblPiNHistorical[[#This Row],[GBV Old]])</f>
        <v/>
      </c>
      <c r="AN323" s="83" t="str">
        <f>IF(OR(tblPiNHistorical[[#This Row],[Mine Action Old]]="", tblPiNHistorical[[#This Row],[Mine Action Old]]=0, tblPiNHistorical[[#This Row],[Mine Action New]]="", tblPiNHistorical[[#This Row],[Mine Action New]]=0), "", tblPiNHistorical[[#This Row],[Mine Action New]]-tblPiNHistorical[[#This Row],[Mine Action Old]])</f>
        <v/>
      </c>
      <c r="AO323" s="136" t="str">
        <f>IF(OR(tblPiNHistorical[[#This Row],[Shelter NFI Old]]="", tblPiNHistorical[[#This Row],[Shelter NFI Old]]=0, tblPiNHistorical[[#This Row],[Shelter NFI New]]="", tblPiNHistorical[[#This Row],[Shelter NFI New]]=0), "", tblPiNHistorical[[#This Row],[Shelter NFI New]]-tblPiNHistorical[[#This Row],[Shelter NFI Old]])</f>
        <v/>
      </c>
      <c r="AP323" s="138" t="str">
        <f>IF(OR(tblPiNHistorical[[#This Row],[WASH Old]]="", tblPiNHistorical[[#This Row],[WASH Old]]=0, tblPiNHistorical[[#This Row],[WASH New]]="", tblPiNHistorical[[#This Row],[WASH New]]=0), "", tblPiNHistorical[[#This Row],[WASH New]]-tblPiNHistorical[[#This Row],[WASH Old]])</f>
        <v/>
      </c>
      <c r="AQ323" s="139" t="str">
        <f>IFERROR(ROUND((tblPiNHistorical[[#This Row],[Site Management - New]] - tblPiNHistorical[[#This Row],[Site Management - Old]])/tblPiNHistorical[[#This Row],[Site Management - Old]], 1), "")</f>
        <v/>
      </c>
      <c r="AR323" s="140" t="str">
        <f>IFERROR(ROUND((tblPiNHistorical[[#This Row],[Education New]]-tblPiNHistorical[[#This Row],[Education Old]])/tblPiNHistorical[[#This Row],[Education Old]], 1), "")</f>
        <v/>
      </c>
      <c r="AS323" s="141" t="str">
        <f>IFERROR(ROUND((tblPiNHistorical[[#This Row],[Food Security and Livlihoods New]]-tblPiNHistorical[[#This Row],[Food Security and Livlihoods Old]])/tblPiNHistorical[[#This Row],[Food Security and Livlihoods Old]], 1), "")</f>
        <v/>
      </c>
      <c r="AT323" s="142" t="str">
        <f>IFERROR(ROUND((tblPiNHistorical[[#This Row],[Health New]]-tblPiNHistorical[[#This Row],[Health Old]])/tblPiNHistorical[[#This Row],[Health Old]], 1), "")</f>
        <v/>
      </c>
      <c r="AU323" s="140" t="str">
        <f>IFERROR(ROUND((tblPiNHistorical[[#This Row],[Nutrition New]]-tblPiNHistorical[[#This Row],[Nutrition Old]])/tblPiNHistorical[[#This Row],[Nutrition Old]], 1), "")</f>
        <v/>
      </c>
      <c r="AV323" s="140" t="str">
        <f>IFERROR(ROUND((tblPiNHistorical[[#This Row],[Protection New]]-tblPiNHistorical[[#This Row],[Protection Old]])/tblPiNHistorical[[#This Row],[Protection Old]], 1), "")</f>
        <v/>
      </c>
      <c r="AW323" s="84" t="str">
        <f>IFERROR(ROUND((tblPiNHistorical[[#This Row],[CP New]]-tblPiNHistorical[[#This Row],[CP Old ]])/tblPiNHistorical[[#This Row],[CP Old ]], 1), "")</f>
        <v/>
      </c>
      <c r="AX323" s="84" t="str">
        <f>IFERROR(ROUND((tblPiNHistorical[[#This Row],[GBV New]]-tblPiNHistorical[[#This Row],[GBV Old]])/tblPiNHistorical[[#This Row],[GBV Old]], 1), "")</f>
        <v/>
      </c>
      <c r="AY323" s="84" t="str">
        <f>IFERROR(ROUND((tblPiNHistorical[[#This Row],[Mine Action New]]-tblPiNHistorical[[#This Row],[Mine Action Old]])/tblPiNHistorical[[#This Row],[Mine Action Old]], 1), "")</f>
        <v/>
      </c>
      <c r="AZ323" s="140" t="str">
        <f>IFERROR(ROUND((tblPiNHistorical[[#This Row],[Shelter NFI New]]-tblPiNHistorical[[#This Row],[Shelter NFI Old]])/tblPiNHistorical[[#This Row],[Shelter NFI Old]], 1), "")</f>
        <v/>
      </c>
      <c r="BA323" s="31" t="str">
        <f>IFERROR(ROUND((tblPiNHistorical[[#This Row],[WASH New]]-tblPiNHistorical[[#This Row],[WASH Old]])/tblPiNHistorical[[#This Row],[WASH Old]], 1), "")</f>
        <v/>
      </c>
    </row>
    <row r="324" spans="1:53" ht="38.25" x14ac:dyDescent="0.25">
      <c r="A324"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RefugeesSD03144</v>
      </c>
      <c r="B324" s="134" t="s">
        <v>185</v>
      </c>
      <c r="C324" s="124" t="s">
        <v>120</v>
      </c>
      <c r="D324" s="124" t="s">
        <v>237</v>
      </c>
      <c r="E324" s="59" t="s">
        <v>236</v>
      </c>
      <c r="F324" s="54"/>
      <c r="G324" s="29"/>
      <c r="H324" s="53">
        <v>0</v>
      </c>
      <c r="I324" s="53" t="s">
        <v>90</v>
      </c>
      <c r="J324" s="34">
        <v>0</v>
      </c>
      <c r="K324" s="116">
        <v>0</v>
      </c>
      <c r="L324" s="114">
        <v>0</v>
      </c>
      <c r="M324" s="114">
        <v>0</v>
      </c>
      <c r="N324" s="114">
        <v>0</v>
      </c>
      <c r="O324" s="114">
        <v>0</v>
      </c>
      <c r="P324" s="114">
        <v>0</v>
      </c>
      <c r="Q324" s="114">
        <v>0</v>
      </c>
      <c r="R324" s="114">
        <v>0</v>
      </c>
      <c r="S324" s="114">
        <v>0</v>
      </c>
      <c r="T324" s="196">
        <v>0</v>
      </c>
      <c r="U324" s="52" t="str">
        <f>IFERROR(INDEX(tblPiNAnalysis[[Site Management ]], MATCH(tblPiNHistorical[[#This Row],[ID]], tblPiNAnalysis[ID], 0)), "")</f>
        <v/>
      </c>
      <c r="V324" s="52" t="str">
        <f>IFERROR(INDEX(tblPiNAnalysis[Education], MATCH(tblPiNHistorical[[#This Row],[ID]], tblPiNAnalysis[ID], 0)), "")</f>
        <v/>
      </c>
      <c r="W324" s="28" t="str">
        <f>IFERROR(INDEX(tblPiNAnalysis[Food Security and Livlihoods], MATCH(tblPiNHistorical[[#This Row],[ID]], tblPiNAnalysis[ID], 0)), "")</f>
        <v/>
      </c>
      <c r="X324" s="28" t="str">
        <f>IFERROR(INDEX(tblPiNAnalysis[[Health ]], MATCH(tblPiNHistorical[[#This Row],[ID]], tblPiNAnalysis[ID], 0)), "")</f>
        <v/>
      </c>
      <c r="Y324" s="28" t="str">
        <f>IFERROR(INDEX(tblPiNAnalysis[Nutrition], MATCH(tblPiNHistorical[[#This Row],[ID]], tblPiNAnalysis[ID], 0)), "")</f>
        <v/>
      </c>
      <c r="Z324" s="28" t="str">
        <f>IFERROR(INDEX(tblPiNAnalysis[Protection], MATCH(tblPiNHistorical[[#This Row],[ID]], tblPiNAnalysis[ID], 0)), "")</f>
        <v/>
      </c>
      <c r="AA324" s="28" t="str">
        <f>IFERROR(INDEX(tblPiNAnalysis[CP], MATCH(tblPiNHistorical[[#This Row],[ID]], tblPiNAnalysis[ID], 0)), "")</f>
        <v/>
      </c>
      <c r="AB324" s="83" t="str">
        <f>IFERROR(INDEX(tblPiNAnalysis[GBV], MATCH(tblPiNHistorical[[#This Row],[ID]], tblPiNAnalysis[ID], 0)), "")</f>
        <v/>
      </c>
      <c r="AC324" s="28" t="str">
        <f>IFERROR(INDEX(tblPiNAnalysis[Mine Action], MATCH(tblPiNHistorical[[#This Row],[ID]], tblPiNAnalysis[ID], 0)), "")</f>
        <v/>
      </c>
      <c r="AD324" s="83" t="str">
        <f>IFERROR(INDEX(tblPiNAnalysis[[Shelter NFI ]], MATCH(tblPiNHistorical[[#This Row],[ID]], tblPiNAnalysis[ID], 0)), "")</f>
        <v/>
      </c>
      <c r="AE324" s="28" t="str">
        <f>IFERROR(INDEX(tblPiNAnalysis[WASH], MATCH(tblPiNHistorical[[#This Row],[ID]], tblPiNAnalysis[ID], 0)), "")</f>
        <v/>
      </c>
      <c r="AF324"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324" s="136" t="str">
        <f>IF(OR(tblPiNHistorical[[#This Row],[Education Old]]="", tblPiNHistorical[[#This Row],[Education Old]]=0, tblPiNHistorical[[#This Row],[Education New]]="", tblPiNHistorical[[#This Row],[Education New]]=0), "", tblPiNHistorical[[#This Row],[Education New]]-tblPiNHistorical[[#This Row],[Education Old]])</f>
        <v/>
      </c>
      <c r="AH324"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324" s="137" t="str">
        <f>IF(OR(tblPiNHistorical[[#This Row],[Health Old]]="", tblPiNHistorical[[#This Row],[Health Old]]=0, tblPiNHistorical[[#This Row],[Health New]]="", tblPiNHistorical[[#This Row],[Health New]]=0), "", tblPiNHistorical[[#This Row],[Health New]]-tblPiNHistorical[[#This Row],[Health Old]])</f>
        <v/>
      </c>
      <c r="AJ324" s="136" t="str">
        <f>IF(OR(tblPiNHistorical[[#This Row],[Nutrition Old]]="", tblPiNHistorical[[#This Row],[Nutrition Old]]=0, tblPiNHistorical[[#This Row],[Nutrition New]]="", tblPiNHistorical[[#This Row],[Nutrition New]]=0), "", tblPiNHistorical[[#This Row],[Nutrition New]]-tblPiNHistorical[[#This Row],[Nutrition Old]])</f>
        <v/>
      </c>
      <c r="AK324" s="136" t="str">
        <f>IF(OR(tblPiNHistorical[[#This Row],[Protection Old]]="", tblPiNHistorical[[#This Row],[Protection Old]]=0, tblPiNHistorical[[#This Row],[Protection New]]="", tblPiNHistorical[[#This Row],[Protection New]]=0), "", tblPiNHistorical[[#This Row],[Protection New]]-tblPiNHistorical[[#This Row],[Protection Old]])</f>
        <v/>
      </c>
      <c r="AL324" s="136" t="str">
        <f>IF(OR(tblPiNHistorical[[#This Row],[CP Old ]]="", tblPiNHistorical[[#This Row],[CP Old ]]=0, tblPiNHistorical[[#This Row],[CP New]]="", tblPiNHistorical[[#This Row],[CP New]]=0), "", tblPiNHistorical[[#This Row],[CP New]]-tblPiNHistorical[[#This Row],[CP Old ]])</f>
        <v/>
      </c>
      <c r="AM324" s="83" t="str">
        <f>IF(OR(tblPiNHistorical[[#This Row],[GBV Old]]="", tblPiNHistorical[[#This Row],[GBV Old]]=0, tblPiNHistorical[[#This Row],[GBV New]]="", tblPiNHistorical[[#This Row],[GBV New]]=0), "", tblPiNHistorical[[#This Row],[GBV New]]-tblPiNHistorical[[#This Row],[GBV Old]])</f>
        <v/>
      </c>
      <c r="AN324" s="83" t="str">
        <f>IF(OR(tblPiNHistorical[[#This Row],[Mine Action Old]]="", tblPiNHistorical[[#This Row],[Mine Action Old]]=0, tblPiNHistorical[[#This Row],[Mine Action New]]="", tblPiNHistorical[[#This Row],[Mine Action New]]=0), "", tblPiNHistorical[[#This Row],[Mine Action New]]-tblPiNHistorical[[#This Row],[Mine Action Old]])</f>
        <v/>
      </c>
      <c r="AO324" s="136" t="str">
        <f>IF(OR(tblPiNHistorical[[#This Row],[Shelter NFI Old]]="", tblPiNHistorical[[#This Row],[Shelter NFI Old]]=0, tblPiNHistorical[[#This Row],[Shelter NFI New]]="", tblPiNHistorical[[#This Row],[Shelter NFI New]]=0), "", tblPiNHistorical[[#This Row],[Shelter NFI New]]-tblPiNHistorical[[#This Row],[Shelter NFI Old]])</f>
        <v/>
      </c>
      <c r="AP324" s="138" t="str">
        <f>IF(OR(tblPiNHistorical[[#This Row],[WASH Old]]="", tblPiNHistorical[[#This Row],[WASH Old]]=0, tblPiNHistorical[[#This Row],[WASH New]]="", tblPiNHistorical[[#This Row],[WASH New]]=0), "", tblPiNHistorical[[#This Row],[WASH New]]-tblPiNHistorical[[#This Row],[WASH Old]])</f>
        <v/>
      </c>
      <c r="AQ324" s="139" t="str">
        <f>IFERROR(ROUND((tblPiNHistorical[[#This Row],[Site Management - New]] - tblPiNHistorical[[#This Row],[Site Management - Old]])/tblPiNHistorical[[#This Row],[Site Management - Old]], 1), "")</f>
        <v/>
      </c>
      <c r="AR324" s="140" t="str">
        <f>IFERROR(ROUND((tblPiNHistorical[[#This Row],[Education New]]-tblPiNHistorical[[#This Row],[Education Old]])/tblPiNHistorical[[#This Row],[Education Old]], 1), "")</f>
        <v/>
      </c>
      <c r="AS324" s="141" t="str">
        <f>IFERROR(ROUND((tblPiNHistorical[[#This Row],[Food Security and Livlihoods New]]-tblPiNHistorical[[#This Row],[Food Security and Livlihoods Old]])/tblPiNHistorical[[#This Row],[Food Security and Livlihoods Old]], 1), "")</f>
        <v/>
      </c>
      <c r="AT324" s="142" t="str">
        <f>IFERROR(ROUND((tblPiNHistorical[[#This Row],[Health New]]-tblPiNHistorical[[#This Row],[Health Old]])/tblPiNHistorical[[#This Row],[Health Old]], 1), "")</f>
        <v/>
      </c>
      <c r="AU324" s="140" t="str">
        <f>IFERROR(ROUND((tblPiNHistorical[[#This Row],[Nutrition New]]-tblPiNHistorical[[#This Row],[Nutrition Old]])/tblPiNHistorical[[#This Row],[Nutrition Old]], 1), "")</f>
        <v/>
      </c>
      <c r="AV324" s="140" t="str">
        <f>IFERROR(ROUND((tblPiNHistorical[[#This Row],[Protection New]]-tblPiNHistorical[[#This Row],[Protection Old]])/tblPiNHistorical[[#This Row],[Protection Old]], 1), "")</f>
        <v/>
      </c>
      <c r="AW324" s="84" t="str">
        <f>IFERROR(ROUND((tblPiNHistorical[[#This Row],[CP New]]-tblPiNHistorical[[#This Row],[CP Old ]])/tblPiNHistorical[[#This Row],[CP Old ]], 1), "")</f>
        <v/>
      </c>
      <c r="AX324" s="84" t="str">
        <f>IFERROR(ROUND((tblPiNHistorical[[#This Row],[GBV New]]-tblPiNHistorical[[#This Row],[GBV Old]])/tblPiNHistorical[[#This Row],[GBV Old]], 1), "")</f>
        <v/>
      </c>
      <c r="AY324" s="84" t="str">
        <f>IFERROR(ROUND((tblPiNHistorical[[#This Row],[Mine Action New]]-tblPiNHistorical[[#This Row],[Mine Action Old]])/tblPiNHistorical[[#This Row],[Mine Action Old]], 1), "")</f>
        <v/>
      </c>
      <c r="AZ324" s="140" t="str">
        <f>IFERROR(ROUND((tblPiNHistorical[[#This Row],[Shelter NFI New]]-tblPiNHistorical[[#This Row],[Shelter NFI Old]])/tblPiNHistorical[[#This Row],[Shelter NFI Old]], 1), "")</f>
        <v/>
      </c>
      <c r="BA324" s="31" t="str">
        <f>IFERROR(ROUND((tblPiNHistorical[[#This Row],[WASH New]]-tblPiNHistorical[[#This Row],[WASH Old]])/tblPiNHistorical[[#This Row],[WASH Old]], 1), "")</f>
        <v/>
      </c>
    </row>
    <row r="325" spans="1:53" ht="38.25" x14ac:dyDescent="0.25">
      <c r="A325"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RefugeesSD03159</v>
      </c>
      <c r="B325" s="134" t="s">
        <v>185</v>
      </c>
      <c r="C325" s="124" t="s">
        <v>120</v>
      </c>
      <c r="D325" s="124" t="s">
        <v>261</v>
      </c>
      <c r="E325" s="59" t="s">
        <v>260</v>
      </c>
      <c r="F325" s="54"/>
      <c r="G325" s="29"/>
      <c r="H325" s="53">
        <v>0</v>
      </c>
      <c r="I325" s="53" t="s">
        <v>90</v>
      </c>
      <c r="J325" s="34">
        <v>0</v>
      </c>
      <c r="K325" s="116">
        <v>0</v>
      </c>
      <c r="L325" s="114">
        <v>0</v>
      </c>
      <c r="M325" s="114">
        <v>0</v>
      </c>
      <c r="N325" s="114">
        <v>0</v>
      </c>
      <c r="O325" s="114">
        <v>0</v>
      </c>
      <c r="P325" s="114">
        <v>0</v>
      </c>
      <c r="Q325" s="114">
        <v>0</v>
      </c>
      <c r="R325" s="114">
        <v>0</v>
      </c>
      <c r="S325" s="114">
        <v>0</v>
      </c>
      <c r="T325" s="196">
        <v>0</v>
      </c>
      <c r="U325" s="52" t="str">
        <f>IFERROR(INDEX(tblPiNAnalysis[[Site Management ]], MATCH(tblPiNHistorical[[#This Row],[ID]], tblPiNAnalysis[ID], 0)), "")</f>
        <v/>
      </c>
      <c r="V325" s="52" t="str">
        <f>IFERROR(INDEX(tblPiNAnalysis[Education], MATCH(tblPiNHistorical[[#This Row],[ID]], tblPiNAnalysis[ID], 0)), "")</f>
        <v/>
      </c>
      <c r="W325" s="28" t="str">
        <f>IFERROR(INDEX(tblPiNAnalysis[Food Security and Livlihoods], MATCH(tblPiNHistorical[[#This Row],[ID]], tblPiNAnalysis[ID], 0)), "")</f>
        <v/>
      </c>
      <c r="X325" s="28" t="str">
        <f>IFERROR(INDEX(tblPiNAnalysis[[Health ]], MATCH(tblPiNHistorical[[#This Row],[ID]], tblPiNAnalysis[ID], 0)), "")</f>
        <v/>
      </c>
      <c r="Y325" s="28" t="str">
        <f>IFERROR(INDEX(tblPiNAnalysis[Nutrition], MATCH(tblPiNHistorical[[#This Row],[ID]], tblPiNAnalysis[ID], 0)), "")</f>
        <v/>
      </c>
      <c r="Z325" s="28" t="str">
        <f>IFERROR(INDEX(tblPiNAnalysis[Protection], MATCH(tblPiNHistorical[[#This Row],[ID]], tblPiNAnalysis[ID], 0)), "")</f>
        <v/>
      </c>
      <c r="AA325" s="28" t="str">
        <f>IFERROR(INDEX(tblPiNAnalysis[CP], MATCH(tblPiNHistorical[[#This Row],[ID]], tblPiNAnalysis[ID], 0)), "")</f>
        <v/>
      </c>
      <c r="AB325" s="83" t="str">
        <f>IFERROR(INDEX(tblPiNAnalysis[GBV], MATCH(tblPiNHistorical[[#This Row],[ID]], tblPiNAnalysis[ID], 0)), "")</f>
        <v/>
      </c>
      <c r="AC325" s="28" t="str">
        <f>IFERROR(INDEX(tblPiNAnalysis[Mine Action], MATCH(tblPiNHistorical[[#This Row],[ID]], tblPiNAnalysis[ID], 0)), "")</f>
        <v/>
      </c>
      <c r="AD325" s="83" t="str">
        <f>IFERROR(INDEX(tblPiNAnalysis[[Shelter NFI ]], MATCH(tblPiNHistorical[[#This Row],[ID]], tblPiNAnalysis[ID], 0)), "")</f>
        <v/>
      </c>
      <c r="AE325" s="28" t="str">
        <f>IFERROR(INDEX(tblPiNAnalysis[WASH], MATCH(tblPiNHistorical[[#This Row],[ID]], tblPiNAnalysis[ID], 0)), "")</f>
        <v/>
      </c>
      <c r="AF325"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325" s="136" t="str">
        <f>IF(OR(tblPiNHistorical[[#This Row],[Education Old]]="", tblPiNHistorical[[#This Row],[Education Old]]=0, tblPiNHistorical[[#This Row],[Education New]]="", tblPiNHistorical[[#This Row],[Education New]]=0), "", tblPiNHistorical[[#This Row],[Education New]]-tblPiNHistorical[[#This Row],[Education Old]])</f>
        <v/>
      </c>
      <c r="AH325"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325" s="137" t="str">
        <f>IF(OR(tblPiNHistorical[[#This Row],[Health Old]]="", tblPiNHistorical[[#This Row],[Health Old]]=0, tblPiNHistorical[[#This Row],[Health New]]="", tblPiNHistorical[[#This Row],[Health New]]=0), "", tblPiNHistorical[[#This Row],[Health New]]-tblPiNHistorical[[#This Row],[Health Old]])</f>
        <v/>
      </c>
      <c r="AJ325" s="136" t="str">
        <f>IF(OR(tblPiNHistorical[[#This Row],[Nutrition Old]]="", tblPiNHistorical[[#This Row],[Nutrition Old]]=0, tblPiNHistorical[[#This Row],[Nutrition New]]="", tblPiNHistorical[[#This Row],[Nutrition New]]=0), "", tblPiNHistorical[[#This Row],[Nutrition New]]-tblPiNHistorical[[#This Row],[Nutrition Old]])</f>
        <v/>
      </c>
      <c r="AK325" s="136" t="str">
        <f>IF(OR(tblPiNHistorical[[#This Row],[Protection Old]]="", tblPiNHistorical[[#This Row],[Protection Old]]=0, tblPiNHistorical[[#This Row],[Protection New]]="", tblPiNHistorical[[#This Row],[Protection New]]=0), "", tblPiNHistorical[[#This Row],[Protection New]]-tblPiNHistorical[[#This Row],[Protection Old]])</f>
        <v/>
      </c>
      <c r="AL325" s="136" t="str">
        <f>IF(OR(tblPiNHistorical[[#This Row],[CP Old ]]="", tblPiNHistorical[[#This Row],[CP Old ]]=0, tblPiNHistorical[[#This Row],[CP New]]="", tblPiNHistorical[[#This Row],[CP New]]=0), "", tblPiNHistorical[[#This Row],[CP New]]-tblPiNHistorical[[#This Row],[CP Old ]])</f>
        <v/>
      </c>
      <c r="AM325" s="83" t="str">
        <f>IF(OR(tblPiNHistorical[[#This Row],[GBV Old]]="", tblPiNHistorical[[#This Row],[GBV Old]]=0, tblPiNHistorical[[#This Row],[GBV New]]="", tblPiNHistorical[[#This Row],[GBV New]]=0), "", tblPiNHistorical[[#This Row],[GBV New]]-tblPiNHistorical[[#This Row],[GBV Old]])</f>
        <v/>
      </c>
      <c r="AN325" s="83" t="str">
        <f>IF(OR(tblPiNHistorical[[#This Row],[Mine Action Old]]="", tblPiNHistorical[[#This Row],[Mine Action Old]]=0, tblPiNHistorical[[#This Row],[Mine Action New]]="", tblPiNHistorical[[#This Row],[Mine Action New]]=0), "", tblPiNHistorical[[#This Row],[Mine Action New]]-tblPiNHistorical[[#This Row],[Mine Action Old]])</f>
        <v/>
      </c>
      <c r="AO325" s="136" t="str">
        <f>IF(OR(tblPiNHistorical[[#This Row],[Shelter NFI Old]]="", tblPiNHistorical[[#This Row],[Shelter NFI Old]]=0, tblPiNHistorical[[#This Row],[Shelter NFI New]]="", tblPiNHistorical[[#This Row],[Shelter NFI New]]=0), "", tblPiNHistorical[[#This Row],[Shelter NFI New]]-tblPiNHistorical[[#This Row],[Shelter NFI Old]])</f>
        <v/>
      </c>
      <c r="AP325" s="138" t="str">
        <f>IF(OR(tblPiNHistorical[[#This Row],[WASH Old]]="", tblPiNHistorical[[#This Row],[WASH Old]]=0, tblPiNHistorical[[#This Row],[WASH New]]="", tblPiNHistorical[[#This Row],[WASH New]]=0), "", tblPiNHistorical[[#This Row],[WASH New]]-tblPiNHistorical[[#This Row],[WASH Old]])</f>
        <v/>
      </c>
      <c r="AQ325" s="139" t="str">
        <f>IFERROR(ROUND((tblPiNHistorical[[#This Row],[Site Management - New]] - tblPiNHistorical[[#This Row],[Site Management - Old]])/tblPiNHistorical[[#This Row],[Site Management - Old]], 1), "")</f>
        <v/>
      </c>
      <c r="AR325" s="140" t="str">
        <f>IFERROR(ROUND((tblPiNHistorical[[#This Row],[Education New]]-tblPiNHistorical[[#This Row],[Education Old]])/tblPiNHistorical[[#This Row],[Education Old]], 1), "")</f>
        <v/>
      </c>
      <c r="AS325" s="141" t="str">
        <f>IFERROR(ROUND((tblPiNHistorical[[#This Row],[Food Security and Livlihoods New]]-tblPiNHistorical[[#This Row],[Food Security and Livlihoods Old]])/tblPiNHistorical[[#This Row],[Food Security and Livlihoods Old]], 1), "")</f>
        <v/>
      </c>
      <c r="AT325" s="142" t="str">
        <f>IFERROR(ROUND((tblPiNHistorical[[#This Row],[Health New]]-tblPiNHistorical[[#This Row],[Health Old]])/tblPiNHistorical[[#This Row],[Health Old]], 1), "")</f>
        <v/>
      </c>
      <c r="AU325" s="140" t="str">
        <f>IFERROR(ROUND((tblPiNHistorical[[#This Row],[Nutrition New]]-tblPiNHistorical[[#This Row],[Nutrition Old]])/tblPiNHistorical[[#This Row],[Nutrition Old]], 1), "")</f>
        <v/>
      </c>
      <c r="AV325" s="140" t="str">
        <f>IFERROR(ROUND((tblPiNHistorical[[#This Row],[Protection New]]-tblPiNHistorical[[#This Row],[Protection Old]])/tblPiNHistorical[[#This Row],[Protection Old]], 1), "")</f>
        <v/>
      </c>
      <c r="AW325" s="84" t="str">
        <f>IFERROR(ROUND((tblPiNHistorical[[#This Row],[CP New]]-tblPiNHistorical[[#This Row],[CP Old ]])/tblPiNHistorical[[#This Row],[CP Old ]], 1), "")</f>
        <v/>
      </c>
      <c r="AX325" s="84" t="str">
        <f>IFERROR(ROUND((tblPiNHistorical[[#This Row],[GBV New]]-tblPiNHistorical[[#This Row],[GBV Old]])/tblPiNHistorical[[#This Row],[GBV Old]], 1), "")</f>
        <v/>
      </c>
      <c r="AY325" s="84" t="str">
        <f>IFERROR(ROUND((tblPiNHistorical[[#This Row],[Mine Action New]]-tblPiNHistorical[[#This Row],[Mine Action Old]])/tblPiNHistorical[[#This Row],[Mine Action Old]], 1), "")</f>
        <v/>
      </c>
      <c r="AZ325" s="140" t="str">
        <f>IFERROR(ROUND((tblPiNHistorical[[#This Row],[Shelter NFI New]]-tblPiNHistorical[[#This Row],[Shelter NFI Old]])/tblPiNHistorical[[#This Row],[Shelter NFI Old]], 1), "")</f>
        <v/>
      </c>
      <c r="BA325" s="31" t="str">
        <f>IFERROR(ROUND((tblPiNHistorical[[#This Row],[WASH New]]-tblPiNHistorical[[#This Row],[WASH Old]])/tblPiNHistorical[[#This Row],[WASH Old]], 1), "")</f>
        <v/>
      </c>
    </row>
    <row r="326" spans="1:53" ht="38.25" x14ac:dyDescent="0.25">
      <c r="A326"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RefugeesSD03157</v>
      </c>
      <c r="B326" s="134" t="s">
        <v>185</v>
      </c>
      <c r="C326" s="124" t="s">
        <v>120</v>
      </c>
      <c r="D326" s="124" t="s">
        <v>257</v>
      </c>
      <c r="E326" s="59" t="s">
        <v>256</v>
      </c>
      <c r="F326" s="54"/>
      <c r="G326" s="29"/>
      <c r="H326" s="53">
        <v>0</v>
      </c>
      <c r="I326" s="53" t="s">
        <v>90</v>
      </c>
      <c r="J326" s="34">
        <v>0</v>
      </c>
      <c r="K326" s="116">
        <v>0</v>
      </c>
      <c r="L326" s="114">
        <v>0</v>
      </c>
      <c r="M326" s="114">
        <v>0</v>
      </c>
      <c r="N326" s="114">
        <v>0</v>
      </c>
      <c r="O326" s="114">
        <v>0</v>
      </c>
      <c r="P326" s="114">
        <v>0</v>
      </c>
      <c r="Q326" s="114">
        <v>0</v>
      </c>
      <c r="R326" s="114">
        <v>0</v>
      </c>
      <c r="S326" s="114">
        <v>0</v>
      </c>
      <c r="T326" s="196">
        <v>0</v>
      </c>
      <c r="U326" s="52" t="str">
        <f>IFERROR(INDEX(tblPiNAnalysis[[Site Management ]], MATCH(tblPiNHistorical[[#This Row],[ID]], tblPiNAnalysis[ID], 0)), "")</f>
        <v/>
      </c>
      <c r="V326" s="52" t="str">
        <f>IFERROR(INDEX(tblPiNAnalysis[Education], MATCH(tblPiNHistorical[[#This Row],[ID]], tblPiNAnalysis[ID], 0)), "")</f>
        <v/>
      </c>
      <c r="W326" s="28" t="str">
        <f>IFERROR(INDEX(tblPiNAnalysis[Food Security and Livlihoods], MATCH(tblPiNHistorical[[#This Row],[ID]], tblPiNAnalysis[ID], 0)), "")</f>
        <v/>
      </c>
      <c r="X326" s="28" t="str">
        <f>IFERROR(INDEX(tblPiNAnalysis[[Health ]], MATCH(tblPiNHistorical[[#This Row],[ID]], tblPiNAnalysis[ID], 0)), "")</f>
        <v/>
      </c>
      <c r="Y326" s="28" t="str">
        <f>IFERROR(INDEX(tblPiNAnalysis[Nutrition], MATCH(tblPiNHistorical[[#This Row],[ID]], tblPiNAnalysis[ID], 0)), "")</f>
        <v/>
      </c>
      <c r="Z326" s="28" t="str">
        <f>IFERROR(INDEX(tblPiNAnalysis[Protection], MATCH(tblPiNHistorical[[#This Row],[ID]], tblPiNAnalysis[ID], 0)), "")</f>
        <v/>
      </c>
      <c r="AA326" s="28" t="str">
        <f>IFERROR(INDEX(tblPiNAnalysis[CP], MATCH(tblPiNHistorical[[#This Row],[ID]], tblPiNAnalysis[ID], 0)), "")</f>
        <v/>
      </c>
      <c r="AB326" s="83" t="str">
        <f>IFERROR(INDEX(tblPiNAnalysis[GBV], MATCH(tblPiNHistorical[[#This Row],[ID]], tblPiNAnalysis[ID], 0)), "")</f>
        <v/>
      </c>
      <c r="AC326" s="28" t="str">
        <f>IFERROR(INDEX(tblPiNAnalysis[Mine Action], MATCH(tblPiNHistorical[[#This Row],[ID]], tblPiNAnalysis[ID], 0)), "")</f>
        <v/>
      </c>
      <c r="AD326" s="83" t="str">
        <f>IFERROR(INDEX(tblPiNAnalysis[[Shelter NFI ]], MATCH(tblPiNHistorical[[#This Row],[ID]], tblPiNAnalysis[ID], 0)), "")</f>
        <v/>
      </c>
      <c r="AE326" s="28" t="str">
        <f>IFERROR(INDEX(tblPiNAnalysis[WASH], MATCH(tblPiNHistorical[[#This Row],[ID]], tblPiNAnalysis[ID], 0)), "")</f>
        <v/>
      </c>
      <c r="AF326"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326" s="136" t="str">
        <f>IF(OR(tblPiNHistorical[[#This Row],[Education Old]]="", tblPiNHistorical[[#This Row],[Education Old]]=0, tblPiNHistorical[[#This Row],[Education New]]="", tblPiNHistorical[[#This Row],[Education New]]=0), "", tblPiNHistorical[[#This Row],[Education New]]-tblPiNHistorical[[#This Row],[Education Old]])</f>
        <v/>
      </c>
      <c r="AH326"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326" s="137" t="str">
        <f>IF(OR(tblPiNHistorical[[#This Row],[Health Old]]="", tblPiNHistorical[[#This Row],[Health Old]]=0, tblPiNHistorical[[#This Row],[Health New]]="", tblPiNHistorical[[#This Row],[Health New]]=0), "", tblPiNHistorical[[#This Row],[Health New]]-tblPiNHistorical[[#This Row],[Health Old]])</f>
        <v/>
      </c>
      <c r="AJ326" s="136" t="str">
        <f>IF(OR(tblPiNHistorical[[#This Row],[Nutrition Old]]="", tblPiNHistorical[[#This Row],[Nutrition Old]]=0, tblPiNHistorical[[#This Row],[Nutrition New]]="", tblPiNHistorical[[#This Row],[Nutrition New]]=0), "", tblPiNHistorical[[#This Row],[Nutrition New]]-tblPiNHistorical[[#This Row],[Nutrition Old]])</f>
        <v/>
      </c>
      <c r="AK326" s="136" t="str">
        <f>IF(OR(tblPiNHistorical[[#This Row],[Protection Old]]="", tblPiNHistorical[[#This Row],[Protection Old]]=0, tblPiNHistorical[[#This Row],[Protection New]]="", tblPiNHistorical[[#This Row],[Protection New]]=0), "", tblPiNHistorical[[#This Row],[Protection New]]-tblPiNHistorical[[#This Row],[Protection Old]])</f>
        <v/>
      </c>
      <c r="AL326" s="136" t="str">
        <f>IF(OR(tblPiNHistorical[[#This Row],[CP Old ]]="", tblPiNHistorical[[#This Row],[CP Old ]]=0, tblPiNHistorical[[#This Row],[CP New]]="", tblPiNHistorical[[#This Row],[CP New]]=0), "", tblPiNHistorical[[#This Row],[CP New]]-tblPiNHistorical[[#This Row],[CP Old ]])</f>
        <v/>
      </c>
      <c r="AM326" s="83" t="str">
        <f>IF(OR(tblPiNHistorical[[#This Row],[GBV Old]]="", tblPiNHistorical[[#This Row],[GBV Old]]=0, tblPiNHistorical[[#This Row],[GBV New]]="", tblPiNHistorical[[#This Row],[GBV New]]=0), "", tblPiNHistorical[[#This Row],[GBV New]]-tblPiNHistorical[[#This Row],[GBV Old]])</f>
        <v/>
      </c>
      <c r="AN326" s="83" t="str">
        <f>IF(OR(tblPiNHistorical[[#This Row],[Mine Action Old]]="", tblPiNHistorical[[#This Row],[Mine Action Old]]=0, tblPiNHistorical[[#This Row],[Mine Action New]]="", tblPiNHistorical[[#This Row],[Mine Action New]]=0), "", tblPiNHistorical[[#This Row],[Mine Action New]]-tblPiNHistorical[[#This Row],[Mine Action Old]])</f>
        <v/>
      </c>
      <c r="AO326" s="136" t="str">
        <f>IF(OR(tblPiNHistorical[[#This Row],[Shelter NFI Old]]="", tblPiNHistorical[[#This Row],[Shelter NFI Old]]=0, tblPiNHistorical[[#This Row],[Shelter NFI New]]="", tblPiNHistorical[[#This Row],[Shelter NFI New]]=0), "", tblPiNHistorical[[#This Row],[Shelter NFI New]]-tblPiNHistorical[[#This Row],[Shelter NFI Old]])</f>
        <v/>
      </c>
      <c r="AP326" s="138" t="str">
        <f>IF(OR(tblPiNHistorical[[#This Row],[WASH Old]]="", tblPiNHistorical[[#This Row],[WASH Old]]=0, tblPiNHistorical[[#This Row],[WASH New]]="", tblPiNHistorical[[#This Row],[WASH New]]=0), "", tblPiNHistorical[[#This Row],[WASH New]]-tblPiNHistorical[[#This Row],[WASH Old]])</f>
        <v/>
      </c>
      <c r="AQ326" s="139" t="str">
        <f>IFERROR(ROUND((tblPiNHistorical[[#This Row],[Site Management - New]] - tblPiNHistorical[[#This Row],[Site Management - Old]])/tblPiNHistorical[[#This Row],[Site Management - Old]], 1), "")</f>
        <v/>
      </c>
      <c r="AR326" s="140" t="str">
        <f>IFERROR(ROUND((tblPiNHistorical[[#This Row],[Education New]]-tblPiNHistorical[[#This Row],[Education Old]])/tblPiNHistorical[[#This Row],[Education Old]], 1), "")</f>
        <v/>
      </c>
      <c r="AS326" s="141" t="str">
        <f>IFERROR(ROUND((tblPiNHistorical[[#This Row],[Food Security and Livlihoods New]]-tblPiNHistorical[[#This Row],[Food Security and Livlihoods Old]])/tblPiNHistorical[[#This Row],[Food Security and Livlihoods Old]], 1), "")</f>
        <v/>
      </c>
      <c r="AT326" s="142" t="str">
        <f>IFERROR(ROUND((tblPiNHistorical[[#This Row],[Health New]]-tblPiNHistorical[[#This Row],[Health Old]])/tblPiNHistorical[[#This Row],[Health Old]], 1), "")</f>
        <v/>
      </c>
      <c r="AU326" s="140" t="str">
        <f>IFERROR(ROUND((tblPiNHistorical[[#This Row],[Nutrition New]]-tblPiNHistorical[[#This Row],[Nutrition Old]])/tblPiNHistorical[[#This Row],[Nutrition Old]], 1), "")</f>
        <v/>
      </c>
      <c r="AV326" s="140" t="str">
        <f>IFERROR(ROUND((tblPiNHistorical[[#This Row],[Protection New]]-tblPiNHistorical[[#This Row],[Protection Old]])/tblPiNHistorical[[#This Row],[Protection Old]], 1), "")</f>
        <v/>
      </c>
      <c r="AW326" s="84" t="str">
        <f>IFERROR(ROUND((tblPiNHistorical[[#This Row],[CP New]]-tblPiNHistorical[[#This Row],[CP Old ]])/tblPiNHistorical[[#This Row],[CP Old ]], 1), "")</f>
        <v/>
      </c>
      <c r="AX326" s="84" t="str">
        <f>IFERROR(ROUND((tblPiNHistorical[[#This Row],[GBV New]]-tblPiNHistorical[[#This Row],[GBV Old]])/tblPiNHistorical[[#This Row],[GBV Old]], 1), "")</f>
        <v/>
      </c>
      <c r="AY326" s="84" t="str">
        <f>IFERROR(ROUND((tblPiNHistorical[[#This Row],[Mine Action New]]-tblPiNHistorical[[#This Row],[Mine Action Old]])/tblPiNHistorical[[#This Row],[Mine Action Old]], 1), "")</f>
        <v/>
      </c>
      <c r="AZ326" s="140" t="str">
        <f>IFERROR(ROUND((tblPiNHistorical[[#This Row],[Shelter NFI New]]-tblPiNHistorical[[#This Row],[Shelter NFI Old]])/tblPiNHistorical[[#This Row],[Shelter NFI Old]], 1), "")</f>
        <v/>
      </c>
      <c r="BA326" s="31" t="str">
        <f>IFERROR(ROUND((tblPiNHistorical[[#This Row],[WASH New]]-tblPiNHistorical[[#This Row],[WASH Old]])/tblPiNHistorical[[#This Row],[WASH Old]], 1), "")</f>
        <v/>
      </c>
    </row>
    <row r="327" spans="1:53" ht="38.25" x14ac:dyDescent="0.25">
      <c r="A327"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RefugeesSD03145</v>
      </c>
      <c r="B327" s="134" t="s">
        <v>185</v>
      </c>
      <c r="C327" s="124" t="s">
        <v>120</v>
      </c>
      <c r="D327" s="124" t="s">
        <v>239</v>
      </c>
      <c r="E327" s="59" t="s">
        <v>238</v>
      </c>
      <c r="F327" s="54"/>
      <c r="G327" s="29"/>
      <c r="H327" s="53">
        <v>0</v>
      </c>
      <c r="I327" s="53" t="s">
        <v>90</v>
      </c>
      <c r="J327" s="34">
        <v>0</v>
      </c>
      <c r="K327" s="116">
        <v>0</v>
      </c>
      <c r="L327" s="114">
        <v>0</v>
      </c>
      <c r="M327" s="114">
        <v>0</v>
      </c>
      <c r="N327" s="114">
        <v>0</v>
      </c>
      <c r="O327" s="114">
        <v>0</v>
      </c>
      <c r="P327" s="114">
        <v>0</v>
      </c>
      <c r="Q327" s="114">
        <v>0</v>
      </c>
      <c r="R327" s="114">
        <v>0</v>
      </c>
      <c r="S327" s="114">
        <v>0</v>
      </c>
      <c r="T327" s="196">
        <v>0</v>
      </c>
      <c r="U327" s="52" t="str">
        <f>IFERROR(INDEX(tblPiNAnalysis[[Site Management ]], MATCH(tblPiNHistorical[[#This Row],[ID]], tblPiNAnalysis[ID], 0)), "")</f>
        <v/>
      </c>
      <c r="V327" s="52" t="str">
        <f>IFERROR(INDEX(tblPiNAnalysis[Education], MATCH(tblPiNHistorical[[#This Row],[ID]], tblPiNAnalysis[ID], 0)), "")</f>
        <v/>
      </c>
      <c r="W327" s="28" t="str">
        <f>IFERROR(INDEX(tblPiNAnalysis[Food Security and Livlihoods], MATCH(tblPiNHistorical[[#This Row],[ID]], tblPiNAnalysis[ID], 0)), "")</f>
        <v/>
      </c>
      <c r="X327" s="28" t="str">
        <f>IFERROR(INDEX(tblPiNAnalysis[[Health ]], MATCH(tblPiNHistorical[[#This Row],[ID]], tblPiNAnalysis[ID], 0)), "")</f>
        <v/>
      </c>
      <c r="Y327" s="28" t="str">
        <f>IFERROR(INDEX(tblPiNAnalysis[Nutrition], MATCH(tblPiNHistorical[[#This Row],[ID]], tblPiNAnalysis[ID], 0)), "")</f>
        <v/>
      </c>
      <c r="Z327" s="28" t="str">
        <f>IFERROR(INDEX(tblPiNAnalysis[Protection], MATCH(tblPiNHistorical[[#This Row],[ID]], tblPiNAnalysis[ID], 0)), "")</f>
        <v/>
      </c>
      <c r="AA327" s="28" t="str">
        <f>IFERROR(INDEX(tblPiNAnalysis[CP], MATCH(tblPiNHistorical[[#This Row],[ID]], tblPiNAnalysis[ID], 0)), "")</f>
        <v/>
      </c>
      <c r="AB327" s="83" t="str">
        <f>IFERROR(INDEX(tblPiNAnalysis[GBV], MATCH(tblPiNHistorical[[#This Row],[ID]], tblPiNAnalysis[ID], 0)), "")</f>
        <v/>
      </c>
      <c r="AC327" s="28" t="str">
        <f>IFERROR(INDEX(tblPiNAnalysis[Mine Action], MATCH(tblPiNHistorical[[#This Row],[ID]], tblPiNAnalysis[ID], 0)), "")</f>
        <v/>
      </c>
      <c r="AD327" s="83" t="str">
        <f>IFERROR(INDEX(tblPiNAnalysis[[Shelter NFI ]], MATCH(tblPiNHistorical[[#This Row],[ID]], tblPiNAnalysis[ID], 0)), "")</f>
        <v/>
      </c>
      <c r="AE327" s="28" t="str">
        <f>IFERROR(INDEX(tblPiNAnalysis[WASH], MATCH(tblPiNHistorical[[#This Row],[ID]], tblPiNAnalysis[ID], 0)), "")</f>
        <v/>
      </c>
      <c r="AF327"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327" s="136" t="str">
        <f>IF(OR(tblPiNHistorical[[#This Row],[Education Old]]="", tblPiNHistorical[[#This Row],[Education Old]]=0, tblPiNHistorical[[#This Row],[Education New]]="", tblPiNHistorical[[#This Row],[Education New]]=0), "", tblPiNHistorical[[#This Row],[Education New]]-tblPiNHistorical[[#This Row],[Education Old]])</f>
        <v/>
      </c>
      <c r="AH327"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327" s="137" t="str">
        <f>IF(OR(tblPiNHistorical[[#This Row],[Health Old]]="", tblPiNHistorical[[#This Row],[Health Old]]=0, tblPiNHistorical[[#This Row],[Health New]]="", tblPiNHistorical[[#This Row],[Health New]]=0), "", tblPiNHistorical[[#This Row],[Health New]]-tblPiNHistorical[[#This Row],[Health Old]])</f>
        <v/>
      </c>
      <c r="AJ327" s="136" t="str">
        <f>IF(OR(tblPiNHistorical[[#This Row],[Nutrition Old]]="", tblPiNHistorical[[#This Row],[Nutrition Old]]=0, tblPiNHistorical[[#This Row],[Nutrition New]]="", tblPiNHistorical[[#This Row],[Nutrition New]]=0), "", tblPiNHistorical[[#This Row],[Nutrition New]]-tblPiNHistorical[[#This Row],[Nutrition Old]])</f>
        <v/>
      </c>
      <c r="AK327" s="136" t="str">
        <f>IF(OR(tblPiNHistorical[[#This Row],[Protection Old]]="", tblPiNHistorical[[#This Row],[Protection Old]]=0, tblPiNHistorical[[#This Row],[Protection New]]="", tblPiNHistorical[[#This Row],[Protection New]]=0), "", tblPiNHistorical[[#This Row],[Protection New]]-tblPiNHistorical[[#This Row],[Protection Old]])</f>
        <v/>
      </c>
      <c r="AL327" s="136" t="str">
        <f>IF(OR(tblPiNHistorical[[#This Row],[CP Old ]]="", tblPiNHistorical[[#This Row],[CP Old ]]=0, tblPiNHistorical[[#This Row],[CP New]]="", tblPiNHistorical[[#This Row],[CP New]]=0), "", tblPiNHistorical[[#This Row],[CP New]]-tblPiNHistorical[[#This Row],[CP Old ]])</f>
        <v/>
      </c>
      <c r="AM327" s="83" t="str">
        <f>IF(OR(tblPiNHistorical[[#This Row],[GBV Old]]="", tblPiNHistorical[[#This Row],[GBV Old]]=0, tblPiNHistorical[[#This Row],[GBV New]]="", tblPiNHistorical[[#This Row],[GBV New]]=0), "", tblPiNHistorical[[#This Row],[GBV New]]-tblPiNHistorical[[#This Row],[GBV Old]])</f>
        <v/>
      </c>
      <c r="AN327" s="83" t="str">
        <f>IF(OR(tblPiNHistorical[[#This Row],[Mine Action Old]]="", tblPiNHistorical[[#This Row],[Mine Action Old]]=0, tblPiNHistorical[[#This Row],[Mine Action New]]="", tblPiNHistorical[[#This Row],[Mine Action New]]=0), "", tblPiNHistorical[[#This Row],[Mine Action New]]-tblPiNHistorical[[#This Row],[Mine Action Old]])</f>
        <v/>
      </c>
      <c r="AO327" s="136" t="str">
        <f>IF(OR(tblPiNHistorical[[#This Row],[Shelter NFI Old]]="", tblPiNHistorical[[#This Row],[Shelter NFI Old]]=0, tblPiNHistorical[[#This Row],[Shelter NFI New]]="", tblPiNHistorical[[#This Row],[Shelter NFI New]]=0), "", tblPiNHistorical[[#This Row],[Shelter NFI New]]-tblPiNHistorical[[#This Row],[Shelter NFI Old]])</f>
        <v/>
      </c>
      <c r="AP327" s="138" t="str">
        <f>IF(OR(tblPiNHistorical[[#This Row],[WASH Old]]="", tblPiNHistorical[[#This Row],[WASH Old]]=0, tblPiNHistorical[[#This Row],[WASH New]]="", tblPiNHistorical[[#This Row],[WASH New]]=0), "", tblPiNHistorical[[#This Row],[WASH New]]-tblPiNHistorical[[#This Row],[WASH Old]])</f>
        <v/>
      </c>
      <c r="AQ327" s="139" t="str">
        <f>IFERROR(ROUND((tblPiNHistorical[[#This Row],[Site Management - New]] - tblPiNHistorical[[#This Row],[Site Management - Old]])/tblPiNHistorical[[#This Row],[Site Management - Old]], 1), "")</f>
        <v/>
      </c>
      <c r="AR327" s="140" t="str">
        <f>IFERROR(ROUND((tblPiNHistorical[[#This Row],[Education New]]-tblPiNHistorical[[#This Row],[Education Old]])/tblPiNHistorical[[#This Row],[Education Old]], 1), "")</f>
        <v/>
      </c>
      <c r="AS327" s="141" t="str">
        <f>IFERROR(ROUND((tblPiNHistorical[[#This Row],[Food Security and Livlihoods New]]-tblPiNHistorical[[#This Row],[Food Security and Livlihoods Old]])/tblPiNHistorical[[#This Row],[Food Security and Livlihoods Old]], 1), "")</f>
        <v/>
      </c>
      <c r="AT327" s="142" t="str">
        <f>IFERROR(ROUND((tblPiNHistorical[[#This Row],[Health New]]-tblPiNHistorical[[#This Row],[Health Old]])/tblPiNHistorical[[#This Row],[Health Old]], 1), "")</f>
        <v/>
      </c>
      <c r="AU327" s="140" t="str">
        <f>IFERROR(ROUND((tblPiNHistorical[[#This Row],[Nutrition New]]-tblPiNHistorical[[#This Row],[Nutrition Old]])/tblPiNHistorical[[#This Row],[Nutrition Old]], 1), "")</f>
        <v/>
      </c>
      <c r="AV327" s="140" t="str">
        <f>IFERROR(ROUND((tblPiNHistorical[[#This Row],[Protection New]]-tblPiNHistorical[[#This Row],[Protection Old]])/tblPiNHistorical[[#This Row],[Protection Old]], 1), "")</f>
        <v/>
      </c>
      <c r="AW327" s="84" t="str">
        <f>IFERROR(ROUND((tblPiNHistorical[[#This Row],[CP New]]-tblPiNHistorical[[#This Row],[CP Old ]])/tblPiNHistorical[[#This Row],[CP Old ]], 1), "")</f>
        <v/>
      </c>
      <c r="AX327" s="84" t="str">
        <f>IFERROR(ROUND((tblPiNHistorical[[#This Row],[GBV New]]-tblPiNHistorical[[#This Row],[GBV Old]])/tblPiNHistorical[[#This Row],[GBV Old]], 1), "")</f>
        <v/>
      </c>
      <c r="AY327" s="84" t="str">
        <f>IFERROR(ROUND((tblPiNHistorical[[#This Row],[Mine Action New]]-tblPiNHistorical[[#This Row],[Mine Action Old]])/tblPiNHistorical[[#This Row],[Mine Action Old]], 1), "")</f>
        <v/>
      </c>
      <c r="AZ327" s="140" t="str">
        <f>IFERROR(ROUND((tblPiNHistorical[[#This Row],[Shelter NFI New]]-tblPiNHistorical[[#This Row],[Shelter NFI Old]])/tblPiNHistorical[[#This Row],[Shelter NFI Old]], 1), "")</f>
        <v/>
      </c>
      <c r="BA327" s="31" t="str">
        <f>IFERROR(ROUND((tblPiNHistorical[[#This Row],[WASH New]]-tblPiNHistorical[[#This Row],[WASH Old]])/tblPiNHistorical[[#This Row],[WASH Old]], 1), "")</f>
        <v/>
      </c>
    </row>
    <row r="328" spans="1:53" ht="38.25" x14ac:dyDescent="0.25">
      <c r="A328"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RefugeesSD03151</v>
      </c>
      <c r="B328" s="134" t="s">
        <v>185</v>
      </c>
      <c r="C328" s="124" t="s">
        <v>120</v>
      </c>
      <c r="D328" s="124" t="s">
        <v>249</v>
      </c>
      <c r="E328" s="59" t="s">
        <v>248</v>
      </c>
      <c r="F328" s="54"/>
      <c r="G328" s="29"/>
      <c r="H328" s="53">
        <v>0</v>
      </c>
      <c r="I328" s="53" t="s">
        <v>90</v>
      </c>
      <c r="J328" s="34">
        <v>0</v>
      </c>
      <c r="K328" s="116">
        <v>0</v>
      </c>
      <c r="L328" s="114">
        <v>0</v>
      </c>
      <c r="M328" s="114">
        <v>0</v>
      </c>
      <c r="N328" s="114">
        <v>0</v>
      </c>
      <c r="O328" s="114">
        <v>0</v>
      </c>
      <c r="P328" s="114">
        <v>0</v>
      </c>
      <c r="Q328" s="114">
        <v>0</v>
      </c>
      <c r="R328" s="114">
        <v>0</v>
      </c>
      <c r="S328" s="114">
        <v>0</v>
      </c>
      <c r="T328" s="196">
        <v>0</v>
      </c>
      <c r="U328" s="52" t="str">
        <f>IFERROR(INDEX(tblPiNAnalysis[[Site Management ]], MATCH(tblPiNHistorical[[#This Row],[ID]], tblPiNAnalysis[ID], 0)), "")</f>
        <v/>
      </c>
      <c r="V328" s="52" t="str">
        <f>IFERROR(INDEX(tblPiNAnalysis[Education], MATCH(tblPiNHistorical[[#This Row],[ID]], tblPiNAnalysis[ID], 0)), "")</f>
        <v/>
      </c>
      <c r="W328" s="28" t="str">
        <f>IFERROR(INDEX(tblPiNAnalysis[Food Security and Livlihoods], MATCH(tblPiNHistorical[[#This Row],[ID]], tblPiNAnalysis[ID], 0)), "")</f>
        <v/>
      </c>
      <c r="X328" s="28" t="str">
        <f>IFERROR(INDEX(tblPiNAnalysis[[Health ]], MATCH(tblPiNHistorical[[#This Row],[ID]], tblPiNAnalysis[ID], 0)), "")</f>
        <v/>
      </c>
      <c r="Y328" s="28" t="str">
        <f>IFERROR(INDEX(tblPiNAnalysis[Nutrition], MATCH(tblPiNHistorical[[#This Row],[ID]], tblPiNAnalysis[ID], 0)), "")</f>
        <v/>
      </c>
      <c r="Z328" s="28" t="str">
        <f>IFERROR(INDEX(tblPiNAnalysis[Protection], MATCH(tblPiNHistorical[[#This Row],[ID]], tblPiNAnalysis[ID], 0)), "")</f>
        <v/>
      </c>
      <c r="AA328" s="28" t="str">
        <f>IFERROR(INDEX(tblPiNAnalysis[CP], MATCH(tblPiNHistorical[[#This Row],[ID]], tblPiNAnalysis[ID], 0)), "")</f>
        <v/>
      </c>
      <c r="AB328" s="83" t="str">
        <f>IFERROR(INDEX(tblPiNAnalysis[GBV], MATCH(tblPiNHistorical[[#This Row],[ID]], tblPiNAnalysis[ID], 0)), "")</f>
        <v/>
      </c>
      <c r="AC328" s="28" t="str">
        <f>IFERROR(INDEX(tblPiNAnalysis[Mine Action], MATCH(tblPiNHistorical[[#This Row],[ID]], tblPiNAnalysis[ID], 0)), "")</f>
        <v/>
      </c>
      <c r="AD328" s="83" t="str">
        <f>IFERROR(INDEX(tblPiNAnalysis[[Shelter NFI ]], MATCH(tblPiNHistorical[[#This Row],[ID]], tblPiNAnalysis[ID], 0)), "")</f>
        <v/>
      </c>
      <c r="AE328" s="28" t="str">
        <f>IFERROR(INDEX(tblPiNAnalysis[WASH], MATCH(tblPiNHistorical[[#This Row],[ID]], tblPiNAnalysis[ID], 0)), "")</f>
        <v/>
      </c>
      <c r="AF328"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328" s="136" t="str">
        <f>IF(OR(tblPiNHistorical[[#This Row],[Education Old]]="", tblPiNHistorical[[#This Row],[Education Old]]=0, tblPiNHistorical[[#This Row],[Education New]]="", tblPiNHistorical[[#This Row],[Education New]]=0), "", tblPiNHistorical[[#This Row],[Education New]]-tblPiNHistorical[[#This Row],[Education Old]])</f>
        <v/>
      </c>
      <c r="AH328"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328" s="137" t="str">
        <f>IF(OR(tblPiNHistorical[[#This Row],[Health Old]]="", tblPiNHistorical[[#This Row],[Health Old]]=0, tblPiNHistorical[[#This Row],[Health New]]="", tblPiNHistorical[[#This Row],[Health New]]=0), "", tblPiNHistorical[[#This Row],[Health New]]-tblPiNHistorical[[#This Row],[Health Old]])</f>
        <v/>
      </c>
      <c r="AJ328" s="136" t="str">
        <f>IF(OR(tblPiNHistorical[[#This Row],[Nutrition Old]]="", tblPiNHistorical[[#This Row],[Nutrition Old]]=0, tblPiNHistorical[[#This Row],[Nutrition New]]="", tblPiNHistorical[[#This Row],[Nutrition New]]=0), "", tblPiNHistorical[[#This Row],[Nutrition New]]-tblPiNHistorical[[#This Row],[Nutrition Old]])</f>
        <v/>
      </c>
      <c r="AK328" s="136" t="str">
        <f>IF(OR(tblPiNHistorical[[#This Row],[Protection Old]]="", tblPiNHistorical[[#This Row],[Protection Old]]=0, tblPiNHistorical[[#This Row],[Protection New]]="", tblPiNHistorical[[#This Row],[Protection New]]=0), "", tblPiNHistorical[[#This Row],[Protection New]]-tblPiNHistorical[[#This Row],[Protection Old]])</f>
        <v/>
      </c>
      <c r="AL328" s="136" t="str">
        <f>IF(OR(tblPiNHistorical[[#This Row],[CP Old ]]="", tblPiNHistorical[[#This Row],[CP Old ]]=0, tblPiNHistorical[[#This Row],[CP New]]="", tblPiNHistorical[[#This Row],[CP New]]=0), "", tblPiNHistorical[[#This Row],[CP New]]-tblPiNHistorical[[#This Row],[CP Old ]])</f>
        <v/>
      </c>
      <c r="AM328" s="83" t="str">
        <f>IF(OR(tblPiNHistorical[[#This Row],[GBV Old]]="", tblPiNHistorical[[#This Row],[GBV Old]]=0, tblPiNHistorical[[#This Row],[GBV New]]="", tblPiNHistorical[[#This Row],[GBV New]]=0), "", tblPiNHistorical[[#This Row],[GBV New]]-tblPiNHistorical[[#This Row],[GBV Old]])</f>
        <v/>
      </c>
      <c r="AN328" s="83" t="str">
        <f>IF(OR(tblPiNHistorical[[#This Row],[Mine Action Old]]="", tblPiNHistorical[[#This Row],[Mine Action Old]]=0, tblPiNHistorical[[#This Row],[Mine Action New]]="", tblPiNHistorical[[#This Row],[Mine Action New]]=0), "", tblPiNHistorical[[#This Row],[Mine Action New]]-tblPiNHistorical[[#This Row],[Mine Action Old]])</f>
        <v/>
      </c>
      <c r="AO328" s="136" t="str">
        <f>IF(OR(tblPiNHistorical[[#This Row],[Shelter NFI Old]]="", tblPiNHistorical[[#This Row],[Shelter NFI Old]]=0, tblPiNHistorical[[#This Row],[Shelter NFI New]]="", tblPiNHistorical[[#This Row],[Shelter NFI New]]=0), "", tblPiNHistorical[[#This Row],[Shelter NFI New]]-tblPiNHistorical[[#This Row],[Shelter NFI Old]])</f>
        <v/>
      </c>
      <c r="AP328" s="138" t="str">
        <f>IF(OR(tblPiNHistorical[[#This Row],[WASH Old]]="", tblPiNHistorical[[#This Row],[WASH Old]]=0, tblPiNHistorical[[#This Row],[WASH New]]="", tblPiNHistorical[[#This Row],[WASH New]]=0), "", tblPiNHistorical[[#This Row],[WASH New]]-tblPiNHistorical[[#This Row],[WASH Old]])</f>
        <v/>
      </c>
      <c r="AQ328" s="139" t="str">
        <f>IFERROR(ROUND((tblPiNHistorical[[#This Row],[Site Management - New]] - tblPiNHistorical[[#This Row],[Site Management - Old]])/tblPiNHistorical[[#This Row],[Site Management - Old]], 1), "")</f>
        <v/>
      </c>
      <c r="AR328" s="140" t="str">
        <f>IFERROR(ROUND((tblPiNHistorical[[#This Row],[Education New]]-tblPiNHistorical[[#This Row],[Education Old]])/tblPiNHistorical[[#This Row],[Education Old]], 1), "")</f>
        <v/>
      </c>
      <c r="AS328" s="141" t="str">
        <f>IFERROR(ROUND((tblPiNHistorical[[#This Row],[Food Security and Livlihoods New]]-tblPiNHistorical[[#This Row],[Food Security and Livlihoods Old]])/tblPiNHistorical[[#This Row],[Food Security and Livlihoods Old]], 1), "")</f>
        <v/>
      </c>
      <c r="AT328" s="142" t="str">
        <f>IFERROR(ROUND((tblPiNHistorical[[#This Row],[Health New]]-tblPiNHistorical[[#This Row],[Health Old]])/tblPiNHistorical[[#This Row],[Health Old]], 1), "")</f>
        <v/>
      </c>
      <c r="AU328" s="140" t="str">
        <f>IFERROR(ROUND((tblPiNHistorical[[#This Row],[Nutrition New]]-tblPiNHistorical[[#This Row],[Nutrition Old]])/tblPiNHistorical[[#This Row],[Nutrition Old]], 1), "")</f>
        <v/>
      </c>
      <c r="AV328" s="140" t="str">
        <f>IFERROR(ROUND((tblPiNHistorical[[#This Row],[Protection New]]-tblPiNHistorical[[#This Row],[Protection Old]])/tblPiNHistorical[[#This Row],[Protection Old]], 1), "")</f>
        <v/>
      </c>
      <c r="AW328" s="84" t="str">
        <f>IFERROR(ROUND((tblPiNHistorical[[#This Row],[CP New]]-tblPiNHistorical[[#This Row],[CP Old ]])/tblPiNHistorical[[#This Row],[CP Old ]], 1), "")</f>
        <v/>
      </c>
      <c r="AX328" s="84" t="str">
        <f>IFERROR(ROUND((tblPiNHistorical[[#This Row],[GBV New]]-tblPiNHistorical[[#This Row],[GBV Old]])/tblPiNHistorical[[#This Row],[GBV Old]], 1), "")</f>
        <v/>
      </c>
      <c r="AY328" s="84" t="str">
        <f>IFERROR(ROUND((tblPiNHistorical[[#This Row],[Mine Action New]]-tblPiNHistorical[[#This Row],[Mine Action Old]])/tblPiNHistorical[[#This Row],[Mine Action Old]], 1), "")</f>
        <v/>
      </c>
      <c r="AZ328" s="140" t="str">
        <f>IFERROR(ROUND((tblPiNHistorical[[#This Row],[Shelter NFI New]]-tblPiNHistorical[[#This Row],[Shelter NFI Old]])/tblPiNHistorical[[#This Row],[Shelter NFI Old]], 1), "")</f>
        <v/>
      </c>
      <c r="BA328" s="31" t="str">
        <f>IFERROR(ROUND((tblPiNHistorical[[#This Row],[WASH New]]-tblPiNHistorical[[#This Row],[WASH Old]])/tblPiNHistorical[[#This Row],[WASH Old]], 1), "")</f>
        <v/>
      </c>
    </row>
    <row r="329" spans="1:53" ht="38.25" x14ac:dyDescent="0.25">
      <c r="A329"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RefugeesSD03167</v>
      </c>
      <c r="B329" s="134" t="s">
        <v>185</v>
      </c>
      <c r="C329" s="124" t="s">
        <v>120</v>
      </c>
      <c r="D329" s="124" t="s">
        <v>271</v>
      </c>
      <c r="E329" s="59" t="s">
        <v>270</v>
      </c>
      <c r="F329" s="54"/>
      <c r="G329" s="29"/>
      <c r="H329" s="53">
        <v>5307</v>
      </c>
      <c r="I329" s="53" t="s">
        <v>90</v>
      </c>
      <c r="J329" s="34">
        <v>0</v>
      </c>
      <c r="K329" s="116">
        <v>2592</v>
      </c>
      <c r="L329" s="114">
        <v>5307</v>
      </c>
      <c r="M329" s="114">
        <v>2600</v>
      </c>
      <c r="N329" s="114">
        <v>484</v>
      </c>
      <c r="O329" s="114">
        <v>5307</v>
      </c>
      <c r="P329" s="114">
        <v>376.79699999999997</v>
      </c>
      <c r="Q329" s="114">
        <v>1788.4590000000001</v>
      </c>
      <c r="R329" s="114">
        <v>2122.8000000000002</v>
      </c>
      <c r="S329" s="114">
        <v>3184</v>
      </c>
      <c r="T329" s="196">
        <v>317</v>
      </c>
      <c r="U329" s="52" t="str">
        <f>IFERROR(INDEX(tblPiNAnalysis[[Site Management ]], MATCH(tblPiNHistorical[[#This Row],[ID]], tblPiNAnalysis[ID], 0)), "")</f>
        <v/>
      </c>
      <c r="V329" s="52" t="str">
        <f>IFERROR(INDEX(tblPiNAnalysis[Education], MATCH(tblPiNHistorical[[#This Row],[ID]], tblPiNAnalysis[ID], 0)), "")</f>
        <v/>
      </c>
      <c r="W329" s="28" t="str">
        <f>IFERROR(INDEX(tblPiNAnalysis[Food Security and Livlihoods], MATCH(tblPiNHistorical[[#This Row],[ID]], tblPiNAnalysis[ID], 0)), "")</f>
        <v/>
      </c>
      <c r="X329" s="28" t="str">
        <f>IFERROR(INDEX(tblPiNAnalysis[[Health ]], MATCH(tblPiNHistorical[[#This Row],[ID]], tblPiNAnalysis[ID], 0)), "")</f>
        <v/>
      </c>
      <c r="Y329" s="28" t="str">
        <f>IFERROR(INDEX(tblPiNAnalysis[Nutrition], MATCH(tblPiNHistorical[[#This Row],[ID]], tblPiNAnalysis[ID], 0)), "")</f>
        <v/>
      </c>
      <c r="Z329" s="28" t="str">
        <f>IFERROR(INDEX(tblPiNAnalysis[Protection], MATCH(tblPiNHistorical[[#This Row],[ID]], tblPiNAnalysis[ID], 0)), "")</f>
        <v/>
      </c>
      <c r="AA329" s="28" t="str">
        <f>IFERROR(INDEX(tblPiNAnalysis[CP], MATCH(tblPiNHistorical[[#This Row],[ID]], tblPiNAnalysis[ID], 0)), "")</f>
        <v/>
      </c>
      <c r="AB329" s="83" t="str">
        <f>IFERROR(INDEX(tblPiNAnalysis[GBV], MATCH(tblPiNHistorical[[#This Row],[ID]], tblPiNAnalysis[ID], 0)), "")</f>
        <v/>
      </c>
      <c r="AC329" s="28" t="str">
        <f>IFERROR(INDEX(tblPiNAnalysis[Mine Action], MATCH(tblPiNHistorical[[#This Row],[ID]], tblPiNAnalysis[ID], 0)), "")</f>
        <v/>
      </c>
      <c r="AD329" s="83" t="str">
        <f>IFERROR(INDEX(tblPiNAnalysis[[Shelter NFI ]], MATCH(tblPiNHistorical[[#This Row],[ID]], tblPiNAnalysis[ID], 0)), "")</f>
        <v/>
      </c>
      <c r="AE329" s="28" t="str">
        <f>IFERROR(INDEX(tblPiNAnalysis[WASH], MATCH(tblPiNHistorical[[#This Row],[ID]], tblPiNAnalysis[ID], 0)), "")</f>
        <v/>
      </c>
      <c r="AF329"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329" s="136" t="str">
        <f>IF(OR(tblPiNHistorical[[#This Row],[Education Old]]="", tblPiNHistorical[[#This Row],[Education Old]]=0, tblPiNHistorical[[#This Row],[Education New]]="", tblPiNHistorical[[#This Row],[Education New]]=0), "", tblPiNHistorical[[#This Row],[Education New]]-tblPiNHistorical[[#This Row],[Education Old]])</f>
        <v/>
      </c>
      <c r="AH329"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329" s="137" t="str">
        <f>IF(OR(tblPiNHistorical[[#This Row],[Health Old]]="", tblPiNHistorical[[#This Row],[Health Old]]=0, tblPiNHistorical[[#This Row],[Health New]]="", tblPiNHistorical[[#This Row],[Health New]]=0), "", tblPiNHistorical[[#This Row],[Health New]]-tblPiNHistorical[[#This Row],[Health Old]])</f>
        <v/>
      </c>
      <c r="AJ329" s="136" t="str">
        <f>IF(OR(tblPiNHistorical[[#This Row],[Nutrition Old]]="", tblPiNHistorical[[#This Row],[Nutrition Old]]=0, tblPiNHistorical[[#This Row],[Nutrition New]]="", tblPiNHistorical[[#This Row],[Nutrition New]]=0), "", tblPiNHistorical[[#This Row],[Nutrition New]]-tblPiNHistorical[[#This Row],[Nutrition Old]])</f>
        <v/>
      </c>
      <c r="AK329" s="136" t="str">
        <f>IF(OR(tblPiNHistorical[[#This Row],[Protection Old]]="", tblPiNHistorical[[#This Row],[Protection Old]]=0, tblPiNHistorical[[#This Row],[Protection New]]="", tblPiNHistorical[[#This Row],[Protection New]]=0), "", tblPiNHistorical[[#This Row],[Protection New]]-tblPiNHistorical[[#This Row],[Protection Old]])</f>
        <v/>
      </c>
      <c r="AL329" s="136" t="str">
        <f>IF(OR(tblPiNHistorical[[#This Row],[CP Old ]]="", tblPiNHistorical[[#This Row],[CP Old ]]=0, tblPiNHistorical[[#This Row],[CP New]]="", tblPiNHistorical[[#This Row],[CP New]]=0), "", tblPiNHistorical[[#This Row],[CP New]]-tblPiNHistorical[[#This Row],[CP Old ]])</f>
        <v/>
      </c>
      <c r="AM329" s="83" t="str">
        <f>IF(OR(tblPiNHistorical[[#This Row],[GBV Old]]="", tblPiNHistorical[[#This Row],[GBV Old]]=0, tblPiNHistorical[[#This Row],[GBV New]]="", tblPiNHistorical[[#This Row],[GBV New]]=0), "", tblPiNHistorical[[#This Row],[GBV New]]-tblPiNHistorical[[#This Row],[GBV Old]])</f>
        <v/>
      </c>
      <c r="AN329" s="83" t="str">
        <f>IF(OR(tblPiNHistorical[[#This Row],[Mine Action Old]]="", tblPiNHistorical[[#This Row],[Mine Action Old]]=0, tblPiNHistorical[[#This Row],[Mine Action New]]="", tblPiNHistorical[[#This Row],[Mine Action New]]=0), "", tblPiNHistorical[[#This Row],[Mine Action New]]-tblPiNHistorical[[#This Row],[Mine Action Old]])</f>
        <v/>
      </c>
      <c r="AO329" s="136" t="str">
        <f>IF(OR(tblPiNHistorical[[#This Row],[Shelter NFI Old]]="", tblPiNHistorical[[#This Row],[Shelter NFI Old]]=0, tblPiNHistorical[[#This Row],[Shelter NFI New]]="", tblPiNHistorical[[#This Row],[Shelter NFI New]]=0), "", tblPiNHistorical[[#This Row],[Shelter NFI New]]-tblPiNHistorical[[#This Row],[Shelter NFI Old]])</f>
        <v/>
      </c>
      <c r="AP329" s="138" t="str">
        <f>IF(OR(tblPiNHistorical[[#This Row],[WASH Old]]="", tblPiNHistorical[[#This Row],[WASH Old]]=0, tblPiNHistorical[[#This Row],[WASH New]]="", tblPiNHistorical[[#This Row],[WASH New]]=0), "", tblPiNHistorical[[#This Row],[WASH New]]-tblPiNHistorical[[#This Row],[WASH Old]])</f>
        <v/>
      </c>
      <c r="AQ329" s="139" t="str">
        <f>IFERROR(ROUND((tblPiNHistorical[[#This Row],[Site Management - New]] - tblPiNHistorical[[#This Row],[Site Management - Old]])/tblPiNHistorical[[#This Row],[Site Management - Old]], 1), "")</f>
        <v/>
      </c>
      <c r="AR329" s="140" t="str">
        <f>IFERROR(ROUND((tblPiNHistorical[[#This Row],[Education New]]-tblPiNHistorical[[#This Row],[Education Old]])/tblPiNHistorical[[#This Row],[Education Old]], 1), "")</f>
        <v/>
      </c>
      <c r="AS329" s="141" t="str">
        <f>IFERROR(ROUND((tblPiNHistorical[[#This Row],[Food Security and Livlihoods New]]-tblPiNHistorical[[#This Row],[Food Security and Livlihoods Old]])/tblPiNHistorical[[#This Row],[Food Security and Livlihoods Old]], 1), "")</f>
        <v/>
      </c>
      <c r="AT329" s="142" t="str">
        <f>IFERROR(ROUND((tblPiNHistorical[[#This Row],[Health New]]-tblPiNHistorical[[#This Row],[Health Old]])/tblPiNHistorical[[#This Row],[Health Old]], 1), "")</f>
        <v/>
      </c>
      <c r="AU329" s="140" t="str">
        <f>IFERROR(ROUND((tblPiNHistorical[[#This Row],[Nutrition New]]-tblPiNHistorical[[#This Row],[Nutrition Old]])/tblPiNHistorical[[#This Row],[Nutrition Old]], 1), "")</f>
        <v/>
      </c>
      <c r="AV329" s="140" t="str">
        <f>IFERROR(ROUND((tblPiNHistorical[[#This Row],[Protection New]]-tblPiNHistorical[[#This Row],[Protection Old]])/tblPiNHistorical[[#This Row],[Protection Old]], 1), "")</f>
        <v/>
      </c>
      <c r="AW329" s="84" t="str">
        <f>IFERROR(ROUND((tblPiNHistorical[[#This Row],[CP New]]-tblPiNHistorical[[#This Row],[CP Old ]])/tblPiNHistorical[[#This Row],[CP Old ]], 1), "")</f>
        <v/>
      </c>
      <c r="AX329" s="84" t="str">
        <f>IFERROR(ROUND((tblPiNHistorical[[#This Row],[GBV New]]-tblPiNHistorical[[#This Row],[GBV Old]])/tblPiNHistorical[[#This Row],[GBV Old]], 1), "")</f>
        <v/>
      </c>
      <c r="AY329" s="84" t="str">
        <f>IFERROR(ROUND((tblPiNHistorical[[#This Row],[Mine Action New]]-tblPiNHistorical[[#This Row],[Mine Action Old]])/tblPiNHistorical[[#This Row],[Mine Action Old]], 1), "")</f>
        <v/>
      </c>
      <c r="AZ329" s="140" t="str">
        <f>IFERROR(ROUND((tblPiNHistorical[[#This Row],[Shelter NFI New]]-tblPiNHistorical[[#This Row],[Shelter NFI Old]])/tblPiNHistorical[[#This Row],[Shelter NFI Old]], 1), "")</f>
        <v/>
      </c>
      <c r="BA329" s="31" t="str">
        <f>IFERROR(ROUND((tblPiNHistorical[[#This Row],[WASH New]]-tblPiNHistorical[[#This Row],[WASH Old]])/tblPiNHistorical[[#This Row],[WASH Old]], 1), "")</f>
        <v/>
      </c>
    </row>
    <row r="330" spans="1:53" ht="38.25" x14ac:dyDescent="0.25">
      <c r="A330"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RefugeesSD03164</v>
      </c>
      <c r="B330" s="134" t="s">
        <v>185</v>
      </c>
      <c r="C330" s="124" t="s">
        <v>120</v>
      </c>
      <c r="D330" s="124" t="s">
        <v>267</v>
      </c>
      <c r="E330" s="59" t="s">
        <v>266</v>
      </c>
      <c r="F330" s="54"/>
      <c r="G330" s="29"/>
      <c r="H330" s="53">
        <v>0</v>
      </c>
      <c r="I330" s="53" t="s">
        <v>90</v>
      </c>
      <c r="J330" s="34">
        <v>0</v>
      </c>
      <c r="K330" s="116">
        <v>0</v>
      </c>
      <c r="L330" s="114">
        <v>0</v>
      </c>
      <c r="M330" s="114">
        <v>0</v>
      </c>
      <c r="N330" s="114">
        <v>0</v>
      </c>
      <c r="O330" s="114">
        <v>0</v>
      </c>
      <c r="P330" s="114">
        <v>0</v>
      </c>
      <c r="Q330" s="114">
        <v>0</v>
      </c>
      <c r="R330" s="114">
        <v>0</v>
      </c>
      <c r="S330" s="114">
        <v>0</v>
      </c>
      <c r="T330" s="196">
        <v>0</v>
      </c>
      <c r="U330" s="52" t="str">
        <f>IFERROR(INDEX(tblPiNAnalysis[[Site Management ]], MATCH(tblPiNHistorical[[#This Row],[ID]], tblPiNAnalysis[ID], 0)), "")</f>
        <v/>
      </c>
      <c r="V330" s="52" t="str">
        <f>IFERROR(INDEX(tblPiNAnalysis[Education], MATCH(tblPiNHistorical[[#This Row],[ID]], tblPiNAnalysis[ID], 0)), "")</f>
        <v/>
      </c>
      <c r="W330" s="28" t="str">
        <f>IFERROR(INDEX(tblPiNAnalysis[Food Security and Livlihoods], MATCH(tblPiNHistorical[[#This Row],[ID]], tblPiNAnalysis[ID], 0)), "")</f>
        <v/>
      </c>
      <c r="X330" s="28" t="str">
        <f>IFERROR(INDEX(tblPiNAnalysis[[Health ]], MATCH(tblPiNHistorical[[#This Row],[ID]], tblPiNAnalysis[ID], 0)), "")</f>
        <v/>
      </c>
      <c r="Y330" s="28" t="str">
        <f>IFERROR(INDEX(tblPiNAnalysis[Nutrition], MATCH(tblPiNHistorical[[#This Row],[ID]], tblPiNAnalysis[ID], 0)), "")</f>
        <v/>
      </c>
      <c r="Z330" s="28" t="str">
        <f>IFERROR(INDEX(tblPiNAnalysis[Protection], MATCH(tblPiNHistorical[[#This Row],[ID]], tblPiNAnalysis[ID], 0)), "")</f>
        <v/>
      </c>
      <c r="AA330" s="28" t="str">
        <f>IFERROR(INDEX(tblPiNAnalysis[CP], MATCH(tblPiNHistorical[[#This Row],[ID]], tblPiNAnalysis[ID], 0)), "")</f>
        <v/>
      </c>
      <c r="AB330" s="83" t="str">
        <f>IFERROR(INDEX(tblPiNAnalysis[GBV], MATCH(tblPiNHistorical[[#This Row],[ID]], tblPiNAnalysis[ID], 0)), "")</f>
        <v/>
      </c>
      <c r="AC330" s="28" t="str">
        <f>IFERROR(INDEX(tblPiNAnalysis[Mine Action], MATCH(tblPiNHistorical[[#This Row],[ID]], tblPiNAnalysis[ID], 0)), "")</f>
        <v/>
      </c>
      <c r="AD330" s="83" t="str">
        <f>IFERROR(INDEX(tblPiNAnalysis[[Shelter NFI ]], MATCH(tblPiNHistorical[[#This Row],[ID]], tblPiNAnalysis[ID], 0)), "")</f>
        <v/>
      </c>
      <c r="AE330" s="28" t="str">
        <f>IFERROR(INDEX(tblPiNAnalysis[WASH], MATCH(tblPiNHistorical[[#This Row],[ID]], tblPiNAnalysis[ID], 0)), "")</f>
        <v/>
      </c>
      <c r="AF330"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330" s="136" t="str">
        <f>IF(OR(tblPiNHistorical[[#This Row],[Education Old]]="", tblPiNHistorical[[#This Row],[Education Old]]=0, tblPiNHistorical[[#This Row],[Education New]]="", tblPiNHistorical[[#This Row],[Education New]]=0), "", tblPiNHistorical[[#This Row],[Education New]]-tblPiNHistorical[[#This Row],[Education Old]])</f>
        <v/>
      </c>
      <c r="AH330"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330" s="137" t="str">
        <f>IF(OR(tblPiNHistorical[[#This Row],[Health Old]]="", tblPiNHistorical[[#This Row],[Health Old]]=0, tblPiNHistorical[[#This Row],[Health New]]="", tblPiNHistorical[[#This Row],[Health New]]=0), "", tblPiNHistorical[[#This Row],[Health New]]-tblPiNHistorical[[#This Row],[Health Old]])</f>
        <v/>
      </c>
      <c r="AJ330" s="136" t="str">
        <f>IF(OR(tblPiNHistorical[[#This Row],[Nutrition Old]]="", tblPiNHistorical[[#This Row],[Nutrition Old]]=0, tblPiNHistorical[[#This Row],[Nutrition New]]="", tblPiNHistorical[[#This Row],[Nutrition New]]=0), "", tblPiNHistorical[[#This Row],[Nutrition New]]-tblPiNHistorical[[#This Row],[Nutrition Old]])</f>
        <v/>
      </c>
      <c r="AK330" s="136" t="str">
        <f>IF(OR(tblPiNHistorical[[#This Row],[Protection Old]]="", tblPiNHistorical[[#This Row],[Protection Old]]=0, tblPiNHistorical[[#This Row],[Protection New]]="", tblPiNHistorical[[#This Row],[Protection New]]=0), "", tblPiNHistorical[[#This Row],[Protection New]]-tblPiNHistorical[[#This Row],[Protection Old]])</f>
        <v/>
      </c>
      <c r="AL330" s="136" t="str">
        <f>IF(OR(tblPiNHistorical[[#This Row],[CP Old ]]="", tblPiNHistorical[[#This Row],[CP Old ]]=0, tblPiNHistorical[[#This Row],[CP New]]="", tblPiNHistorical[[#This Row],[CP New]]=0), "", tblPiNHistorical[[#This Row],[CP New]]-tblPiNHistorical[[#This Row],[CP Old ]])</f>
        <v/>
      </c>
      <c r="AM330" s="83" t="str">
        <f>IF(OR(tblPiNHistorical[[#This Row],[GBV Old]]="", tblPiNHistorical[[#This Row],[GBV Old]]=0, tblPiNHistorical[[#This Row],[GBV New]]="", tblPiNHistorical[[#This Row],[GBV New]]=0), "", tblPiNHistorical[[#This Row],[GBV New]]-tblPiNHistorical[[#This Row],[GBV Old]])</f>
        <v/>
      </c>
      <c r="AN330" s="83" t="str">
        <f>IF(OR(tblPiNHistorical[[#This Row],[Mine Action Old]]="", tblPiNHistorical[[#This Row],[Mine Action Old]]=0, tblPiNHistorical[[#This Row],[Mine Action New]]="", tblPiNHistorical[[#This Row],[Mine Action New]]=0), "", tblPiNHistorical[[#This Row],[Mine Action New]]-tblPiNHistorical[[#This Row],[Mine Action Old]])</f>
        <v/>
      </c>
      <c r="AO330" s="136" t="str">
        <f>IF(OR(tblPiNHistorical[[#This Row],[Shelter NFI Old]]="", tblPiNHistorical[[#This Row],[Shelter NFI Old]]=0, tblPiNHistorical[[#This Row],[Shelter NFI New]]="", tblPiNHistorical[[#This Row],[Shelter NFI New]]=0), "", tblPiNHistorical[[#This Row],[Shelter NFI New]]-tblPiNHistorical[[#This Row],[Shelter NFI Old]])</f>
        <v/>
      </c>
      <c r="AP330" s="138" t="str">
        <f>IF(OR(tblPiNHistorical[[#This Row],[WASH Old]]="", tblPiNHistorical[[#This Row],[WASH Old]]=0, tblPiNHistorical[[#This Row],[WASH New]]="", tblPiNHistorical[[#This Row],[WASH New]]=0), "", tblPiNHistorical[[#This Row],[WASH New]]-tblPiNHistorical[[#This Row],[WASH Old]])</f>
        <v/>
      </c>
      <c r="AQ330" s="139" t="str">
        <f>IFERROR(ROUND((tblPiNHistorical[[#This Row],[Site Management - New]] - tblPiNHistorical[[#This Row],[Site Management - Old]])/tblPiNHistorical[[#This Row],[Site Management - Old]], 1), "")</f>
        <v/>
      </c>
      <c r="AR330" s="140" t="str">
        <f>IFERROR(ROUND((tblPiNHistorical[[#This Row],[Education New]]-tblPiNHistorical[[#This Row],[Education Old]])/tblPiNHistorical[[#This Row],[Education Old]], 1), "")</f>
        <v/>
      </c>
      <c r="AS330" s="141" t="str">
        <f>IFERROR(ROUND((tblPiNHistorical[[#This Row],[Food Security and Livlihoods New]]-tblPiNHistorical[[#This Row],[Food Security and Livlihoods Old]])/tblPiNHistorical[[#This Row],[Food Security and Livlihoods Old]], 1), "")</f>
        <v/>
      </c>
      <c r="AT330" s="142" t="str">
        <f>IFERROR(ROUND((tblPiNHistorical[[#This Row],[Health New]]-tblPiNHistorical[[#This Row],[Health Old]])/tblPiNHistorical[[#This Row],[Health Old]], 1), "")</f>
        <v/>
      </c>
      <c r="AU330" s="140" t="str">
        <f>IFERROR(ROUND((tblPiNHistorical[[#This Row],[Nutrition New]]-tblPiNHistorical[[#This Row],[Nutrition Old]])/tblPiNHistorical[[#This Row],[Nutrition Old]], 1), "")</f>
        <v/>
      </c>
      <c r="AV330" s="140" t="str">
        <f>IFERROR(ROUND((tblPiNHistorical[[#This Row],[Protection New]]-tblPiNHistorical[[#This Row],[Protection Old]])/tblPiNHistorical[[#This Row],[Protection Old]], 1), "")</f>
        <v/>
      </c>
      <c r="AW330" s="84" t="str">
        <f>IFERROR(ROUND((tblPiNHistorical[[#This Row],[CP New]]-tblPiNHistorical[[#This Row],[CP Old ]])/tblPiNHistorical[[#This Row],[CP Old ]], 1), "")</f>
        <v/>
      </c>
      <c r="AX330" s="84" t="str">
        <f>IFERROR(ROUND((tblPiNHistorical[[#This Row],[GBV New]]-tblPiNHistorical[[#This Row],[GBV Old]])/tblPiNHistorical[[#This Row],[GBV Old]], 1), "")</f>
        <v/>
      </c>
      <c r="AY330" s="84" t="str">
        <f>IFERROR(ROUND((tblPiNHistorical[[#This Row],[Mine Action New]]-tblPiNHistorical[[#This Row],[Mine Action Old]])/tblPiNHistorical[[#This Row],[Mine Action Old]], 1), "")</f>
        <v/>
      </c>
      <c r="AZ330" s="140" t="str">
        <f>IFERROR(ROUND((tblPiNHistorical[[#This Row],[Shelter NFI New]]-tblPiNHistorical[[#This Row],[Shelter NFI Old]])/tblPiNHistorical[[#This Row],[Shelter NFI Old]], 1), "")</f>
        <v/>
      </c>
      <c r="BA330" s="31" t="str">
        <f>IFERROR(ROUND((tblPiNHistorical[[#This Row],[WASH New]]-tblPiNHistorical[[#This Row],[WASH Old]])/tblPiNHistorical[[#This Row],[WASH Old]], 1), "")</f>
        <v/>
      </c>
    </row>
    <row r="331" spans="1:53" ht="38.25" x14ac:dyDescent="0.25">
      <c r="A331"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RefugeesSD03158</v>
      </c>
      <c r="B331" s="134" t="s">
        <v>185</v>
      </c>
      <c r="C331" s="124" t="s">
        <v>120</v>
      </c>
      <c r="D331" s="124" t="s">
        <v>259</v>
      </c>
      <c r="E331" s="59" t="s">
        <v>258</v>
      </c>
      <c r="F331" s="54"/>
      <c r="G331" s="29"/>
      <c r="H331" s="53">
        <v>0</v>
      </c>
      <c r="I331" s="53" t="s">
        <v>90</v>
      </c>
      <c r="J331" s="34">
        <v>0</v>
      </c>
      <c r="K331" s="116">
        <v>0</v>
      </c>
      <c r="L331" s="114">
        <v>0</v>
      </c>
      <c r="M331" s="114">
        <v>0</v>
      </c>
      <c r="N331" s="114">
        <v>0</v>
      </c>
      <c r="O331" s="114">
        <v>0</v>
      </c>
      <c r="P331" s="114">
        <v>0</v>
      </c>
      <c r="Q331" s="114">
        <v>0</v>
      </c>
      <c r="R331" s="114">
        <v>0</v>
      </c>
      <c r="S331" s="114">
        <v>0</v>
      </c>
      <c r="T331" s="196">
        <v>0</v>
      </c>
      <c r="U331" s="52" t="str">
        <f>IFERROR(INDEX(tblPiNAnalysis[[Site Management ]], MATCH(tblPiNHistorical[[#This Row],[ID]], tblPiNAnalysis[ID], 0)), "")</f>
        <v/>
      </c>
      <c r="V331" s="52" t="str">
        <f>IFERROR(INDEX(tblPiNAnalysis[Education], MATCH(tblPiNHistorical[[#This Row],[ID]], tblPiNAnalysis[ID], 0)), "")</f>
        <v/>
      </c>
      <c r="W331" s="28" t="str">
        <f>IFERROR(INDEX(tblPiNAnalysis[Food Security and Livlihoods], MATCH(tblPiNHistorical[[#This Row],[ID]], tblPiNAnalysis[ID], 0)), "")</f>
        <v/>
      </c>
      <c r="X331" s="28" t="str">
        <f>IFERROR(INDEX(tblPiNAnalysis[[Health ]], MATCH(tblPiNHistorical[[#This Row],[ID]], tblPiNAnalysis[ID], 0)), "")</f>
        <v/>
      </c>
      <c r="Y331" s="28" t="str">
        <f>IFERROR(INDEX(tblPiNAnalysis[Nutrition], MATCH(tblPiNHistorical[[#This Row],[ID]], tblPiNAnalysis[ID], 0)), "")</f>
        <v/>
      </c>
      <c r="Z331" s="28" t="str">
        <f>IFERROR(INDEX(tblPiNAnalysis[Protection], MATCH(tblPiNHistorical[[#This Row],[ID]], tblPiNAnalysis[ID], 0)), "")</f>
        <v/>
      </c>
      <c r="AA331" s="28" t="str">
        <f>IFERROR(INDEX(tblPiNAnalysis[CP], MATCH(tblPiNHistorical[[#This Row],[ID]], tblPiNAnalysis[ID], 0)), "")</f>
        <v/>
      </c>
      <c r="AB331" s="83" t="str">
        <f>IFERROR(INDEX(tblPiNAnalysis[GBV], MATCH(tblPiNHistorical[[#This Row],[ID]], tblPiNAnalysis[ID], 0)), "")</f>
        <v/>
      </c>
      <c r="AC331" s="28" t="str">
        <f>IFERROR(INDEX(tblPiNAnalysis[Mine Action], MATCH(tblPiNHistorical[[#This Row],[ID]], tblPiNAnalysis[ID], 0)), "")</f>
        <v/>
      </c>
      <c r="AD331" s="83" t="str">
        <f>IFERROR(INDEX(tblPiNAnalysis[[Shelter NFI ]], MATCH(tblPiNHistorical[[#This Row],[ID]], tblPiNAnalysis[ID], 0)), "")</f>
        <v/>
      </c>
      <c r="AE331" s="28" t="str">
        <f>IFERROR(INDEX(tblPiNAnalysis[WASH], MATCH(tblPiNHistorical[[#This Row],[ID]], tblPiNAnalysis[ID], 0)), "")</f>
        <v/>
      </c>
      <c r="AF331"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331" s="136" t="str">
        <f>IF(OR(tblPiNHistorical[[#This Row],[Education Old]]="", tblPiNHistorical[[#This Row],[Education Old]]=0, tblPiNHistorical[[#This Row],[Education New]]="", tblPiNHistorical[[#This Row],[Education New]]=0), "", tblPiNHistorical[[#This Row],[Education New]]-tblPiNHistorical[[#This Row],[Education Old]])</f>
        <v/>
      </c>
      <c r="AH331"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331" s="137" t="str">
        <f>IF(OR(tblPiNHistorical[[#This Row],[Health Old]]="", tblPiNHistorical[[#This Row],[Health Old]]=0, tblPiNHistorical[[#This Row],[Health New]]="", tblPiNHistorical[[#This Row],[Health New]]=0), "", tblPiNHistorical[[#This Row],[Health New]]-tblPiNHistorical[[#This Row],[Health Old]])</f>
        <v/>
      </c>
      <c r="AJ331" s="136" t="str">
        <f>IF(OR(tblPiNHistorical[[#This Row],[Nutrition Old]]="", tblPiNHistorical[[#This Row],[Nutrition Old]]=0, tblPiNHistorical[[#This Row],[Nutrition New]]="", tblPiNHistorical[[#This Row],[Nutrition New]]=0), "", tblPiNHistorical[[#This Row],[Nutrition New]]-tblPiNHistorical[[#This Row],[Nutrition Old]])</f>
        <v/>
      </c>
      <c r="AK331" s="136" t="str">
        <f>IF(OR(tblPiNHistorical[[#This Row],[Protection Old]]="", tblPiNHistorical[[#This Row],[Protection Old]]=0, tblPiNHistorical[[#This Row],[Protection New]]="", tblPiNHistorical[[#This Row],[Protection New]]=0), "", tblPiNHistorical[[#This Row],[Protection New]]-tblPiNHistorical[[#This Row],[Protection Old]])</f>
        <v/>
      </c>
      <c r="AL331" s="136" t="str">
        <f>IF(OR(tblPiNHistorical[[#This Row],[CP Old ]]="", tblPiNHistorical[[#This Row],[CP Old ]]=0, tblPiNHistorical[[#This Row],[CP New]]="", tblPiNHistorical[[#This Row],[CP New]]=0), "", tblPiNHistorical[[#This Row],[CP New]]-tblPiNHistorical[[#This Row],[CP Old ]])</f>
        <v/>
      </c>
      <c r="AM331" s="83" t="str">
        <f>IF(OR(tblPiNHistorical[[#This Row],[GBV Old]]="", tblPiNHistorical[[#This Row],[GBV Old]]=0, tblPiNHistorical[[#This Row],[GBV New]]="", tblPiNHistorical[[#This Row],[GBV New]]=0), "", tblPiNHistorical[[#This Row],[GBV New]]-tblPiNHistorical[[#This Row],[GBV Old]])</f>
        <v/>
      </c>
      <c r="AN331" s="83" t="str">
        <f>IF(OR(tblPiNHistorical[[#This Row],[Mine Action Old]]="", tblPiNHistorical[[#This Row],[Mine Action Old]]=0, tblPiNHistorical[[#This Row],[Mine Action New]]="", tblPiNHistorical[[#This Row],[Mine Action New]]=0), "", tblPiNHistorical[[#This Row],[Mine Action New]]-tblPiNHistorical[[#This Row],[Mine Action Old]])</f>
        <v/>
      </c>
      <c r="AO331" s="136" t="str">
        <f>IF(OR(tblPiNHistorical[[#This Row],[Shelter NFI Old]]="", tblPiNHistorical[[#This Row],[Shelter NFI Old]]=0, tblPiNHistorical[[#This Row],[Shelter NFI New]]="", tblPiNHistorical[[#This Row],[Shelter NFI New]]=0), "", tblPiNHistorical[[#This Row],[Shelter NFI New]]-tblPiNHistorical[[#This Row],[Shelter NFI Old]])</f>
        <v/>
      </c>
      <c r="AP331" s="138" t="str">
        <f>IF(OR(tblPiNHistorical[[#This Row],[WASH Old]]="", tblPiNHistorical[[#This Row],[WASH Old]]=0, tblPiNHistorical[[#This Row],[WASH New]]="", tblPiNHistorical[[#This Row],[WASH New]]=0), "", tblPiNHistorical[[#This Row],[WASH New]]-tblPiNHistorical[[#This Row],[WASH Old]])</f>
        <v/>
      </c>
      <c r="AQ331" s="139" t="str">
        <f>IFERROR(ROUND((tblPiNHistorical[[#This Row],[Site Management - New]] - tblPiNHistorical[[#This Row],[Site Management - Old]])/tblPiNHistorical[[#This Row],[Site Management - Old]], 1), "")</f>
        <v/>
      </c>
      <c r="AR331" s="140" t="str">
        <f>IFERROR(ROUND((tblPiNHistorical[[#This Row],[Education New]]-tblPiNHistorical[[#This Row],[Education Old]])/tblPiNHistorical[[#This Row],[Education Old]], 1), "")</f>
        <v/>
      </c>
      <c r="AS331" s="141" t="str">
        <f>IFERROR(ROUND((tblPiNHistorical[[#This Row],[Food Security and Livlihoods New]]-tblPiNHistorical[[#This Row],[Food Security and Livlihoods Old]])/tblPiNHistorical[[#This Row],[Food Security and Livlihoods Old]], 1), "")</f>
        <v/>
      </c>
      <c r="AT331" s="142" t="str">
        <f>IFERROR(ROUND((tblPiNHistorical[[#This Row],[Health New]]-tblPiNHistorical[[#This Row],[Health Old]])/tblPiNHistorical[[#This Row],[Health Old]], 1), "")</f>
        <v/>
      </c>
      <c r="AU331" s="140" t="str">
        <f>IFERROR(ROUND((tblPiNHistorical[[#This Row],[Nutrition New]]-tblPiNHistorical[[#This Row],[Nutrition Old]])/tblPiNHistorical[[#This Row],[Nutrition Old]], 1), "")</f>
        <v/>
      </c>
      <c r="AV331" s="140" t="str">
        <f>IFERROR(ROUND((tblPiNHistorical[[#This Row],[Protection New]]-tblPiNHistorical[[#This Row],[Protection Old]])/tblPiNHistorical[[#This Row],[Protection Old]], 1), "")</f>
        <v/>
      </c>
      <c r="AW331" s="84" t="str">
        <f>IFERROR(ROUND((tblPiNHistorical[[#This Row],[CP New]]-tblPiNHistorical[[#This Row],[CP Old ]])/tblPiNHistorical[[#This Row],[CP Old ]], 1), "")</f>
        <v/>
      </c>
      <c r="AX331" s="84" t="str">
        <f>IFERROR(ROUND((tblPiNHistorical[[#This Row],[GBV New]]-tblPiNHistorical[[#This Row],[GBV Old]])/tblPiNHistorical[[#This Row],[GBV Old]], 1), "")</f>
        <v/>
      </c>
      <c r="AY331" s="84" t="str">
        <f>IFERROR(ROUND((tblPiNHistorical[[#This Row],[Mine Action New]]-tblPiNHistorical[[#This Row],[Mine Action Old]])/tblPiNHistorical[[#This Row],[Mine Action Old]], 1), "")</f>
        <v/>
      </c>
      <c r="AZ331" s="140" t="str">
        <f>IFERROR(ROUND((tblPiNHistorical[[#This Row],[Shelter NFI New]]-tblPiNHistorical[[#This Row],[Shelter NFI Old]])/tblPiNHistorical[[#This Row],[Shelter NFI Old]], 1), "")</f>
        <v/>
      </c>
      <c r="BA331" s="31" t="str">
        <f>IFERROR(ROUND((tblPiNHistorical[[#This Row],[WASH New]]-tblPiNHistorical[[#This Row],[WASH Old]])/tblPiNHistorical[[#This Row],[WASH Old]], 1), "")</f>
        <v/>
      </c>
    </row>
    <row r="332" spans="1:53" ht="38.25" x14ac:dyDescent="0.25">
      <c r="A332"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RefugeesSD03147</v>
      </c>
      <c r="B332" s="134" t="s">
        <v>185</v>
      </c>
      <c r="C332" s="124" t="s">
        <v>120</v>
      </c>
      <c r="D332" s="124" t="s">
        <v>243</v>
      </c>
      <c r="E332" s="59" t="s">
        <v>242</v>
      </c>
      <c r="F332" s="54"/>
      <c r="G332" s="29"/>
      <c r="H332" s="53">
        <v>0</v>
      </c>
      <c r="I332" s="53" t="s">
        <v>90</v>
      </c>
      <c r="J332" s="34">
        <v>0</v>
      </c>
      <c r="K332" s="116">
        <v>0</v>
      </c>
      <c r="L332" s="114">
        <v>0</v>
      </c>
      <c r="M332" s="114">
        <v>0</v>
      </c>
      <c r="N332" s="114">
        <v>0</v>
      </c>
      <c r="O332" s="114">
        <v>0</v>
      </c>
      <c r="P332" s="114">
        <v>0</v>
      </c>
      <c r="Q332" s="114">
        <v>0</v>
      </c>
      <c r="R332" s="114">
        <v>0</v>
      </c>
      <c r="S332" s="114">
        <v>0</v>
      </c>
      <c r="T332" s="196">
        <v>0</v>
      </c>
      <c r="U332" s="52" t="str">
        <f>IFERROR(INDEX(tblPiNAnalysis[[Site Management ]], MATCH(tblPiNHistorical[[#This Row],[ID]], tblPiNAnalysis[ID], 0)), "")</f>
        <v/>
      </c>
      <c r="V332" s="52" t="str">
        <f>IFERROR(INDEX(tblPiNAnalysis[Education], MATCH(tblPiNHistorical[[#This Row],[ID]], tblPiNAnalysis[ID], 0)), "")</f>
        <v/>
      </c>
      <c r="W332" s="28" t="str">
        <f>IFERROR(INDEX(tblPiNAnalysis[Food Security and Livlihoods], MATCH(tblPiNHistorical[[#This Row],[ID]], tblPiNAnalysis[ID], 0)), "")</f>
        <v/>
      </c>
      <c r="X332" s="28" t="str">
        <f>IFERROR(INDEX(tblPiNAnalysis[[Health ]], MATCH(tblPiNHistorical[[#This Row],[ID]], tblPiNAnalysis[ID], 0)), "")</f>
        <v/>
      </c>
      <c r="Y332" s="28" t="str">
        <f>IFERROR(INDEX(tblPiNAnalysis[Nutrition], MATCH(tblPiNHistorical[[#This Row],[ID]], tblPiNAnalysis[ID], 0)), "")</f>
        <v/>
      </c>
      <c r="Z332" s="28" t="str">
        <f>IFERROR(INDEX(tblPiNAnalysis[Protection], MATCH(tblPiNHistorical[[#This Row],[ID]], tblPiNAnalysis[ID], 0)), "")</f>
        <v/>
      </c>
      <c r="AA332" s="28" t="str">
        <f>IFERROR(INDEX(tblPiNAnalysis[CP], MATCH(tblPiNHistorical[[#This Row],[ID]], tblPiNAnalysis[ID], 0)), "")</f>
        <v/>
      </c>
      <c r="AB332" s="83" t="str">
        <f>IFERROR(INDEX(tblPiNAnalysis[GBV], MATCH(tblPiNHistorical[[#This Row],[ID]], tblPiNAnalysis[ID], 0)), "")</f>
        <v/>
      </c>
      <c r="AC332" s="28" t="str">
        <f>IFERROR(INDEX(tblPiNAnalysis[Mine Action], MATCH(tblPiNHistorical[[#This Row],[ID]], tblPiNAnalysis[ID], 0)), "")</f>
        <v/>
      </c>
      <c r="AD332" s="83" t="str">
        <f>IFERROR(INDEX(tblPiNAnalysis[[Shelter NFI ]], MATCH(tblPiNHistorical[[#This Row],[ID]], tblPiNAnalysis[ID], 0)), "")</f>
        <v/>
      </c>
      <c r="AE332" s="28" t="str">
        <f>IFERROR(INDEX(tblPiNAnalysis[WASH], MATCH(tblPiNHistorical[[#This Row],[ID]], tblPiNAnalysis[ID], 0)), "")</f>
        <v/>
      </c>
      <c r="AF332"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332" s="136" t="str">
        <f>IF(OR(tblPiNHistorical[[#This Row],[Education Old]]="", tblPiNHistorical[[#This Row],[Education Old]]=0, tblPiNHistorical[[#This Row],[Education New]]="", tblPiNHistorical[[#This Row],[Education New]]=0), "", tblPiNHistorical[[#This Row],[Education New]]-tblPiNHistorical[[#This Row],[Education Old]])</f>
        <v/>
      </c>
      <c r="AH332"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332" s="137" t="str">
        <f>IF(OR(tblPiNHistorical[[#This Row],[Health Old]]="", tblPiNHistorical[[#This Row],[Health Old]]=0, tblPiNHistorical[[#This Row],[Health New]]="", tblPiNHistorical[[#This Row],[Health New]]=0), "", tblPiNHistorical[[#This Row],[Health New]]-tblPiNHistorical[[#This Row],[Health Old]])</f>
        <v/>
      </c>
      <c r="AJ332" s="136" t="str">
        <f>IF(OR(tblPiNHistorical[[#This Row],[Nutrition Old]]="", tblPiNHistorical[[#This Row],[Nutrition Old]]=0, tblPiNHistorical[[#This Row],[Nutrition New]]="", tblPiNHistorical[[#This Row],[Nutrition New]]=0), "", tblPiNHistorical[[#This Row],[Nutrition New]]-tblPiNHistorical[[#This Row],[Nutrition Old]])</f>
        <v/>
      </c>
      <c r="AK332" s="136" t="str">
        <f>IF(OR(tblPiNHistorical[[#This Row],[Protection Old]]="", tblPiNHistorical[[#This Row],[Protection Old]]=0, tblPiNHistorical[[#This Row],[Protection New]]="", tblPiNHistorical[[#This Row],[Protection New]]=0), "", tblPiNHistorical[[#This Row],[Protection New]]-tblPiNHistorical[[#This Row],[Protection Old]])</f>
        <v/>
      </c>
      <c r="AL332" s="136" t="str">
        <f>IF(OR(tblPiNHistorical[[#This Row],[CP Old ]]="", tblPiNHistorical[[#This Row],[CP Old ]]=0, tblPiNHistorical[[#This Row],[CP New]]="", tblPiNHistorical[[#This Row],[CP New]]=0), "", tblPiNHistorical[[#This Row],[CP New]]-tblPiNHistorical[[#This Row],[CP Old ]])</f>
        <v/>
      </c>
      <c r="AM332" s="83" t="str">
        <f>IF(OR(tblPiNHistorical[[#This Row],[GBV Old]]="", tblPiNHistorical[[#This Row],[GBV Old]]=0, tblPiNHistorical[[#This Row],[GBV New]]="", tblPiNHistorical[[#This Row],[GBV New]]=0), "", tblPiNHistorical[[#This Row],[GBV New]]-tblPiNHistorical[[#This Row],[GBV Old]])</f>
        <v/>
      </c>
      <c r="AN332" s="83" t="str">
        <f>IF(OR(tblPiNHistorical[[#This Row],[Mine Action Old]]="", tblPiNHistorical[[#This Row],[Mine Action Old]]=0, tblPiNHistorical[[#This Row],[Mine Action New]]="", tblPiNHistorical[[#This Row],[Mine Action New]]=0), "", tblPiNHistorical[[#This Row],[Mine Action New]]-tblPiNHistorical[[#This Row],[Mine Action Old]])</f>
        <v/>
      </c>
      <c r="AO332" s="136" t="str">
        <f>IF(OR(tblPiNHistorical[[#This Row],[Shelter NFI Old]]="", tblPiNHistorical[[#This Row],[Shelter NFI Old]]=0, tblPiNHistorical[[#This Row],[Shelter NFI New]]="", tblPiNHistorical[[#This Row],[Shelter NFI New]]=0), "", tblPiNHistorical[[#This Row],[Shelter NFI New]]-tblPiNHistorical[[#This Row],[Shelter NFI Old]])</f>
        <v/>
      </c>
      <c r="AP332" s="138" t="str">
        <f>IF(OR(tblPiNHistorical[[#This Row],[WASH Old]]="", tblPiNHistorical[[#This Row],[WASH Old]]=0, tblPiNHistorical[[#This Row],[WASH New]]="", tblPiNHistorical[[#This Row],[WASH New]]=0), "", tblPiNHistorical[[#This Row],[WASH New]]-tblPiNHistorical[[#This Row],[WASH Old]])</f>
        <v/>
      </c>
      <c r="AQ332" s="139" t="str">
        <f>IFERROR(ROUND((tblPiNHistorical[[#This Row],[Site Management - New]] - tblPiNHistorical[[#This Row],[Site Management - Old]])/tblPiNHistorical[[#This Row],[Site Management - Old]], 1), "")</f>
        <v/>
      </c>
      <c r="AR332" s="140" t="str">
        <f>IFERROR(ROUND((tblPiNHistorical[[#This Row],[Education New]]-tblPiNHistorical[[#This Row],[Education Old]])/tblPiNHistorical[[#This Row],[Education Old]], 1), "")</f>
        <v/>
      </c>
      <c r="AS332" s="141" t="str">
        <f>IFERROR(ROUND((tblPiNHistorical[[#This Row],[Food Security and Livlihoods New]]-tblPiNHistorical[[#This Row],[Food Security and Livlihoods Old]])/tblPiNHistorical[[#This Row],[Food Security and Livlihoods Old]], 1), "")</f>
        <v/>
      </c>
      <c r="AT332" s="142" t="str">
        <f>IFERROR(ROUND((tblPiNHistorical[[#This Row],[Health New]]-tblPiNHistorical[[#This Row],[Health Old]])/tblPiNHistorical[[#This Row],[Health Old]], 1), "")</f>
        <v/>
      </c>
      <c r="AU332" s="140" t="str">
        <f>IFERROR(ROUND((tblPiNHistorical[[#This Row],[Nutrition New]]-tblPiNHistorical[[#This Row],[Nutrition Old]])/tblPiNHistorical[[#This Row],[Nutrition Old]], 1), "")</f>
        <v/>
      </c>
      <c r="AV332" s="140" t="str">
        <f>IFERROR(ROUND((tblPiNHistorical[[#This Row],[Protection New]]-tblPiNHistorical[[#This Row],[Protection Old]])/tblPiNHistorical[[#This Row],[Protection Old]], 1), "")</f>
        <v/>
      </c>
      <c r="AW332" s="84" t="str">
        <f>IFERROR(ROUND((tblPiNHistorical[[#This Row],[CP New]]-tblPiNHistorical[[#This Row],[CP Old ]])/tblPiNHistorical[[#This Row],[CP Old ]], 1), "")</f>
        <v/>
      </c>
      <c r="AX332" s="84" t="str">
        <f>IFERROR(ROUND((tblPiNHistorical[[#This Row],[GBV New]]-tblPiNHistorical[[#This Row],[GBV Old]])/tblPiNHistorical[[#This Row],[GBV Old]], 1), "")</f>
        <v/>
      </c>
      <c r="AY332" s="84" t="str">
        <f>IFERROR(ROUND((tblPiNHistorical[[#This Row],[Mine Action New]]-tblPiNHistorical[[#This Row],[Mine Action Old]])/tblPiNHistorical[[#This Row],[Mine Action Old]], 1), "")</f>
        <v/>
      </c>
      <c r="AZ332" s="140" t="str">
        <f>IFERROR(ROUND((tblPiNHistorical[[#This Row],[Shelter NFI New]]-tblPiNHistorical[[#This Row],[Shelter NFI Old]])/tblPiNHistorical[[#This Row],[Shelter NFI Old]], 1), "")</f>
        <v/>
      </c>
      <c r="BA332" s="31" t="str">
        <f>IFERROR(ROUND((tblPiNHistorical[[#This Row],[WASH New]]-tblPiNHistorical[[#This Row],[WASH Old]])/tblPiNHistorical[[#This Row],[WASH Old]], 1), "")</f>
        <v/>
      </c>
    </row>
    <row r="333" spans="1:53" ht="38.25" x14ac:dyDescent="0.25">
      <c r="A333"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RefugeesSD03154</v>
      </c>
      <c r="B333" s="134" t="s">
        <v>185</v>
      </c>
      <c r="C333" s="124" t="s">
        <v>120</v>
      </c>
      <c r="D333" s="124" t="s">
        <v>253</v>
      </c>
      <c r="E333" s="59" t="s">
        <v>252</v>
      </c>
      <c r="F333" s="54"/>
      <c r="G333" s="29"/>
      <c r="H333" s="53">
        <v>0</v>
      </c>
      <c r="I333" s="53" t="s">
        <v>90</v>
      </c>
      <c r="J333" s="34">
        <v>0</v>
      </c>
      <c r="K333" s="116">
        <v>0</v>
      </c>
      <c r="L333" s="114">
        <v>0</v>
      </c>
      <c r="M333" s="114">
        <v>0</v>
      </c>
      <c r="N333" s="114">
        <v>0</v>
      </c>
      <c r="O333" s="114">
        <v>0</v>
      </c>
      <c r="P333" s="114">
        <v>0</v>
      </c>
      <c r="Q333" s="114">
        <v>0</v>
      </c>
      <c r="R333" s="114">
        <v>0</v>
      </c>
      <c r="S333" s="114">
        <v>0</v>
      </c>
      <c r="T333" s="196">
        <v>0</v>
      </c>
      <c r="U333" s="52" t="str">
        <f>IFERROR(INDEX(tblPiNAnalysis[[Site Management ]], MATCH(tblPiNHistorical[[#This Row],[ID]], tblPiNAnalysis[ID], 0)), "")</f>
        <v/>
      </c>
      <c r="V333" s="52" t="str">
        <f>IFERROR(INDEX(tblPiNAnalysis[Education], MATCH(tblPiNHistorical[[#This Row],[ID]], tblPiNAnalysis[ID], 0)), "")</f>
        <v/>
      </c>
      <c r="W333" s="28" t="str">
        <f>IFERROR(INDEX(tblPiNAnalysis[Food Security and Livlihoods], MATCH(tblPiNHistorical[[#This Row],[ID]], tblPiNAnalysis[ID], 0)), "")</f>
        <v/>
      </c>
      <c r="X333" s="28" t="str">
        <f>IFERROR(INDEX(tblPiNAnalysis[[Health ]], MATCH(tblPiNHistorical[[#This Row],[ID]], tblPiNAnalysis[ID], 0)), "")</f>
        <v/>
      </c>
      <c r="Y333" s="28" t="str">
        <f>IFERROR(INDEX(tblPiNAnalysis[Nutrition], MATCH(tblPiNHistorical[[#This Row],[ID]], tblPiNAnalysis[ID], 0)), "")</f>
        <v/>
      </c>
      <c r="Z333" s="28" t="str">
        <f>IFERROR(INDEX(tblPiNAnalysis[Protection], MATCH(tblPiNHistorical[[#This Row],[ID]], tblPiNAnalysis[ID], 0)), "")</f>
        <v/>
      </c>
      <c r="AA333" s="28" t="str">
        <f>IFERROR(INDEX(tblPiNAnalysis[CP], MATCH(tblPiNHistorical[[#This Row],[ID]], tblPiNAnalysis[ID], 0)), "")</f>
        <v/>
      </c>
      <c r="AB333" s="83" t="str">
        <f>IFERROR(INDEX(tblPiNAnalysis[GBV], MATCH(tblPiNHistorical[[#This Row],[ID]], tblPiNAnalysis[ID], 0)), "")</f>
        <v/>
      </c>
      <c r="AC333" s="28" t="str">
        <f>IFERROR(INDEX(tblPiNAnalysis[Mine Action], MATCH(tblPiNHistorical[[#This Row],[ID]], tblPiNAnalysis[ID], 0)), "")</f>
        <v/>
      </c>
      <c r="AD333" s="83" t="str">
        <f>IFERROR(INDEX(tblPiNAnalysis[[Shelter NFI ]], MATCH(tblPiNHistorical[[#This Row],[ID]], tblPiNAnalysis[ID], 0)), "")</f>
        <v/>
      </c>
      <c r="AE333" s="28" t="str">
        <f>IFERROR(INDEX(tblPiNAnalysis[WASH], MATCH(tblPiNHistorical[[#This Row],[ID]], tblPiNAnalysis[ID], 0)), "")</f>
        <v/>
      </c>
      <c r="AF333"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333" s="136" t="str">
        <f>IF(OR(tblPiNHistorical[[#This Row],[Education Old]]="", tblPiNHistorical[[#This Row],[Education Old]]=0, tblPiNHistorical[[#This Row],[Education New]]="", tblPiNHistorical[[#This Row],[Education New]]=0), "", tblPiNHistorical[[#This Row],[Education New]]-tblPiNHistorical[[#This Row],[Education Old]])</f>
        <v/>
      </c>
      <c r="AH333"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333" s="137" t="str">
        <f>IF(OR(tblPiNHistorical[[#This Row],[Health Old]]="", tblPiNHistorical[[#This Row],[Health Old]]=0, tblPiNHistorical[[#This Row],[Health New]]="", tblPiNHistorical[[#This Row],[Health New]]=0), "", tblPiNHistorical[[#This Row],[Health New]]-tblPiNHistorical[[#This Row],[Health Old]])</f>
        <v/>
      </c>
      <c r="AJ333" s="136" t="str">
        <f>IF(OR(tblPiNHistorical[[#This Row],[Nutrition Old]]="", tblPiNHistorical[[#This Row],[Nutrition Old]]=0, tblPiNHistorical[[#This Row],[Nutrition New]]="", tblPiNHistorical[[#This Row],[Nutrition New]]=0), "", tblPiNHistorical[[#This Row],[Nutrition New]]-tblPiNHistorical[[#This Row],[Nutrition Old]])</f>
        <v/>
      </c>
      <c r="AK333" s="136" t="str">
        <f>IF(OR(tblPiNHistorical[[#This Row],[Protection Old]]="", tblPiNHistorical[[#This Row],[Protection Old]]=0, tblPiNHistorical[[#This Row],[Protection New]]="", tblPiNHistorical[[#This Row],[Protection New]]=0), "", tblPiNHistorical[[#This Row],[Protection New]]-tblPiNHistorical[[#This Row],[Protection Old]])</f>
        <v/>
      </c>
      <c r="AL333" s="136" t="str">
        <f>IF(OR(tblPiNHistorical[[#This Row],[CP Old ]]="", tblPiNHistorical[[#This Row],[CP Old ]]=0, tblPiNHistorical[[#This Row],[CP New]]="", tblPiNHistorical[[#This Row],[CP New]]=0), "", tblPiNHistorical[[#This Row],[CP New]]-tblPiNHistorical[[#This Row],[CP Old ]])</f>
        <v/>
      </c>
      <c r="AM333" s="83" t="str">
        <f>IF(OR(tblPiNHistorical[[#This Row],[GBV Old]]="", tblPiNHistorical[[#This Row],[GBV Old]]=0, tblPiNHistorical[[#This Row],[GBV New]]="", tblPiNHistorical[[#This Row],[GBV New]]=0), "", tblPiNHistorical[[#This Row],[GBV New]]-tblPiNHistorical[[#This Row],[GBV Old]])</f>
        <v/>
      </c>
      <c r="AN333" s="83" t="str">
        <f>IF(OR(tblPiNHistorical[[#This Row],[Mine Action Old]]="", tblPiNHistorical[[#This Row],[Mine Action Old]]=0, tblPiNHistorical[[#This Row],[Mine Action New]]="", tblPiNHistorical[[#This Row],[Mine Action New]]=0), "", tblPiNHistorical[[#This Row],[Mine Action New]]-tblPiNHistorical[[#This Row],[Mine Action Old]])</f>
        <v/>
      </c>
      <c r="AO333" s="136" t="str">
        <f>IF(OR(tblPiNHistorical[[#This Row],[Shelter NFI Old]]="", tblPiNHistorical[[#This Row],[Shelter NFI Old]]=0, tblPiNHistorical[[#This Row],[Shelter NFI New]]="", tblPiNHistorical[[#This Row],[Shelter NFI New]]=0), "", tblPiNHistorical[[#This Row],[Shelter NFI New]]-tblPiNHistorical[[#This Row],[Shelter NFI Old]])</f>
        <v/>
      </c>
      <c r="AP333" s="138" t="str">
        <f>IF(OR(tblPiNHistorical[[#This Row],[WASH Old]]="", tblPiNHistorical[[#This Row],[WASH Old]]=0, tblPiNHistorical[[#This Row],[WASH New]]="", tblPiNHistorical[[#This Row],[WASH New]]=0), "", tblPiNHistorical[[#This Row],[WASH New]]-tblPiNHistorical[[#This Row],[WASH Old]])</f>
        <v/>
      </c>
      <c r="AQ333" s="139" t="str">
        <f>IFERROR(ROUND((tblPiNHistorical[[#This Row],[Site Management - New]] - tblPiNHistorical[[#This Row],[Site Management - Old]])/tblPiNHistorical[[#This Row],[Site Management - Old]], 1), "")</f>
        <v/>
      </c>
      <c r="AR333" s="140" t="str">
        <f>IFERROR(ROUND((tblPiNHistorical[[#This Row],[Education New]]-tblPiNHistorical[[#This Row],[Education Old]])/tblPiNHistorical[[#This Row],[Education Old]], 1), "")</f>
        <v/>
      </c>
      <c r="AS333" s="141" t="str">
        <f>IFERROR(ROUND((tblPiNHistorical[[#This Row],[Food Security and Livlihoods New]]-tblPiNHistorical[[#This Row],[Food Security and Livlihoods Old]])/tblPiNHistorical[[#This Row],[Food Security and Livlihoods Old]], 1), "")</f>
        <v/>
      </c>
      <c r="AT333" s="142" t="str">
        <f>IFERROR(ROUND((tblPiNHistorical[[#This Row],[Health New]]-tblPiNHistorical[[#This Row],[Health Old]])/tblPiNHistorical[[#This Row],[Health Old]], 1), "")</f>
        <v/>
      </c>
      <c r="AU333" s="140" t="str">
        <f>IFERROR(ROUND((tblPiNHistorical[[#This Row],[Nutrition New]]-tblPiNHistorical[[#This Row],[Nutrition Old]])/tblPiNHistorical[[#This Row],[Nutrition Old]], 1), "")</f>
        <v/>
      </c>
      <c r="AV333" s="140" t="str">
        <f>IFERROR(ROUND((tblPiNHistorical[[#This Row],[Protection New]]-tblPiNHistorical[[#This Row],[Protection Old]])/tblPiNHistorical[[#This Row],[Protection Old]], 1), "")</f>
        <v/>
      </c>
      <c r="AW333" s="84" t="str">
        <f>IFERROR(ROUND((tblPiNHistorical[[#This Row],[CP New]]-tblPiNHistorical[[#This Row],[CP Old ]])/tblPiNHistorical[[#This Row],[CP Old ]], 1), "")</f>
        <v/>
      </c>
      <c r="AX333" s="84" t="str">
        <f>IFERROR(ROUND((tblPiNHistorical[[#This Row],[GBV New]]-tblPiNHistorical[[#This Row],[GBV Old]])/tblPiNHistorical[[#This Row],[GBV Old]], 1), "")</f>
        <v/>
      </c>
      <c r="AY333" s="84" t="str">
        <f>IFERROR(ROUND((tblPiNHistorical[[#This Row],[Mine Action New]]-tblPiNHistorical[[#This Row],[Mine Action Old]])/tblPiNHistorical[[#This Row],[Mine Action Old]], 1), "")</f>
        <v/>
      </c>
      <c r="AZ333" s="140" t="str">
        <f>IFERROR(ROUND((tblPiNHistorical[[#This Row],[Shelter NFI New]]-tblPiNHistorical[[#This Row],[Shelter NFI Old]])/tblPiNHistorical[[#This Row],[Shelter NFI Old]], 1), "")</f>
        <v/>
      </c>
      <c r="BA333" s="31" t="str">
        <f>IFERROR(ROUND((tblPiNHistorical[[#This Row],[WASH New]]-tblPiNHistorical[[#This Row],[WASH Old]])/tblPiNHistorical[[#This Row],[WASH Old]], 1), "")</f>
        <v/>
      </c>
    </row>
    <row r="334" spans="1:53" ht="38.25" x14ac:dyDescent="0.25">
      <c r="A334"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RefugeesSD03149</v>
      </c>
      <c r="B334" s="134" t="s">
        <v>185</v>
      </c>
      <c r="C334" s="124" t="s">
        <v>120</v>
      </c>
      <c r="D334" s="124" t="s">
        <v>245</v>
      </c>
      <c r="E334" s="59" t="s">
        <v>244</v>
      </c>
      <c r="F334" s="54"/>
      <c r="G334" s="29"/>
      <c r="H334" s="53">
        <v>0</v>
      </c>
      <c r="I334" s="53" t="s">
        <v>90</v>
      </c>
      <c r="J334" s="34">
        <v>0</v>
      </c>
      <c r="K334" s="116">
        <v>0</v>
      </c>
      <c r="L334" s="114">
        <v>0</v>
      </c>
      <c r="M334" s="114">
        <v>0</v>
      </c>
      <c r="N334" s="114">
        <v>0</v>
      </c>
      <c r="O334" s="114">
        <v>0</v>
      </c>
      <c r="P334" s="114">
        <v>0</v>
      </c>
      <c r="Q334" s="114">
        <v>0</v>
      </c>
      <c r="R334" s="114">
        <v>0</v>
      </c>
      <c r="S334" s="114">
        <v>0</v>
      </c>
      <c r="T334" s="196">
        <v>0</v>
      </c>
      <c r="U334" s="52" t="str">
        <f>IFERROR(INDEX(tblPiNAnalysis[[Site Management ]], MATCH(tblPiNHistorical[[#This Row],[ID]], tblPiNAnalysis[ID], 0)), "")</f>
        <v/>
      </c>
      <c r="V334" s="52" t="str">
        <f>IFERROR(INDEX(tblPiNAnalysis[Education], MATCH(tblPiNHistorical[[#This Row],[ID]], tblPiNAnalysis[ID], 0)), "")</f>
        <v/>
      </c>
      <c r="W334" s="28" t="str">
        <f>IFERROR(INDEX(tblPiNAnalysis[Food Security and Livlihoods], MATCH(tblPiNHistorical[[#This Row],[ID]], tblPiNAnalysis[ID], 0)), "")</f>
        <v/>
      </c>
      <c r="X334" s="28" t="str">
        <f>IFERROR(INDEX(tblPiNAnalysis[[Health ]], MATCH(tblPiNHistorical[[#This Row],[ID]], tblPiNAnalysis[ID], 0)), "")</f>
        <v/>
      </c>
      <c r="Y334" s="28" t="str">
        <f>IFERROR(INDEX(tblPiNAnalysis[Nutrition], MATCH(tblPiNHistorical[[#This Row],[ID]], tblPiNAnalysis[ID], 0)), "")</f>
        <v/>
      </c>
      <c r="Z334" s="28" t="str">
        <f>IFERROR(INDEX(tblPiNAnalysis[Protection], MATCH(tblPiNHistorical[[#This Row],[ID]], tblPiNAnalysis[ID], 0)), "")</f>
        <v/>
      </c>
      <c r="AA334" s="28" t="str">
        <f>IFERROR(INDEX(tblPiNAnalysis[CP], MATCH(tblPiNHistorical[[#This Row],[ID]], tblPiNAnalysis[ID], 0)), "")</f>
        <v/>
      </c>
      <c r="AB334" s="83" t="str">
        <f>IFERROR(INDEX(tblPiNAnalysis[GBV], MATCH(tblPiNHistorical[[#This Row],[ID]], tblPiNAnalysis[ID], 0)), "")</f>
        <v/>
      </c>
      <c r="AC334" s="28" t="str">
        <f>IFERROR(INDEX(tblPiNAnalysis[Mine Action], MATCH(tblPiNHistorical[[#This Row],[ID]], tblPiNAnalysis[ID], 0)), "")</f>
        <v/>
      </c>
      <c r="AD334" s="83" t="str">
        <f>IFERROR(INDEX(tblPiNAnalysis[[Shelter NFI ]], MATCH(tblPiNHistorical[[#This Row],[ID]], tblPiNAnalysis[ID], 0)), "")</f>
        <v/>
      </c>
      <c r="AE334" s="28" t="str">
        <f>IFERROR(INDEX(tblPiNAnalysis[WASH], MATCH(tblPiNHistorical[[#This Row],[ID]], tblPiNAnalysis[ID], 0)), "")</f>
        <v/>
      </c>
      <c r="AF334"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334" s="136" t="str">
        <f>IF(OR(tblPiNHistorical[[#This Row],[Education Old]]="", tblPiNHistorical[[#This Row],[Education Old]]=0, tblPiNHistorical[[#This Row],[Education New]]="", tblPiNHistorical[[#This Row],[Education New]]=0), "", tblPiNHistorical[[#This Row],[Education New]]-tblPiNHistorical[[#This Row],[Education Old]])</f>
        <v/>
      </c>
      <c r="AH334"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334" s="137" t="str">
        <f>IF(OR(tblPiNHistorical[[#This Row],[Health Old]]="", tblPiNHistorical[[#This Row],[Health Old]]=0, tblPiNHistorical[[#This Row],[Health New]]="", tblPiNHistorical[[#This Row],[Health New]]=0), "", tblPiNHistorical[[#This Row],[Health New]]-tblPiNHistorical[[#This Row],[Health Old]])</f>
        <v/>
      </c>
      <c r="AJ334" s="136" t="str">
        <f>IF(OR(tblPiNHistorical[[#This Row],[Nutrition Old]]="", tblPiNHistorical[[#This Row],[Nutrition Old]]=0, tblPiNHistorical[[#This Row],[Nutrition New]]="", tblPiNHistorical[[#This Row],[Nutrition New]]=0), "", tblPiNHistorical[[#This Row],[Nutrition New]]-tblPiNHistorical[[#This Row],[Nutrition Old]])</f>
        <v/>
      </c>
      <c r="AK334" s="136" t="str">
        <f>IF(OR(tblPiNHistorical[[#This Row],[Protection Old]]="", tblPiNHistorical[[#This Row],[Protection Old]]=0, tblPiNHistorical[[#This Row],[Protection New]]="", tblPiNHistorical[[#This Row],[Protection New]]=0), "", tblPiNHistorical[[#This Row],[Protection New]]-tblPiNHistorical[[#This Row],[Protection Old]])</f>
        <v/>
      </c>
      <c r="AL334" s="136" t="str">
        <f>IF(OR(tblPiNHistorical[[#This Row],[CP Old ]]="", tblPiNHistorical[[#This Row],[CP Old ]]=0, tblPiNHistorical[[#This Row],[CP New]]="", tblPiNHistorical[[#This Row],[CP New]]=0), "", tblPiNHistorical[[#This Row],[CP New]]-tblPiNHistorical[[#This Row],[CP Old ]])</f>
        <v/>
      </c>
      <c r="AM334" s="83" t="str">
        <f>IF(OR(tblPiNHistorical[[#This Row],[GBV Old]]="", tblPiNHistorical[[#This Row],[GBV Old]]=0, tblPiNHistorical[[#This Row],[GBV New]]="", tblPiNHistorical[[#This Row],[GBV New]]=0), "", tblPiNHistorical[[#This Row],[GBV New]]-tblPiNHistorical[[#This Row],[GBV Old]])</f>
        <v/>
      </c>
      <c r="AN334" s="83" t="str">
        <f>IF(OR(tblPiNHistorical[[#This Row],[Mine Action Old]]="", tblPiNHistorical[[#This Row],[Mine Action Old]]=0, tblPiNHistorical[[#This Row],[Mine Action New]]="", tblPiNHistorical[[#This Row],[Mine Action New]]=0), "", tblPiNHistorical[[#This Row],[Mine Action New]]-tblPiNHistorical[[#This Row],[Mine Action Old]])</f>
        <v/>
      </c>
      <c r="AO334" s="136" t="str">
        <f>IF(OR(tblPiNHistorical[[#This Row],[Shelter NFI Old]]="", tblPiNHistorical[[#This Row],[Shelter NFI Old]]=0, tblPiNHistorical[[#This Row],[Shelter NFI New]]="", tblPiNHistorical[[#This Row],[Shelter NFI New]]=0), "", tblPiNHistorical[[#This Row],[Shelter NFI New]]-tblPiNHistorical[[#This Row],[Shelter NFI Old]])</f>
        <v/>
      </c>
      <c r="AP334" s="138" t="str">
        <f>IF(OR(tblPiNHistorical[[#This Row],[WASH Old]]="", tblPiNHistorical[[#This Row],[WASH Old]]=0, tblPiNHistorical[[#This Row],[WASH New]]="", tblPiNHistorical[[#This Row],[WASH New]]=0), "", tblPiNHistorical[[#This Row],[WASH New]]-tblPiNHistorical[[#This Row],[WASH Old]])</f>
        <v/>
      </c>
      <c r="AQ334" s="139" t="str">
        <f>IFERROR(ROUND((tblPiNHistorical[[#This Row],[Site Management - New]] - tblPiNHistorical[[#This Row],[Site Management - Old]])/tblPiNHistorical[[#This Row],[Site Management - Old]], 1), "")</f>
        <v/>
      </c>
      <c r="AR334" s="140" t="str">
        <f>IFERROR(ROUND((tblPiNHistorical[[#This Row],[Education New]]-tblPiNHistorical[[#This Row],[Education Old]])/tblPiNHistorical[[#This Row],[Education Old]], 1), "")</f>
        <v/>
      </c>
      <c r="AS334" s="141" t="str">
        <f>IFERROR(ROUND((tblPiNHistorical[[#This Row],[Food Security and Livlihoods New]]-tblPiNHistorical[[#This Row],[Food Security and Livlihoods Old]])/tblPiNHistorical[[#This Row],[Food Security and Livlihoods Old]], 1), "")</f>
        <v/>
      </c>
      <c r="AT334" s="142" t="str">
        <f>IFERROR(ROUND((tblPiNHistorical[[#This Row],[Health New]]-tblPiNHistorical[[#This Row],[Health Old]])/tblPiNHistorical[[#This Row],[Health Old]], 1), "")</f>
        <v/>
      </c>
      <c r="AU334" s="140" t="str">
        <f>IFERROR(ROUND((tblPiNHistorical[[#This Row],[Nutrition New]]-tblPiNHistorical[[#This Row],[Nutrition Old]])/tblPiNHistorical[[#This Row],[Nutrition Old]], 1), "")</f>
        <v/>
      </c>
      <c r="AV334" s="140" t="str">
        <f>IFERROR(ROUND((tblPiNHistorical[[#This Row],[Protection New]]-tblPiNHistorical[[#This Row],[Protection Old]])/tblPiNHistorical[[#This Row],[Protection Old]], 1), "")</f>
        <v/>
      </c>
      <c r="AW334" s="84" t="str">
        <f>IFERROR(ROUND((tblPiNHistorical[[#This Row],[CP New]]-tblPiNHistorical[[#This Row],[CP Old ]])/tblPiNHistorical[[#This Row],[CP Old ]], 1), "")</f>
        <v/>
      </c>
      <c r="AX334" s="84" t="str">
        <f>IFERROR(ROUND((tblPiNHistorical[[#This Row],[GBV New]]-tblPiNHistorical[[#This Row],[GBV Old]])/tblPiNHistorical[[#This Row],[GBV Old]], 1), "")</f>
        <v/>
      </c>
      <c r="AY334" s="84" t="str">
        <f>IFERROR(ROUND((tblPiNHistorical[[#This Row],[Mine Action New]]-tblPiNHistorical[[#This Row],[Mine Action Old]])/tblPiNHistorical[[#This Row],[Mine Action Old]], 1), "")</f>
        <v/>
      </c>
      <c r="AZ334" s="140" t="str">
        <f>IFERROR(ROUND((tblPiNHistorical[[#This Row],[Shelter NFI New]]-tblPiNHistorical[[#This Row],[Shelter NFI Old]])/tblPiNHistorical[[#This Row],[Shelter NFI Old]], 1), "")</f>
        <v/>
      </c>
      <c r="BA334" s="31" t="str">
        <f>IFERROR(ROUND((tblPiNHistorical[[#This Row],[WASH New]]-tblPiNHistorical[[#This Row],[WASH Old]])/tblPiNHistorical[[#This Row],[WASH Old]], 1), "")</f>
        <v/>
      </c>
    </row>
    <row r="335" spans="1:53" ht="38.25" x14ac:dyDescent="0.25">
      <c r="A335"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RefugeesSD03146</v>
      </c>
      <c r="B335" s="134" t="s">
        <v>185</v>
      </c>
      <c r="C335" s="124" t="s">
        <v>120</v>
      </c>
      <c r="D335" s="124" t="s">
        <v>241</v>
      </c>
      <c r="E335" s="59" t="s">
        <v>240</v>
      </c>
      <c r="F335" s="54"/>
      <c r="G335" s="29"/>
      <c r="H335" s="53">
        <v>4080</v>
      </c>
      <c r="I335" s="53" t="s">
        <v>90</v>
      </c>
      <c r="J335" s="34">
        <v>0</v>
      </c>
      <c r="K335" s="116">
        <v>1966</v>
      </c>
      <c r="L335" s="114">
        <v>4080</v>
      </c>
      <c r="M335" s="114">
        <v>1183</v>
      </c>
      <c r="N335" s="114">
        <v>373</v>
      </c>
      <c r="O335" s="114">
        <v>4080</v>
      </c>
      <c r="P335" s="114">
        <v>709.92</v>
      </c>
      <c r="Q335" s="114">
        <v>2268.48</v>
      </c>
      <c r="R335" s="114">
        <v>816</v>
      </c>
      <c r="S335" s="114">
        <v>1632</v>
      </c>
      <c r="T335" s="196">
        <v>4050</v>
      </c>
      <c r="U335" s="52" t="str">
        <f>IFERROR(INDEX(tblPiNAnalysis[[Site Management ]], MATCH(tblPiNHistorical[[#This Row],[ID]], tblPiNAnalysis[ID], 0)), "")</f>
        <v/>
      </c>
      <c r="V335" s="52" t="str">
        <f>IFERROR(INDEX(tblPiNAnalysis[Education], MATCH(tblPiNHistorical[[#This Row],[ID]], tblPiNAnalysis[ID], 0)), "")</f>
        <v/>
      </c>
      <c r="W335" s="28" t="str">
        <f>IFERROR(INDEX(tblPiNAnalysis[Food Security and Livlihoods], MATCH(tblPiNHistorical[[#This Row],[ID]], tblPiNAnalysis[ID], 0)), "")</f>
        <v/>
      </c>
      <c r="X335" s="28" t="str">
        <f>IFERROR(INDEX(tblPiNAnalysis[[Health ]], MATCH(tblPiNHistorical[[#This Row],[ID]], tblPiNAnalysis[ID], 0)), "")</f>
        <v/>
      </c>
      <c r="Y335" s="28" t="str">
        <f>IFERROR(INDEX(tblPiNAnalysis[Nutrition], MATCH(tblPiNHistorical[[#This Row],[ID]], tblPiNAnalysis[ID], 0)), "")</f>
        <v/>
      </c>
      <c r="Z335" s="28" t="str">
        <f>IFERROR(INDEX(tblPiNAnalysis[Protection], MATCH(tblPiNHistorical[[#This Row],[ID]], tblPiNAnalysis[ID], 0)), "")</f>
        <v/>
      </c>
      <c r="AA335" s="28" t="str">
        <f>IFERROR(INDEX(tblPiNAnalysis[CP], MATCH(tblPiNHistorical[[#This Row],[ID]], tblPiNAnalysis[ID], 0)), "")</f>
        <v/>
      </c>
      <c r="AB335" s="83" t="str">
        <f>IFERROR(INDEX(tblPiNAnalysis[GBV], MATCH(tblPiNHistorical[[#This Row],[ID]], tblPiNAnalysis[ID], 0)), "")</f>
        <v/>
      </c>
      <c r="AC335" s="28" t="str">
        <f>IFERROR(INDEX(tblPiNAnalysis[Mine Action], MATCH(tblPiNHistorical[[#This Row],[ID]], tblPiNAnalysis[ID], 0)), "")</f>
        <v/>
      </c>
      <c r="AD335" s="83" t="str">
        <f>IFERROR(INDEX(tblPiNAnalysis[[Shelter NFI ]], MATCH(tblPiNHistorical[[#This Row],[ID]], tblPiNAnalysis[ID], 0)), "")</f>
        <v/>
      </c>
      <c r="AE335" s="28" t="str">
        <f>IFERROR(INDEX(tblPiNAnalysis[WASH], MATCH(tblPiNHistorical[[#This Row],[ID]], tblPiNAnalysis[ID], 0)), "")</f>
        <v/>
      </c>
      <c r="AF335"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335" s="136" t="str">
        <f>IF(OR(tblPiNHistorical[[#This Row],[Education Old]]="", tblPiNHistorical[[#This Row],[Education Old]]=0, tblPiNHistorical[[#This Row],[Education New]]="", tblPiNHistorical[[#This Row],[Education New]]=0), "", tblPiNHistorical[[#This Row],[Education New]]-tblPiNHistorical[[#This Row],[Education Old]])</f>
        <v/>
      </c>
      <c r="AH335"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335" s="137" t="str">
        <f>IF(OR(tblPiNHistorical[[#This Row],[Health Old]]="", tblPiNHistorical[[#This Row],[Health Old]]=0, tblPiNHistorical[[#This Row],[Health New]]="", tblPiNHistorical[[#This Row],[Health New]]=0), "", tblPiNHistorical[[#This Row],[Health New]]-tblPiNHistorical[[#This Row],[Health Old]])</f>
        <v/>
      </c>
      <c r="AJ335" s="136" t="str">
        <f>IF(OR(tblPiNHistorical[[#This Row],[Nutrition Old]]="", tblPiNHistorical[[#This Row],[Nutrition Old]]=0, tblPiNHistorical[[#This Row],[Nutrition New]]="", tblPiNHistorical[[#This Row],[Nutrition New]]=0), "", tblPiNHistorical[[#This Row],[Nutrition New]]-tblPiNHistorical[[#This Row],[Nutrition Old]])</f>
        <v/>
      </c>
      <c r="AK335" s="136" t="str">
        <f>IF(OR(tblPiNHistorical[[#This Row],[Protection Old]]="", tblPiNHistorical[[#This Row],[Protection Old]]=0, tblPiNHistorical[[#This Row],[Protection New]]="", tblPiNHistorical[[#This Row],[Protection New]]=0), "", tblPiNHistorical[[#This Row],[Protection New]]-tblPiNHistorical[[#This Row],[Protection Old]])</f>
        <v/>
      </c>
      <c r="AL335" s="136" t="str">
        <f>IF(OR(tblPiNHistorical[[#This Row],[CP Old ]]="", tblPiNHistorical[[#This Row],[CP Old ]]=0, tblPiNHistorical[[#This Row],[CP New]]="", tblPiNHistorical[[#This Row],[CP New]]=0), "", tblPiNHistorical[[#This Row],[CP New]]-tblPiNHistorical[[#This Row],[CP Old ]])</f>
        <v/>
      </c>
      <c r="AM335" s="83" t="str">
        <f>IF(OR(tblPiNHistorical[[#This Row],[GBV Old]]="", tblPiNHistorical[[#This Row],[GBV Old]]=0, tblPiNHistorical[[#This Row],[GBV New]]="", tblPiNHistorical[[#This Row],[GBV New]]=0), "", tblPiNHistorical[[#This Row],[GBV New]]-tblPiNHistorical[[#This Row],[GBV Old]])</f>
        <v/>
      </c>
      <c r="AN335" s="83" t="str">
        <f>IF(OR(tblPiNHistorical[[#This Row],[Mine Action Old]]="", tblPiNHistorical[[#This Row],[Mine Action Old]]=0, tblPiNHistorical[[#This Row],[Mine Action New]]="", tblPiNHistorical[[#This Row],[Mine Action New]]=0), "", tblPiNHistorical[[#This Row],[Mine Action New]]-tblPiNHistorical[[#This Row],[Mine Action Old]])</f>
        <v/>
      </c>
      <c r="AO335" s="136" t="str">
        <f>IF(OR(tblPiNHistorical[[#This Row],[Shelter NFI Old]]="", tblPiNHistorical[[#This Row],[Shelter NFI Old]]=0, tblPiNHistorical[[#This Row],[Shelter NFI New]]="", tblPiNHistorical[[#This Row],[Shelter NFI New]]=0), "", tblPiNHistorical[[#This Row],[Shelter NFI New]]-tblPiNHistorical[[#This Row],[Shelter NFI Old]])</f>
        <v/>
      </c>
      <c r="AP335" s="138" t="str">
        <f>IF(OR(tblPiNHistorical[[#This Row],[WASH Old]]="", tblPiNHistorical[[#This Row],[WASH Old]]=0, tblPiNHistorical[[#This Row],[WASH New]]="", tblPiNHistorical[[#This Row],[WASH New]]=0), "", tblPiNHistorical[[#This Row],[WASH New]]-tblPiNHistorical[[#This Row],[WASH Old]])</f>
        <v/>
      </c>
      <c r="AQ335" s="139" t="str">
        <f>IFERROR(ROUND((tblPiNHistorical[[#This Row],[Site Management - New]] - tblPiNHistorical[[#This Row],[Site Management - Old]])/tblPiNHistorical[[#This Row],[Site Management - Old]], 1), "")</f>
        <v/>
      </c>
      <c r="AR335" s="140" t="str">
        <f>IFERROR(ROUND((tblPiNHistorical[[#This Row],[Education New]]-tblPiNHistorical[[#This Row],[Education Old]])/tblPiNHistorical[[#This Row],[Education Old]], 1), "")</f>
        <v/>
      </c>
      <c r="AS335" s="141" t="str">
        <f>IFERROR(ROUND((tblPiNHistorical[[#This Row],[Food Security and Livlihoods New]]-tblPiNHistorical[[#This Row],[Food Security and Livlihoods Old]])/tblPiNHistorical[[#This Row],[Food Security and Livlihoods Old]], 1), "")</f>
        <v/>
      </c>
      <c r="AT335" s="142" t="str">
        <f>IFERROR(ROUND((tblPiNHistorical[[#This Row],[Health New]]-tblPiNHistorical[[#This Row],[Health Old]])/tblPiNHistorical[[#This Row],[Health Old]], 1), "")</f>
        <v/>
      </c>
      <c r="AU335" s="140" t="str">
        <f>IFERROR(ROUND((tblPiNHistorical[[#This Row],[Nutrition New]]-tblPiNHistorical[[#This Row],[Nutrition Old]])/tblPiNHistorical[[#This Row],[Nutrition Old]], 1), "")</f>
        <v/>
      </c>
      <c r="AV335" s="140" t="str">
        <f>IFERROR(ROUND((tblPiNHistorical[[#This Row],[Protection New]]-tblPiNHistorical[[#This Row],[Protection Old]])/tblPiNHistorical[[#This Row],[Protection Old]], 1), "")</f>
        <v/>
      </c>
      <c r="AW335" s="84" t="str">
        <f>IFERROR(ROUND((tblPiNHistorical[[#This Row],[CP New]]-tblPiNHistorical[[#This Row],[CP Old ]])/tblPiNHistorical[[#This Row],[CP Old ]], 1), "")</f>
        <v/>
      </c>
      <c r="AX335" s="84" t="str">
        <f>IFERROR(ROUND((tblPiNHistorical[[#This Row],[GBV New]]-tblPiNHistorical[[#This Row],[GBV Old]])/tblPiNHistorical[[#This Row],[GBV Old]], 1), "")</f>
        <v/>
      </c>
      <c r="AY335" s="84" t="str">
        <f>IFERROR(ROUND((tblPiNHistorical[[#This Row],[Mine Action New]]-tblPiNHistorical[[#This Row],[Mine Action Old]])/tblPiNHistorical[[#This Row],[Mine Action Old]], 1), "")</f>
        <v/>
      </c>
      <c r="AZ335" s="140" t="str">
        <f>IFERROR(ROUND((tblPiNHistorical[[#This Row],[Shelter NFI New]]-tblPiNHistorical[[#This Row],[Shelter NFI Old]])/tblPiNHistorical[[#This Row],[Shelter NFI Old]], 1), "")</f>
        <v/>
      </c>
      <c r="BA335" s="31" t="str">
        <f>IFERROR(ROUND((tblPiNHistorical[[#This Row],[WASH New]]-tblPiNHistorical[[#This Row],[WASH Old]])/tblPiNHistorical[[#This Row],[WASH Old]], 1), "")</f>
        <v/>
      </c>
    </row>
    <row r="336" spans="1:53" ht="38.25" x14ac:dyDescent="0.25">
      <c r="A336"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RefugeesSD07090</v>
      </c>
      <c r="B336" s="134" t="s">
        <v>188</v>
      </c>
      <c r="C336" s="124" t="s">
        <v>124</v>
      </c>
      <c r="D336" s="124" t="s">
        <v>340</v>
      </c>
      <c r="E336" s="59" t="s">
        <v>341</v>
      </c>
      <c r="F336" s="54"/>
      <c r="G336" s="29"/>
      <c r="H336" s="53">
        <v>0</v>
      </c>
      <c r="I336" s="53" t="s">
        <v>90</v>
      </c>
      <c r="J336" s="34">
        <v>0</v>
      </c>
      <c r="K336" s="116">
        <v>0</v>
      </c>
      <c r="L336" s="114">
        <v>0</v>
      </c>
      <c r="M336" s="114">
        <v>0</v>
      </c>
      <c r="N336" s="114">
        <v>0</v>
      </c>
      <c r="O336" s="114">
        <v>0</v>
      </c>
      <c r="P336" s="114">
        <v>0</v>
      </c>
      <c r="Q336" s="114">
        <v>0</v>
      </c>
      <c r="R336" s="114">
        <v>0</v>
      </c>
      <c r="S336" s="114">
        <v>0</v>
      </c>
      <c r="T336" s="196">
        <v>0</v>
      </c>
      <c r="U336" s="52" t="str">
        <f>IFERROR(INDEX(tblPiNAnalysis[[Site Management ]], MATCH(tblPiNHistorical[[#This Row],[ID]], tblPiNAnalysis[ID], 0)), "")</f>
        <v/>
      </c>
      <c r="V336" s="52" t="str">
        <f>IFERROR(INDEX(tblPiNAnalysis[Education], MATCH(tblPiNHistorical[[#This Row],[ID]], tblPiNAnalysis[ID], 0)), "")</f>
        <v/>
      </c>
      <c r="W336" s="28" t="str">
        <f>IFERROR(INDEX(tblPiNAnalysis[Food Security and Livlihoods], MATCH(tblPiNHistorical[[#This Row],[ID]], tblPiNAnalysis[ID], 0)), "")</f>
        <v/>
      </c>
      <c r="X336" s="28" t="str">
        <f>IFERROR(INDEX(tblPiNAnalysis[[Health ]], MATCH(tblPiNHistorical[[#This Row],[ID]], tblPiNAnalysis[ID], 0)), "")</f>
        <v/>
      </c>
      <c r="Y336" s="28" t="str">
        <f>IFERROR(INDEX(tblPiNAnalysis[Nutrition], MATCH(tblPiNHistorical[[#This Row],[ID]], tblPiNAnalysis[ID], 0)), "")</f>
        <v/>
      </c>
      <c r="Z336" s="28" t="str">
        <f>IFERROR(INDEX(tblPiNAnalysis[Protection], MATCH(tblPiNHistorical[[#This Row],[ID]], tblPiNAnalysis[ID], 0)), "")</f>
        <v/>
      </c>
      <c r="AA336" s="28" t="str">
        <f>IFERROR(INDEX(tblPiNAnalysis[CP], MATCH(tblPiNHistorical[[#This Row],[ID]], tblPiNAnalysis[ID], 0)), "")</f>
        <v/>
      </c>
      <c r="AB336" s="83" t="str">
        <f>IFERROR(INDEX(tblPiNAnalysis[GBV], MATCH(tblPiNHistorical[[#This Row],[ID]], tblPiNAnalysis[ID], 0)), "")</f>
        <v/>
      </c>
      <c r="AC336" s="28" t="str">
        <f>IFERROR(INDEX(tblPiNAnalysis[Mine Action], MATCH(tblPiNHistorical[[#This Row],[ID]], tblPiNAnalysis[ID], 0)), "")</f>
        <v/>
      </c>
      <c r="AD336" s="83" t="str">
        <f>IFERROR(INDEX(tblPiNAnalysis[[Shelter NFI ]], MATCH(tblPiNHistorical[[#This Row],[ID]], tblPiNAnalysis[ID], 0)), "")</f>
        <v/>
      </c>
      <c r="AE336" s="28" t="str">
        <f>IFERROR(INDEX(tblPiNAnalysis[WASH], MATCH(tblPiNHistorical[[#This Row],[ID]], tblPiNAnalysis[ID], 0)), "")</f>
        <v/>
      </c>
      <c r="AF336"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336" s="136" t="str">
        <f>IF(OR(tblPiNHistorical[[#This Row],[Education Old]]="", tblPiNHistorical[[#This Row],[Education Old]]=0, tblPiNHistorical[[#This Row],[Education New]]="", tblPiNHistorical[[#This Row],[Education New]]=0), "", tblPiNHistorical[[#This Row],[Education New]]-tblPiNHistorical[[#This Row],[Education Old]])</f>
        <v/>
      </c>
      <c r="AH336"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336" s="137" t="str">
        <f>IF(OR(tblPiNHistorical[[#This Row],[Health Old]]="", tblPiNHistorical[[#This Row],[Health Old]]=0, tblPiNHistorical[[#This Row],[Health New]]="", tblPiNHistorical[[#This Row],[Health New]]=0), "", tblPiNHistorical[[#This Row],[Health New]]-tblPiNHistorical[[#This Row],[Health Old]])</f>
        <v/>
      </c>
      <c r="AJ336" s="136" t="str">
        <f>IF(OR(tblPiNHistorical[[#This Row],[Nutrition Old]]="", tblPiNHistorical[[#This Row],[Nutrition Old]]=0, tblPiNHistorical[[#This Row],[Nutrition New]]="", tblPiNHistorical[[#This Row],[Nutrition New]]=0), "", tblPiNHistorical[[#This Row],[Nutrition New]]-tblPiNHistorical[[#This Row],[Nutrition Old]])</f>
        <v/>
      </c>
      <c r="AK336" s="136" t="str">
        <f>IF(OR(tblPiNHistorical[[#This Row],[Protection Old]]="", tblPiNHistorical[[#This Row],[Protection Old]]=0, tblPiNHistorical[[#This Row],[Protection New]]="", tblPiNHistorical[[#This Row],[Protection New]]=0), "", tblPiNHistorical[[#This Row],[Protection New]]-tblPiNHistorical[[#This Row],[Protection Old]])</f>
        <v/>
      </c>
      <c r="AL336" s="136" t="str">
        <f>IF(OR(tblPiNHistorical[[#This Row],[CP Old ]]="", tblPiNHistorical[[#This Row],[CP Old ]]=0, tblPiNHistorical[[#This Row],[CP New]]="", tblPiNHistorical[[#This Row],[CP New]]=0), "", tblPiNHistorical[[#This Row],[CP New]]-tblPiNHistorical[[#This Row],[CP Old ]])</f>
        <v/>
      </c>
      <c r="AM336" s="83" t="str">
        <f>IF(OR(tblPiNHistorical[[#This Row],[GBV Old]]="", tblPiNHistorical[[#This Row],[GBV Old]]=0, tblPiNHistorical[[#This Row],[GBV New]]="", tblPiNHistorical[[#This Row],[GBV New]]=0), "", tblPiNHistorical[[#This Row],[GBV New]]-tblPiNHistorical[[#This Row],[GBV Old]])</f>
        <v/>
      </c>
      <c r="AN336" s="83" t="str">
        <f>IF(OR(tblPiNHistorical[[#This Row],[Mine Action Old]]="", tblPiNHistorical[[#This Row],[Mine Action Old]]=0, tblPiNHistorical[[#This Row],[Mine Action New]]="", tblPiNHistorical[[#This Row],[Mine Action New]]=0), "", tblPiNHistorical[[#This Row],[Mine Action New]]-tblPiNHistorical[[#This Row],[Mine Action Old]])</f>
        <v/>
      </c>
      <c r="AO336" s="136" t="str">
        <f>IF(OR(tblPiNHistorical[[#This Row],[Shelter NFI Old]]="", tblPiNHistorical[[#This Row],[Shelter NFI Old]]=0, tblPiNHistorical[[#This Row],[Shelter NFI New]]="", tblPiNHistorical[[#This Row],[Shelter NFI New]]=0), "", tblPiNHistorical[[#This Row],[Shelter NFI New]]-tblPiNHistorical[[#This Row],[Shelter NFI Old]])</f>
        <v/>
      </c>
      <c r="AP336" s="138" t="str">
        <f>IF(OR(tblPiNHistorical[[#This Row],[WASH Old]]="", tblPiNHistorical[[#This Row],[WASH Old]]=0, tblPiNHistorical[[#This Row],[WASH New]]="", tblPiNHistorical[[#This Row],[WASH New]]=0), "", tblPiNHistorical[[#This Row],[WASH New]]-tblPiNHistorical[[#This Row],[WASH Old]])</f>
        <v/>
      </c>
      <c r="AQ336" s="139" t="str">
        <f>IFERROR(ROUND((tblPiNHistorical[[#This Row],[Site Management - New]] - tblPiNHistorical[[#This Row],[Site Management - Old]])/tblPiNHistorical[[#This Row],[Site Management - Old]], 1), "")</f>
        <v/>
      </c>
      <c r="AR336" s="140" t="str">
        <f>IFERROR(ROUND((tblPiNHistorical[[#This Row],[Education New]]-tblPiNHistorical[[#This Row],[Education Old]])/tblPiNHistorical[[#This Row],[Education Old]], 1), "")</f>
        <v/>
      </c>
      <c r="AS336" s="141" t="str">
        <f>IFERROR(ROUND((tblPiNHistorical[[#This Row],[Food Security and Livlihoods New]]-tblPiNHistorical[[#This Row],[Food Security and Livlihoods Old]])/tblPiNHistorical[[#This Row],[Food Security and Livlihoods Old]], 1), "")</f>
        <v/>
      </c>
      <c r="AT336" s="142" t="str">
        <f>IFERROR(ROUND((tblPiNHistorical[[#This Row],[Health New]]-tblPiNHistorical[[#This Row],[Health Old]])/tblPiNHistorical[[#This Row],[Health Old]], 1), "")</f>
        <v/>
      </c>
      <c r="AU336" s="140" t="str">
        <f>IFERROR(ROUND((tblPiNHistorical[[#This Row],[Nutrition New]]-tblPiNHistorical[[#This Row],[Nutrition Old]])/tblPiNHistorical[[#This Row],[Nutrition Old]], 1), "")</f>
        <v/>
      </c>
      <c r="AV336" s="140" t="str">
        <f>IFERROR(ROUND((tblPiNHistorical[[#This Row],[Protection New]]-tblPiNHistorical[[#This Row],[Protection Old]])/tblPiNHistorical[[#This Row],[Protection Old]], 1), "")</f>
        <v/>
      </c>
      <c r="AW336" s="84" t="str">
        <f>IFERROR(ROUND((tblPiNHistorical[[#This Row],[CP New]]-tblPiNHistorical[[#This Row],[CP Old ]])/tblPiNHistorical[[#This Row],[CP Old ]], 1), "")</f>
        <v/>
      </c>
      <c r="AX336" s="84" t="str">
        <f>IFERROR(ROUND((tblPiNHistorical[[#This Row],[GBV New]]-tblPiNHistorical[[#This Row],[GBV Old]])/tblPiNHistorical[[#This Row],[GBV Old]], 1), "")</f>
        <v/>
      </c>
      <c r="AY336" s="84" t="str">
        <f>IFERROR(ROUND((tblPiNHistorical[[#This Row],[Mine Action New]]-tblPiNHistorical[[#This Row],[Mine Action Old]])/tblPiNHistorical[[#This Row],[Mine Action Old]], 1), "")</f>
        <v/>
      </c>
      <c r="AZ336" s="140" t="str">
        <f>IFERROR(ROUND((tblPiNHistorical[[#This Row],[Shelter NFI New]]-tblPiNHistorical[[#This Row],[Shelter NFI Old]])/tblPiNHistorical[[#This Row],[Shelter NFI Old]], 1), "")</f>
        <v/>
      </c>
      <c r="BA336" s="31" t="str">
        <f>IFERROR(ROUND((tblPiNHistorical[[#This Row],[WASH New]]-tblPiNHistorical[[#This Row],[WASH Old]])/tblPiNHistorical[[#This Row],[WASH Old]], 1), "")</f>
        <v/>
      </c>
    </row>
    <row r="337" spans="1:53" ht="38.25" x14ac:dyDescent="0.25">
      <c r="A337"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RefugeesSD07088</v>
      </c>
      <c r="B337" s="134" t="s">
        <v>188</v>
      </c>
      <c r="C337" s="124" t="s">
        <v>124</v>
      </c>
      <c r="D337" s="124" t="s">
        <v>336</v>
      </c>
      <c r="E337" s="59" t="s">
        <v>337</v>
      </c>
      <c r="F337" s="54"/>
      <c r="G337" s="29"/>
      <c r="H337" s="53">
        <v>11294</v>
      </c>
      <c r="I337" s="53" t="s">
        <v>90</v>
      </c>
      <c r="J337" s="34">
        <v>0</v>
      </c>
      <c r="K337" s="116">
        <v>5269</v>
      </c>
      <c r="L337" s="114">
        <v>11294</v>
      </c>
      <c r="M337" s="114">
        <v>5534</v>
      </c>
      <c r="N337" s="114">
        <v>1032</v>
      </c>
      <c r="O337" s="114">
        <v>11294</v>
      </c>
      <c r="P337" s="114">
        <v>1999.0379999999998</v>
      </c>
      <c r="Q337" s="114">
        <v>5025.83</v>
      </c>
      <c r="R337" s="114">
        <v>3388.2</v>
      </c>
      <c r="S337" s="114">
        <v>4518</v>
      </c>
      <c r="T337" s="196">
        <v>10561</v>
      </c>
      <c r="U337" s="52" t="str">
        <f>IFERROR(INDEX(tblPiNAnalysis[[Site Management ]], MATCH(tblPiNHistorical[[#This Row],[ID]], tblPiNAnalysis[ID], 0)), "")</f>
        <v/>
      </c>
      <c r="V337" s="52" t="str">
        <f>IFERROR(INDEX(tblPiNAnalysis[Education], MATCH(tblPiNHistorical[[#This Row],[ID]], tblPiNAnalysis[ID], 0)), "")</f>
        <v/>
      </c>
      <c r="W337" s="28" t="str">
        <f>IFERROR(INDEX(tblPiNAnalysis[Food Security and Livlihoods], MATCH(tblPiNHistorical[[#This Row],[ID]], tblPiNAnalysis[ID], 0)), "")</f>
        <v/>
      </c>
      <c r="X337" s="28" t="str">
        <f>IFERROR(INDEX(tblPiNAnalysis[[Health ]], MATCH(tblPiNHistorical[[#This Row],[ID]], tblPiNAnalysis[ID], 0)), "")</f>
        <v/>
      </c>
      <c r="Y337" s="28" t="str">
        <f>IFERROR(INDEX(tblPiNAnalysis[Nutrition], MATCH(tblPiNHistorical[[#This Row],[ID]], tblPiNAnalysis[ID], 0)), "")</f>
        <v/>
      </c>
      <c r="Z337" s="28" t="str">
        <f>IFERROR(INDEX(tblPiNAnalysis[Protection], MATCH(tblPiNHistorical[[#This Row],[ID]], tblPiNAnalysis[ID], 0)), "")</f>
        <v/>
      </c>
      <c r="AA337" s="28" t="str">
        <f>IFERROR(INDEX(tblPiNAnalysis[CP], MATCH(tblPiNHistorical[[#This Row],[ID]], tblPiNAnalysis[ID], 0)), "")</f>
        <v/>
      </c>
      <c r="AB337" s="83" t="str">
        <f>IFERROR(INDEX(tblPiNAnalysis[GBV], MATCH(tblPiNHistorical[[#This Row],[ID]], tblPiNAnalysis[ID], 0)), "")</f>
        <v/>
      </c>
      <c r="AC337" s="28" t="str">
        <f>IFERROR(INDEX(tblPiNAnalysis[Mine Action], MATCH(tblPiNHistorical[[#This Row],[ID]], tblPiNAnalysis[ID], 0)), "")</f>
        <v/>
      </c>
      <c r="AD337" s="83" t="str">
        <f>IFERROR(INDEX(tblPiNAnalysis[[Shelter NFI ]], MATCH(tblPiNHistorical[[#This Row],[ID]], tblPiNAnalysis[ID], 0)), "")</f>
        <v/>
      </c>
      <c r="AE337" s="28" t="str">
        <f>IFERROR(INDEX(tblPiNAnalysis[WASH], MATCH(tblPiNHistorical[[#This Row],[ID]], tblPiNAnalysis[ID], 0)), "")</f>
        <v/>
      </c>
      <c r="AF337"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337" s="136" t="str">
        <f>IF(OR(tblPiNHistorical[[#This Row],[Education Old]]="", tblPiNHistorical[[#This Row],[Education Old]]=0, tblPiNHistorical[[#This Row],[Education New]]="", tblPiNHistorical[[#This Row],[Education New]]=0), "", tblPiNHistorical[[#This Row],[Education New]]-tblPiNHistorical[[#This Row],[Education Old]])</f>
        <v/>
      </c>
      <c r="AH337"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337" s="137" t="str">
        <f>IF(OR(tblPiNHistorical[[#This Row],[Health Old]]="", tblPiNHistorical[[#This Row],[Health Old]]=0, tblPiNHistorical[[#This Row],[Health New]]="", tblPiNHistorical[[#This Row],[Health New]]=0), "", tblPiNHistorical[[#This Row],[Health New]]-tblPiNHistorical[[#This Row],[Health Old]])</f>
        <v/>
      </c>
      <c r="AJ337" s="136" t="str">
        <f>IF(OR(tblPiNHistorical[[#This Row],[Nutrition Old]]="", tblPiNHistorical[[#This Row],[Nutrition Old]]=0, tblPiNHistorical[[#This Row],[Nutrition New]]="", tblPiNHistorical[[#This Row],[Nutrition New]]=0), "", tblPiNHistorical[[#This Row],[Nutrition New]]-tblPiNHistorical[[#This Row],[Nutrition Old]])</f>
        <v/>
      </c>
      <c r="AK337" s="136" t="str">
        <f>IF(OR(tblPiNHistorical[[#This Row],[Protection Old]]="", tblPiNHistorical[[#This Row],[Protection Old]]=0, tblPiNHistorical[[#This Row],[Protection New]]="", tblPiNHistorical[[#This Row],[Protection New]]=0), "", tblPiNHistorical[[#This Row],[Protection New]]-tblPiNHistorical[[#This Row],[Protection Old]])</f>
        <v/>
      </c>
      <c r="AL337" s="136" t="str">
        <f>IF(OR(tblPiNHistorical[[#This Row],[CP Old ]]="", tblPiNHistorical[[#This Row],[CP Old ]]=0, tblPiNHistorical[[#This Row],[CP New]]="", tblPiNHistorical[[#This Row],[CP New]]=0), "", tblPiNHistorical[[#This Row],[CP New]]-tblPiNHistorical[[#This Row],[CP Old ]])</f>
        <v/>
      </c>
      <c r="AM337" s="83" t="str">
        <f>IF(OR(tblPiNHistorical[[#This Row],[GBV Old]]="", tblPiNHistorical[[#This Row],[GBV Old]]=0, tblPiNHistorical[[#This Row],[GBV New]]="", tblPiNHistorical[[#This Row],[GBV New]]=0), "", tblPiNHistorical[[#This Row],[GBV New]]-tblPiNHistorical[[#This Row],[GBV Old]])</f>
        <v/>
      </c>
      <c r="AN337" s="83" t="str">
        <f>IF(OR(tblPiNHistorical[[#This Row],[Mine Action Old]]="", tblPiNHistorical[[#This Row],[Mine Action Old]]=0, tblPiNHistorical[[#This Row],[Mine Action New]]="", tblPiNHistorical[[#This Row],[Mine Action New]]=0), "", tblPiNHistorical[[#This Row],[Mine Action New]]-tblPiNHistorical[[#This Row],[Mine Action Old]])</f>
        <v/>
      </c>
      <c r="AO337" s="136" t="str">
        <f>IF(OR(tblPiNHistorical[[#This Row],[Shelter NFI Old]]="", tblPiNHistorical[[#This Row],[Shelter NFI Old]]=0, tblPiNHistorical[[#This Row],[Shelter NFI New]]="", tblPiNHistorical[[#This Row],[Shelter NFI New]]=0), "", tblPiNHistorical[[#This Row],[Shelter NFI New]]-tblPiNHistorical[[#This Row],[Shelter NFI Old]])</f>
        <v/>
      </c>
      <c r="AP337" s="138" t="str">
        <f>IF(OR(tblPiNHistorical[[#This Row],[WASH Old]]="", tblPiNHistorical[[#This Row],[WASH Old]]=0, tblPiNHistorical[[#This Row],[WASH New]]="", tblPiNHistorical[[#This Row],[WASH New]]=0), "", tblPiNHistorical[[#This Row],[WASH New]]-tblPiNHistorical[[#This Row],[WASH Old]])</f>
        <v/>
      </c>
      <c r="AQ337" s="139" t="str">
        <f>IFERROR(ROUND((tblPiNHistorical[[#This Row],[Site Management - New]] - tblPiNHistorical[[#This Row],[Site Management - Old]])/tblPiNHistorical[[#This Row],[Site Management - Old]], 1), "")</f>
        <v/>
      </c>
      <c r="AR337" s="140" t="str">
        <f>IFERROR(ROUND((tblPiNHistorical[[#This Row],[Education New]]-tblPiNHistorical[[#This Row],[Education Old]])/tblPiNHistorical[[#This Row],[Education Old]], 1), "")</f>
        <v/>
      </c>
      <c r="AS337" s="141" t="str">
        <f>IFERROR(ROUND((tblPiNHistorical[[#This Row],[Food Security and Livlihoods New]]-tblPiNHistorical[[#This Row],[Food Security and Livlihoods Old]])/tblPiNHistorical[[#This Row],[Food Security and Livlihoods Old]], 1), "")</f>
        <v/>
      </c>
      <c r="AT337" s="142" t="str">
        <f>IFERROR(ROUND((tblPiNHistorical[[#This Row],[Health New]]-tblPiNHistorical[[#This Row],[Health Old]])/tblPiNHistorical[[#This Row],[Health Old]], 1), "")</f>
        <v/>
      </c>
      <c r="AU337" s="140" t="str">
        <f>IFERROR(ROUND((tblPiNHistorical[[#This Row],[Nutrition New]]-tblPiNHistorical[[#This Row],[Nutrition Old]])/tblPiNHistorical[[#This Row],[Nutrition Old]], 1), "")</f>
        <v/>
      </c>
      <c r="AV337" s="140" t="str">
        <f>IFERROR(ROUND((tblPiNHistorical[[#This Row],[Protection New]]-tblPiNHistorical[[#This Row],[Protection Old]])/tblPiNHistorical[[#This Row],[Protection Old]], 1), "")</f>
        <v/>
      </c>
      <c r="AW337" s="84" t="str">
        <f>IFERROR(ROUND((tblPiNHistorical[[#This Row],[CP New]]-tblPiNHistorical[[#This Row],[CP Old ]])/tblPiNHistorical[[#This Row],[CP Old ]], 1), "")</f>
        <v/>
      </c>
      <c r="AX337" s="84" t="str">
        <f>IFERROR(ROUND((tblPiNHistorical[[#This Row],[GBV New]]-tblPiNHistorical[[#This Row],[GBV Old]])/tblPiNHistorical[[#This Row],[GBV Old]], 1), "")</f>
        <v/>
      </c>
      <c r="AY337" s="84" t="str">
        <f>IFERROR(ROUND((tblPiNHistorical[[#This Row],[Mine Action New]]-tblPiNHistorical[[#This Row],[Mine Action Old]])/tblPiNHistorical[[#This Row],[Mine Action Old]], 1), "")</f>
        <v/>
      </c>
      <c r="AZ337" s="140" t="str">
        <f>IFERROR(ROUND((tblPiNHistorical[[#This Row],[Shelter NFI New]]-tblPiNHistorical[[#This Row],[Shelter NFI Old]])/tblPiNHistorical[[#This Row],[Shelter NFI Old]], 1), "")</f>
        <v/>
      </c>
      <c r="BA337" s="31" t="str">
        <f>IFERROR(ROUND((tblPiNHistorical[[#This Row],[WASH New]]-tblPiNHistorical[[#This Row],[WASH Old]])/tblPiNHistorical[[#This Row],[WASH Old]], 1), "")</f>
        <v/>
      </c>
    </row>
    <row r="338" spans="1:53" ht="38.25" x14ac:dyDescent="0.25">
      <c r="A338"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RefugeesSD07104</v>
      </c>
      <c r="B338" s="134" t="s">
        <v>188</v>
      </c>
      <c r="C338" s="124" t="s">
        <v>124</v>
      </c>
      <c r="D338" s="124" t="s">
        <v>360</v>
      </c>
      <c r="E338" s="59" t="s">
        <v>361</v>
      </c>
      <c r="F338" s="54"/>
      <c r="G338" s="29"/>
      <c r="H338" s="53">
        <v>0</v>
      </c>
      <c r="I338" s="53" t="s">
        <v>90</v>
      </c>
      <c r="J338" s="34">
        <v>0</v>
      </c>
      <c r="K338" s="116">
        <v>0</v>
      </c>
      <c r="L338" s="114">
        <v>0</v>
      </c>
      <c r="M338" s="114">
        <v>0</v>
      </c>
      <c r="N338" s="114">
        <v>0</v>
      </c>
      <c r="O338" s="114">
        <v>0</v>
      </c>
      <c r="P338" s="114">
        <v>0</v>
      </c>
      <c r="Q338" s="114">
        <v>0</v>
      </c>
      <c r="R338" s="114">
        <v>0</v>
      </c>
      <c r="S338" s="114">
        <v>0</v>
      </c>
      <c r="T338" s="196">
        <v>0</v>
      </c>
      <c r="U338" s="52" t="str">
        <f>IFERROR(INDEX(tblPiNAnalysis[[Site Management ]], MATCH(tblPiNHistorical[[#This Row],[ID]], tblPiNAnalysis[ID], 0)), "")</f>
        <v/>
      </c>
      <c r="V338" s="52" t="str">
        <f>IFERROR(INDEX(tblPiNAnalysis[Education], MATCH(tblPiNHistorical[[#This Row],[ID]], tblPiNAnalysis[ID], 0)), "")</f>
        <v/>
      </c>
      <c r="W338" s="28" t="str">
        <f>IFERROR(INDEX(tblPiNAnalysis[Food Security and Livlihoods], MATCH(tblPiNHistorical[[#This Row],[ID]], tblPiNAnalysis[ID], 0)), "")</f>
        <v/>
      </c>
      <c r="X338" s="28" t="str">
        <f>IFERROR(INDEX(tblPiNAnalysis[[Health ]], MATCH(tblPiNHistorical[[#This Row],[ID]], tblPiNAnalysis[ID], 0)), "")</f>
        <v/>
      </c>
      <c r="Y338" s="28" t="str">
        <f>IFERROR(INDEX(tblPiNAnalysis[Nutrition], MATCH(tblPiNHistorical[[#This Row],[ID]], tblPiNAnalysis[ID], 0)), "")</f>
        <v/>
      </c>
      <c r="Z338" s="28" t="str">
        <f>IFERROR(INDEX(tblPiNAnalysis[Protection], MATCH(tblPiNHistorical[[#This Row],[ID]], tblPiNAnalysis[ID], 0)), "")</f>
        <v/>
      </c>
      <c r="AA338" s="28" t="str">
        <f>IFERROR(INDEX(tblPiNAnalysis[CP], MATCH(tblPiNHistorical[[#This Row],[ID]], tblPiNAnalysis[ID], 0)), "")</f>
        <v/>
      </c>
      <c r="AB338" s="83" t="str">
        <f>IFERROR(INDEX(tblPiNAnalysis[GBV], MATCH(tblPiNHistorical[[#This Row],[ID]], tblPiNAnalysis[ID], 0)), "")</f>
        <v/>
      </c>
      <c r="AC338" s="28" t="str">
        <f>IFERROR(INDEX(tblPiNAnalysis[Mine Action], MATCH(tblPiNHistorical[[#This Row],[ID]], tblPiNAnalysis[ID], 0)), "")</f>
        <v/>
      </c>
      <c r="AD338" s="83" t="str">
        <f>IFERROR(INDEX(tblPiNAnalysis[[Shelter NFI ]], MATCH(tblPiNHistorical[[#This Row],[ID]], tblPiNAnalysis[ID], 0)), "")</f>
        <v/>
      </c>
      <c r="AE338" s="28" t="str">
        <f>IFERROR(INDEX(tblPiNAnalysis[WASH], MATCH(tblPiNHistorical[[#This Row],[ID]], tblPiNAnalysis[ID], 0)), "")</f>
        <v/>
      </c>
      <c r="AF338"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338" s="136" t="str">
        <f>IF(OR(tblPiNHistorical[[#This Row],[Education Old]]="", tblPiNHistorical[[#This Row],[Education Old]]=0, tblPiNHistorical[[#This Row],[Education New]]="", tblPiNHistorical[[#This Row],[Education New]]=0), "", tblPiNHistorical[[#This Row],[Education New]]-tblPiNHistorical[[#This Row],[Education Old]])</f>
        <v/>
      </c>
      <c r="AH338"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338" s="137" t="str">
        <f>IF(OR(tblPiNHistorical[[#This Row],[Health Old]]="", tblPiNHistorical[[#This Row],[Health Old]]=0, tblPiNHistorical[[#This Row],[Health New]]="", tblPiNHistorical[[#This Row],[Health New]]=0), "", tblPiNHistorical[[#This Row],[Health New]]-tblPiNHistorical[[#This Row],[Health Old]])</f>
        <v/>
      </c>
      <c r="AJ338" s="136" t="str">
        <f>IF(OR(tblPiNHistorical[[#This Row],[Nutrition Old]]="", tblPiNHistorical[[#This Row],[Nutrition Old]]=0, tblPiNHistorical[[#This Row],[Nutrition New]]="", tblPiNHistorical[[#This Row],[Nutrition New]]=0), "", tblPiNHistorical[[#This Row],[Nutrition New]]-tblPiNHistorical[[#This Row],[Nutrition Old]])</f>
        <v/>
      </c>
      <c r="AK338" s="136" t="str">
        <f>IF(OR(tblPiNHistorical[[#This Row],[Protection Old]]="", tblPiNHistorical[[#This Row],[Protection Old]]=0, tblPiNHistorical[[#This Row],[Protection New]]="", tblPiNHistorical[[#This Row],[Protection New]]=0), "", tblPiNHistorical[[#This Row],[Protection New]]-tblPiNHistorical[[#This Row],[Protection Old]])</f>
        <v/>
      </c>
      <c r="AL338" s="136" t="str">
        <f>IF(OR(tblPiNHistorical[[#This Row],[CP Old ]]="", tblPiNHistorical[[#This Row],[CP Old ]]=0, tblPiNHistorical[[#This Row],[CP New]]="", tblPiNHistorical[[#This Row],[CP New]]=0), "", tblPiNHistorical[[#This Row],[CP New]]-tblPiNHistorical[[#This Row],[CP Old ]])</f>
        <v/>
      </c>
      <c r="AM338" s="83" t="str">
        <f>IF(OR(tblPiNHistorical[[#This Row],[GBV Old]]="", tblPiNHistorical[[#This Row],[GBV Old]]=0, tblPiNHistorical[[#This Row],[GBV New]]="", tblPiNHistorical[[#This Row],[GBV New]]=0), "", tblPiNHistorical[[#This Row],[GBV New]]-tblPiNHistorical[[#This Row],[GBV Old]])</f>
        <v/>
      </c>
      <c r="AN338" s="83" t="str">
        <f>IF(OR(tblPiNHistorical[[#This Row],[Mine Action Old]]="", tblPiNHistorical[[#This Row],[Mine Action Old]]=0, tblPiNHistorical[[#This Row],[Mine Action New]]="", tblPiNHistorical[[#This Row],[Mine Action New]]=0), "", tblPiNHistorical[[#This Row],[Mine Action New]]-tblPiNHistorical[[#This Row],[Mine Action Old]])</f>
        <v/>
      </c>
      <c r="AO338" s="136" t="str">
        <f>IF(OR(tblPiNHistorical[[#This Row],[Shelter NFI Old]]="", tblPiNHistorical[[#This Row],[Shelter NFI Old]]=0, tblPiNHistorical[[#This Row],[Shelter NFI New]]="", tblPiNHistorical[[#This Row],[Shelter NFI New]]=0), "", tblPiNHistorical[[#This Row],[Shelter NFI New]]-tblPiNHistorical[[#This Row],[Shelter NFI Old]])</f>
        <v/>
      </c>
      <c r="AP338" s="138" t="str">
        <f>IF(OR(tblPiNHistorical[[#This Row],[WASH Old]]="", tblPiNHistorical[[#This Row],[WASH Old]]=0, tblPiNHistorical[[#This Row],[WASH New]]="", tblPiNHistorical[[#This Row],[WASH New]]=0), "", tblPiNHistorical[[#This Row],[WASH New]]-tblPiNHistorical[[#This Row],[WASH Old]])</f>
        <v/>
      </c>
      <c r="AQ338" s="139" t="str">
        <f>IFERROR(ROUND((tblPiNHistorical[[#This Row],[Site Management - New]] - tblPiNHistorical[[#This Row],[Site Management - Old]])/tblPiNHistorical[[#This Row],[Site Management - Old]], 1), "")</f>
        <v/>
      </c>
      <c r="AR338" s="140" t="str">
        <f>IFERROR(ROUND((tblPiNHistorical[[#This Row],[Education New]]-tblPiNHistorical[[#This Row],[Education Old]])/tblPiNHistorical[[#This Row],[Education Old]], 1), "")</f>
        <v/>
      </c>
      <c r="AS338" s="141" t="str">
        <f>IFERROR(ROUND((tblPiNHistorical[[#This Row],[Food Security and Livlihoods New]]-tblPiNHistorical[[#This Row],[Food Security and Livlihoods Old]])/tblPiNHistorical[[#This Row],[Food Security and Livlihoods Old]], 1), "")</f>
        <v/>
      </c>
      <c r="AT338" s="142" t="str">
        <f>IFERROR(ROUND((tblPiNHistorical[[#This Row],[Health New]]-tblPiNHistorical[[#This Row],[Health Old]])/tblPiNHistorical[[#This Row],[Health Old]], 1), "")</f>
        <v/>
      </c>
      <c r="AU338" s="140" t="str">
        <f>IFERROR(ROUND((tblPiNHistorical[[#This Row],[Nutrition New]]-tblPiNHistorical[[#This Row],[Nutrition Old]])/tblPiNHistorical[[#This Row],[Nutrition Old]], 1), "")</f>
        <v/>
      </c>
      <c r="AV338" s="140" t="str">
        <f>IFERROR(ROUND((tblPiNHistorical[[#This Row],[Protection New]]-tblPiNHistorical[[#This Row],[Protection Old]])/tblPiNHistorical[[#This Row],[Protection Old]], 1), "")</f>
        <v/>
      </c>
      <c r="AW338" s="84" t="str">
        <f>IFERROR(ROUND((tblPiNHistorical[[#This Row],[CP New]]-tblPiNHistorical[[#This Row],[CP Old ]])/tblPiNHistorical[[#This Row],[CP Old ]], 1), "")</f>
        <v/>
      </c>
      <c r="AX338" s="84" t="str">
        <f>IFERROR(ROUND((tblPiNHistorical[[#This Row],[GBV New]]-tblPiNHistorical[[#This Row],[GBV Old]])/tblPiNHistorical[[#This Row],[GBV Old]], 1), "")</f>
        <v/>
      </c>
      <c r="AY338" s="84" t="str">
        <f>IFERROR(ROUND((tblPiNHistorical[[#This Row],[Mine Action New]]-tblPiNHistorical[[#This Row],[Mine Action Old]])/tblPiNHistorical[[#This Row],[Mine Action Old]], 1), "")</f>
        <v/>
      </c>
      <c r="AZ338" s="140" t="str">
        <f>IFERROR(ROUND((tblPiNHistorical[[#This Row],[Shelter NFI New]]-tblPiNHistorical[[#This Row],[Shelter NFI Old]])/tblPiNHistorical[[#This Row],[Shelter NFI Old]], 1), "")</f>
        <v/>
      </c>
      <c r="BA338" s="31" t="str">
        <f>IFERROR(ROUND((tblPiNHistorical[[#This Row],[WASH New]]-tblPiNHistorical[[#This Row],[WASH Old]])/tblPiNHistorical[[#This Row],[WASH Old]], 1), "")</f>
        <v/>
      </c>
    </row>
    <row r="339" spans="1:53" ht="38.25" x14ac:dyDescent="0.25">
      <c r="A339"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RefugeesSD07099</v>
      </c>
      <c r="B339" s="134" t="s">
        <v>188</v>
      </c>
      <c r="C339" s="124" t="s">
        <v>124</v>
      </c>
      <c r="D339" s="124" t="s">
        <v>356</v>
      </c>
      <c r="E339" s="59" t="s">
        <v>357</v>
      </c>
      <c r="F339" s="54"/>
      <c r="G339" s="29"/>
      <c r="H339" s="53">
        <v>0</v>
      </c>
      <c r="I339" s="53" t="s">
        <v>90</v>
      </c>
      <c r="J339" s="34">
        <v>0</v>
      </c>
      <c r="K339" s="116">
        <v>0</v>
      </c>
      <c r="L339" s="114">
        <v>0</v>
      </c>
      <c r="M339" s="114">
        <v>0</v>
      </c>
      <c r="N339" s="114">
        <v>0</v>
      </c>
      <c r="O339" s="114">
        <v>0</v>
      </c>
      <c r="P339" s="114">
        <v>0</v>
      </c>
      <c r="Q339" s="114">
        <v>0</v>
      </c>
      <c r="R339" s="114">
        <v>0</v>
      </c>
      <c r="S339" s="114">
        <v>0</v>
      </c>
      <c r="T339" s="196">
        <v>0</v>
      </c>
      <c r="U339" s="52" t="str">
        <f>IFERROR(INDEX(tblPiNAnalysis[[Site Management ]], MATCH(tblPiNHistorical[[#This Row],[ID]], tblPiNAnalysis[ID], 0)), "")</f>
        <v/>
      </c>
      <c r="V339" s="52" t="str">
        <f>IFERROR(INDEX(tblPiNAnalysis[Education], MATCH(tblPiNHistorical[[#This Row],[ID]], tblPiNAnalysis[ID], 0)), "")</f>
        <v/>
      </c>
      <c r="W339" s="28" t="str">
        <f>IFERROR(INDEX(tblPiNAnalysis[Food Security and Livlihoods], MATCH(tblPiNHistorical[[#This Row],[ID]], tblPiNAnalysis[ID], 0)), "")</f>
        <v/>
      </c>
      <c r="X339" s="28" t="str">
        <f>IFERROR(INDEX(tblPiNAnalysis[[Health ]], MATCH(tblPiNHistorical[[#This Row],[ID]], tblPiNAnalysis[ID], 0)), "")</f>
        <v/>
      </c>
      <c r="Y339" s="28" t="str">
        <f>IFERROR(INDEX(tblPiNAnalysis[Nutrition], MATCH(tblPiNHistorical[[#This Row],[ID]], tblPiNAnalysis[ID], 0)), "")</f>
        <v/>
      </c>
      <c r="Z339" s="28" t="str">
        <f>IFERROR(INDEX(tblPiNAnalysis[Protection], MATCH(tblPiNHistorical[[#This Row],[ID]], tblPiNAnalysis[ID], 0)), "")</f>
        <v/>
      </c>
      <c r="AA339" s="28" t="str">
        <f>IFERROR(INDEX(tblPiNAnalysis[CP], MATCH(tblPiNHistorical[[#This Row],[ID]], tblPiNAnalysis[ID], 0)), "")</f>
        <v/>
      </c>
      <c r="AB339" s="83" t="str">
        <f>IFERROR(INDEX(tblPiNAnalysis[GBV], MATCH(tblPiNHistorical[[#This Row],[ID]], tblPiNAnalysis[ID], 0)), "")</f>
        <v/>
      </c>
      <c r="AC339" s="28" t="str">
        <f>IFERROR(INDEX(tblPiNAnalysis[Mine Action], MATCH(tblPiNHistorical[[#This Row],[ID]], tblPiNAnalysis[ID], 0)), "")</f>
        <v/>
      </c>
      <c r="AD339" s="83" t="str">
        <f>IFERROR(INDEX(tblPiNAnalysis[[Shelter NFI ]], MATCH(tblPiNHistorical[[#This Row],[ID]], tblPiNAnalysis[ID], 0)), "")</f>
        <v/>
      </c>
      <c r="AE339" s="28" t="str">
        <f>IFERROR(INDEX(tblPiNAnalysis[WASH], MATCH(tblPiNHistorical[[#This Row],[ID]], tblPiNAnalysis[ID], 0)), "")</f>
        <v/>
      </c>
      <c r="AF339"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339" s="136" t="str">
        <f>IF(OR(tblPiNHistorical[[#This Row],[Education Old]]="", tblPiNHistorical[[#This Row],[Education Old]]=0, tblPiNHistorical[[#This Row],[Education New]]="", tblPiNHistorical[[#This Row],[Education New]]=0), "", tblPiNHistorical[[#This Row],[Education New]]-tblPiNHistorical[[#This Row],[Education Old]])</f>
        <v/>
      </c>
      <c r="AH339"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339" s="137" t="str">
        <f>IF(OR(tblPiNHistorical[[#This Row],[Health Old]]="", tblPiNHistorical[[#This Row],[Health Old]]=0, tblPiNHistorical[[#This Row],[Health New]]="", tblPiNHistorical[[#This Row],[Health New]]=0), "", tblPiNHistorical[[#This Row],[Health New]]-tblPiNHistorical[[#This Row],[Health Old]])</f>
        <v/>
      </c>
      <c r="AJ339" s="136" t="str">
        <f>IF(OR(tblPiNHistorical[[#This Row],[Nutrition Old]]="", tblPiNHistorical[[#This Row],[Nutrition Old]]=0, tblPiNHistorical[[#This Row],[Nutrition New]]="", tblPiNHistorical[[#This Row],[Nutrition New]]=0), "", tblPiNHistorical[[#This Row],[Nutrition New]]-tblPiNHistorical[[#This Row],[Nutrition Old]])</f>
        <v/>
      </c>
      <c r="AK339" s="136" t="str">
        <f>IF(OR(tblPiNHistorical[[#This Row],[Protection Old]]="", tblPiNHistorical[[#This Row],[Protection Old]]=0, tblPiNHistorical[[#This Row],[Protection New]]="", tblPiNHistorical[[#This Row],[Protection New]]=0), "", tblPiNHistorical[[#This Row],[Protection New]]-tblPiNHistorical[[#This Row],[Protection Old]])</f>
        <v/>
      </c>
      <c r="AL339" s="136" t="str">
        <f>IF(OR(tblPiNHistorical[[#This Row],[CP Old ]]="", tblPiNHistorical[[#This Row],[CP Old ]]=0, tblPiNHistorical[[#This Row],[CP New]]="", tblPiNHistorical[[#This Row],[CP New]]=0), "", tblPiNHistorical[[#This Row],[CP New]]-tblPiNHistorical[[#This Row],[CP Old ]])</f>
        <v/>
      </c>
      <c r="AM339" s="83" t="str">
        <f>IF(OR(tblPiNHistorical[[#This Row],[GBV Old]]="", tblPiNHistorical[[#This Row],[GBV Old]]=0, tblPiNHistorical[[#This Row],[GBV New]]="", tblPiNHistorical[[#This Row],[GBV New]]=0), "", tblPiNHistorical[[#This Row],[GBV New]]-tblPiNHistorical[[#This Row],[GBV Old]])</f>
        <v/>
      </c>
      <c r="AN339" s="83" t="str">
        <f>IF(OR(tblPiNHistorical[[#This Row],[Mine Action Old]]="", tblPiNHistorical[[#This Row],[Mine Action Old]]=0, tblPiNHistorical[[#This Row],[Mine Action New]]="", tblPiNHistorical[[#This Row],[Mine Action New]]=0), "", tblPiNHistorical[[#This Row],[Mine Action New]]-tblPiNHistorical[[#This Row],[Mine Action Old]])</f>
        <v/>
      </c>
      <c r="AO339" s="136" t="str">
        <f>IF(OR(tblPiNHistorical[[#This Row],[Shelter NFI Old]]="", tblPiNHistorical[[#This Row],[Shelter NFI Old]]=0, tblPiNHistorical[[#This Row],[Shelter NFI New]]="", tblPiNHistorical[[#This Row],[Shelter NFI New]]=0), "", tblPiNHistorical[[#This Row],[Shelter NFI New]]-tblPiNHistorical[[#This Row],[Shelter NFI Old]])</f>
        <v/>
      </c>
      <c r="AP339" s="138" t="str">
        <f>IF(OR(tblPiNHistorical[[#This Row],[WASH Old]]="", tblPiNHistorical[[#This Row],[WASH Old]]=0, tblPiNHistorical[[#This Row],[WASH New]]="", tblPiNHistorical[[#This Row],[WASH New]]=0), "", tblPiNHistorical[[#This Row],[WASH New]]-tblPiNHistorical[[#This Row],[WASH Old]])</f>
        <v/>
      </c>
      <c r="AQ339" s="139" t="str">
        <f>IFERROR(ROUND((tblPiNHistorical[[#This Row],[Site Management - New]] - tblPiNHistorical[[#This Row],[Site Management - Old]])/tblPiNHistorical[[#This Row],[Site Management - Old]], 1), "")</f>
        <v/>
      </c>
      <c r="AR339" s="140" t="str">
        <f>IFERROR(ROUND((tblPiNHistorical[[#This Row],[Education New]]-tblPiNHistorical[[#This Row],[Education Old]])/tblPiNHistorical[[#This Row],[Education Old]], 1), "")</f>
        <v/>
      </c>
      <c r="AS339" s="141" t="str">
        <f>IFERROR(ROUND((tblPiNHistorical[[#This Row],[Food Security and Livlihoods New]]-tblPiNHistorical[[#This Row],[Food Security and Livlihoods Old]])/tblPiNHistorical[[#This Row],[Food Security and Livlihoods Old]], 1), "")</f>
        <v/>
      </c>
      <c r="AT339" s="142" t="str">
        <f>IFERROR(ROUND((tblPiNHistorical[[#This Row],[Health New]]-tblPiNHistorical[[#This Row],[Health Old]])/tblPiNHistorical[[#This Row],[Health Old]], 1), "")</f>
        <v/>
      </c>
      <c r="AU339" s="140" t="str">
        <f>IFERROR(ROUND((tblPiNHistorical[[#This Row],[Nutrition New]]-tblPiNHistorical[[#This Row],[Nutrition Old]])/tblPiNHistorical[[#This Row],[Nutrition Old]], 1), "")</f>
        <v/>
      </c>
      <c r="AV339" s="140" t="str">
        <f>IFERROR(ROUND((tblPiNHistorical[[#This Row],[Protection New]]-tblPiNHistorical[[#This Row],[Protection Old]])/tblPiNHistorical[[#This Row],[Protection Old]], 1), "")</f>
        <v/>
      </c>
      <c r="AW339" s="84" t="str">
        <f>IFERROR(ROUND((tblPiNHistorical[[#This Row],[CP New]]-tblPiNHistorical[[#This Row],[CP Old ]])/tblPiNHistorical[[#This Row],[CP Old ]], 1), "")</f>
        <v/>
      </c>
      <c r="AX339" s="84" t="str">
        <f>IFERROR(ROUND((tblPiNHistorical[[#This Row],[GBV New]]-tblPiNHistorical[[#This Row],[GBV Old]])/tblPiNHistorical[[#This Row],[GBV Old]], 1), "")</f>
        <v/>
      </c>
      <c r="AY339" s="84" t="str">
        <f>IFERROR(ROUND((tblPiNHistorical[[#This Row],[Mine Action New]]-tblPiNHistorical[[#This Row],[Mine Action Old]])/tblPiNHistorical[[#This Row],[Mine Action Old]], 1), "")</f>
        <v/>
      </c>
      <c r="AZ339" s="140" t="str">
        <f>IFERROR(ROUND((tblPiNHistorical[[#This Row],[Shelter NFI New]]-tblPiNHistorical[[#This Row],[Shelter NFI Old]])/tblPiNHistorical[[#This Row],[Shelter NFI Old]], 1), "")</f>
        <v/>
      </c>
      <c r="BA339" s="31" t="str">
        <f>IFERROR(ROUND((tblPiNHistorical[[#This Row],[WASH New]]-tblPiNHistorical[[#This Row],[WASH Old]])/tblPiNHistorical[[#This Row],[WASH Old]], 1), "")</f>
        <v/>
      </c>
    </row>
    <row r="340" spans="1:53" ht="38.25" x14ac:dyDescent="0.25">
      <c r="A340"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RefugeesSD07105</v>
      </c>
      <c r="B340" s="134" t="s">
        <v>188</v>
      </c>
      <c r="C340" s="124" t="s">
        <v>124</v>
      </c>
      <c r="D340" s="124" t="s">
        <v>362</v>
      </c>
      <c r="E340" s="59" t="s">
        <v>363</v>
      </c>
      <c r="F340" s="54"/>
      <c r="G340" s="29"/>
      <c r="H340" s="53">
        <v>2245</v>
      </c>
      <c r="I340" s="53" t="s">
        <v>90</v>
      </c>
      <c r="J340" s="34">
        <v>0</v>
      </c>
      <c r="K340" s="116">
        <v>775</v>
      </c>
      <c r="L340" s="114">
        <v>2245</v>
      </c>
      <c r="M340" s="114">
        <v>1100</v>
      </c>
      <c r="N340" s="114">
        <v>204</v>
      </c>
      <c r="O340" s="114">
        <v>2245</v>
      </c>
      <c r="P340" s="114">
        <v>700.44</v>
      </c>
      <c r="Q340" s="114">
        <v>929.43</v>
      </c>
      <c r="R340" s="114">
        <v>0</v>
      </c>
      <c r="S340" s="114">
        <v>898</v>
      </c>
      <c r="T340" s="196">
        <v>2179</v>
      </c>
      <c r="U340" s="52" t="str">
        <f>IFERROR(INDEX(tblPiNAnalysis[[Site Management ]], MATCH(tblPiNHistorical[[#This Row],[ID]], tblPiNAnalysis[ID], 0)), "")</f>
        <v/>
      </c>
      <c r="V340" s="52" t="str">
        <f>IFERROR(INDEX(tblPiNAnalysis[Education], MATCH(tblPiNHistorical[[#This Row],[ID]], tblPiNAnalysis[ID], 0)), "")</f>
        <v/>
      </c>
      <c r="W340" s="28" t="str">
        <f>IFERROR(INDEX(tblPiNAnalysis[Food Security and Livlihoods], MATCH(tblPiNHistorical[[#This Row],[ID]], tblPiNAnalysis[ID], 0)), "")</f>
        <v/>
      </c>
      <c r="X340" s="28" t="str">
        <f>IFERROR(INDEX(tblPiNAnalysis[[Health ]], MATCH(tblPiNHistorical[[#This Row],[ID]], tblPiNAnalysis[ID], 0)), "")</f>
        <v/>
      </c>
      <c r="Y340" s="28" t="str">
        <f>IFERROR(INDEX(tblPiNAnalysis[Nutrition], MATCH(tblPiNHistorical[[#This Row],[ID]], tblPiNAnalysis[ID], 0)), "")</f>
        <v/>
      </c>
      <c r="Z340" s="28" t="str">
        <f>IFERROR(INDEX(tblPiNAnalysis[Protection], MATCH(tblPiNHistorical[[#This Row],[ID]], tblPiNAnalysis[ID], 0)), "")</f>
        <v/>
      </c>
      <c r="AA340" s="28" t="str">
        <f>IFERROR(INDEX(tblPiNAnalysis[CP], MATCH(tblPiNHistorical[[#This Row],[ID]], tblPiNAnalysis[ID], 0)), "")</f>
        <v/>
      </c>
      <c r="AB340" s="83" t="str">
        <f>IFERROR(INDEX(tblPiNAnalysis[GBV], MATCH(tblPiNHistorical[[#This Row],[ID]], tblPiNAnalysis[ID], 0)), "")</f>
        <v/>
      </c>
      <c r="AC340" s="28" t="str">
        <f>IFERROR(INDEX(tblPiNAnalysis[Mine Action], MATCH(tblPiNHistorical[[#This Row],[ID]], tblPiNAnalysis[ID], 0)), "")</f>
        <v/>
      </c>
      <c r="AD340" s="83" t="str">
        <f>IFERROR(INDEX(tblPiNAnalysis[[Shelter NFI ]], MATCH(tblPiNHistorical[[#This Row],[ID]], tblPiNAnalysis[ID], 0)), "")</f>
        <v/>
      </c>
      <c r="AE340" s="28" t="str">
        <f>IFERROR(INDEX(tblPiNAnalysis[WASH], MATCH(tblPiNHistorical[[#This Row],[ID]], tblPiNAnalysis[ID], 0)), "")</f>
        <v/>
      </c>
      <c r="AF340"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340" s="136" t="str">
        <f>IF(OR(tblPiNHistorical[[#This Row],[Education Old]]="", tblPiNHistorical[[#This Row],[Education Old]]=0, tblPiNHistorical[[#This Row],[Education New]]="", tblPiNHistorical[[#This Row],[Education New]]=0), "", tblPiNHistorical[[#This Row],[Education New]]-tblPiNHistorical[[#This Row],[Education Old]])</f>
        <v/>
      </c>
      <c r="AH340"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340" s="137" t="str">
        <f>IF(OR(tblPiNHistorical[[#This Row],[Health Old]]="", tblPiNHistorical[[#This Row],[Health Old]]=0, tblPiNHistorical[[#This Row],[Health New]]="", tblPiNHistorical[[#This Row],[Health New]]=0), "", tblPiNHistorical[[#This Row],[Health New]]-tblPiNHistorical[[#This Row],[Health Old]])</f>
        <v/>
      </c>
      <c r="AJ340" s="136" t="str">
        <f>IF(OR(tblPiNHistorical[[#This Row],[Nutrition Old]]="", tblPiNHistorical[[#This Row],[Nutrition Old]]=0, tblPiNHistorical[[#This Row],[Nutrition New]]="", tblPiNHistorical[[#This Row],[Nutrition New]]=0), "", tblPiNHistorical[[#This Row],[Nutrition New]]-tblPiNHistorical[[#This Row],[Nutrition Old]])</f>
        <v/>
      </c>
      <c r="AK340" s="136" t="str">
        <f>IF(OR(tblPiNHistorical[[#This Row],[Protection Old]]="", tblPiNHistorical[[#This Row],[Protection Old]]=0, tblPiNHistorical[[#This Row],[Protection New]]="", tblPiNHistorical[[#This Row],[Protection New]]=0), "", tblPiNHistorical[[#This Row],[Protection New]]-tblPiNHistorical[[#This Row],[Protection Old]])</f>
        <v/>
      </c>
      <c r="AL340" s="136" t="str">
        <f>IF(OR(tblPiNHistorical[[#This Row],[CP Old ]]="", tblPiNHistorical[[#This Row],[CP Old ]]=0, tblPiNHistorical[[#This Row],[CP New]]="", tblPiNHistorical[[#This Row],[CP New]]=0), "", tblPiNHistorical[[#This Row],[CP New]]-tblPiNHistorical[[#This Row],[CP Old ]])</f>
        <v/>
      </c>
      <c r="AM340" s="83" t="str">
        <f>IF(OR(tblPiNHistorical[[#This Row],[GBV Old]]="", tblPiNHistorical[[#This Row],[GBV Old]]=0, tblPiNHistorical[[#This Row],[GBV New]]="", tblPiNHistorical[[#This Row],[GBV New]]=0), "", tblPiNHistorical[[#This Row],[GBV New]]-tblPiNHistorical[[#This Row],[GBV Old]])</f>
        <v/>
      </c>
      <c r="AN340" s="83" t="str">
        <f>IF(OR(tblPiNHistorical[[#This Row],[Mine Action Old]]="", tblPiNHistorical[[#This Row],[Mine Action Old]]=0, tblPiNHistorical[[#This Row],[Mine Action New]]="", tblPiNHistorical[[#This Row],[Mine Action New]]=0), "", tblPiNHistorical[[#This Row],[Mine Action New]]-tblPiNHistorical[[#This Row],[Mine Action Old]])</f>
        <v/>
      </c>
      <c r="AO340" s="136" t="str">
        <f>IF(OR(tblPiNHistorical[[#This Row],[Shelter NFI Old]]="", tblPiNHistorical[[#This Row],[Shelter NFI Old]]=0, tblPiNHistorical[[#This Row],[Shelter NFI New]]="", tblPiNHistorical[[#This Row],[Shelter NFI New]]=0), "", tblPiNHistorical[[#This Row],[Shelter NFI New]]-tblPiNHistorical[[#This Row],[Shelter NFI Old]])</f>
        <v/>
      </c>
      <c r="AP340" s="138" t="str">
        <f>IF(OR(tblPiNHistorical[[#This Row],[WASH Old]]="", tblPiNHistorical[[#This Row],[WASH Old]]=0, tblPiNHistorical[[#This Row],[WASH New]]="", tblPiNHistorical[[#This Row],[WASH New]]=0), "", tblPiNHistorical[[#This Row],[WASH New]]-tblPiNHistorical[[#This Row],[WASH Old]])</f>
        <v/>
      </c>
      <c r="AQ340" s="139" t="str">
        <f>IFERROR(ROUND((tblPiNHistorical[[#This Row],[Site Management - New]] - tblPiNHistorical[[#This Row],[Site Management - Old]])/tblPiNHistorical[[#This Row],[Site Management - Old]], 1), "")</f>
        <v/>
      </c>
      <c r="AR340" s="140" t="str">
        <f>IFERROR(ROUND((tblPiNHistorical[[#This Row],[Education New]]-tblPiNHistorical[[#This Row],[Education Old]])/tblPiNHistorical[[#This Row],[Education Old]], 1), "")</f>
        <v/>
      </c>
      <c r="AS340" s="141" t="str">
        <f>IFERROR(ROUND((tblPiNHistorical[[#This Row],[Food Security and Livlihoods New]]-tblPiNHistorical[[#This Row],[Food Security and Livlihoods Old]])/tblPiNHistorical[[#This Row],[Food Security and Livlihoods Old]], 1), "")</f>
        <v/>
      </c>
      <c r="AT340" s="142" t="str">
        <f>IFERROR(ROUND((tblPiNHistorical[[#This Row],[Health New]]-tblPiNHistorical[[#This Row],[Health Old]])/tblPiNHistorical[[#This Row],[Health Old]], 1), "")</f>
        <v/>
      </c>
      <c r="AU340" s="140" t="str">
        <f>IFERROR(ROUND((tblPiNHistorical[[#This Row],[Nutrition New]]-tblPiNHistorical[[#This Row],[Nutrition Old]])/tblPiNHistorical[[#This Row],[Nutrition Old]], 1), "")</f>
        <v/>
      </c>
      <c r="AV340" s="140" t="str">
        <f>IFERROR(ROUND((tblPiNHistorical[[#This Row],[Protection New]]-tblPiNHistorical[[#This Row],[Protection Old]])/tblPiNHistorical[[#This Row],[Protection Old]], 1), "")</f>
        <v/>
      </c>
      <c r="AW340" s="84" t="str">
        <f>IFERROR(ROUND((tblPiNHistorical[[#This Row],[CP New]]-tblPiNHistorical[[#This Row],[CP Old ]])/tblPiNHistorical[[#This Row],[CP Old ]], 1), "")</f>
        <v/>
      </c>
      <c r="AX340" s="84" t="str">
        <f>IFERROR(ROUND((tblPiNHistorical[[#This Row],[GBV New]]-tblPiNHistorical[[#This Row],[GBV Old]])/tblPiNHistorical[[#This Row],[GBV Old]], 1), "")</f>
        <v/>
      </c>
      <c r="AY340" s="84" t="str">
        <f>IFERROR(ROUND((tblPiNHistorical[[#This Row],[Mine Action New]]-tblPiNHistorical[[#This Row],[Mine Action Old]])/tblPiNHistorical[[#This Row],[Mine Action Old]], 1), "")</f>
        <v/>
      </c>
      <c r="AZ340" s="140" t="str">
        <f>IFERROR(ROUND((tblPiNHistorical[[#This Row],[Shelter NFI New]]-tblPiNHistorical[[#This Row],[Shelter NFI Old]])/tblPiNHistorical[[#This Row],[Shelter NFI Old]], 1), "")</f>
        <v/>
      </c>
      <c r="BA340" s="31" t="str">
        <f>IFERROR(ROUND((tblPiNHistorical[[#This Row],[WASH New]]-tblPiNHistorical[[#This Row],[WASH Old]])/tblPiNHistorical[[#This Row],[WASH Old]], 1), "")</f>
        <v/>
      </c>
    </row>
    <row r="341" spans="1:53" ht="38.25" x14ac:dyDescent="0.25">
      <c r="A341"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RefugeesSD07094</v>
      </c>
      <c r="B341" s="134" t="s">
        <v>188</v>
      </c>
      <c r="C341" s="124" t="s">
        <v>124</v>
      </c>
      <c r="D341" s="124" t="s">
        <v>346</v>
      </c>
      <c r="E341" s="59" t="s">
        <v>347</v>
      </c>
      <c r="F341" s="54"/>
      <c r="G341" s="29"/>
      <c r="H341" s="53">
        <v>372</v>
      </c>
      <c r="I341" s="53" t="s">
        <v>90</v>
      </c>
      <c r="J341" s="34">
        <v>0</v>
      </c>
      <c r="K341" s="116">
        <v>109</v>
      </c>
      <c r="L341" s="114">
        <v>372</v>
      </c>
      <c r="M341" s="114">
        <v>182</v>
      </c>
      <c r="N341" s="114">
        <v>34</v>
      </c>
      <c r="O341" s="114">
        <v>372</v>
      </c>
      <c r="P341" s="114">
        <v>116.06399999999999</v>
      </c>
      <c r="Q341" s="114">
        <v>154.00799999999998</v>
      </c>
      <c r="R341" s="114">
        <v>0</v>
      </c>
      <c r="S341" s="114">
        <v>0</v>
      </c>
      <c r="T341" s="196">
        <v>304</v>
      </c>
      <c r="U341" s="52" t="str">
        <f>IFERROR(INDEX(tblPiNAnalysis[[Site Management ]], MATCH(tblPiNHistorical[[#This Row],[ID]], tblPiNAnalysis[ID], 0)), "")</f>
        <v/>
      </c>
      <c r="V341" s="52" t="str">
        <f>IFERROR(INDEX(tblPiNAnalysis[Education], MATCH(tblPiNHistorical[[#This Row],[ID]], tblPiNAnalysis[ID], 0)), "")</f>
        <v/>
      </c>
      <c r="W341" s="28" t="str">
        <f>IFERROR(INDEX(tblPiNAnalysis[Food Security and Livlihoods], MATCH(tblPiNHistorical[[#This Row],[ID]], tblPiNAnalysis[ID], 0)), "")</f>
        <v/>
      </c>
      <c r="X341" s="28" t="str">
        <f>IFERROR(INDEX(tblPiNAnalysis[[Health ]], MATCH(tblPiNHistorical[[#This Row],[ID]], tblPiNAnalysis[ID], 0)), "")</f>
        <v/>
      </c>
      <c r="Y341" s="28" t="str">
        <f>IFERROR(INDEX(tblPiNAnalysis[Nutrition], MATCH(tblPiNHistorical[[#This Row],[ID]], tblPiNAnalysis[ID], 0)), "")</f>
        <v/>
      </c>
      <c r="Z341" s="28" t="str">
        <f>IFERROR(INDEX(tblPiNAnalysis[Protection], MATCH(tblPiNHistorical[[#This Row],[ID]], tblPiNAnalysis[ID], 0)), "")</f>
        <v/>
      </c>
      <c r="AA341" s="28" t="str">
        <f>IFERROR(INDEX(tblPiNAnalysis[CP], MATCH(tblPiNHistorical[[#This Row],[ID]], tblPiNAnalysis[ID], 0)), "")</f>
        <v/>
      </c>
      <c r="AB341" s="83" t="str">
        <f>IFERROR(INDEX(tblPiNAnalysis[GBV], MATCH(tblPiNHistorical[[#This Row],[ID]], tblPiNAnalysis[ID], 0)), "")</f>
        <v/>
      </c>
      <c r="AC341" s="28" t="str">
        <f>IFERROR(INDEX(tblPiNAnalysis[Mine Action], MATCH(tblPiNHistorical[[#This Row],[ID]], tblPiNAnalysis[ID], 0)), "")</f>
        <v/>
      </c>
      <c r="AD341" s="83" t="str">
        <f>IFERROR(INDEX(tblPiNAnalysis[[Shelter NFI ]], MATCH(tblPiNHistorical[[#This Row],[ID]], tblPiNAnalysis[ID], 0)), "")</f>
        <v/>
      </c>
      <c r="AE341" s="28" t="str">
        <f>IFERROR(INDEX(tblPiNAnalysis[WASH], MATCH(tblPiNHistorical[[#This Row],[ID]], tblPiNAnalysis[ID], 0)), "")</f>
        <v/>
      </c>
      <c r="AF341"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341" s="136" t="str">
        <f>IF(OR(tblPiNHistorical[[#This Row],[Education Old]]="", tblPiNHistorical[[#This Row],[Education Old]]=0, tblPiNHistorical[[#This Row],[Education New]]="", tblPiNHistorical[[#This Row],[Education New]]=0), "", tblPiNHistorical[[#This Row],[Education New]]-tblPiNHistorical[[#This Row],[Education Old]])</f>
        <v/>
      </c>
      <c r="AH341"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341" s="137" t="str">
        <f>IF(OR(tblPiNHistorical[[#This Row],[Health Old]]="", tblPiNHistorical[[#This Row],[Health Old]]=0, tblPiNHistorical[[#This Row],[Health New]]="", tblPiNHistorical[[#This Row],[Health New]]=0), "", tblPiNHistorical[[#This Row],[Health New]]-tblPiNHistorical[[#This Row],[Health Old]])</f>
        <v/>
      </c>
      <c r="AJ341" s="136" t="str">
        <f>IF(OR(tblPiNHistorical[[#This Row],[Nutrition Old]]="", tblPiNHistorical[[#This Row],[Nutrition Old]]=0, tblPiNHistorical[[#This Row],[Nutrition New]]="", tblPiNHistorical[[#This Row],[Nutrition New]]=0), "", tblPiNHistorical[[#This Row],[Nutrition New]]-tblPiNHistorical[[#This Row],[Nutrition Old]])</f>
        <v/>
      </c>
      <c r="AK341" s="136" t="str">
        <f>IF(OR(tblPiNHistorical[[#This Row],[Protection Old]]="", tblPiNHistorical[[#This Row],[Protection Old]]=0, tblPiNHistorical[[#This Row],[Protection New]]="", tblPiNHistorical[[#This Row],[Protection New]]=0), "", tblPiNHistorical[[#This Row],[Protection New]]-tblPiNHistorical[[#This Row],[Protection Old]])</f>
        <v/>
      </c>
      <c r="AL341" s="136" t="str">
        <f>IF(OR(tblPiNHistorical[[#This Row],[CP Old ]]="", tblPiNHistorical[[#This Row],[CP Old ]]=0, tblPiNHistorical[[#This Row],[CP New]]="", tblPiNHistorical[[#This Row],[CP New]]=0), "", tblPiNHistorical[[#This Row],[CP New]]-tblPiNHistorical[[#This Row],[CP Old ]])</f>
        <v/>
      </c>
      <c r="AM341" s="83" t="str">
        <f>IF(OR(tblPiNHistorical[[#This Row],[GBV Old]]="", tblPiNHistorical[[#This Row],[GBV Old]]=0, tblPiNHistorical[[#This Row],[GBV New]]="", tblPiNHistorical[[#This Row],[GBV New]]=0), "", tblPiNHistorical[[#This Row],[GBV New]]-tblPiNHistorical[[#This Row],[GBV Old]])</f>
        <v/>
      </c>
      <c r="AN341" s="83" t="str">
        <f>IF(OR(tblPiNHistorical[[#This Row],[Mine Action Old]]="", tblPiNHistorical[[#This Row],[Mine Action Old]]=0, tblPiNHistorical[[#This Row],[Mine Action New]]="", tblPiNHistorical[[#This Row],[Mine Action New]]=0), "", tblPiNHistorical[[#This Row],[Mine Action New]]-tblPiNHistorical[[#This Row],[Mine Action Old]])</f>
        <v/>
      </c>
      <c r="AO341" s="136" t="str">
        <f>IF(OR(tblPiNHistorical[[#This Row],[Shelter NFI Old]]="", tblPiNHistorical[[#This Row],[Shelter NFI Old]]=0, tblPiNHistorical[[#This Row],[Shelter NFI New]]="", tblPiNHistorical[[#This Row],[Shelter NFI New]]=0), "", tblPiNHistorical[[#This Row],[Shelter NFI New]]-tblPiNHistorical[[#This Row],[Shelter NFI Old]])</f>
        <v/>
      </c>
      <c r="AP341" s="138" t="str">
        <f>IF(OR(tblPiNHistorical[[#This Row],[WASH Old]]="", tblPiNHistorical[[#This Row],[WASH Old]]=0, tblPiNHistorical[[#This Row],[WASH New]]="", tblPiNHistorical[[#This Row],[WASH New]]=0), "", tblPiNHistorical[[#This Row],[WASH New]]-tblPiNHistorical[[#This Row],[WASH Old]])</f>
        <v/>
      </c>
      <c r="AQ341" s="139" t="str">
        <f>IFERROR(ROUND((tblPiNHistorical[[#This Row],[Site Management - New]] - tblPiNHistorical[[#This Row],[Site Management - Old]])/tblPiNHistorical[[#This Row],[Site Management - Old]], 1), "")</f>
        <v/>
      </c>
      <c r="AR341" s="140" t="str">
        <f>IFERROR(ROUND((tblPiNHistorical[[#This Row],[Education New]]-tblPiNHistorical[[#This Row],[Education Old]])/tblPiNHistorical[[#This Row],[Education Old]], 1), "")</f>
        <v/>
      </c>
      <c r="AS341" s="141" t="str">
        <f>IFERROR(ROUND((tblPiNHistorical[[#This Row],[Food Security and Livlihoods New]]-tblPiNHistorical[[#This Row],[Food Security and Livlihoods Old]])/tblPiNHistorical[[#This Row],[Food Security and Livlihoods Old]], 1), "")</f>
        <v/>
      </c>
      <c r="AT341" s="142" t="str">
        <f>IFERROR(ROUND((tblPiNHistorical[[#This Row],[Health New]]-tblPiNHistorical[[#This Row],[Health Old]])/tblPiNHistorical[[#This Row],[Health Old]], 1), "")</f>
        <v/>
      </c>
      <c r="AU341" s="140" t="str">
        <f>IFERROR(ROUND((tblPiNHistorical[[#This Row],[Nutrition New]]-tblPiNHistorical[[#This Row],[Nutrition Old]])/tblPiNHistorical[[#This Row],[Nutrition Old]], 1), "")</f>
        <v/>
      </c>
      <c r="AV341" s="140" t="str">
        <f>IFERROR(ROUND((tblPiNHistorical[[#This Row],[Protection New]]-tblPiNHistorical[[#This Row],[Protection Old]])/tblPiNHistorical[[#This Row],[Protection Old]], 1), "")</f>
        <v/>
      </c>
      <c r="AW341" s="84" t="str">
        <f>IFERROR(ROUND((tblPiNHistorical[[#This Row],[CP New]]-tblPiNHistorical[[#This Row],[CP Old ]])/tblPiNHistorical[[#This Row],[CP Old ]], 1), "")</f>
        <v/>
      </c>
      <c r="AX341" s="84" t="str">
        <f>IFERROR(ROUND((tblPiNHistorical[[#This Row],[GBV New]]-tblPiNHistorical[[#This Row],[GBV Old]])/tblPiNHistorical[[#This Row],[GBV Old]], 1), "")</f>
        <v/>
      </c>
      <c r="AY341" s="84" t="str">
        <f>IFERROR(ROUND((tblPiNHistorical[[#This Row],[Mine Action New]]-tblPiNHistorical[[#This Row],[Mine Action Old]])/tblPiNHistorical[[#This Row],[Mine Action Old]], 1), "")</f>
        <v/>
      </c>
      <c r="AZ341" s="140" t="str">
        <f>IFERROR(ROUND((tblPiNHistorical[[#This Row],[Shelter NFI New]]-tblPiNHistorical[[#This Row],[Shelter NFI Old]])/tblPiNHistorical[[#This Row],[Shelter NFI Old]], 1), "")</f>
        <v/>
      </c>
      <c r="BA341" s="31" t="str">
        <f>IFERROR(ROUND((tblPiNHistorical[[#This Row],[WASH New]]-tblPiNHistorical[[#This Row],[WASH Old]])/tblPiNHistorical[[#This Row],[WASH Old]], 1), "")</f>
        <v/>
      </c>
    </row>
    <row r="342" spans="1:53" ht="38.25" x14ac:dyDescent="0.25">
      <c r="A342"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RefugeesSD07093</v>
      </c>
      <c r="B342" s="134" t="s">
        <v>188</v>
      </c>
      <c r="C342" s="124" t="s">
        <v>124</v>
      </c>
      <c r="D342" s="124" t="s">
        <v>344</v>
      </c>
      <c r="E342" s="59" t="s">
        <v>345</v>
      </c>
      <c r="F342" s="54"/>
      <c r="G342" s="29"/>
      <c r="H342" s="53">
        <v>205</v>
      </c>
      <c r="I342" s="53" t="s">
        <v>90</v>
      </c>
      <c r="J342" s="34">
        <v>0</v>
      </c>
      <c r="K342" s="116">
        <v>109</v>
      </c>
      <c r="L342" s="114">
        <v>205</v>
      </c>
      <c r="M342" s="114">
        <v>141</v>
      </c>
      <c r="N342" s="114">
        <v>19</v>
      </c>
      <c r="O342" s="114">
        <v>205</v>
      </c>
      <c r="P342" s="114">
        <v>22.55</v>
      </c>
      <c r="Q342" s="114">
        <v>91.43</v>
      </c>
      <c r="R342" s="114">
        <v>102.5</v>
      </c>
      <c r="S342" s="114">
        <v>0</v>
      </c>
      <c r="T342" s="196">
        <v>180</v>
      </c>
      <c r="U342" s="52" t="str">
        <f>IFERROR(INDEX(tblPiNAnalysis[[Site Management ]], MATCH(tblPiNHistorical[[#This Row],[ID]], tblPiNAnalysis[ID], 0)), "")</f>
        <v/>
      </c>
      <c r="V342" s="52" t="str">
        <f>IFERROR(INDEX(tblPiNAnalysis[Education], MATCH(tblPiNHistorical[[#This Row],[ID]], tblPiNAnalysis[ID], 0)), "")</f>
        <v/>
      </c>
      <c r="W342" s="28" t="str">
        <f>IFERROR(INDEX(tblPiNAnalysis[Food Security and Livlihoods], MATCH(tblPiNHistorical[[#This Row],[ID]], tblPiNAnalysis[ID], 0)), "")</f>
        <v/>
      </c>
      <c r="X342" s="28" t="str">
        <f>IFERROR(INDEX(tblPiNAnalysis[[Health ]], MATCH(tblPiNHistorical[[#This Row],[ID]], tblPiNAnalysis[ID], 0)), "")</f>
        <v/>
      </c>
      <c r="Y342" s="28" t="str">
        <f>IFERROR(INDEX(tblPiNAnalysis[Nutrition], MATCH(tblPiNHistorical[[#This Row],[ID]], tblPiNAnalysis[ID], 0)), "")</f>
        <v/>
      </c>
      <c r="Z342" s="28" t="str">
        <f>IFERROR(INDEX(tblPiNAnalysis[Protection], MATCH(tblPiNHistorical[[#This Row],[ID]], tblPiNAnalysis[ID], 0)), "")</f>
        <v/>
      </c>
      <c r="AA342" s="28" t="str">
        <f>IFERROR(INDEX(tblPiNAnalysis[CP], MATCH(tblPiNHistorical[[#This Row],[ID]], tblPiNAnalysis[ID], 0)), "")</f>
        <v/>
      </c>
      <c r="AB342" s="83" t="str">
        <f>IFERROR(INDEX(tblPiNAnalysis[GBV], MATCH(tblPiNHistorical[[#This Row],[ID]], tblPiNAnalysis[ID], 0)), "")</f>
        <v/>
      </c>
      <c r="AC342" s="28" t="str">
        <f>IFERROR(INDEX(tblPiNAnalysis[Mine Action], MATCH(tblPiNHistorical[[#This Row],[ID]], tblPiNAnalysis[ID], 0)), "")</f>
        <v/>
      </c>
      <c r="AD342" s="83" t="str">
        <f>IFERROR(INDEX(tblPiNAnalysis[[Shelter NFI ]], MATCH(tblPiNHistorical[[#This Row],[ID]], tblPiNAnalysis[ID], 0)), "")</f>
        <v/>
      </c>
      <c r="AE342" s="28" t="str">
        <f>IFERROR(INDEX(tblPiNAnalysis[WASH], MATCH(tblPiNHistorical[[#This Row],[ID]], tblPiNAnalysis[ID], 0)), "")</f>
        <v/>
      </c>
      <c r="AF342"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342" s="136" t="str">
        <f>IF(OR(tblPiNHistorical[[#This Row],[Education Old]]="", tblPiNHistorical[[#This Row],[Education Old]]=0, tblPiNHistorical[[#This Row],[Education New]]="", tblPiNHistorical[[#This Row],[Education New]]=0), "", tblPiNHistorical[[#This Row],[Education New]]-tblPiNHistorical[[#This Row],[Education Old]])</f>
        <v/>
      </c>
      <c r="AH342"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342" s="137" t="str">
        <f>IF(OR(tblPiNHistorical[[#This Row],[Health Old]]="", tblPiNHistorical[[#This Row],[Health Old]]=0, tblPiNHistorical[[#This Row],[Health New]]="", tblPiNHistorical[[#This Row],[Health New]]=0), "", tblPiNHistorical[[#This Row],[Health New]]-tblPiNHistorical[[#This Row],[Health Old]])</f>
        <v/>
      </c>
      <c r="AJ342" s="136" t="str">
        <f>IF(OR(tblPiNHistorical[[#This Row],[Nutrition Old]]="", tblPiNHistorical[[#This Row],[Nutrition Old]]=0, tblPiNHistorical[[#This Row],[Nutrition New]]="", tblPiNHistorical[[#This Row],[Nutrition New]]=0), "", tblPiNHistorical[[#This Row],[Nutrition New]]-tblPiNHistorical[[#This Row],[Nutrition Old]])</f>
        <v/>
      </c>
      <c r="AK342" s="136" t="str">
        <f>IF(OR(tblPiNHistorical[[#This Row],[Protection Old]]="", tblPiNHistorical[[#This Row],[Protection Old]]=0, tblPiNHistorical[[#This Row],[Protection New]]="", tblPiNHistorical[[#This Row],[Protection New]]=0), "", tblPiNHistorical[[#This Row],[Protection New]]-tblPiNHistorical[[#This Row],[Protection Old]])</f>
        <v/>
      </c>
      <c r="AL342" s="136" t="str">
        <f>IF(OR(tblPiNHistorical[[#This Row],[CP Old ]]="", tblPiNHistorical[[#This Row],[CP Old ]]=0, tblPiNHistorical[[#This Row],[CP New]]="", tblPiNHistorical[[#This Row],[CP New]]=0), "", tblPiNHistorical[[#This Row],[CP New]]-tblPiNHistorical[[#This Row],[CP Old ]])</f>
        <v/>
      </c>
      <c r="AM342" s="83" t="str">
        <f>IF(OR(tblPiNHistorical[[#This Row],[GBV Old]]="", tblPiNHistorical[[#This Row],[GBV Old]]=0, tblPiNHistorical[[#This Row],[GBV New]]="", tblPiNHistorical[[#This Row],[GBV New]]=0), "", tblPiNHistorical[[#This Row],[GBV New]]-tblPiNHistorical[[#This Row],[GBV Old]])</f>
        <v/>
      </c>
      <c r="AN342" s="83" t="str">
        <f>IF(OR(tblPiNHistorical[[#This Row],[Mine Action Old]]="", tblPiNHistorical[[#This Row],[Mine Action Old]]=0, tblPiNHistorical[[#This Row],[Mine Action New]]="", tblPiNHistorical[[#This Row],[Mine Action New]]=0), "", tblPiNHistorical[[#This Row],[Mine Action New]]-tblPiNHistorical[[#This Row],[Mine Action Old]])</f>
        <v/>
      </c>
      <c r="AO342" s="136" t="str">
        <f>IF(OR(tblPiNHistorical[[#This Row],[Shelter NFI Old]]="", tblPiNHistorical[[#This Row],[Shelter NFI Old]]=0, tblPiNHistorical[[#This Row],[Shelter NFI New]]="", tblPiNHistorical[[#This Row],[Shelter NFI New]]=0), "", tblPiNHistorical[[#This Row],[Shelter NFI New]]-tblPiNHistorical[[#This Row],[Shelter NFI Old]])</f>
        <v/>
      </c>
      <c r="AP342" s="138" t="str">
        <f>IF(OR(tblPiNHistorical[[#This Row],[WASH Old]]="", tblPiNHistorical[[#This Row],[WASH Old]]=0, tblPiNHistorical[[#This Row],[WASH New]]="", tblPiNHistorical[[#This Row],[WASH New]]=0), "", tblPiNHistorical[[#This Row],[WASH New]]-tblPiNHistorical[[#This Row],[WASH Old]])</f>
        <v/>
      </c>
      <c r="AQ342" s="139" t="str">
        <f>IFERROR(ROUND((tblPiNHistorical[[#This Row],[Site Management - New]] - tblPiNHistorical[[#This Row],[Site Management - Old]])/tblPiNHistorical[[#This Row],[Site Management - Old]], 1), "")</f>
        <v/>
      </c>
      <c r="AR342" s="140" t="str">
        <f>IFERROR(ROUND((tblPiNHistorical[[#This Row],[Education New]]-tblPiNHistorical[[#This Row],[Education Old]])/tblPiNHistorical[[#This Row],[Education Old]], 1), "")</f>
        <v/>
      </c>
      <c r="AS342" s="141" t="str">
        <f>IFERROR(ROUND((tblPiNHistorical[[#This Row],[Food Security and Livlihoods New]]-tblPiNHistorical[[#This Row],[Food Security and Livlihoods Old]])/tblPiNHistorical[[#This Row],[Food Security and Livlihoods Old]], 1), "")</f>
        <v/>
      </c>
      <c r="AT342" s="142" t="str">
        <f>IFERROR(ROUND((tblPiNHistorical[[#This Row],[Health New]]-tblPiNHistorical[[#This Row],[Health Old]])/tblPiNHistorical[[#This Row],[Health Old]], 1), "")</f>
        <v/>
      </c>
      <c r="AU342" s="140" t="str">
        <f>IFERROR(ROUND((tblPiNHistorical[[#This Row],[Nutrition New]]-tblPiNHistorical[[#This Row],[Nutrition Old]])/tblPiNHistorical[[#This Row],[Nutrition Old]], 1), "")</f>
        <v/>
      </c>
      <c r="AV342" s="140" t="str">
        <f>IFERROR(ROUND((tblPiNHistorical[[#This Row],[Protection New]]-tblPiNHistorical[[#This Row],[Protection Old]])/tblPiNHistorical[[#This Row],[Protection Old]], 1), "")</f>
        <v/>
      </c>
      <c r="AW342" s="84" t="str">
        <f>IFERROR(ROUND((tblPiNHistorical[[#This Row],[CP New]]-tblPiNHistorical[[#This Row],[CP Old ]])/tblPiNHistorical[[#This Row],[CP Old ]], 1), "")</f>
        <v/>
      </c>
      <c r="AX342" s="84" t="str">
        <f>IFERROR(ROUND((tblPiNHistorical[[#This Row],[GBV New]]-tblPiNHistorical[[#This Row],[GBV Old]])/tblPiNHistorical[[#This Row],[GBV Old]], 1), "")</f>
        <v/>
      </c>
      <c r="AY342" s="84" t="str">
        <f>IFERROR(ROUND((tblPiNHistorical[[#This Row],[Mine Action New]]-tblPiNHistorical[[#This Row],[Mine Action Old]])/tblPiNHistorical[[#This Row],[Mine Action Old]], 1), "")</f>
        <v/>
      </c>
      <c r="AZ342" s="140" t="str">
        <f>IFERROR(ROUND((tblPiNHistorical[[#This Row],[Shelter NFI New]]-tblPiNHistorical[[#This Row],[Shelter NFI Old]])/tblPiNHistorical[[#This Row],[Shelter NFI Old]], 1), "")</f>
        <v/>
      </c>
      <c r="BA342" s="31" t="str">
        <f>IFERROR(ROUND((tblPiNHistorical[[#This Row],[WASH New]]-tblPiNHistorical[[#This Row],[WASH Old]])/tblPiNHistorical[[#This Row],[WASH Old]], 1), "")</f>
        <v/>
      </c>
    </row>
    <row r="343" spans="1:53" ht="38.25" x14ac:dyDescent="0.25">
      <c r="A343"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RefugeesSD07097</v>
      </c>
      <c r="B343" s="134" t="s">
        <v>188</v>
      </c>
      <c r="C343" s="124" t="s">
        <v>124</v>
      </c>
      <c r="D343" s="124" t="s">
        <v>352</v>
      </c>
      <c r="E343" s="59" t="s">
        <v>353</v>
      </c>
      <c r="F343" s="54"/>
      <c r="G343" s="29"/>
      <c r="H343" s="53">
        <v>0</v>
      </c>
      <c r="I343" s="53" t="s">
        <v>90</v>
      </c>
      <c r="J343" s="34">
        <v>0</v>
      </c>
      <c r="K343" s="116">
        <v>0</v>
      </c>
      <c r="L343" s="114">
        <v>0</v>
      </c>
      <c r="M343" s="114">
        <v>0</v>
      </c>
      <c r="N343" s="114">
        <v>0</v>
      </c>
      <c r="O343" s="114">
        <v>0</v>
      </c>
      <c r="P343" s="114">
        <v>0</v>
      </c>
      <c r="Q343" s="114">
        <v>0</v>
      </c>
      <c r="R343" s="114">
        <v>0</v>
      </c>
      <c r="S343" s="114">
        <v>0</v>
      </c>
      <c r="T343" s="196">
        <v>0</v>
      </c>
      <c r="U343" s="52" t="str">
        <f>IFERROR(INDEX(tblPiNAnalysis[[Site Management ]], MATCH(tblPiNHistorical[[#This Row],[ID]], tblPiNAnalysis[ID], 0)), "")</f>
        <v/>
      </c>
      <c r="V343" s="52" t="str">
        <f>IFERROR(INDEX(tblPiNAnalysis[Education], MATCH(tblPiNHistorical[[#This Row],[ID]], tblPiNAnalysis[ID], 0)), "")</f>
        <v/>
      </c>
      <c r="W343" s="28" t="str">
        <f>IFERROR(INDEX(tblPiNAnalysis[Food Security and Livlihoods], MATCH(tblPiNHistorical[[#This Row],[ID]], tblPiNAnalysis[ID], 0)), "")</f>
        <v/>
      </c>
      <c r="X343" s="28" t="str">
        <f>IFERROR(INDEX(tblPiNAnalysis[[Health ]], MATCH(tblPiNHistorical[[#This Row],[ID]], tblPiNAnalysis[ID], 0)), "")</f>
        <v/>
      </c>
      <c r="Y343" s="28" t="str">
        <f>IFERROR(INDEX(tblPiNAnalysis[Nutrition], MATCH(tblPiNHistorical[[#This Row],[ID]], tblPiNAnalysis[ID], 0)), "")</f>
        <v/>
      </c>
      <c r="Z343" s="28" t="str">
        <f>IFERROR(INDEX(tblPiNAnalysis[Protection], MATCH(tblPiNHistorical[[#This Row],[ID]], tblPiNAnalysis[ID], 0)), "")</f>
        <v/>
      </c>
      <c r="AA343" s="28" t="str">
        <f>IFERROR(INDEX(tblPiNAnalysis[CP], MATCH(tblPiNHistorical[[#This Row],[ID]], tblPiNAnalysis[ID], 0)), "")</f>
        <v/>
      </c>
      <c r="AB343" s="83" t="str">
        <f>IFERROR(INDEX(tblPiNAnalysis[GBV], MATCH(tblPiNHistorical[[#This Row],[ID]], tblPiNAnalysis[ID], 0)), "")</f>
        <v/>
      </c>
      <c r="AC343" s="28" t="str">
        <f>IFERROR(INDEX(tblPiNAnalysis[Mine Action], MATCH(tblPiNHistorical[[#This Row],[ID]], tblPiNAnalysis[ID], 0)), "")</f>
        <v/>
      </c>
      <c r="AD343" s="83" t="str">
        <f>IFERROR(INDEX(tblPiNAnalysis[[Shelter NFI ]], MATCH(tblPiNHistorical[[#This Row],[ID]], tblPiNAnalysis[ID], 0)), "")</f>
        <v/>
      </c>
      <c r="AE343" s="28" t="str">
        <f>IFERROR(INDEX(tblPiNAnalysis[WASH], MATCH(tblPiNHistorical[[#This Row],[ID]], tblPiNAnalysis[ID], 0)), "")</f>
        <v/>
      </c>
      <c r="AF343"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343" s="136" t="str">
        <f>IF(OR(tblPiNHistorical[[#This Row],[Education Old]]="", tblPiNHistorical[[#This Row],[Education Old]]=0, tblPiNHistorical[[#This Row],[Education New]]="", tblPiNHistorical[[#This Row],[Education New]]=0), "", tblPiNHistorical[[#This Row],[Education New]]-tblPiNHistorical[[#This Row],[Education Old]])</f>
        <v/>
      </c>
      <c r="AH343"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343" s="137" t="str">
        <f>IF(OR(tblPiNHistorical[[#This Row],[Health Old]]="", tblPiNHistorical[[#This Row],[Health Old]]=0, tblPiNHistorical[[#This Row],[Health New]]="", tblPiNHistorical[[#This Row],[Health New]]=0), "", tblPiNHistorical[[#This Row],[Health New]]-tblPiNHistorical[[#This Row],[Health Old]])</f>
        <v/>
      </c>
      <c r="AJ343" s="136" t="str">
        <f>IF(OR(tblPiNHistorical[[#This Row],[Nutrition Old]]="", tblPiNHistorical[[#This Row],[Nutrition Old]]=0, tblPiNHistorical[[#This Row],[Nutrition New]]="", tblPiNHistorical[[#This Row],[Nutrition New]]=0), "", tblPiNHistorical[[#This Row],[Nutrition New]]-tblPiNHistorical[[#This Row],[Nutrition Old]])</f>
        <v/>
      </c>
      <c r="AK343" s="136" t="str">
        <f>IF(OR(tblPiNHistorical[[#This Row],[Protection Old]]="", tblPiNHistorical[[#This Row],[Protection Old]]=0, tblPiNHistorical[[#This Row],[Protection New]]="", tblPiNHistorical[[#This Row],[Protection New]]=0), "", tblPiNHistorical[[#This Row],[Protection New]]-tblPiNHistorical[[#This Row],[Protection Old]])</f>
        <v/>
      </c>
      <c r="AL343" s="136" t="str">
        <f>IF(OR(tblPiNHistorical[[#This Row],[CP Old ]]="", tblPiNHistorical[[#This Row],[CP Old ]]=0, tblPiNHistorical[[#This Row],[CP New]]="", tblPiNHistorical[[#This Row],[CP New]]=0), "", tblPiNHistorical[[#This Row],[CP New]]-tblPiNHistorical[[#This Row],[CP Old ]])</f>
        <v/>
      </c>
      <c r="AM343" s="83" t="str">
        <f>IF(OR(tblPiNHistorical[[#This Row],[GBV Old]]="", tblPiNHistorical[[#This Row],[GBV Old]]=0, tblPiNHistorical[[#This Row],[GBV New]]="", tblPiNHistorical[[#This Row],[GBV New]]=0), "", tblPiNHistorical[[#This Row],[GBV New]]-tblPiNHistorical[[#This Row],[GBV Old]])</f>
        <v/>
      </c>
      <c r="AN343" s="83" t="str">
        <f>IF(OR(tblPiNHistorical[[#This Row],[Mine Action Old]]="", tblPiNHistorical[[#This Row],[Mine Action Old]]=0, tblPiNHistorical[[#This Row],[Mine Action New]]="", tblPiNHistorical[[#This Row],[Mine Action New]]=0), "", tblPiNHistorical[[#This Row],[Mine Action New]]-tblPiNHistorical[[#This Row],[Mine Action Old]])</f>
        <v/>
      </c>
      <c r="AO343" s="136" t="str">
        <f>IF(OR(tblPiNHistorical[[#This Row],[Shelter NFI Old]]="", tblPiNHistorical[[#This Row],[Shelter NFI Old]]=0, tblPiNHistorical[[#This Row],[Shelter NFI New]]="", tblPiNHistorical[[#This Row],[Shelter NFI New]]=0), "", tblPiNHistorical[[#This Row],[Shelter NFI New]]-tblPiNHistorical[[#This Row],[Shelter NFI Old]])</f>
        <v/>
      </c>
      <c r="AP343" s="138" t="str">
        <f>IF(OR(tblPiNHistorical[[#This Row],[WASH Old]]="", tblPiNHistorical[[#This Row],[WASH Old]]=0, tblPiNHistorical[[#This Row],[WASH New]]="", tblPiNHistorical[[#This Row],[WASH New]]=0), "", tblPiNHistorical[[#This Row],[WASH New]]-tblPiNHistorical[[#This Row],[WASH Old]])</f>
        <v/>
      </c>
      <c r="AQ343" s="139" t="str">
        <f>IFERROR(ROUND((tblPiNHistorical[[#This Row],[Site Management - New]] - tblPiNHistorical[[#This Row],[Site Management - Old]])/tblPiNHistorical[[#This Row],[Site Management - Old]], 1), "")</f>
        <v/>
      </c>
      <c r="AR343" s="140" t="str">
        <f>IFERROR(ROUND((tblPiNHistorical[[#This Row],[Education New]]-tblPiNHistorical[[#This Row],[Education Old]])/tblPiNHistorical[[#This Row],[Education Old]], 1), "")</f>
        <v/>
      </c>
      <c r="AS343" s="141" t="str">
        <f>IFERROR(ROUND((tblPiNHistorical[[#This Row],[Food Security and Livlihoods New]]-tblPiNHistorical[[#This Row],[Food Security and Livlihoods Old]])/tblPiNHistorical[[#This Row],[Food Security and Livlihoods Old]], 1), "")</f>
        <v/>
      </c>
      <c r="AT343" s="142" t="str">
        <f>IFERROR(ROUND((tblPiNHistorical[[#This Row],[Health New]]-tblPiNHistorical[[#This Row],[Health Old]])/tblPiNHistorical[[#This Row],[Health Old]], 1), "")</f>
        <v/>
      </c>
      <c r="AU343" s="140" t="str">
        <f>IFERROR(ROUND((tblPiNHistorical[[#This Row],[Nutrition New]]-tblPiNHistorical[[#This Row],[Nutrition Old]])/tblPiNHistorical[[#This Row],[Nutrition Old]], 1), "")</f>
        <v/>
      </c>
      <c r="AV343" s="140" t="str">
        <f>IFERROR(ROUND((tblPiNHistorical[[#This Row],[Protection New]]-tblPiNHistorical[[#This Row],[Protection Old]])/tblPiNHistorical[[#This Row],[Protection Old]], 1), "")</f>
        <v/>
      </c>
      <c r="AW343" s="84" t="str">
        <f>IFERROR(ROUND((tblPiNHistorical[[#This Row],[CP New]]-tblPiNHistorical[[#This Row],[CP Old ]])/tblPiNHistorical[[#This Row],[CP Old ]], 1), "")</f>
        <v/>
      </c>
      <c r="AX343" s="84" t="str">
        <f>IFERROR(ROUND((tblPiNHistorical[[#This Row],[GBV New]]-tblPiNHistorical[[#This Row],[GBV Old]])/tblPiNHistorical[[#This Row],[GBV Old]], 1), "")</f>
        <v/>
      </c>
      <c r="AY343" s="84" t="str">
        <f>IFERROR(ROUND((tblPiNHistorical[[#This Row],[Mine Action New]]-tblPiNHistorical[[#This Row],[Mine Action Old]])/tblPiNHistorical[[#This Row],[Mine Action Old]], 1), "")</f>
        <v/>
      </c>
      <c r="AZ343" s="140" t="str">
        <f>IFERROR(ROUND((tblPiNHistorical[[#This Row],[Shelter NFI New]]-tblPiNHistorical[[#This Row],[Shelter NFI Old]])/tblPiNHistorical[[#This Row],[Shelter NFI Old]], 1), "")</f>
        <v/>
      </c>
      <c r="BA343" s="31" t="str">
        <f>IFERROR(ROUND((tblPiNHistorical[[#This Row],[WASH New]]-tblPiNHistorical[[#This Row],[WASH Old]])/tblPiNHistorical[[#This Row],[WASH Old]], 1), "")</f>
        <v/>
      </c>
    </row>
    <row r="344" spans="1:53" ht="38.25" x14ac:dyDescent="0.25">
      <c r="A344"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RefugeesSD07106</v>
      </c>
      <c r="B344" s="134" t="s">
        <v>188</v>
      </c>
      <c r="C344" s="124" t="s">
        <v>124</v>
      </c>
      <c r="D344" s="124" t="s">
        <v>364</v>
      </c>
      <c r="E344" s="59" t="s">
        <v>365</v>
      </c>
      <c r="F344" s="54"/>
      <c r="G344" s="29"/>
      <c r="H344" s="53">
        <v>1029</v>
      </c>
      <c r="I344" s="53" t="s">
        <v>90</v>
      </c>
      <c r="J344" s="34">
        <v>0</v>
      </c>
      <c r="K344" s="116">
        <v>467</v>
      </c>
      <c r="L344" s="114">
        <v>1029</v>
      </c>
      <c r="M344" s="114">
        <v>504</v>
      </c>
      <c r="N344" s="114">
        <v>94</v>
      </c>
      <c r="O344" s="114">
        <v>1029</v>
      </c>
      <c r="P344" s="114">
        <v>113.19</v>
      </c>
      <c r="Q344" s="114">
        <v>380.73</v>
      </c>
      <c r="R344" s="114">
        <v>0</v>
      </c>
      <c r="S344" s="114">
        <v>412</v>
      </c>
      <c r="T344" s="196">
        <v>987</v>
      </c>
      <c r="U344" s="52" t="str">
        <f>IFERROR(INDEX(tblPiNAnalysis[[Site Management ]], MATCH(tblPiNHistorical[[#This Row],[ID]], tblPiNAnalysis[ID], 0)), "")</f>
        <v/>
      </c>
      <c r="V344" s="52" t="str">
        <f>IFERROR(INDEX(tblPiNAnalysis[Education], MATCH(tblPiNHistorical[[#This Row],[ID]], tblPiNAnalysis[ID], 0)), "")</f>
        <v/>
      </c>
      <c r="W344" s="28" t="str">
        <f>IFERROR(INDEX(tblPiNAnalysis[Food Security and Livlihoods], MATCH(tblPiNHistorical[[#This Row],[ID]], tblPiNAnalysis[ID], 0)), "")</f>
        <v/>
      </c>
      <c r="X344" s="28" t="str">
        <f>IFERROR(INDEX(tblPiNAnalysis[[Health ]], MATCH(tblPiNHistorical[[#This Row],[ID]], tblPiNAnalysis[ID], 0)), "")</f>
        <v/>
      </c>
      <c r="Y344" s="28" t="str">
        <f>IFERROR(INDEX(tblPiNAnalysis[Nutrition], MATCH(tblPiNHistorical[[#This Row],[ID]], tblPiNAnalysis[ID], 0)), "")</f>
        <v/>
      </c>
      <c r="Z344" s="28" t="str">
        <f>IFERROR(INDEX(tblPiNAnalysis[Protection], MATCH(tblPiNHistorical[[#This Row],[ID]], tblPiNAnalysis[ID], 0)), "")</f>
        <v/>
      </c>
      <c r="AA344" s="28" t="str">
        <f>IFERROR(INDEX(tblPiNAnalysis[CP], MATCH(tblPiNHistorical[[#This Row],[ID]], tblPiNAnalysis[ID], 0)), "")</f>
        <v/>
      </c>
      <c r="AB344" s="83" t="str">
        <f>IFERROR(INDEX(tblPiNAnalysis[GBV], MATCH(tblPiNHistorical[[#This Row],[ID]], tblPiNAnalysis[ID], 0)), "")</f>
        <v/>
      </c>
      <c r="AC344" s="28" t="str">
        <f>IFERROR(INDEX(tblPiNAnalysis[Mine Action], MATCH(tblPiNHistorical[[#This Row],[ID]], tblPiNAnalysis[ID], 0)), "")</f>
        <v/>
      </c>
      <c r="AD344" s="83" t="str">
        <f>IFERROR(INDEX(tblPiNAnalysis[[Shelter NFI ]], MATCH(tblPiNHistorical[[#This Row],[ID]], tblPiNAnalysis[ID], 0)), "")</f>
        <v/>
      </c>
      <c r="AE344" s="28" t="str">
        <f>IFERROR(INDEX(tblPiNAnalysis[WASH], MATCH(tblPiNHistorical[[#This Row],[ID]], tblPiNAnalysis[ID], 0)), "")</f>
        <v/>
      </c>
      <c r="AF344"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344" s="136" t="str">
        <f>IF(OR(tblPiNHistorical[[#This Row],[Education Old]]="", tblPiNHistorical[[#This Row],[Education Old]]=0, tblPiNHistorical[[#This Row],[Education New]]="", tblPiNHistorical[[#This Row],[Education New]]=0), "", tblPiNHistorical[[#This Row],[Education New]]-tblPiNHistorical[[#This Row],[Education Old]])</f>
        <v/>
      </c>
      <c r="AH344"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344" s="137" t="str">
        <f>IF(OR(tblPiNHistorical[[#This Row],[Health Old]]="", tblPiNHistorical[[#This Row],[Health Old]]=0, tblPiNHistorical[[#This Row],[Health New]]="", tblPiNHistorical[[#This Row],[Health New]]=0), "", tblPiNHistorical[[#This Row],[Health New]]-tblPiNHistorical[[#This Row],[Health Old]])</f>
        <v/>
      </c>
      <c r="AJ344" s="136" t="str">
        <f>IF(OR(tblPiNHistorical[[#This Row],[Nutrition Old]]="", tblPiNHistorical[[#This Row],[Nutrition Old]]=0, tblPiNHistorical[[#This Row],[Nutrition New]]="", tblPiNHistorical[[#This Row],[Nutrition New]]=0), "", tblPiNHistorical[[#This Row],[Nutrition New]]-tblPiNHistorical[[#This Row],[Nutrition Old]])</f>
        <v/>
      </c>
      <c r="AK344" s="136" t="str">
        <f>IF(OR(tblPiNHistorical[[#This Row],[Protection Old]]="", tblPiNHistorical[[#This Row],[Protection Old]]=0, tblPiNHistorical[[#This Row],[Protection New]]="", tblPiNHistorical[[#This Row],[Protection New]]=0), "", tblPiNHistorical[[#This Row],[Protection New]]-tblPiNHistorical[[#This Row],[Protection Old]])</f>
        <v/>
      </c>
      <c r="AL344" s="136" t="str">
        <f>IF(OR(tblPiNHistorical[[#This Row],[CP Old ]]="", tblPiNHistorical[[#This Row],[CP Old ]]=0, tblPiNHistorical[[#This Row],[CP New]]="", tblPiNHistorical[[#This Row],[CP New]]=0), "", tblPiNHistorical[[#This Row],[CP New]]-tblPiNHistorical[[#This Row],[CP Old ]])</f>
        <v/>
      </c>
      <c r="AM344" s="83" t="str">
        <f>IF(OR(tblPiNHistorical[[#This Row],[GBV Old]]="", tblPiNHistorical[[#This Row],[GBV Old]]=0, tblPiNHistorical[[#This Row],[GBV New]]="", tblPiNHistorical[[#This Row],[GBV New]]=0), "", tblPiNHistorical[[#This Row],[GBV New]]-tblPiNHistorical[[#This Row],[GBV Old]])</f>
        <v/>
      </c>
      <c r="AN344" s="83" t="str">
        <f>IF(OR(tblPiNHistorical[[#This Row],[Mine Action Old]]="", tblPiNHistorical[[#This Row],[Mine Action Old]]=0, tblPiNHistorical[[#This Row],[Mine Action New]]="", tblPiNHistorical[[#This Row],[Mine Action New]]=0), "", tblPiNHistorical[[#This Row],[Mine Action New]]-tblPiNHistorical[[#This Row],[Mine Action Old]])</f>
        <v/>
      </c>
      <c r="AO344" s="136" t="str">
        <f>IF(OR(tblPiNHistorical[[#This Row],[Shelter NFI Old]]="", tblPiNHistorical[[#This Row],[Shelter NFI Old]]=0, tblPiNHistorical[[#This Row],[Shelter NFI New]]="", tblPiNHistorical[[#This Row],[Shelter NFI New]]=0), "", tblPiNHistorical[[#This Row],[Shelter NFI New]]-tblPiNHistorical[[#This Row],[Shelter NFI Old]])</f>
        <v/>
      </c>
      <c r="AP344" s="138" t="str">
        <f>IF(OR(tblPiNHistorical[[#This Row],[WASH Old]]="", tblPiNHistorical[[#This Row],[WASH Old]]=0, tblPiNHistorical[[#This Row],[WASH New]]="", tblPiNHistorical[[#This Row],[WASH New]]=0), "", tblPiNHistorical[[#This Row],[WASH New]]-tblPiNHistorical[[#This Row],[WASH Old]])</f>
        <v/>
      </c>
      <c r="AQ344" s="139" t="str">
        <f>IFERROR(ROUND((tblPiNHistorical[[#This Row],[Site Management - New]] - tblPiNHistorical[[#This Row],[Site Management - Old]])/tblPiNHistorical[[#This Row],[Site Management - Old]], 1), "")</f>
        <v/>
      </c>
      <c r="AR344" s="140" t="str">
        <f>IFERROR(ROUND((tblPiNHistorical[[#This Row],[Education New]]-tblPiNHistorical[[#This Row],[Education Old]])/tblPiNHistorical[[#This Row],[Education Old]], 1), "")</f>
        <v/>
      </c>
      <c r="AS344" s="141" t="str">
        <f>IFERROR(ROUND((tblPiNHistorical[[#This Row],[Food Security and Livlihoods New]]-tblPiNHistorical[[#This Row],[Food Security and Livlihoods Old]])/tblPiNHistorical[[#This Row],[Food Security and Livlihoods Old]], 1), "")</f>
        <v/>
      </c>
      <c r="AT344" s="142" t="str">
        <f>IFERROR(ROUND((tblPiNHistorical[[#This Row],[Health New]]-tblPiNHistorical[[#This Row],[Health Old]])/tblPiNHistorical[[#This Row],[Health Old]], 1), "")</f>
        <v/>
      </c>
      <c r="AU344" s="140" t="str">
        <f>IFERROR(ROUND((tblPiNHistorical[[#This Row],[Nutrition New]]-tblPiNHistorical[[#This Row],[Nutrition Old]])/tblPiNHistorical[[#This Row],[Nutrition Old]], 1), "")</f>
        <v/>
      </c>
      <c r="AV344" s="140" t="str">
        <f>IFERROR(ROUND((tblPiNHistorical[[#This Row],[Protection New]]-tblPiNHistorical[[#This Row],[Protection Old]])/tblPiNHistorical[[#This Row],[Protection Old]], 1), "")</f>
        <v/>
      </c>
      <c r="AW344" s="84" t="str">
        <f>IFERROR(ROUND((tblPiNHistorical[[#This Row],[CP New]]-tblPiNHistorical[[#This Row],[CP Old ]])/tblPiNHistorical[[#This Row],[CP Old ]], 1), "")</f>
        <v/>
      </c>
      <c r="AX344" s="84" t="str">
        <f>IFERROR(ROUND((tblPiNHistorical[[#This Row],[GBV New]]-tblPiNHistorical[[#This Row],[GBV Old]])/tblPiNHistorical[[#This Row],[GBV Old]], 1), "")</f>
        <v/>
      </c>
      <c r="AY344" s="84" t="str">
        <f>IFERROR(ROUND((tblPiNHistorical[[#This Row],[Mine Action New]]-tblPiNHistorical[[#This Row],[Mine Action Old]])/tblPiNHistorical[[#This Row],[Mine Action Old]], 1), "")</f>
        <v/>
      </c>
      <c r="AZ344" s="140" t="str">
        <f>IFERROR(ROUND((tblPiNHistorical[[#This Row],[Shelter NFI New]]-tblPiNHistorical[[#This Row],[Shelter NFI Old]])/tblPiNHistorical[[#This Row],[Shelter NFI Old]], 1), "")</f>
        <v/>
      </c>
      <c r="BA344" s="31" t="str">
        <f>IFERROR(ROUND((tblPiNHistorical[[#This Row],[WASH New]]-tblPiNHistorical[[#This Row],[WASH Old]])/tblPiNHistorical[[#This Row],[WASH Old]], 1), "")</f>
        <v/>
      </c>
    </row>
    <row r="345" spans="1:53" ht="38.25" x14ac:dyDescent="0.25">
      <c r="A345"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RefugeesSD07107</v>
      </c>
      <c r="B345" s="134" t="s">
        <v>188</v>
      </c>
      <c r="C345" s="124" t="s">
        <v>124</v>
      </c>
      <c r="D345" s="124" t="s">
        <v>366</v>
      </c>
      <c r="E345" s="59" t="s">
        <v>367</v>
      </c>
      <c r="F345" s="54"/>
      <c r="G345" s="29"/>
      <c r="H345" s="53">
        <v>0</v>
      </c>
      <c r="I345" s="53" t="s">
        <v>90</v>
      </c>
      <c r="J345" s="34">
        <v>0</v>
      </c>
      <c r="K345" s="116">
        <v>0</v>
      </c>
      <c r="L345" s="114">
        <v>0</v>
      </c>
      <c r="M345" s="114">
        <v>0</v>
      </c>
      <c r="N345" s="114">
        <v>0</v>
      </c>
      <c r="O345" s="114">
        <v>0</v>
      </c>
      <c r="P345" s="114">
        <v>0</v>
      </c>
      <c r="Q345" s="114">
        <v>0</v>
      </c>
      <c r="R345" s="114">
        <v>0</v>
      </c>
      <c r="S345" s="114">
        <v>0</v>
      </c>
      <c r="T345" s="196">
        <v>0</v>
      </c>
      <c r="U345" s="52" t="str">
        <f>IFERROR(INDEX(tblPiNAnalysis[[Site Management ]], MATCH(tblPiNHistorical[[#This Row],[ID]], tblPiNAnalysis[ID], 0)), "")</f>
        <v/>
      </c>
      <c r="V345" s="52" t="str">
        <f>IFERROR(INDEX(tblPiNAnalysis[Education], MATCH(tblPiNHistorical[[#This Row],[ID]], tblPiNAnalysis[ID], 0)), "")</f>
        <v/>
      </c>
      <c r="W345" s="28" t="str">
        <f>IFERROR(INDEX(tblPiNAnalysis[Food Security and Livlihoods], MATCH(tblPiNHistorical[[#This Row],[ID]], tblPiNAnalysis[ID], 0)), "")</f>
        <v/>
      </c>
      <c r="X345" s="28" t="str">
        <f>IFERROR(INDEX(tblPiNAnalysis[[Health ]], MATCH(tblPiNHistorical[[#This Row],[ID]], tblPiNAnalysis[ID], 0)), "")</f>
        <v/>
      </c>
      <c r="Y345" s="28" t="str">
        <f>IFERROR(INDEX(tblPiNAnalysis[Nutrition], MATCH(tblPiNHistorical[[#This Row],[ID]], tblPiNAnalysis[ID], 0)), "")</f>
        <v/>
      </c>
      <c r="Z345" s="28" t="str">
        <f>IFERROR(INDEX(tblPiNAnalysis[Protection], MATCH(tblPiNHistorical[[#This Row],[ID]], tblPiNAnalysis[ID], 0)), "")</f>
        <v/>
      </c>
      <c r="AA345" s="28" t="str">
        <f>IFERROR(INDEX(tblPiNAnalysis[CP], MATCH(tblPiNHistorical[[#This Row],[ID]], tblPiNAnalysis[ID], 0)), "")</f>
        <v/>
      </c>
      <c r="AB345" s="83" t="str">
        <f>IFERROR(INDEX(tblPiNAnalysis[GBV], MATCH(tblPiNHistorical[[#This Row],[ID]], tblPiNAnalysis[ID], 0)), "")</f>
        <v/>
      </c>
      <c r="AC345" s="28" t="str">
        <f>IFERROR(INDEX(tblPiNAnalysis[Mine Action], MATCH(tblPiNHistorical[[#This Row],[ID]], tblPiNAnalysis[ID], 0)), "")</f>
        <v/>
      </c>
      <c r="AD345" s="83" t="str">
        <f>IFERROR(INDEX(tblPiNAnalysis[[Shelter NFI ]], MATCH(tblPiNHistorical[[#This Row],[ID]], tblPiNAnalysis[ID], 0)), "")</f>
        <v/>
      </c>
      <c r="AE345" s="28" t="str">
        <f>IFERROR(INDEX(tblPiNAnalysis[WASH], MATCH(tblPiNHistorical[[#This Row],[ID]], tblPiNAnalysis[ID], 0)), "")</f>
        <v/>
      </c>
      <c r="AF345"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345" s="136" t="str">
        <f>IF(OR(tblPiNHistorical[[#This Row],[Education Old]]="", tblPiNHistorical[[#This Row],[Education Old]]=0, tblPiNHistorical[[#This Row],[Education New]]="", tblPiNHistorical[[#This Row],[Education New]]=0), "", tblPiNHistorical[[#This Row],[Education New]]-tblPiNHistorical[[#This Row],[Education Old]])</f>
        <v/>
      </c>
      <c r="AH345"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345" s="137" t="str">
        <f>IF(OR(tblPiNHistorical[[#This Row],[Health Old]]="", tblPiNHistorical[[#This Row],[Health Old]]=0, tblPiNHistorical[[#This Row],[Health New]]="", tblPiNHistorical[[#This Row],[Health New]]=0), "", tblPiNHistorical[[#This Row],[Health New]]-tblPiNHistorical[[#This Row],[Health Old]])</f>
        <v/>
      </c>
      <c r="AJ345" s="136" t="str">
        <f>IF(OR(tblPiNHistorical[[#This Row],[Nutrition Old]]="", tblPiNHistorical[[#This Row],[Nutrition Old]]=0, tblPiNHistorical[[#This Row],[Nutrition New]]="", tblPiNHistorical[[#This Row],[Nutrition New]]=0), "", tblPiNHistorical[[#This Row],[Nutrition New]]-tblPiNHistorical[[#This Row],[Nutrition Old]])</f>
        <v/>
      </c>
      <c r="AK345" s="136" t="str">
        <f>IF(OR(tblPiNHistorical[[#This Row],[Protection Old]]="", tblPiNHistorical[[#This Row],[Protection Old]]=0, tblPiNHistorical[[#This Row],[Protection New]]="", tblPiNHistorical[[#This Row],[Protection New]]=0), "", tblPiNHistorical[[#This Row],[Protection New]]-tblPiNHistorical[[#This Row],[Protection Old]])</f>
        <v/>
      </c>
      <c r="AL345" s="136" t="str">
        <f>IF(OR(tblPiNHistorical[[#This Row],[CP Old ]]="", tblPiNHistorical[[#This Row],[CP Old ]]=0, tblPiNHistorical[[#This Row],[CP New]]="", tblPiNHistorical[[#This Row],[CP New]]=0), "", tblPiNHistorical[[#This Row],[CP New]]-tblPiNHistorical[[#This Row],[CP Old ]])</f>
        <v/>
      </c>
      <c r="AM345" s="83" t="str">
        <f>IF(OR(tblPiNHistorical[[#This Row],[GBV Old]]="", tblPiNHistorical[[#This Row],[GBV Old]]=0, tblPiNHistorical[[#This Row],[GBV New]]="", tblPiNHistorical[[#This Row],[GBV New]]=0), "", tblPiNHistorical[[#This Row],[GBV New]]-tblPiNHistorical[[#This Row],[GBV Old]])</f>
        <v/>
      </c>
      <c r="AN345" s="83" t="str">
        <f>IF(OR(tblPiNHistorical[[#This Row],[Mine Action Old]]="", tblPiNHistorical[[#This Row],[Mine Action Old]]=0, tblPiNHistorical[[#This Row],[Mine Action New]]="", tblPiNHistorical[[#This Row],[Mine Action New]]=0), "", tblPiNHistorical[[#This Row],[Mine Action New]]-tblPiNHistorical[[#This Row],[Mine Action Old]])</f>
        <v/>
      </c>
      <c r="AO345" s="136" t="str">
        <f>IF(OR(tblPiNHistorical[[#This Row],[Shelter NFI Old]]="", tblPiNHistorical[[#This Row],[Shelter NFI Old]]=0, tblPiNHistorical[[#This Row],[Shelter NFI New]]="", tblPiNHistorical[[#This Row],[Shelter NFI New]]=0), "", tblPiNHistorical[[#This Row],[Shelter NFI New]]-tblPiNHistorical[[#This Row],[Shelter NFI Old]])</f>
        <v/>
      </c>
      <c r="AP345" s="138" t="str">
        <f>IF(OR(tblPiNHistorical[[#This Row],[WASH Old]]="", tblPiNHistorical[[#This Row],[WASH Old]]=0, tblPiNHistorical[[#This Row],[WASH New]]="", tblPiNHistorical[[#This Row],[WASH New]]=0), "", tblPiNHistorical[[#This Row],[WASH New]]-tblPiNHistorical[[#This Row],[WASH Old]])</f>
        <v/>
      </c>
      <c r="AQ345" s="139" t="str">
        <f>IFERROR(ROUND((tblPiNHistorical[[#This Row],[Site Management - New]] - tblPiNHistorical[[#This Row],[Site Management - Old]])/tblPiNHistorical[[#This Row],[Site Management - Old]], 1), "")</f>
        <v/>
      </c>
      <c r="AR345" s="140" t="str">
        <f>IFERROR(ROUND((tblPiNHistorical[[#This Row],[Education New]]-tblPiNHistorical[[#This Row],[Education Old]])/tblPiNHistorical[[#This Row],[Education Old]], 1), "")</f>
        <v/>
      </c>
      <c r="AS345" s="141" t="str">
        <f>IFERROR(ROUND((tblPiNHistorical[[#This Row],[Food Security and Livlihoods New]]-tblPiNHistorical[[#This Row],[Food Security and Livlihoods Old]])/tblPiNHistorical[[#This Row],[Food Security and Livlihoods Old]], 1), "")</f>
        <v/>
      </c>
      <c r="AT345" s="142" t="str">
        <f>IFERROR(ROUND((tblPiNHistorical[[#This Row],[Health New]]-tblPiNHistorical[[#This Row],[Health Old]])/tblPiNHistorical[[#This Row],[Health Old]], 1), "")</f>
        <v/>
      </c>
      <c r="AU345" s="140" t="str">
        <f>IFERROR(ROUND((tblPiNHistorical[[#This Row],[Nutrition New]]-tblPiNHistorical[[#This Row],[Nutrition Old]])/tblPiNHistorical[[#This Row],[Nutrition Old]], 1), "")</f>
        <v/>
      </c>
      <c r="AV345" s="140" t="str">
        <f>IFERROR(ROUND((tblPiNHistorical[[#This Row],[Protection New]]-tblPiNHistorical[[#This Row],[Protection Old]])/tblPiNHistorical[[#This Row],[Protection Old]], 1), "")</f>
        <v/>
      </c>
      <c r="AW345" s="84" t="str">
        <f>IFERROR(ROUND((tblPiNHistorical[[#This Row],[CP New]]-tblPiNHistorical[[#This Row],[CP Old ]])/tblPiNHistorical[[#This Row],[CP Old ]], 1), "")</f>
        <v/>
      </c>
      <c r="AX345" s="84" t="str">
        <f>IFERROR(ROUND((tblPiNHistorical[[#This Row],[GBV New]]-tblPiNHistorical[[#This Row],[GBV Old]])/tblPiNHistorical[[#This Row],[GBV Old]], 1), "")</f>
        <v/>
      </c>
      <c r="AY345" s="84" t="str">
        <f>IFERROR(ROUND((tblPiNHistorical[[#This Row],[Mine Action New]]-tblPiNHistorical[[#This Row],[Mine Action Old]])/tblPiNHistorical[[#This Row],[Mine Action Old]], 1), "")</f>
        <v/>
      </c>
      <c r="AZ345" s="140" t="str">
        <f>IFERROR(ROUND((tblPiNHistorical[[#This Row],[Shelter NFI New]]-tblPiNHistorical[[#This Row],[Shelter NFI Old]])/tblPiNHistorical[[#This Row],[Shelter NFI Old]], 1), "")</f>
        <v/>
      </c>
      <c r="BA345" s="31" t="str">
        <f>IFERROR(ROUND((tblPiNHistorical[[#This Row],[WASH New]]-tblPiNHistorical[[#This Row],[WASH Old]])/tblPiNHistorical[[#This Row],[WASH Old]], 1), "")</f>
        <v/>
      </c>
    </row>
    <row r="346" spans="1:53" ht="38.25" x14ac:dyDescent="0.25">
      <c r="A346"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RefugeesSD07095</v>
      </c>
      <c r="B346" s="134" t="s">
        <v>188</v>
      </c>
      <c r="C346" s="124" t="s">
        <v>124</v>
      </c>
      <c r="D346" s="124" t="s">
        <v>348</v>
      </c>
      <c r="E346" s="59" t="s">
        <v>349</v>
      </c>
      <c r="F346" s="54"/>
      <c r="G346" s="29"/>
      <c r="H346" s="53">
        <v>793</v>
      </c>
      <c r="I346" s="53" t="s">
        <v>90</v>
      </c>
      <c r="J346" s="34">
        <v>0</v>
      </c>
      <c r="K346" s="116">
        <v>312</v>
      </c>
      <c r="L346" s="114">
        <v>793</v>
      </c>
      <c r="M346" s="114">
        <v>547</v>
      </c>
      <c r="N346" s="114">
        <v>72</v>
      </c>
      <c r="O346" s="114">
        <v>793</v>
      </c>
      <c r="P346" s="114">
        <v>106.262</v>
      </c>
      <c r="Q346" s="114">
        <v>342.57600000000002</v>
      </c>
      <c r="R346" s="114">
        <v>158.60000000000002</v>
      </c>
      <c r="S346" s="114">
        <v>0</v>
      </c>
      <c r="T346" s="196">
        <v>443</v>
      </c>
      <c r="U346" s="52" t="str">
        <f>IFERROR(INDEX(tblPiNAnalysis[[Site Management ]], MATCH(tblPiNHistorical[[#This Row],[ID]], tblPiNAnalysis[ID], 0)), "")</f>
        <v/>
      </c>
      <c r="V346" s="52" t="str">
        <f>IFERROR(INDEX(tblPiNAnalysis[Education], MATCH(tblPiNHistorical[[#This Row],[ID]], tblPiNAnalysis[ID], 0)), "")</f>
        <v/>
      </c>
      <c r="W346" s="28" t="str">
        <f>IFERROR(INDEX(tblPiNAnalysis[Food Security and Livlihoods], MATCH(tblPiNHistorical[[#This Row],[ID]], tblPiNAnalysis[ID], 0)), "")</f>
        <v/>
      </c>
      <c r="X346" s="28" t="str">
        <f>IFERROR(INDEX(tblPiNAnalysis[[Health ]], MATCH(tblPiNHistorical[[#This Row],[ID]], tblPiNAnalysis[ID], 0)), "")</f>
        <v/>
      </c>
      <c r="Y346" s="28" t="str">
        <f>IFERROR(INDEX(tblPiNAnalysis[Nutrition], MATCH(tblPiNHistorical[[#This Row],[ID]], tblPiNAnalysis[ID], 0)), "")</f>
        <v/>
      </c>
      <c r="Z346" s="28" t="str">
        <f>IFERROR(INDEX(tblPiNAnalysis[Protection], MATCH(tblPiNHistorical[[#This Row],[ID]], tblPiNAnalysis[ID], 0)), "")</f>
        <v/>
      </c>
      <c r="AA346" s="28" t="str">
        <f>IFERROR(INDEX(tblPiNAnalysis[CP], MATCH(tblPiNHistorical[[#This Row],[ID]], tblPiNAnalysis[ID], 0)), "")</f>
        <v/>
      </c>
      <c r="AB346" s="83" t="str">
        <f>IFERROR(INDEX(tblPiNAnalysis[GBV], MATCH(tblPiNHistorical[[#This Row],[ID]], tblPiNAnalysis[ID], 0)), "")</f>
        <v/>
      </c>
      <c r="AC346" s="28" t="str">
        <f>IFERROR(INDEX(tblPiNAnalysis[Mine Action], MATCH(tblPiNHistorical[[#This Row],[ID]], tblPiNAnalysis[ID], 0)), "")</f>
        <v/>
      </c>
      <c r="AD346" s="83" t="str">
        <f>IFERROR(INDEX(tblPiNAnalysis[[Shelter NFI ]], MATCH(tblPiNHistorical[[#This Row],[ID]], tblPiNAnalysis[ID], 0)), "")</f>
        <v/>
      </c>
      <c r="AE346" s="28" t="str">
        <f>IFERROR(INDEX(tblPiNAnalysis[WASH], MATCH(tblPiNHistorical[[#This Row],[ID]], tblPiNAnalysis[ID], 0)), "")</f>
        <v/>
      </c>
      <c r="AF346"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346" s="136" t="str">
        <f>IF(OR(tblPiNHistorical[[#This Row],[Education Old]]="", tblPiNHistorical[[#This Row],[Education Old]]=0, tblPiNHistorical[[#This Row],[Education New]]="", tblPiNHistorical[[#This Row],[Education New]]=0), "", tblPiNHistorical[[#This Row],[Education New]]-tblPiNHistorical[[#This Row],[Education Old]])</f>
        <v/>
      </c>
      <c r="AH346"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346" s="137" t="str">
        <f>IF(OR(tblPiNHistorical[[#This Row],[Health Old]]="", tblPiNHistorical[[#This Row],[Health Old]]=0, tblPiNHistorical[[#This Row],[Health New]]="", tblPiNHistorical[[#This Row],[Health New]]=0), "", tblPiNHistorical[[#This Row],[Health New]]-tblPiNHistorical[[#This Row],[Health Old]])</f>
        <v/>
      </c>
      <c r="AJ346" s="136" t="str">
        <f>IF(OR(tblPiNHistorical[[#This Row],[Nutrition Old]]="", tblPiNHistorical[[#This Row],[Nutrition Old]]=0, tblPiNHistorical[[#This Row],[Nutrition New]]="", tblPiNHistorical[[#This Row],[Nutrition New]]=0), "", tblPiNHistorical[[#This Row],[Nutrition New]]-tblPiNHistorical[[#This Row],[Nutrition Old]])</f>
        <v/>
      </c>
      <c r="AK346" s="136" t="str">
        <f>IF(OR(tblPiNHistorical[[#This Row],[Protection Old]]="", tblPiNHistorical[[#This Row],[Protection Old]]=0, tblPiNHistorical[[#This Row],[Protection New]]="", tblPiNHistorical[[#This Row],[Protection New]]=0), "", tblPiNHistorical[[#This Row],[Protection New]]-tblPiNHistorical[[#This Row],[Protection Old]])</f>
        <v/>
      </c>
      <c r="AL346" s="136" t="str">
        <f>IF(OR(tblPiNHistorical[[#This Row],[CP Old ]]="", tblPiNHistorical[[#This Row],[CP Old ]]=0, tblPiNHistorical[[#This Row],[CP New]]="", tblPiNHistorical[[#This Row],[CP New]]=0), "", tblPiNHistorical[[#This Row],[CP New]]-tblPiNHistorical[[#This Row],[CP Old ]])</f>
        <v/>
      </c>
      <c r="AM346" s="83" t="str">
        <f>IF(OR(tblPiNHistorical[[#This Row],[GBV Old]]="", tblPiNHistorical[[#This Row],[GBV Old]]=0, tblPiNHistorical[[#This Row],[GBV New]]="", tblPiNHistorical[[#This Row],[GBV New]]=0), "", tblPiNHistorical[[#This Row],[GBV New]]-tblPiNHistorical[[#This Row],[GBV Old]])</f>
        <v/>
      </c>
      <c r="AN346" s="83" t="str">
        <f>IF(OR(tblPiNHistorical[[#This Row],[Mine Action Old]]="", tblPiNHistorical[[#This Row],[Mine Action Old]]=0, tblPiNHistorical[[#This Row],[Mine Action New]]="", tblPiNHistorical[[#This Row],[Mine Action New]]=0), "", tblPiNHistorical[[#This Row],[Mine Action New]]-tblPiNHistorical[[#This Row],[Mine Action Old]])</f>
        <v/>
      </c>
      <c r="AO346" s="136" t="str">
        <f>IF(OR(tblPiNHistorical[[#This Row],[Shelter NFI Old]]="", tblPiNHistorical[[#This Row],[Shelter NFI Old]]=0, tblPiNHistorical[[#This Row],[Shelter NFI New]]="", tblPiNHistorical[[#This Row],[Shelter NFI New]]=0), "", tblPiNHistorical[[#This Row],[Shelter NFI New]]-tblPiNHistorical[[#This Row],[Shelter NFI Old]])</f>
        <v/>
      </c>
      <c r="AP346" s="138" t="str">
        <f>IF(OR(tblPiNHistorical[[#This Row],[WASH Old]]="", tblPiNHistorical[[#This Row],[WASH Old]]=0, tblPiNHistorical[[#This Row],[WASH New]]="", tblPiNHistorical[[#This Row],[WASH New]]=0), "", tblPiNHistorical[[#This Row],[WASH New]]-tblPiNHistorical[[#This Row],[WASH Old]])</f>
        <v/>
      </c>
      <c r="AQ346" s="139" t="str">
        <f>IFERROR(ROUND((tblPiNHistorical[[#This Row],[Site Management - New]] - tblPiNHistorical[[#This Row],[Site Management - Old]])/tblPiNHistorical[[#This Row],[Site Management - Old]], 1), "")</f>
        <v/>
      </c>
      <c r="AR346" s="140" t="str">
        <f>IFERROR(ROUND((tblPiNHistorical[[#This Row],[Education New]]-tblPiNHistorical[[#This Row],[Education Old]])/tblPiNHistorical[[#This Row],[Education Old]], 1), "")</f>
        <v/>
      </c>
      <c r="AS346" s="141" t="str">
        <f>IFERROR(ROUND((tblPiNHistorical[[#This Row],[Food Security and Livlihoods New]]-tblPiNHistorical[[#This Row],[Food Security and Livlihoods Old]])/tblPiNHistorical[[#This Row],[Food Security and Livlihoods Old]], 1), "")</f>
        <v/>
      </c>
      <c r="AT346" s="142" t="str">
        <f>IFERROR(ROUND((tblPiNHistorical[[#This Row],[Health New]]-tblPiNHistorical[[#This Row],[Health Old]])/tblPiNHistorical[[#This Row],[Health Old]], 1), "")</f>
        <v/>
      </c>
      <c r="AU346" s="140" t="str">
        <f>IFERROR(ROUND((tblPiNHistorical[[#This Row],[Nutrition New]]-tblPiNHistorical[[#This Row],[Nutrition Old]])/tblPiNHistorical[[#This Row],[Nutrition Old]], 1), "")</f>
        <v/>
      </c>
      <c r="AV346" s="140" t="str">
        <f>IFERROR(ROUND((tblPiNHistorical[[#This Row],[Protection New]]-tblPiNHistorical[[#This Row],[Protection Old]])/tblPiNHistorical[[#This Row],[Protection Old]], 1), "")</f>
        <v/>
      </c>
      <c r="AW346" s="84" t="str">
        <f>IFERROR(ROUND((tblPiNHistorical[[#This Row],[CP New]]-tblPiNHistorical[[#This Row],[CP Old ]])/tblPiNHistorical[[#This Row],[CP Old ]], 1), "")</f>
        <v/>
      </c>
      <c r="AX346" s="84" t="str">
        <f>IFERROR(ROUND((tblPiNHistorical[[#This Row],[GBV New]]-tblPiNHistorical[[#This Row],[GBV Old]])/tblPiNHistorical[[#This Row],[GBV Old]], 1), "")</f>
        <v/>
      </c>
      <c r="AY346" s="84" t="str">
        <f>IFERROR(ROUND((tblPiNHistorical[[#This Row],[Mine Action New]]-tblPiNHistorical[[#This Row],[Mine Action Old]])/tblPiNHistorical[[#This Row],[Mine Action Old]], 1), "")</f>
        <v/>
      </c>
      <c r="AZ346" s="140" t="str">
        <f>IFERROR(ROUND((tblPiNHistorical[[#This Row],[Shelter NFI New]]-tblPiNHistorical[[#This Row],[Shelter NFI Old]])/tblPiNHistorical[[#This Row],[Shelter NFI Old]], 1), "")</f>
        <v/>
      </c>
      <c r="BA346" s="31" t="str">
        <f>IFERROR(ROUND((tblPiNHistorical[[#This Row],[WASH New]]-tblPiNHistorical[[#This Row],[WASH Old]])/tblPiNHistorical[[#This Row],[WASH Old]], 1), "")</f>
        <v/>
      </c>
    </row>
    <row r="347" spans="1:53" ht="38.25" x14ac:dyDescent="0.25">
      <c r="A347"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RefugeesSD07108</v>
      </c>
      <c r="B347" s="134" t="s">
        <v>188</v>
      </c>
      <c r="C347" s="124" t="s">
        <v>124</v>
      </c>
      <c r="D347" s="124" t="s">
        <v>368</v>
      </c>
      <c r="E347" s="59" t="s">
        <v>369</v>
      </c>
      <c r="F347" s="54"/>
      <c r="G347" s="29"/>
      <c r="H347" s="53">
        <v>13946</v>
      </c>
      <c r="I347" s="53" t="s">
        <v>90</v>
      </c>
      <c r="J347" s="34">
        <v>0</v>
      </c>
      <c r="K347" s="116">
        <v>5654</v>
      </c>
      <c r="L347" s="114">
        <v>13941</v>
      </c>
      <c r="M347" s="114">
        <v>6831</v>
      </c>
      <c r="N347" s="114">
        <v>1272</v>
      </c>
      <c r="O347" s="114">
        <v>13941</v>
      </c>
      <c r="P347" s="114">
        <v>1449.864</v>
      </c>
      <c r="Q347" s="114">
        <v>5367.2849999999999</v>
      </c>
      <c r="R347" s="114">
        <v>2788.2000000000003</v>
      </c>
      <c r="S347" s="114">
        <v>5576</v>
      </c>
      <c r="T347" s="196">
        <v>13132</v>
      </c>
      <c r="U347" s="52" t="str">
        <f>IFERROR(INDEX(tblPiNAnalysis[[Site Management ]], MATCH(tblPiNHistorical[[#This Row],[ID]], tblPiNAnalysis[ID], 0)), "")</f>
        <v/>
      </c>
      <c r="V347" s="52" t="str">
        <f>IFERROR(INDEX(tblPiNAnalysis[Education], MATCH(tblPiNHistorical[[#This Row],[ID]], tblPiNAnalysis[ID], 0)), "")</f>
        <v/>
      </c>
      <c r="W347" s="28" t="str">
        <f>IFERROR(INDEX(tblPiNAnalysis[Food Security and Livlihoods], MATCH(tblPiNHistorical[[#This Row],[ID]], tblPiNAnalysis[ID], 0)), "")</f>
        <v/>
      </c>
      <c r="X347" s="28" t="str">
        <f>IFERROR(INDEX(tblPiNAnalysis[[Health ]], MATCH(tblPiNHistorical[[#This Row],[ID]], tblPiNAnalysis[ID], 0)), "")</f>
        <v/>
      </c>
      <c r="Y347" s="28" t="str">
        <f>IFERROR(INDEX(tblPiNAnalysis[Nutrition], MATCH(tblPiNHistorical[[#This Row],[ID]], tblPiNAnalysis[ID], 0)), "")</f>
        <v/>
      </c>
      <c r="Z347" s="28" t="str">
        <f>IFERROR(INDEX(tblPiNAnalysis[Protection], MATCH(tblPiNHistorical[[#This Row],[ID]], tblPiNAnalysis[ID], 0)), "")</f>
        <v/>
      </c>
      <c r="AA347" s="28" t="str">
        <f>IFERROR(INDEX(tblPiNAnalysis[CP], MATCH(tblPiNHistorical[[#This Row],[ID]], tblPiNAnalysis[ID], 0)), "")</f>
        <v/>
      </c>
      <c r="AB347" s="83" t="str">
        <f>IFERROR(INDEX(tblPiNAnalysis[GBV], MATCH(tblPiNHistorical[[#This Row],[ID]], tblPiNAnalysis[ID], 0)), "")</f>
        <v/>
      </c>
      <c r="AC347" s="28" t="str">
        <f>IFERROR(INDEX(tblPiNAnalysis[Mine Action], MATCH(tblPiNHistorical[[#This Row],[ID]], tblPiNAnalysis[ID], 0)), "")</f>
        <v/>
      </c>
      <c r="AD347" s="83" t="str">
        <f>IFERROR(INDEX(tblPiNAnalysis[[Shelter NFI ]], MATCH(tblPiNHistorical[[#This Row],[ID]], tblPiNAnalysis[ID], 0)), "")</f>
        <v/>
      </c>
      <c r="AE347" s="28" t="str">
        <f>IFERROR(INDEX(tblPiNAnalysis[WASH], MATCH(tblPiNHistorical[[#This Row],[ID]], tblPiNAnalysis[ID], 0)), "")</f>
        <v/>
      </c>
      <c r="AF347"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347" s="136" t="str">
        <f>IF(OR(tblPiNHistorical[[#This Row],[Education Old]]="", tblPiNHistorical[[#This Row],[Education Old]]=0, tblPiNHistorical[[#This Row],[Education New]]="", tblPiNHistorical[[#This Row],[Education New]]=0), "", tblPiNHistorical[[#This Row],[Education New]]-tblPiNHistorical[[#This Row],[Education Old]])</f>
        <v/>
      </c>
      <c r="AH347"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347" s="137" t="str">
        <f>IF(OR(tblPiNHistorical[[#This Row],[Health Old]]="", tblPiNHistorical[[#This Row],[Health Old]]=0, tblPiNHistorical[[#This Row],[Health New]]="", tblPiNHistorical[[#This Row],[Health New]]=0), "", tblPiNHistorical[[#This Row],[Health New]]-tblPiNHistorical[[#This Row],[Health Old]])</f>
        <v/>
      </c>
      <c r="AJ347" s="136" t="str">
        <f>IF(OR(tblPiNHistorical[[#This Row],[Nutrition Old]]="", tblPiNHistorical[[#This Row],[Nutrition Old]]=0, tblPiNHistorical[[#This Row],[Nutrition New]]="", tblPiNHistorical[[#This Row],[Nutrition New]]=0), "", tblPiNHistorical[[#This Row],[Nutrition New]]-tblPiNHistorical[[#This Row],[Nutrition Old]])</f>
        <v/>
      </c>
      <c r="AK347" s="136" t="str">
        <f>IF(OR(tblPiNHistorical[[#This Row],[Protection Old]]="", tblPiNHistorical[[#This Row],[Protection Old]]=0, tblPiNHistorical[[#This Row],[Protection New]]="", tblPiNHistorical[[#This Row],[Protection New]]=0), "", tblPiNHistorical[[#This Row],[Protection New]]-tblPiNHistorical[[#This Row],[Protection Old]])</f>
        <v/>
      </c>
      <c r="AL347" s="136" t="str">
        <f>IF(OR(tblPiNHistorical[[#This Row],[CP Old ]]="", tblPiNHistorical[[#This Row],[CP Old ]]=0, tblPiNHistorical[[#This Row],[CP New]]="", tblPiNHistorical[[#This Row],[CP New]]=0), "", tblPiNHistorical[[#This Row],[CP New]]-tblPiNHistorical[[#This Row],[CP Old ]])</f>
        <v/>
      </c>
      <c r="AM347" s="83" t="str">
        <f>IF(OR(tblPiNHistorical[[#This Row],[GBV Old]]="", tblPiNHistorical[[#This Row],[GBV Old]]=0, tblPiNHistorical[[#This Row],[GBV New]]="", tblPiNHistorical[[#This Row],[GBV New]]=0), "", tblPiNHistorical[[#This Row],[GBV New]]-tblPiNHistorical[[#This Row],[GBV Old]])</f>
        <v/>
      </c>
      <c r="AN347" s="83" t="str">
        <f>IF(OR(tblPiNHistorical[[#This Row],[Mine Action Old]]="", tblPiNHistorical[[#This Row],[Mine Action Old]]=0, tblPiNHistorical[[#This Row],[Mine Action New]]="", tblPiNHistorical[[#This Row],[Mine Action New]]=0), "", tblPiNHistorical[[#This Row],[Mine Action New]]-tblPiNHistorical[[#This Row],[Mine Action Old]])</f>
        <v/>
      </c>
      <c r="AO347" s="136" t="str">
        <f>IF(OR(tblPiNHistorical[[#This Row],[Shelter NFI Old]]="", tblPiNHistorical[[#This Row],[Shelter NFI Old]]=0, tblPiNHistorical[[#This Row],[Shelter NFI New]]="", tblPiNHistorical[[#This Row],[Shelter NFI New]]=0), "", tblPiNHistorical[[#This Row],[Shelter NFI New]]-tblPiNHistorical[[#This Row],[Shelter NFI Old]])</f>
        <v/>
      </c>
      <c r="AP347" s="138" t="str">
        <f>IF(OR(tblPiNHistorical[[#This Row],[WASH Old]]="", tblPiNHistorical[[#This Row],[WASH Old]]=0, tblPiNHistorical[[#This Row],[WASH New]]="", tblPiNHistorical[[#This Row],[WASH New]]=0), "", tblPiNHistorical[[#This Row],[WASH New]]-tblPiNHistorical[[#This Row],[WASH Old]])</f>
        <v/>
      </c>
      <c r="AQ347" s="139" t="str">
        <f>IFERROR(ROUND((tblPiNHistorical[[#This Row],[Site Management - New]] - tblPiNHistorical[[#This Row],[Site Management - Old]])/tblPiNHistorical[[#This Row],[Site Management - Old]], 1), "")</f>
        <v/>
      </c>
      <c r="AR347" s="140" t="str">
        <f>IFERROR(ROUND((tblPiNHistorical[[#This Row],[Education New]]-tblPiNHistorical[[#This Row],[Education Old]])/tblPiNHistorical[[#This Row],[Education Old]], 1), "")</f>
        <v/>
      </c>
      <c r="AS347" s="141" t="str">
        <f>IFERROR(ROUND((tblPiNHistorical[[#This Row],[Food Security and Livlihoods New]]-tblPiNHistorical[[#This Row],[Food Security and Livlihoods Old]])/tblPiNHistorical[[#This Row],[Food Security and Livlihoods Old]], 1), "")</f>
        <v/>
      </c>
      <c r="AT347" s="142" t="str">
        <f>IFERROR(ROUND((tblPiNHistorical[[#This Row],[Health New]]-tblPiNHistorical[[#This Row],[Health Old]])/tblPiNHistorical[[#This Row],[Health Old]], 1), "")</f>
        <v/>
      </c>
      <c r="AU347" s="140" t="str">
        <f>IFERROR(ROUND((tblPiNHistorical[[#This Row],[Nutrition New]]-tblPiNHistorical[[#This Row],[Nutrition Old]])/tblPiNHistorical[[#This Row],[Nutrition Old]], 1), "")</f>
        <v/>
      </c>
      <c r="AV347" s="140" t="str">
        <f>IFERROR(ROUND((tblPiNHistorical[[#This Row],[Protection New]]-tblPiNHistorical[[#This Row],[Protection Old]])/tblPiNHistorical[[#This Row],[Protection Old]], 1), "")</f>
        <v/>
      </c>
      <c r="AW347" s="84" t="str">
        <f>IFERROR(ROUND((tblPiNHistorical[[#This Row],[CP New]]-tblPiNHistorical[[#This Row],[CP Old ]])/tblPiNHistorical[[#This Row],[CP Old ]], 1), "")</f>
        <v/>
      </c>
      <c r="AX347" s="84" t="str">
        <f>IFERROR(ROUND((tblPiNHistorical[[#This Row],[GBV New]]-tblPiNHistorical[[#This Row],[GBV Old]])/tblPiNHistorical[[#This Row],[GBV Old]], 1), "")</f>
        <v/>
      </c>
      <c r="AY347" s="84" t="str">
        <f>IFERROR(ROUND((tblPiNHistorical[[#This Row],[Mine Action New]]-tblPiNHistorical[[#This Row],[Mine Action Old]])/tblPiNHistorical[[#This Row],[Mine Action Old]], 1), "")</f>
        <v/>
      </c>
      <c r="AZ347" s="140" t="str">
        <f>IFERROR(ROUND((tblPiNHistorical[[#This Row],[Shelter NFI New]]-tblPiNHistorical[[#This Row],[Shelter NFI Old]])/tblPiNHistorical[[#This Row],[Shelter NFI Old]], 1), "")</f>
        <v/>
      </c>
      <c r="BA347" s="31" t="str">
        <f>IFERROR(ROUND((tblPiNHistorical[[#This Row],[WASH New]]-tblPiNHistorical[[#This Row],[WASH Old]])/tblPiNHistorical[[#This Row],[WASH Old]], 1), "")</f>
        <v/>
      </c>
    </row>
    <row r="348" spans="1:53" ht="38.25" x14ac:dyDescent="0.25">
      <c r="A348"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RefugeesSD07103</v>
      </c>
      <c r="B348" s="134" t="s">
        <v>188</v>
      </c>
      <c r="C348" s="124" t="s">
        <v>124</v>
      </c>
      <c r="D348" s="124" t="s">
        <v>358</v>
      </c>
      <c r="E348" s="59" t="s">
        <v>359</v>
      </c>
      <c r="F348" s="54"/>
      <c r="G348" s="29"/>
      <c r="H348" s="53">
        <v>313</v>
      </c>
      <c r="I348" s="53" t="s">
        <v>90</v>
      </c>
      <c r="J348" s="34">
        <v>0</v>
      </c>
      <c r="K348" s="116">
        <v>109</v>
      </c>
      <c r="L348" s="114">
        <v>313</v>
      </c>
      <c r="M348" s="114">
        <v>216</v>
      </c>
      <c r="N348" s="114">
        <v>28</v>
      </c>
      <c r="O348" s="114">
        <v>313</v>
      </c>
      <c r="P348" s="114">
        <v>58.844000000000001</v>
      </c>
      <c r="Q348" s="114">
        <v>177.15799999999999</v>
      </c>
      <c r="R348" s="114">
        <v>125.2</v>
      </c>
      <c r="S348" s="114">
        <v>0</v>
      </c>
      <c r="T348" s="196">
        <v>274</v>
      </c>
      <c r="U348" s="52" t="str">
        <f>IFERROR(INDEX(tblPiNAnalysis[[Site Management ]], MATCH(tblPiNHistorical[[#This Row],[ID]], tblPiNAnalysis[ID], 0)), "")</f>
        <v/>
      </c>
      <c r="V348" s="52" t="str">
        <f>IFERROR(INDEX(tblPiNAnalysis[Education], MATCH(tblPiNHistorical[[#This Row],[ID]], tblPiNAnalysis[ID], 0)), "")</f>
        <v/>
      </c>
      <c r="W348" s="28" t="str">
        <f>IFERROR(INDEX(tblPiNAnalysis[Food Security and Livlihoods], MATCH(tblPiNHistorical[[#This Row],[ID]], tblPiNAnalysis[ID], 0)), "")</f>
        <v/>
      </c>
      <c r="X348" s="28" t="str">
        <f>IFERROR(INDEX(tblPiNAnalysis[[Health ]], MATCH(tblPiNHistorical[[#This Row],[ID]], tblPiNAnalysis[ID], 0)), "")</f>
        <v/>
      </c>
      <c r="Y348" s="28" t="str">
        <f>IFERROR(INDEX(tblPiNAnalysis[Nutrition], MATCH(tblPiNHistorical[[#This Row],[ID]], tblPiNAnalysis[ID], 0)), "")</f>
        <v/>
      </c>
      <c r="Z348" s="28" t="str">
        <f>IFERROR(INDEX(tblPiNAnalysis[Protection], MATCH(tblPiNHistorical[[#This Row],[ID]], tblPiNAnalysis[ID], 0)), "")</f>
        <v/>
      </c>
      <c r="AA348" s="28" t="str">
        <f>IFERROR(INDEX(tblPiNAnalysis[CP], MATCH(tblPiNHistorical[[#This Row],[ID]], tblPiNAnalysis[ID], 0)), "")</f>
        <v/>
      </c>
      <c r="AB348" s="83" t="str">
        <f>IFERROR(INDEX(tblPiNAnalysis[GBV], MATCH(tblPiNHistorical[[#This Row],[ID]], tblPiNAnalysis[ID], 0)), "")</f>
        <v/>
      </c>
      <c r="AC348" s="28" t="str">
        <f>IFERROR(INDEX(tblPiNAnalysis[Mine Action], MATCH(tblPiNHistorical[[#This Row],[ID]], tblPiNAnalysis[ID], 0)), "")</f>
        <v/>
      </c>
      <c r="AD348" s="83" t="str">
        <f>IFERROR(INDEX(tblPiNAnalysis[[Shelter NFI ]], MATCH(tblPiNHistorical[[#This Row],[ID]], tblPiNAnalysis[ID], 0)), "")</f>
        <v/>
      </c>
      <c r="AE348" s="28" t="str">
        <f>IFERROR(INDEX(tblPiNAnalysis[WASH], MATCH(tblPiNHistorical[[#This Row],[ID]], tblPiNAnalysis[ID], 0)), "")</f>
        <v/>
      </c>
      <c r="AF348"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348" s="136" t="str">
        <f>IF(OR(tblPiNHistorical[[#This Row],[Education Old]]="", tblPiNHistorical[[#This Row],[Education Old]]=0, tblPiNHistorical[[#This Row],[Education New]]="", tblPiNHistorical[[#This Row],[Education New]]=0), "", tblPiNHistorical[[#This Row],[Education New]]-tblPiNHistorical[[#This Row],[Education Old]])</f>
        <v/>
      </c>
      <c r="AH348"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348" s="137" t="str">
        <f>IF(OR(tblPiNHistorical[[#This Row],[Health Old]]="", tblPiNHistorical[[#This Row],[Health Old]]=0, tblPiNHistorical[[#This Row],[Health New]]="", tblPiNHistorical[[#This Row],[Health New]]=0), "", tblPiNHistorical[[#This Row],[Health New]]-tblPiNHistorical[[#This Row],[Health Old]])</f>
        <v/>
      </c>
      <c r="AJ348" s="136" t="str">
        <f>IF(OR(tblPiNHistorical[[#This Row],[Nutrition Old]]="", tblPiNHistorical[[#This Row],[Nutrition Old]]=0, tblPiNHistorical[[#This Row],[Nutrition New]]="", tblPiNHistorical[[#This Row],[Nutrition New]]=0), "", tblPiNHistorical[[#This Row],[Nutrition New]]-tblPiNHistorical[[#This Row],[Nutrition Old]])</f>
        <v/>
      </c>
      <c r="AK348" s="136" t="str">
        <f>IF(OR(tblPiNHistorical[[#This Row],[Protection Old]]="", tblPiNHistorical[[#This Row],[Protection Old]]=0, tblPiNHistorical[[#This Row],[Protection New]]="", tblPiNHistorical[[#This Row],[Protection New]]=0), "", tblPiNHistorical[[#This Row],[Protection New]]-tblPiNHistorical[[#This Row],[Protection Old]])</f>
        <v/>
      </c>
      <c r="AL348" s="136" t="str">
        <f>IF(OR(tblPiNHistorical[[#This Row],[CP Old ]]="", tblPiNHistorical[[#This Row],[CP Old ]]=0, tblPiNHistorical[[#This Row],[CP New]]="", tblPiNHistorical[[#This Row],[CP New]]=0), "", tblPiNHistorical[[#This Row],[CP New]]-tblPiNHistorical[[#This Row],[CP Old ]])</f>
        <v/>
      </c>
      <c r="AM348" s="83" t="str">
        <f>IF(OR(tblPiNHistorical[[#This Row],[GBV Old]]="", tblPiNHistorical[[#This Row],[GBV Old]]=0, tblPiNHistorical[[#This Row],[GBV New]]="", tblPiNHistorical[[#This Row],[GBV New]]=0), "", tblPiNHistorical[[#This Row],[GBV New]]-tblPiNHistorical[[#This Row],[GBV Old]])</f>
        <v/>
      </c>
      <c r="AN348" s="83" t="str">
        <f>IF(OR(tblPiNHistorical[[#This Row],[Mine Action Old]]="", tblPiNHistorical[[#This Row],[Mine Action Old]]=0, tblPiNHistorical[[#This Row],[Mine Action New]]="", tblPiNHistorical[[#This Row],[Mine Action New]]=0), "", tblPiNHistorical[[#This Row],[Mine Action New]]-tblPiNHistorical[[#This Row],[Mine Action Old]])</f>
        <v/>
      </c>
      <c r="AO348" s="136" t="str">
        <f>IF(OR(tblPiNHistorical[[#This Row],[Shelter NFI Old]]="", tblPiNHistorical[[#This Row],[Shelter NFI Old]]=0, tblPiNHistorical[[#This Row],[Shelter NFI New]]="", tblPiNHistorical[[#This Row],[Shelter NFI New]]=0), "", tblPiNHistorical[[#This Row],[Shelter NFI New]]-tblPiNHistorical[[#This Row],[Shelter NFI Old]])</f>
        <v/>
      </c>
      <c r="AP348" s="138" t="str">
        <f>IF(OR(tblPiNHistorical[[#This Row],[WASH Old]]="", tblPiNHistorical[[#This Row],[WASH Old]]=0, tblPiNHistorical[[#This Row],[WASH New]]="", tblPiNHistorical[[#This Row],[WASH New]]=0), "", tblPiNHistorical[[#This Row],[WASH New]]-tblPiNHistorical[[#This Row],[WASH Old]])</f>
        <v/>
      </c>
      <c r="AQ348" s="139" t="str">
        <f>IFERROR(ROUND((tblPiNHistorical[[#This Row],[Site Management - New]] - tblPiNHistorical[[#This Row],[Site Management - Old]])/tblPiNHistorical[[#This Row],[Site Management - Old]], 1), "")</f>
        <v/>
      </c>
      <c r="AR348" s="140" t="str">
        <f>IFERROR(ROUND((tblPiNHistorical[[#This Row],[Education New]]-tblPiNHistorical[[#This Row],[Education Old]])/tblPiNHistorical[[#This Row],[Education Old]], 1), "")</f>
        <v/>
      </c>
      <c r="AS348" s="141" t="str">
        <f>IFERROR(ROUND((tblPiNHistorical[[#This Row],[Food Security and Livlihoods New]]-tblPiNHistorical[[#This Row],[Food Security and Livlihoods Old]])/tblPiNHistorical[[#This Row],[Food Security and Livlihoods Old]], 1), "")</f>
        <v/>
      </c>
      <c r="AT348" s="142" t="str">
        <f>IFERROR(ROUND((tblPiNHistorical[[#This Row],[Health New]]-tblPiNHistorical[[#This Row],[Health Old]])/tblPiNHistorical[[#This Row],[Health Old]], 1), "")</f>
        <v/>
      </c>
      <c r="AU348" s="140" t="str">
        <f>IFERROR(ROUND((tblPiNHistorical[[#This Row],[Nutrition New]]-tblPiNHistorical[[#This Row],[Nutrition Old]])/tblPiNHistorical[[#This Row],[Nutrition Old]], 1), "")</f>
        <v/>
      </c>
      <c r="AV348" s="140" t="str">
        <f>IFERROR(ROUND((tblPiNHistorical[[#This Row],[Protection New]]-tblPiNHistorical[[#This Row],[Protection Old]])/tblPiNHistorical[[#This Row],[Protection Old]], 1), "")</f>
        <v/>
      </c>
      <c r="AW348" s="84" t="str">
        <f>IFERROR(ROUND((tblPiNHistorical[[#This Row],[CP New]]-tblPiNHistorical[[#This Row],[CP Old ]])/tblPiNHistorical[[#This Row],[CP Old ]], 1), "")</f>
        <v/>
      </c>
      <c r="AX348" s="84" t="str">
        <f>IFERROR(ROUND((tblPiNHistorical[[#This Row],[GBV New]]-tblPiNHistorical[[#This Row],[GBV Old]])/tblPiNHistorical[[#This Row],[GBV Old]], 1), "")</f>
        <v/>
      </c>
      <c r="AY348" s="84" t="str">
        <f>IFERROR(ROUND((tblPiNHistorical[[#This Row],[Mine Action New]]-tblPiNHistorical[[#This Row],[Mine Action Old]])/tblPiNHistorical[[#This Row],[Mine Action Old]], 1), "")</f>
        <v/>
      </c>
      <c r="AZ348" s="140" t="str">
        <f>IFERROR(ROUND((tblPiNHistorical[[#This Row],[Shelter NFI New]]-tblPiNHistorical[[#This Row],[Shelter NFI Old]])/tblPiNHistorical[[#This Row],[Shelter NFI Old]], 1), "")</f>
        <v/>
      </c>
      <c r="BA348" s="31" t="str">
        <f>IFERROR(ROUND((tblPiNHistorical[[#This Row],[WASH New]]-tblPiNHistorical[[#This Row],[WASH Old]])/tblPiNHistorical[[#This Row],[WASH Old]], 1), "")</f>
        <v/>
      </c>
    </row>
    <row r="349" spans="1:53" ht="38.25" x14ac:dyDescent="0.25">
      <c r="A349"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RefugeesSD07096</v>
      </c>
      <c r="B349" s="134" t="s">
        <v>188</v>
      </c>
      <c r="C349" s="124" t="s">
        <v>124</v>
      </c>
      <c r="D349" s="124" t="s">
        <v>350</v>
      </c>
      <c r="E349" s="59" t="s">
        <v>351</v>
      </c>
      <c r="F349" s="54"/>
      <c r="G349" s="29"/>
      <c r="H349" s="53">
        <v>0</v>
      </c>
      <c r="I349" s="53" t="s">
        <v>90</v>
      </c>
      <c r="J349" s="34">
        <v>0</v>
      </c>
      <c r="K349" s="116">
        <v>0</v>
      </c>
      <c r="L349" s="114">
        <v>0</v>
      </c>
      <c r="M349" s="114">
        <v>0</v>
      </c>
      <c r="N349" s="114">
        <v>0</v>
      </c>
      <c r="O349" s="114">
        <v>0</v>
      </c>
      <c r="P349" s="114">
        <v>0</v>
      </c>
      <c r="Q349" s="114">
        <v>0</v>
      </c>
      <c r="R349" s="114">
        <v>0</v>
      </c>
      <c r="S349" s="114">
        <v>0</v>
      </c>
      <c r="T349" s="196">
        <v>0</v>
      </c>
      <c r="U349" s="52" t="str">
        <f>IFERROR(INDEX(tblPiNAnalysis[[Site Management ]], MATCH(tblPiNHistorical[[#This Row],[ID]], tblPiNAnalysis[ID], 0)), "")</f>
        <v/>
      </c>
      <c r="V349" s="52" t="str">
        <f>IFERROR(INDEX(tblPiNAnalysis[Education], MATCH(tblPiNHistorical[[#This Row],[ID]], tblPiNAnalysis[ID], 0)), "")</f>
        <v/>
      </c>
      <c r="W349" s="28" t="str">
        <f>IFERROR(INDEX(tblPiNAnalysis[Food Security and Livlihoods], MATCH(tblPiNHistorical[[#This Row],[ID]], tblPiNAnalysis[ID], 0)), "")</f>
        <v/>
      </c>
      <c r="X349" s="28" t="str">
        <f>IFERROR(INDEX(tblPiNAnalysis[[Health ]], MATCH(tblPiNHistorical[[#This Row],[ID]], tblPiNAnalysis[ID], 0)), "")</f>
        <v/>
      </c>
      <c r="Y349" s="28" t="str">
        <f>IFERROR(INDEX(tblPiNAnalysis[Nutrition], MATCH(tblPiNHistorical[[#This Row],[ID]], tblPiNAnalysis[ID], 0)), "")</f>
        <v/>
      </c>
      <c r="Z349" s="28" t="str">
        <f>IFERROR(INDEX(tblPiNAnalysis[Protection], MATCH(tblPiNHistorical[[#This Row],[ID]], tblPiNAnalysis[ID], 0)), "")</f>
        <v/>
      </c>
      <c r="AA349" s="28" t="str">
        <f>IFERROR(INDEX(tblPiNAnalysis[CP], MATCH(tblPiNHistorical[[#This Row],[ID]], tblPiNAnalysis[ID], 0)), "")</f>
        <v/>
      </c>
      <c r="AB349" s="83" t="str">
        <f>IFERROR(INDEX(tblPiNAnalysis[GBV], MATCH(tblPiNHistorical[[#This Row],[ID]], tblPiNAnalysis[ID], 0)), "")</f>
        <v/>
      </c>
      <c r="AC349" s="28" t="str">
        <f>IFERROR(INDEX(tblPiNAnalysis[Mine Action], MATCH(tblPiNHistorical[[#This Row],[ID]], tblPiNAnalysis[ID], 0)), "")</f>
        <v/>
      </c>
      <c r="AD349" s="83" t="str">
        <f>IFERROR(INDEX(tblPiNAnalysis[[Shelter NFI ]], MATCH(tblPiNHistorical[[#This Row],[ID]], tblPiNAnalysis[ID], 0)), "")</f>
        <v/>
      </c>
      <c r="AE349" s="28" t="str">
        <f>IFERROR(INDEX(tblPiNAnalysis[WASH], MATCH(tblPiNHistorical[[#This Row],[ID]], tblPiNAnalysis[ID], 0)), "")</f>
        <v/>
      </c>
      <c r="AF349"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349" s="136" t="str">
        <f>IF(OR(tblPiNHistorical[[#This Row],[Education Old]]="", tblPiNHistorical[[#This Row],[Education Old]]=0, tblPiNHistorical[[#This Row],[Education New]]="", tblPiNHistorical[[#This Row],[Education New]]=0), "", tblPiNHistorical[[#This Row],[Education New]]-tblPiNHistorical[[#This Row],[Education Old]])</f>
        <v/>
      </c>
      <c r="AH349"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349" s="137" t="str">
        <f>IF(OR(tblPiNHistorical[[#This Row],[Health Old]]="", tblPiNHistorical[[#This Row],[Health Old]]=0, tblPiNHistorical[[#This Row],[Health New]]="", tblPiNHistorical[[#This Row],[Health New]]=0), "", tblPiNHistorical[[#This Row],[Health New]]-tblPiNHistorical[[#This Row],[Health Old]])</f>
        <v/>
      </c>
      <c r="AJ349" s="136" t="str">
        <f>IF(OR(tblPiNHistorical[[#This Row],[Nutrition Old]]="", tblPiNHistorical[[#This Row],[Nutrition Old]]=0, tblPiNHistorical[[#This Row],[Nutrition New]]="", tblPiNHistorical[[#This Row],[Nutrition New]]=0), "", tblPiNHistorical[[#This Row],[Nutrition New]]-tblPiNHistorical[[#This Row],[Nutrition Old]])</f>
        <v/>
      </c>
      <c r="AK349" s="136" t="str">
        <f>IF(OR(tblPiNHistorical[[#This Row],[Protection Old]]="", tblPiNHistorical[[#This Row],[Protection Old]]=0, tblPiNHistorical[[#This Row],[Protection New]]="", tblPiNHistorical[[#This Row],[Protection New]]=0), "", tblPiNHistorical[[#This Row],[Protection New]]-tblPiNHistorical[[#This Row],[Protection Old]])</f>
        <v/>
      </c>
      <c r="AL349" s="136" t="str">
        <f>IF(OR(tblPiNHistorical[[#This Row],[CP Old ]]="", tblPiNHistorical[[#This Row],[CP Old ]]=0, tblPiNHistorical[[#This Row],[CP New]]="", tblPiNHistorical[[#This Row],[CP New]]=0), "", tblPiNHistorical[[#This Row],[CP New]]-tblPiNHistorical[[#This Row],[CP Old ]])</f>
        <v/>
      </c>
      <c r="AM349" s="83" t="str">
        <f>IF(OR(tblPiNHistorical[[#This Row],[GBV Old]]="", tblPiNHistorical[[#This Row],[GBV Old]]=0, tblPiNHistorical[[#This Row],[GBV New]]="", tblPiNHistorical[[#This Row],[GBV New]]=0), "", tblPiNHistorical[[#This Row],[GBV New]]-tblPiNHistorical[[#This Row],[GBV Old]])</f>
        <v/>
      </c>
      <c r="AN349" s="83" t="str">
        <f>IF(OR(tblPiNHistorical[[#This Row],[Mine Action Old]]="", tblPiNHistorical[[#This Row],[Mine Action Old]]=0, tblPiNHistorical[[#This Row],[Mine Action New]]="", tblPiNHistorical[[#This Row],[Mine Action New]]=0), "", tblPiNHistorical[[#This Row],[Mine Action New]]-tblPiNHistorical[[#This Row],[Mine Action Old]])</f>
        <v/>
      </c>
      <c r="AO349" s="136" t="str">
        <f>IF(OR(tblPiNHistorical[[#This Row],[Shelter NFI Old]]="", tblPiNHistorical[[#This Row],[Shelter NFI Old]]=0, tblPiNHistorical[[#This Row],[Shelter NFI New]]="", tblPiNHistorical[[#This Row],[Shelter NFI New]]=0), "", tblPiNHistorical[[#This Row],[Shelter NFI New]]-tblPiNHistorical[[#This Row],[Shelter NFI Old]])</f>
        <v/>
      </c>
      <c r="AP349" s="138" t="str">
        <f>IF(OR(tblPiNHistorical[[#This Row],[WASH Old]]="", tblPiNHistorical[[#This Row],[WASH Old]]=0, tblPiNHistorical[[#This Row],[WASH New]]="", tblPiNHistorical[[#This Row],[WASH New]]=0), "", tblPiNHistorical[[#This Row],[WASH New]]-tblPiNHistorical[[#This Row],[WASH Old]])</f>
        <v/>
      </c>
      <c r="AQ349" s="139" t="str">
        <f>IFERROR(ROUND((tblPiNHistorical[[#This Row],[Site Management - New]] - tblPiNHistorical[[#This Row],[Site Management - Old]])/tblPiNHistorical[[#This Row],[Site Management - Old]], 1), "")</f>
        <v/>
      </c>
      <c r="AR349" s="140" t="str">
        <f>IFERROR(ROUND((tblPiNHistorical[[#This Row],[Education New]]-tblPiNHistorical[[#This Row],[Education Old]])/tblPiNHistorical[[#This Row],[Education Old]], 1), "")</f>
        <v/>
      </c>
      <c r="AS349" s="141" t="str">
        <f>IFERROR(ROUND((tblPiNHistorical[[#This Row],[Food Security and Livlihoods New]]-tblPiNHistorical[[#This Row],[Food Security and Livlihoods Old]])/tblPiNHistorical[[#This Row],[Food Security and Livlihoods Old]], 1), "")</f>
        <v/>
      </c>
      <c r="AT349" s="142" t="str">
        <f>IFERROR(ROUND((tblPiNHistorical[[#This Row],[Health New]]-tblPiNHistorical[[#This Row],[Health Old]])/tblPiNHistorical[[#This Row],[Health Old]], 1), "")</f>
        <v/>
      </c>
      <c r="AU349" s="140" t="str">
        <f>IFERROR(ROUND((tblPiNHistorical[[#This Row],[Nutrition New]]-tblPiNHistorical[[#This Row],[Nutrition Old]])/tblPiNHistorical[[#This Row],[Nutrition Old]], 1), "")</f>
        <v/>
      </c>
      <c r="AV349" s="140" t="str">
        <f>IFERROR(ROUND((tblPiNHistorical[[#This Row],[Protection New]]-tblPiNHistorical[[#This Row],[Protection Old]])/tblPiNHistorical[[#This Row],[Protection Old]], 1), "")</f>
        <v/>
      </c>
      <c r="AW349" s="84" t="str">
        <f>IFERROR(ROUND((tblPiNHistorical[[#This Row],[CP New]]-tblPiNHistorical[[#This Row],[CP Old ]])/tblPiNHistorical[[#This Row],[CP Old ]], 1), "")</f>
        <v/>
      </c>
      <c r="AX349" s="84" t="str">
        <f>IFERROR(ROUND((tblPiNHistorical[[#This Row],[GBV New]]-tblPiNHistorical[[#This Row],[GBV Old]])/tblPiNHistorical[[#This Row],[GBV Old]], 1), "")</f>
        <v/>
      </c>
      <c r="AY349" s="84" t="str">
        <f>IFERROR(ROUND((tblPiNHistorical[[#This Row],[Mine Action New]]-tblPiNHistorical[[#This Row],[Mine Action Old]])/tblPiNHistorical[[#This Row],[Mine Action Old]], 1), "")</f>
        <v/>
      </c>
      <c r="AZ349" s="140" t="str">
        <f>IFERROR(ROUND((tblPiNHistorical[[#This Row],[Shelter NFI New]]-tblPiNHistorical[[#This Row],[Shelter NFI Old]])/tblPiNHistorical[[#This Row],[Shelter NFI Old]], 1), "")</f>
        <v/>
      </c>
      <c r="BA349" s="31" t="str">
        <f>IFERROR(ROUND((tblPiNHistorical[[#This Row],[WASH New]]-tblPiNHistorical[[#This Row],[WASH Old]])/tblPiNHistorical[[#This Row],[WASH Old]], 1), "")</f>
        <v/>
      </c>
    </row>
    <row r="350" spans="1:53" ht="38.25" x14ac:dyDescent="0.25">
      <c r="A350"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RefugeesSD07098</v>
      </c>
      <c r="B350" s="134" t="s">
        <v>188</v>
      </c>
      <c r="C350" s="124" t="s">
        <v>124</v>
      </c>
      <c r="D350" s="124" t="s">
        <v>354</v>
      </c>
      <c r="E350" s="59" t="s">
        <v>355</v>
      </c>
      <c r="F350" s="54"/>
      <c r="G350" s="29"/>
      <c r="H350" s="53">
        <v>2296</v>
      </c>
      <c r="I350" s="53" t="s">
        <v>90</v>
      </c>
      <c r="J350" s="34">
        <v>0</v>
      </c>
      <c r="K350" s="116">
        <v>958</v>
      </c>
      <c r="L350" s="114">
        <v>2296</v>
      </c>
      <c r="M350" s="114">
        <v>1584</v>
      </c>
      <c r="N350" s="114">
        <v>210</v>
      </c>
      <c r="O350" s="114">
        <v>2296</v>
      </c>
      <c r="P350" s="114">
        <v>606.14400000000001</v>
      </c>
      <c r="Q350" s="114">
        <v>1028.6079999999999</v>
      </c>
      <c r="R350" s="114">
        <v>918.40000000000009</v>
      </c>
      <c r="S350" s="114">
        <v>1378</v>
      </c>
      <c r="T350" s="196">
        <v>1608</v>
      </c>
      <c r="U350" s="52" t="str">
        <f>IFERROR(INDEX(tblPiNAnalysis[[Site Management ]], MATCH(tblPiNHistorical[[#This Row],[ID]], tblPiNAnalysis[ID], 0)), "")</f>
        <v/>
      </c>
      <c r="V350" s="52" t="str">
        <f>IFERROR(INDEX(tblPiNAnalysis[Education], MATCH(tblPiNHistorical[[#This Row],[ID]], tblPiNAnalysis[ID], 0)), "")</f>
        <v/>
      </c>
      <c r="W350" s="28" t="str">
        <f>IFERROR(INDEX(tblPiNAnalysis[Food Security and Livlihoods], MATCH(tblPiNHistorical[[#This Row],[ID]], tblPiNAnalysis[ID], 0)), "")</f>
        <v/>
      </c>
      <c r="X350" s="28" t="str">
        <f>IFERROR(INDEX(tblPiNAnalysis[[Health ]], MATCH(tblPiNHistorical[[#This Row],[ID]], tblPiNAnalysis[ID], 0)), "")</f>
        <v/>
      </c>
      <c r="Y350" s="28" t="str">
        <f>IFERROR(INDEX(tblPiNAnalysis[Nutrition], MATCH(tblPiNHistorical[[#This Row],[ID]], tblPiNAnalysis[ID], 0)), "")</f>
        <v/>
      </c>
      <c r="Z350" s="28" t="str">
        <f>IFERROR(INDEX(tblPiNAnalysis[Protection], MATCH(tblPiNHistorical[[#This Row],[ID]], tblPiNAnalysis[ID], 0)), "")</f>
        <v/>
      </c>
      <c r="AA350" s="28" t="str">
        <f>IFERROR(INDEX(tblPiNAnalysis[CP], MATCH(tblPiNHistorical[[#This Row],[ID]], tblPiNAnalysis[ID], 0)), "")</f>
        <v/>
      </c>
      <c r="AB350" s="83" t="str">
        <f>IFERROR(INDEX(tblPiNAnalysis[GBV], MATCH(tblPiNHistorical[[#This Row],[ID]], tblPiNAnalysis[ID], 0)), "")</f>
        <v/>
      </c>
      <c r="AC350" s="28" t="str">
        <f>IFERROR(INDEX(tblPiNAnalysis[Mine Action], MATCH(tblPiNHistorical[[#This Row],[ID]], tblPiNAnalysis[ID], 0)), "")</f>
        <v/>
      </c>
      <c r="AD350" s="83" t="str">
        <f>IFERROR(INDEX(tblPiNAnalysis[[Shelter NFI ]], MATCH(tblPiNHistorical[[#This Row],[ID]], tblPiNAnalysis[ID], 0)), "")</f>
        <v/>
      </c>
      <c r="AE350" s="28" t="str">
        <f>IFERROR(INDEX(tblPiNAnalysis[WASH], MATCH(tblPiNHistorical[[#This Row],[ID]], tblPiNAnalysis[ID], 0)), "")</f>
        <v/>
      </c>
      <c r="AF350"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350" s="136" t="str">
        <f>IF(OR(tblPiNHistorical[[#This Row],[Education Old]]="", tblPiNHistorical[[#This Row],[Education Old]]=0, tblPiNHistorical[[#This Row],[Education New]]="", tblPiNHistorical[[#This Row],[Education New]]=0), "", tblPiNHistorical[[#This Row],[Education New]]-tblPiNHistorical[[#This Row],[Education Old]])</f>
        <v/>
      </c>
      <c r="AH350"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350" s="137" t="str">
        <f>IF(OR(tblPiNHistorical[[#This Row],[Health Old]]="", tblPiNHistorical[[#This Row],[Health Old]]=0, tblPiNHistorical[[#This Row],[Health New]]="", tblPiNHistorical[[#This Row],[Health New]]=0), "", tblPiNHistorical[[#This Row],[Health New]]-tblPiNHistorical[[#This Row],[Health Old]])</f>
        <v/>
      </c>
      <c r="AJ350" s="136" t="str">
        <f>IF(OR(tblPiNHistorical[[#This Row],[Nutrition Old]]="", tblPiNHistorical[[#This Row],[Nutrition Old]]=0, tblPiNHistorical[[#This Row],[Nutrition New]]="", tblPiNHistorical[[#This Row],[Nutrition New]]=0), "", tblPiNHistorical[[#This Row],[Nutrition New]]-tblPiNHistorical[[#This Row],[Nutrition Old]])</f>
        <v/>
      </c>
      <c r="AK350" s="136" t="str">
        <f>IF(OR(tblPiNHistorical[[#This Row],[Protection Old]]="", tblPiNHistorical[[#This Row],[Protection Old]]=0, tblPiNHistorical[[#This Row],[Protection New]]="", tblPiNHistorical[[#This Row],[Protection New]]=0), "", tblPiNHistorical[[#This Row],[Protection New]]-tblPiNHistorical[[#This Row],[Protection Old]])</f>
        <v/>
      </c>
      <c r="AL350" s="136" t="str">
        <f>IF(OR(tblPiNHistorical[[#This Row],[CP Old ]]="", tblPiNHistorical[[#This Row],[CP Old ]]=0, tblPiNHistorical[[#This Row],[CP New]]="", tblPiNHistorical[[#This Row],[CP New]]=0), "", tblPiNHistorical[[#This Row],[CP New]]-tblPiNHistorical[[#This Row],[CP Old ]])</f>
        <v/>
      </c>
      <c r="AM350" s="83" t="str">
        <f>IF(OR(tblPiNHistorical[[#This Row],[GBV Old]]="", tblPiNHistorical[[#This Row],[GBV Old]]=0, tblPiNHistorical[[#This Row],[GBV New]]="", tblPiNHistorical[[#This Row],[GBV New]]=0), "", tblPiNHistorical[[#This Row],[GBV New]]-tblPiNHistorical[[#This Row],[GBV Old]])</f>
        <v/>
      </c>
      <c r="AN350" s="83" t="str">
        <f>IF(OR(tblPiNHistorical[[#This Row],[Mine Action Old]]="", tblPiNHistorical[[#This Row],[Mine Action Old]]=0, tblPiNHistorical[[#This Row],[Mine Action New]]="", tblPiNHistorical[[#This Row],[Mine Action New]]=0), "", tblPiNHistorical[[#This Row],[Mine Action New]]-tblPiNHistorical[[#This Row],[Mine Action Old]])</f>
        <v/>
      </c>
      <c r="AO350" s="136" t="str">
        <f>IF(OR(tblPiNHistorical[[#This Row],[Shelter NFI Old]]="", tblPiNHistorical[[#This Row],[Shelter NFI Old]]=0, tblPiNHistorical[[#This Row],[Shelter NFI New]]="", tblPiNHistorical[[#This Row],[Shelter NFI New]]=0), "", tblPiNHistorical[[#This Row],[Shelter NFI New]]-tblPiNHistorical[[#This Row],[Shelter NFI Old]])</f>
        <v/>
      </c>
      <c r="AP350" s="138" t="str">
        <f>IF(OR(tblPiNHistorical[[#This Row],[WASH Old]]="", tblPiNHistorical[[#This Row],[WASH Old]]=0, tblPiNHistorical[[#This Row],[WASH New]]="", tblPiNHistorical[[#This Row],[WASH New]]=0), "", tblPiNHistorical[[#This Row],[WASH New]]-tblPiNHistorical[[#This Row],[WASH Old]])</f>
        <v/>
      </c>
      <c r="AQ350" s="139" t="str">
        <f>IFERROR(ROUND((tblPiNHistorical[[#This Row],[Site Management - New]] - tblPiNHistorical[[#This Row],[Site Management - Old]])/tblPiNHistorical[[#This Row],[Site Management - Old]], 1), "")</f>
        <v/>
      </c>
      <c r="AR350" s="140" t="str">
        <f>IFERROR(ROUND((tblPiNHistorical[[#This Row],[Education New]]-tblPiNHistorical[[#This Row],[Education Old]])/tblPiNHistorical[[#This Row],[Education Old]], 1), "")</f>
        <v/>
      </c>
      <c r="AS350" s="141" t="str">
        <f>IFERROR(ROUND((tblPiNHistorical[[#This Row],[Food Security and Livlihoods New]]-tblPiNHistorical[[#This Row],[Food Security and Livlihoods Old]])/tblPiNHistorical[[#This Row],[Food Security and Livlihoods Old]], 1), "")</f>
        <v/>
      </c>
      <c r="AT350" s="142" t="str">
        <f>IFERROR(ROUND((tblPiNHistorical[[#This Row],[Health New]]-tblPiNHistorical[[#This Row],[Health Old]])/tblPiNHistorical[[#This Row],[Health Old]], 1), "")</f>
        <v/>
      </c>
      <c r="AU350" s="140" t="str">
        <f>IFERROR(ROUND((tblPiNHistorical[[#This Row],[Nutrition New]]-tblPiNHistorical[[#This Row],[Nutrition Old]])/tblPiNHistorical[[#This Row],[Nutrition Old]], 1), "")</f>
        <v/>
      </c>
      <c r="AV350" s="140" t="str">
        <f>IFERROR(ROUND((tblPiNHistorical[[#This Row],[Protection New]]-tblPiNHistorical[[#This Row],[Protection Old]])/tblPiNHistorical[[#This Row],[Protection Old]], 1), "")</f>
        <v/>
      </c>
      <c r="AW350" s="84" t="str">
        <f>IFERROR(ROUND((tblPiNHistorical[[#This Row],[CP New]]-tblPiNHistorical[[#This Row],[CP Old ]])/tblPiNHistorical[[#This Row],[CP Old ]], 1), "")</f>
        <v/>
      </c>
      <c r="AX350" s="84" t="str">
        <f>IFERROR(ROUND((tblPiNHistorical[[#This Row],[GBV New]]-tblPiNHistorical[[#This Row],[GBV Old]])/tblPiNHistorical[[#This Row],[GBV Old]], 1), "")</f>
        <v/>
      </c>
      <c r="AY350" s="84" t="str">
        <f>IFERROR(ROUND((tblPiNHistorical[[#This Row],[Mine Action New]]-tblPiNHistorical[[#This Row],[Mine Action Old]])/tblPiNHistorical[[#This Row],[Mine Action Old]], 1), "")</f>
        <v/>
      </c>
      <c r="AZ350" s="140" t="str">
        <f>IFERROR(ROUND((tblPiNHistorical[[#This Row],[Shelter NFI New]]-tblPiNHistorical[[#This Row],[Shelter NFI Old]])/tblPiNHistorical[[#This Row],[Shelter NFI Old]], 1), "")</f>
        <v/>
      </c>
      <c r="BA350" s="31" t="str">
        <f>IFERROR(ROUND((tblPiNHistorical[[#This Row],[WASH New]]-tblPiNHistorical[[#This Row],[WASH Old]])/tblPiNHistorical[[#This Row],[WASH Old]], 1), "")</f>
        <v/>
      </c>
    </row>
    <row r="351" spans="1:53" ht="38.25" x14ac:dyDescent="0.25">
      <c r="A351"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RefugeesSD07089</v>
      </c>
      <c r="B351" s="134" t="s">
        <v>188</v>
      </c>
      <c r="C351" s="124" t="s">
        <v>124</v>
      </c>
      <c r="D351" s="124" t="s">
        <v>338</v>
      </c>
      <c r="E351" s="59" t="s">
        <v>339</v>
      </c>
      <c r="F351" s="54"/>
      <c r="G351" s="29"/>
      <c r="H351" s="53">
        <v>0</v>
      </c>
      <c r="I351" s="53" t="s">
        <v>90</v>
      </c>
      <c r="J351" s="34">
        <v>0</v>
      </c>
      <c r="K351" s="116">
        <v>0</v>
      </c>
      <c r="L351" s="114">
        <v>0</v>
      </c>
      <c r="M351" s="114">
        <v>0</v>
      </c>
      <c r="N351" s="114">
        <v>0</v>
      </c>
      <c r="O351" s="114">
        <v>0</v>
      </c>
      <c r="P351" s="114">
        <v>0</v>
      </c>
      <c r="Q351" s="114">
        <v>0</v>
      </c>
      <c r="R351" s="114">
        <v>0</v>
      </c>
      <c r="S351" s="114">
        <v>0</v>
      </c>
      <c r="T351" s="196">
        <v>0</v>
      </c>
      <c r="U351" s="52" t="str">
        <f>IFERROR(INDEX(tblPiNAnalysis[[Site Management ]], MATCH(tblPiNHistorical[[#This Row],[ID]], tblPiNAnalysis[ID], 0)), "")</f>
        <v/>
      </c>
      <c r="V351" s="52" t="str">
        <f>IFERROR(INDEX(tblPiNAnalysis[Education], MATCH(tblPiNHistorical[[#This Row],[ID]], tblPiNAnalysis[ID], 0)), "")</f>
        <v/>
      </c>
      <c r="W351" s="28" t="str">
        <f>IFERROR(INDEX(tblPiNAnalysis[Food Security and Livlihoods], MATCH(tblPiNHistorical[[#This Row],[ID]], tblPiNAnalysis[ID], 0)), "")</f>
        <v/>
      </c>
      <c r="X351" s="28" t="str">
        <f>IFERROR(INDEX(tblPiNAnalysis[[Health ]], MATCH(tblPiNHistorical[[#This Row],[ID]], tblPiNAnalysis[ID], 0)), "")</f>
        <v/>
      </c>
      <c r="Y351" s="28" t="str">
        <f>IFERROR(INDEX(tblPiNAnalysis[Nutrition], MATCH(tblPiNHistorical[[#This Row],[ID]], tblPiNAnalysis[ID], 0)), "")</f>
        <v/>
      </c>
      <c r="Z351" s="28" t="str">
        <f>IFERROR(INDEX(tblPiNAnalysis[Protection], MATCH(tblPiNHistorical[[#This Row],[ID]], tblPiNAnalysis[ID], 0)), "")</f>
        <v/>
      </c>
      <c r="AA351" s="28" t="str">
        <f>IFERROR(INDEX(tblPiNAnalysis[CP], MATCH(tblPiNHistorical[[#This Row],[ID]], tblPiNAnalysis[ID], 0)), "")</f>
        <v/>
      </c>
      <c r="AB351" s="83" t="str">
        <f>IFERROR(INDEX(tblPiNAnalysis[GBV], MATCH(tblPiNHistorical[[#This Row],[ID]], tblPiNAnalysis[ID], 0)), "")</f>
        <v/>
      </c>
      <c r="AC351" s="28" t="str">
        <f>IFERROR(INDEX(tblPiNAnalysis[Mine Action], MATCH(tblPiNHistorical[[#This Row],[ID]], tblPiNAnalysis[ID], 0)), "")</f>
        <v/>
      </c>
      <c r="AD351" s="83" t="str">
        <f>IFERROR(INDEX(tblPiNAnalysis[[Shelter NFI ]], MATCH(tblPiNHistorical[[#This Row],[ID]], tblPiNAnalysis[ID], 0)), "")</f>
        <v/>
      </c>
      <c r="AE351" s="28" t="str">
        <f>IFERROR(INDEX(tblPiNAnalysis[WASH], MATCH(tblPiNHistorical[[#This Row],[ID]], tblPiNAnalysis[ID], 0)), "")</f>
        <v/>
      </c>
      <c r="AF351"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351" s="136" t="str">
        <f>IF(OR(tblPiNHistorical[[#This Row],[Education Old]]="", tblPiNHistorical[[#This Row],[Education Old]]=0, tblPiNHistorical[[#This Row],[Education New]]="", tblPiNHistorical[[#This Row],[Education New]]=0), "", tblPiNHistorical[[#This Row],[Education New]]-tblPiNHistorical[[#This Row],[Education Old]])</f>
        <v/>
      </c>
      <c r="AH351"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351" s="137" t="str">
        <f>IF(OR(tblPiNHistorical[[#This Row],[Health Old]]="", tblPiNHistorical[[#This Row],[Health Old]]=0, tblPiNHistorical[[#This Row],[Health New]]="", tblPiNHistorical[[#This Row],[Health New]]=0), "", tblPiNHistorical[[#This Row],[Health New]]-tblPiNHistorical[[#This Row],[Health Old]])</f>
        <v/>
      </c>
      <c r="AJ351" s="136" t="str">
        <f>IF(OR(tblPiNHistorical[[#This Row],[Nutrition Old]]="", tblPiNHistorical[[#This Row],[Nutrition Old]]=0, tblPiNHistorical[[#This Row],[Nutrition New]]="", tblPiNHistorical[[#This Row],[Nutrition New]]=0), "", tblPiNHistorical[[#This Row],[Nutrition New]]-tblPiNHistorical[[#This Row],[Nutrition Old]])</f>
        <v/>
      </c>
      <c r="AK351" s="136" t="str">
        <f>IF(OR(tblPiNHistorical[[#This Row],[Protection Old]]="", tblPiNHistorical[[#This Row],[Protection Old]]=0, tblPiNHistorical[[#This Row],[Protection New]]="", tblPiNHistorical[[#This Row],[Protection New]]=0), "", tblPiNHistorical[[#This Row],[Protection New]]-tblPiNHistorical[[#This Row],[Protection Old]])</f>
        <v/>
      </c>
      <c r="AL351" s="136" t="str">
        <f>IF(OR(tblPiNHistorical[[#This Row],[CP Old ]]="", tblPiNHistorical[[#This Row],[CP Old ]]=0, tblPiNHistorical[[#This Row],[CP New]]="", tblPiNHistorical[[#This Row],[CP New]]=0), "", tblPiNHistorical[[#This Row],[CP New]]-tblPiNHistorical[[#This Row],[CP Old ]])</f>
        <v/>
      </c>
      <c r="AM351" s="83" t="str">
        <f>IF(OR(tblPiNHistorical[[#This Row],[GBV Old]]="", tblPiNHistorical[[#This Row],[GBV Old]]=0, tblPiNHistorical[[#This Row],[GBV New]]="", tblPiNHistorical[[#This Row],[GBV New]]=0), "", tblPiNHistorical[[#This Row],[GBV New]]-tblPiNHistorical[[#This Row],[GBV Old]])</f>
        <v/>
      </c>
      <c r="AN351" s="83" t="str">
        <f>IF(OR(tblPiNHistorical[[#This Row],[Mine Action Old]]="", tblPiNHistorical[[#This Row],[Mine Action Old]]=0, tblPiNHistorical[[#This Row],[Mine Action New]]="", tblPiNHistorical[[#This Row],[Mine Action New]]=0), "", tblPiNHistorical[[#This Row],[Mine Action New]]-tblPiNHistorical[[#This Row],[Mine Action Old]])</f>
        <v/>
      </c>
      <c r="AO351" s="136" t="str">
        <f>IF(OR(tblPiNHistorical[[#This Row],[Shelter NFI Old]]="", tblPiNHistorical[[#This Row],[Shelter NFI Old]]=0, tblPiNHistorical[[#This Row],[Shelter NFI New]]="", tblPiNHistorical[[#This Row],[Shelter NFI New]]=0), "", tblPiNHistorical[[#This Row],[Shelter NFI New]]-tblPiNHistorical[[#This Row],[Shelter NFI Old]])</f>
        <v/>
      </c>
      <c r="AP351" s="138" t="str">
        <f>IF(OR(tblPiNHistorical[[#This Row],[WASH Old]]="", tblPiNHistorical[[#This Row],[WASH Old]]=0, tblPiNHistorical[[#This Row],[WASH New]]="", tblPiNHistorical[[#This Row],[WASH New]]=0), "", tblPiNHistorical[[#This Row],[WASH New]]-tblPiNHistorical[[#This Row],[WASH Old]])</f>
        <v/>
      </c>
      <c r="AQ351" s="139" t="str">
        <f>IFERROR(ROUND((tblPiNHistorical[[#This Row],[Site Management - New]] - tblPiNHistorical[[#This Row],[Site Management - Old]])/tblPiNHistorical[[#This Row],[Site Management - Old]], 1), "")</f>
        <v/>
      </c>
      <c r="AR351" s="140" t="str">
        <f>IFERROR(ROUND((tblPiNHistorical[[#This Row],[Education New]]-tblPiNHistorical[[#This Row],[Education Old]])/tblPiNHistorical[[#This Row],[Education Old]], 1), "")</f>
        <v/>
      </c>
      <c r="AS351" s="141" t="str">
        <f>IFERROR(ROUND((tblPiNHistorical[[#This Row],[Food Security and Livlihoods New]]-tblPiNHistorical[[#This Row],[Food Security and Livlihoods Old]])/tblPiNHistorical[[#This Row],[Food Security and Livlihoods Old]], 1), "")</f>
        <v/>
      </c>
      <c r="AT351" s="142" t="str">
        <f>IFERROR(ROUND((tblPiNHistorical[[#This Row],[Health New]]-tblPiNHistorical[[#This Row],[Health Old]])/tblPiNHistorical[[#This Row],[Health Old]], 1), "")</f>
        <v/>
      </c>
      <c r="AU351" s="140" t="str">
        <f>IFERROR(ROUND((tblPiNHistorical[[#This Row],[Nutrition New]]-tblPiNHistorical[[#This Row],[Nutrition Old]])/tblPiNHistorical[[#This Row],[Nutrition Old]], 1), "")</f>
        <v/>
      </c>
      <c r="AV351" s="140" t="str">
        <f>IFERROR(ROUND((tblPiNHistorical[[#This Row],[Protection New]]-tblPiNHistorical[[#This Row],[Protection Old]])/tblPiNHistorical[[#This Row],[Protection Old]], 1), "")</f>
        <v/>
      </c>
      <c r="AW351" s="84" t="str">
        <f>IFERROR(ROUND((tblPiNHistorical[[#This Row],[CP New]]-tblPiNHistorical[[#This Row],[CP Old ]])/tblPiNHistorical[[#This Row],[CP Old ]], 1), "")</f>
        <v/>
      </c>
      <c r="AX351" s="84" t="str">
        <f>IFERROR(ROUND((tblPiNHistorical[[#This Row],[GBV New]]-tblPiNHistorical[[#This Row],[GBV Old]])/tblPiNHistorical[[#This Row],[GBV Old]], 1), "")</f>
        <v/>
      </c>
      <c r="AY351" s="84" t="str">
        <f>IFERROR(ROUND((tblPiNHistorical[[#This Row],[Mine Action New]]-tblPiNHistorical[[#This Row],[Mine Action Old]])/tblPiNHistorical[[#This Row],[Mine Action Old]], 1), "")</f>
        <v/>
      </c>
      <c r="AZ351" s="140" t="str">
        <f>IFERROR(ROUND((tblPiNHistorical[[#This Row],[Shelter NFI New]]-tblPiNHistorical[[#This Row],[Shelter NFI Old]])/tblPiNHistorical[[#This Row],[Shelter NFI Old]], 1), "")</f>
        <v/>
      </c>
      <c r="BA351" s="31" t="str">
        <f>IFERROR(ROUND((tblPiNHistorical[[#This Row],[WASH New]]-tblPiNHistorical[[#This Row],[WASH Old]])/tblPiNHistorical[[#This Row],[WASH Old]], 1), "")</f>
        <v/>
      </c>
    </row>
    <row r="352" spans="1:53" ht="38.25" x14ac:dyDescent="0.25">
      <c r="A352"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RefugeesSD07091</v>
      </c>
      <c r="B352" s="134" t="s">
        <v>188</v>
      </c>
      <c r="C352" s="124" t="s">
        <v>124</v>
      </c>
      <c r="D352" s="124" t="s">
        <v>342</v>
      </c>
      <c r="E352" s="59" t="s">
        <v>343</v>
      </c>
      <c r="F352" s="54"/>
      <c r="G352" s="29"/>
      <c r="H352" s="53">
        <v>0</v>
      </c>
      <c r="I352" s="53" t="s">
        <v>90</v>
      </c>
      <c r="J352" s="34">
        <v>0</v>
      </c>
      <c r="K352" s="116">
        <v>0</v>
      </c>
      <c r="L352" s="114">
        <v>0</v>
      </c>
      <c r="M352" s="114">
        <v>0</v>
      </c>
      <c r="N352" s="114">
        <v>0</v>
      </c>
      <c r="O352" s="114">
        <v>0</v>
      </c>
      <c r="P352" s="114">
        <v>0</v>
      </c>
      <c r="Q352" s="114">
        <v>0</v>
      </c>
      <c r="R352" s="114">
        <v>0</v>
      </c>
      <c r="S352" s="114">
        <v>0</v>
      </c>
      <c r="T352" s="196">
        <v>0</v>
      </c>
      <c r="U352" s="52" t="str">
        <f>IFERROR(INDEX(tblPiNAnalysis[[Site Management ]], MATCH(tblPiNHistorical[[#This Row],[ID]], tblPiNAnalysis[ID], 0)), "")</f>
        <v/>
      </c>
      <c r="V352" s="52" t="str">
        <f>IFERROR(INDEX(tblPiNAnalysis[Education], MATCH(tblPiNHistorical[[#This Row],[ID]], tblPiNAnalysis[ID], 0)), "")</f>
        <v/>
      </c>
      <c r="W352" s="28" t="str">
        <f>IFERROR(INDEX(tblPiNAnalysis[Food Security and Livlihoods], MATCH(tblPiNHistorical[[#This Row],[ID]], tblPiNAnalysis[ID], 0)), "")</f>
        <v/>
      </c>
      <c r="X352" s="28" t="str">
        <f>IFERROR(INDEX(tblPiNAnalysis[[Health ]], MATCH(tblPiNHistorical[[#This Row],[ID]], tblPiNAnalysis[ID], 0)), "")</f>
        <v/>
      </c>
      <c r="Y352" s="28" t="str">
        <f>IFERROR(INDEX(tblPiNAnalysis[Nutrition], MATCH(tblPiNHistorical[[#This Row],[ID]], tblPiNAnalysis[ID], 0)), "")</f>
        <v/>
      </c>
      <c r="Z352" s="28" t="str">
        <f>IFERROR(INDEX(tblPiNAnalysis[Protection], MATCH(tblPiNHistorical[[#This Row],[ID]], tblPiNAnalysis[ID], 0)), "")</f>
        <v/>
      </c>
      <c r="AA352" s="28" t="str">
        <f>IFERROR(INDEX(tblPiNAnalysis[CP], MATCH(tblPiNHistorical[[#This Row],[ID]], tblPiNAnalysis[ID], 0)), "")</f>
        <v/>
      </c>
      <c r="AB352" s="83" t="str">
        <f>IFERROR(INDEX(tblPiNAnalysis[GBV], MATCH(tblPiNHistorical[[#This Row],[ID]], tblPiNAnalysis[ID], 0)), "")</f>
        <v/>
      </c>
      <c r="AC352" s="28" t="str">
        <f>IFERROR(INDEX(tblPiNAnalysis[Mine Action], MATCH(tblPiNHistorical[[#This Row],[ID]], tblPiNAnalysis[ID], 0)), "")</f>
        <v/>
      </c>
      <c r="AD352" s="83" t="str">
        <f>IFERROR(INDEX(tblPiNAnalysis[[Shelter NFI ]], MATCH(tblPiNHistorical[[#This Row],[ID]], tblPiNAnalysis[ID], 0)), "")</f>
        <v/>
      </c>
      <c r="AE352" s="28" t="str">
        <f>IFERROR(INDEX(tblPiNAnalysis[WASH], MATCH(tblPiNHistorical[[#This Row],[ID]], tblPiNAnalysis[ID], 0)), "")</f>
        <v/>
      </c>
      <c r="AF352"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352" s="136" t="str">
        <f>IF(OR(tblPiNHistorical[[#This Row],[Education Old]]="", tblPiNHistorical[[#This Row],[Education Old]]=0, tblPiNHistorical[[#This Row],[Education New]]="", tblPiNHistorical[[#This Row],[Education New]]=0), "", tblPiNHistorical[[#This Row],[Education New]]-tblPiNHistorical[[#This Row],[Education Old]])</f>
        <v/>
      </c>
      <c r="AH352"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352" s="137" t="str">
        <f>IF(OR(tblPiNHistorical[[#This Row],[Health Old]]="", tblPiNHistorical[[#This Row],[Health Old]]=0, tblPiNHistorical[[#This Row],[Health New]]="", tblPiNHistorical[[#This Row],[Health New]]=0), "", tblPiNHistorical[[#This Row],[Health New]]-tblPiNHistorical[[#This Row],[Health Old]])</f>
        <v/>
      </c>
      <c r="AJ352" s="136" t="str">
        <f>IF(OR(tblPiNHistorical[[#This Row],[Nutrition Old]]="", tblPiNHistorical[[#This Row],[Nutrition Old]]=0, tblPiNHistorical[[#This Row],[Nutrition New]]="", tblPiNHistorical[[#This Row],[Nutrition New]]=0), "", tblPiNHistorical[[#This Row],[Nutrition New]]-tblPiNHistorical[[#This Row],[Nutrition Old]])</f>
        <v/>
      </c>
      <c r="AK352" s="136" t="str">
        <f>IF(OR(tblPiNHistorical[[#This Row],[Protection Old]]="", tblPiNHistorical[[#This Row],[Protection Old]]=0, tblPiNHistorical[[#This Row],[Protection New]]="", tblPiNHistorical[[#This Row],[Protection New]]=0), "", tblPiNHistorical[[#This Row],[Protection New]]-tblPiNHistorical[[#This Row],[Protection Old]])</f>
        <v/>
      </c>
      <c r="AL352" s="136" t="str">
        <f>IF(OR(tblPiNHistorical[[#This Row],[CP Old ]]="", tblPiNHistorical[[#This Row],[CP Old ]]=0, tblPiNHistorical[[#This Row],[CP New]]="", tblPiNHistorical[[#This Row],[CP New]]=0), "", tblPiNHistorical[[#This Row],[CP New]]-tblPiNHistorical[[#This Row],[CP Old ]])</f>
        <v/>
      </c>
      <c r="AM352" s="83" t="str">
        <f>IF(OR(tblPiNHistorical[[#This Row],[GBV Old]]="", tblPiNHistorical[[#This Row],[GBV Old]]=0, tblPiNHistorical[[#This Row],[GBV New]]="", tblPiNHistorical[[#This Row],[GBV New]]=0), "", tblPiNHistorical[[#This Row],[GBV New]]-tblPiNHistorical[[#This Row],[GBV Old]])</f>
        <v/>
      </c>
      <c r="AN352" s="83" t="str">
        <f>IF(OR(tblPiNHistorical[[#This Row],[Mine Action Old]]="", tblPiNHistorical[[#This Row],[Mine Action Old]]=0, tblPiNHistorical[[#This Row],[Mine Action New]]="", tblPiNHistorical[[#This Row],[Mine Action New]]=0), "", tblPiNHistorical[[#This Row],[Mine Action New]]-tblPiNHistorical[[#This Row],[Mine Action Old]])</f>
        <v/>
      </c>
      <c r="AO352" s="136" t="str">
        <f>IF(OR(tblPiNHistorical[[#This Row],[Shelter NFI Old]]="", tblPiNHistorical[[#This Row],[Shelter NFI Old]]=0, tblPiNHistorical[[#This Row],[Shelter NFI New]]="", tblPiNHistorical[[#This Row],[Shelter NFI New]]=0), "", tblPiNHistorical[[#This Row],[Shelter NFI New]]-tblPiNHistorical[[#This Row],[Shelter NFI Old]])</f>
        <v/>
      </c>
      <c r="AP352" s="138" t="str">
        <f>IF(OR(tblPiNHistorical[[#This Row],[WASH Old]]="", tblPiNHistorical[[#This Row],[WASH Old]]=0, tblPiNHistorical[[#This Row],[WASH New]]="", tblPiNHistorical[[#This Row],[WASH New]]=0), "", tblPiNHistorical[[#This Row],[WASH New]]-tblPiNHistorical[[#This Row],[WASH Old]])</f>
        <v/>
      </c>
      <c r="AQ352" s="139" t="str">
        <f>IFERROR(ROUND((tblPiNHistorical[[#This Row],[Site Management - New]] - tblPiNHistorical[[#This Row],[Site Management - Old]])/tblPiNHistorical[[#This Row],[Site Management - Old]], 1), "")</f>
        <v/>
      </c>
      <c r="AR352" s="140" t="str">
        <f>IFERROR(ROUND((tblPiNHistorical[[#This Row],[Education New]]-tblPiNHistorical[[#This Row],[Education Old]])/tblPiNHistorical[[#This Row],[Education Old]], 1), "")</f>
        <v/>
      </c>
      <c r="AS352" s="141" t="str">
        <f>IFERROR(ROUND((tblPiNHistorical[[#This Row],[Food Security and Livlihoods New]]-tblPiNHistorical[[#This Row],[Food Security and Livlihoods Old]])/tblPiNHistorical[[#This Row],[Food Security and Livlihoods Old]], 1), "")</f>
        <v/>
      </c>
      <c r="AT352" s="142" t="str">
        <f>IFERROR(ROUND((tblPiNHistorical[[#This Row],[Health New]]-tblPiNHistorical[[#This Row],[Health Old]])/tblPiNHistorical[[#This Row],[Health Old]], 1), "")</f>
        <v/>
      </c>
      <c r="AU352" s="140" t="str">
        <f>IFERROR(ROUND((tblPiNHistorical[[#This Row],[Nutrition New]]-tblPiNHistorical[[#This Row],[Nutrition Old]])/tblPiNHistorical[[#This Row],[Nutrition Old]], 1), "")</f>
        <v/>
      </c>
      <c r="AV352" s="140" t="str">
        <f>IFERROR(ROUND((tblPiNHistorical[[#This Row],[Protection New]]-tblPiNHistorical[[#This Row],[Protection Old]])/tblPiNHistorical[[#This Row],[Protection Old]], 1), "")</f>
        <v/>
      </c>
      <c r="AW352" s="84" t="str">
        <f>IFERROR(ROUND((tblPiNHistorical[[#This Row],[CP New]]-tblPiNHistorical[[#This Row],[CP Old ]])/tblPiNHistorical[[#This Row],[CP Old ]], 1), "")</f>
        <v/>
      </c>
      <c r="AX352" s="84" t="str">
        <f>IFERROR(ROUND((tblPiNHistorical[[#This Row],[GBV New]]-tblPiNHistorical[[#This Row],[GBV Old]])/tblPiNHistorical[[#This Row],[GBV Old]], 1), "")</f>
        <v/>
      </c>
      <c r="AY352" s="84" t="str">
        <f>IFERROR(ROUND((tblPiNHistorical[[#This Row],[Mine Action New]]-tblPiNHistorical[[#This Row],[Mine Action Old]])/tblPiNHistorical[[#This Row],[Mine Action Old]], 1), "")</f>
        <v/>
      </c>
      <c r="AZ352" s="140" t="str">
        <f>IFERROR(ROUND((tblPiNHistorical[[#This Row],[Shelter NFI New]]-tblPiNHistorical[[#This Row],[Shelter NFI Old]])/tblPiNHistorical[[#This Row],[Shelter NFI Old]], 1), "")</f>
        <v/>
      </c>
      <c r="BA352" s="31" t="str">
        <f>IFERROR(ROUND((tblPiNHistorical[[#This Row],[WASH New]]-tblPiNHistorical[[#This Row],[WASH Old]])/tblPiNHistorical[[#This Row],[WASH Old]], 1), "")</f>
        <v/>
      </c>
    </row>
    <row r="353" spans="1:53" ht="38.25" x14ac:dyDescent="0.25">
      <c r="A353"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RefugeesSD04115</v>
      </c>
      <c r="B353" s="134" t="s">
        <v>191</v>
      </c>
      <c r="C353" s="124" t="s">
        <v>121</v>
      </c>
      <c r="D353" s="124" t="s">
        <v>277</v>
      </c>
      <c r="E353" s="59" t="s">
        <v>276</v>
      </c>
      <c r="F353" s="54"/>
      <c r="G353" s="29"/>
      <c r="H353" s="53">
        <v>375</v>
      </c>
      <c r="I353" s="53" t="s">
        <v>90</v>
      </c>
      <c r="J353" s="34">
        <v>0</v>
      </c>
      <c r="K353" s="116">
        <v>36</v>
      </c>
      <c r="L353" s="114">
        <v>375</v>
      </c>
      <c r="M353" s="114">
        <v>364</v>
      </c>
      <c r="N353" s="114">
        <v>34</v>
      </c>
      <c r="O353" s="114">
        <v>375</v>
      </c>
      <c r="P353" s="114">
        <v>99</v>
      </c>
      <c r="Q353" s="114">
        <v>168</v>
      </c>
      <c r="R353" s="114">
        <v>262.5</v>
      </c>
      <c r="S353" s="114">
        <v>150</v>
      </c>
      <c r="T353" s="196">
        <v>183</v>
      </c>
      <c r="U353" s="52" t="str">
        <f>IFERROR(INDEX(tblPiNAnalysis[[Site Management ]], MATCH(tblPiNHistorical[[#This Row],[ID]], tblPiNAnalysis[ID], 0)), "")</f>
        <v/>
      </c>
      <c r="V353" s="52" t="str">
        <f>IFERROR(INDEX(tblPiNAnalysis[Education], MATCH(tblPiNHistorical[[#This Row],[ID]], tblPiNAnalysis[ID], 0)), "")</f>
        <v/>
      </c>
      <c r="W353" s="28" t="str">
        <f>IFERROR(INDEX(tblPiNAnalysis[Food Security and Livlihoods], MATCH(tblPiNHistorical[[#This Row],[ID]], tblPiNAnalysis[ID], 0)), "")</f>
        <v/>
      </c>
      <c r="X353" s="28" t="str">
        <f>IFERROR(INDEX(tblPiNAnalysis[[Health ]], MATCH(tblPiNHistorical[[#This Row],[ID]], tblPiNAnalysis[ID], 0)), "")</f>
        <v/>
      </c>
      <c r="Y353" s="28" t="str">
        <f>IFERROR(INDEX(tblPiNAnalysis[Nutrition], MATCH(tblPiNHistorical[[#This Row],[ID]], tblPiNAnalysis[ID], 0)), "")</f>
        <v/>
      </c>
      <c r="Z353" s="28" t="str">
        <f>IFERROR(INDEX(tblPiNAnalysis[Protection], MATCH(tblPiNHistorical[[#This Row],[ID]], tblPiNAnalysis[ID], 0)), "")</f>
        <v/>
      </c>
      <c r="AA353" s="28" t="str">
        <f>IFERROR(INDEX(tblPiNAnalysis[CP], MATCH(tblPiNHistorical[[#This Row],[ID]], tblPiNAnalysis[ID], 0)), "")</f>
        <v/>
      </c>
      <c r="AB353" s="83" t="str">
        <f>IFERROR(INDEX(tblPiNAnalysis[GBV], MATCH(tblPiNHistorical[[#This Row],[ID]], tblPiNAnalysis[ID], 0)), "")</f>
        <v/>
      </c>
      <c r="AC353" s="28" t="str">
        <f>IFERROR(INDEX(tblPiNAnalysis[Mine Action], MATCH(tblPiNHistorical[[#This Row],[ID]], tblPiNAnalysis[ID], 0)), "")</f>
        <v/>
      </c>
      <c r="AD353" s="83" t="str">
        <f>IFERROR(INDEX(tblPiNAnalysis[[Shelter NFI ]], MATCH(tblPiNHistorical[[#This Row],[ID]], tblPiNAnalysis[ID], 0)), "")</f>
        <v/>
      </c>
      <c r="AE353" s="28" t="str">
        <f>IFERROR(INDEX(tblPiNAnalysis[WASH], MATCH(tblPiNHistorical[[#This Row],[ID]], tblPiNAnalysis[ID], 0)), "")</f>
        <v/>
      </c>
      <c r="AF353"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353" s="136" t="str">
        <f>IF(OR(tblPiNHistorical[[#This Row],[Education Old]]="", tblPiNHistorical[[#This Row],[Education Old]]=0, tblPiNHistorical[[#This Row],[Education New]]="", tblPiNHistorical[[#This Row],[Education New]]=0), "", tblPiNHistorical[[#This Row],[Education New]]-tblPiNHistorical[[#This Row],[Education Old]])</f>
        <v/>
      </c>
      <c r="AH353"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353" s="137" t="str">
        <f>IF(OR(tblPiNHistorical[[#This Row],[Health Old]]="", tblPiNHistorical[[#This Row],[Health Old]]=0, tblPiNHistorical[[#This Row],[Health New]]="", tblPiNHistorical[[#This Row],[Health New]]=0), "", tblPiNHistorical[[#This Row],[Health New]]-tblPiNHistorical[[#This Row],[Health Old]])</f>
        <v/>
      </c>
      <c r="AJ353" s="136" t="str">
        <f>IF(OR(tblPiNHistorical[[#This Row],[Nutrition Old]]="", tblPiNHistorical[[#This Row],[Nutrition Old]]=0, tblPiNHistorical[[#This Row],[Nutrition New]]="", tblPiNHistorical[[#This Row],[Nutrition New]]=0), "", tblPiNHistorical[[#This Row],[Nutrition New]]-tblPiNHistorical[[#This Row],[Nutrition Old]])</f>
        <v/>
      </c>
      <c r="AK353" s="136" t="str">
        <f>IF(OR(tblPiNHistorical[[#This Row],[Protection Old]]="", tblPiNHistorical[[#This Row],[Protection Old]]=0, tblPiNHistorical[[#This Row],[Protection New]]="", tblPiNHistorical[[#This Row],[Protection New]]=0), "", tblPiNHistorical[[#This Row],[Protection New]]-tblPiNHistorical[[#This Row],[Protection Old]])</f>
        <v/>
      </c>
      <c r="AL353" s="136" t="str">
        <f>IF(OR(tblPiNHistorical[[#This Row],[CP Old ]]="", tblPiNHistorical[[#This Row],[CP Old ]]=0, tblPiNHistorical[[#This Row],[CP New]]="", tblPiNHistorical[[#This Row],[CP New]]=0), "", tblPiNHistorical[[#This Row],[CP New]]-tblPiNHistorical[[#This Row],[CP Old ]])</f>
        <v/>
      </c>
      <c r="AM353" s="83" t="str">
        <f>IF(OR(tblPiNHistorical[[#This Row],[GBV Old]]="", tblPiNHistorical[[#This Row],[GBV Old]]=0, tblPiNHistorical[[#This Row],[GBV New]]="", tblPiNHistorical[[#This Row],[GBV New]]=0), "", tblPiNHistorical[[#This Row],[GBV New]]-tblPiNHistorical[[#This Row],[GBV Old]])</f>
        <v/>
      </c>
      <c r="AN353" s="83" t="str">
        <f>IF(OR(tblPiNHistorical[[#This Row],[Mine Action Old]]="", tblPiNHistorical[[#This Row],[Mine Action Old]]=0, tblPiNHistorical[[#This Row],[Mine Action New]]="", tblPiNHistorical[[#This Row],[Mine Action New]]=0), "", tblPiNHistorical[[#This Row],[Mine Action New]]-tblPiNHistorical[[#This Row],[Mine Action Old]])</f>
        <v/>
      </c>
      <c r="AO353" s="136" t="str">
        <f>IF(OR(tblPiNHistorical[[#This Row],[Shelter NFI Old]]="", tblPiNHistorical[[#This Row],[Shelter NFI Old]]=0, tblPiNHistorical[[#This Row],[Shelter NFI New]]="", tblPiNHistorical[[#This Row],[Shelter NFI New]]=0), "", tblPiNHistorical[[#This Row],[Shelter NFI New]]-tblPiNHistorical[[#This Row],[Shelter NFI Old]])</f>
        <v/>
      </c>
      <c r="AP353" s="138" t="str">
        <f>IF(OR(tblPiNHistorical[[#This Row],[WASH Old]]="", tblPiNHistorical[[#This Row],[WASH Old]]=0, tblPiNHistorical[[#This Row],[WASH New]]="", tblPiNHistorical[[#This Row],[WASH New]]=0), "", tblPiNHistorical[[#This Row],[WASH New]]-tblPiNHistorical[[#This Row],[WASH Old]])</f>
        <v/>
      </c>
      <c r="AQ353" s="139" t="str">
        <f>IFERROR(ROUND((tblPiNHistorical[[#This Row],[Site Management - New]] - tblPiNHistorical[[#This Row],[Site Management - Old]])/tblPiNHistorical[[#This Row],[Site Management - Old]], 1), "")</f>
        <v/>
      </c>
      <c r="AR353" s="140" t="str">
        <f>IFERROR(ROUND((tblPiNHistorical[[#This Row],[Education New]]-tblPiNHistorical[[#This Row],[Education Old]])/tblPiNHistorical[[#This Row],[Education Old]], 1), "")</f>
        <v/>
      </c>
      <c r="AS353" s="141" t="str">
        <f>IFERROR(ROUND((tblPiNHistorical[[#This Row],[Food Security and Livlihoods New]]-tblPiNHistorical[[#This Row],[Food Security and Livlihoods Old]])/tblPiNHistorical[[#This Row],[Food Security and Livlihoods Old]], 1), "")</f>
        <v/>
      </c>
      <c r="AT353" s="142" t="str">
        <f>IFERROR(ROUND((tblPiNHistorical[[#This Row],[Health New]]-tblPiNHistorical[[#This Row],[Health Old]])/tblPiNHistorical[[#This Row],[Health Old]], 1), "")</f>
        <v/>
      </c>
      <c r="AU353" s="140" t="str">
        <f>IFERROR(ROUND((tblPiNHistorical[[#This Row],[Nutrition New]]-tblPiNHistorical[[#This Row],[Nutrition Old]])/tblPiNHistorical[[#This Row],[Nutrition Old]], 1), "")</f>
        <v/>
      </c>
      <c r="AV353" s="140" t="str">
        <f>IFERROR(ROUND((tblPiNHistorical[[#This Row],[Protection New]]-tblPiNHistorical[[#This Row],[Protection Old]])/tblPiNHistorical[[#This Row],[Protection Old]], 1), "")</f>
        <v/>
      </c>
      <c r="AW353" s="84" t="str">
        <f>IFERROR(ROUND((tblPiNHistorical[[#This Row],[CP New]]-tblPiNHistorical[[#This Row],[CP Old ]])/tblPiNHistorical[[#This Row],[CP Old ]], 1), "")</f>
        <v/>
      </c>
      <c r="AX353" s="84" t="str">
        <f>IFERROR(ROUND((tblPiNHistorical[[#This Row],[GBV New]]-tblPiNHistorical[[#This Row],[GBV Old]])/tblPiNHistorical[[#This Row],[GBV Old]], 1), "")</f>
        <v/>
      </c>
      <c r="AY353" s="84" t="str">
        <f>IFERROR(ROUND((tblPiNHistorical[[#This Row],[Mine Action New]]-tblPiNHistorical[[#This Row],[Mine Action Old]])/tblPiNHistorical[[#This Row],[Mine Action Old]], 1), "")</f>
        <v/>
      </c>
      <c r="AZ353" s="140" t="str">
        <f>IFERROR(ROUND((tblPiNHistorical[[#This Row],[Shelter NFI New]]-tblPiNHistorical[[#This Row],[Shelter NFI Old]])/tblPiNHistorical[[#This Row],[Shelter NFI Old]], 1), "")</f>
        <v/>
      </c>
      <c r="BA353" s="31" t="str">
        <f>IFERROR(ROUND((tblPiNHistorical[[#This Row],[WASH New]]-tblPiNHistorical[[#This Row],[WASH Old]])/tblPiNHistorical[[#This Row],[WASH Old]], 1), "")</f>
        <v/>
      </c>
    </row>
    <row r="354" spans="1:53" ht="38.25" x14ac:dyDescent="0.25">
      <c r="A354"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RefugeesSD04111</v>
      </c>
      <c r="B354" s="134" t="s">
        <v>191</v>
      </c>
      <c r="C354" s="124" t="s">
        <v>121</v>
      </c>
      <c r="D354" s="124" t="s">
        <v>275</v>
      </c>
      <c r="E354" s="59" t="s">
        <v>274</v>
      </c>
      <c r="F354" s="54"/>
      <c r="G354" s="29"/>
      <c r="H354" s="53">
        <v>0</v>
      </c>
      <c r="I354" s="53" t="s">
        <v>90</v>
      </c>
      <c r="J354" s="34">
        <v>0</v>
      </c>
      <c r="K354" s="116">
        <v>0</v>
      </c>
      <c r="L354" s="114">
        <v>0</v>
      </c>
      <c r="M354" s="114">
        <v>0</v>
      </c>
      <c r="N354" s="114">
        <v>0</v>
      </c>
      <c r="O354" s="114">
        <v>0</v>
      </c>
      <c r="P354" s="114">
        <v>0</v>
      </c>
      <c r="Q354" s="114">
        <v>0</v>
      </c>
      <c r="R354" s="114">
        <v>0</v>
      </c>
      <c r="S354" s="114">
        <v>0</v>
      </c>
      <c r="T354" s="196">
        <v>0</v>
      </c>
      <c r="U354" s="52" t="str">
        <f>IFERROR(INDEX(tblPiNAnalysis[[Site Management ]], MATCH(tblPiNHistorical[[#This Row],[ID]], tblPiNAnalysis[ID], 0)), "")</f>
        <v/>
      </c>
      <c r="V354" s="52" t="str">
        <f>IFERROR(INDEX(tblPiNAnalysis[Education], MATCH(tblPiNHistorical[[#This Row],[ID]], tblPiNAnalysis[ID], 0)), "")</f>
        <v/>
      </c>
      <c r="W354" s="28" t="str">
        <f>IFERROR(INDEX(tblPiNAnalysis[Food Security and Livlihoods], MATCH(tblPiNHistorical[[#This Row],[ID]], tblPiNAnalysis[ID], 0)), "")</f>
        <v/>
      </c>
      <c r="X354" s="28" t="str">
        <f>IFERROR(INDEX(tblPiNAnalysis[[Health ]], MATCH(tblPiNHistorical[[#This Row],[ID]], tblPiNAnalysis[ID], 0)), "")</f>
        <v/>
      </c>
      <c r="Y354" s="28" t="str">
        <f>IFERROR(INDEX(tblPiNAnalysis[Nutrition], MATCH(tblPiNHistorical[[#This Row],[ID]], tblPiNAnalysis[ID], 0)), "")</f>
        <v/>
      </c>
      <c r="Z354" s="28" t="str">
        <f>IFERROR(INDEX(tblPiNAnalysis[Protection], MATCH(tblPiNHistorical[[#This Row],[ID]], tblPiNAnalysis[ID], 0)), "")</f>
        <v/>
      </c>
      <c r="AA354" s="28" t="str">
        <f>IFERROR(INDEX(tblPiNAnalysis[CP], MATCH(tblPiNHistorical[[#This Row],[ID]], tblPiNAnalysis[ID], 0)), "")</f>
        <v/>
      </c>
      <c r="AB354" s="83" t="str">
        <f>IFERROR(INDEX(tblPiNAnalysis[GBV], MATCH(tblPiNHistorical[[#This Row],[ID]], tblPiNAnalysis[ID], 0)), "")</f>
        <v/>
      </c>
      <c r="AC354" s="28" t="str">
        <f>IFERROR(INDEX(tblPiNAnalysis[Mine Action], MATCH(tblPiNHistorical[[#This Row],[ID]], tblPiNAnalysis[ID], 0)), "")</f>
        <v/>
      </c>
      <c r="AD354" s="83" t="str">
        <f>IFERROR(INDEX(tblPiNAnalysis[[Shelter NFI ]], MATCH(tblPiNHistorical[[#This Row],[ID]], tblPiNAnalysis[ID], 0)), "")</f>
        <v/>
      </c>
      <c r="AE354" s="28" t="str">
        <f>IFERROR(INDEX(tblPiNAnalysis[WASH], MATCH(tblPiNHistorical[[#This Row],[ID]], tblPiNAnalysis[ID], 0)), "")</f>
        <v/>
      </c>
      <c r="AF354"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354" s="136" t="str">
        <f>IF(OR(tblPiNHistorical[[#This Row],[Education Old]]="", tblPiNHistorical[[#This Row],[Education Old]]=0, tblPiNHistorical[[#This Row],[Education New]]="", tblPiNHistorical[[#This Row],[Education New]]=0), "", tblPiNHistorical[[#This Row],[Education New]]-tblPiNHistorical[[#This Row],[Education Old]])</f>
        <v/>
      </c>
      <c r="AH354"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354" s="137" t="str">
        <f>IF(OR(tblPiNHistorical[[#This Row],[Health Old]]="", tblPiNHistorical[[#This Row],[Health Old]]=0, tblPiNHistorical[[#This Row],[Health New]]="", tblPiNHistorical[[#This Row],[Health New]]=0), "", tblPiNHistorical[[#This Row],[Health New]]-tblPiNHistorical[[#This Row],[Health Old]])</f>
        <v/>
      </c>
      <c r="AJ354" s="136" t="str">
        <f>IF(OR(tblPiNHistorical[[#This Row],[Nutrition Old]]="", tblPiNHistorical[[#This Row],[Nutrition Old]]=0, tblPiNHistorical[[#This Row],[Nutrition New]]="", tblPiNHistorical[[#This Row],[Nutrition New]]=0), "", tblPiNHistorical[[#This Row],[Nutrition New]]-tblPiNHistorical[[#This Row],[Nutrition Old]])</f>
        <v/>
      </c>
      <c r="AK354" s="136" t="str">
        <f>IF(OR(tblPiNHistorical[[#This Row],[Protection Old]]="", tblPiNHistorical[[#This Row],[Protection Old]]=0, tblPiNHistorical[[#This Row],[Protection New]]="", tblPiNHistorical[[#This Row],[Protection New]]=0), "", tblPiNHistorical[[#This Row],[Protection New]]-tblPiNHistorical[[#This Row],[Protection Old]])</f>
        <v/>
      </c>
      <c r="AL354" s="136" t="str">
        <f>IF(OR(tblPiNHistorical[[#This Row],[CP Old ]]="", tblPiNHistorical[[#This Row],[CP Old ]]=0, tblPiNHistorical[[#This Row],[CP New]]="", tblPiNHistorical[[#This Row],[CP New]]=0), "", tblPiNHistorical[[#This Row],[CP New]]-tblPiNHistorical[[#This Row],[CP Old ]])</f>
        <v/>
      </c>
      <c r="AM354" s="83" t="str">
        <f>IF(OR(tblPiNHistorical[[#This Row],[GBV Old]]="", tblPiNHistorical[[#This Row],[GBV Old]]=0, tblPiNHistorical[[#This Row],[GBV New]]="", tblPiNHistorical[[#This Row],[GBV New]]=0), "", tblPiNHistorical[[#This Row],[GBV New]]-tblPiNHistorical[[#This Row],[GBV Old]])</f>
        <v/>
      </c>
      <c r="AN354" s="83" t="str">
        <f>IF(OR(tblPiNHistorical[[#This Row],[Mine Action Old]]="", tblPiNHistorical[[#This Row],[Mine Action Old]]=0, tblPiNHistorical[[#This Row],[Mine Action New]]="", tblPiNHistorical[[#This Row],[Mine Action New]]=0), "", tblPiNHistorical[[#This Row],[Mine Action New]]-tblPiNHistorical[[#This Row],[Mine Action Old]])</f>
        <v/>
      </c>
      <c r="AO354" s="136" t="str">
        <f>IF(OR(tblPiNHistorical[[#This Row],[Shelter NFI Old]]="", tblPiNHistorical[[#This Row],[Shelter NFI Old]]=0, tblPiNHistorical[[#This Row],[Shelter NFI New]]="", tblPiNHistorical[[#This Row],[Shelter NFI New]]=0), "", tblPiNHistorical[[#This Row],[Shelter NFI New]]-tblPiNHistorical[[#This Row],[Shelter NFI Old]])</f>
        <v/>
      </c>
      <c r="AP354" s="138" t="str">
        <f>IF(OR(tblPiNHistorical[[#This Row],[WASH Old]]="", tblPiNHistorical[[#This Row],[WASH Old]]=0, tblPiNHistorical[[#This Row],[WASH New]]="", tblPiNHistorical[[#This Row],[WASH New]]=0), "", tblPiNHistorical[[#This Row],[WASH New]]-tblPiNHistorical[[#This Row],[WASH Old]])</f>
        <v/>
      </c>
      <c r="AQ354" s="139" t="str">
        <f>IFERROR(ROUND((tblPiNHistorical[[#This Row],[Site Management - New]] - tblPiNHistorical[[#This Row],[Site Management - Old]])/tblPiNHistorical[[#This Row],[Site Management - Old]], 1), "")</f>
        <v/>
      </c>
      <c r="AR354" s="140" t="str">
        <f>IFERROR(ROUND((tblPiNHistorical[[#This Row],[Education New]]-tblPiNHistorical[[#This Row],[Education Old]])/tblPiNHistorical[[#This Row],[Education Old]], 1), "")</f>
        <v/>
      </c>
      <c r="AS354" s="141" t="str">
        <f>IFERROR(ROUND((tblPiNHistorical[[#This Row],[Food Security and Livlihoods New]]-tblPiNHistorical[[#This Row],[Food Security and Livlihoods Old]])/tblPiNHistorical[[#This Row],[Food Security and Livlihoods Old]], 1), "")</f>
        <v/>
      </c>
      <c r="AT354" s="142" t="str">
        <f>IFERROR(ROUND((tblPiNHistorical[[#This Row],[Health New]]-tblPiNHistorical[[#This Row],[Health Old]])/tblPiNHistorical[[#This Row],[Health Old]], 1), "")</f>
        <v/>
      </c>
      <c r="AU354" s="140" t="str">
        <f>IFERROR(ROUND((tblPiNHistorical[[#This Row],[Nutrition New]]-tblPiNHistorical[[#This Row],[Nutrition Old]])/tblPiNHistorical[[#This Row],[Nutrition Old]], 1), "")</f>
        <v/>
      </c>
      <c r="AV354" s="140" t="str">
        <f>IFERROR(ROUND((tblPiNHistorical[[#This Row],[Protection New]]-tblPiNHistorical[[#This Row],[Protection Old]])/tblPiNHistorical[[#This Row],[Protection Old]], 1), "")</f>
        <v/>
      </c>
      <c r="AW354" s="84" t="str">
        <f>IFERROR(ROUND((tblPiNHistorical[[#This Row],[CP New]]-tblPiNHistorical[[#This Row],[CP Old ]])/tblPiNHistorical[[#This Row],[CP Old ]], 1), "")</f>
        <v/>
      </c>
      <c r="AX354" s="84" t="str">
        <f>IFERROR(ROUND((tblPiNHistorical[[#This Row],[GBV New]]-tblPiNHistorical[[#This Row],[GBV Old]])/tblPiNHistorical[[#This Row],[GBV Old]], 1), "")</f>
        <v/>
      </c>
      <c r="AY354" s="84" t="str">
        <f>IFERROR(ROUND((tblPiNHistorical[[#This Row],[Mine Action New]]-tblPiNHistorical[[#This Row],[Mine Action Old]])/tblPiNHistorical[[#This Row],[Mine Action Old]], 1), "")</f>
        <v/>
      </c>
      <c r="AZ354" s="140" t="str">
        <f>IFERROR(ROUND((tblPiNHistorical[[#This Row],[Shelter NFI New]]-tblPiNHistorical[[#This Row],[Shelter NFI Old]])/tblPiNHistorical[[#This Row],[Shelter NFI Old]], 1), "")</f>
        <v/>
      </c>
      <c r="BA354" s="31" t="str">
        <f>IFERROR(ROUND((tblPiNHistorical[[#This Row],[WASH New]]-tblPiNHistorical[[#This Row],[WASH Old]])/tblPiNHistorical[[#This Row],[WASH Old]], 1), "")</f>
        <v/>
      </c>
    </row>
    <row r="355" spans="1:53" ht="38.25" x14ac:dyDescent="0.25">
      <c r="A355"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RefugeesSD04121</v>
      </c>
      <c r="B355" s="134" t="s">
        <v>191</v>
      </c>
      <c r="C355" s="124" t="s">
        <v>121</v>
      </c>
      <c r="D355" s="124" t="s">
        <v>279</v>
      </c>
      <c r="E355" s="59" t="s">
        <v>278</v>
      </c>
      <c r="F355" s="54"/>
      <c r="G355" s="29"/>
      <c r="H355" s="53">
        <v>0</v>
      </c>
      <c r="I355" s="53" t="s">
        <v>90</v>
      </c>
      <c r="J355" s="34">
        <v>0</v>
      </c>
      <c r="K355" s="116">
        <v>0</v>
      </c>
      <c r="L355" s="114">
        <v>0</v>
      </c>
      <c r="M355" s="114">
        <v>0</v>
      </c>
      <c r="N355" s="114">
        <v>0</v>
      </c>
      <c r="O355" s="114">
        <v>0</v>
      </c>
      <c r="P355" s="114">
        <v>0</v>
      </c>
      <c r="Q355" s="114">
        <v>0</v>
      </c>
      <c r="R355" s="114">
        <v>0</v>
      </c>
      <c r="S355" s="114">
        <v>0</v>
      </c>
      <c r="T355" s="196">
        <v>0</v>
      </c>
      <c r="U355" s="52" t="str">
        <f>IFERROR(INDEX(tblPiNAnalysis[[Site Management ]], MATCH(tblPiNHistorical[[#This Row],[ID]], tblPiNAnalysis[ID], 0)), "")</f>
        <v/>
      </c>
      <c r="V355" s="52" t="str">
        <f>IFERROR(INDEX(tblPiNAnalysis[Education], MATCH(tblPiNHistorical[[#This Row],[ID]], tblPiNAnalysis[ID], 0)), "")</f>
        <v/>
      </c>
      <c r="W355" s="28" t="str">
        <f>IFERROR(INDEX(tblPiNAnalysis[Food Security and Livlihoods], MATCH(tblPiNHistorical[[#This Row],[ID]], tblPiNAnalysis[ID], 0)), "")</f>
        <v/>
      </c>
      <c r="X355" s="28" t="str">
        <f>IFERROR(INDEX(tblPiNAnalysis[[Health ]], MATCH(tblPiNHistorical[[#This Row],[ID]], tblPiNAnalysis[ID], 0)), "")</f>
        <v/>
      </c>
      <c r="Y355" s="28" t="str">
        <f>IFERROR(INDEX(tblPiNAnalysis[Nutrition], MATCH(tblPiNHistorical[[#This Row],[ID]], tblPiNAnalysis[ID], 0)), "")</f>
        <v/>
      </c>
      <c r="Z355" s="28" t="str">
        <f>IFERROR(INDEX(tblPiNAnalysis[Protection], MATCH(tblPiNHistorical[[#This Row],[ID]], tblPiNAnalysis[ID], 0)), "")</f>
        <v/>
      </c>
      <c r="AA355" s="28" t="str">
        <f>IFERROR(INDEX(tblPiNAnalysis[CP], MATCH(tblPiNHistorical[[#This Row],[ID]], tblPiNAnalysis[ID], 0)), "")</f>
        <v/>
      </c>
      <c r="AB355" s="83" t="str">
        <f>IFERROR(INDEX(tblPiNAnalysis[GBV], MATCH(tblPiNHistorical[[#This Row],[ID]], tblPiNAnalysis[ID], 0)), "")</f>
        <v/>
      </c>
      <c r="AC355" s="28" t="str">
        <f>IFERROR(INDEX(tblPiNAnalysis[Mine Action], MATCH(tblPiNHistorical[[#This Row],[ID]], tblPiNAnalysis[ID], 0)), "")</f>
        <v/>
      </c>
      <c r="AD355" s="83" t="str">
        <f>IFERROR(INDEX(tblPiNAnalysis[[Shelter NFI ]], MATCH(tblPiNHistorical[[#This Row],[ID]], tblPiNAnalysis[ID], 0)), "")</f>
        <v/>
      </c>
      <c r="AE355" s="28" t="str">
        <f>IFERROR(INDEX(tblPiNAnalysis[WASH], MATCH(tblPiNHistorical[[#This Row],[ID]], tblPiNAnalysis[ID], 0)), "")</f>
        <v/>
      </c>
      <c r="AF355"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355" s="136" t="str">
        <f>IF(OR(tblPiNHistorical[[#This Row],[Education Old]]="", tblPiNHistorical[[#This Row],[Education Old]]=0, tblPiNHistorical[[#This Row],[Education New]]="", tblPiNHistorical[[#This Row],[Education New]]=0), "", tblPiNHistorical[[#This Row],[Education New]]-tblPiNHistorical[[#This Row],[Education Old]])</f>
        <v/>
      </c>
      <c r="AH355"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355" s="137" t="str">
        <f>IF(OR(tblPiNHistorical[[#This Row],[Health Old]]="", tblPiNHistorical[[#This Row],[Health Old]]=0, tblPiNHistorical[[#This Row],[Health New]]="", tblPiNHistorical[[#This Row],[Health New]]=0), "", tblPiNHistorical[[#This Row],[Health New]]-tblPiNHistorical[[#This Row],[Health Old]])</f>
        <v/>
      </c>
      <c r="AJ355" s="136" t="str">
        <f>IF(OR(tblPiNHistorical[[#This Row],[Nutrition Old]]="", tblPiNHistorical[[#This Row],[Nutrition Old]]=0, tblPiNHistorical[[#This Row],[Nutrition New]]="", tblPiNHistorical[[#This Row],[Nutrition New]]=0), "", tblPiNHistorical[[#This Row],[Nutrition New]]-tblPiNHistorical[[#This Row],[Nutrition Old]])</f>
        <v/>
      </c>
      <c r="AK355" s="136" t="str">
        <f>IF(OR(tblPiNHistorical[[#This Row],[Protection Old]]="", tblPiNHistorical[[#This Row],[Protection Old]]=0, tblPiNHistorical[[#This Row],[Protection New]]="", tblPiNHistorical[[#This Row],[Protection New]]=0), "", tblPiNHistorical[[#This Row],[Protection New]]-tblPiNHistorical[[#This Row],[Protection Old]])</f>
        <v/>
      </c>
      <c r="AL355" s="136" t="str">
        <f>IF(OR(tblPiNHistorical[[#This Row],[CP Old ]]="", tblPiNHistorical[[#This Row],[CP Old ]]=0, tblPiNHistorical[[#This Row],[CP New]]="", tblPiNHistorical[[#This Row],[CP New]]=0), "", tblPiNHistorical[[#This Row],[CP New]]-tblPiNHistorical[[#This Row],[CP Old ]])</f>
        <v/>
      </c>
      <c r="AM355" s="83" t="str">
        <f>IF(OR(tblPiNHistorical[[#This Row],[GBV Old]]="", tblPiNHistorical[[#This Row],[GBV Old]]=0, tblPiNHistorical[[#This Row],[GBV New]]="", tblPiNHistorical[[#This Row],[GBV New]]=0), "", tblPiNHistorical[[#This Row],[GBV New]]-tblPiNHistorical[[#This Row],[GBV Old]])</f>
        <v/>
      </c>
      <c r="AN355" s="83" t="str">
        <f>IF(OR(tblPiNHistorical[[#This Row],[Mine Action Old]]="", tblPiNHistorical[[#This Row],[Mine Action Old]]=0, tblPiNHistorical[[#This Row],[Mine Action New]]="", tblPiNHistorical[[#This Row],[Mine Action New]]=0), "", tblPiNHistorical[[#This Row],[Mine Action New]]-tblPiNHistorical[[#This Row],[Mine Action Old]])</f>
        <v/>
      </c>
      <c r="AO355" s="136" t="str">
        <f>IF(OR(tblPiNHistorical[[#This Row],[Shelter NFI Old]]="", tblPiNHistorical[[#This Row],[Shelter NFI Old]]=0, tblPiNHistorical[[#This Row],[Shelter NFI New]]="", tblPiNHistorical[[#This Row],[Shelter NFI New]]=0), "", tblPiNHistorical[[#This Row],[Shelter NFI New]]-tblPiNHistorical[[#This Row],[Shelter NFI Old]])</f>
        <v/>
      </c>
      <c r="AP355" s="138" t="str">
        <f>IF(OR(tblPiNHistorical[[#This Row],[WASH Old]]="", tblPiNHistorical[[#This Row],[WASH Old]]=0, tblPiNHistorical[[#This Row],[WASH New]]="", tblPiNHistorical[[#This Row],[WASH New]]=0), "", tblPiNHistorical[[#This Row],[WASH New]]-tblPiNHistorical[[#This Row],[WASH Old]])</f>
        <v/>
      </c>
      <c r="AQ355" s="139" t="str">
        <f>IFERROR(ROUND((tblPiNHistorical[[#This Row],[Site Management - New]] - tblPiNHistorical[[#This Row],[Site Management - Old]])/tblPiNHistorical[[#This Row],[Site Management - Old]], 1), "")</f>
        <v/>
      </c>
      <c r="AR355" s="140" t="str">
        <f>IFERROR(ROUND((tblPiNHistorical[[#This Row],[Education New]]-tblPiNHistorical[[#This Row],[Education Old]])/tblPiNHistorical[[#This Row],[Education Old]], 1), "")</f>
        <v/>
      </c>
      <c r="AS355" s="141" t="str">
        <f>IFERROR(ROUND((tblPiNHistorical[[#This Row],[Food Security and Livlihoods New]]-tblPiNHistorical[[#This Row],[Food Security and Livlihoods Old]])/tblPiNHistorical[[#This Row],[Food Security and Livlihoods Old]], 1), "")</f>
        <v/>
      </c>
      <c r="AT355" s="142" t="str">
        <f>IFERROR(ROUND((tblPiNHistorical[[#This Row],[Health New]]-tblPiNHistorical[[#This Row],[Health Old]])/tblPiNHistorical[[#This Row],[Health Old]], 1), "")</f>
        <v/>
      </c>
      <c r="AU355" s="140" t="str">
        <f>IFERROR(ROUND((tblPiNHistorical[[#This Row],[Nutrition New]]-tblPiNHistorical[[#This Row],[Nutrition Old]])/tblPiNHistorical[[#This Row],[Nutrition Old]], 1), "")</f>
        <v/>
      </c>
      <c r="AV355" s="140" t="str">
        <f>IFERROR(ROUND((tblPiNHistorical[[#This Row],[Protection New]]-tblPiNHistorical[[#This Row],[Protection Old]])/tblPiNHistorical[[#This Row],[Protection Old]], 1), "")</f>
        <v/>
      </c>
      <c r="AW355" s="84" t="str">
        <f>IFERROR(ROUND((tblPiNHistorical[[#This Row],[CP New]]-tblPiNHistorical[[#This Row],[CP Old ]])/tblPiNHistorical[[#This Row],[CP Old ]], 1), "")</f>
        <v/>
      </c>
      <c r="AX355" s="84" t="str">
        <f>IFERROR(ROUND((tblPiNHistorical[[#This Row],[GBV New]]-tblPiNHistorical[[#This Row],[GBV Old]])/tblPiNHistorical[[#This Row],[GBV Old]], 1), "")</f>
        <v/>
      </c>
      <c r="AY355" s="84" t="str">
        <f>IFERROR(ROUND((tblPiNHistorical[[#This Row],[Mine Action New]]-tblPiNHistorical[[#This Row],[Mine Action Old]])/tblPiNHistorical[[#This Row],[Mine Action Old]], 1), "")</f>
        <v/>
      </c>
      <c r="AZ355" s="140" t="str">
        <f>IFERROR(ROUND((tblPiNHistorical[[#This Row],[Shelter NFI New]]-tblPiNHistorical[[#This Row],[Shelter NFI Old]])/tblPiNHistorical[[#This Row],[Shelter NFI Old]], 1), "")</f>
        <v/>
      </c>
      <c r="BA355" s="31" t="str">
        <f>IFERROR(ROUND((tblPiNHistorical[[#This Row],[WASH New]]-tblPiNHistorical[[#This Row],[WASH Old]])/tblPiNHistorical[[#This Row],[WASH Old]], 1), "")</f>
        <v/>
      </c>
    </row>
    <row r="356" spans="1:53" ht="38.25" x14ac:dyDescent="0.25">
      <c r="A356"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RefugeesSD04122</v>
      </c>
      <c r="B356" s="134" t="s">
        <v>191</v>
      </c>
      <c r="C356" s="124" t="s">
        <v>121</v>
      </c>
      <c r="D356" s="124" t="s">
        <v>281</v>
      </c>
      <c r="E356" s="59" t="s">
        <v>280</v>
      </c>
      <c r="F356" s="54"/>
      <c r="G356" s="29"/>
      <c r="H356" s="53">
        <v>55</v>
      </c>
      <c r="I356" s="53" t="s">
        <v>90</v>
      </c>
      <c r="J356" s="34">
        <v>0</v>
      </c>
      <c r="K356" s="116">
        <v>9</v>
      </c>
      <c r="L356" s="114">
        <v>55</v>
      </c>
      <c r="M356" s="114">
        <v>53</v>
      </c>
      <c r="N356" s="114">
        <v>5</v>
      </c>
      <c r="O356" s="114">
        <v>55</v>
      </c>
      <c r="P356" s="114">
        <v>14.520000000000001</v>
      </c>
      <c r="Q356" s="114">
        <v>24.64</v>
      </c>
      <c r="R356" s="114">
        <v>22</v>
      </c>
      <c r="S356" s="114">
        <v>22</v>
      </c>
      <c r="T356" s="196">
        <v>53</v>
      </c>
      <c r="U356" s="52" t="str">
        <f>IFERROR(INDEX(tblPiNAnalysis[[Site Management ]], MATCH(tblPiNHistorical[[#This Row],[ID]], tblPiNAnalysis[ID], 0)), "")</f>
        <v/>
      </c>
      <c r="V356" s="52" t="str">
        <f>IFERROR(INDEX(tblPiNAnalysis[Education], MATCH(tblPiNHistorical[[#This Row],[ID]], tblPiNAnalysis[ID], 0)), "")</f>
        <v/>
      </c>
      <c r="W356" s="28" t="str">
        <f>IFERROR(INDEX(tblPiNAnalysis[Food Security and Livlihoods], MATCH(tblPiNHistorical[[#This Row],[ID]], tblPiNAnalysis[ID], 0)), "")</f>
        <v/>
      </c>
      <c r="X356" s="28" t="str">
        <f>IFERROR(INDEX(tblPiNAnalysis[[Health ]], MATCH(tblPiNHistorical[[#This Row],[ID]], tblPiNAnalysis[ID], 0)), "")</f>
        <v/>
      </c>
      <c r="Y356" s="28" t="str">
        <f>IFERROR(INDEX(tblPiNAnalysis[Nutrition], MATCH(tblPiNHistorical[[#This Row],[ID]], tblPiNAnalysis[ID], 0)), "")</f>
        <v/>
      </c>
      <c r="Z356" s="28" t="str">
        <f>IFERROR(INDEX(tblPiNAnalysis[Protection], MATCH(tblPiNHistorical[[#This Row],[ID]], tblPiNAnalysis[ID], 0)), "")</f>
        <v/>
      </c>
      <c r="AA356" s="28" t="str">
        <f>IFERROR(INDEX(tblPiNAnalysis[CP], MATCH(tblPiNHistorical[[#This Row],[ID]], tblPiNAnalysis[ID], 0)), "")</f>
        <v/>
      </c>
      <c r="AB356" s="83" t="str">
        <f>IFERROR(INDEX(tblPiNAnalysis[GBV], MATCH(tblPiNHistorical[[#This Row],[ID]], tblPiNAnalysis[ID], 0)), "")</f>
        <v/>
      </c>
      <c r="AC356" s="28" t="str">
        <f>IFERROR(INDEX(tblPiNAnalysis[Mine Action], MATCH(tblPiNHistorical[[#This Row],[ID]], tblPiNAnalysis[ID], 0)), "")</f>
        <v/>
      </c>
      <c r="AD356" s="83" t="str">
        <f>IFERROR(INDEX(tblPiNAnalysis[[Shelter NFI ]], MATCH(tblPiNHistorical[[#This Row],[ID]], tblPiNAnalysis[ID], 0)), "")</f>
        <v/>
      </c>
      <c r="AE356" s="28" t="str">
        <f>IFERROR(INDEX(tblPiNAnalysis[WASH], MATCH(tblPiNHistorical[[#This Row],[ID]], tblPiNAnalysis[ID], 0)), "")</f>
        <v/>
      </c>
      <c r="AF356"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356" s="136" t="str">
        <f>IF(OR(tblPiNHistorical[[#This Row],[Education Old]]="", tblPiNHistorical[[#This Row],[Education Old]]=0, tblPiNHistorical[[#This Row],[Education New]]="", tblPiNHistorical[[#This Row],[Education New]]=0), "", tblPiNHistorical[[#This Row],[Education New]]-tblPiNHistorical[[#This Row],[Education Old]])</f>
        <v/>
      </c>
      <c r="AH356"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356" s="137" t="str">
        <f>IF(OR(tblPiNHistorical[[#This Row],[Health Old]]="", tblPiNHistorical[[#This Row],[Health Old]]=0, tblPiNHistorical[[#This Row],[Health New]]="", tblPiNHistorical[[#This Row],[Health New]]=0), "", tblPiNHistorical[[#This Row],[Health New]]-tblPiNHistorical[[#This Row],[Health Old]])</f>
        <v/>
      </c>
      <c r="AJ356" s="136" t="str">
        <f>IF(OR(tblPiNHistorical[[#This Row],[Nutrition Old]]="", tblPiNHistorical[[#This Row],[Nutrition Old]]=0, tblPiNHistorical[[#This Row],[Nutrition New]]="", tblPiNHistorical[[#This Row],[Nutrition New]]=0), "", tblPiNHistorical[[#This Row],[Nutrition New]]-tblPiNHistorical[[#This Row],[Nutrition Old]])</f>
        <v/>
      </c>
      <c r="AK356" s="136" t="str">
        <f>IF(OR(tblPiNHistorical[[#This Row],[Protection Old]]="", tblPiNHistorical[[#This Row],[Protection Old]]=0, tblPiNHistorical[[#This Row],[Protection New]]="", tblPiNHistorical[[#This Row],[Protection New]]=0), "", tblPiNHistorical[[#This Row],[Protection New]]-tblPiNHistorical[[#This Row],[Protection Old]])</f>
        <v/>
      </c>
      <c r="AL356" s="136" t="str">
        <f>IF(OR(tblPiNHistorical[[#This Row],[CP Old ]]="", tblPiNHistorical[[#This Row],[CP Old ]]=0, tblPiNHistorical[[#This Row],[CP New]]="", tblPiNHistorical[[#This Row],[CP New]]=0), "", tblPiNHistorical[[#This Row],[CP New]]-tblPiNHistorical[[#This Row],[CP Old ]])</f>
        <v/>
      </c>
      <c r="AM356" s="83" t="str">
        <f>IF(OR(tblPiNHistorical[[#This Row],[GBV Old]]="", tblPiNHistorical[[#This Row],[GBV Old]]=0, tblPiNHistorical[[#This Row],[GBV New]]="", tblPiNHistorical[[#This Row],[GBV New]]=0), "", tblPiNHistorical[[#This Row],[GBV New]]-tblPiNHistorical[[#This Row],[GBV Old]])</f>
        <v/>
      </c>
      <c r="AN356" s="83" t="str">
        <f>IF(OR(tblPiNHistorical[[#This Row],[Mine Action Old]]="", tblPiNHistorical[[#This Row],[Mine Action Old]]=0, tblPiNHistorical[[#This Row],[Mine Action New]]="", tblPiNHistorical[[#This Row],[Mine Action New]]=0), "", tblPiNHistorical[[#This Row],[Mine Action New]]-tblPiNHistorical[[#This Row],[Mine Action Old]])</f>
        <v/>
      </c>
      <c r="AO356" s="136" t="str">
        <f>IF(OR(tblPiNHistorical[[#This Row],[Shelter NFI Old]]="", tblPiNHistorical[[#This Row],[Shelter NFI Old]]=0, tblPiNHistorical[[#This Row],[Shelter NFI New]]="", tblPiNHistorical[[#This Row],[Shelter NFI New]]=0), "", tblPiNHistorical[[#This Row],[Shelter NFI New]]-tblPiNHistorical[[#This Row],[Shelter NFI Old]])</f>
        <v/>
      </c>
      <c r="AP356" s="138" t="str">
        <f>IF(OR(tblPiNHistorical[[#This Row],[WASH Old]]="", tblPiNHistorical[[#This Row],[WASH Old]]=0, tblPiNHistorical[[#This Row],[WASH New]]="", tblPiNHistorical[[#This Row],[WASH New]]=0), "", tblPiNHistorical[[#This Row],[WASH New]]-tblPiNHistorical[[#This Row],[WASH Old]])</f>
        <v/>
      </c>
      <c r="AQ356" s="139" t="str">
        <f>IFERROR(ROUND((tblPiNHistorical[[#This Row],[Site Management - New]] - tblPiNHistorical[[#This Row],[Site Management - Old]])/tblPiNHistorical[[#This Row],[Site Management - Old]], 1), "")</f>
        <v/>
      </c>
      <c r="AR356" s="140" t="str">
        <f>IFERROR(ROUND((tblPiNHistorical[[#This Row],[Education New]]-tblPiNHistorical[[#This Row],[Education Old]])/tblPiNHistorical[[#This Row],[Education Old]], 1), "")</f>
        <v/>
      </c>
      <c r="AS356" s="141" t="str">
        <f>IFERROR(ROUND((tblPiNHistorical[[#This Row],[Food Security and Livlihoods New]]-tblPiNHistorical[[#This Row],[Food Security and Livlihoods Old]])/tblPiNHistorical[[#This Row],[Food Security and Livlihoods Old]], 1), "")</f>
        <v/>
      </c>
      <c r="AT356" s="142" t="str">
        <f>IFERROR(ROUND((tblPiNHistorical[[#This Row],[Health New]]-tblPiNHistorical[[#This Row],[Health Old]])/tblPiNHistorical[[#This Row],[Health Old]], 1), "")</f>
        <v/>
      </c>
      <c r="AU356" s="140" t="str">
        <f>IFERROR(ROUND((tblPiNHistorical[[#This Row],[Nutrition New]]-tblPiNHistorical[[#This Row],[Nutrition Old]])/tblPiNHistorical[[#This Row],[Nutrition Old]], 1), "")</f>
        <v/>
      </c>
      <c r="AV356" s="140" t="str">
        <f>IFERROR(ROUND((tblPiNHistorical[[#This Row],[Protection New]]-tblPiNHistorical[[#This Row],[Protection Old]])/tblPiNHistorical[[#This Row],[Protection Old]], 1), "")</f>
        <v/>
      </c>
      <c r="AW356" s="84" t="str">
        <f>IFERROR(ROUND((tblPiNHistorical[[#This Row],[CP New]]-tblPiNHistorical[[#This Row],[CP Old ]])/tblPiNHistorical[[#This Row],[CP Old ]], 1), "")</f>
        <v/>
      </c>
      <c r="AX356" s="84" t="str">
        <f>IFERROR(ROUND((tblPiNHistorical[[#This Row],[GBV New]]-tblPiNHistorical[[#This Row],[GBV Old]])/tblPiNHistorical[[#This Row],[GBV Old]], 1), "")</f>
        <v/>
      </c>
      <c r="AY356" s="84" t="str">
        <f>IFERROR(ROUND((tblPiNHistorical[[#This Row],[Mine Action New]]-tblPiNHistorical[[#This Row],[Mine Action Old]])/tblPiNHistorical[[#This Row],[Mine Action Old]], 1), "")</f>
        <v/>
      </c>
      <c r="AZ356" s="140" t="str">
        <f>IFERROR(ROUND((tblPiNHistorical[[#This Row],[Shelter NFI New]]-tblPiNHistorical[[#This Row],[Shelter NFI Old]])/tblPiNHistorical[[#This Row],[Shelter NFI Old]], 1), "")</f>
        <v/>
      </c>
      <c r="BA356" s="31" t="str">
        <f>IFERROR(ROUND((tblPiNHistorical[[#This Row],[WASH New]]-tblPiNHistorical[[#This Row],[WASH Old]])/tblPiNHistorical[[#This Row],[WASH Old]], 1), "")</f>
        <v/>
      </c>
    </row>
    <row r="357" spans="1:53" ht="38.25" x14ac:dyDescent="0.25">
      <c r="A357"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RefugeesSD04123</v>
      </c>
      <c r="B357" s="134" t="s">
        <v>191</v>
      </c>
      <c r="C357" s="124" t="s">
        <v>121</v>
      </c>
      <c r="D357" s="124" t="s">
        <v>283</v>
      </c>
      <c r="E357" s="59" t="s">
        <v>282</v>
      </c>
      <c r="F357" s="54"/>
      <c r="G357" s="29"/>
      <c r="H357" s="53">
        <v>0</v>
      </c>
      <c r="I357" s="53" t="s">
        <v>90</v>
      </c>
      <c r="J357" s="34">
        <v>0</v>
      </c>
      <c r="K357" s="116">
        <v>0</v>
      </c>
      <c r="L357" s="114">
        <v>0</v>
      </c>
      <c r="M357" s="114">
        <v>0</v>
      </c>
      <c r="N357" s="114">
        <v>0</v>
      </c>
      <c r="O357" s="114">
        <v>0</v>
      </c>
      <c r="P357" s="114">
        <v>0</v>
      </c>
      <c r="Q357" s="114">
        <v>0</v>
      </c>
      <c r="R357" s="114">
        <v>0</v>
      </c>
      <c r="S357" s="114">
        <v>0</v>
      </c>
      <c r="T357" s="196">
        <v>0</v>
      </c>
      <c r="U357" s="52" t="str">
        <f>IFERROR(INDEX(tblPiNAnalysis[[Site Management ]], MATCH(tblPiNHistorical[[#This Row],[ID]], tblPiNAnalysis[ID], 0)), "")</f>
        <v/>
      </c>
      <c r="V357" s="52" t="str">
        <f>IFERROR(INDEX(tblPiNAnalysis[Education], MATCH(tblPiNHistorical[[#This Row],[ID]], tblPiNAnalysis[ID], 0)), "")</f>
        <v/>
      </c>
      <c r="W357" s="28" t="str">
        <f>IFERROR(INDEX(tblPiNAnalysis[Food Security and Livlihoods], MATCH(tblPiNHistorical[[#This Row],[ID]], tblPiNAnalysis[ID], 0)), "")</f>
        <v/>
      </c>
      <c r="X357" s="28" t="str">
        <f>IFERROR(INDEX(tblPiNAnalysis[[Health ]], MATCH(tblPiNHistorical[[#This Row],[ID]], tblPiNAnalysis[ID], 0)), "")</f>
        <v/>
      </c>
      <c r="Y357" s="28" t="str">
        <f>IFERROR(INDEX(tblPiNAnalysis[Nutrition], MATCH(tblPiNHistorical[[#This Row],[ID]], tblPiNAnalysis[ID], 0)), "")</f>
        <v/>
      </c>
      <c r="Z357" s="28" t="str">
        <f>IFERROR(INDEX(tblPiNAnalysis[Protection], MATCH(tblPiNHistorical[[#This Row],[ID]], tblPiNAnalysis[ID], 0)), "")</f>
        <v/>
      </c>
      <c r="AA357" s="28" t="str">
        <f>IFERROR(INDEX(tblPiNAnalysis[CP], MATCH(tblPiNHistorical[[#This Row],[ID]], tblPiNAnalysis[ID], 0)), "")</f>
        <v/>
      </c>
      <c r="AB357" s="83" t="str">
        <f>IFERROR(INDEX(tblPiNAnalysis[GBV], MATCH(tblPiNHistorical[[#This Row],[ID]], tblPiNAnalysis[ID], 0)), "")</f>
        <v/>
      </c>
      <c r="AC357" s="28" t="str">
        <f>IFERROR(INDEX(tblPiNAnalysis[Mine Action], MATCH(tblPiNHistorical[[#This Row],[ID]], tblPiNAnalysis[ID], 0)), "")</f>
        <v/>
      </c>
      <c r="AD357" s="83" t="str">
        <f>IFERROR(INDEX(tblPiNAnalysis[[Shelter NFI ]], MATCH(tblPiNHistorical[[#This Row],[ID]], tblPiNAnalysis[ID], 0)), "")</f>
        <v/>
      </c>
      <c r="AE357" s="28" t="str">
        <f>IFERROR(INDEX(tblPiNAnalysis[WASH], MATCH(tblPiNHistorical[[#This Row],[ID]], tblPiNAnalysis[ID], 0)), "")</f>
        <v/>
      </c>
      <c r="AF357"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357" s="136" t="str">
        <f>IF(OR(tblPiNHistorical[[#This Row],[Education Old]]="", tblPiNHistorical[[#This Row],[Education Old]]=0, tblPiNHistorical[[#This Row],[Education New]]="", tblPiNHistorical[[#This Row],[Education New]]=0), "", tblPiNHistorical[[#This Row],[Education New]]-tblPiNHistorical[[#This Row],[Education Old]])</f>
        <v/>
      </c>
      <c r="AH357"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357" s="137" t="str">
        <f>IF(OR(tblPiNHistorical[[#This Row],[Health Old]]="", tblPiNHistorical[[#This Row],[Health Old]]=0, tblPiNHistorical[[#This Row],[Health New]]="", tblPiNHistorical[[#This Row],[Health New]]=0), "", tblPiNHistorical[[#This Row],[Health New]]-tblPiNHistorical[[#This Row],[Health Old]])</f>
        <v/>
      </c>
      <c r="AJ357" s="136" t="str">
        <f>IF(OR(tblPiNHistorical[[#This Row],[Nutrition Old]]="", tblPiNHistorical[[#This Row],[Nutrition Old]]=0, tblPiNHistorical[[#This Row],[Nutrition New]]="", tblPiNHistorical[[#This Row],[Nutrition New]]=0), "", tblPiNHistorical[[#This Row],[Nutrition New]]-tblPiNHistorical[[#This Row],[Nutrition Old]])</f>
        <v/>
      </c>
      <c r="AK357" s="136" t="str">
        <f>IF(OR(tblPiNHistorical[[#This Row],[Protection Old]]="", tblPiNHistorical[[#This Row],[Protection Old]]=0, tblPiNHistorical[[#This Row],[Protection New]]="", tblPiNHistorical[[#This Row],[Protection New]]=0), "", tblPiNHistorical[[#This Row],[Protection New]]-tblPiNHistorical[[#This Row],[Protection Old]])</f>
        <v/>
      </c>
      <c r="AL357" s="136" t="str">
        <f>IF(OR(tblPiNHistorical[[#This Row],[CP Old ]]="", tblPiNHistorical[[#This Row],[CP Old ]]=0, tblPiNHistorical[[#This Row],[CP New]]="", tblPiNHistorical[[#This Row],[CP New]]=0), "", tblPiNHistorical[[#This Row],[CP New]]-tblPiNHistorical[[#This Row],[CP Old ]])</f>
        <v/>
      </c>
      <c r="AM357" s="83" t="str">
        <f>IF(OR(tblPiNHistorical[[#This Row],[GBV Old]]="", tblPiNHistorical[[#This Row],[GBV Old]]=0, tblPiNHistorical[[#This Row],[GBV New]]="", tblPiNHistorical[[#This Row],[GBV New]]=0), "", tblPiNHistorical[[#This Row],[GBV New]]-tblPiNHistorical[[#This Row],[GBV Old]])</f>
        <v/>
      </c>
      <c r="AN357" s="83" t="str">
        <f>IF(OR(tblPiNHistorical[[#This Row],[Mine Action Old]]="", tblPiNHistorical[[#This Row],[Mine Action Old]]=0, tblPiNHistorical[[#This Row],[Mine Action New]]="", tblPiNHistorical[[#This Row],[Mine Action New]]=0), "", tblPiNHistorical[[#This Row],[Mine Action New]]-tblPiNHistorical[[#This Row],[Mine Action Old]])</f>
        <v/>
      </c>
      <c r="AO357" s="136" t="str">
        <f>IF(OR(tblPiNHistorical[[#This Row],[Shelter NFI Old]]="", tblPiNHistorical[[#This Row],[Shelter NFI Old]]=0, tblPiNHistorical[[#This Row],[Shelter NFI New]]="", tblPiNHistorical[[#This Row],[Shelter NFI New]]=0), "", tblPiNHistorical[[#This Row],[Shelter NFI New]]-tblPiNHistorical[[#This Row],[Shelter NFI Old]])</f>
        <v/>
      </c>
      <c r="AP357" s="138" t="str">
        <f>IF(OR(tblPiNHistorical[[#This Row],[WASH Old]]="", tblPiNHistorical[[#This Row],[WASH Old]]=0, tblPiNHistorical[[#This Row],[WASH New]]="", tblPiNHistorical[[#This Row],[WASH New]]=0), "", tblPiNHistorical[[#This Row],[WASH New]]-tblPiNHistorical[[#This Row],[WASH Old]])</f>
        <v/>
      </c>
      <c r="AQ357" s="139" t="str">
        <f>IFERROR(ROUND((tblPiNHistorical[[#This Row],[Site Management - New]] - tblPiNHistorical[[#This Row],[Site Management - Old]])/tblPiNHistorical[[#This Row],[Site Management - Old]], 1), "")</f>
        <v/>
      </c>
      <c r="AR357" s="140" t="str">
        <f>IFERROR(ROUND((tblPiNHistorical[[#This Row],[Education New]]-tblPiNHistorical[[#This Row],[Education Old]])/tblPiNHistorical[[#This Row],[Education Old]], 1), "")</f>
        <v/>
      </c>
      <c r="AS357" s="141" t="str">
        <f>IFERROR(ROUND((tblPiNHistorical[[#This Row],[Food Security and Livlihoods New]]-tblPiNHistorical[[#This Row],[Food Security and Livlihoods Old]])/tblPiNHistorical[[#This Row],[Food Security and Livlihoods Old]], 1), "")</f>
        <v/>
      </c>
      <c r="AT357" s="142" t="str">
        <f>IFERROR(ROUND((tblPiNHistorical[[#This Row],[Health New]]-tblPiNHistorical[[#This Row],[Health Old]])/tblPiNHistorical[[#This Row],[Health Old]], 1), "")</f>
        <v/>
      </c>
      <c r="AU357" s="140" t="str">
        <f>IFERROR(ROUND((tblPiNHistorical[[#This Row],[Nutrition New]]-tblPiNHistorical[[#This Row],[Nutrition Old]])/tblPiNHistorical[[#This Row],[Nutrition Old]], 1), "")</f>
        <v/>
      </c>
      <c r="AV357" s="140" t="str">
        <f>IFERROR(ROUND((tblPiNHistorical[[#This Row],[Protection New]]-tblPiNHistorical[[#This Row],[Protection Old]])/tblPiNHistorical[[#This Row],[Protection Old]], 1), "")</f>
        <v/>
      </c>
      <c r="AW357" s="84" t="str">
        <f>IFERROR(ROUND((tblPiNHistorical[[#This Row],[CP New]]-tblPiNHistorical[[#This Row],[CP Old ]])/tblPiNHistorical[[#This Row],[CP Old ]], 1), "")</f>
        <v/>
      </c>
      <c r="AX357" s="84" t="str">
        <f>IFERROR(ROUND((tblPiNHistorical[[#This Row],[GBV New]]-tblPiNHistorical[[#This Row],[GBV Old]])/tblPiNHistorical[[#This Row],[GBV Old]], 1), "")</f>
        <v/>
      </c>
      <c r="AY357" s="84" t="str">
        <f>IFERROR(ROUND((tblPiNHistorical[[#This Row],[Mine Action New]]-tblPiNHistorical[[#This Row],[Mine Action Old]])/tblPiNHistorical[[#This Row],[Mine Action Old]], 1), "")</f>
        <v/>
      </c>
      <c r="AZ357" s="140" t="str">
        <f>IFERROR(ROUND((tblPiNHistorical[[#This Row],[Shelter NFI New]]-tblPiNHistorical[[#This Row],[Shelter NFI Old]])/tblPiNHistorical[[#This Row],[Shelter NFI Old]], 1), "")</f>
        <v/>
      </c>
      <c r="BA357" s="31" t="str">
        <f>IFERROR(ROUND((tblPiNHistorical[[#This Row],[WASH New]]-tblPiNHistorical[[#This Row],[WASH Old]])/tblPiNHistorical[[#This Row],[WASH Old]], 1), "")</f>
        <v/>
      </c>
    </row>
    <row r="358" spans="1:53" ht="38.25" x14ac:dyDescent="0.25">
      <c r="A358"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RefugeesSD04125</v>
      </c>
      <c r="B358" s="134" t="s">
        <v>191</v>
      </c>
      <c r="C358" s="124" t="s">
        <v>121</v>
      </c>
      <c r="D358" s="124" t="s">
        <v>285</v>
      </c>
      <c r="E358" s="59" t="s">
        <v>284</v>
      </c>
      <c r="F358" s="54"/>
      <c r="G358" s="29"/>
      <c r="H358" s="53">
        <v>0</v>
      </c>
      <c r="I358" s="53" t="s">
        <v>90</v>
      </c>
      <c r="J358" s="34">
        <v>0</v>
      </c>
      <c r="K358" s="116">
        <v>0</v>
      </c>
      <c r="L358" s="114">
        <v>0</v>
      </c>
      <c r="M358" s="114">
        <v>0</v>
      </c>
      <c r="N358" s="114">
        <v>0</v>
      </c>
      <c r="O358" s="114">
        <v>0</v>
      </c>
      <c r="P358" s="114">
        <v>0</v>
      </c>
      <c r="Q358" s="114">
        <v>0</v>
      </c>
      <c r="R358" s="114">
        <v>0</v>
      </c>
      <c r="S358" s="114">
        <v>0</v>
      </c>
      <c r="T358" s="196">
        <v>0</v>
      </c>
      <c r="U358" s="52" t="str">
        <f>IFERROR(INDEX(tblPiNAnalysis[[Site Management ]], MATCH(tblPiNHistorical[[#This Row],[ID]], tblPiNAnalysis[ID], 0)), "")</f>
        <v/>
      </c>
      <c r="V358" s="52" t="str">
        <f>IFERROR(INDEX(tblPiNAnalysis[Education], MATCH(tblPiNHistorical[[#This Row],[ID]], tblPiNAnalysis[ID], 0)), "")</f>
        <v/>
      </c>
      <c r="W358" s="28" t="str">
        <f>IFERROR(INDEX(tblPiNAnalysis[Food Security and Livlihoods], MATCH(tblPiNHistorical[[#This Row],[ID]], tblPiNAnalysis[ID], 0)), "")</f>
        <v/>
      </c>
      <c r="X358" s="28" t="str">
        <f>IFERROR(INDEX(tblPiNAnalysis[[Health ]], MATCH(tblPiNHistorical[[#This Row],[ID]], tblPiNAnalysis[ID], 0)), "")</f>
        <v/>
      </c>
      <c r="Y358" s="28" t="str">
        <f>IFERROR(INDEX(tblPiNAnalysis[Nutrition], MATCH(tblPiNHistorical[[#This Row],[ID]], tblPiNAnalysis[ID], 0)), "")</f>
        <v/>
      </c>
      <c r="Z358" s="28" t="str">
        <f>IFERROR(INDEX(tblPiNAnalysis[Protection], MATCH(tblPiNHistorical[[#This Row],[ID]], tblPiNAnalysis[ID], 0)), "")</f>
        <v/>
      </c>
      <c r="AA358" s="28" t="str">
        <f>IFERROR(INDEX(tblPiNAnalysis[CP], MATCH(tblPiNHistorical[[#This Row],[ID]], tblPiNAnalysis[ID], 0)), "")</f>
        <v/>
      </c>
      <c r="AB358" s="83" t="str">
        <f>IFERROR(INDEX(tblPiNAnalysis[GBV], MATCH(tblPiNHistorical[[#This Row],[ID]], tblPiNAnalysis[ID], 0)), "")</f>
        <v/>
      </c>
      <c r="AC358" s="28" t="str">
        <f>IFERROR(INDEX(tblPiNAnalysis[Mine Action], MATCH(tblPiNHistorical[[#This Row],[ID]], tblPiNAnalysis[ID], 0)), "")</f>
        <v/>
      </c>
      <c r="AD358" s="83" t="str">
        <f>IFERROR(INDEX(tblPiNAnalysis[[Shelter NFI ]], MATCH(tblPiNHistorical[[#This Row],[ID]], tblPiNAnalysis[ID], 0)), "")</f>
        <v/>
      </c>
      <c r="AE358" s="28" t="str">
        <f>IFERROR(INDEX(tblPiNAnalysis[WASH], MATCH(tblPiNHistorical[[#This Row],[ID]], tblPiNAnalysis[ID], 0)), "")</f>
        <v/>
      </c>
      <c r="AF358"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358" s="136" t="str">
        <f>IF(OR(tblPiNHistorical[[#This Row],[Education Old]]="", tblPiNHistorical[[#This Row],[Education Old]]=0, tblPiNHistorical[[#This Row],[Education New]]="", tblPiNHistorical[[#This Row],[Education New]]=0), "", tblPiNHistorical[[#This Row],[Education New]]-tblPiNHistorical[[#This Row],[Education Old]])</f>
        <v/>
      </c>
      <c r="AH358"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358" s="137" t="str">
        <f>IF(OR(tblPiNHistorical[[#This Row],[Health Old]]="", tblPiNHistorical[[#This Row],[Health Old]]=0, tblPiNHistorical[[#This Row],[Health New]]="", tblPiNHistorical[[#This Row],[Health New]]=0), "", tblPiNHistorical[[#This Row],[Health New]]-tblPiNHistorical[[#This Row],[Health Old]])</f>
        <v/>
      </c>
      <c r="AJ358" s="136" t="str">
        <f>IF(OR(tblPiNHistorical[[#This Row],[Nutrition Old]]="", tblPiNHistorical[[#This Row],[Nutrition Old]]=0, tblPiNHistorical[[#This Row],[Nutrition New]]="", tblPiNHistorical[[#This Row],[Nutrition New]]=0), "", tblPiNHistorical[[#This Row],[Nutrition New]]-tblPiNHistorical[[#This Row],[Nutrition Old]])</f>
        <v/>
      </c>
      <c r="AK358" s="136" t="str">
        <f>IF(OR(tblPiNHistorical[[#This Row],[Protection Old]]="", tblPiNHistorical[[#This Row],[Protection Old]]=0, tblPiNHistorical[[#This Row],[Protection New]]="", tblPiNHistorical[[#This Row],[Protection New]]=0), "", tblPiNHistorical[[#This Row],[Protection New]]-tblPiNHistorical[[#This Row],[Protection Old]])</f>
        <v/>
      </c>
      <c r="AL358" s="136" t="str">
        <f>IF(OR(tblPiNHistorical[[#This Row],[CP Old ]]="", tblPiNHistorical[[#This Row],[CP Old ]]=0, tblPiNHistorical[[#This Row],[CP New]]="", tblPiNHistorical[[#This Row],[CP New]]=0), "", tblPiNHistorical[[#This Row],[CP New]]-tblPiNHistorical[[#This Row],[CP Old ]])</f>
        <v/>
      </c>
      <c r="AM358" s="83" t="str">
        <f>IF(OR(tblPiNHistorical[[#This Row],[GBV Old]]="", tblPiNHistorical[[#This Row],[GBV Old]]=0, tblPiNHistorical[[#This Row],[GBV New]]="", tblPiNHistorical[[#This Row],[GBV New]]=0), "", tblPiNHistorical[[#This Row],[GBV New]]-tblPiNHistorical[[#This Row],[GBV Old]])</f>
        <v/>
      </c>
      <c r="AN358" s="83" t="str">
        <f>IF(OR(tblPiNHistorical[[#This Row],[Mine Action Old]]="", tblPiNHistorical[[#This Row],[Mine Action Old]]=0, tblPiNHistorical[[#This Row],[Mine Action New]]="", tblPiNHistorical[[#This Row],[Mine Action New]]=0), "", tblPiNHistorical[[#This Row],[Mine Action New]]-tblPiNHistorical[[#This Row],[Mine Action Old]])</f>
        <v/>
      </c>
      <c r="AO358" s="136" t="str">
        <f>IF(OR(tblPiNHistorical[[#This Row],[Shelter NFI Old]]="", tblPiNHistorical[[#This Row],[Shelter NFI Old]]=0, tblPiNHistorical[[#This Row],[Shelter NFI New]]="", tblPiNHistorical[[#This Row],[Shelter NFI New]]=0), "", tblPiNHistorical[[#This Row],[Shelter NFI New]]-tblPiNHistorical[[#This Row],[Shelter NFI Old]])</f>
        <v/>
      </c>
      <c r="AP358" s="138" t="str">
        <f>IF(OR(tblPiNHistorical[[#This Row],[WASH Old]]="", tblPiNHistorical[[#This Row],[WASH Old]]=0, tblPiNHistorical[[#This Row],[WASH New]]="", tblPiNHistorical[[#This Row],[WASH New]]=0), "", tblPiNHistorical[[#This Row],[WASH New]]-tblPiNHistorical[[#This Row],[WASH Old]])</f>
        <v/>
      </c>
      <c r="AQ358" s="139" t="str">
        <f>IFERROR(ROUND((tblPiNHistorical[[#This Row],[Site Management - New]] - tblPiNHistorical[[#This Row],[Site Management - Old]])/tblPiNHistorical[[#This Row],[Site Management - Old]], 1), "")</f>
        <v/>
      </c>
      <c r="AR358" s="140" t="str">
        <f>IFERROR(ROUND((tblPiNHistorical[[#This Row],[Education New]]-tblPiNHistorical[[#This Row],[Education Old]])/tblPiNHistorical[[#This Row],[Education Old]], 1), "")</f>
        <v/>
      </c>
      <c r="AS358" s="141" t="str">
        <f>IFERROR(ROUND((tblPiNHistorical[[#This Row],[Food Security and Livlihoods New]]-tblPiNHistorical[[#This Row],[Food Security and Livlihoods Old]])/tblPiNHistorical[[#This Row],[Food Security and Livlihoods Old]], 1), "")</f>
        <v/>
      </c>
      <c r="AT358" s="142" t="str">
        <f>IFERROR(ROUND((tblPiNHistorical[[#This Row],[Health New]]-tblPiNHistorical[[#This Row],[Health Old]])/tblPiNHistorical[[#This Row],[Health Old]], 1), "")</f>
        <v/>
      </c>
      <c r="AU358" s="140" t="str">
        <f>IFERROR(ROUND((tblPiNHistorical[[#This Row],[Nutrition New]]-tblPiNHistorical[[#This Row],[Nutrition Old]])/tblPiNHistorical[[#This Row],[Nutrition Old]], 1), "")</f>
        <v/>
      </c>
      <c r="AV358" s="140" t="str">
        <f>IFERROR(ROUND((tblPiNHistorical[[#This Row],[Protection New]]-tblPiNHistorical[[#This Row],[Protection Old]])/tblPiNHistorical[[#This Row],[Protection Old]], 1), "")</f>
        <v/>
      </c>
      <c r="AW358" s="84" t="str">
        <f>IFERROR(ROUND((tblPiNHistorical[[#This Row],[CP New]]-tblPiNHistorical[[#This Row],[CP Old ]])/tblPiNHistorical[[#This Row],[CP Old ]], 1), "")</f>
        <v/>
      </c>
      <c r="AX358" s="84" t="str">
        <f>IFERROR(ROUND((tblPiNHistorical[[#This Row],[GBV New]]-tblPiNHistorical[[#This Row],[GBV Old]])/tblPiNHistorical[[#This Row],[GBV Old]], 1), "")</f>
        <v/>
      </c>
      <c r="AY358" s="84" t="str">
        <f>IFERROR(ROUND((tblPiNHistorical[[#This Row],[Mine Action New]]-tblPiNHistorical[[#This Row],[Mine Action Old]])/tblPiNHistorical[[#This Row],[Mine Action Old]], 1), "")</f>
        <v/>
      </c>
      <c r="AZ358" s="140" t="str">
        <f>IFERROR(ROUND((tblPiNHistorical[[#This Row],[Shelter NFI New]]-tblPiNHistorical[[#This Row],[Shelter NFI Old]])/tblPiNHistorical[[#This Row],[Shelter NFI Old]], 1), "")</f>
        <v/>
      </c>
      <c r="BA358" s="31" t="str">
        <f>IFERROR(ROUND((tblPiNHistorical[[#This Row],[WASH New]]-tblPiNHistorical[[#This Row],[WASH Old]])/tblPiNHistorical[[#This Row],[WASH Old]], 1), "")</f>
        <v/>
      </c>
    </row>
    <row r="359" spans="1:53" ht="38.25" x14ac:dyDescent="0.25">
      <c r="A359"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RefugeesSD04127</v>
      </c>
      <c r="B359" s="134" t="s">
        <v>191</v>
      </c>
      <c r="C359" s="124" t="s">
        <v>121</v>
      </c>
      <c r="D359" s="124" t="s">
        <v>287</v>
      </c>
      <c r="E359" s="59" t="s">
        <v>286</v>
      </c>
      <c r="F359" s="54"/>
      <c r="G359" s="29"/>
      <c r="H359" s="53">
        <v>0</v>
      </c>
      <c r="I359" s="53" t="s">
        <v>90</v>
      </c>
      <c r="J359" s="34">
        <v>0</v>
      </c>
      <c r="K359" s="116">
        <v>0</v>
      </c>
      <c r="L359" s="114">
        <v>0</v>
      </c>
      <c r="M359" s="114">
        <v>0</v>
      </c>
      <c r="N359" s="114">
        <v>0</v>
      </c>
      <c r="O359" s="114">
        <v>0</v>
      </c>
      <c r="P359" s="114">
        <v>0</v>
      </c>
      <c r="Q359" s="114">
        <v>0</v>
      </c>
      <c r="R359" s="114">
        <v>0</v>
      </c>
      <c r="S359" s="114">
        <v>0</v>
      </c>
      <c r="T359" s="196">
        <v>0</v>
      </c>
      <c r="U359" s="52" t="str">
        <f>IFERROR(INDEX(tblPiNAnalysis[[Site Management ]], MATCH(tblPiNHistorical[[#This Row],[ID]], tblPiNAnalysis[ID], 0)), "")</f>
        <v/>
      </c>
      <c r="V359" s="52" t="str">
        <f>IFERROR(INDEX(tblPiNAnalysis[Education], MATCH(tblPiNHistorical[[#This Row],[ID]], tblPiNAnalysis[ID], 0)), "")</f>
        <v/>
      </c>
      <c r="W359" s="28" t="str">
        <f>IFERROR(INDEX(tblPiNAnalysis[Food Security and Livlihoods], MATCH(tblPiNHistorical[[#This Row],[ID]], tblPiNAnalysis[ID], 0)), "")</f>
        <v/>
      </c>
      <c r="X359" s="28" t="str">
        <f>IFERROR(INDEX(tblPiNAnalysis[[Health ]], MATCH(tblPiNHistorical[[#This Row],[ID]], tblPiNAnalysis[ID], 0)), "")</f>
        <v/>
      </c>
      <c r="Y359" s="28" t="str">
        <f>IFERROR(INDEX(tblPiNAnalysis[Nutrition], MATCH(tblPiNHistorical[[#This Row],[ID]], tblPiNAnalysis[ID], 0)), "")</f>
        <v/>
      </c>
      <c r="Z359" s="28" t="str">
        <f>IFERROR(INDEX(tblPiNAnalysis[Protection], MATCH(tblPiNHistorical[[#This Row],[ID]], tblPiNAnalysis[ID], 0)), "")</f>
        <v/>
      </c>
      <c r="AA359" s="28" t="str">
        <f>IFERROR(INDEX(tblPiNAnalysis[CP], MATCH(tblPiNHistorical[[#This Row],[ID]], tblPiNAnalysis[ID], 0)), "")</f>
        <v/>
      </c>
      <c r="AB359" s="83" t="str">
        <f>IFERROR(INDEX(tblPiNAnalysis[GBV], MATCH(tblPiNHistorical[[#This Row],[ID]], tblPiNAnalysis[ID], 0)), "")</f>
        <v/>
      </c>
      <c r="AC359" s="28" t="str">
        <f>IFERROR(INDEX(tblPiNAnalysis[Mine Action], MATCH(tblPiNHistorical[[#This Row],[ID]], tblPiNAnalysis[ID], 0)), "")</f>
        <v/>
      </c>
      <c r="AD359" s="83" t="str">
        <f>IFERROR(INDEX(tblPiNAnalysis[[Shelter NFI ]], MATCH(tblPiNHistorical[[#This Row],[ID]], tblPiNAnalysis[ID], 0)), "")</f>
        <v/>
      </c>
      <c r="AE359" s="28" t="str">
        <f>IFERROR(INDEX(tblPiNAnalysis[WASH], MATCH(tblPiNHistorical[[#This Row],[ID]], tblPiNAnalysis[ID], 0)), "")</f>
        <v/>
      </c>
      <c r="AF359"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359" s="136" t="str">
        <f>IF(OR(tblPiNHistorical[[#This Row],[Education Old]]="", tblPiNHistorical[[#This Row],[Education Old]]=0, tblPiNHistorical[[#This Row],[Education New]]="", tblPiNHistorical[[#This Row],[Education New]]=0), "", tblPiNHistorical[[#This Row],[Education New]]-tblPiNHistorical[[#This Row],[Education Old]])</f>
        <v/>
      </c>
      <c r="AH359"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359" s="137" t="str">
        <f>IF(OR(tblPiNHistorical[[#This Row],[Health Old]]="", tblPiNHistorical[[#This Row],[Health Old]]=0, tblPiNHistorical[[#This Row],[Health New]]="", tblPiNHistorical[[#This Row],[Health New]]=0), "", tblPiNHistorical[[#This Row],[Health New]]-tblPiNHistorical[[#This Row],[Health Old]])</f>
        <v/>
      </c>
      <c r="AJ359" s="136" t="str">
        <f>IF(OR(tblPiNHistorical[[#This Row],[Nutrition Old]]="", tblPiNHistorical[[#This Row],[Nutrition Old]]=0, tblPiNHistorical[[#This Row],[Nutrition New]]="", tblPiNHistorical[[#This Row],[Nutrition New]]=0), "", tblPiNHistorical[[#This Row],[Nutrition New]]-tblPiNHistorical[[#This Row],[Nutrition Old]])</f>
        <v/>
      </c>
      <c r="AK359" s="136" t="str">
        <f>IF(OR(tblPiNHistorical[[#This Row],[Protection Old]]="", tblPiNHistorical[[#This Row],[Protection Old]]=0, tblPiNHistorical[[#This Row],[Protection New]]="", tblPiNHistorical[[#This Row],[Protection New]]=0), "", tblPiNHistorical[[#This Row],[Protection New]]-tblPiNHistorical[[#This Row],[Protection Old]])</f>
        <v/>
      </c>
      <c r="AL359" s="136" t="str">
        <f>IF(OR(tblPiNHistorical[[#This Row],[CP Old ]]="", tblPiNHistorical[[#This Row],[CP Old ]]=0, tblPiNHistorical[[#This Row],[CP New]]="", tblPiNHistorical[[#This Row],[CP New]]=0), "", tblPiNHistorical[[#This Row],[CP New]]-tblPiNHistorical[[#This Row],[CP Old ]])</f>
        <v/>
      </c>
      <c r="AM359" s="83" t="str">
        <f>IF(OR(tblPiNHistorical[[#This Row],[GBV Old]]="", tblPiNHistorical[[#This Row],[GBV Old]]=0, tblPiNHistorical[[#This Row],[GBV New]]="", tblPiNHistorical[[#This Row],[GBV New]]=0), "", tblPiNHistorical[[#This Row],[GBV New]]-tblPiNHistorical[[#This Row],[GBV Old]])</f>
        <v/>
      </c>
      <c r="AN359" s="83" t="str">
        <f>IF(OR(tblPiNHistorical[[#This Row],[Mine Action Old]]="", tblPiNHistorical[[#This Row],[Mine Action Old]]=0, tblPiNHistorical[[#This Row],[Mine Action New]]="", tblPiNHistorical[[#This Row],[Mine Action New]]=0), "", tblPiNHistorical[[#This Row],[Mine Action New]]-tblPiNHistorical[[#This Row],[Mine Action Old]])</f>
        <v/>
      </c>
      <c r="AO359" s="136" t="str">
        <f>IF(OR(tblPiNHistorical[[#This Row],[Shelter NFI Old]]="", tblPiNHistorical[[#This Row],[Shelter NFI Old]]=0, tblPiNHistorical[[#This Row],[Shelter NFI New]]="", tblPiNHistorical[[#This Row],[Shelter NFI New]]=0), "", tblPiNHistorical[[#This Row],[Shelter NFI New]]-tblPiNHistorical[[#This Row],[Shelter NFI Old]])</f>
        <v/>
      </c>
      <c r="AP359" s="138" t="str">
        <f>IF(OR(tblPiNHistorical[[#This Row],[WASH Old]]="", tblPiNHistorical[[#This Row],[WASH Old]]=0, tblPiNHistorical[[#This Row],[WASH New]]="", tblPiNHistorical[[#This Row],[WASH New]]=0), "", tblPiNHistorical[[#This Row],[WASH New]]-tblPiNHistorical[[#This Row],[WASH Old]])</f>
        <v/>
      </c>
      <c r="AQ359" s="139" t="str">
        <f>IFERROR(ROUND((tblPiNHistorical[[#This Row],[Site Management - New]] - tblPiNHistorical[[#This Row],[Site Management - Old]])/tblPiNHistorical[[#This Row],[Site Management - Old]], 1), "")</f>
        <v/>
      </c>
      <c r="AR359" s="140" t="str">
        <f>IFERROR(ROUND((tblPiNHistorical[[#This Row],[Education New]]-tblPiNHistorical[[#This Row],[Education Old]])/tblPiNHistorical[[#This Row],[Education Old]], 1), "")</f>
        <v/>
      </c>
      <c r="AS359" s="141" t="str">
        <f>IFERROR(ROUND((tblPiNHistorical[[#This Row],[Food Security and Livlihoods New]]-tblPiNHistorical[[#This Row],[Food Security and Livlihoods Old]])/tblPiNHistorical[[#This Row],[Food Security and Livlihoods Old]], 1), "")</f>
        <v/>
      </c>
      <c r="AT359" s="142" t="str">
        <f>IFERROR(ROUND((tblPiNHistorical[[#This Row],[Health New]]-tblPiNHistorical[[#This Row],[Health Old]])/tblPiNHistorical[[#This Row],[Health Old]], 1), "")</f>
        <v/>
      </c>
      <c r="AU359" s="140" t="str">
        <f>IFERROR(ROUND((tblPiNHistorical[[#This Row],[Nutrition New]]-tblPiNHistorical[[#This Row],[Nutrition Old]])/tblPiNHistorical[[#This Row],[Nutrition Old]], 1), "")</f>
        <v/>
      </c>
      <c r="AV359" s="140" t="str">
        <f>IFERROR(ROUND((tblPiNHistorical[[#This Row],[Protection New]]-tblPiNHistorical[[#This Row],[Protection Old]])/tblPiNHistorical[[#This Row],[Protection Old]], 1), "")</f>
        <v/>
      </c>
      <c r="AW359" s="84" t="str">
        <f>IFERROR(ROUND((tblPiNHistorical[[#This Row],[CP New]]-tblPiNHistorical[[#This Row],[CP Old ]])/tblPiNHistorical[[#This Row],[CP Old ]], 1), "")</f>
        <v/>
      </c>
      <c r="AX359" s="84" t="str">
        <f>IFERROR(ROUND((tblPiNHistorical[[#This Row],[GBV New]]-tblPiNHistorical[[#This Row],[GBV Old]])/tblPiNHistorical[[#This Row],[GBV Old]], 1), "")</f>
        <v/>
      </c>
      <c r="AY359" s="84" t="str">
        <f>IFERROR(ROUND((tblPiNHistorical[[#This Row],[Mine Action New]]-tblPiNHistorical[[#This Row],[Mine Action Old]])/tblPiNHistorical[[#This Row],[Mine Action Old]], 1), "")</f>
        <v/>
      </c>
      <c r="AZ359" s="140" t="str">
        <f>IFERROR(ROUND((tblPiNHistorical[[#This Row],[Shelter NFI New]]-tblPiNHistorical[[#This Row],[Shelter NFI Old]])/tblPiNHistorical[[#This Row],[Shelter NFI Old]], 1), "")</f>
        <v/>
      </c>
      <c r="BA359" s="31" t="str">
        <f>IFERROR(ROUND((tblPiNHistorical[[#This Row],[WASH New]]-tblPiNHistorical[[#This Row],[WASH Old]])/tblPiNHistorical[[#This Row],[WASH Old]], 1), "")</f>
        <v/>
      </c>
    </row>
    <row r="360" spans="1:53" ht="38.25" x14ac:dyDescent="0.25">
      <c r="A360"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RefugeesSD04134</v>
      </c>
      <c r="B360" s="134" t="s">
        <v>191</v>
      </c>
      <c r="C360" s="124" t="s">
        <v>121</v>
      </c>
      <c r="D360" s="124" t="s">
        <v>289</v>
      </c>
      <c r="E360" s="59" t="s">
        <v>288</v>
      </c>
      <c r="F360" s="54"/>
      <c r="G360" s="29"/>
      <c r="H360" s="53">
        <v>0</v>
      </c>
      <c r="I360" s="53" t="s">
        <v>90</v>
      </c>
      <c r="J360" s="34">
        <v>0</v>
      </c>
      <c r="K360" s="116">
        <v>0</v>
      </c>
      <c r="L360" s="114">
        <v>0</v>
      </c>
      <c r="M360" s="114">
        <v>0</v>
      </c>
      <c r="N360" s="114">
        <v>0</v>
      </c>
      <c r="O360" s="114">
        <v>0</v>
      </c>
      <c r="P360" s="114">
        <v>0</v>
      </c>
      <c r="Q360" s="114">
        <v>0</v>
      </c>
      <c r="R360" s="114">
        <v>0</v>
      </c>
      <c r="S360" s="114">
        <v>0</v>
      </c>
      <c r="T360" s="196">
        <v>0</v>
      </c>
      <c r="U360" s="52" t="str">
        <f>IFERROR(INDEX(tblPiNAnalysis[[Site Management ]], MATCH(tblPiNHistorical[[#This Row],[ID]], tblPiNAnalysis[ID], 0)), "")</f>
        <v/>
      </c>
      <c r="V360" s="52" t="str">
        <f>IFERROR(INDEX(tblPiNAnalysis[Education], MATCH(tblPiNHistorical[[#This Row],[ID]], tblPiNAnalysis[ID], 0)), "")</f>
        <v/>
      </c>
      <c r="W360" s="28" t="str">
        <f>IFERROR(INDEX(tblPiNAnalysis[Food Security and Livlihoods], MATCH(tblPiNHistorical[[#This Row],[ID]], tblPiNAnalysis[ID], 0)), "")</f>
        <v/>
      </c>
      <c r="X360" s="28" t="str">
        <f>IFERROR(INDEX(tblPiNAnalysis[[Health ]], MATCH(tblPiNHistorical[[#This Row],[ID]], tblPiNAnalysis[ID], 0)), "")</f>
        <v/>
      </c>
      <c r="Y360" s="28" t="str">
        <f>IFERROR(INDEX(tblPiNAnalysis[Nutrition], MATCH(tblPiNHistorical[[#This Row],[ID]], tblPiNAnalysis[ID], 0)), "")</f>
        <v/>
      </c>
      <c r="Z360" s="28" t="str">
        <f>IFERROR(INDEX(tblPiNAnalysis[Protection], MATCH(tblPiNHistorical[[#This Row],[ID]], tblPiNAnalysis[ID], 0)), "")</f>
        <v/>
      </c>
      <c r="AA360" s="28" t="str">
        <f>IFERROR(INDEX(tblPiNAnalysis[CP], MATCH(tblPiNHistorical[[#This Row],[ID]], tblPiNAnalysis[ID], 0)), "")</f>
        <v/>
      </c>
      <c r="AB360" s="83" t="str">
        <f>IFERROR(INDEX(tblPiNAnalysis[GBV], MATCH(tblPiNHistorical[[#This Row],[ID]], tblPiNAnalysis[ID], 0)), "")</f>
        <v/>
      </c>
      <c r="AC360" s="28" t="str">
        <f>IFERROR(INDEX(tblPiNAnalysis[Mine Action], MATCH(tblPiNHistorical[[#This Row],[ID]], tblPiNAnalysis[ID], 0)), "")</f>
        <v/>
      </c>
      <c r="AD360" s="83" t="str">
        <f>IFERROR(INDEX(tblPiNAnalysis[[Shelter NFI ]], MATCH(tblPiNHistorical[[#This Row],[ID]], tblPiNAnalysis[ID], 0)), "")</f>
        <v/>
      </c>
      <c r="AE360" s="28" t="str">
        <f>IFERROR(INDEX(tblPiNAnalysis[WASH], MATCH(tblPiNHistorical[[#This Row],[ID]], tblPiNAnalysis[ID], 0)), "")</f>
        <v/>
      </c>
      <c r="AF360"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360" s="136" t="str">
        <f>IF(OR(tblPiNHistorical[[#This Row],[Education Old]]="", tblPiNHistorical[[#This Row],[Education Old]]=0, tblPiNHistorical[[#This Row],[Education New]]="", tblPiNHistorical[[#This Row],[Education New]]=0), "", tblPiNHistorical[[#This Row],[Education New]]-tblPiNHistorical[[#This Row],[Education Old]])</f>
        <v/>
      </c>
      <c r="AH360"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360" s="137" t="str">
        <f>IF(OR(tblPiNHistorical[[#This Row],[Health Old]]="", tblPiNHistorical[[#This Row],[Health Old]]=0, tblPiNHistorical[[#This Row],[Health New]]="", tblPiNHistorical[[#This Row],[Health New]]=0), "", tblPiNHistorical[[#This Row],[Health New]]-tblPiNHistorical[[#This Row],[Health Old]])</f>
        <v/>
      </c>
      <c r="AJ360" s="136" t="str">
        <f>IF(OR(tblPiNHistorical[[#This Row],[Nutrition Old]]="", tblPiNHistorical[[#This Row],[Nutrition Old]]=0, tblPiNHistorical[[#This Row],[Nutrition New]]="", tblPiNHistorical[[#This Row],[Nutrition New]]=0), "", tblPiNHistorical[[#This Row],[Nutrition New]]-tblPiNHistorical[[#This Row],[Nutrition Old]])</f>
        <v/>
      </c>
      <c r="AK360" s="136" t="str">
        <f>IF(OR(tblPiNHistorical[[#This Row],[Protection Old]]="", tblPiNHistorical[[#This Row],[Protection Old]]=0, tblPiNHistorical[[#This Row],[Protection New]]="", tblPiNHistorical[[#This Row],[Protection New]]=0), "", tblPiNHistorical[[#This Row],[Protection New]]-tblPiNHistorical[[#This Row],[Protection Old]])</f>
        <v/>
      </c>
      <c r="AL360" s="136" t="str">
        <f>IF(OR(tblPiNHistorical[[#This Row],[CP Old ]]="", tblPiNHistorical[[#This Row],[CP Old ]]=0, tblPiNHistorical[[#This Row],[CP New]]="", tblPiNHistorical[[#This Row],[CP New]]=0), "", tblPiNHistorical[[#This Row],[CP New]]-tblPiNHistorical[[#This Row],[CP Old ]])</f>
        <v/>
      </c>
      <c r="AM360" s="83" t="str">
        <f>IF(OR(tblPiNHistorical[[#This Row],[GBV Old]]="", tblPiNHistorical[[#This Row],[GBV Old]]=0, tblPiNHistorical[[#This Row],[GBV New]]="", tblPiNHistorical[[#This Row],[GBV New]]=0), "", tblPiNHistorical[[#This Row],[GBV New]]-tblPiNHistorical[[#This Row],[GBV Old]])</f>
        <v/>
      </c>
      <c r="AN360" s="83" t="str">
        <f>IF(OR(tblPiNHistorical[[#This Row],[Mine Action Old]]="", tblPiNHistorical[[#This Row],[Mine Action Old]]=0, tblPiNHistorical[[#This Row],[Mine Action New]]="", tblPiNHistorical[[#This Row],[Mine Action New]]=0), "", tblPiNHistorical[[#This Row],[Mine Action New]]-tblPiNHistorical[[#This Row],[Mine Action Old]])</f>
        <v/>
      </c>
      <c r="AO360" s="136" t="str">
        <f>IF(OR(tblPiNHistorical[[#This Row],[Shelter NFI Old]]="", tblPiNHistorical[[#This Row],[Shelter NFI Old]]=0, tblPiNHistorical[[#This Row],[Shelter NFI New]]="", tblPiNHistorical[[#This Row],[Shelter NFI New]]=0), "", tblPiNHistorical[[#This Row],[Shelter NFI New]]-tblPiNHistorical[[#This Row],[Shelter NFI Old]])</f>
        <v/>
      </c>
      <c r="AP360" s="138" t="str">
        <f>IF(OR(tblPiNHistorical[[#This Row],[WASH Old]]="", tblPiNHistorical[[#This Row],[WASH Old]]=0, tblPiNHistorical[[#This Row],[WASH New]]="", tblPiNHistorical[[#This Row],[WASH New]]=0), "", tblPiNHistorical[[#This Row],[WASH New]]-tblPiNHistorical[[#This Row],[WASH Old]])</f>
        <v/>
      </c>
      <c r="AQ360" s="139" t="str">
        <f>IFERROR(ROUND((tblPiNHistorical[[#This Row],[Site Management - New]] - tblPiNHistorical[[#This Row],[Site Management - Old]])/tblPiNHistorical[[#This Row],[Site Management - Old]], 1), "")</f>
        <v/>
      </c>
      <c r="AR360" s="140" t="str">
        <f>IFERROR(ROUND((tblPiNHistorical[[#This Row],[Education New]]-tblPiNHistorical[[#This Row],[Education Old]])/tblPiNHistorical[[#This Row],[Education Old]], 1), "")</f>
        <v/>
      </c>
      <c r="AS360" s="141" t="str">
        <f>IFERROR(ROUND((tblPiNHistorical[[#This Row],[Food Security and Livlihoods New]]-tblPiNHistorical[[#This Row],[Food Security and Livlihoods Old]])/tblPiNHistorical[[#This Row],[Food Security and Livlihoods Old]], 1), "")</f>
        <v/>
      </c>
      <c r="AT360" s="142" t="str">
        <f>IFERROR(ROUND((tblPiNHistorical[[#This Row],[Health New]]-tblPiNHistorical[[#This Row],[Health Old]])/tblPiNHistorical[[#This Row],[Health Old]], 1), "")</f>
        <v/>
      </c>
      <c r="AU360" s="140" t="str">
        <f>IFERROR(ROUND((tblPiNHistorical[[#This Row],[Nutrition New]]-tblPiNHistorical[[#This Row],[Nutrition Old]])/tblPiNHistorical[[#This Row],[Nutrition Old]], 1), "")</f>
        <v/>
      </c>
      <c r="AV360" s="140" t="str">
        <f>IFERROR(ROUND((tblPiNHistorical[[#This Row],[Protection New]]-tblPiNHistorical[[#This Row],[Protection Old]])/tblPiNHistorical[[#This Row],[Protection Old]], 1), "")</f>
        <v/>
      </c>
      <c r="AW360" s="84" t="str">
        <f>IFERROR(ROUND((tblPiNHistorical[[#This Row],[CP New]]-tblPiNHistorical[[#This Row],[CP Old ]])/tblPiNHistorical[[#This Row],[CP Old ]], 1), "")</f>
        <v/>
      </c>
      <c r="AX360" s="84" t="str">
        <f>IFERROR(ROUND((tblPiNHistorical[[#This Row],[GBV New]]-tblPiNHistorical[[#This Row],[GBV Old]])/tblPiNHistorical[[#This Row],[GBV Old]], 1), "")</f>
        <v/>
      </c>
      <c r="AY360" s="84" t="str">
        <f>IFERROR(ROUND((tblPiNHistorical[[#This Row],[Mine Action New]]-tblPiNHistorical[[#This Row],[Mine Action Old]])/tblPiNHistorical[[#This Row],[Mine Action Old]], 1), "")</f>
        <v/>
      </c>
      <c r="AZ360" s="140" t="str">
        <f>IFERROR(ROUND((tblPiNHistorical[[#This Row],[Shelter NFI New]]-tblPiNHistorical[[#This Row],[Shelter NFI Old]])/tblPiNHistorical[[#This Row],[Shelter NFI Old]], 1), "")</f>
        <v/>
      </c>
      <c r="BA360" s="31" t="str">
        <f>IFERROR(ROUND((tblPiNHistorical[[#This Row],[WASH New]]-tblPiNHistorical[[#This Row],[WASH Old]])/tblPiNHistorical[[#This Row],[WASH Old]], 1), "")</f>
        <v/>
      </c>
    </row>
    <row r="361" spans="1:53" ht="38.25" x14ac:dyDescent="0.25">
      <c r="A361"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RefugeesSD18028</v>
      </c>
      <c r="B361" s="134" t="s">
        <v>194</v>
      </c>
      <c r="C361" s="124" t="s">
        <v>135</v>
      </c>
      <c r="D361" s="124" t="s">
        <v>544</v>
      </c>
      <c r="E361" s="59" t="s">
        <v>545</v>
      </c>
      <c r="F361" s="54"/>
      <c r="G361" s="29"/>
      <c r="H361" s="53">
        <v>609</v>
      </c>
      <c r="I361" s="53" t="s">
        <v>90</v>
      </c>
      <c r="J361" s="34">
        <v>0</v>
      </c>
      <c r="K361" s="116">
        <v>251</v>
      </c>
      <c r="L361" s="114">
        <v>609</v>
      </c>
      <c r="M361" s="114">
        <v>420</v>
      </c>
      <c r="N361" s="114">
        <v>56</v>
      </c>
      <c r="O361" s="114">
        <v>609</v>
      </c>
      <c r="P361" s="114">
        <v>53.591999999999999</v>
      </c>
      <c r="Q361" s="114">
        <v>98.049000000000007</v>
      </c>
      <c r="R361" s="114">
        <v>0</v>
      </c>
      <c r="S361" s="114">
        <v>244</v>
      </c>
      <c r="T361" s="196">
        <v>335</v>
      </c>
      <c r="U361" s="52" t="str">
        <f>IFERROR(INDEX(tblPiNAnalysis[[Site Management ]], MATCH(tblPiNHistorical[[#This Row],[ID]], tblPiNAnalysis[ID], 0)), "")</f>
        <v/>
      </c>
      <c r="V361" s="52" t="str">
        <f>IFERROR(INDEX(tblPiNAnalysis[Education], MATCH(tblPiNHistorical[[#This Row],[ID]], tblPiNAnalysis[ID], 0)), "")</f>
        <v/>
      </c>
      <c r="W361" s="28" t="str">
        <f>IFERROR(INDEX(tblPiNAnalysis[Food Security and Livlihoods], MATCH(tblPiNHistorical[[#This Row],[ID]], tblPiNAnalysis[ID], 0)), "")</f>
        <v/>
      </c>
      <c r="X361" s="28" t="str">
        <f>IFERROR(INDEX(tblPiNAnalysis[[Health ]], MATCH(tblPiNHistorical[[#This Row],[ID]], tblPiNAnalysis[ID], 0)), "")</f>
        <v/>
      </c>
      <c r="Y361" s="28" t="str">
        <f>IFERROR(INDEX(tblPiNAnalysis[Nutrition], MATCH(tblPiNHistorical[[#This Row],[ID]], tblPiNAnalysis[ID], 0)), "")</f>
        <v/>
      </c>
      <c r="Z361" s="28" t="str">
        <f>IFERROR(INDEX(tblPiNAnalysis[Protection], MATCH(tblPiNHistorical[[#This Row],[ID]], tblPiNAnalysis[ID], 0)), "")</f>
        <v/>
      </c>
      <c r="AA361" s="28" t="str">
        <f>IFERROR(INDEX(tblPiNAnalysis[CP], MATCH(tblPiNHistorical[[#This Row],[ID]], tblPiNAnalysis[ID], 0)), "")</f>
        <v/>
      </c>
      <c r="AB361" s="83" t="str">
        <f>IFERROR(INDEX(tblPiNAnalysis[GBV], MATCH(tblPiNHistorical[[#This Row],[ID]], tblPiNAnalysis[ID], 0)), "")</f>
        <v/>
      </c>
      <c r="AC361" s="28" t="str">
        <f>IFERROR(INDEX(tblPiNAnalysis[Mine Action], MATCH(tblPiNHistorical[[#This Row],[ID]], tblPiNAnalysis[ID], 0)), "")</f>
        <v/>
      </c>
      <c r="AD361" s="83" t="str">
        <f>IFERROR(INDEX(tblPiNAnalysis[[Shelter NFI ]], MATCH(tblPiNHistorical[[#This Row],[ID]], tblPiNAnalysis[ID], 0)), "")</f>
        <v/>
      </c>
      <c r="AE361" s="28" t="str">
        <f>IFERROR(INDEX(tblPiNAnalysis[WASH], MATCH(tblPiNHistorical[[#This Row],[ID]], tblPiNAnalysis[ID], 0)), "")</f>
        <v/>
      </c>
      <c r="AF361"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361" s="136" t="str">
        <f>IF(OR(tblPiNHistorical[[#This Row],[Education Old]]="", tblPiNHistorical[[#This Row],[Education Old]]=0, tblPiNHistorical[[#This Row],[Education New]]="", tblPiNHistorical[[#This Row],[Education New]]=0), "", tblPiNHistorical[[#This Row],[Education New]]-tblPiNHistorical[[#This Row],[Education Old]])</f>
        <v/>
      </c>
      <c r="AH361"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361" s="137" t="str">
        <f>IF(OR(tblPiNHistorical[[#This Row],[Health Old]]="", tblPiNHistorical[[#This Row],[Health Old]]=0, tblPiNHistorical[[#This Row],[Health New]]="", tblPiNHistorical[[#This Row],[Health New]]=0), "", tblPiNHistorical[[#This Row],[Health New]]-tblPiNHistorical[[#This Row],[Health Old]])</f>
        <v/>
      </c>
      <c r="AJ361" s="136" t="str">
        <f>IF(OR(tblPiNHistorical[[#This Row],[Nutrition Old]]="", tblPiNHistorical[[#This Row],[Nutrition Old]]=0, tblPiNHistorical[[#This Row],[Nutrition New]]="", tblPiNHistorical[[#This Row],[Nutrition New]]=0), "", tblPiNHistorical[[#This Row],[Nutrition New]]-tblPiNHistorical[[#This Row],[Nutrition Old]])</f>
        <v/>
      </c>
      <c r="AK361" s="136" t="str">
        <f>IF(OR(tblPiNHistorical[[#This Row],[Protection Old]]="", tblPiNHistorical[[#This Row],[Protection Old]]=0, tblPiNHistorical[[#This Row],[Protection New]]="", tblPiNHistorical[[#This Row],[Protection New]]=0), "", tblPiNHistorical[[#This Row],[Protection New]]-tblPiNHistorical[[#This Row],[Protection Old]])</f>
        <v/>
      </c>
      <c r="AL361" s="136" t="str">
        <f>IF(OR(tblPiNHistorical[[#This Row],[CP Old ]]="", tblPiNHistorical[[#This Row],[CP Old ]]=0, tblPiNHistorical[[#This Row],[CP New]]="", tblPiNHistorical[[#This Row],[CP New]]=0), "", tblPiNHistorical[[#This Row],[CP New]]-tblPiNHistorical[[#This Row],[CP Old ]])</f>
        <v/>
      </c>
      <c r="AM361" s="83" t="str">
        <f>IF(OR(tblPiNHistorical[[#This Row],[GBV Old]]="", tblPiNHistorical[[#This Row],[GBV Old]]=0, tblPiNHistorical[[#This Row],[GBV New]]="", tblPiNHistorical[[#This Row],[GBV New]]=0), "", tblPiNHistorical[[#This Row],[GBV New]]-tblPiNHistorical[[#This Row],[GBV Old]])</f>
        <v/>
      </c>
      <c r="AN361" s="83" t="str">
        <f>IF(OR(tblPiNHistorical[[#This Row],[Mine Action Old]]="", tblPiNHistorical[[#This Row],[Mine Action Old]]=0, tblPiNHistorical[[#This Row],[Mine Action New]]="", tblPiNHistorical[[#This Row],[Mine Action New]]=0), "", tblPiNHistorical[[#This Row],[Mine Action New]]-tblPiNHistorical[[#This Row],[Mine Action Old]])</f>
        <v/>
      </c>
      <c r="AO361" s="136" t="str">
        <f>IF(OR(tblPiNHistorical[[#This Row],[Shelter NFI Old]]="", tblPiNHistorical[[#This Row],[Shelter NFI Old]]=0, tblPiNHistorical[[#This Row],[Shelter NFI New]]="", tblPiNHistorical[[#This Row],[Shelter NFI New]]=0), "", tblPiNHistorical[[#This Row],[Shelter NFI New]]-tblPiNHistorical[[#This Row],[Shelter NFI Old]])</f>
        <v/>
      </c>
      <c r="AP361" s="138" t="str">
        <f>IF(OR(tblPiNHistorical[[#This Row],[WASH Old]]="", tblPiNHistorical[[#This Row],[WASH Old]]=0, tblPiNHistorical[[#This Row],[WASH New]]="", tblPiNHistorical[[#This Row],[WASH New]]=0), "", tblPiNHistorical[[#This Row],[WASH New]]-tblPiNHistorical[[#This Row],[WASH Old]])</f>
        <v/>
      </c>
      <c r="AQ361" s="139" t="str">
        <f>IFERROR(ROUND((tblPiNHistorical[[#This Row],[Site Management - New]] - tblPiNHistorical[[#This Row],[Site Management - Old]])/tblPiNHistorical[[#This Row],[Site Management - Old]], 1), "")</f>
        <v/>
      </c>
      <c r="AR361" s="140" t="str">
        <f>IFERROR(ROUND((tblPiNHistorical[[#This Row],[Education New]]-tblPiNHistorical[[#This Row],[Education Old]])/tblPiNHistorical[[#This Row],[Education Old]], 1), "")</f>
        <v/>
      </c>
      <c r="AS361" s="141" t="str">
        <f>IFERROR(ROUND((tblPiNHistorical[[#This Row],[Food Security and Livlihoods New]]-tblPiNHistorical[[#This Row],[Food Security and Livlihoods Old]])/tblPiNHistorical[[#This Row],[Food Security and Livlihoods Old]], 1), "")</f>
        <v/>
      </c>
      <c r="AT361" s="142" t="str">
        <f>IFERROR(ROUND((tblPiNHistorical[[#This Row],[Health New]]-tblPiNHistorical[[#This Row],[Health Old]])/tblPiNHistorical[[#This Row],[Health Old]], 1), "")</f>
        <v/>
      </c>
      <c r="AU361" s="140" t="str">
        <f>IFERROR(ROUND((tblPiNHistorical[[#This Row],[Nutrition New]]-tblPiNHistorical[[#This Row],[Nutrition Old]])/tblPiNHistorical[[#This Row],[Nutrition Old]], 1), "")</f>
        <v/>
      </c>
      <c r="AV361" s="140" t="str">
        <f>IFERROR(ROUND((tblPiNHistorical[[#This Row],[Protection New]]-tblPiNHistorical[[#This Row],[Protection Old]])/tblPiNHistorical[[#This Row],[Protection Old]], 1), "")</f>
        <v/>
      </c>
      <c r="AW361" s="84" t="str">
        <f>IFERROR(ROUND((tblPiNHistorical[[#This Row],[CP New]]-tblPiNHistorical[[#This Row],[CP Old ]])/tblPiNHistorical[[#This Row],[CP Old ]], 1), "")</f>
        <v/>
      </c>
      <c r="AX361" s="84" t="str">
        <f>IFERROR(ROUND((tblPiNHistorical[[#This Row],[GBV New]]-tblPiNHistorical[[#This Row],[GBV Old]])/tblPiNHistorical[[#This Row],[GBV Old]], 1), "")</f>
        <v/>
      </c>
      <c r="AY361" s="84" t="str">
        <f>IFERROR(ROUND((tblPiNHistorical[[#This Row],[Mine Action New]]-tblPiNHistorical[[#This Row],[Mine Action Old]])/tblPiNHistorical[[#This Row],[Mine Action Old]], 1), "")</f>
        <v/>
      </c>
      <c r="AZ361" s="140" t="str">
        <f>IFERROR(ROUND((tblPiNHistorical[[#This Row],[Shelter NFI New]]-tblPiNHistorical[[#This Row],[Shelter NFI Old]])/tblPiNHistorical[[#This Row],[Shelter NFI Old]], 1), "")</f>
        <v/>
      </c>
      <c r="BA361" s="31" t="str">
        <f>IFERROR(ROUND((tblPiNHistorical[[#This Row],[WASH New]]-tblPiNHistorical[[#This Row],[WASH Old]])/tblPiNHistorical[[#This Row],[WASH Old]], 1), "")</f>
        <v/>
      </c>
    </row>
    <row r="362" spans="1:53" ht="38.25" x14ac:dyDescent="0.25">
      <c r="A362"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RefugeesSD18087</v>
      </c>
      <c r="B362" s="134" t="s">
        <v>194</v>
      </c>
      <c r="C362" s="124" t="s">
        <v>135</v>
      </c>
      <c r="D362" s="124" t="s">
        <v>552</v>
      </c>
      <c r="E362" s="59" t="s">
        <v>553</v>
      </c>
      <c r="F362" s="54"/>
      <c r="G362" s="29"/>
      <c r="H362" s="53">
        <v>3173</v>
      </c>
      <c r="I362" s="53" t="s">
        <v>90</v>
      </c>
      <c r="J362" s="34">
        <v>0</v>
      </c>
      <c r="K362" s="116">
        <v>1334</v>
      </c>
      <c r="L362" s="114">
        <v>3173</v>
      </c>
      <c r="M362" s="114">
        <v>920</v>
      </c>
      <c r="N362" s="114">
        <v>290</v>
      </c>
      <c r="O362" s="114">
        <v>3173</v>
      </c>
      <c r="P362" s="114">
        <v>1392.9470000000001</v>
      </c>
      <c r="Q362" s="114">
        <v>2176.6780000000003</v>
      </c>
      <c r="R362" s="114">
        <v>0</v>
      </c>
      <c r="S362" s="114">
        <v>1269</v>
      </c>
      <c r="T362" s="196">
        <v>2707</v>
      </c>
      <c r="U362" s="52" t="str">
        <f>IFERROR(INDEX(tblPiNAnalysis[[Site Management ]], MATCH(tblPiNHistorical[[#This Row],[ID]], tblPiNAnalysis[ID], 0)), "")</f>
        <v/>
      </c>
      <c r="V362" s="52" t="str">
        <f>IFERROR(INDEX(tblPiNAnalysis[Education], MATCH(tblPiNHistorical[[#This Row],[ID]], tblPiNAnalysis[ID], 0)), "")</f>
        <v/>
      </c>
      <c r="W362" s="28" t="str">
        <f>IFERROR(INDEX(tblPiNAnalysis[Food Security and Livlihoods], MATCH(tblPiNHistorical[[#This Row],[ID]], tblPiNAnalysis[ID], 0)), "")</f>
        <v/>
      </c>
      <c r="X362" s="28" t="str">
        <f>IFERROR(INDEX(tblPiNAnalysis[[Health ]], MATCH(tblPiNHistorical[[#This Row],[ID]], tblPiNAnalysis[ID], 0)), "")</f>
        <v/>
      </c>
      <c r="Y362" s="28" t="str">
        <f>IFERROR(INDEX(tblPiNAnalysis[Nutrition], MATCH(tblPiNHistorical[[#This Row],[ID]], tblPiNAnalysis[ID], 0)), "")</f>
        <v/>
      </c>
      <c r="Z362" s="28" t="str">
        <f>IFERROR(INDEX(tblPiNAnalysis[Protection], MATCH(tblPiNHistorical[[#This Row],[ID]], tblPiNAnalysis[ID], 0)), "")</f>
        <v/>
      </c>
      <c r="AA362" s="28" t="str">
        <f>IFERROR(INDEX(tblPiNAnalysis[CP], MATCH(tblPiNHistorical[[#This Row],[ID]], tblPiNAnalysis[ID], 0)), "")</f>
        <v/>
      </c>
      <c r="AB362" s="83" t="str">
        <f>IFERROR(INDEX(tblPiNAnalysis[GBV], MATCH(tblPiNHistorical[[#This Row],[ID]], tblPiNAnalysis[ID], 0)), "")</f>
        <v/>
      </c>
      <c r="AC362" s="28" t="str">
        <f>IFERROR(INDEX(tblPiNAnalysis[Mine Action], MATCH(tblPiNHistorical[[#This Row],[ID]], tblPiNAnalysis[ID], 0)), "")</f>
        <v/>
      </c>
      <c r="AD362" s="83" t="str">
        <f>IFERROR(INDEX(tblPiNAnalysis[[Shelter NFI ]], MATCH(tblPiNHistorical[[#This Row],[ID]], tblPiNAnalysis[ID], 0)), "")</f>
        <v/>
      </c>
      <c r="AE362" s="28" t="str">
        <f>IFERROR(INDEX(tblPiNAnalysis[WASH], MATCH(tblPiNHistorical[[#This Row],[ID]], tblPiNAnalysis[ID], 0)), "")</f>
        <v/>
      </c>
      <c r="AF362"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362" s="136" t="str">
        <f>IF(OR(tblPiNHistorical[[#This Row],[Education Old]]="", tblPiNHistorical[[#This Row],[Education Old]]=0, tblPiNHistorical[[#This Row],[Education New]]="", tblPiNHistorical[[#This Row],[Education New]]=0), "", tblPiNHistorical[[#This Row],[Education New]]-tblPiNHistorical[[#This Row],[Education Old]])</f>
        <v/>
      </c>
      <c r="AH362"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362" s="137" t="str">
        <f>IF(OR(tblPiNHistorical[[#This Row],[Health Old]]="", tblPiNHistorical[[#This Row],[Health Old]]=0, tblPiNHistorical[[#This Row],[Health New]]="", tblPiNHistorical[[#This Row],[Health New]]=0), "", tblPiNHistorical[[#This Row],[Health New]]-tblPiNHistorical[[#This Row],[Health Old]])</f>
        <v/>
      </c>
      <c r="AJ362" s="136" t="str">
        <f>IF(OR(tblPiNHistorical[[#This Row],[Nutrition Old]]="", tblPiNHistorical[[#This Row],[Nutrition Old]]=0, tblPiNHistorical[[#This Row],[Nutrition New]]="", tblPiNHistorical[[#This Row],[Nutrition New]]=0), "", tblPiNHistorical[[#This Row],[Nutrition New]]-tblPiNHistorical[[#This Row],[Nutrition Old]])</f>
        <v/>
      </c>
      <c r="AK362" s="136" t="str">
        <f>IF(OR(tblPiNHistorical[[#This Row],[Protection Old]]="", tblPiNHistorical[[#This Row],[Protection Old]]=0, tblPiNHistorical[[#This Row],[Protection New]]="", tblPiNHistorical[[#This Row],[Protection New]]=0), "", tblPiNHistorical[[#This Row],[Protection New]]-tblPiNHistorical[[#This Row],[Protection Old]])</f>
        <v/>
      </c>
      <c r="AL362" s="136" t="str">
        <f>IF(OR(tblPiNHistorical[[#This Row],[CP Old ]]="", tblPiNHistorical[[#This Row],[CP Old ]]=0, tblPiNHistorical[[#This Row],[CP New]]="", tblPiNHistorical[[#This Row],[CP New]]=0), "", tblPiNHistorical[[#This Row],[CP New]]-tblPiNHistorical[[#This Row],[CP Old ]])</f>
        <v/>
      </c>
      <c r="AM362" s="83" t="str">
        <f>IF(OR(tblPiNHistorical[[#This Row],[GBV Old]]="", tblPiNHistorical[[#This Row],[GBV Old]]=0, tblPiNHistorical[[#This Row],[GBV New]]="", tblPiNHistorical[[#This Row],[GBV New]]=0), "", tblPiNHistorical[[#This Row],[GBV New]]-tblPiNHistorical[[#This Row],[GBV Old]])</f>
        <v/>
      </c>
      <c r="AN362" s="83" t="str">
        <f>IF(OR(tblPiNHistorical[[#This Row],[Mine Action Old]]="", tblPiNHistorical[[#This Row],[Mine Action Old]]=0, tblPiNHistorical[[#This Row],[Mine Action New]]="", tblPiNHistorical[[#This Row],[Mine Action New]]=0), "", tblPiNHistorical[[#This Row],[Mine Action New]]-tblPiNHistorical[[#This Row],[Mine Action Old]])</f>
        <v/>
      </c>
      <c r="AO362" s="136" t="str">
        <f>IF(OR(tblPiNHistorical[[#This Row],[Shelter NFI Old]]="", tblPiNHistorical[[#This Row],[Shelter NFI Old]]=0, tblPiNHistorical[[#This Row],[Shelter NFI New]]="", tblPiNHistorical[[#This Row],[Shelter NFI New]]=0), "", tblPiNHistorical[[#This Row],[Shelter NFI New]]-tblPiNHistorical[[#This Row],[Shelter NFI Old]])</f>
        <v/>
      </c>
      <c r="AP362" s="138" t="str">
        <f>IF(OR(tblPiNHistorical[[#This Row],[WASH Old]]="", tblPiNHistorical[[#This Row],[WASH Old]]=0, tblPiNHistorical[[#This Row],[WASH New]]="", tblPiNHistorical[[#This Row],[WASH New]]=0), "", tblPiNHistorical[[#This Row],[WASH New]]-tblPiNHistorical[[#This Row],[WASH Old]])</f>
        <v/>
      </c>
      <c r="AQ362" s="139" t="str">
        <f>IFERROR(ROUND((tblPiNHistorical[[#This Row],[Site Management - New]] - tblPiNHistorical[[#This Row],[Site Management - Old]])/tblPiNHistorical[[#This Row],[Site Management - Old]], 1), "")</f>
        <v/>
      </c>
      <c r="AR362" s="140" t="str">
        <f>IFERROR(ROUND((tblPiNHistorical[[#This Row],[Education New]]-tblPiNHistorical[[#This Row],[Education Old]])/tblPiNHistorical[[#This Row],[Education Old]], 1), "")</f>
        <v/>
      </c>
      <c r="AS362" s="141" t="str">
        <f>IFERROR(ROUND((tblPiNHistorical[[#This Row],[Food Security and Livlihoods New]]-tblPiNHistorical[[#This Row],[Food Security and Livlihoods Old]])/tblPiNHistorical[[#This Row],[Food Security and Livlihoods Old]], 1), "")</f>
        <v/>
      </c>
      <c r="AT362" s="142" t="str">
        <f>IFERROR(ROUND((tblPiNHistorical[[#This Row],[Health New]]-tblPiNHistorical[[#This Row],[Health Old]])/tblPiNHistorical[[#This Row],[Health Old]], 1), "")</f>
        <v/>
      </c>
      <c r="AU362" s="140" t="str">
        <f>IFERROR(ROUND((tblPiNHistorical[[#This Row],[Nutrition New]]-tblPiNHistorical[[#This Row],[Nutrition Old]])/tblPiNHistorical[[#This Row],[Nutrition Old]], 1), "")</f>
        <v/>
      </c>
      <c r="AV362" s="140" t="str">
        <f>IFERROR(ROUND((tblPiNHistorical[[#This Row],[Protection New]]-tblPiNHistorical[[#This Row],[Protection Old]])/tblPiNHistorical[[#This Row],[Protection Old]], 1), "")</f>
        <v/>
      </c>
      <c r="AW362" s="84" t="str">
        <f>IFERROR(ROUND((tblPiNHistorical[[#This Row],[CP New]]-tblPiNHistorical[[#This Row],[CP Old ]])/tblPiNHistorical[[#This Row],[CP Old ]], 1), "")</f>
        <v/>
      </c>
      <c r="AX362" s="84" t="str">
        <f>IFERROR(ROUND((tblPiNHistorical[[#This Row],[GBV New]]-tblPiNHistorical[[#This Row],[GBV Old]])/tblPiNHistorical[[#This Row],[GBV Old]], 1), "")</f>
        <v/>
      </c>
      <c r="AY362" s="84" t="str">
        <f>IFERROR(ROUND((tblPiNHistorical[[#This Row],[Mine Action New]]-tblPiNHistorical[[#This Row],[Mine Action Old]])/tblPiNHistorical[[#This Row],[Mine Action Old]], 1), "")</f>
        <v/>
      </c>
      <c r="AZ362" s="140" t="str">
        <f>IFERROR(ROUND((tblPiNHistorical[[#This Row],[Shelter NFI New]]-tblPiNHistorical[[#This Row],[Shelter NFI Old]])/tblPiNHistorical[[#This Row],[Shelter NFI Old]], 1), "")</f>
        <v/>
      </c>
      <c r="BA362" s="31" t="str">
        <f>IFERROR(ROUND((tblPiNHistorical[[#This Row],[WASH New]]-tblPiNHistorical[[#This Row],[WASH Old]])/tblPiNHistorical[[#This Row],[WASH Old]], 1), "")</f>
        <v/>
      </c>
    </row>
    <row r="363" spans="1:53" ht="38.25" x14ac:dyDescent="0.25">
      <c r="A363"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RefugeesSD18103</v>
      </c>
      <c r="B363" s="134" t="s">
        <v>194</v>
      </c>
      <c r="C363" s="124" t="s">
        <v>135</v>
      </c>
      <c r="D363" s="124" t="s">
        <v>560</v>
      </c>
      <c r="E363" s="59" t="s">
        <v>561</v>
      </c>
      <c r="F363" s="54"/>
      <c r="G363" s="29"/>
      <c r="H363" s="53">
        <v>0</v>
      </c>
      <c r="I363" s="53" t="s">
        <v>90</v>
      </c>
      <c r="J363" s="34">
        <v>0</v>
      </c>
      <c r="K363" s="116">
        <v>0</v>
      </c>
      <c r="L363" s="114">
        <v>0</v>
      </c>
      <c r="M363" s="114">
        <v>0</v>
      </c>
      <c r="N363" s="114">
        <v>0</v>
      </c>
      <c r="O363" s="114">
        <v>0</v>
      </c>
      <c r="P363" s="114">
        <v>0</v>
      </c>
      <c r="Q363" s="114">
        <v>0</v>
      </c>
      <c r="R363" s="114">
        <v>0</v>
      </c>
      <c r="S363" s="114">
        <v>0</v>
      </c>
      <c r="T363" s="196">
        <v>0</v>
      </c>
      <c r="U363" s="52" t="str">
        <f>IFERROR(INDEX(tblPiNAnalysis[[Site Management ]], MATCH(tblPiNHistorical[[#This Row],[ID]], tblPiNAnalysis[ID], 0)), "")</f>
        <v/>
      </c>
      <c r="V363" s="52" t="str">
        <f>IFERROR(INDEX(tblPiNAnalysis[Education], MATCH(tblPiNHistorical[[#This Row],[ID]], tblPiNAnalysis[ID], 0)), "")</f>
        <v/>
      </c>
      <c r="W363" s="28" t="str">
        <f>IFERROR(INDEX(tblPiNAnalysis[Food Security and Livlihoods], MATCH(tblPiNHistorical[[#This Row],[ID]], tblPiNAnalysis[ID], 0)), "")</f>
        <v/>
      </c>
      <c r="X363" s="28" t="str">
        <f>IFERROR(INDEX(tblPiNAnalysis[[Health ]], MATCH(tblPiNHistorical[[#This Row],[ID]], tblPiNAnalysis[ID], 0)), "")</f>
        <v/>
      </c>
      <c r="Y363" s="28" t="str">
        <f>IFERROR(INDEX(tblPiNAnalysis[Nutrition], MATCH(tblPiNHistorical[[#This Row],[ID]], tblPiNAnalysis[ID], 0)), "")</f>
        <v/>
      </c>
      <c r="Z363" s="28" t="str">
        <f>IFERROR(INDEX(tblPiNAnalysis[Protection], MATCH(tblPiNHistorical[[#This Row],[ID]], tblPiNAnalysis[ID], 0)), "")</f>
        <v/>
      </c>
      <c r="AA363" s="28" t="str">
        <f>IFERROR(INDEX(tblPiNAnalysis[CP], MATCH(tblPiNHistorical[[#This Row],[ID]], tblPiNAnalysis[ID], 0)), "")</f>
        <v/>
      </c>
      <c r="AB363" s="83" t="str">
        <f>IFERROR(INDEX(tblPiNAnalysis[GBV], MATCH(tblPiNHistorical[[#This Row],[ID]], tblPiNAnalysis[ID], 0)), "")</f>
        <v/>
      </c>
      <c r="AC363" s="28" t="str">
        <f>IFERROR(INDEX(tblPiNAnalysis[Mine Action], MATCH(tblPiNHistorical[[#This Row],[ID]], tblPiNAnalysis[ID], 0)), "")</f>
        <v/>
      </c>
      <c r="AD363" s="83" t="str">
        <f>IFERROR(INDEX(tblPiNAnalysis[[Shelter NFI ]], MATCH(tblPiNHistorical[[#This Row],[ID]], tblPiNAnalysis[ID], 0)), "")</f>
        <v/>
      </c>
      <c r="AE363" s="28" t="str">
        <f>IFERROR(INDEX(tblPiNAnalysis[WASH], MATCH(tblPiNHistorical[[#This Row],[ID]], tblPiNAnalysis[ID], 0)), "")</f>
        <v/>
      </c>
      <c r="AF363"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363" s="136" t="str">
        <f>IF(OR(tblPiNHistorical[[#This Row],[Education Old]]="", tblPiNHistorical[[#This Row],[Education Old]]=0, tblPiNHistorical[[#This Row],[Education New]]="", tblPiNHistorical[[#This Row],[Education New]]=0), "", tblPiNHistorical[[#This Row],[Education New]]-tblPiNHistorical[[#This Row],[Education Old]])</f>
        <v/>
      </c>
      <c r="AH363"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363" s="137" t="str">
        <f>IF(OR(tblPiNHistorical[[#This Row],[Health Old]]="", tblPiNHistorical[[#This Row],[Health Old]]=0, tblPiNHistorical[[#This Row],[Health New]]="", tblPiNHistorical[[#This Row],[Health New]]=0), "", tblPiNHistorical[[#This Row],[Health New]]-tblPiNHistorical[[#This Row],[Health Old]])</f>
        <v/>
      </c>
      <c r="AJ363" s="136" t="str">
        <f>IF(OR(tblPiNHistorical[[#This Row],[Nutrition Old]]="", tblPiNHistorical[[#This Row],[Nutrition Old]]=0, tblPiNHistorical[[#This Row],[Nutrition New]]="", tblPiNHistorical[[#This Row],[Nutrition New]]=0), "", tblPiNHistorical[[#This Row],[Nutrition New]]-tblPiNHistorical[[#This Row],[Nutrition Old]])</f>
        <v/>
      </c>
      <c r="AK363" s="136" t="str">
        <f>IF(OR(tblPiNHistorical[[#This Row],[Protection Old]]="", tblPiNHistorical[[#This Row],[Protection Old]]=0, tblPiNHistorical[[#This Row],[Protection New]]="", tblPiNHistorical[[#This Row],[Protection New]]=0), "", tblPiNHistorical[[#This Row],[Protection New]]-tblPiNHistorical[[#This Row],[Protection Old]])</f>
        <v/>
      </c>
      <c r="AL363" s="136" t="str">
        <f>IF(OR(tblPiNHistorical[[#This Row],[CP Old ]]="", tblPiNHistorical[[#This Row],[CP Old ]]=0, tblPiNHistorical[[#This Row],[CP New]]="", tblPiNHistorical[[#This Row],[CP New]]=0), "", tblPiNHistorical[[#This Row],[CP New]]-tblPiNHistorical[[#This Row],[CP Old ]])</f>
        <v/>
      </c>
      <c r="AM363" s="83" t="str">
        <f>IF(OR(tblPiNHistorical[[#This Row],[GBV Old]]="", tblPiNHistorical[[#This Row],[GBV Old]]=0, tblPiNHistorical[[#This Row],[GBV New]]="", tblPiNHistorical[[#This Row],[GBV New]]=0), "", tblPiNHistorical[[#This Row],[GBV New]]-tblPiNHistorical[[#This Row],[GBV Old]])</f>
        <v/>
      </c>
      <c r="AN363" s="83" t="str">
        <f>IF(OR(tblPiNHistorical[[#This Row],[Mine Action Old]]="", tblPiNHistorical[[#This Row],[Mine Action Old]]=0, tblPiNHistorical[[#This Row],[Mine Action New]]="", tblPiNHistorical[[#This Row],[Mine Action New]]=0), "", tblPiNHistorical[[#This Row],[Mine Action New]]-tblPiNHistorical[[#This Row],[Mine Action Old]])</f>
        <v/>
      </c>
      <c r="AO363" s="136" t="str">
        <f>IF(OR(tblPiNHistorical[[#This Row],[Shelter NFI Old]]="", tblPiNHistorical[[#This Row],[Shelter NFI Old]]=0, tblPiNHistorical[[#This Row],[Shelter NFI New]]="", tblPiNHistorical[[#This Row],[Shelter NFI New]]=0), "", tblPiNHistorical[[#This Row],[Shelter NFI New]]-tblPiNHistorical[[#This Row],[Shelter NFI Old]])</f>
        <v/>
      </c>
      <c r="AP363" s="138" t="str">
        <f>IF(OR(tblPiNHistorical[[#This Row],[WASH Old]]="", tblPiNHistorical[[#This Row],[WASH Old]]=0, tblPiNHistorical[[#This Row],[WASH New]]="", tblPiNHistorical[[#This Row],[WASH New]]=0), "", tblPiNHistorical[[#This Row],[WASH New]]-tblPiNHistorical[[#This Row],[WASH Old]])</f>
        <v/>
      </c>
      <c r="AQ363" s="139" t="str">
        <f>IFERROR(ROUND((tblPiNHistorical[[#This Row],[Site Management - New]] - tblPiNHistorical[[#This Row],[Site Management - Old]])/tblPiNHistorical[[#This Row],[Site Management - Old]], 1), "")</f>
        <v/>
      </c>
      <c r="AR363" s="140" t="str">
        <f>IFERROR(ROUND((tblPiNHistorical[[#This Row],[Education New]]-tblPiNHistorical[[#This Row],[Education Old]])/tblPiNHistorical[[#This Row],[Education Old]], 1), "")</f>
        <v/>
      </c>
      <c r="AS363" s="141" t="str">
        <f>IFERROR(ROUND((tblPiNHistorical[[#This Row],[Food Security and Livlihoods New]]-tblPiNHistorical[[#This Row],[Food Security and Livlihoods Old]])/tblPiNHistorical[[#This Row],[Food Security and Livlihoods Old]], 1), "")</f>
        <v/>
      </c>
      <c r="AT363" s="142" t="str">
        <f>IFERROR(ROUND((tblPiNHistorical[[#This Row],[Health New]]-tblPiNHistorical[[#This Row],[Health Old]])/tblPiNHistorical[[#This Row],[Health Old]], 1), "")</f>
        <v/>
      </c>
      <c r="AU363" s="140" t="str">
        <f>IFERROR(ROUND((tblPiNHistorical[[#This Row],[Nutrition New]]-tblPiNHistorical[[#This Row],[Nutrition Old]])/tblPiNHistorical[[#This Row],[Nutrition Old]], 1), "")</f>
        <v/>
      </c>
      <c r="AV363" s="140" t="str">
        <f>IFERROR(ROUND((tblPiNHistorical[[#This Row],[Protection New]]-tblPiNHistorical[[#This Row],[Protection Old]])/tblPiNHistorical[[#This Row],[Protection Old]], 1), "")</f>
        <v/>
      </c>
      <c r="AW363" s="84" t="str">
        <f>IFERROR(ROUND((tblPiNHistorical[[#This Row],[CP New]]-tblPiNHistorical[[#This Row],[CP Old ]])/tblPiNHistorical[[#This Row],[CP Old ]], 1), "")</f>
        <v/>
      </c>
      <c r="AX363" s="84" t="str">
        <f>IFERROR(ROUND((tblPiNHistorical[[#This Row],[GBV New]]-tblPiNHistorical[[#This Row],[GBV Old]])/tblPiNHistorical[[#This Row],[GBV Old]], 1), "")</f>
        <v/>
      </c>
      <c r="AY363" s="84" t="str">
        <f>IFERROR(ROUND((tblPiNHistorical[[#This Row],[Mine Action New]]-tblPiNHistorical[[#This Row],[Mine Action Old]])/tblPiNHistorical[[#This Row],[Mine Action Old]], 1), "")</f>
        <v/>
      </c>
      <c r="AZ363" s="140" t="str">
        <f>IFERROR(ROUND((tblPiNHistorical[[#This Row],[Shelter NFI New]]-tblPiNHistorical[[#This Row],[Shelter NFI Old]])/tblPiNHistorical[[#This Row],[Shelter NFI Old]], 1), "")</f>
        <v/>
      </c>
      <c r="BA363" s="31" t="str">
        <f>IFERROR(ROUND((tblPiNHistorical[[#This Row],[WASH New]]-tblPiNHistorical[[#This Row],[WASH Old]])/tblPiNHistorical[[#This Row],[WASH Old]], 1), "")</f>
        <v/>
      </c>
    </row>
    <row r="364" spans="1:53" ht="38.25" x14ac:dyDescent="0.25">
      <c r="A364"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RefugeesSD18104</v>
      </c>
      <c r="B364" s="134" t="s">
        <v>194</v>
      </c>
      <c r="C364" s="124" t="s">
        <v>135</v>
      </c>
      <c r="D364" s="124" t="s">
        <v>562</v>
      </c>
      <c r="E364" s="59" t="s">
        <v>563</v>
      </c>
      <c r="F364" s="54"/>
      <c r="G364" s="29"/>
      <c r="H364" s="53">
        <v>3477</v>
      </c>
      <c r="I364" s="53" t="s">
        <v>90</v>
      </c>
      <c r="J364" s="34">
        <v>0</v>
      </c>
      <c r="K364" s="116">
        <v>1226</v>
      </c>
      <c r="L364" s="114">
        <v>3477</v>
      </c>
      <c r="M364" s="114">
        <v>1704</v>
      </c>
      <c r="N364" s="114">
        <v>317</v>
      </c>
      <c r="O364" s="114">
        <v>3477</v>
      </c>
      <c r="P364" s="114">
        <v>952.69800000000009</v>
      </c>
      <c r="Q364" s="114">
        <v>1467.2939999999999</v>
      </c>
      <c r="R364" s="114">
        <v>0</v>
      </c>
      <c r="S364" s="114">
        <v>1391</v>
      </c>
      <c r="T364" s="196">
        <v>3242</v>
      </c>
      <c r="U364" s="52" t="str">
        <f>IFERROR(INDEX(tblPiNAnalysis[[Site Management ]], MATCH(tblPiNHistorical[[#This Row],[ID]], tblPiNAnalysis[ID], 0)), "")</f>
        <v/>
      </c>
      <c r="V364" s="52" t="str">
        <f>IFERROR(INDEX(tblPiNAnalysis[Education], MATCH(tblPiNHistorical[[#This Row],[ID]], tblPiNAnalysis[ID], 0)), "")</f>
        <v/>
      </c>
      <c r="W364" s="28" t="str">
        <f>IFERROR(INDEX(tblPiNAnalysis[Food Security and Livlihoods], MATCH(tblPiNHistorical[[#This Row],[ID]], tblPiNAnalysis[ID], 0)), "")</f>
        <v/>
      </c>
      <c r="X364" s="28" t="str">
        <f>IFERROR(INDEX(tblPiNAnalysis[[Health ]], MATCH(tblPiNHistorical[[#This Row],[ID]], tblPiNAnalysis[ID], 0)), "")</f>
        <v/>
      </c>
      <c r="Y364" s="28" t="str">
        <f>IFERROR(INDEX(tblPiNAnalysis[Nutrition], MATCH(tblPiNHistorical[[#This Row],[ID]], tblPiNAnalysis[ID], 0)), "")</f>
        <v/>
      </c>
      <c r="Z364" s="28" t="str">
        <f>IFERROR(INDEX(tblPiNAnalysis[Protection], MATCH(tblPiNHistorical[[#This Row],[ID]], tblPiNAnalysis[ID], 0)), "")</f>
        <v/>
      </c>
      <c r="AA364" s="28" t="str">
        <f>IFERROR(INDEX(tblPiNAnalysis[CP], MATCH(tblPiNHistorical[[#This Row],[ID]], tblPiNAnalysis[ID], 0)), "")</f>
        <v/>
      </c>
      <c r="AB364" s="83" t="str">
        <f>IFERROR(INDEX(tblPiNAnalysis[GBV], MATCH(tblPiNHistorical[[#This Row],[ID]], tblPiNAnalysis[ID], 0)), "")</f>
        <v/>
      </c>
      <c r="AC364" s="28" t="str">
        <f>IFERROR(INDEX(tblPiNAnalysis[Mine Action], MATCH(tblPiNHistorical[[#This Row],[ID]], tblPiNAnalysis[ID], 0)), "")</f>
        <v/>
      </c>
      <c r="AD364" s="83" t="str">
        <f>IFERROR(INDEX(tblPiNAnalysis[[Shelter NFI ]], MATCH(tblPiNHistorical[[#This Row],[ID]], tblPiNAnalysis[ID], 0)), "")</f>
        <v/>
      </c>
      <c r="AE364" s="28" t="str">
        <f>IFERROR(INDEX(tblPiNAnalysis[WASH], MATCH(tblPiNHistorical[[#This Row],[ID]], tblPiNAnalysis[ID], 0)), "")</f>
        <v/>
      </c>
      <c r="AF364"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364" s="136" t="str">
        <f>IF(OR(tblPiNHistorical[[#This Row],[Education Old]]="", tblPiNHistorical[[#This Row],[Education Old]]=0, tblPiNHistorical[[#This Row],[Education New]]="", tblPiNHistorical[[#This Row],[Education New]]=0), "", tblPiNHistorical[[#This Row],[Education New]]-tblPiNHistorical[[#This Row],[Education Old]])</f>
        <v/>
      </c>
      <c r="AH364"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364" s="137" t="str">
        <f>IF(OR(tblPiNHistorical[[#This Row],[Health Old]]="", tblPiNHistorical[[#This Row],[Health Old]]=0, tblPiNHistorical[[#This Row],[Health New]]="", tblPiNHistorical[[#This Row],[Health New]]=0), "", tblPiNHistorical[[#This Row],[Health New]]-tblPiNHistorical[[#This Row],[Health Old]])</f>
        <v/>
      </c>
      <c r="AJ364" s="136" t="str">
        <f>IF(OR(tblPiNHistorical[[#This Row],[Nutrition Old]]="", tblPiNHistorical[[#This Row],[Nutrition Old]]=0, tblPiNHistorical[[#This Row],[Nutrition New]]="", tblPiNHistorical[[#This Row],[Nutrition New]]=0), "", tblPiNHistorical[[#This Row],[Nutrition New]]-tblPiNHistorical[[#This Row],[Nutrition Old]])</f>
        <v/>
      </c>
      <c r="AK364" s="136" t="str">
        <f>IF(OR(tblPiNHistorical[[#This Row],[Protection Old]]="", tblPiNHistorical[[#This Row],[Protection Old]]=0, tblPiNHistorical[[#This Row],[Protection New]]="", tblPiNHistorical[[#This Row],[Protection New]]=0), "", tblPiNHistorical[[#This Row],[Protection New]]-tblPiNHistorical[[#This Row],[Protection Old]])</f>
        <v/>
      </c>
      <c r="AL364" s="136" t="str">
        <f>IF(OR(tblPiNHistorical[[#This Row],[CP Old ]]="", tblPiNHistorical[[#This Row],[CP Old ]]=0, tblPiNHistorical[[#This Row],[CP New]]="", tblPiNHistorical[[#This Row],[CP New]]=0), "", tblPiNHistorical[[#This Row],[CP New]]-tblPiNHistorical[[#This Row],[CP Old ]])</f>
        <v/>
      </c>
      <c r="AM364" s="83" t="str">
        <f>IF(OR(tblPiNHistorical[[#This Row],[GBV Old]]="", tblPiNHistorical[[#This Row],[GBV Old]]=0, tblPiNHistorical[[#This Row],[GBV New]]="", tblPiNHistorical[[#This Row],[GBV New]]=0), "", tblPiNHistorical[[#This Row],[GBV New]]-tblPiNHistorical[[#This Row],[GBV Old]])</f>
        <v/>
      </c>
      <c r="AN364" s="83" t="str">
        <f>IF(OR(tblPiNHistorical[[#This Row],[Mine Action Old]]="", tblPiNHistorical[[#This Row],[Mine Action Old]]=0, tblPiNHistorical[[#This Row],[Mine Action New]]="", tblPiNHistorical[[#This Row],[Mine Action New]]=0), "", tblPiNHistorical[[#This Row],[Mine Action New]]-tblPiNHistorical[[#This Row],[Mine Action Old]])</f>
        <v/>
      </c>
      <c r="AO364" s="136" t="str">
        <f>IF(OR(tblPiNHistorical[[#This Row],[Shelter NFI Old]]="", tblPiNHistorical[[#This Row],[Shelter NFI Old]]=0, tblPiNHistorical[[#This Row],[Shelter NFI New]]="", tblPiNHistorical[[#This Row],[Shelter NFI New]]=0), "", tblPiNHistorical[[#This Row],[Shelter NFI New]]-tblPiNHistorical[[#This Row],[Shelter NFI Old]])</f>
        <v/>
      </c>
      <c r="AP364" s="138" t="str">
        <f>IF(OR(tblPiNHistorical[[#This Row],[WASH Old]]="", tblPiNHistorical[[#This Row],[WASH Old]]=0, tblPiNHistorical[[#This Row],[WASH New]]="", tblPiNHistorical[[#This Row],[WASH New]]=0), "", tblPiNHistorical[[#This Row],[WASH New]]-tblPiNHistorical[[#This Row],[WASH Old]])</f>
        <v/>
      </c>
      <c r="AQ364" s="139" t="str">
        <f>IFERROR(ROUND((tblPiNHistorical[[#This Row],[Site Management - New]] - tblPiNHistorical[[#This Row],[Site Management - Old]])/tblPiNHistorical[[#This Row],[Site Management - Old]], 1), "")</f>
        <v/>
      </c>
      <c r="AR364" s="140" t="str">
        <f>IFERROR(ROUND((tblPiNHistorical[[#This Row],[Education New]]-tblPiNHistorical[[#This Row],[Education Old]])/tblPiNHistorical[[#This Row],[Education Old]], 1), "")</f>
        <v/>
      </c>
      <c r="AS364" s="141" t="str">
        <f>IFERROR(ROUND((tblPiNHistorical[[#This Row],[Food Security and Livlihoods New]]-tblPiNHistorical[[#This Row],[Food Security and Livlihoods Old]])/tblPiNHistorical[[#This Row],[Food Security and Livlihoods Old]], 1), "")</f>
        <v/>
      </c>
      <c r="AT364" s="142" t="str">
        <f>IFERROR(ROUND((tblPiNHistorical[[#This Row],[Health New]]-tblPiNHistorical[[#This Row],[Health Old]])/tblPiNHistorical[[#This Row],[Health Old]], 1), "")</f>
        <v/>
      </c>
      <c r="AU364" s="140" t="str">
        <f>IFERROR(ROUND((tblPiNHistorical[[#This Row],[Nutrition New]]-tblPiNHistorical[[#This Row],[Nutrition Old]])/tblPiNHistorical[[#This Row],[Nutrition Old]], 1), "")</f>
        <v/>
      </c>
      <c r="AV364" s="140" t="str">
        <f>IFERROR(ROUND((tblPiNHistorical[[#This Row],[Protection New]]-tblPiNHistorical[[#This Row],[Protection Old]])/tblPiNHistorical[[#This Row],[Protection Old]], 1), "")</f>
        <v/>
      </c>
      <c r="AW364" s="84" t="str">
        <f>IFERROR(ROUND((tblPiNHistorical[[#This Row],[CP New]]-tblPiNHistorical[[#This Row],[CP Old ]])/tblPiNHistorical[[#This Row],[CP Old ]], 1), "")</f>
        <v/>
      </c>
      <c r="AX364" s="84" t="str">
        <f>IFERROR(ROUND((tblPiNHistorical[[#This Row],[GBV New]]-tblPiNHistorical[[#This Row],[GBV Old]])/tblPiNHistorical[[#This Row],[GBV Old]], 1), "")</f>
        <v/>
      </c>
      <c r="AY364" s="84" t="str">
        <f>IFERROR(ROUND((tblPiNHistorical[[#This Row],[Mine Action New]]-tblPiNHistorical[[#This Row],[Mine Action Old]])/tblPiNHistorical[[#This Row],[Mine Action Old]], 1), "")</f>
        <v/>
      </c>
      <c r="AZ364" s="140" t="str">
        <f>IFERROR(ROUND((tblPiNHistorical[[#This Row],[Shelter NFI New]]-tblPiNHistorical[[#This Row],[Shelter NFI Old]])/tblPiNHistorical[[#This Row],[Shelter NFI Old]], 1), "")</f>
        <v/>
      </c>
      <c r="BA364" s="31" t="str">
        <f>IFERROR(ROUND((tblPiNHistorical[[#This Row],[WASH New]]-tblPiNHistorical[[#This Row],[WASH Old]])/tblPiNHistorical[[#This Row],[WASH Old]], 1), "")</f>
        <v/>
      </c>
    </row>
    <row r="365" spans="1:53" ht="38.25" x14ac:dyDescent="0.25">
      <c r="A365"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RefugeesSD18105</v>
      </c>
      <c r="B365" s="134" t="s">
        <v>194</v>
      </c>
      <c r="C365" s="124" t="s">
        <v>135</v>
      </c>
      <c r="D365" s="124" t="s">
        <v>564</v>
      </c>
      <c r="E365" s="59" t="s">
        <v>565</v>
      </c>
      <c r="F365" s="54"/>
      <c r="G365" s="29"/>
      <c r="H365" s="53">
        <v>0</v>
      </c>
      <c r="I365" s="53" t="s">
        <v>90</v>
      </c>
      <c r="J365" s="34">
        <v>0</v>
      </c>
      <c r="K365" s="116">
        <v>0</v>
      </c>
      <c r="L365" s="114">
        <v>0</v>
      </c>
      <c r="M365" s="114">
        <v>0</v>
      </c>
      <c r="N365" s="114">
        <v>0</v>
      </c>
      <c r="O365" s="114">
        <v>0</v>
      </c>
      <c r="P365" s="114">
        <v>0</v>
      </c>
      <c r="Q365" s="114">
        <v>0</v>
      </c>
      <c r="R365" s="114">
        <v>0</v>
      </c>
      <c r="S365" s="114">
        <v>0</v>
      </c>
      <c r="T365" s="196">
        <v>0</v>
      </c>
      <c r="U365" s="52" t="str">
        <f>IFERROR(INDEX(tblPiNAnalysis[[Site Management ]], MATCH(tblPiNHistorical[[#This Row],[ID]], tblPiNAnalysis[ID], 0)), "")</f>
        <v/>
      </c>
      <c r="V365" s="52" t="str">
        <f>IFERROR(INDEX(tblPiNAnalysis[Education], MATCH(tblPiNHistorical[[#This Row],[ID]], tblPiNAnalysis[ID], 0)), "")</f>
        <v/>
      </c>
      <c r="W365" s="28" t="str">
        <f>IFERROR(INDEX(tblPiNAnalysis[Food Security and Livlihoods], MATCH(tblPiNHistorical[[#This Row],[ID]], tblPiNAnalysis[ID], 0)), "")</f>
        <v/>
      </c>
      <c r="X365" s="28" t="str">
        <f>IFERROR(INDEX(tblPiNAnalysis[[Health ]], MATCH(tblPiNHistorical[[#This Row],[ID]], tblPiNAnalysis[ID], 0)), "")</f>
        <v/>
      </c>
      <c r="Y365" s="28" t="str">
        <f>IFERROR(INDEX(tblPiNAnalysis[Nutrition], MATCH(tblPiNHistorical[[#This Row],[ID]], tblPiNAnalysis[ID], 0)), "")</f>
        <v/>
      </c>
      <c r="Z365" s="28" t="str">
        <f>IFERROR(INDEX(tblPiNAnalysis[Protection], MATCH(tblPiNHistorical[[#This Row],[ID]], tblPiNAnalysis[ID], 0)), "")</f>
        <v/>
      </c>
      <c r="AA365" s="28" t="str">
        <f>IFERROR(INDEX(tblPiNAnalysis[CP], MATCH(tblPiNHistorical[[#This Row],[ID]], tblPiNAnalysis[ID], 0)), "")</f>
        <v/>
      </c>
      <c r="AB365" s="83" t="str">
        <f>IFERROR(INDEX(tblPiNAnalysis[GBV], MATCH(tblPiNHistorical[[#This Row],[ID]], tblPiNAnalysis[ID], 0)), "")</f>
        <v/>
      </c>
      <c r="AC365" s="28" t="str">
        <f>IFERROR(INDEX(tblPiNAnalysis[Mine Action], MATCH(tblPiNHistorical[[#This Row],[ID]], tblPiNAnalysis[ID], 0)), "")</f>
        <v/>
      </c>
      <c r="AD365" s="83" t="str">
        <f>IFERROR(INDEX(tblPiNAnalysis[[Shelter NFI ]], MATCH(tblPiNHistorical[[#This Row],[ID]], tblPiNAnalysis[ID], 0)), "")</f>
        <v/>
      </c>
      <c r="AE365" s="28" t="str">
        <f>IFERROR(INDEX(tblPiNAnalysis[WASH], MATCH(tblPiNHistorical[[#This Row],[ID]], tblPiNAnalysis[ID], 0)), "")</f>
        <v/>
      </c>
      <c r="AF365"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365" s="136" t="str">
        <f>IF(OR(tblPiNHistorical[[#This Row],[Education Old]]="", tblPiNHistorical[[#This Row],[Education Old]]=0, tblPiNHistorical[[#This Row],[Education New]]="", tblPiNHistorical[[#This Row],[Education New]]=0), "", tblPiNHistorical[[#This Row],[Education New]]-tblPiNHistorical[[#This Row],[Education Old]])</f>
        <v/>
      </c>
      <c r="AH365"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365" s="137" t="str">
        <f>IF(OR(tblPiNHistorical[[#This Row],[Health Old]]="", tblPiNHistorical[[#This Row],[Health Old]]=0, tblPiNHistorical[[#This Row],[Health New]]="", tblPiNHistorical[[#This Row],[Health New]]=0), "", tblPiNHistorical[[#This Row],[Health New]]-tblPiNHistorical[[#This Row],[Health Old]])</f>
        <v/>
      </c>
      <c r="AJ365" s="136" t="str">
        <f>IF(OR(tblPiNHistorical[[#This Row],[Nutrition Old]]="", tblPiNHistorical[[#This Row],[Nutrition Old]]=0, tblPiNHistorical[[#This Row],[Nutrition New]]="", tblPiNHistorical[[#This Row],[Nutrition New]]=0), "", tblPiNHistorical[[#This Row],[Nutrition New]]-tblPiNHistorical[[#This Row],[Nutrition Old]])</f>
        <v/>
      </c>
      <c r="AK365" s="136" t="str">
        <f>IF(OR(tblPiNHistorical[[#This Row],[Protection Old]]="", tblPiNHistorical[[#This Row],[Protection Old]]=0, tblPiNHistorical[[#This Row],[Protection New]]="", tblPiNHistorical[[#This Row],[Protection New]]=0), "", tblPiNHistorical[[#This Row],[Protection New]]-tblPiNHistorical[[#This Row],[Protection Old]])</f>
        <v/>
      </c>
      <c r="AL365" s="136" t="str">
        <f>IF(OR(tblPiNHistorical[[#This Row],[CP Old ]]="", tblPiNHistorical[[#This Row],[CP Old ]]=0, tblPiNHistorical[[#This Row],[CP New]]="", tblPiNHistorical[[#This Row],[CP New]]=0), "", tblPiNHistorical[[#This Row],[CP New]]-tblPiNHistorical[[#This Row],[CP Old ]])</f>
        <v/>
      </c>
      <c r="AM365" s="83" t="str">
        <f>IF(OR(tblPiNHistorical[[#This Row],[GBV Old]]="", tblPiNHistorical[[#This Row],[GBV Old]]=0, tblPiNHistorical[[#This Row],[GBV New]]="", tblPiNHistorical[[#This Row],[GBV New]]=0), "", tblPiNHistorical[[#This Row],[GBV New]]-tblPiNHistorical[[#This Row],[GBV Old]])</f>
        <v/>
      </c>
      <c r="AN365" s="83" t="str">
        <f>IF(OR(tblPiNHistorical[[#This Row],[Mine Action Old]]="", tblPiNHistorical[[#This Row],[Mine Action Old]]=0, tblPiNHistorical[[#This Row],[Mine Action New]]="", tblPiNHistorical[[#This Row],[Mine Action New]]=0), "", tblPiNHistorical[[#This Row],[Mine Action New]]-tblPiNHistorical[[#This Row],[Mine Action Old]])</f>
        <v/>
      </c>
      <c r="AO365" s="136" t="str">
        <f>IF(OR(tblPiNHistorical[[#This Row],[Shelter NFI Old]]="", tblPiNHistorical[[#This Row],[Shelter NFI Old]]=0, tblPiNHistorical[[#This Row],[Shelter NFI New]]="", tblPiNHistorical[[#This Row],[Shelter NFI New]]=0), "", tblPiNHistorical[[#This Row],[Shelter NFI New]]-tblPiNHistorical[[#This Row],[Shelter NFI Old]])</f>
        <v/>
      </c>
      <c r="AP365" s="138" t="str">
        <f>IF(OR(tblPiNHistorical[[#This Row],[WASH Old]]="", tblPiNHistorical[[#This Row],[WASH Old]]=0, tblPiNHistorical[[#This Row],[WASH New]]="", tblPiNHistorical[[#This Row],[WASH New]]=0), "", tblPiNHistorical[[#This Row],[WASH New]]-tblPiNHistorical[[#This Row],[WASH Old]])</f>
        <v/>
      </c>
      <c r="AQ365" s="139" t="str">
        <f>IFERROR(ROUND((tblPiNHistorical[[#This Row],[Site Management - New]] - tblPiNHistorical[[#This Row],[Site Management - Old]])/tblPiNHistorical[[#This Row],[Site Management - Old]], 1), "")</f>
        <v/>
      </c>
      <c r="AR365" s="140" t="str">
        <f>IFERROR(ROUND((tblPiNHistorical[[#This Row],[Education New]]-tblPiNHistorical[[#This Row],[Education Old]])/tblPiNHistorical[[#This Row],[Education Old]], 1), "")</f>
        <v/>
      </c>
      <c r="AS365" s="141" t="str">
        <f>IFERROR(ROUND((tblPiNHistorical[[#This Row],[Food Security and Livlihoods New]]-tblPiNHistorical[[#This Row],[Food Security and Livlihoods Old]])/tblPiNHistorical[[#This Row],[Food Security and Livlihoods Old]], 1), "")</f>
        <v/>
      </c>
      <c r="AT365" s="142" t="str">
        <f>IFERROR(ROUND((tblPiNHistorical[[#This Row],[Health New]]-tblPiNHistorical[[#This Row],[Health Old]])/tblPiNHistorical[[#This Row],[Health Old]], 1), "")</f>
        <v/>
      </c>
      <c r="AU365" s="140" t="str">
        <f>IFERROR(ROUND((tblPiNHistorical[[#This Row],[Nutrition New]]-tblPiNHistorical[[#This Row],[Nutrition Old]])/tblPiNHistorical[[#This Row],[Nutrition Old]], 1), "")</f>
        <v/>
      </c>
      <c r="AV365" s="140" t="str">
        <f>IFERROR(ROUND((tblPiNHistorical[[#This Row],[Protection New]]-tblPiNHistorical[[#This Row],[Protection Old]])/tblPiNHistorical[[#This Row],[Protection Old]], 1), "")</f>
        <v/>
      </c>
      <c r="AW365" s="84" t="str">
        <f>IFERROR(ROUND((tblPiNHistorical[[#This Row],[CP New]]-tblPiNHistorical[[#This Row],[CP Old ]])/tblPiNHistorical[[#This Row],[CP Old ]], 1), "")</f>
        <v/>
      </c>
      <c r="AX365" s="84" t="str">
        <f>IFERROR(ROUND((tblPiNHistorical[[#This Row],[GBV New]]-tblPiNHistorical[[#This Row],[GBV Old]])/tblPiNHistorical[[#This Row],[GBV Old]], 1), "")</f>
        <v/>
      </c>
      <c r="AY365" s="84" t="str">
        <f>IFERROR(ROUND((tblPiNHistorical[[#This Row],[Mine Action New]]-tblPiNHistorical[[#This Row],[Mine Action Old]])/tblPiNHistorical[[#This Row],[Mine Action Old]], 1), "")</f>
        <v/>
      </c>
      <c r="AZ365" s="140" t="str">
        <f>IFERROR(ROUND((tblPiNHistorical[[#This Row],[Shelter NFI New]]-tblPiNHistorical[[#This Row],[Shelter NFI Old]])/tblPiNHistorical[[#This Row],[Shelter NFI Old]], 1), "")</f>
        <v/>
      </c>
      <c r="BA365" s="31" t="str">
        <f>IFERROR(ROUND((tblPiNHistorical[[#This Row],[WASH New]]-tblPiNHistorical[[#This Row],[WASH Old]])/tblPiNHistorical[[#This Row],[WASH Old]], 1), "")</f>
        <v/>
      </c>
    </row>
    <row r="366" spans="1:53" ht="38.25" x14ac:dyDescent="0.25">
      <c r="A366"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RefugeesSD18102</v>
      </c>
      <c r="B366" s="134" t="s">
        <v>194</v>
      </c>
      <c r="C366" s="124" t="s">
        <v>135</v>
      </c>
      <c r="D366" s="124" t="s">
        <v>558</v>
      </c>
      <c r="E366" s="59" t="s">
        <v>559</v>
      </c>
      <c r="F366" s="54"/>
      <c r="G366" s="29"/>
      <c r="H366" s="53">
        <v>2</v>
      </c>
      <c r="I366" s="53" t="s">
        <v>90</v>
      </c>
      <c r="J366" s="34">
        <v>0</v>
      </c>
      <c r="K366" s="116">
        <v>1</v>
      </c>
      <c r="L366" s="114">
        <v>2</v>
      </c>
      <c r="M366" s="114">
        <v>1</v>
      </c>
      <c r="N366" s="114">
        <v>0</v>
      </c>
      <c r="O366" s="114">
        <v>2</v>
      </c>
      <c r="P366" s="114">
        <v>0.54800000000000004</v>
      </c>
      <c r="Q366" s="114">
        <v>0.84399999999999997</v>
      </c>
      <c r="R366" s="114">
        <v>0.4</v>
      </c>
      <c r="S366" s="114">
        <v>1</v>
      </c>
      <c r="T366" s="196">
        <v>2</v>
      </c>
      <c r="U366" s="52" t="str">
        <f>IFERROR(INDEX(tblPiNAnalysis[[Site Management ]], MATCH(tblPiNHistorical[[#This Row],[ID]], tblPiNAnalysis[ID], 0)), "")</f>
        <v/>
      </c>
      <c r="V366" s="52" t="str">
        <f>IFERROR(INDEX(tblPiNAnalysis[Education], MATCH(tblPiNHistorical[[#This Row],[ID]], tblPiNAnalysis[ID], 0)), "")</f>
        <v/>
      </c>
      <c r="W366" s="28" t="str">
        <f>IFERROR(INDEX(tblPiNAnalysis[Food Security and Livlihoods], MATCH(tblPiNHistorical[[#This Row],[ID]], tblPiNAnalysis[ID], 0)), "")</f>
        <v/>
      </c>
      <c r="X366" s="28" t="str">
        <f>IFERROR(INDEX(tblPiNAnalysis[[Health ]], MATCH(tblPiNHistorical[[#This Row],[ID]], tblPiNAnalysis[ID], 0)), "")</f>
        <v/>
      </c>
      <c r="Y366" s="28" t="str">
        <f>IFERROR(INDEX(tblPiNAnalysis[Nutrition], MATCH(tblPiNHistorical[[#This Row],[ID]], tblPiNAnalysis[ID], 0)), "")</f>
        <v/>
      </c>
      <c r="Z366" s="28" t="str">
        <f>IFERROR(INDEX(tblPiNAnalysis[Protection], MATCH(tblPiNHistorical[[#This Row],[ID]], tblPiNAnalysis[ID], 0)), "")</f>
        <v/>
      </c>
      <c r="AA366" s="28" t="str">
        <f>IFERROR(INDEX(tblPiNAnalysis[CP], MATCH(tblPiNHistorical[[#This Row],[ID]], tblPiNAnalysis[ID], 0)), "")</f>
        <v/>
      </c>
      <c r="AB366" s="83" t="str">
        <f>IFERROR(INDEX(tblPiNAnalysis[GBV], MATCH(tblPiNHistorical[[#This Row],[ID]], tblPiNAnalysis[ID], 0)), "")</f>
        <v/>
      </c>
      <c r="AC366" s="28" t="str">
        <f>IFERROR(INDEX(tblPiNAnalysis[Mine Action], MATCH(tblPiNHistorical[[#This Row],[ID]], tblPiNAnalysis[ID], 0)), "")</f>
        <v/>
      </c>
      <c r="AD366" s="83" t="str">
        <f>IFERROR(INDEX(tblPiNAnalysis[[Shelter NFI ]], MATCH(tblPiNHistorical[[#This Row],[ID]], tblPiNAnalysis[ID], 0)), "")</f>
        <v/>
      </c>
      <c r="AE366" s="28" t="str">
        <f>IFERROR(INDEX(tblPiNAnalysis[WASH], MATCH(tblPiNHistorical[[#This Row],[ID]], tblPiNAnalysis[ID], 0)), "")</f>
        <v/>
      </c>
      <c r="AF366"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366" s="136" t="str">
        <f>IF(OR(tblPiNHistorical[[#This Row],[Education Old]]="", tblPiNHistorical[[#This Row],[Education Old]]=0, tblPiNHistorical[[#This Row],[Education New]]="", tblPiNHistorical[[#This Row],[Education New]]=0), "", tblPiNHistorical[[#This Row],[Education New]]-tblPiNHistorical[[#This Row],[Education Old]])</f>
        <v/>
      </c>
      <c r="AH366"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366" s="137" t="str">
        <f>IF(OR(tblPiNHistorical[[#This Row],[Health Old]]="", tblPiNHistorical[[#This Row],[Health Old]]=0, tblPiNHistorical[[#This Row],[Health New]]="", tblPiNHistorical[[#This Row],[Health New]]=0), "", tblPiNHistorical[[#This Row],[Health New]]-tblPiNHistorical[[#This Row],[Health Old]])</f>
        <v/>
      </c>
      <c r="AJ366" s="136" t="str">
        <f>IF(OR(tblPiNHistorical[[#This Row],[Nutrition Old]]="", tblPiNHistorical[[#This Row],[Nutrition Old]]=0, tblPiNHistorical[[#This Row],[Nutrition New]]="", tblPiNHistorical[[#This Row],[Nutrition New]]=0), "", tblPiNHistorical[[#This Row],[Nutrition New]]-tblPiNHistorical[[#This Row],[Nutrition Old]])</f>
        <v/>
      </c>
      <c r="AK366" s="136" t="str">
        <f>IF(OR(tblPiNHistorical[[#This Row],[Protection Old]]="", tblPiNHistorical[[#This Row],[Protection Old]]=0, tblPiNHistorical[[#This Row],[Protection New]]="", tblPiNHistorical[[#This Row],[Protection New]]=0), "", tblPiNHistorical[[#This Row],[Protection New]]-tblPiNHistorical[[#This Row],[Protection Old]])</f>
        <v/>
      </c>
      <c r="AL366" s="136" t="str">
        <f>IF(OR(tblPiNHistorical[[#This Row],[CP Old ]]="", tblPiNHistorical[[#This Row],[CP Old ]]=0, tblPiNHistorical[[#This Row],[CP New]]="", tblPiNHistorical[[#This Row],[CP New]]=0), "", tblPiNHistorical[[#This Row],[CP New]]-tblPiNHistorical[[#This Row],[CP Old ]])</f>
        <v/>
      </c>
      <c r="AM366" s="83" t="str">
        <f>IF(OR(tblPiNHistorical[[#This Row],[GBV Old]]="", tblPiNHistorical[[#This Row],[GBV Old]]=0, tblPiNHistorical[[#This Row],[GBV New]]="", tblPiNHistorical[[#This Row],[GBV New]]=0), "", tblPiNHistorical[[#This Row],[GBV New]]-tblPiNHistorical[[#This Row],[GBV Old]])</f>
        <v/>
      </c>
      <c r="AN366" s="83" t="str">
        <f>IF(OR(tblPiNHistorical[[#This Row],[Mine Action Old]]="", tblPiNHistorical[[#This Row],[Mine Action Old]]=0, tblPiNHistorical[[#This Row],[Mine Action New]]="", tblPiNHistorical[[#This Row],[Mine Action New]]=0), "", tblPiNHistorical[[#This Row],[Mine Action New]]-tblPiNHistorical[[#This Row],[Mine Action Old]])</f>
        <v/>
      </c>
      <c r="AO366" s="136" t="str">
        <f>IF(OR(tblPiNHistorical[[#This Row],[Shelter NFI Old]]="", tblPiNHistorical[[#This Row],[Shelter NFI Old]]=0, tblPiNHistorical[[#This Row],[Shelter NFI New]]="", tblPiNHistorical[[#This Row],[Shelter NFI New]]=0), "", tblPiNHistorical[[#This Row],[Shelter NFI New]]-tblPiNHistorical[[#This Row],[Shelter NFI Old]])</f>
        <v/>
      </c>
      <c r="AP366" s="138" t="str">
        <f>IF(OR(tblPiNHistorical[[#This Row],[WASH Old]]="", tblPiNHistorical[[#This Row],[WASH Old]]=0, tblPiNHistorical[[#This Row],[WASH New]]="", tblPiNHistorical[[#This Row],[WASH New]]=0), "", tblPiNHistorical[[#This Row],[WASH New]]-tblPiNHistorical[[#This Row],[WASH Old]])</f>
        <v/>
      </c>
      <c r="AQ366" s="139" t="str">
        <f>IFERROR(ROUND((tblPiNHistorical[[#This Row],[Site Management - New]] - tblPiNHistorical[[#This Row],[Site Management - Old]])/tblPiNHistorical[[#This Row],[Site Management - Old]], 1), "")</f>
        <v/>
      </c>
      <c r="AR366" s="140" t="str">
        <f>IFERROR(ROUND((tblPiNHistorical[[#This Row],[Education New]]-tblPiNHistorical[[#This Row],[Education Old]])/tblPiNHistorical[[#This Row],[Education Old]], 1), "")</f>
        <v/>
      </c>
      <c r="AS366" s="141" t="str">
        <f>IFERROR(ROUND((tblPiNHistorical[[#This Row],[Food Security and Livlihoods New]]-tblPiNHistorical[[#This Row],[Food Security and Livlihoods Old]])/tblPiNHistorical[[#This Row],[Food Security and Livlihoods Old]], 1), "")</f>
        <v/>
      </c>
      <c r="AT366" s="142" t="str">
        <f>IFERROR(ROUND((tblPiNHistorical[[#This Row],[Health New]]-tblPiNHistorical[[#This Row],[Health Old]])/tblPiNHistorical[[#This Row],[Health Old]], 1), "")</f>
        <v/>
      </c>
      <c r="AU366" s="140" t="str">
        <f>IFERROR(ROUND((tblPiNHistorical[[#This Row],[Nutrition New]]-tblPiNHistorical[[#This Row],[Nutrition Old]])/tblPiNHistorical[[#This Row],[Nutrition Old]], 1), "")</f>
        <v/>
      </c>
      <c r="AV366" s="140" t="str">
        <f>IFERROR(ROUND((tblPiNHistorical[[#This Row],[Protection New]]-tblPiNHistorical[[#This Row],[Protection Old]])/tblPiNHistorical[[#This Row],[Protection Old]], 1), "")</f>
        <v/>
      </c>
      <c r="AW366" s="84" t="str">
        <f>IFERROR(ROUND((tblPiNHistorical[[#This Row],[CP New]]-tblPiNHistorical[[#This Row],[CP Old ]])/tblPiNHistorical[[#This Row],[CP Old ]], 1), "")</f>
        <v/>
      </c>
      <c r="AX366" s="84" t="str">
        <f>IFERROR(ROUND((tblPiNHistorical[[#This Row],[GBV New]]-tblPiNHistorical[[#This Row],[GBV Old]])/tblPiNHistorical[[#This Row],[GBV Old]], 1), "")</f>
        <v/>
      </c>
      <c r="AY366" s="84" t="str">
        <f>IFERROR(ROUND((tblPiNHistorical[[#This Row],[Mine Action New]]-tblPiNHistorical[[#This Row],[Mine Action Old]])/tblPiNHistorical[[#This Row],[Mine Action Old]], 1), "")</f>
        <v/>
      </c>
      <c r="AZ366" s="140" t="str">
        <f>IFERROR(ROUND((tblPiNHistorical[[#This Row],[Shelter NFI New]]-tblPiNHistorical[[#This Row],[Shelter NFI Old]])/tblPiNHistorical[[#This Row],[Shelter NFI Old]], 1), "")</f>
        <v/>
      </c>
      <c r="BA366" s="31" t="str">
        <f>IFERROR(ROUND((tblPiNHistorical[[#This Row],[WASH New]]-tblPiNHistorical[[#This Row],[WASH Old]])/tblPiNHistorical[[#This Row],[WASH Old]], 1), "")</f>
        <v/>
      </c>
    </row>
    <row r="367" spans="1:53" ht="38.25" x14ac:dyDescent="0.25">
      <c r="A367"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RefugeesSD18106</v>
      </c>
      <c r="B367" s="134" t="s">
        <v>194</v>
      </c>
      <c r="C367" s="124" t="s">
        <v>135</v>
      </c>
      <c r="D367" s="124" t="s">
        <v>566</v>
      </c>
      <c r="E367" s="59" t="s">
        <v>567</v>
      </c>
      <c r="F367" s="54"/>
      <c r="G367" s="29"/>
      <c r="H367" s="53">
        <v>11719</v>
      </c>
      <c r="I367" s="53" t="s">
        <v>90</v>
      </c>
      <c r="J367" s="34">
        <v>0</v>
      </c>
      <c r="K367" s="116">
        <v>5167</v>
      </c>
      <c r="L367" s="114">
        <v>11719</v>
      </c>
      <c r="M367" s="114">
        <v>3399</v>
      </c>
      <c r="N367" s="114">
        <v>1070</v>
      </c>
      <c r="O367" s="114">
        <v>11719</v>
      </c>
      <c r="P367" s="114">
        <v>2906.3119999999999</v>
      </c>
      <c r="Q367" s="114">
        <v>6035.2849999999999</v>
      </c>
      <c r="R367" s="114">
        <v>0</v>
      </c>
      <c r="S367" s="114">
        <v>7031</v>
      </c>
      <c r="T367" s="196">
        <v>11719</v>
      </c>
      <c r="U367" s="52" t="str">
        <f>IFERROR(INDEX(tblPiNAnalysis[[Site Management ]], MATCH(tblPiNHistorical[[#This Row],[ID]], tblPiNAnalysis[ID], 0)), "")</f>
        <v/>
      </c>
      <c r="V367" s="52" t="str">
        <f>IFERROR(INDEX(tblPiNAnalysis[Education], MATCH(tblPiNHistorical[[#This Row],[ID]], tblPiNAnalysis[ID], 0)), "")</f>
        <v/>
      </c>
      <c r="W367" s="28" t="str">
        <f>IFERROR(INDEX(tblPiNAnalysis[Food Security and Livlihoods], MATCH(tblPiNHistorical[[#This Row],[ID]], tblPiNAnalysis[ID], 0)), "")</f>
        <v/>
      </c>
      <c r="X367" s="28" t="str">
        <f>IFERROR(INDEX(tblPiNAnalysis[[Health ]], MATCH(tblPiNHistorical[[#This Row],[ID]], tblPiNAnalysis[ID], 0)), "")</f>
        <v/>
      </c>
      <c r="Y367" s="28" t="str">
        <f>IFERROR(INDEX(tblPiNAnalysis[Nutrition], MATCH(tblPiNHistorical[[#This Row],[ID]], tblPiNAnalysis[ID], 0)), "")</f>
        <v/>
      </c>
      <c r="Z367" s="28" t="str">
        <f>IFERROR(INDEX(tblPiNAnalysis[Protection], MATCH(tblPiNHistorical[[#This Row],[ID]], tblPiNAnalysis[ID], 0)), "")</f>
        <v/>
      </c>
      <c r="AA367" s="28" t="str">
        <f>IFERROR(INDEX(tblPiNAnalysis[CP], MATCH(tblPiNHistorical[[#This Row],[ID]], tblPiNAnalysis[ID], 0)), "")</f>
        <v/>
      </c>
      <c r="AB367" s="83" t="str">
        <f>IFERROR(INDEX(tblPiNAnalysis[GBV], MATCH(tblPiNHistorical[[#This Row],[ID]], tblPiNAnalysis[ID], 0)), "")</f>
        <v/>
      </c>
      <c r="AC367" s="28" t="str">
        <f>IFERROR(INDEX(tblPiNAnalysis[Mine Action], MATCH(tblPiNHistorical[[#This Row],[ID]], tblPiNAnalysis[ID], 0)), "")</f>
        <v/>
      </c>
      <c r="AD367" s="83" t="str">
        <f>IFERROR(INDEX(tblPiNAnalysis[[Shelter NFI ]], MATCH(tblPiNHistorical[[#This Row],[ID]], tblPiNAnalysis[ID], 0)), "")</f>
        <v/>
      </c>
      <c r="AE367" s="28" t="str">
        <f>IFERROR(INDEX(tblPiNAnalysis[WASH], MATCH(tblPiNHistorical[[#This Row],[ID]], tblPiNAnalysis[ID], 0)), "")</f>
        <v/>
      </c>
      <c r="AF367"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367" s="136" t="str">
        <f>IF(OR(tblPiNHistorical[[#This Row],[Education Old]]="", tblPiNHistorical[[#This Row],[Education Old]]=0, tblPiNHistorical[[#This Row],[Education New]]="", tblPiNHistorical[[#This Row],[Education New]]=0), "", tblPiNHistorical[[#This Row],[Education New]]-tblPiNHistorical[[#This Row],[Education Old]])</f>
        <v/>
      </c>
      <c r="AH367"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367" s="137" t="str">
        <f>IF(OR(tblPiNHistorical[[#This Row],[Health Old]]="", tblPiNHistorical[[#This Row],[Health Old]]=0, tblPiNHistorical[[#This Row],[Health New]]="", tblPiNHistorical[[#This Row],[Health New]]=0), "", tblPiNHistorical[[#This Row],[Health New]]-tblPiNHistorical[[#This Row],[Health Old]])</f>
        <v/>
      </c>
      <c r="AJ367" s="136" t="str">
        <f>IF(OR(tblPiNHistorical[[#This Row],[Nutrition Old]]="", tblPiNHistorical[[#This Row],[Nutrition Old]]=0, tblPiNHistorical[[#This Row],[Nutrition New]]="", tblPiNHistorical[[#This Row],[Nutrition New]]=0), "", tblPiNHistorical[[#This Row],[Nutrition New]]-tblPiNHistorical[[#This Row],[Nutrition Old]])</f>
        <v/>
      </c>
      <c r="AK367" s="136" t="str">
        <f>IF(OR(tblPiNHistorical[[#This Row],[Protection Old]]="", tblPiNHistorical[[#This Row],[Protection Old]]=0, tblPiNHistorical[[#This Row],[Protection New]]="", tblPiNHistorical[[#This Row],[Protection New]]=0), "", tblPiNHistorical[[#This Row],[Protection New]]-tblPiNHistorical[[#This Row],[Protection Old]])</f>
        <v/>
      </c>
      <c r="AL367" s="136" t="str">
        <f>IF(OR(tblPiNHistorical[[#This Row],[CP Old ]]="", tblPiNHistorical[[#This Row],[CP Old ]]=0, tblPiNHistorical[[#This Row],[CP New]]="", tblPiNHistorical[[#This Row],[CP New]]=0), "", tblPiNHistorical[[#This Row],[CP New]]-tblPiNHistorical[[#This Row],[CP Old ]])</f>
        <v/>
      </c>
      <c r="AM367" s="83" t="str">
        <f>IF(OR(tblPiNHistorical[[#This Row],[GBV Old]]="", tblPiNHistorical[[#This Row],[GBV Old]]=0, tblPiNHistorical[[#This Row],[GBV New]]="", tblPiNHistorical[[#This Row],[GBV New]]=0), "", tblPiNHistorical[[#This Row],[GBV New]]-tblPiNHistorical[[#This Row],[GBV Old]])</f>
        <v/>
      </c>
      <c r="AN367" s="83" t="str">
        <f>IF(OR(tblPiNHistorical[[#This Row],[Mine Action Old]]="", tblPiNHistorical[[#This Row],[Mine Action Old]]=0, tblPiNHistorical[[#This Row],[Mine Action New]]="", tblPiNHistorical[[#This Row],[Mine Action New]]=0), "", tblPiNHistorical[[#This Row],[Mine Action New]]-tblPiNHistorical[[#This Row],[Mine Action Old]])</f>
        <v/>
      </c>
      <c r="AO367" s="136" t="str">
        <f>IF(OR(tblPiNHistorical[[#This Row],[Shelter NFI Old]]="", tblPiNHistorical[[#This Row],[Shelter NFI Old]]=0, tblPiNHistorical[[#This Row],[Shelter NFI New]]="", tblPiNHistorical[[#This Row],[Shelter NFI New]]=0), "", tblPiNHistorical[[#This Row],[Shelter NFI New]]-tblPiNHistorical[[#This Row],[Shelter NFI Old]])</f>
        <v/>
      </c>
      <c r="AP367" s="138" t="str">
        <f>IF(OR(tblPiNHistorical[[#This Row],[WASH Old]]="", tblPiNHistorical[[#This Row],[WASH Old]]=0, tblPiNHistorical[[#This Row],[WASH New]]="", tblPiNHistorical[[#This Row],[WASH New]]=0), "", tblPiNHistorical[[#This Row],[WASH New]]-tblPiNHistorical[[#This Row],[WASH Old]])</f>
        <v/>
      </c>
      <c r="AQ367" s="139" t="str">
        <f>IFERROR(ROUND((tblPiNHistorical[[#This Row],[Site Management - New]] - tblPiNHistorical[[#This Row],[Site Management - Old]])/tblPiNHistorical[[#This Row],[Site Management - Old]], 1), "")</f>
        <v/>
      </c>
      <c r="AR367" s="140" t="str">
        <f>IFERROR(ROUND((tblPiNHistorical[[#This Row],[Education New]]-tblPiNHistorical[[#This Row],[Education Old]])/tblPiNHistorical[[#This Row],[Education Old]], 1), "")</f>
        <v/>
      </c>
      <c r="AS367" s="141" t="str">
        <f>IFERROR(ROUND((tblPiNHistorical[[#This Row],[Food Security and Livlihoods New]]-tblPiNHistorical[[#This Row],[Food Security and Livlihoods Old]])/tblPiNHistorical[[#This Row],[Food Security and Livlihoods Old]], 1), "")</f>
        <v/>
      </c>
      <c r="AT367" s="142" t="str">
        <f>IFERROR(ROUND((tblPiNHistorical[[#This Row],[Health New]]-tblPiNHistorical[[#This Row],[Health Old]])/tblPiNHistorical[[#This Row],[Health Old]], 1), "")</f>
        <v/>
      </c>
      <c r="AU367" s="140" t="str">
        <f>IFERROR(ROUND((tblPiNHistorical[[#This Row],[Nutrition New]]-tblPiNHistorical[[#This Row],[Nutrition Old]])/tblPiNHistorical[[#This Row],[Nutrition Old]], 1), "")</f>
        <v/>
      </c>
      <c r="AV367" s="140" t="str">
        <f>IFERROR(ROUND((tblPiNHistorical[[#This Row],[Protection New]]-tblPiNHistorical[[#This Row],[Protection Old]])/tblPiNHistorical[[#This Row],[Protection Old]], 1), "")</f>
        <v/>
      </c>
      <c r="AW367" s="84" t="str">
        <f>IFERROR(ROUND((tblPiNHistorical[[#This Row],[CP New]]-tblPiNHistorical[[#This Row],[CP Old ]])/tblPiNHistorical[[#This Row],[CP Old ]], 1), "")</f>
        <v/>
      </c>
      <c r="AX367" s="84" t="str">
        <f>IFERROR(ROUND((tblPiNHistorical[[#This Row],[GBV New]]-tblPiNHistorical[[#This Row],[GBV Old]])/tblPiNHistorical[[#This Row],[GBV Old]], 1), "")</f>
        <v/>
      </c>
      <c r="AY367" s="84" t="str">
        <f>IFERROR(ROUND((tblPiNHistorical[[#This Row],[Mine Action New]]-tblPiNHistorical[[#This Row],[Mine Action Old]])/tblPiNHistorical[[#This Row],[Mine Action Old]], 1), "")</f>
        <v/>
      </c>
      <c r="AZ367" s="140" t="str">
        <f>IFERROR(ROUND((tblPiNHistorical[[#This Row],[Shelter NFI New]]-tblPiNHistorical[[#This Row],[Shelter NFI Old]])/tblPiNHistorical[[#This Row],[Shelter NFI Old]], 1), "")</f>
        <v/>
      </c>
      <c r="BA367" s="31" t="str">
        <f>IFERROR(ROUND((tblPiNHistorical[[#This Row],[WASH New]]-tblPiNHistorical[[#This Row],[WASH Old]])/tblPiNHistorical[[#This Row],[WASH Old]], 1), "")</f>
        <v/>
      </c>
    </row>
    <row r="368" spans="1:53" ht="38.25" x14ac:dyDescent="0.25">
      <c r="A368"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RefugeesSD18022</v>
      </c>
      <c r="B368" s="134" t="s">
        <v>194</v>
      </c>
      <c r="C368" s="124" t="s">
        <v>135</v>
      </c>
      <c r="D368" s="124" t="s">
        <v>542</v>
      </c>
      <c r="E368" s="59" t="s">
        <v>543</v>
      </c>
      <c r="F368" s="54"/>
      <c r="G368" s="29"/>
      <c r="H368" s="53">
        <v>0</v>
      </c>
      <c r="I368" s="53" t="s">
        <v>90</v>
      </c>
      <c r="J368" s="34">
        <v>0</v>
      </c>
      <c r="K368" s="116">
        <v>0</v>
      </c>
      <c r="L368" s="114">
        <v>0</v>
      </c>
      <c r="M368" s="114">
        <v>0</v>
      </c>
      <c r="N368" s="114">
        <v>0</v>
      </c>
      <c r="O368" s="114">
        <v>0</v>
      </c>
      <c r="P368" s="114">
        <v>0</v>
      </c>
      <c r="Q368" s="114">
        <v>0</v>
      </c>
      <c r="R368" s="114">
        <v>0</v>
      </c>
      <c r="S368" s="114">
        <v>0</v>
      </c>
      <c r="T368" s="196">
        <v>0</v>
      </c>
      <c r="U368" s="52" t="str">
        <f>IFERROR(INDEX(tblPiNAnalysis[[Site Management ]], MATCH(tblPiNHistorical[[#This Row],[ID]], tblPiNAnalysis[ID], 0)), "")</f>
        <v/>
      </c>
      <c r="V368" s="52" t="str">
        <f>IFERROR(INDEX(tblPiNAnalysis[Education], MATCH(tblPiNHistorical[[#This Row],[ID]], tblPiNAnalysis[ID], 0)), "")</f>
        <v/>
      </c>
      <c r="W368" s="28" t="str">
        <f>IFERROR(INDEX(tblPiNAnalysis[Food Security and Livlihoods], MATCH(tblPiNHistorical[[#This Row],[ID]], tblPiNAnalysis[ID], 0)), "")</f>
        <v/>
      </c>
      <c r="X368" s="28" t="str">
        <f>IFERROR(INDEX(tblPiNAnalysis[[Health ]], MATCH(tblPiNHistorical[[#This Row],[ID]], tblPiNAnalysis[ID], 0)), "")</f>
        <v/>
      </c>
      <c r="Y368" s="28" t="str">
        <f>IFERROR(INDEX(tblPiNAnalysis[Nutrition], MATCH(tblPiNHistorical[[#This Row],[ID]], tblPiNAnalysis[ID], 0)), "")</f>
        <v/>
      </c>
      <c r="Z368" s="28" t="str">
        <f>IFERROR(INDEX(tblPiNAnalysis[Protection], MATCH(tblPiNHistorical[[#This Row],[ID]], tblPiNAnalysis[ID], 0)), "")</f>
        <v/>
      </c>
      <c r="AA368" s="28" t="str">
        <f>IFERROR(INDEX(tblPiNAnalysis[CP], MATCH(tblPiNHistorical[[#This Row],[ID]], tblPiNAnalysis[ID], 0)), "")</f>
        <v/>
      </c>
      <c r="AB368" s="83" t="str">
        <f>IFERROR(INDEX(tblPiNAnalysis[GBV], MATCH(tblPiNHistorical[[#This Row],[ID]], tblPiNAnalysis[ID], 0)), "")</f>
        <v/>
      </c>
      <c r="AC368" s="28" t="str">
        <f>IFERROR(INDEX(tblPiNAnalysis[Mine Action], MATCH(tblPiNHistorical[[#This Row],[ID]], tblPiNAnalysis[ID], 0)), "")</f>
        <v/>
      </c>
      <c r="AD368" s="83" t="str">
        <f>IFERROR(INDEX(tblPiNAnalysis[[Shelter NFI ]], MATCH(tblPiNHistorical[[#This Row],[ID]], tblPiNAnalysis[ID], 0)), "")</f>
        <v/>
      </c>
      <c r="AE368" s="28" t="str">
        <f>IFERROR(INDEX(tblPiNAnalysis[WASH], MATCH(tblPiNHistorical[[#This Row],[ID]], tblPiNAnalysis[ID], 0)), "")</f>
        <v/>
      </c>
      <c r="AF368"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368" s="136" t="str">
        <f>IF(OR(tblPiNHistorical[[#This Row],[Education Old]]="", tblPiNHistorical[[#This Row],[Education Old]]=0, tblPiNHistorical[[#This Row],[Education New]]="", tblPiNHistorical[[#This Row],[Education New]]=0), "", tblPiNHistorical[[#This Row],[Education New]]-tblPiNHistorical[[#This Row],[Education Old]])</f>
        <v/>
      </c>
      <c r="AH368"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368" s="137" t="str">
        <f>IF(OR(tblPiNHistorical[[#This Row],[Health Old]]="", tblPiNHistorical[[#This Row],[Health Old]]=0, tblPiNHistorical[[#This Row],[Health New]]="", tblPiNHistorical[[#This Row],[Health New]]=0), "", tblPiNHistorical[[#This Row],[Health New]]-tblPiNHistorical[[#This Row],[Health Old]])</f>
        <v/>
      </c>
      <c r="AJ368" s="136" t="str">
        <f>IF(OR(tblPiNHistorical[[#This Row],[Nutrition Old]]="", tblPiNHistorical[[#This Row],[Nutrition Old]]=0, tblPiNHistorical[[#This Row],[Nutrition New]]="", tblPiNHistorical[[#This Row],[Nutrition New]]=0), "", tblPiNHistorical[[#This Row],[Nutrition New]]-tblPiNHistorical[[#This Row],[Nutrition Old]])</f>
        <v/>
      </c>
      <c r="AK368" s="136" t="str">
        <f>IF(OR(tblPiNHistorical[[#This Row],[Protection Old]]="", tblPiNHistorical[[#This Row],[Protection Old]]=0, tblPiNHistorical[[#This Row],[Protection New]]="", tblPiNHistorical[[#This Row],[Protection New]]=0), "", tblPiNHistorical[[#This Row],[Protection New]]-tblPiNHistorical[[#This Row],[Protection Old]])</f>
        <v/>
      </c>
      <c r="AL368" s="136" t="str">
        <f>IF(OR(tblPiNHistorical[[#This Row],[CP Old ]]="", tblPiNHistorical[[#This Row],[CP Old ]]=0, tblPiNHistorical[[#This Row],[CP New]]="", tblPiNHistorical[[#This Row],[CP New]]=0), "", tblPiNHistorical[[#This Row],[CP New]]-tblPiNHistorical[[#This Row],[CP Old ]])</f>
        <v/>
      </c>
      <c r="AM368" s="83" t="str">
        <f>IF(OR(tblPiNHistorical[[#This Row],[GBV Old]]="", tblPiNHistorical[[#This Row],[GBV Old]]=0, tblPiNHistorical[[#This Row],[GBV New]]="", tblPiNHistorical[[#This Row],[GBV New]]=0), "", tblPiNHistorical[[#This Row],[GBV New]]-tblPiNHistorical[[#This Row],[GBV Old]])</f>
        <v/>
      </c>
      <c r="AN368" s="83" t="str">
        <f>IF(OR(tblPiNHistorical[[#This Row],[Mine Action Old]]="", tblPiNHistorical[[#This Row],[Mine Action Old]]=0, tblPiNHistorical[[#This Row],[Mine Action New]]="", tblPiNHistorical[[#This Row],[Mine Action New]]=0), "", tblPiNHistorical[[#This Row],[Mine Action New]]-tblPiNHistorical[[#This Row],[Mine Action Old]])</f>
        <v/>
      </c>
      <c r="AO368" s="136" t="str">
        <f>IF(OR(tblPiNHistorical[[#This Row],[Shelter NFI Old]]="", tblPiNHistorical[[#This Row],[Shelter NFI Old]]=0, tblPiNHistorical[[#This Row],[Shelter NFI New]]="", tblPiNHistorical[[#This Row],[Shelter NFI New]]=0), "", tblPiNHistorical[[#This Row],[Shelter NFI New]]-tblPiNHistorical[[#This Row],[Shelter NFI Old]])</f>
        <v/>
      </c>
      <c r="AP368" s="138" t="str">
        <f>IF(OR(tblPiNHistorical[[#This Row],[WASH Old]]="", tblPiNHistorical[[#This Row],[WASH Old]]=0, tblPiNHistorical[[#This Row],[WASH New]]="", tblPiNHistorical[[#This Row],[WASH New]]=0), "", tblPiNHistorical[[#This Row],[WASH New]]-tblPiNHistorical[[#This Row],[WASH Old]])</f>
        <v/>
      </c>
      <c r="AQ368" s="139" t="str">
        <f>IFERROR(ROUND((tblPiNHistorical[[#This Row],[Site Management - New]] - tblPiNHistorical[[#This Row],[Site Management - Old]])/tblPiNHistorical[[#This Row],[Site Management - Old]], 1), "")</f>
        <v/>
      </c>
      <c r="AR368" s="140" t="str">
        <f>IFERROR(ROUND((tblPiNHistorical[[#This Row],[Education New]]-tblPiNHistorical[[#This Row],[Education Old]])/tblPiNHistorical[[#This Row],[Education Old]], 1), "")</f>
        <v/>
      </c>
      <c r="AS368" s="141" t="str">
        <f>IFERROR(ROUND((tblPiNHistorical[[#This Row],[Food Security and Livlihoods New]]-tblPiNHistorical[[#This Row],[Food Security and Livlihoods Old]])/tblPiNHistorical[[#This Row],[Food Security and Livlihoods Old]], 1), "")</f>
        <v/>
      </c>
      <c r="AT368" s="142" t="str">
        <f>IFERROR(ROUND((tblPiNHistorical[[#This Row],[Health New]]-tblPiNHistorical[[#This Row],[Health Old]])/tblPiNHistorical[[#This Row],[Health Old]], 1), "")</f>
        <v/>
      </c>
      <c r="AU368" s="140" t="str">
        <f>IFERROR(ROUND((tblPiNHistorical[[#This Row],[Nutrition New]]-tblPiNHistorical[[#This Row],[Nutrition Old]])/tblPiNHistorical[[#This Row],[Nutrition Old]], 1), "")</f>
        <v/>
      </c>
      <c r="AV368" s="140" t="str">
        <f>IFERROR(ROUND((tblPiNHistorical[[#This Row],[Protection New]]-tblPiNHistorical[[#This Row],[Protection Old]])/tblPiNHistorical[[#This Row],[Protection Old]], 1), "")</f>
        <v/>
      </c>
      <c r="AW368" s="84" t="str">
        <f>IFERROR(ROUND((tblPiNHistorical[[#This Row],[CP New]]-tblPiNHistorical[[#This Row],[CP Old ]])/tblPiNHistorical[[#This Row],[CP Old ]], 1), "")</f>
        <v/>
      </c>
      <c r="AX368" s="84" t="str">
        <f>IFERROR(ROUND((tblPiNHistorical[[#This Row],[GBV New]]-tblPiNHistorical[[#This Row],[GBV Old]])/tblPiNHistorical[[#This Row],[GBV Old]], 1), "")</f>
        <v/>
      </c>
      <c r="AY368" s="84" t="str">
        <f>IFERROR(ROUND((tblPiNHistorical[[#This Row],[Mine Action New]]-tblPiNHistorical[[#This Row],[Mine Action Old]])/tblPiNHistorical[[#This Row],[Mine Action Old]], 1), "")</f>
        <v/>
      </c>
      <c r="AZ368" s="140" t="str">
        <f>IFERROR(ROUND((tblPiNHistorical[[#This Row],[Shelter NFI New]]-tblPiNHistorical[[#This Row],[Shelter NFI Old]])/tblPiNHistorical[[#This Row],[Shelter NFI Old]], 1), "")</f>
        <v/>
      </c>
      <c r="BA368" s="31" t="str">
        <f>IFERROR(ROUND((tblPiNHistorical[[#This Row],[WASH New]]-tblPiNHistorical[[#This Row],[WASH Old]])/tblPiNHistorical[[#This Row],[WASH Old]], 1), "")</f>
        <v/>
      </c>
    </row>
    <row r="369" spans="1:53" ht="38.25" x14ac:dyDescent="0.25">
      <c r="A369"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RefugeesSD18086</v>
      </c>
      <c r="B369" s="134" t="s">
        <v>194</v>
      </c>
      <c r="C369" s="124" t="s">
        <v>135</v>
      </c>
      <c r="D369" s="124" t="s">
        <v>550</v>
      </c>
      <c r="E369" s="59" t="s">
        <v>551</v>
      </c>
      <c r="F369" s="54"/>
      <c r="G369" s="29"/>
      <c r="H369" s="53">
        <v>2683</v>
      </c>
      <c r="I369" s="53" t="s">
        <v>90</v>
      </c>
      <c r="J369" s="34">
        <v>0</v>
      </c>
      <c r="K369" s="116">
        <v>913</v>
      </c>
      <c r="L369" s="114">
        <v>2683</v>
      </c>
      <c r="M369" s="114">
        <v>1851</v>
      </c>
      <c r="N369" s="114">
        <v>245</v>
      </c>
      <c r="O369" s="114">
        <v>2683</v>
      </c>
      <c r="P369" s="114">
        <v>724.41000000000008</v>
      </c>
      <c r="Q369" s="114">
        <v>1440.7710000000002</v>
      </c>
      <c r="R369" s="114">
        <v>536.6</v>
      </c>
      <c r="S369" s="114">
        <v>1073</v>
      </c>
      <c r="T369" s="196">
        <v>1439</v>
      </c>
      <c r="U369" s="52" t="str">
        <f>IFERROR(INDEX(tblPiNAnalysis[[Site Management ]], MATCH(tblPiNHistorical[[#This Row],[ID]], tblPiNAnalysis[ID], 0)), "")</f>
        <v/>
      </c>
      <c r="V369" s="52" t="str">
        <f>IFERROR(INDEX(tblPiNAnalysis[Education], MATCH(tblPiNHistorical[[#This Row],[ID]], tblPiNAnalysis[ID], 0)), "")</f>
        <v/>
      </c>
      <c r="W369" s="28" t="str">
        <f>IFERROR(INDEX(tblPiNAnalysis[Food Security and Livlihoods], MATCH(tblPiNHistorical[[#This Row],[ID]], tblPiNAnalysis[ID], 0)), "")</f>
        <v/>
      </c>
      <c r="X369" s="28" t="str">
        <f>IFERROR(INDEX(tblPiNAnalysis[[Health ]], MATCH(tblPiNHistorical[[#This Row],[ID]], tblPiNAnalysis[ID], 0)), "")</f>
        <v/>
      </c>
      <c r="Y369" s="28" t="str">
        <f>IFERROR(INDEX(tblPiNAnalysis[Nutrition], MATCH(tblPiNHistorical[[#This Row],[ID]], tblPiNAnalysis[ID], 0)), "")</f>
        <v/>
      </c>
      <c r="Z369" s="28" t="str">
        <f>IFERROR(INDEX(tblPiNAnalysis[Protection], MATCH(tblPiNHistorical[[#This Row],[ID]], tblPiNAnalysis[ID], 0)), "")</f>
        <v/>
      </c>
      <c r="AA369" s="28" t="str">
        <f>IFERROR(INDEX(tblPiNAnalysis[CP], MATCH(tblPiNHistorical[[#This Row],[ID]], tblPiNAnalysis[ID], 0)), "")</f>
        <v/>
      </c>
      <c r="AB369" s="83" t="str">
        <f>IFERROR(INDEX(tblPiNAnalysis[GBV], MATCH(tblPiNHistorical[[#This Row],[ID]], tblPiNAnalysis[ID], 0)), "")</f>
        <v/>
      </c>
      <c r="AC369" s="28" t="str">
        <f>IFERROR(INDEX(tblPiNAnalysis[Mine Action], MATCH(tblPiNHistorical[[#This Row],[ID]], tblPiNAnalysis[ID], 0)), "")</f>
        <v/>
      </c>
      <c r="AD369" s="83" t="str">
        <f>IFERROR(INDEX(tblPiNAnalysis[[Shelter NFI ]], MATCH(tblPiNHistorical[[#This Row],[ID]], tblPiNAnalysis[ID], 0)), "")</f>
        <v/>
      </c>
      <c r="AE369" s="28" t="str">
        <f>IFERROR(INDEX(tblPiNAnalysis[WASH], MATCH(tblPiNHistorical[[#This Row],[ID]], tblPiNAnalysis[ID], 0)), "")</f>
        <v/>
      </c>
      <c r="AF369"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369" s="136" t="str">
        <f>IF(OR(tblPiNHistorical[[#This Row],[Education Old]]="", tblPiNHistorical[[#This Row],[Education Old]]=0, tblPiNHistorical[[#This Row],[Education New]]="", tblPiNHistorical[[#This Row],[Education New]]=0), "", tblPiNHistorical[[#This Row],[Education New]]-tblPiNHistorical[[#This Row],[Education Old]])</f>
        <v/>
      </c>
      <c r="AH369"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369" s="137" t="str">
        <f>IF(OR(tblPiNHistorical[[#This Row],[Health Old]]="", tblPiNHistorical[[#This Row],[Health Old]]=0, tblPiNHistorical[[#This Row],[Health New]]="", tblPiNHistorical[[#This Row],[Health New]]=0), "", tblPiNHistorical[[#This Row],[Health New]]-tblPiNHistorical[[#This Row],[Health Old]])</f>
        <v/>
      </c>
      <c r="AJ369" s="136" t="str">
        <f>IF(OR(tblPiNHistorical[[#This Row],[Nutrition Old]]="", tblPiNHistorical[[#This Row],[Nutrition Old]]=0, tblPiNHistorical[[#This Row],[Nutrition New]]="", tblPiNHistorical[[#This Row],[Nutrition New]]=0), "", tblPiNHistorical[[#This Row],[Nutrition New]]-tblPiNHistorical[[#This Row],[Nutrition Old]])</f>
        <v/>
      </c>
      <c r="AK369" s="136" t="str">
        <f>IF(OR(tblPiNHistorical[[#This Row],[Protection Old]]="", tblPiNHistorical[[#This Row],[Protection Old]]=0, tblPiNHistorical[[#This Row],[Protection New]]="", tblPiNHistorical[[#This Row],[Protection New]]=0), "", tblPiNHistorical[[#This Row],[Protection New]]-tblPiNHistorical[[#This Row],[Protection Old]])</f>
        <v/>
      </c>
      <c r="AL369" s="136" t="str">
        <f>IF(OR(tblPiNHistorical[[#This Row],[CP Old ]]="", tblPiNHistorical[[#This Row],[CP Old ]]=0, tblPiNHistorical[[#This Row],[CP New]]="", tblPiNHistorical[[#This Row],[CP New]]=0), "", tblPiNHistorical[[#This Row],[CP New]]-tblPiNHistorical[[#This Row],[CP Old ]])</f>
        <v/>
      </c>
      <c r="AM369" s="83" t="str">
        <f>IF(OR(tblPiNHistorical[[#This Row],[GBV Old]]="", tblPiNHistorical[[#This Row],[GBV Old]]=0, tblPiNHistorical[[#This Row],[GBV New]]="", tblPiNHistorical[[#This Row],[GBV New]]=0), "", tblPiNHistorical[[#This Row],[GBV New]]-tblPiNHistorical[[#This Row],[GBV Old]])</f>
        <v/>
      </c>
      <c r="AN369" s="83" t="str">
        <f>IF(OR(tblPiNHistorical[[#This Row],[Mine Action Old]]="", tblPiNHistorical[[#This Row],[Mine Action Old]]=0, tblPiNHistorical[[#This Row],[Mine Action New]]="", tblPiNHistorical[[#This Row],[Mine Action New]]=0), "", tblPiNHistorical[[#This Row],[Mine Action New]]-tblPiNHistorical[[#This Row],[Mine Action Old]])</f>
        <v/>
      </c>
      <c r="AO369" s="136" t="str">
        <f>IF(OR(tblPiNHistorical[[#This Row],[Shelter NFI Old]]="", tblPiNHistorical[[#This Row],[Shelter NFI Old]]=0, tblPiNHistorical[[#This Row],[Shelter NFI New]]="", tblPiNHistorical[[#This Row],[Shelter NFI New]]=0), "", tblPiNHistorical[[#This Row],[Shelter NFI New]]-tblPiNHistorical[[#This Row],[Shelter NFI Old]])</f>
        <v/>
      </c>
      <c r="AP369" s="138" t="str">
        <f>IF(OR(tblPiNHistorical[[#This Row],[WASH Old]]="", tblPiNHistorical[[#This Row],[WASH Old]]=0, tblPiNHistorical[[#This Row],[WASH New]]="", tblPiNHistorical[[#This Row],[WASH New]]=0), "", tblPiNHistorical[[#This Row],[WASH New]]-tblPiNHistorical[[#This Row],[WASH Old]])</f>
        <v/>
      </c>
      <c r="AQ369" s="139" t="str">
        <f>IFERROR(ROUND((tblPiNHistorical[[#This Row],[Site Management - New]] - tblPiNHistorical[[#This Row],[Site Management - Old]])/tblPiNHistorical[[#This Row],[Site Management - Old]], 1), "")</f>
        <v/>
      </c>
      <c r="AR369" s="140" t="str">
        <f>IFERROR(ROUND((tblPiNHistorical[[#This Row],[Education New]]-tblPiNHistorical[[#This Row],[Education Old]])/tblPiNHistorical[[#This Row],[Education Old]], 1), "")</f>
        <v/>
      </c>
      <c r="AS369" s="141" t="str">
        <f>IFERROR(ROUND((tblPiNHistorical[[#This Row],[Food Security and Livlihoods New]]-tblPiNHistorical[[#This Row],[Food Security and Livlihoods Old]])/tblPiNHistorical[[#This Row],[Food Security and Livlihoods Old]], 1), "")</f>
        <v/>
      </c>
      <c r="AT369" s="142" t="str">
        <f>IFERROR(ROUND((tblPiNHistorical[[#This Row],[Health New]]-tblPiNHistorical[[#This Row],[Health Old]])/tblPiNHistorical[[#This Row],[Health Old]], 1), "")</f>
        <v/>
      </c>
      <c r="AU369" s="140" t="str">
        <f>IFERROR(ROUND((tblPiNHistorical[[#This Row],[Nutrition New]]-tblPiNHistorical[[#This Row],[Nutrition Old]])/tblPiNHistorical[[#This Row],[Nutrition Old]], 1), "")</f>
        <v/>
      </c>
      <c r="AV369" s="140" t="str">
        <f>IFERROR(ROUND((tblPiNHistorical[[#This Row],[Protection New]]-tblPiNHistorical[[#This Row],[Protection Old]])/tblPiNHistorical[[#This Row],[Protection Old]], 1), "")</f>
        <v/>
      </c>
      <c r="AW369" s="84" t="str">
        <f>IFERROR(ROUND((tblPiNHistorical[[#This Row],[CP New]]-tblPiNHistorical[[#This Row],[CP Old ]])/tblPiNHistorical[[#This Row],[CP Old ]], 1), "")</f>
        <v/>
      </c>
      <c r="AX369" s="84" t="str">
        <f>IFERROR(ROUND((tblPiNHistorical[[#This Row],[GBV New]]-tblPiNHistorical[[#This Row],[GBV Old]])/tblPiNHistorical[[#This Row],[GBV Old]], 1), "")</f>
        <v/>
      </c>
      <c r="AY369" s="84" t="str">
        <f>IFERROR(ROUND((tblPiNHistorical[[#This Row],[Mine Action New]]-tblPiNHistorical[[#This Row],[Mine Action Old]])/tblPiNHistorical[[#This Row],[Mine Action Old]], 1), "")</f>
        <v/>
      </c>
      <c r="AZ369" s="140" t="str">
        <f>IFERROR(ROUND((tblPiNHistorical[[#This Row],[Shelter NFI New]]-tblPiNHistorical[[#This Row],[Shelter NFI Old]])/tblPiNHistorical[[#This Row],[Shelter NFI Old]], 1), "")</f>
        <v/>
      </c>
      <c r="BA369" s="31" t="str">
        <f>IFERROR(ROUND((tblPiNHistorical[[#This Row],[WASH New]]-tblPiNHistorical[[#This Row],[WASH Old]])/tblPiNHistorical[[#This Row],[WASH Old]], 1), "")</f>
        <v/>
      </c>
    </row>
    <row r="370" spans="1:53" ht="38.25" x14ac:dyDescent="0.25">
      <c r="A370"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RefugeesSD18092</v>
      </c>
      <c r="B370" s="134" t="s">
        <v>194</v>
      </c>
      <c r="C370" s="124" t="s">
        <v>135</v>
      </c>
      <c r="D370" s="124" t="s">
        <v>554</v>
      </c>
      <c r="E370" s="59" t="s">
        <v>555</v>
      </c>
      <c r="F370" s="54"/>
      <c r="G370" s="29"/>
      <c r="H370" s="53">
        <v>0</v>
      </c>
      <c r="I370" s="53" t="s">
        <v>90</v>
      </c>
      <c r="J370" s="34">
        <v>0</v>
      </c>
      <c r="K370" s="116">
        <v>0</v>
      </c>
      <c r="L370" s="114">
        <v>0</v>
      </c>
      <c r="M370" s="114">
        <v>0</v>
      </c>
      <c r="N370" s="114">
        <v>0</v>
      </c>
      <c r="O370" s="114">
        <v>0</v>
      </c>
      <c r="P370" s="114">
        <v>0</v>
      </c>
      <c r="Q370" s="114">
        <v>0</v>
      </c>
      <c r="R370" s="114">
        <v>0</v>
      </c>
      <c r="S370" s="114">
        <v>0</v>
      </c>
      <c r="T370" s="196">
        <v>0</v>
      </c>
      <c r="U370" s="52" t="str">
        <f>IFERROR(INDEX(tblPiNAnalysis[[Site Management ]], MATCH(tblPiNHistorical[[#This Row],[ID]], tblPiNAnalysis[ID], 0)), "")</f>
        <v/>
      </c>
      <c r="V370" s="52" t="str">
        <f>IFERROR(INDEX(tblPiNAnalysis[Education], MATCH(tblPiNHistorical[[#This Row],[ID]], tblPiNAnalysis[ID], 0)), "")</f>
        <v/>
      </c>
      <c r="W370" s="28" t="str">
        <f>IFERROR(INDEX(tblPiNAnalysis[Food Security and Livlihoods], MATCH(tblPiNHistorical[[#This Row],[ID]], tblPiNAnalysis[ID], 0)), "")</f>
        <v/>
      </c>
      <c r="X370" s="28" t="str">
        <f>IFERROR(INDEX(tblPiNAnalysis[[Health ]], MATCH(tblPiNHistorical[[#This Row],[ID]], tblPiNAnalysis[ID], 0)), "")</f>
        <v/>
      </c>
      <c r="Y370" s="28" t="str">
        <f>IFERROR(INDEX(tblPiNAnalysis[Nutrition], MATCH(tblPiNHistorical[[#This Row],[ID]], tblPiNAnalysis[ID], 0)), "")</f>
        <v/>
      </c>
      <c r="Z370" s="28" t="str">
        <f>IFERROR(INDEX(tblPiNAnalysis[Protection], MATCH(tblPiNHistorical[[#This Row],[ID]], tblPiNAnalysis[ID], 0)), "")</f>
        <v/>
      </c>
      <c r="AA370" s="28" t="str">
        <f>IFERROR(INDEX(tblPiNAnalysis[CP], MATCH(tblPiNHistorical[[#This Row],[ID]], tblPiNAnalysis[ID], 0)), "")</f>
        <v/>
      </c>
      <c r="AB370" s="83" t="str">
        <f>IFERROR(INDEX(tblPiNAnalysis[GBV], MATCH(tblPiNHistorical[[#This Row],[ID]], tblPiNAnalysis[ID], 0)), "")</f>
        <v/>
      </c>
      <c r="AC370" s="28" t="str">
        <f>IFERROR(INDEX(tblPiNAnalysis[Mine Action], MATCH(tblPiNHistorical[[#This Row],[ID]], tblPiNAnalysis[ID], 0)), "")</f>
        <v/>
      </c>
      <c r="AD370" s="83" t="str">
        <f>IFERROR(INDEX(tblPiNAnalysis[[Shelter NFI ]], MATCH(tblPiNHistorical[[#This Row],[ID]], tblPiNAnalysis[ID], 0)), "")</f>
        <v/>
      </c>
      <c r="AE370" s="28" t="str">
        <f>IFERROR(INDEX(tblPiNAnalysis[WASH], MATCH(tblPiNHistorical[[#This Row],[ID]], tblPiNAnalysis[ID], 0)), "")</f>
        <v/>
      </c>
      <c r="AF370"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370" s="136" t="str">
        <f>IF(OR(tblPiNHistorical[[#This Row],[Education Old]]="", tblPiNHistorical[[#This Row],[Education Old]]=0, tblPiNHistorical[[#This Row],[Education New]]="", tblPiNHistorical[[#This Row],[Education New]]=0), "", tblPiNHistorical[[#This Row],[Education New]]-tblPiNHistorical[[#This Row],[Education Old]])</f>
        <v/>
      </c>
      <c r="AH370"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370" s="137" t="str">
        <f>IF(OR(tblPiNHistorical[[#This Row],[Health Old]]="", tblPiNHistorical[[#This Row],[Health Old]]=0, tblPiNHistorical[[#This Row],[Health New]]="", tblPiNHistorical[[#This Row],[Health New]]=0), "", tblPiNHistorical[[#This Row],[Health New]]-tblPiNHistorical[[#This Row],[Health Old]])</f>
        <v/>
      </c>
      <c r="AJ370" s="136" t="str">
        <f>IF(OR(tblPiNHistorical[[#This Row],[Nutrition Old]]="", tblPiNHistorical[[#This Row],[Nutrition Old]]=0, tblPiNHistorical[[#This Row],[Nutrition New]]="", tblPiNHistorical[[#This Row],[Nutrition New]]=0), "", tblPiNHistorical[[#This Row],[Nutrition New]]-tblPiNHistorical[[#This Row],[Nutrition Old]])</f>
        <v/>
      </c>
      <c r="AK370" s="136" t="str">
        <f>IF(OR(tblPiNHistorical[[#This Row],[Protection Old]]="", tblPiNHistorical[[#This Row],[Protection Old]]=0, tblPiNHistorical[[#This Row],[Protection New]]="", tblPiNHistorical[[#This Row],[Protection New]]=0), "", tblPiNHistorical[[#This Row],[Protection New]]-tblPiNHistorical[[#This Row],[Protection Old]])</f>
        <v/>
      </c>
      <c r="AL370" s="136" t="str">
        <f>IF(OR(tblPiNHistorical[[#This Row],[CP Old ]]="", tblPiNHistorical[[#This Row],[CP Old ]]=0, tblPiNHistorical[[#This Row],[CP New]]="", tblPiNHistorical[[#This Row],[CP New]]=0), "", tblPiNHistorical[[#This Row],[CP New]]-tblPiNHistorical[[#This Row],[CP Old ]])</f>
        <v/>
      </c>
      <c r="AM370" s="83" t="str">
        <f>IF(OR(tblPiNHistorical[[#This Row],[GBV Old]]="", tblPiNHistorical[[#This Row],[GBV Old]]=0, tblPiNHistorical[[#This Row],[GBV New]]="", tblPiNHistorical[[#This Row],[GBV New]]=0), "", tblPiNHistorical[[#This Row],[GBV New]]-tblPiNHistorical[[#This Row],[GBV Old]])</f>
        <v/>
      </c>
      <c r="AN370" s="83" t="str">
        <f>IF(OR(tblPiNHistorical[[#This Row],[Mine Action Old]]="", tblPiNHistorical[[#This Row],[Mine Action Old]]=0, tblPiNHistorical[[#This Row],[Mine Action New]]="", tblPiNHistorical[[#This Row],[Mine Action New]]=0), "", tblPiNHistorical[[#This Row],[Mine Action New]]-tblPiNHistorical[[#This Row],[Mine Action Old]])</f>
        <v/>
      </c>
      <c r="AO370" s="136" t="str">
        <f>IF(OR(tblPiNHistorical[[#This Row],[Shelter NFI Old]]="", tblPiNHistorical[[#This Row],[Shelter NFI Old]]=0, tblPiNHistorical[[#This Row],[Shelter NFI New]]="", tblPiNHistorical[[#This Row],[Shelter NFI New]]=0), "", tblPiNHistorical[[#This Row],[Shelter NFI New]]-tblPiNHistorical[[#This Row],[Shelter NFI Old]])</f>
        <v/>
      </c>
      <c r="AP370" s="138" t="str">
        <f>IF(OR(tblPiNHistorical[[#This Row],[WASH Old]]="", tblPiNHistorical[[#This Row],[WASH Old]]=0, tblPiNHistorical[[#This Row],[WASH New]]="", tblPiNHistorical[[#This Row],[WASH New]]=0), "", tblPiNHistorical[[#This Row],[WASH New]]-tblPiNHistorical[[#This Row],[WASH Old]])</f>
        <v/>
      </c>
      <c r="AQ370" s="139" t="str">
        <f>IFERROR(ROUND((tblPiNHistorical[[#This Row],[Site Management - New]] - tblPiNHistorical[[#This Row],[Site Management - Old]])/tblPiNHistorical[[#This Row],[Site Management - Old]], 1), "")</f>
        <v/>
      </c>
      <c r="AR370" s="140" t="str">
        <f>IFERROR(ROUND((tblPiNHistorical[[#This Row],[Education New]]-tblPiNHistorical[[#This Row],[Education Old]])/tblPiNHistorical[[#This Row],[Education Old]], 1), "")</f>
        <v/>
      </c>
      <c r="AS370" s="141" t="str">
        <f>IFERROR(ROUND((tblPiNHistorical[[#This Row],[Food Security and Livlihoods New]]-tblPiNHistorical[[#This Row],[Food Security and Livlihoods Old]])/tblPiNHistorical[[#This Row],[Food Security and Livlihoods Old]], 1), "")</f>
        <v/>
      </c>
      <c r="AT370" s="142" t="str">
        <f>IFERROR(ROUND((tblPiNHistorical[[#This Row],[Health New]]-tblPiNHistorical[[#This Row],[Health Old]])/tblPiNHistorical[[#This Row],[Health Old]], 1), "")</f>
        <v/>
      </c>
      <c r="AU370" s="140" t="str">
        <f>IFERROR(ROUND((tblPiNHistorical[[#This Row],[Nutrition New]]-tblPiNHistorical[[#This Row],[Nutrition Old]])/tblPiNHistorical[[#This Row],[Nutrition Old]], 1), "")</f>
        <v/>
      </c>
      <c r="AV370" s="140" t="str">
        <f>IFERROR(ROUND((tblPiNHistorical[[#This Row],[Protection New]]-tblPiNHistorical[[#This Row],[Protection Old]])/tblPiNHistorical[[#This Row],[Protection Old]], 1), "")</f>
        <v/>
      </c>
      <c r="AW370" s="84" t="str">
        <f>IFERROR(ROUND((tblPiNHistorical[[#This Row],[CP New]]-tblPiNHistorical[[#This Row],[CP Old ]])/tblPiNHistorical[[#This Row],[CP Old ]], 1), "")</f>
        <v/>
      </c>
      <c r="AX370" s="84" t="str">
        <f>IFERROR(ROUND((tblPiNHistorical[[#This Row],[GBV New]]-tblPiNHistorical[[#This Row],[GBV Old]])/tblPiNHistorical[[#This Row],[GBV Old]], 1), "")</f>
        <v/>
      </c>
      <c r="AY370" s="84" t="str">
        <f>IFERROR(ROUND((tblPiNHistorical[[#This Row],[Mine Action New]]-tblPiNHistorical[[#This Row],[Mine Action Old]])/tblPiNHistorical[[#This Row],[Mine Action Old]], 1), "")</f>
        <v/>
      </c>
      <c r="AZ370" s="140" t="str">
        <f>IFERROR(ROUND((tblPiNHistorical[[#This Row],[Shelter NFI New]]-tblPiNHistorical[[#This Row],[Shelter NFI Old]])/tblPiNHistorical[[#This Row],[Shelter NFI Old]], 1), "")</f>
        <v/>
      </c>
      <c r="BA370" s="31" t="str">
        <f>IFERROR(ROUND((tblPiNHistorical[[#This Row],[WASH New]]-tblPiNHistorical[[#This Row],[WASH Old]])/tblPiNHistorical[[#This Row],[WASH Old]], 1), "")</f>
        <v/>
      </c>
    </row>
    <row r="371" spans="1:53" ht="38.25" x14ac:dyDescent="0.25">
      <c r="A371"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RefugeesSD18100</v>
      </c>
      <c r="B371" s="134" t="s">
        <v>194</v>
      </c>
      <c r="C371" s="124" t="s">
        <v>135</v>
      </c>
      <c r="D371" s="124" t="s">
        <v>556</v>
      </c>
      <c r="E371" s="59" t="s">
        <v>557</v>
      </c>
      <c r="F371" s="54"/>
      <c r="G371" s="29"/>
      <c r="H371" s="53">
        <v>6059</v>
      </c>
      <c r="I371" s="53" t="s">
        <v>90</v>
      </c>
      <c r="J371" s="34">
        <v>0</v>
      </c>
      <c r="K371" s="116">
        <v>2291</v>
      </c>
      <c r="L371" s="114">
        <v>6059</v>
      </c>
      <c r="M371" s="114">
        <v>4181</v>
      </c>
      <c r="N371" s="114">
        <v>553</v>
      </c>
      <c r="O371" s="114">
        <v>6059</v>
      </c>
      <c r="P371" s="114">
        <v>739.19799999999998</v>
      </c>
      <c r="Q371" s="114">
        <v>1799.5229999999999</v>
      </c>
      <c r="R371" s="114">
        <v>0</v>
      </c>
      <c r="S371" s="114">
        <v>2424</v>
      </c>
      <c r="T371" s="196">
        <v>5478</v>
      </c>
      <c r="U371" s="52" t="str">
        <f>IFERROR(INDEX(tblPiNAnalysis[[Site Management ]], MATCH(tblPiNHistorical[[#This Row],[ID]], tblPiNAnalysis[ID], 0)), "")</f>
        <v/>
      </c>
      <c r="V371" s="52" t="str">
        <f>IFERROR(INDEX(tblPiNAnalysis[Education], MATCH(tblPiNHistorical[[#This Row],[ID]], tblPiNAnalysis[ID], 0)), "")</f>
        <v/>
      </c>
      <c r="W371" s="28" t="str">
        <f>IFERROR(INDEX(tblPiNAnalysis[Food Security and Livlihoods], MATCH(tblPiNHistorical[[#This Row],[ID]], tblPiNAnalysis[ID], 0)), "")</f>
        <v/>
      </c>
      <c r="X371" s="28" t="str">
        <f>IFERROR(INDEX(tblPiNAnalysis[[Health ]], MATCH(tblPiNHistorical[[#This Row],[ID]], tblPiNAnalysis[ID], 0)), "")</f>
        <v/>
      </c>
      <c r="Y371" s="28" t="str">
        <f>IFERROR(INDEX(tblPiNAnalysis[Nutrition], MATCH(tblPiNHistorical[[#This Row],[ID]], tblPiNAnalysis[ID], 0)), "")</f>
        <v/>
      </c>
      <c r="Z371" s="28" t="str">
        <f>IFERROR(INDEX(tblPiNAnalysis[Protection], MATCH(tblPiNHistorical[[#This Row],[ID]], tblPiNAnalysis[ID], 0)), "")</f>
        <v/>
      </c>
      <c r="AA371" s="28" t="str">
        <f>IFERROR(INDEX(tblPiNAnalysis[CP], MATCH(tblPiNHistorical[[#This Row],[ID]], tblPiNAnalysis[ID], 0)), "")</f>
        <v/>
      </c>
      <c r="AB371" s="83" t="str">
        <f>IFERROR(INDEX(tblPiNAnalysis[GBV], MATCH(tblPiNHistorical[[#This Row],[ID]], tblPiNAnalysis[ID], 0)), "")</f>
        <v/>
      </c>
      <c r="AC371" s="28" t="str">
        <f>IFERROR(INDEX(tblPiNAnalysis[Mine Action], MATCH(tblPiNHistorical[[#This Row],[ID]], tblPiNAnalysis[ID], 0)), "")</f>
        <v/>
      </c>
      <c r="AD371" s="83" t="str">
        <f>IFERROR(INDEX(tblPiNAnalysis[[Shelter NFI ]], MATCH(tblPiNHistorical[[#This Row],[ID]], tblPiNAnalysis[ID], 0)), "")</f>
        <v/>
      </c>
      <c r="AE371" s="28" t="str">
        <f>IFERROR(INDEX(tblPiNAnalysis[WASH], MATCH(tblPiNHistorical[[#This Row],[ID]], tblPiNAnalysis[ID], 0)), "")</f>
        <v/>
      </c>
      <c r="AF371"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371" s="136" t="str">
        <f>IF(OR(tblPiNHistorical[[#This Row],[Education Old]]="", tblPiNHistorical[[#This Row],[Education Old]]=0, tblPiNHistorical[[#This Row],[Education New]]="", tblPiNHistorical[[#This Row],[Education New]]=0), "", tblPiNHistorical[[#This Row],[Education New]]-tblPiNHistorical[[#This Row],[Education Old]])</f>
        <v/>
      </c>
      <c r="AH371"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371" s="137" t="str">
        <f>IF(OR(tblPiNHistorical[[#This Row],[Health Old]]="", tblPiNHistorical[[#This Row],[Health Old]]=0, tblPiNHistorical[[#This Row],[Health New]]="", tblPiNHistorical[[#This Row],[Health New]]=0), "", tblPiNHistorical[[#This Row],[Health New]]-tblPiNHistorical[[#This Row],[Health Old]])</f>
        <v/>
      </c>
      <c r="AJ371" s="136" t="str">
        <f>IF(OR(tblPiNHistorical[[#This Row],[Nutrition Old]]="", tblPiNHistorical[[#This Row],[Nutrition Old]]=0, tblPiNHistorical[[#This Row],[Nutrition New]]="", tblPiNHistorical[[#This Row],[Nutrition New]]=0), "", tblPiNHistorical[[#This Row],[Nutrition New]]-tblPiNHistorical[[#This Row],[Nutrition Old]])</f>
        <v/>
      </c>
      <c r="AK371" s="136" t="str">
        <f>IF(OR(tblPiNHistorical[[#This Row],[Protection Old]]="", tblPiNHistorical[[#This Row],[Protection Old]]=0, tblPiNHistorical[[#This Row],[Protection New]]="", tblPiNHistorical[[#This Row],[Protection New]]=0), "", tblPiNHistorical[[#This Row],[Protection New]]-tblPiNHistorical[[#This Row],[Protection Old]])</f>
        <v/>
      </c>
      <c r="AL371" s="136" t="str">
        <f>IF(OR(tblPiNHistorical[[#This Row],[CP Old ]]="", tblPiNHistorical[[#This Row],[CP Old ]]=0, tblPiNHistorical[[#This Row],[CP New]]="", tblPiNHistorical[[#This Row],[CP New]]=0), "", tblPiNHistorical[[#This Row],[CP New]]-tblPiNHistorical[[#This Row],[CP Old ]])</f>
        <v/>
      </c>
      <c r="AM371" s="83" t="str">
        <f>IF(OR(tblPiNHistorical[[#This Row],[GBV Old]]="", tblPiNHistorical[[#This Row],[GBV Old]]=0, tblPiNHistorical[[#This Row],[GBV New]]="", tblPiNHistorical[[#This Row],[GBV New]]=0), "", tblPiNHistorical[[#This Row],[GBV New]]-tblPiNHistorical[[#This Row],[GBV Old]])</f>
        <v/>
      </c>
      <c r="AN371" s="83" t="str">
        <f>IF(OR(tblPiNHistorical[[#This Row],[Mine Action Old]]="", tblPiNHistorical[[#This Row],[Mine Action Old]]=0, tblPiNHistorical[[#This Row],[Mine Action New]]="", tblPiNHistorical[[#This Row],[Mine Action New]]=0), "", tblPiNHistorical[[#This Row],[Mine Action New]]-tblPiNHistorical[[#This Row],[Mine Action Old]])</f>
        <v/>
      </c>
      <c r="AO371" s="136" t="str">
        <f>IF(OR(tblPiNHistorical[[#This Row],[Shelter NFI Old]]="", tblPiNHistorical[[#This Row],[Shelter NFI Old]]=0, tblPiNHistorical[[#This Row],[Shelter NFI New]]="", tblPiNHistorical[[#This Row],[Shelter NFI New]]=0), "", tblPiNHistorical[[#This Row],[Shelter NFI New]]-tblPiNHistorical[[#This Row],[Shelter NFI Old]])</f>
        <v/>
      </c>
      <c r="AP371" s="138" t="str">
        <f>IF(OR(tblPiNHistorical[[#This Row],[WASH Old]]="", tblPiNHistorical[[#This Row],[WASH Old]]=0, tblPiNHistorical[[#This Row],[WASH New]]="", tblPiNHistorical[[#This Row],[WASH New]]=0), "", tblPiNHistorical[[#This Row],[WASH New]]-tblPiNHistorical[[#This Row],[WASH Old]])</f>
        <v/>
      </c>
      <c r="AQ371" s="139" t="str">
        <f>IFERROR(ROUND((tblPiNHistorical[[#This Row],[Site Management - New]] - tblPiNHistorical[[#This Row],[Site Management - Old]])/tblPiNHistorical[[#This Row],[Site Management - Old]], 1), "")</f>
        <v/>
      </c>
      <c r="AR371" s="140" t="str">
        <f>IFERROR(ROUND((tblPiNHistorical[[#This Row],[Education New]]-tblPiNHistorical[[#This Row],[Education Old]])/tblPiNHistorical[[#This Row],[Education Old]], 1), "")</f>
        <v/>
      </c>
      <c r="AS371" s="141" t="str">
        <f>IFERROR(ROUND((tblPiNHistorical[[#This Row],[Food Security and Livlihoods New]]-tblPiNHistorical[[#This Row],[Food Security and Livlihoods Old]])/tblPiNHistorical[[#This Row],[Food Security and Livlihoods Old]], 1), "")</f>
        <v/>
      </c>
      <c r="AT371" s="142" t="str">
        <f>IFERROR(ROUND((tblPiNHistorical[[#This Row],[Health New]]-tblPiNHistorical[[#This Row],[Health Old]])/tblPiNHistorical[[#This Row],[Health Old]], 1), "")</f>
        <v/>
      </c>
      <c r="AU371" s="140" t="str">
        <f>IFERROR(ROUND((tblPiNHistorical[[#This Row],[Nutrition New]]-tblPiNHistorical[[#This Row],[Nutrition Old]])/tblPiNHistorical[[#This Row],[Nutrition Old]], 1), "")</f>
        <v/>
      </c>
      <c r="AV371" s="140" t="str">
        <f>IFERROR(ROUND((tblPiNHistorical[[#This Row],[Protection New]]-tblPiNHistorical[[#This Row],[Protection Old]])/tblPiNHistorical[[#This Row],[Protection Old]], 1), "")</f>
        <v/>
      </c>
      <c r="AW371" s="84" t="str">
        <f>IFERROR(ROUND((tblPiNHistorical[[#This Row],[CP New]]-tblPiNHistorical[[#This Row],[CP Old ]])/tblPiNHistorical[[#This Row],[CP Old ]], 1), "")</f>
        <v/>
      </c>
      <c r="AX371" s="84" t="str">
        <f>IFERROR(ROUND((tblPiNHistorical[[#This Row],[GBV New]]-tblPiNHistorical[[#This Row],[GBV Old]])/tblPiNHistorical[[#This Row],[GBV Old]], 1), "")</f>
        <v/>
      </c>
      <c r="AY371" s="84" t="str">
        <f>IFERROR(ROUND((tblPiNHistorical[[#This Row],[Mine Action New]]-tblPiNHistorical[[#This Row],[Mine Action Old]])/tblPiNHistorical[[#This Row],[Mine Action Old]], 1), "")</f>
        <v/>
      </c>
      <c r="AZ371" s="140" t="str">
        <f>IFERROR(ROUND((tblPiNHistorical[[#This Row],[Shelter NFI New]]-tblPiNHistorical[[#This Row],[Shelter NFI Old]])/tblPiNHistorical[[#This Row],[Shelter NFI Old]], 1), "")</f>
        <v/>
      </c>
      <c r="BA371" s="31" t="str">
        <f>IFERROR(ROUND((tblPiNHistorical[[#This Row],[WASH New]]-tblPiNHistorical[[#This Row],[WASH Old]])/tblPiNHistorical[[#This Row],[WASH Old]], 1), "")</f>
        <v/>
      </c>
    </row>
    <row r="372" spans="1:53" ht="38.25" x14ac:dyDescent="0.25">
      <c r="A372"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RefugeesSD18021</v>
      </c>
      <c r="B372" s="134" t="s">
        <v>194</v>
      </c>
      <c r="C372" s="124" t="s">
        <v>135</v>
      </c>
      <c r="D372" s="124" t="s">
        <v>540</v>
      </c>
      <c r="E372" s="59" t="s">
        <v>541</v>
      </c>
      <c r="F372" s="54"/>
      <c r="G372" s="29"/>
      <c r="H372" s="53">
        <v>7917</v>
      </c>
      <c r="I372" s="53" t="s">
        <v>90</v>
      </c>
      <c r="J372" s="34">
        <v>0</v>
      </c>
      <c r="K372" s="116">
        <v>2544</v>
      </c>
      <c r="L372" s="114">
        <v>7917</v>
      </c>
      <c r="M372" s="114">
        <v>3879</v>
      </c>
      <c r="N372" s="114">
        <v>723</v>
      </c>
      <c r="O372" s="114">
        <v>7917</v>
      </c>
      <c r="P372" s="114">
        <v>2082.1710000000003</v>
      </c>
      <c r="Q372" s="114">
        <v>4069.3380000000002</v>
      </c>
      <c r="R372" s="114">
        <v>0</v>
      </c>
      <c r="S372" s="114">
        <v>3167</v>
      </c>
      <c r="T372" s="196">
        <v>7626</v>
      </c>
      <c r="U372" s="52" t="str">
        <f>IFERROR(INDEX(tblPiNAnalysis[[Site Management ]], MATCH(tblPiNHistorical[[#This Row],[ID]], tblPiNAnalysis[ID], 0)), "")</f>
        <v/>
      </c>
      <c r="V372" s="52" t="str">
        <f>IFERROR(INDEX(tblPiNAnalysis[Education], MATCH(tblPiNHistorical[[#This Row],[ID]], tblPiNAnalysis[ID], 0)), "")</f>
        <v/>
      </c>
      <c r="W372" s="28" t="str">
        <f>IFERROR(INDEX(tblPiNAnalysis[Food Security and Livlihoods], MATCH(tblPiNHistorical[[#This Row],[ID]], tblPiNAnalysis[ID], 0)), "")</f>
        <v/>
      </c>
      <c r="X372" s="28" t="str">
        <f>IFERROR(INDEX(tblPiNAnalysis[[Health ]], MATCH(tblPiNHistorical[[#This Row],[ID]], tblPiNAnalysis[ID], 0)), "")</f>
        <v/>
      </c>
      <c r="Y372" s="28" t="str">
        <f>IFERROR(INDEX(tblPiNAnalysis[Nutrition], MATCH(tblPiNHistorical[[#This Row],[ID]], tblPiNAnalysis[ID], 0)), "")</f>
        <v/>
      </c>
      <c r="Z372" s="28" t="str">
        <f>IFERROR(INDEX(tblPiNAnalysis[Protection], MATCH(tblPiNHistorical[[#This Row],[ID]], tblPiNAnalysis[ID], 0)), "")</f>
        <v/>
      </c>
      <c r="AA372" s="28" t="str">
        <f>IFERROR(INDEX(tblPiNAnalysis[CP], MATCH(tblPiNHistorical[[#This Row],[ID]], tblPiNAnalysis[ID], 0)), "")</f>
        <v/>
      </c>
      <c r="AB372" s="83" t="str">
        <f>IFERROR(INDEX(tblPiNAnalysis[GBV], MATCH(tblPiNHistorical[[#This Row],[ID]], tblPiNAnalysis[ID], 0)), "")</f>
        <v/>
      </c>
      <c r="AC372" s="28" t="str">
        <f>IFERROR(INDEX(tblPiNAnalysis[Mine Action], MATCH(tblPiNHistorical[[#This Row],[ID]], tblPiNAnalysis[ID], 0)), "")</f>
        <v/>
      </c>
      <c r="AD372" s="83" t="str">
        <f>IFERROR(INDEX(tblPiNAnalysis[[Shelter NFI ]], MATCH(tblPiNHistorical[[#This Row],[ID]], tblPiNAnalysis[ID], 0)), "")</f>
        <v/>
      </c>
      <c r="AE372" s="28" t="str">
        <f>IFERROR(INDEX(tblPiNAnalysis[WASH], MATCH(tblPiNHistorical[[#This Row],[ID]], tblPiNAnalysis[ID], 0)), "")</f>
        <v/>
      </c>
      <c r="AF372"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372" s="136" t="str">
        <f>IF(OR(tblPiNHistorical[[#This Row],[Education Old]]="", tblPiNHistorical[[#This Row],[Education Old]]=0, tblPiNHistorical[[#This Row],[Education New]]="", tblPiNHistorical[[#This Row],[Education New]]=0), "", tblPiNHistorical[[#This Row],[Education New]]-tblPiNHistorical[[#This Row],[Education Old]])</f>
        <v/>
      </c>
      <c r="AH372"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372" s="137" t="str">
        <f>IF(OR(tblPiNHistorical[[#This Row],[Health Old]]="", tblPiNHistorical[[#This Row],[Health Old]]=0, tblPiNHistorical[[#This Row],[Health New]]="", tblPiNHistorical[[#This Row],[Health New]]=0), "", tblPiNHistorical[[#This Row],[Health New]]-tblPiNHistorical[[#This Row],[Health Old]])</f>
        <v/>
      </c>
      <c r="AJ372" s="136" t="str">
        <f>IF(OR(tblPiNHistorical[[#This Row],[Nutrition Old]]="", tblPiNHistorical[[#This Row],[Nutrition Old]]=0, tblPiNHistorical[[#This Row],[Nutrition New]]="", tblPiNHistorical[[#This Row],[Nutrition New]]=0), "", tblPiNHistorical[[#This Row],[Nutrition New]]-tblPiNHistorical[[#This Row],[Nutrition Old]])</f>
        <v/>
      </c>
      <c r="AK372" s="136" t="str">
        <f>IF(OR(tblPiNHistorical[[#This Row],[Protection Old]]="", tblPiNHistorical[[#This Row],[Protection Old]]=0, tblPiNHistorical[[#This Row],[Protection New]]="", tblPiNHistorical[[#This Row],[Protection New]]=0), "", tblPiNHistorical[[#This Row],[Protection New]]-tblPiNHistorical[[#This Row],[Protection Old]])</f>
        <v/>
      </c>
      <c r="AL372" s="136" t="str">
        <f>IF(OR(tblPiNHistorical[[#This Row],[CP Old ]]="", tblPiNHistorical[[#This Row],[CP Old ]]=0, tblPiNHistorical[[#This Row],[CP New]]="", tblPiNHistorical[[#This Row],[CP New]]=0), "", tblPiNHistorical[[#This Row],[CP New]]-tblPiNHistorical[[#This Row],[CP Old ]])</f>
        <v/>
      </c>
      <c r="AM372" s="83" t="str">
        <f>IF(OR(tblPiNHistorical[[#This Row],[GBV Old]]="", tblPiNHistorical[[#This Row],[GBV Old]]=0, tblPiNHistorical[[#This Row],[GBV New]]="", tblPiNHistorical[[#This Row],[GBV New]]=0), "", tblPiNHistorical[[#This Row],[GBV New]]-tblPiNHistorical[[#This Row],[GBV Old]])</f>
        <v/>
      </c>
      <c r="AN372" s="83" t="str">
        <f>IF(OR(tblPiNHistorical[[#This Row],[Mine Action Old]]="", tblPiNHistorical[[#This Row],[Mine Action Old]]=0, tblPiNHistorical[[#This Row],[Mine Action New]]="", tblPiNHistorical[[#This Row],[Mine Action New]]=0), "", tblPiNHistorical[[#This Row],[Mine Action New]]-tblPiNHistorical[[#This Row],[Mine Action Old]])</f>
        <v/>
      </c>
      <c r="AO372" s="136" t="str">
        <f>IF(OR(tblPiNHistorical[[#This Row],[Shelter NFI Old]]="", tblPiNHistorical[[#This Row],[Shelter NFI Old]]=0, tblPiNHistorical[[#This Row],[Shelter NFI New]]="", tblPiNHistorical[[#This Row],[Shelter NFI New]]=0), "", tblPiNHistorical[[#This Row],[Shelter NFI New]]-tblPiNHistorical[[#This Row],[Shelter NFI Old]])</f>
        <v/>
      </c>
      <c r="AP372" s="138" t="str">
        <f>IF(OR(tblPiNHistorical[[#This Row],[WASH Old]]="", tblPiNHistorical[[#This Row],[WASH Old]]=0, tblPiNHistorical[[#This Row],[WASH New]]="", tblPiNHistorical[[#This Row],[WASH New]]=0), "", tblPiNHistorical[[#This Row],[WASH New]]-tblPiNHistorical[[#This Row],[WASH Old]])</f>
        <v/>
      </c>
      <c r="AQ372" s="139" t="str">
        <f>IFERROR(ROUND((tblPiNHistorical[[#This Row],[Site Management - New]] - tblPiNHistorical[[#This Row],[Site Management - Old]])/tblPiNHistorical[[#This Row],[Site Management - Old]], 1), "")</f>
        <v/>
      </c>
      <c r="AR372" s="140" t="str">
        <f>IFERROR(ROUND((tblPiNHistorical[[#This Row],[Education New]]-tblPiNHistorical[[#This Row],[Education Old]])/tblPiNHistorical[[#This Row],[Education Old]], 1), "")</f>
        <v/>
      </c>
      <c r="AS372" s="141" t="str">
        <f>IFERROR(ROUND((tblPiNHistorical[[#This Row],[Food Security and Livlihoods New]]-tblPiNHistorical[[#This Row],[Food Security and Livlihoods Old]])/tblPiNHistorical[[#This Row],[Food Security and Livlihoods Old]], 1), "")</f>
        <v/>
      </c>
      <c r="AT372" s="142" t="str">
        <f>IFERROR(ROUND((tblPiNHistorical[[#This Row],[Health New]]-tblPiNHistorical[[#This Row],[Health Old]])/tblPiNHistorical[[#This Row],[Health Old]], 1), "")</f>
        <v/>
      </c>
      <c r="AU372" s="140" t="str">
        <f>IFERROR(ROUND((tblPiNHistorical[[#This Row],[Nutrition New]]-tblPiNHistorical[[#This Row],[Nutrition Old]])/tblPiNHistorical[[#This Row],[Nutrition Old]], 1), "")</f>
        <v/>
      </c>
      <c r="AV372" s="140" t="str">
        <f>IFERROR(ROUND((tblPiNHistorical[[#This Row],[Protection New]]-tblPiNHistorical[[#This Row],[Protection Old]])/tblPiNHistorical[[#This Row],[Protection Old]], 1), "")</f>
        <v/>
      </c>
      <c r="AW372" s="84" t="str">
        <f>IFERROR(ROUND((tblPiNHistorical[[#This Row],[CP New]]-tblPiNHistorical[[#This Row],[CP Old ]])/tblPiNHistorical[[#This Row],[CP Old ]], 1), "")</f>
        <v/>
      </c>
      <c r="AX372" s="84" t="str">
        <f>IFERROR(ROUND((tblPiNHistorical[[#This Row],[GBV New]]-tblPiNHistorical[[#This Row],[GBV Old]])/tblPiNHistorical[[#This Row],[GBV Old]], 1), "")</f>
        <v/>
      </c>
      <c r="AY372" s="84" t="str">
        <f>IFERROR(ROUND((tblPiNHistorical[[#This Row],[Mine Action New]]-tblPiNHistorical[[#This Row],[Mine Action Old]])/tblPiNHistorical[[#This Row],[Mine Action Old]], 1), "")</f>
        <v/>
      </c>
      <c r="AZ372" s="140" t="str">
        <f>IFERROR(ROUND((tblPiNHistorical[[#This Row],[Shelter NFI New]]-tblPiNHistorical[[#This Row],[Shelter NFI Old]])/tblPiNHistorical[[#This Row],[Shelter NFI Old]], 1), "")</f>
        <v/>
      </c>
      <c r="BA372" s="31" t="str">
        <f>IFERROR(ROUND((tblPiNHistorical[[#This Row],[WASH New]]-tblPiNHistorical[[#This Row],[WASH Old]])/tblPiNHistorical[[#This Row],[WASH Old]], 1), "")</f>
        <v/>
      </c>
    </row>
    <row r="373" spans="1:53" ht="38.25" x14ac:dyDescent="0.25">
      <c r="A373"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RefugeesSD18085</v>
      </c>
      <c r="B373" s="134" t="s">
        <v>194</v>
      </c>
      <c r="C373" s="124" t="s">
        <v>135</v>
      </c>
      <c r="D373" s="124" t="s">
        <v>548</v>
      </c>
      <c r="E373" s="59" t="s">
        <v>549</v>
      </c>
      <c r="F373" s="54"/>
      <c r="G373" s="29"/>
      <c r="H373" s="53">
        <v>8963</v>
      </c>
      <c r="I373" s="53" t="s">
        <v>90</v>
      </c>
      <c r="J373" s="34">
        <v>0</v>
      </c>
      <c r="K373" s="116">
        <v>2880</v>
      </c>
      <c r="L373" s="114">
        <v>8937</v>
      </c>
      <c r="M373" s="114">
        <v>4379</v>
      </c>
      <c r="N373" s="114">
        <v>816</v>
      </c>
      <c r="O373" s="114">
        <v>8937</v>
      </c>
      <c r="P373" s="114">
        <v>1206.4950000000001</v>
      </c>
      <c r="Q373" s="114">
        <v>4647.24</v>
      </c>
      <c r="R373" s="114">
        <v>0</v>
      </c>
      <c r="S373" s="114">
        <v>3575</v>
      </c>
      <c r="T373" s="196">
        <v>3110</v>
      </c>
      <c r="U373" s="52" t="str">
        <f>IFERROR(INDEX(tblPiNAnalysis[[Site Management ]], MATCH(tblPiNHistorical[[#This Row],[ID]], tblPiNAnalysis[ID], 0)), "")</f>
        <v/>
      </c>
      <c r="V373" s="52" t="str">
        <f>IFERROR(INDEX(tblPiNAnalysis[Education], MATCH(tblPiNHistorical[[#This Row],[ID]], tblPiNAnalysis[ID], 0)), "")</f>
        <v/>
      </c>
      <c r="W373" s="28" t="str">
        <f>IFERROR(INDEX(tblPiNAnalysis[Food Security and Livlihoods], MATCH(tblPiNHistorical[[#This Row],[ID]], tblPiNAnalysis[ID], 0)), "")</f>
        <v/>
      </c>
      <c r="X373" s="28" t="str">
        <f>IFERROR(INDEX(tblPiNAnalysis[[Health ]], MATCH(tblPiNHistorical[[#This Row],[ID]], tblPiNAnalysis[ID], 0)), "")</f>
        <v/>
      </c>
      <c r="Y373" s="28" t="str">
        <f>IFERROR(INDEX(tblPiNAnalysis[Nutrition], MATCH(tblPiNHistorical[[#This Row],[ID]], tblPiNAnalysis[ID], 0)), "")</f>
        <v/>
      </c>
      <c r="Z373" s="28" t="str">
        <f>IFERROR(INDEX(tblPiNAnalysis[Protection], MATCH(tblPiNHistorical[[#This Row],[ID]], tblPiNAnalysis[ID], 0)), "")</f>
        <v/>
      </c>
      <c r="AA373" s="28" t="str">
        <f>IFERROR(INDEX(tblPiNAnalysis[CP], MATCH(tblPiNHistorical[[#This Row],[ID]], tblPiNAnalysis[ID], 0)), "")</f>
        <v/>
      </c>
      <c r="AB373" s="83" t="str">
        <f>IFERROR(INDEX(tblPiNAnalysis[GBV], MATCH(tblPiNHistorical[[#This Row],[ID]], tblPiNAnalysis[ID], 0)), "")</f>
        <v/>
      </c>
      <c r="AC373" s="28" t="str">
        <f>IFERROR(INDEX(tblPiNAnalysis[Mine Action], MATCH(tblPiNHistorical[[#This Row],[ID]], tblPiNAnalysis[ID], 0)), "")</f>
        <v/>
      </c>
      <c r="AD373" s="83" t="str">
        <f>IFERROR(INDEX(tblPiNAnalysis[[Shelter NFI ]], MATCH(tblPiNHistorical[[#This Row],[ID]], tblPiNAnalysis[ID], 0)), "")</f>
        <v/>
      </c>
      <c r="AE373" s="28" t="str">
        <f>IFERROR(INDEX(tblPiNAnalysis[WASH], MATCH(tblPiNHistorical[[#This Row],[ID]], tblPiNAnalysis[ID], 0)), "")</f>
        <v/>
      </c>
      <c r="AF373"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373" s="136" t="str">
        <f>IF(OR(tblPiNHistorical[[#This Row],[Education Old]]="", tblPiNHistorical[[#This Row],[Education Old]]=0, tblPiNHistorical[[#This Row],[Education New]]="", tblPiNHistorical[[#This Row],[Education New]]=0), "", tblPiNHistorical[[#This Row],[Education New]]-tblPiNHistorical[[#This Row],[Education Old]])</f>
        <v/>
      </c>
      <c r="AH373"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373" s="137" t="str">
        <f>IF(OR(tblPiNHistorical[[#This Row],[Health Old]]="", tblPiNHistorical[[#This Row],[Health Old]]=0, tblPiNHistorical[[#This Row],[Health New]]="", tblPiNHistorical[[#This Row],[Health New]]=0), "", tblPiNHistorical[[#This Row],[Health New]]-tblPiNHistorical[[#This Row],[Health Old]])</f>
        <v/>
      </c>
      <c r="AJ373" s="136" t="str">
        <f>IF(OR(tblPiNHistorical[[#This Row],[Nutrition Old]]="", tblPiNHistorical[[#This Row],[Nutrition Old]]=0, tblPiNHistorical[[#This Row],[Nutrition New]]="", tblPiNHistorical[[#This Row],[Nutrition New]]=0), "", tblPiNHistorical[[#This Row],[Nutrition New]]-tblPiNHistorical[[#This Row],[Nutrition Old]])</f>
        <v/>
      </c>
      <c r="AK373" s="136" t="str">
        <f>IF(OR(tblPiNHistorical[[#This Row],[Protection Old]]="", tblPiNHistorical[[#This Row],[Protection Old]]=0, tblPiNHistorical[[#This Row],[Protection New]]="", tblPiNHistorical[[#This Row],[Protection New]]=0), "", tblPiNHistorical[[#This Row],[Protection New]]-tblPiNHistorical[[#This Row],[Protection Old]])</f>
        <v/>
      </c>
      <c r="AL373" s="136" t="str">
        <f>IF(OR(tblPiNHistorical[[#This Row],[CP Old ]]="", tblPiNHistorical[[#This Row],[CP Old ]]=0, tblPiNHistorical[[#This Row],[CP New]]="", tblPiNHistorical[[#This Row],[CP New]]=0), "", tblPiNHistorical[[#This Row],[CP New]]-tblPiNHistorical[[#This Row],[CP Old ]])</f>
        <v/>
      </c>
      <c r="AM373" s="83" t="str">
        <f>IF(OR(tblPiNHistorical[[#This Row],[GBV Old]]="", tblPiNHistorical[[#This Row],[GBV Old]]=0, tblPiNHistorical[[#This Row],[GBV New]]="", tblPiNHistorical[[#This Row],[GBV New]]=0), "", tblPiNHistorical[[#This Row],[GBV New]]-tblPiNHistorical[[#This Row],[GBV Old]])</f>
        <v/>
      </c>
      <c r="AN373" s="83" t="str">
        <f>IF(OR(tblPiNHistorical[[#This Row],[Mine Action Old]]="", tblPiNHistorical[[#This Row],[Mine Action Old]]=0, tblPiNHistorical[[#This Row],[Mine Action New]]="", tblPiNHistorical[[#This Row],[Mine Action New]]=0), "", tblPiNHistorical[[#This Row],[Mine Action New]]-tblPiNHistorical[[#This Row],[Mine Action Old]])</f>
        <v/>
      </c>
      <c r="AO373" s="136" t="str">
        <f>IF(OR(tblPiNHistorical[[#This Row],[Shelter NFI Old]]="", tblPiNHistorical[[#This Row],[Shelter NFI Old]]=0, tblPiNHistorical[[#This Row],[Shelter NFI New]]="", tblPiNHistorical[[#This Row],[Shelter NFI New]]=0), "", tblPiNHistorical[[#This Row],[Shelter NFI New]]-tblPiNHistorical[[#This Row],[Shelter NFI Old]])</f>
        <v/>
      </c>
      <c r="AP373" s="138" t="str">
        <f>IF(OR(tblPiNHistorical[[#This Row],[WASH Old]]="", tblPiNHistorical[[#This Row],[WASH Old]]=0, tblPiNHistorical[[#This Row],[WASH New]]="", tblPiNHistorical[[#This Row],[WASH New]]=0), "", tblPiNHistorical[[#This Row],[WASH New]]-tblPiNHistorical[[#This Row],[WASH Old]])</f>
        <v/>
      </c>
      <c r="AQ373" s="139" t="str">
        <f>IFERROR(ROUND((tblPiNHistorical[[#This Row],[Site Management - New]] - tblPiNHistorical[[#This Row],[Site Management - Old]])/tblPiNHistorical[[#This Row],[Site Management - Old]], 1), "")</f>
        <v/>
      </c>
      <c r="AR373" s="140" t="str">
        <f>IFERROR(ROUND((tblPiNHistorical[[#This Row],[Education New]]-tblPiNHistorical[[#This Row],[Education Old]])/tblPiNHistorical[[#This Row],[Education Old]], 1), "")</f>
        <v/>
      </c>
      <c r="AS373" s="141" t="str">
        <f>IFERROR(ROUND((tblPiNHistorical[[#This Row],[Food Security and Livlihoods New]]-tblPiNHistorical[[#This Row],[Food Security and Livlihoods Old]])/tblPiNHistorical[[#This Row],[Food Security and Livlihoods Old]], 1), "")</f>
        <v/>
      </c>
      <c r="AT373" s="142" t="str">
        <f>IFERROR(ROUND((tblPiNHistorical[[#This Row],[Health New]]-tblPiNHistorical[[#This Row],[Health Old]])/tblPiNHistorical[[#This Row],[Health Old]], 1), "")</f>
        <v/>
      </c>
      <c r="AU373" s="140" t="str">
        <f>IFERROR(ROUND((tblPiNHistorical[[#This Row],[Nutrition New]]-tblPiNHistorical[[#This Row],[Nutrition Old]])/tblPiNHistorical[[#This Row],[Nutrition Old]], 1), "")</f>
        <v/>
      </c>
      <c r="AV373" s="140" t="str">
        <f>IFERROR(ROUND((tblPiNHistorical[[#This Row],[Protection New]]-tblPiNHistorical[[#This Row],[Protection Old]])/tblPiNHistorical[[#This Row],[Protection Old]], 1), "")</f>
        <v/>
      </c>
      <c r="AW373" s="84" t="str">
        <f>IFERROR(ROUND((tblPiNHistorical[[#This Row],[CP New]]-tblPiNHistorical[[#This Row],[CP Old ]])/tblPiNHistorical[[#This Row],[CP Old ]], 1), "")</f>
        <v/>
      </c>
      <c r="AX373" s="84" t="str">
        <f>IFERROR(ROUND((tblPiNHistorical[[#This Row],[GBV New]]-tblPiNHistorical[[#This Row],[GBV Old]])/tblPiNHistorical[[#This Row],[GBV Old]], 1), "")</f>
        <v/>
      </c>
      <c r="AY373" s="84" t="str">
        <f>IFERROR(ROUND((tblPiNHistorical[[#This Row],[Mine Action New]]-tblPiNHistorical[[#This Row],[Mine Action Old]])/tblPiNHistorical[[#This Row],[Mine Action Old]], 1), "")</f>
        <v/>
      </c>
      <c r="AZ373" s="140" t="str">
        <f>IFERROR(ROUND((tblPiNHistorical[[#This Row],[Shelter NFI New]]-tblPiNHistorical[[#This Row],[Shelter NFI Old]])/tblPiNHistorical[[#This Row],[Shelter NFI Old]], 1), "")</f>
        <v/>
      </c>
      <c r="BA373" s="31" t="str">
        <f>IFERROR(ROUND((tblPiNHistorical[[#This Row],[WASH New]]-tblPiNHistorical[[#This Row],[WASH Old]])/tblPiNHistorical[[#This Row],[WASH Old]], 1), "")</f>
        <v/>
      </c>
    </row>
    <row r="374" spans="1:53" ht="38.25" x14ac:dyDescent="0.25">
      <c r="A374"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RefugeesSD18029</v>
      </c>
      <c r="B374" s="134" t="s">
        <v>194</v>
      </c>
      <c r="C374" s="124" t="s">
        <v>135</v>
      </c>
      <c r="D374" s="124" t="s">
        <v>546</v>
      </c>
      <c r="E374" s="59" t="s">
        <v>547</v>
      </c>
      <c r="F374" s="54"/>
      <c r="G374" s="29"/>
      <c r="H374" s="53">
        <v>4</v>
      </c>
      <c r="I374" s="53" t="s">
        <v>90</v>
      </c>
      <c r="J374" s="34">
        <v>0</v>
      </c>
      <c r="K374" s="116">
        <v>1</v>
      </c>
      <c r="L374" s="114">
        <v>4</v>
      </c>
      <c r="M374" s="114">
        <v>2</v>
      </c>
      <c r="N374" s="114">
        <v>0</v>
      </c>
      <c r="O374" s="114">
        <v>4</v>
      </c>
      <c r="P374" s="114">
        <v>0.54</v>
      </c>
      <c r="Q374" s="114">
        <v>2.08</v>
      </c>
      <c r="R374" s="114">
        <v>0</v>
      </c>
      <c r="S374" s="114">
        <v>0</v>
      </c>
      <c r="T374" s="196">
        <v>3</v>
      </c>
      <c r="U374" s="52" t="str">
        <f>IFERROR(INDEX(tblPiNAnalysis[[Site Management ]], MATCH(tblPiNHistorical[[#This Row],[ID]], tblPiNAnalysis[ID], 0)), "")</f>
        <v/>
      </c>
      <c r="V374" s="52" t="str">
        <f>IFERROR(INDEX(tblPiNAnalysis[Education], MATCH(tblPiNHistorical[[#This Row],[ID]], tblPiNAnalysis[ID], 0)), "")</f>
        <v/>
      </c>
      <c r="W374" s="28" t="str">
        <f>IFERROR(INDEX(tblPiNAnalysis[Food Security and Livlihoods], MATCH(tblPiNHistorical[[#This Row],[ID]], tblPiNAnalysis[ID], 0)), "")</f>
        <v/>
      </c>
      <c r="X374" s="28" t="str">
        <f>IFERROR(INDEX(tblPiNAnalysis[[Health ]], MATCH(tblPiNHistorical[[#This Row],[ID]], tblPiNAnalysis[ID], 0)), "")</f>
        <v/>
      </c>
      <c r="Y374" s="28" t="str">
        <f>IFERROR(INDEX(tblPiNAnalysis[Nutrition], MATCH(tblPiNHistorical[[#This Row],[ID]], tblPiNAnalysis[ID], 0)), "")</f>
        <v/>
      </c>
      <c r="Z374" s="28" t="str">
        <f>IFERROR(INDEX(tblPiNAnalysis[Protection], MATCH(tblPiNHistorical[[#This Row],[ID]], tblPiNAnalysis[ID], 0)), "")</f>
        <v/>
      </c>
      <c r="AA374" s="28" t="str">
        <f>IFERROR(INDEX(tblPiNAnalysis[CP], MATCH(tblPiNHistorical[[#This Row],[ID]], tblPiNAnalysis[ID], 0)), "")</f>
        <v/>
      </c>
      <c r="AB374" s="83" t="str">
        <f>IFERROR(INDEX(tblPiNAnalysis[GBV], MATCH(tblPiNHistorical[[#This Row],[ID]], tblPiNAnalysis[ID], 0)), "")</f>
        <v/>
      </c>
      <c r="AC374" s="28" t="str">
        <f>IFERROR(INDEX(tblPiNAnalysis[Mine Action], MATCH(tblPiNHistorical[[#This Row],[ID]], tblPiNAnalysis[ID], 0)), "")</f>
        <v/>
      </c>
      <c r="AD374" s="83" t="str">
        <f>IFERROR(INDEX(tblPiNAnalysis[[Shelter NFI ]], MATCH(tblPiNHistorical[[#This Row],[ID]], tblPiNAnalysis[ID], 0)), "")</f>
        <v/>
      </c>
      <c r="AE374" s="28" t="str">
        <f>IFERROR(INDEX(tblPiNAnalysis[WASH], MATCH(tblPiNHistorical[[#This Row],[ID]], tblPiNAnalysis[ID], 0)), "")</f>
        <v/>
      </c>
      <c r="AF374"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374" s="136" t="str">
        <f>IF(OR(tblPiNHistorical[[#This Row],[Education Old]]="", tblPiNHistorical[[#This Row],[Education Old]]=0, tblPiNHistorical[[#This Row],[Education New]]="", tblPiNHistorical[[#This Row],[Education New]]=0), "", tblPiNHistorical[[#This Row],[Education New]]-tblPiNHistorical[[#This Row],[Education Old]])</f>
        <v/>
      </c>
      <c r="AH374"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374" s="137" t="str">
        <f>IF(OR(tblPiNHistorical[[#This Row],[Health Old]]="", tblPiNHistorical[[#This Row],[Health Old]]=0, tblPiNHistorical[[#This Row],[Health New]]="", tblPiNHistorical[[#This Row],[Health New]]=0), "", tblPiNHistorical[[#This Row],[Health New]]-tblPiNHistorical[[#This Row],[Health Old]])</f>
        <v/>
      </c>
      <c r="AJ374" s="136" t="str">
        <f>IF(OR(tblPiNHistorical[[#This Row],[Nutrition Old]]="", tblPiNHistorical[[#This Row],[Nutrition Old]]=0, tblPiNHistorical[[#This Row],[Nutrition New]]="", tblPiNHistorical[[#This Row],[Nutrition New]]=0), "", tblPiNHistorical[[#This Row],[Nutrition New]]-tblPiNHistorical[[#This Row],[Nutrition Old]])</f>
        <v/>
      </c>
      <c r="AK374" s="136" t="str">
        <f>IF(OR(tblPiNHistorical[[#This Row],[Protection Old]]="", tblPiNHistorical[[#This Row],[Protection Old]]=0, tblPiNHistorical[[#This Row],[Protection New]]="", tblPiNHistorical[[#This Row],[Protection New]]=0), "", tblPiNHistorical[[#This Row],[Protection New]]-tblPiNHistorical[[#This Row],[Protection Old]])</f>
        <v/>
      </c>
      <c r="AL374" s="136" t="str">
        <f>IF(OR(tblPiNHistorical[[#This Row],[CP Old ]]="", tblPiNHistorical[[#This Row],[CP Old ]]=0, tblPiNHistorical[[#This Row],[CP New]]="", tblPiNHistorical[[#This Row],[CP New]]=0), "", tblPiNHistorical[[#This Row],[CP New]]-tblPiNHistorical[[#This Row],[CP Old ]])</f>
        <v/>
      </c>
      <c r="AM374" s="83" t="str">
        <f>IF(OR(tblPiNHistorical[[#This Row],[GBV Old]]="", tblPiNHistorical[[#This Row],[GBV Old]]=0, tblPiNHistorical[[#This Row],[GBV New]]="", tblPiNHistorical[[#This Row],[GBV New]]=0), "", tblPiNHistorical[[#This Row],[GBV New]]-tblPiNHistorical[[#This Row],[GBV Old]])</f>
        <v/>
      </c>
      <c r="AN374" s="83" t="str">
        <f>IF(OR(tblPiNHistorical[[#This Row],[Mine Action Old]]="", tblPiNHistorical[[#This Row],[Mine Action Old]]=0, tblPiNHistorical[[#This Row],[Mine Action New]]="", tblPiNHistorical[[#This Row],[Mine Action New]]=0), "", tblPiNHistorical[[#This Row],[Mine Action New]]-tblPiNHistorical[[#This Row],[Mine Action Old]])</f>
        <v/>
      </c>
      <c r="AO374" s="136" t="str">
        <f>IF(OR(tblPiNHistorical[[#This Row],[Shelter NFI Old]]="", tblPiNHistorical[[#This Row],[Shelter NFI Old]]=0, tblPiNHistorical[[#This Row],[Shelter NFI New]]="", tblPiNHistorical[[#This Row],[Shelter NFI New]]=0), "", tblPiNHistorical[[#This Row],[Shelter NFI New]]-tblPiNHistorical[[#This Row],[Shelter NFI Old]])</f>
        <v/>
      </c>
      <c r="AP374" s="138" t="str">
        <f>IF(OR(tblPiNHistorical[[#This Row],[WASH Old]]="", tblPiNHistorical[[#This Row],[WASH Old]]=0, tblPiNHistorical[[#This Row],[WASH New]]="", tblPiNHistorical[[#This Row],[WASH New]]=0), "", tblPiNHistorical[[#This Row],[WASH New]]-tblPiNHistorical[[#This Row],[WASH Old]])</f>
        <v/>
      </c>
      <c r="AQ374" s="139" t="str">
        <f>IFERROR(ROUND((tblPiNHistorical[[#This Row],[Site Management - New]] - tblPiNHistorical[[#This Row],[Site Management - Old]])/tblPiNHistorical[[#This Row],[Site Management - Old]], 1), "")</f>
        <v/>
      </c>
      <c r="AR374" s="140" t="str">
        <f>IFERROR(ROUND((tblPiNHistorical[[#This Row],[Education New]]-tblPiNHistorical[[#This Row],[Education Old]])/tblPiNHistorical[[#This Row],[Education Old]], 1), "")</f>
        <v/>
      </c>
      <c r="AS374" s="141" t="str">
        <f>IFERROR(ROUND((tblPiNHistorical[[#This Row],[Food Security and Livlihoods New]]-tblPiNHistorical[[#This Row],[Food Security and Livlihoods Old]])/tblPiNHistorical[[#This Row],[Food Security and Livlihoods Old]], 1), "")</f>
        <v/>
      </c>
      <c r="AT374" s="142" t="str">
        <f>IFERROR(ROUND((tblPiNHistorical[[#This Row],[Health New]]-tblPiNHistorical[[#This Row],[Health Old]])/tblPiNHistorical[[#This Row],[Health Old]], 1), "")</f>
        <v/>
      </c>
      <c r="AU374" s="140" t="str">
        <f>IFERROR(ROUND((tblPiNHistorical[[#This Row],[Nutrition New]]-tblPiNHistorical[[#This Row],[Nutrition Old]])/tblPiNHistorical[[#This Row],[Nutrition Old]], 1), "")</f>
        <v/>
      </c>
      <c r="AV374" s="140" t="str">
        <f>IFERROR(ROUND((tblPiNHistorical[[#This Row],[Protection New]]-tblPiNHistorical[[#This Row],[Protection Old]])/tblPiNHistorical[[#This Row],[Protection Old]], 1), "")</f>
        <v/>
      </c>
      <c r="AW374" s="84" t="str">
        <f>IFERROR(ROUND((tblPiNHistorical[[#This Row],[CP New]]-tblPiNHistorical[[#This Row],[CP Old ]])/tblPiNHistorical[[#This Row],[CP Old ]], 1), "")</f>
        <v/>
      </c>
      <c r="AX374" s="84" t="str">
        <f>IFERROR(ROUND((tblPiNHistorical[[#This Row],[GBV New]]-tblPiNHistorical[[#This Row],[GBV Old]])/tblPiNHistorical[[#This Row],[GBV Old]], 1), "")</f>
        <v/>
      </c>
      <c r="AY374" s="84" t="str">
        <f>IFERROR(ROUND((tblPiNHistorical[[#This Row],[Mine Action New]]-tblPiNHistorical[[#This Row],[Mine Action Old]])/tblPiNHistorical[[#This Row],[Mine Action Old]], 1), "")</f>
        <v/>
      </c>
      <c r="AZ374" s="140" t="str">
        <f>IFERROR(ROUND((tblPiNHistorical[[#This Row],[Shelter NFI New]]-tblPiNHistorical[[#This Row],[Shelter NFI Old]])/tblPiNHistorical[[#This Row],[Shelter NFI Old]], 1), "")</f>
        <v/>
      </c>
      <c r="BA374" s="31" t="str">
        <f>IFERROR(ROUND((tblPiNHistorical[[#This Row],[WASH New]]-tblPiNHistorical[[#This Row],[WASH Old]])/tblPiNHistorical[[#This Row],[WASH Old]], 1), "")</f>
        <v/>
      </c>
    </row>
    <row r="375" spans="1:53" ht="38.25" x14ac:dyDescent="0.25">
      <c r="A375"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RefugeesSD09044</v>
      </c>
      <c r="B375" s="134" t="s">
        <v>197</v>
      </c>
      <c r="C375" s="124" t="s">
        <v>126</v>
      </c>
      <c r="D375" s="124" t="s">
        <v>384</v>
      </c>
      <c r="E375" s="59" t="s">
        <v>385</v>
      </c>
      <c r="F375" s="54"/>
      <c r="G375" s="29"/>
      <c r="H375" s="53">
        <v>4</v>
      </c>
      <c r="I375" s="53" t="s">
        <v>90</v>
      </c>
      <c r="J375" s="34">
        <v>0</v>
      </c>
      <c r="K375" s="116">
        <v>0</v>
      </c>
      <c r="L375" s="114">
        <v>0</v>
      </c>
      <c r="M375" s="114">
        <v>0</v>
      </c>
      <c r="N375" s="114">
        <v>0</v>
      </c>
      <c r="O375" s="114">
        <v>0</v>
      </c>
      <c r="P375" s="114">
        <v>0</v>
      </c>
      <c r="Q375" s="114">
        <v>0</v>
      </c>
      <c r="R375" s="114">
        <v>0</v>
      </c>
      <c r="S375" s="114">
        <v>0</v>
      </c>
      <c r="T375" s="196">
        <v>0</v>
      </c>
      <c r="U375" s="52" t="str">
        <f>IFERROR(INDEX(tblPiNAnalysis[[Site Management ]], MATCH(tblPiNHistorical[[#This Row],[ID]], tblPiNAnalysis[ID], 0)), "")</f>
        <v/>
      </c>
      <c r="V375" s="52" t="str">
        <f>IFERROR(INDEX(tblPiNAnalysis[Education], MATCH(tblPiNHistorical[[#This Row],[ID]], tblPiNAnalysis[ID], 0)), "")</f>
        <v/>
      </c>
      <c r="W375" s="28" t="str">
        <f>IFERROR(INDEX(tblPiNAnalysis[Food Security and Livlihoods], MATCH(tblPiNHistorical[[#This Row],[ID]], tblPiNAnalysis[ID], 0)), "")</f>
        <v/>
      </c>
      <c r="X375" s="28" t="str">
        <f>IFERROR(INDEX(tblPiNAnalysis[[Health ]], MATCH(tblPiNHistorical[[#This Row],[ID]], tblPiNAnalysis[ID], 0)), "")</f>
        <v/>
      </c>
      <c r="Y375" s="28" t="str">
        <f>IFERROR(INDEX(tblPiNAnalysis[Nutrition], MATCH(tblPiNHistorical[[#This Row],[ID]], tblPiNAnalysis[ID], 0)), "")</f>
        <v/>
      </c>
      <c r="Z375" s="28" t="str">
        <f>IFERROR(INDEX(tblPiNAnalysis[Protection], MATCH(tblPiNHistorical[[#This Row],[ID]], tblPiNAnalysis[ID], 0)), "")</f>
        <v/>
      </c>
      <c r="AA375" s="28" t="str">
        <f>IFERROR(INDEX(tblPiNAnalysis[CP], MATCH(tblPiNHistorical[[#This Row],[ID]], tblPiNAnalysis[ID], 0)), "")</f>
        <v/>
      </c>
      <c r="AB375" s="83" t="str">
        <f>IFERROR(INDEX(tblPiNAnalysis[GBV], MATCH(tblPiNHistorical[[#This Row],[ID]], tblPiNAnalysis[ID], 0)), "")</f>
        <v/>
      </c>
      <c r="AC375" s="28" t="str">
        <f>IFERROR(INDEX(tblPiNAnalysis[Mine Action], MATCH(tblPiNHistorical[[#This Row],[ID]], tblPiNAnalysis[ID], 0)), "")</f>
        <v/>
      </c>
      <c r="AD375" s="83" t="str">
        <f>IFERROR(INDEX(tblPiNAnalysis[[Shelter NFI ]], MATCH(tblPiNHistorical[[#This Row],[ID]], tblPiNAnalysis[ID], 0)), "")</f>
        <v/>
      </c>
      <c r="AE375" s="28" t="str">
        <f>IFERROR(INDEX(tblPiNAnalysis[WASH], MATCH(tblPiNHistorical[[#This Row],[ID]], tblPiNAnalysis[ID], 0)), "")</f>
        <v/>
      </c>
      <c r="AF375"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375" s="136" t="str">
        <f>IF(OR(tblPiNHistorical[[#This Row],[Education Old]]="", tblPiNHistorical[[#This Row],[Education Old]]=0, tblPiNHistorical[[#This Row],[Education New]]="", tblPiNHistorical[[#This Row],[Education New]]=0), "", tblPiNHistorical[[#This Row],[Education New]]-tblPiNHistorical[[#This Row],[Education Old]])</f>
        <v/>
      </c>
      <c r="AH375"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375" s="137" t="str">
        <f>IF(OR(tblPiNHistorical[[#This Row],[Health Old]]="", tblPiNHistorical[[#This Row],[Health Old]]=0, tblPiNHistorical[[#This Row],[Health New]]="", tblPiNHistorical[[#This Row],[Health New]]=0), "", tblPiNHistorical[[#This Row],[Health New]]-tblPiNHistorical[[#This Row],[Health Old]])</f>
        <v/>
      </c>
      <c r="AJ375" s="136" t="str">
        <f>IF(OR(tblPiNHistorical[[#This Row],[Nutrition Old]]="", tblPiNHistorical[[#This Row],[Nutrition Old]]=0, tblPiNHistorical[[#This Row],[Nutrition New]]="", tblPiNHistorical[[#This Row],[Nutrition New]]=0), "", tblPiNHistorical[[#This Row],[Nutrition New]]-tblPiNHistorical[[#This Row],[Nutrition Old]])</f>
        <v/>
      </c>
      <c r="AK375" s="136" t="str">
        <f>IF(OR(tblPiNHistorical[[#This Row],[Protection Old]]="", tblPiNHistorical[[#This Row],[Protection Old]]=0, tblPiNHistorical[[#This Row],[Protection New]]="", tblPiNHistorical[[#This Row],[Protection New]]=0), "", tblPiNHistorical[[#This Row],[Protection New]]-tblPiNHistorical[[#This Row],[Protection Old]])</f>
        <v/>
      </c>
      <c r="AL375" s="136" t="str">
        <f>IF(OR(tblPiNHistorical[[#This Row],[CP Old ]]="", tblPiNHistorical[[#This Row],[CP Old ]]=0, tblPiNHistorical[[#This Row],[CP New]]="", tblPiNHistorical[[#This Row],[CP New]]=0), "", tblPiNHistorical[[#This Row],[CP New]]-tblPiNHistorical[[#This Row],[CP Old ]])</f>
        <v/>
      </c>
      <c r="AM375" s="83" t="str">
        <f>IF(OR(tblPiNHistorical[[#This Row],[GBV Old]]="", tblPiNHistorical[[#This Row],[GBV Old]]=0, tblPiNHistorical[[#This Row],[GBV New]]="", tblPiNHistorical[[#This Row],[GBV New]]=0), "", tblPiNHistorical[[#This Row],[GBV New]]-tblPiNHistorical[[#This Row],[GBV Old]])</f>
        <v/>
      </c>
      <c r="AN375" s="83" t="str">
        <f>IF(OR(tblPiNHistorical[[#This Row],[Mine Action Old]]="", tblPiNHistorical[[#This Row],[Mine Action Old]]=0, tblPiNHistorical[[#This Row],[Mine Action New]]="", tblPiNHistorical[[#This Row],[Mine Action New]]=0), "", tblPiNHistorical[[#This Row],[Mine Action New]]-tblPiNHistorical[[#This Row],[Mine Action Old]])</f>
        <v/>
      </c>
      <c r="AO375" s="136" t="str">
        <f>IF(OR(tblPiNHistorical[[#This Row],[Shelter NFI Old]]="", tblPiNHistorical[[#This Row],[Shelter NFI Old]]=0, tblPiNHistorical[[#This Row],[Shelter NFI New]]="", tblPiNHistorical[[#This Row],[Shelter NFI New]]=0), "", tblPiNHistorical[[#This Row],[Shelter NFI New]]-tblPiNHistorical[[#This Row],[Shelter NFI Old]])</f>
        <v/>
      </c>
      <c r="AP375" s="138" t="str">
        <f>IF(OR(tblPiNHistorical[[#This Row],[WASH Old]]="", tblPiNHistorical[[#This Row],[WASH Old]]=0, tblPiNHistorical[[#This Row],[WASH New]]="", tblPiNHistorical[[#This Row],[WASH New]]=0), "", tblPiNHistorical[[#This Row],[WASH New]]-tblPiNHistorical[[#This Row],[WASH Old]])</f>
        <v/>
      </c>
      <c r="AQ375" s="139" t="str">
        <f>IFERROR(ROUND((tblPiNHistorical[[#This Row],[Site Management - New]] - tblPiNHistorical[[#This Row],[Site Management - Old]])/tblPiNHistorical[[#This Row],[Site Management - Old]], 1), "")</f>
        <v/>
      </c>
      <c r="AR375" s="140" t="str">
        <f>IFERROR(ROUND((tblPiNHistorical[[#This Row],[Education New]]-tblPiNHistorical[[#This Row],[Education Old]])/tblPiNHistorical[[#This Row],[Education Old]], 1), "")</f>
        <v/>
      </c>
      <c r="AS375" s="141" t="str">
        <f>IFERROR(ROUND((tblPiNHistorical[[#This Row],[Food Security and Livlihoods New]]-tblPiNHistorical[[#This Row],[Food Security and Livlihoods Old]])/tblPiNHistorical[[#This Row],[Food Security and Livlihoods Old]], 1), "")</f>
        <v/>
      </c>
      <c r="AT375" s="142" t="str">
        <f>IFERROR(ROUND((tblPiNHistorical[[#This Row],[Health New]]-tblPiNHistorical[[#This Row],[Health Old]])/tblPiNHistorical[[#This Row],[Health Old]], 1), "")</f>
        <v/>
      </c>
      <c r="AU375" s="140" t="str">
        <f>IFERROR(ROUND((tblPiNHistorical[[#This Row],[Nutrition New]]-tblPiNHistorical[[#This Row],[Nutrition Old]])/tblPiNHistorical[[#This Row],[Nutrition Old]], 1), "")</f>
        <v/>
      </c>
      <c r="AV375" s="140" t="str">
        <f>IFERROR(ROUND((tblPiNHistorical[[#This Row],[Protection New]]-tblPiNHistorical[[#This Row],[Protection Old]])/tblPiNHistorical[[#This Row],[Protection Old]], 1), "")</f>
        <v/>
      </c>
      <c r="AW375" s="84" t="str">
        <f>IFERROR(ROUND((tblPiNHistorical[[#This Row],[CP New]]-tblPiNHistorical[[#This Row],[CP Old ]])/tblPiNHistorical[[#This Row],[CP Old ]], 1), "")</f>
        <v/>
      </c>
      <c r="AX375" s="84" t="str">
        <f>IFERROR(ROUND((tblPiNHistorical[[#This Row],[GBV New]]-tblPiNHistorical[[#This Row],[GBV Old]])/tblPiNHistorical[[#This Row],[GBV Old]], 1), "")</f>
        <v/>
      </c>
      <c r="AY375" s="84" t="str">
        <f>IFERROR(ROUND((tblPiNHistorical[[#This Row],[Mine Action New]]-tblPiNHistorical[[#This Row],[Mine Action Old]])/tblPiNHistorical[[#This Row],[Mine Action Old]], 1), "")</f>
        <v/>
      </c>
      <c r="AZ375" s="140" t="str">
        <f>IFERROR(ROUND((tblPiNHistorical[[#This Row],[Shelter NFI New]]-tblPiNHistorical[[#This Row],[Shelter NFI Old]])/tblPiNHistorical[[#This Row],[Shelter NFI Old]], 1), "")</f>
        <v/>
      </c>
      <c r="BA375" s="31" t="str">
        <f>IFERROR(ROUND((tblPiNHistorical[[#This Row],[WASH New]]-tblPiNHistorical[[#This Row],[WASH Old]])/tblPiNHistorical[[#This Row],[WASH Old]], 1), "")</f>
        <v/>
      </c>
    </row>
    <row r="376" spans="1:53" ht="38.25" x14ac:dyDescent="0.25">
      <c r="A376"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RefugeesSD09051</v>
      </c>
      <c r="B376" s="134" t="s">
        <v>197</v>
      </c>
      <c r="C376" s="124" t="s">
        <v>126</v>
      </c>
      <c r="D376" s="124" t="s">
        <v>398</v>
      </c>
      <c r="E376" s="59" t="s">
        <v>399</v>
      </c>
      <c r="F376" s="54"/>
      <c r="G376" s="29"/>
      <c r="H376" s="53">
        <v>9</v>
      </c>
      <c r="I376" s="53" t="s">
        <v>90</v>
      </c>
      <c r="J376" s="34">
        <v>0</v>
      </c>
      <c r="K376" s="116">
        <v>66579</v>
      </c>
      <c r="L376" s="114">
        <v>138328</v>
      </c>
      <c r="M376" s="114">
        <v>134178</v>
      </c>
      <c r="N376" s="114">
        <v>12626</v>
      </c>
      <c r="O376" s="114">
        <v>138328</v>
      </c>
      <c r="P376" s="114">
        <v>5533.12</v>
      </c>
      <c r="Q376" s="114">
        <v>19919.232</v>
      </c>
      <c r="R376" s="114">
        <v>0</v>
      </c>
      <c r="S376" s="114">
        <v>110662</v>
      </c>
      <c r="T376" s="196">
        <v>84726</v>
      </c>
      <c r="U376" s="52" t="str">
        <f>IFERROR(INDEX(tblPiNAnalysis[[Site Management ]], MATCH(tblPiNHistorical[[#This Row],[ID]], tblPiNAnalysis[ID], 0)), "")</f>
        <v/>
      </c>
      <c r="V376" s="52" t="str">
        <f>IFERROR(INDEX(tblPiNAnalysis[Education], MATCH(tblPiNHistorical[[#This Row],[ID]], tblPiNAnalysis[ID], 0)), "")</f>
        <v/>
      </c>
      <c r="W376" s="28" t="str">
        <f>IFERROR(INDEX(tblPiNAnalysis[Food Security and Livlihoods], MATCH(tblPiNHistorical[[#This Row],[ID]], tblPiNAnalysis[ID], 0)), "")</f>
        <v/>
      </c>
      <c r="X376" s="28" t="str">
        <f>IFERROR(INDEX(tblPiNAnalysis[[Health ]], MATCH(tblPiNHistorical[[#This Row],[ID]], tblPiNAnalysis[ID], 0)), "")</f>
        <v/>
      </c>
      <c r="Y376" s="28" t="str">
        <f>IFERROR(INDEX(tblPiNAnalysis[Nutrition], MATCH(tblPiNHistorical[[#This Row],[ID]], tblPiNAnalysis[ID], 0)), "")</f>
        <v/>
      </c>
      <c r="Z376" s="28" t="str">
        <f>IFERROR(INDEX(tblPiNAnalysis[Protection], MATCH(tblPiNHistorical[[#This Row],[ID]], tblPiNAnalysis[ID], 0)), "")</f>
        <v/>
      </c>
      <c r="AA376" s="28" t="str">
        <f>IFERROR(INDEX(tblPiNAnalysis[CP], MATCH(tblPiNHistorical[[#This Row],[ID]], tblPiNAnalysis[ID], 0)), "")</f>
        <v/>
      </c>
      <c r="AB376" s="83" t="str">
        <f>IFERROR(INDEX(tblPiNAnalysis[GBV], MATCH(tblPiNHistorical[[#This Row],[ID]], tblPiNAnalysis[ID], 0)), "")</f>
        <v/>
      </c>
      <c r="AC376" s="28" t="str">
        <f>IFERROR(INDEX(tblPiNAnalysis[Mine Action], MATCH(tblPiNHistorical[[#This Row],[ID]], tblPiNAnalysis[ID], 0)), "")</f>
        <v/>
      </c>
      <c r="AD376" s="83" t="str">
        <f>IFERROR(INDEX(tblPiNAnalysis[[Shelter NFI ]], MATCH(tblPiNHistorical[[#This Row],[ID]], tblPiNAnalysis[ID], 0)), "")</f>
        <v/>
      </c>
      <c r="AE376" s="28" t="str">
        <f>IFERROR(INDEX(tblPiNAnalysis[WASH], MATCH(tblPiNHistorical[[#This Row],[ID]], tblPiNAnalysis[ID], 0)), "")</f>
        <v/>
      </c>
      <c r="AF376"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376" s="136" t="str">
        <f>IF(OR(tblPiNHistorical[[#This Row],[Education Old]]="", tblPiNHistorical[[#This Row],[Education Old]]=0, tblPiNHistorical[[#This Row],[Education New]]="", tblPiNHistorical[[#This Row],[Education New]]=0), "", tblPiNHistorical[[#This Row],[Education New]]-tblPiNHistorical[[#This Row],[Education Old]])</f>
        <v/>
      </c>
      <c r="AH376"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376" s="137" t="str">
        <f>IF(OR(tblPiNHistorical[[#This Row],[Health Old]]="", tblPiNHistorical[[#This Row],[Health Old]]=0, tblPiNHistorical[[#This Row],[Health New]]="", tblPiNHistorical[[#This Row],[Health New]]=0), "", tblPiNHistorical[[#This Row],[Health New]]-tblPiNHistorical[[#This Row],[Health Old]])</f>
        <v/>
      </c>
      <c r="AJ376" s="136" t="str">
        <f>IF(OR(tblPiNHistorical[[#This Row],[Nutrition Old]]="", tblPiNHistorical[[#This Row],[Nutrition Old]]=0, tblPiNHistorical[[#This Row],[Nutrition New]]="", tblPiNHistorical[[#This Row],[Nutrition New]]=0), "", tblPiNHistorical[[#This Row],[Nutrition New]]-tblPiNHistorical[[#This Row],[Nutrition Old]])</f>
        <v/>
      </c>
      <c r="AK376" s="136" t="str">
        <f>IF(OR(tblPiNHistorical[[#This Row],[Protection Old]]="", tblPiNHistorical[[#This Row],[Protection Old]]=0, tblPiNHistorical[[#This Row],[Protection New]]="", tblPiNHistorical[[#This Row],[Protection New]]=0), "", tblPiNHistorical[[#This Row],[Protection New]]-tblPiNHistorical[[#This Row],[Protection Old]])</f>
        <v/>
      </c>
      <c r="AL376" s="136" t="str">
        <f>IF(OR(tblPiNHistorical[[#This Row],[CP Old ]]="", tblPiNHistorical[[#This Row],[CP Old ]]=0, tblPiNHistorical[[#This Row],[CP New]]="", tblPiNHistorical[[#This Row],[CP New]]=0), "", tblPiNHistorical[[#This Row],[CP New]]-tblPiNHistorical[[#This Row],[CP Old ]])</f>
        <v/>
      </c>
      <c r="AM376" s="83" t="str">
        <f>IF(OR(tblPiNHistorical[[#This Row],[GBV Old]]="", tblPiNHistorical[[#This Row],[GBV Old]]=0, tblPiNHistorical[[#This Row],[GBV New]]="", tblPiNHistorical[[#This Row],[GBV New]]=0), "", tblPiNHistorical[[#This Row],[GBV New]]-tblPiNHistorical[[#This Row],[GBV Old]])</f>
        <v/>
      </c>
      <c r="AN376" s="83" t="str">
        <f>IF(OR(tblPiNHistorical[[#This Row],[Mine Action Old]]="", tblPiNHistorical[[#This Row],[Mine Action Old]]=0, tblPiNHistorical[[#This Row],[Mine Action New]]="", tblPiNHistorical[[#This Row],[Mine Action New]]=0), "", tblPiNHistorical[[#This Row],[Mine Action New]]-tblPiNHistorical[[#This Row],[Mine Action Old]])</f>
        <v/>
      </c>
      <c r="AO376" s="136" t="str">
        <f>IF(OR(tblPiNHistorical[[#This Row],[Shelter NFI Old]]="", tblPiNHistorical[[#This Row],[Shelter NFI Old]]=0, tblPiNHistorical[[#This Row],[Shelter NFI New]]="", tblPiNHistorical[[#This Row],[Shelter NFI New]]=0), "", tblPiNHistorical[[#This Row],[Shelter NFI New]]-tblPiNHistorical[[#This Row],[Shelter NFI Old]])</f>
        <v/>
      </c>
      <c r="AP376" s="138" t="str">
        <f>IF(OR(tblPiNHistorical[[#This Row],[WASH Old]]="", tblPiNHistorical[[#This Row],[WASH Old]]=0, tblPiNHistorical[[#This Row],[WASH New]]="", tblPiNHistorical[[#This Row],[WASH New]]=0), "", tblPiNHistorical[[#This Row],[WASH New]]-tblPiNHistorical[[#This Row],[WASH Old]])</f>
        <v/>
      </c>
      <c r="AQ376" s="139" t="str">
        <f>IFERROR(ROUND((tblPiNHistorical[[#This Row],[Site Management - New]] - tblPiNHistorical[[#This Row],[Site Management - Old]])/tblPiNHistorical[[#This Row],[Site Management - Old]], 1), "")</f>
        <v/>
      </c>
      <c r="AR376" s="140" t="str">
        <f>IFERROR(ROUND((tblPiNHistorical[[#This Row],[Education New]]-tblPiNHistorical[[#This Row],[Education Old]])/tblPiNHistorical[[#This Row],[Education Old]], 1), "")</f>
        <v/>
      </c>
      <c r="AS376" s="141" t="str">
        <f>IFERROR(ROUND((tblPiNHistorical[[#This Row],[Food Security and Livlihoods New]]-tblPiNHistorical[[#This Row],[Food Security and Livlihoods Old]])/tblPiNHistorical[[#This Row],[Food Security and Livlihoods Old]], 1), "")</f>
        <v/>
      </c>
      <c r="AT376" s="142" t="str">
        <f>IFERROR(ROUND((tblPiNHistorical[[#This Row],[Health New]]-tblPiNHistorical[[#This Row],[Health Old]])/tblPiNHistorical[[#This Row],[Health Old]], 1), "")</f>
        <v/>
      </c>
      <c r="AU376" s="140" t="str">
        <f>IFERROR(ROUND((tblPiNHistorical[[#This Row],[Nutrition New]]-tblPiNHistorical[[#This Row],[Nutrition Old]])/tblPiNHistorical[[#This Row],[Nutrition Old]], 1), "")</f>
        <v/>
      </c>
      <c r="AV376" s="140" t="str">
        <f>IFERROR(ROUND((tblPiNHistorical[[#This Row],[Protection New]]-tblPiNHistorical[[#This Row],[Protection Old]])/tblPiNHistorical[[#This Row],[Protection Old]], 1), "")</f>
        <v/>
      </c>
      <c r="AW376" s="84" t="str">
        <f>IFERROR(ROUND((tblPiNHistorical[[#This Row],[CP New]]-tblPiNHistorical[[#This Row],[CP Old ]])/tblPiNHistorical[[#This Row],[CP Old ]], 1), "")</f>
        <v/>
      </c>
      <c r="AX376" s="84" t="str">
        <f>IFERROR(ROUND((tblPiNHistorical[[#This Row],[GBV New]]-tblPiNHistorical[[#This Row],[GBV Old]])/tblPiNHistorical[[#This Row],[GBV Old]], 1), "")</f>
        <v/>
      </c>
      <c r="AY376" s="84" t="str">
        <f>IFERROR(ROUND((tblPiNHistorical[[#This Row],[Mine Action New]]-tblPiNHistorical[[#This Row],[Mine Action Old]])/tblPiNHistorical[[#This Row],[Mine Action Old]], 1), "")</f>
        <v/>
      </c>
      <c r="AZ376" s="140" t="str">
        <f>IFERROR(ROUND((tblPiNHistorical[[#This Row],[Shelter NFI New]]-tblPiNHistorical[[#This Row],[Shelter NFI Old]])/tblPiNHistorical[[#This Row],[Shelter NFI Old]], 1), "")</f>
        <v/>
      </c>
      <c r="BA376" s="31" t="str">
        <f>IFERROR(ROUND((tblPiNHistorical[[#This Row],[WASH New]]-tblPiNHistorical[[#This Row],[WASH Old]])/tblPiNHistorical[[#This Row],[WASH Old]], 1), "")</f>
        <v/>
      </c>
    </row>
    <row r="377" spans="1:53" ht="38.25" x14ac:dyDescent="0.25">
      <c r="A377"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RefugeesSD09050</v>
      </c>
      <c r="B377" s="134" t="s">
        <v>197</v>
      </c>
      <c r="C377" s="124" t="s">
        <v>126</v>
      </c>
      <c r="D377" s="124" t="s">
        <v>396</v>
      </c>
      <c r="E377" s="59" t="s">
        <v>397</v>
      </c>
      <c r="F377" s="54"/>
      <c r="G377" s="29"/>
      <c r="H377" s="53">
        <v>138654</v>
      </c>
      <c r="I377" s="53" t="s">
        <v>90</v>
      </c>
      <c r="J377" s="34">
        <v>0</v>
      </c>
      <c r="K377" s="116">
        <v>0</v>
      </c>
      <c r="L377" s="114">
        <v>0</v>
      </c>
      <c r="M377" s="114">
        <v>0</v>
      </c>
      <c r="N377" s="114">
        <v>0</v>
      </c>
      <c r="O377" s="114">
        <v>0</v>
      </c>
      <c r="P377" s="114">
        <v>0</v>
      </c>
      <c r="Q377" s="114">
        <v>0</v>
      </c>
      <c r="R377" s="114">
        <v>0</v>
      </c>
      <c r="S377" s="114">
        <v>0</v>
      </c>
      <c r="T377" s="196">
        <v>0</v>
      </c>
      <c r="U377" s="52" t="str">
        <f>IFERROR(INDEX(tblPiNAnalysis[[Site Management ]], MATCH(tblPiNHistorical[[#This Row],[ID]], tblPiNAnalysis[ID], 0)), "")</f>
        <v/>
      </c>
      <c r="V377" s="52" t="str">
        <f>IFERROR(INDEX(tblPiNAnalysis[Education], MATCH(tblPiNHistorical[[#This Row],[ID]], tblPiNAnalysis[ID], 0)), "")</f>
        <v/>
      </c>
      <c r="W377" s="28" t="str">
        <f>IFERROR(INDEX(tblPiNAnalysis[Food Security and Livlihoods], MATCH(tblPiNHistorical[[#This Row],[ID]], tblPiNAnalysis[ID], 0)), "")</f>
        <v/>
      </c>
      <c r="X377" s="28" t="str">
        <f>IFERROR(INDEX(tblPiNAnalysis[[Health ]], MATCH(tblPiNHistorical[[#This Row],[ID]], tblPiNAnalysis[ID], 0)), "")</f>
        <v/>
      </c>
      <c r="Y377" s="28" t="str">
        <f>IFERROR(INDEX(tblPiNAnalysis[Nutrition], MATCH(tblPiNHistorical[[#This Row],[ID]], tblPiNAnalysis[ID], 0)), "")</f>
        <v/>
      </c>
      <c r="Z377" s="28" t="str">
        <f>IFERROR(INDEX(tblPiNAnalysis[Protection], MATCH(tblPiNHistorical[[#This Row],[ID]], tblPiNAnalysis[ID], 0)), "")</f>
        <v/>
      </c>
      <c r="AA377" s="28" t="str">
        <f>IFERROR(INDEX(tblPiNAnalysis[CP], MATCH(tblPiNHistorical[[#This Row],[ID]], tblPiNAnalysis[ID], 0)), "")</f>
        <v/>
      </c>
      <c r="AB377" s="83" t="str">
        <f>IFERROR(INDEX(tblPiNAnalysis[GBV], MATCH(tblPiNHistorical[[#This Row],[ID]], tblPiNAnalysis[ID], 0)), "")</f>
        <v/>
      </c>
      <c r="AC377" s="28" t="str">
        <f>IFERROR(INDEX(tblPiNAnalysis[Mine Action], MATCH(tblPiNHistorical[[#This Row],[ID]], tblPiNAnalysis[ID], 0)), "")</f>
        <v/>
      </c>
      <c r="AD377" s="83" t="str">
        <f>IFERROR(INDEX(tblPiNAnalysis[[Shelter NFI ]], MATCH(tblPiNHistorical[[#This Row],[ID]], tblPiNAnalysis[ID], 0)), "")</f>
        <v/>
      </c>
      <c r="AE377" s="28" t="str">
        <f>IFERROR(INDEX(tblPiNAnalysis[WASH], MATCH(tblPiNHistorical[[#This Row],[ID]], tblPiNAnalysis[ID], 0)), "")</f>
        <v/>
      </c>
      <c r="AF377"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377" s="136" t="str">
        <f>IF(OR(tblPiNHistorical[[#This Row],[Education Old]]="", tblPiNHistorical[[#This Row],[Education Old]]=0, tblPiNHistorical[[#This Row],[Education New]]="", tblPiNHistorical[[#This Row],[Education New]]=0), "", tblPiNHistorical[[#This Row],[Education New]]-tblPiNHistorical[[#This Row],[Education Old]])</f>
        <v/>
      </c>
      <c r="AH377"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377" s="137" t="str">
        <f>IF(OR(tblPiNHistorical[[#This Row],[Health Old]]="", tblPiNHistorical[[#This Row],[Health Old]]=0, tblPiNHistorical[[#This Row],[Health New]]="", tblPiNHistorical[[#This Row],[Health New]]=0), "", tblPiNHistorical[[#This Row],[Health New]]-tblPiNHistorical[[#This Row],[Health Old]])</f>
        <v/>
      </c>
      <c r="AJ377" s="136" t="str">
        <f>IF(OR(tblPiNHistorical[[#This Row],[Nutrition Old]]="", tblPiNHistorical[[#This Row],[Nutrition Old]]=0, tblPiNHistorical[[#This Row],[Nutrition New]]="", tblPiNHistorical[[#This Row],[Nutrition New]]=0), "", tblPiNHistorical[[#This Row],[Nutrition New]]-tblPiNHistorical[[#This Row],[Nutrition Old]])</f>
        <v/>
      </c>
      <c r="AK377" s="136" t="str">
        <f>IF(OR(tblPiNHistorical[[#This Row],[Protection Old]]="", tblPiNHistorical[[#This Row],[Protection Old]]=0, tblPiNHistorical[[#This Row],[Protection New]]="", tblPiNHistorical[[#This Row],[Protection New]]=0), "", tblPiNHistorical[[#This Row],[Protection New]]-tblPiNHistorical[[#This Row],[Protection Old]])</f>
        <v/>
      </c>
      <c r="AL377" s="136" t="str">
        <f>IF(OR(tblPiNHistorical[[#This Row],[CP Old ]]="", tblPiNHistorical[[#This Row],[CP Old ]]=0, tblPiNHistorical[[#This Row],[CP New]]="", tblPiNHistorical[[#This Row],[CP New]]=0), "", tblPiNHistorical[[#This Row],[CP New]]-tblPiNHistorical[[#This Row],[CP Old ]])</f>
        <v/>
      </c>
      <c r="AM377" s="83" t="str">
        <f>IF(OR(tblPiNHistorical[[#This Row],[GBV Old]]="", tblPiNHistorical[[#This Row],[GBV Old]]=0, tblPiNHistorical[[#This Row],[GBV New]]="", tblPiNHistorical[[#This Row],[GBV New]]=0), "", tblPiNHistorical[[#This Row],[GBV New]]-tblPiNHistorical[[#This Row],[GBV Old]])</f>
        <v/>
      </c>
      <c r="AN377" s="83" t="str">
        <f>IF(OR(tblPiNHistorical[[#This Row],[Mine Action Old]]="", tblPiNHistorical[[#This Row],[Mine Action Old]]=0, tblPiNHistorical[[#This Row],[Mine Action New]]="", tblPiNHistorical[[#This Row],[Mine Action New]]=0), "", tblPiNHistorical[[#This Row],[Mine Action New]]-tblPiNHistorical[[#This Row],[Mine Action Old]])</f>
        <v/>
      </c>
      <c r="AO377" s="136" t="str">
        <f>IF(OR(tblPiNHistorical[[#This Row],[Shelter NFI Old]]="", tblPiNHistorical[[#This Row],[Shelter NFI Old]]=0, tblPiNHistorical[[#This Row],[Shelter NFI New]]="", tblPiNHistorical[[#This Row],[Shelter NFI New]]=0), "", tblPiNHistorical[[#This Row],[Shelter NFI New]]-tblPiNHistorical[[#This Row],[Shelter NFI Old]])</f>
        <v/>
      </c>
      <c r="AP377" s="138" t="str">
        <f>IF(OR(tblPiNHistorical[[#This Row],[WASH Old]]="", tblPiNHistorical[[#This Row],[WASH Old]]=0, tblPiNHistorical[[#This Row],[WASH New]]="", tblPiNHistorical[[#This Row],[WASH New]]=0), "", tblPiNHistorical[[#This Row],[WASH New]]-tblPiNHistorical[[#This Row],[WASH Old]])</f>
        <v/>
      </c>
      <c r="AQ377" s="139" t="str">
        <f>IFERROR(ROUND((tblPiNHistorical[[#This Row],[Site Management - New]] - tblPiNHistorical[[#This Row],[Site Management - Old]])/tblPiNHistorical[[#This Row],[Site Management - Old]], 1), "")</f>
        <v/>
      </c>
      <c r="AR377" s="140" t="str">
        <f>IFERROR(ROUND((tblPiNHistorical[[#This Row],[Education New]]-tblPiNHistorical[[#This Row],[Education Old]])/tblPiNHistorical[[#This Row],[Education Old]], 1), "")</f>
        <v/>
      </c>
      <c r="AS377" s="141" t="str">
        <f>IFERROR(ROUND((tblPiNHistorical[[#This Row],[Food Security and Livlihoods New]]-tblPiNHistorical[[#This Row],[Food Security and Livlihoods Old]])/tblPiNHistorical[[#This Row],[Food Security and Livlihoods Old]], 1), "")</f>
        <v/>
      </c>
      <c r="AT377" s="142" t="str">
        <f>IFERROR(ROUND((tblPiNHistorical[[#This Row],[Health New]]-tblPiNHistorical[[#This Row],[Health Old]])/tblPiNHistorical[[#This Row],[Health Old]], 1), "")</f>
        <v/>
      </c>
      <c r="AU377" s="140" t="str">
        <f>IFERROR(ROUND((tblPiNHistorical[[#This Row],[Nutrition New]]-tblPiNHistorical[[#This Row],[Nutrition Old]])/tblPiNHistorical[[#This Row],[Nutrition Old]], 1), "")</f>
        <v/>
      </c>
      <c r="AV377" s="140" t="str">
        <f>IFERROR(ROUND((tblPiNHistorical[[#This Row],[Protection New]]-tblPiNHistorical[[#This Row],[Protection Old]])/tblPiNHistorical[[#This Row],[Protection Old]], 1), "")</f>
        <v/>
      </c>
      <c r="AW377" s="84" t="str">
        <f>IFERROR(ROUND((tblPiNHistorical[[#This Row],[CP New]]-tblPiNHistorical[[#This Row],[CP Old ]])/tblPiNHistorical[[#This Row],[CP Old ]], 1), "")</f>
        <v/>
      </c>
      <c r="AX377" s="84" t="str">
        <f>IFERROR(ROUND((tblPiNHistorical[[#This Row],[GBV New]]-tblPiNHistorical[[#This Row],[GBV Old]])/tblPiNHistorical[[#This Row],[GBV Old]], 1), "")</f>
        <v/>
      </c>
      <c r="AY377" s="84" t="str">
        <f>IFERROR(ROUND((tblPiNHistorical[[#This Row],[Mine Action New]]-tblPiNHistorical[[#This Row],[Mine Action Old]])/tblPiNHistorical[[#This Row],[Mine Action Old]], 1), "")</f>
        <v/>
      </c>
      <c r="AZ377" s="140" t="str">
        <f>IFERROR(ROUND((tblPiNHistorical[[#This Row],[Shelter NFI New]]-tblPiNHistorical[[#This Row],[Shelter NFI Old]])/tblPiNHistorical[[#This Row],[Shelter NFI Old]], 1), "")</f>
        <v/>
      </c>
      <c r="BA377" s="31" t="str">
        <f>IFERROR(ROUND((tblPiNHistorical[[#This Row],[WASH New]]-tblPiNHistorical[[#This Row],[WASH Old]])/tblPiNHistorical[[#This Row],[WASH Old]], 1), "")</f>
        <v/>
      </c>
    </row>
    <row r="378" spans="1:53" ht="38.25" x14ac:dyDescent="0.25">
      <c r="A378"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RefugeesSD09049</v>
      </c>
      <c r="B378" s="134" t="s">
        <v>197</v>
      </c>
      <c r="C378" s="124" t="s">
        <v>126</v>
      </c>
      <c r="D378" s="124" t="s">
        <v>394</v>
      </c>
      <c r="E378" s="59" t="s">
        <v>395</v>
      </c>
      <c r="F378" s="54"/>
      <c r="G378" s="29"/>
      <c r="H378" s="53">
        <v>2</v>
      </c>
      <c r="I378" s="53" t="s">
        <v>90</v>
      </c>
      <c r="J378" s="34">
        <v>0</v>
      </c>
      <c r="K378" s="116">
        <v>99435</v>
      </c>
      <c r="L378" s="114">
        <v>218834</v>
      </c>
      <c r="M378" s="114">
        <v>212269</v>
      </c>
      <c r="N378" s="114">
        <v>19975</v>
      </c>
      <c r="O378" s="114">
        <v>218834</v>
      </c>
      <c r="P378" s="114">
        <v>11817.036</v>
      </c>
      <c r="Q378" s="114">
        <v>52082.491999999998</v>
      </c>
      <c r="R378" s="114">
        <v>0</v>
      </c>
      <c r="S378" s="114">
        <v>175067</v>
      </c>
      <c r="T378" s="196">
        <v>201524</v>
      </c>
      <c r="U378" s="52" t="str">
        <f>IFERROR(INDEX(tblPiNAnalysis[[Site Management ]], MATCH(tblPiNHistorical[[#This Row],[ID]], tblPiNAnalysis[ID], 0)), "")</f>
        <v/>
      </c>
      <c r="V378" s="52" t="str">
        <f>IFERROR(INDEX(tblPiNAnalysis[Education], MATCH(tblPiNHistorical[[#This Row],[ID]], tblPiNAnalysis[ID], 0)), "")</f>
        <v/>
      </c>
      <c r="W378" s="28" t="str">
        <f>IFERROR(INDEX(tblPiNAnalysis[Food Security and Livlihoods], MATCH(tblPiNHistorical[[#This Row],[ID]], tblPiNAnalysis[ID], 0)), "")</f>
        <v/>
      </c>
      <c r="X378" s="28" t="str">
        <f>IFERROR(INDEX(tblPiNAnalysis[[Health ]], MATCH(tblPiNHistorical[[#This Row],[ID]], tblPiNAnalysis[ID], 0)), "")</f>
        <v/>
      </c>
      <c r="Y378" s="28" t="str">
        <f>IFERROR(INDEX(tblPiNAnalysis[Nutrition], MATCH(tblPiNHistorical[[#This Row],[ID]], tblPiNAnalysis[ID], 0)), "")</f>
        <v/>
      </c>
      <c r="Z378" s="28" t="str">
        <f>IFERROR(INDEX(tblPiNAnalysis[Protection], MATCH(tblPiNHistorical[[#This Row],[ID]], tblPiNAnalysis[ID], 0)), "")</f>
        <v/>
      </c>
      <c r="AA378" s="28" t="str">
        <f>IFERROR(INDEX(tblPiNAnalysis[CP], MATCH(tblPiNHistorical[[#This Row],[ID]], tblPiNAnalysis[ID], 0)), "")</f>
        <v/>
      </c>
      <c r="AB378" s="83" t="str">
        <f>IFERROR(INDEX(tblPiNAnalysis[GBV], MATCH(tblPiNHistorical[[#This Row],[ID]], tblPiNAnalysis[ID], 0)), "")</f>
        <v/>
      </c>
      <c r="AC378" s="28" t="str">
        <f>IFERROR(INDEX(tblPiNAnalysis[Mine Action], MATCH(tblPiNHistorical[[#This Row],[ID]], tblPiNAnalysis[ID], 0)), "")</f>
        <v/>
      </c>
      <c r="AD378" s="83" t="str">
        <f>IFERROR(INDEX(tblPiNAnalysis[[Shelter NFI ]], MATCH(tblPiNHistorical[[#This Row],[ID]], tblPiNAnalysis[ID], 0)), "")</f>
        <v/>
      </c>
      <c r="AE378" s="28" t="str">
        <f>IFERROR(INDEX(tblPiNAnalysis[WASH], MATCH(tblPiNHistorical[[#This Row],[ID]], tblPiNAnalysis[ID], 0)), "")</f>
        <v/>
      </c>
      <c r="AF378"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378" s="136" t="str">
        <f>IF(OR(tblPiNHistorical[[#This Row],[Education Old]]="", tblPiNHistorical[[#This Row],[Education Old]]=0, tblPiNHistorical[[#This Row],[Education New]]="", tblPiNHistorical[[#This Row],[Education New]]=0), "", tblPiNHistorical[[#This Row],[Education New]]-tblPiNHistorical[[#This Row],[Education Old]])</f>
        <v/>
      </c>
      <c r="AH378"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378" s="137" t="str">
        <f>IF(OR(tblPiNHistorical[[#This Row],[Health Old]]="", tblPiNHistorical[[#This Row],[Health Old]]=0, tblPiNHistorical[[#This Row],[Health New]]="", tblPiNHistorical[[#This Row],[Health New]]=0), "", tblPiNHistorical[[#This Row],[Health New]]-tblPiNHistorical[[#This Row],[Health Old]])</f>
        <v/>
      </c>
      <c r="AJ378" s="136" t="str">
        <f>IF(OR(tblPiNHistorical[[#This Row],[Nutrition Old]]="", tblPiNHistorical[[#This Row],[Nutrition Old]]=0, tblPiNHistorical[[#This Row],[Nutrition New]]="", tblPiNHistorical[[#This Row],[Nutrition New]]=0), "", tblPiNHistorical[[#This Row],[Nutrition New]]-tblPiNHistorical[[#This Row],[Nutrition Old]])</f>
        <v/>
      </c>
      <c r="AK378" s="136" t="str">
        <f>IF(OR(tblPiNHistorical[[#This Row],[Protection Old]]="", tblPiNHistorical[[#This Row],[Protection Old]]=0, tblPiNHistorical[[#This Row],[Protection New]]="", tblPiNHistorical[[#This Row],[Protection New]]=0), "", tblPiNHistorical[[#This Row],[Protection New]]-tblPiNHistorical[[#This Row],[Protection Old]])</f>
        <v/>
      </c>
      <c r="AL378" s="136" t="str">
        <f>IF(OR(tblPiNHistorical[[#This Row],[CP Old ]]="", tblPiNHistorical[[#This Row],[CP Old ]]=0, tblPiNHistorical[[#This Row],[CP New]]="", tblPiNHistorical[[#This Row],[CP New]]=0), "", tblPiNHistorical[[#This Row],[CP New]]-tblPiNHistorical[[#This Row],[CP Old ]])</f>
        <v/>
      </c>
      <c r="AM378" s="83" t="str">
        <f>IF(OR(tblPiNHistorical[[#This Row],[GBV Old]]="", tblPiNHistorical[[#This Row],[GBV Old]]=0, tblPiNHistorical[[#This Row],[GBV New]]="", tblPiNHistorical[[#This Row],[GBV New]]=0), "", tblPiNHistorical[[#This Row],[GBV New]]-tblPiNHistorical[[#This Row],[GBV Old]])</f>
        <v/>
      </c>
      <c r="AN378" s="83" t="str">
        <f>IF(OR(tblPiNHistorical[[#This Row],[Mine Action Old]]="", tblPiNHistorical[[#This Row],[Mine Action Old]]=0, tblPiNHistorical[[#This Row],[Mine Action New]]="", tblPiNHistorical[[#This Row],[Mine Action New]]=0), "", tblPiNHistorical[[#This Row],[Mine Action New]]-tblPiNHistorical[[#This Row],[Mine Action Old]])</f>
        <v/>
      </c>
      <c r="AO378" s="136" t="str">
        <f>IF(OR(tblPiNHistorical[[#This Row],[Shelter NFI Old]]="", tblPiNHistorical[[#This Row],[Shelter NFI Old]]=0, tblPiNHistorical[[#This Row],[Shelter NFI New]]="", tblPiNHistorical[[#This Row],[Shelter NFI New]]=0), "", tblPiNHistorical[[#This Row],[Shelter NFI New]]-tblPiNHistorical[[#This Row],[Shelter NFI Old]])</f>
        <v/>
      </c>
      <c r="AP378" s="138" t="str">
        <f>IF(OR(tblPiNHistorical[[#This Row],[WASH Old]]="", tblPiNHistorical[[#This Row],[WASH Old]]=0, tblPiNHistorical[[#This Row],[WASH New]]="", tblPiNHistorical[[#This Row],[WASH New]]=0), "", tblPiNHistorical[[#This Row],[WASH New]]-tblPiNHistorical[[#This Row],[WASH Old]])</f>
        <v/>
      </c>
      <c r="AQ378" s="139" t="str">
        <f>IFERROR(ROUND((tblPiNHistorical[[#This Row],[Site Management - New]] - tblPiNHistorical[[#This Row],[Site Management - Old]])/tblPiNHistorical[[#This Row],[Site Management - Old]], 1), "")</f>
        <v/>
      </c>
      <c r="AR378" s="140" t="str">
        <f>IFERROR(ROUND((tblPiNHistorical[[#This Row],[Education New]]-tblPiNHistorical[[#This Row],[Education Old]])/tblPiNHistorical[[#This Row],[Education Old]], 1), "")</f>
        <v/>
      </c>
      <c r="AS378" s="141" t="str">
        <f>IFERROR(ROUND((tblPiNHistorical[[#This Row],[Food Security and Livlihoods New]]-tblPiNHistorical[[#This Row],[Food Security and Livlihoods Old]])/tblPiNHistorical[[#This Row],[Food Security and Livlihoods Old]], 1), "")</f>
        <v/>
      </c>
      <c r="AT378" s="142" t="str">
        <f>IFERROR(ROUND((tblPiNHistorical[[#This Row],[Health New]]-tblPiNHistorical[[#This Row],[Health Old]])/tblPiNHistorical[[#This Row],[Health Old]], 1), "")</f>
        <v/>
      </c>
      <c r="AU378" s="140" t="str">
        <f>IFERROR(ROUND((tblPiNHistorical[[#This Row],[Nutrition New]]-tblPiNHistorical[[#This Row],[Nutrition Old]])/tblPiNHistorical[[#This Row],[Nutrition Old]], 1), "")</f>
        <v/>
      </c>
      <c r="AV378" s="140" t="str">
        <f>IFERROR(ROUND((tblPiNHistorical[[#This Row],[Protection New]]-tblPiNHistorical[[#This Row],[Protection Old]])/tblPiNHistorical[[#This Row],[Protection Old]], 1), "")</f>
        <v/>
      </c>
      <c r="AW378" s="84" t="str">
        <f>IFERROR(ROUND((tblPiNHistorical[[#This Row],[CP New]]-tblPiNHistorical[[#This Row],[CP Old ]])/tblPiNHistorical[[#This Row],[CP Old ]], 1), "")</f>
        <v/>
      </c>
      <c r="AX378" s="84" t="str">
        <f>IFERROR(ROUND((tblPiNHistorical[[#This Row],[GBV New]]-tblPiNHistorical[[#This Row],[GBV Old]])/tblPiNHistorical[[#This Row],[GBV Old]], 1), "")</f>
        <v/>
      </c>
      <c r="AY378" s="84" t="str">
        <f>IFERROR(ROUND((tblPiNHistorical[[#This Row],[Mine Action New]]-tblPiNHistorical[[#This Row],[Mine Action Old]])/tblPiNHistorical[[#This Row],[Mine Action Old]], 1), "")</f>
        <v/>
      </c>
      <c r="AZ378" s="140" t="str">
        <f>IFERROR(ROUND((tblPiNHistorical[[#This Row],[Shelter NFI New]]-tblPiNHistorical[[#This Row],[Shelter NFI Old]])/tblPiNHistorical[[#This Row],[Shelter NFI Old]], 1), "")</f>
        <v/>
      </c>
      <c r="BA378" s="31" t="str">
        <f>IFERROR(ROUND((tblPiNHistorical[[#This Row],[WASH New]]-tblPiNHistorical[[#This Row],[WASH Old]])/tblPiNHistorical[[#This Row],[WASH Old]], 1), "")</f>
        <v/>
      </c>
    </row>
    <row r="379" spans="1:53" ht="38.25" x14ac:dyDescent="0.25">
      <c r="A379"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RefugeesSD09052</v>
      </c>
      <c r="B379" s="134" t="s">
        <v>197</v>
      </c>
      <c r="C379" s="124" t="s">
        <v>126</v>
      </c>
      <c r="D379" s="124" t="s">
        <v>400</v>
      </c>
      <c r="E379" s="59" t="s">
        <v>401</v>
      </c>
      <c r="F379" s="54"/>
      <c r="G379" s="29"/>
      <c r="H379" s="53">
        <v>219832</v>
      </c>
      <c r="I379" s="53" t="s">
        <v>90</v>
      </c>
      <c r="J379" s="34">
        <v>0</v>
      </c>
      <c r="K379" s="116">
        <v>0</v>
      </c>
      <c r="L379" s="114">
        <v>0</v>
      </c>
      <c r="M379" s="114">
        <v>0</v>
      </c>
      <c r="N379" s="114">
        <v>0</v>
      </c>
      <c r="O379" s="114">
        <v>0</v>
      </c>
      <c r="P379" s="114">
        <v>0</v>
      </c>
      <c r="Q379" s="114">
        <v>0</v>
      </c>
      <c r="R379" s="114">
        <v>0</v>
      </c>
      <c r="S379" s="114">
        <v>0</v>
      </c>
      <c r="T379" s="196">
        <v>0</v>
      </c>
      <c r="U379" s="52" t="str">
        <f>IFERROR(INDEX(tblPiNAnalysis[[Site Management ]], MATCH(tblPiNHistorical[[#This Row],[ID]], tblPiNAnalysis[ID], 0)), "")</f>
        <v/>
      </c>
      <c r="V379" s="52" t="str">
        <f>IFERROR(INDEX(tblPiNAnalysis[Education], MATCH(tblPiNHistorical[[#This Row],[ID]], tblPiNAnalysis[ID], 0)), "")</f>
        <v/>
      </c>
      <c r="W379" s="28" t="str">
        <f>IFERROR(INDEX(tblPiNAnalysis[Food Security and Livlihoods], MATCH(tblPiNHistorical[[#This Row],[ID]], tblPiNAnalysis[ID], 0)), "")</f>
        <v/>
      </c>
      <c r="X379" s="28" t="str">
        <f>IFERROR(INDEX(tblPiNAnalysis[[Health ]], MATCH(tblPiNHistorical[[#This Row],[ID]], tblPiNAnalysis[ID], 0)), "")</f>
        <v/>
      </c>
      <c r="Y379" s="28" t="str">
        <f>IFERROR(INDEX(tblPiNAnalysis[Nutrition], MATCH(tblPiNHistorical[[#This Row],[ID]], tblPiNAnalysis[ID], 0)), "")</f>
        <v/>
      </c>
      <c r="Z379" s="28" t="str">
        <f>IFERROR(INDEX(tblPiNAnalysis[Protection], MATCH(tblPiNHistorical[[#This Row],[ID]], tblPiNAnalysis[ID], 0)), "")</f>
        <v/>
      </c>
      <c r="AA379" s="28" t="str">
        <f>IFERROR(INDEX(tblPiNAnalysis[CP], MATCH(tblPiNHistorical[[#This Row],[ID]], tblPiNAnalysis[ID], 0)), "")</f>
        <v/>
      </c>
      <c r="AB379" s="83" t="str">
        <f>IFERROR(INDEX(tblPiNAnalysis[GBV], MATCH(tblPiNHistorical[[#This Row],[ID]], tblPiNAnalysis[ID], 0)), "")</f>
        <v/>
      </c>
      <c r="AC379" s="28" t="str">
        <f>IFERROR(INDEX(tblPiNAnalysis[Mine Action], MATCH(tblPiNHistorical[[#This Row],[ID]], tblPiNAnalysis[ID], 0)), "")</f>
        <v/>
      </c>
      <c r="AD379" s="83" t="str">
        <f>IFERROR(INDEX(tblPiNAnalysis[[Shelter NFI ]], MATCH(tblPiNHistorical[[#This Row],[ID]], tblPiNAnalysis[ID], 0)), "")</f>
        <v/>
      </c>
      <c r="AE379" s="28" t="str">
        <f>IFERROR(INDEX(tblPiNAnalysis[WASH], MATCH(tblPiNHistorical[[#This Row],[ID]], tblPiNAnalysis[ID], 0)), "")</f>
        <v/>
      </c>
      <c r="AF379"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379" s="136" t="str">
        <f>IF(OR(tblPiNHistorical[[#This Row],[Education Old]]="", tblPiNHistorical[[#This Row],[Education Old]]=0, tblPiNHistorical[[#This Row],[Education New]]="", tblPiNHistorical[[#This Row],[Education New]]=0), "", tblPiNHistorical[[#This Row],[Education New]]-tblPiNHistorical[[#This Row],[Education Old]])</f>
        <v/>
      </c>
      <c r="AH379"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379" s="137" t="str">
        <f>IF(OR(tblPiNHistorical[[#This Row],[Health Old]]="", tblPiNHistorical[[#This Row],[Health Old]]=0, tblPiNHistorical[[#This Row],[Health New]]="", tblPiNHistorical[[#This Row],[Health New]]=0), "", tblPiNHistorical[[#This Row],[Health New]]-tblPiNHistorical[[#This Row],[Health Old]])</f>
        <v/>
      </c>
      <c r="AJ379" s="136" t="str">
        <f>IF(OR(tblPiNHistorical[[#This Row],[Nutrition Old]]="", tblPiNHistorical[[#This Row],[Nutrition Old]]=0, tblPiNHistorical[[#This Row],[Nutrition New]]="", tblPiNHistorical[[#This Row],[Nutrition New]]=0), "", tblPiNHistorical[[#This Row],[Nutrition New]]-tblPiNHistorical[[#This Row],[Nutrition Old]])</f>
        <v/>
      </c>
      <c r="AK379" s="136" t="str">
        <f>IF(OR(tblPiNHistorical[[#This Row],[Protection Old]]="", tblPiNHistorical[[#This Row],[Protection Old]]=0, tblPiNHistorical[[#This Row],[Protection New]]="", tblPiNHistorical[[#This Row],[Protection New]]=0), "", tblPiNHistorical[[#This Row],[Protection New]]-tblPiNHistorical[[#This Row],[Protection Old]])</f>
        <v/>
      </c>
      <c r="AL379" s="136" t="str">
        <f>IF(OR(tblPiNHistorical[[#This Row],[CP Old ]]="", tblPiNHistorical[[#This Row],[CP Old ]]=0, tblPiNHistorical[[#This Row],[CP New]]="", tblPiNHistorical[[#This Row],[CP New]]=0), "", tblPiNHistorical[[#This Row],[CP New]]-tblPiNHistorical[[#This Row],[CP Old ]])</f>
        <v/>
      </c>
      <c r="AM379" s="83" t="str">
        <f>IF(OR(tblPiNHistorical[[#This Row],[GBV Old]]="", tblPiNHistorical[[#This Row],[GBV Old]]=0, tblPiNHistorical[[#This Row],[GBV New]]="", tblPiNHistorical[[#This Row],[GBV New]]=0), "", tblPiNHistorical[[#This Row],[GBV New]]-tblPiNHistorical[[#This Row],[GBV Old]])</f>
        <v/>
      </c>
      <c r="AN379" s="83" t="str">
        <f>IF(OR(tblPiNHistorical[[#This Row],[Mine Action Old]]="", tblPiNHistorical[[#This Row],[Mine Action Old]]=0, tblPiNHistorical[[#This Row],[Mine Action New]]="", tblPiNHistorical[[#This Row],[Mine Action New]]=0), "", tblPiNHistorical[[#This Row],[Mine Action New]]-tblPiNHistorical[[#This Row],[Mine Action Old]])</f>
        <v/>
      </c>
      <c r="AO379" s="136" t="str">
        <f>IF(OR(tblPiNHistorical[[#This Row],[Shelter NFI Old]]="", tblPiNHistorical[[#This Row],[Shelter NFI Old]]=0, tblPiNHistorical[[#This Row],[Shelter NFI New]]="", tblPiNHistorical[[#This Row],[Shelter NFI New]]=0), "", tblPiNHistorical[[#This Row],[Shelter NFI New]]-tblPiNHistorical[[#This Row],[Shelter NFI Old]])</f>
        <v/>
      </c>
      <c r="AP379" s="138" t="str">
        <f>IF(OR(tblPiNHistorical[[#This Row],[WASH Old]]="", tblPiNHistorical[[#This Row],[WASH Old]]=0, tblPiNHistorical[[#This Row],[WASH New]]="", tblPiNHistorical[[#This Row],[WASH New]]=0), "", tblPiNHistorical[[#This Row],[WASH New]]-tblPiNHistorical[[#This Row],[WASH Old]])</f>
        <v/>
      </c>
      <c r="AQ379" s="139" t="str">
        <f>IFERROR(ROUND((tblPiNHistorical[[#This Row],[Site Management - New]] - tblPiNHistorical[[#This Row],[Site Management - Old]])/tblPiNHistorical[[#This Row],[Site Management - Old]], 1), "")</f>
        <v/>
      </c>
      <c r="AR379" s="140" t="str">
        <f>IFERROR(ROUND((tblPiNHistorical[[#This Row],[Education New]]-tblPiNHistorical[[#This Row],[Education Old]])/tblPiNHistorical[[#This Row],[Education Old]], 1), "")</f>
        <v/>
      </c>
      <c r="AS379" s="141" t="str">
        <f>IFERROR(ROUND((tblPiNHistorical[[#This Row],[Food Security and Livlihoods New]]-tblPiNHistorical[[#This Row],[Food Security and Livlihoods Old]])/tblPiNHistorical[[#This Row],[Food Security and Livlihoods Old]], 1), "")</f>
        <v/>
      </c>
      <c r="AT379" s="142" t="str">
        <f>IFERROR(ROUND((tblPiNHistorical[[#This Row],[Health New]]-tblPiNHistorical[[#This Row],[Health Old]])/tblPiNHistorical[[#This Row],[Health Old]], 1), "")</f>
        <v/>
      </c>
      <c r="AU379" s="140" t="str">
        <f>IFERROR(ROUND((tblPiNHistorical[[#This Row],[Nutrition New]]-tblPiNHistorical[[#This Row],[Nutrition Old]])/tblPiNHistorical[[#This Row],[Nutrition Old]], 1), "")</f>
        <v/>
      </c>
      <c r="AV379" s="140" t="str">
        <f>IFERROR(ROUND((tblPiNHistorical[[#This Row],[Protection New]]-tblPiNHistorical[[#This Row],[Protection Old]])/tblPiNHistorical[[#This Row],[Protection Old]], 1), "")</f>
        <v/>
      </c>
      <c r="AW379" s="84" t="str">
        <f>IFERROR(ROUND((tblPiNHistorical[[#This Row],[CP New]]-tblPiNHistorical[[#This Row],[CP Old ]])/tblPiNHistorical[[#This Row],[CP Old ]], 1), "")</f>
        <v/>
      </c>
      <c r="AX379" s="84" t="str">
        <f>IFERROR(ROUND((tblPiNHistorical[[#This Row],[GBV New]]-tblPiNHistorical[[#This Row],[GBV Old]])/tblPiNHistorical[[#This Row],[GBV Old]], 1), "")</f>
        <v/>
      </c>
      <c r="AY379" s="84" t="str">
        <f>IFERROR(ROUND((tblPiNHistorical[[#This Row],[Mine Action New]]-tblPiNHistorical[[#This Row],[Mine Action Old]])/tblPiNHistorical[[#This Row],[Mine Action Old]], 1), "")</f>
        <v/>
      </c>
      <c r="AZ379" s="140" t="str">
        <f>IFERROR(ROUND((tblPiNHistorical[[#This Row],[Shelter NFI New]]-tblPiNHistorical[[#This Row],[Shelter NFI Old]])/tblPiNHistorical[[#This Row],[Shelter NFI Old]], 1), "")</f>
        <v/>
      </c>
      <c r="BA379" s="31" t="str">
        <f>IFERROR(ROUND((tblPiNHistorical[[#This Row],[WASH New]]-tblPiNHistorical[[#This Row],[WASH Old]])/tblPiNHistorical[[#This Row],[WASH Old]], 1), "")</f>
        <v/>
      </c>
    </row>
    <row r="380" spans="1:53" ht="38.25" x14ac:dyDescent="0.25">
      <c r="A380"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RefugeesSD09047</v>
      </c>
      <c r="B380" s="134" t="s">
        <v>197</v>
      </c>
      <c r="C380" s="124" t="s">
        <v>126</v>
      </c>
      <c r="D380" s="124" t="s">
        <v>390</v>
      </c>
      <c r="E380" s="59" t="s">
        <v>391</v>
      </c>
      <c r="F380" s="54"/>
      <c r="G380" s="29"/>
      <c r="H380" s="53">
        <v>0</v>
      </c>
      <c r="I380" s="53" t="s">
        <v>90</v>
      </c>
      <c r="J380" s="34">
        <v>0</v>
      </c>
      <c r="K380" s="116">
        <v>28948</v>
      </c>
      <c r="L380" s="114">
        <v>58373</v>
      </c>
      <c r="M380" s="114">
        <v>56622</v>
      </c>
      <c r="N380" s="114">
        <v>5328</v>
      </c>
      <c r="O380" s="114">
        <v>58373</v>
      </c>
      <c r="P380" s="114">
        <v>2977.0229999999997</v>
      </c>
      <c r="Q380" s="114">
        <v>10974.124</v>
      </c>
      <c r="R380" s="114">
        <v>0</v>
      </c>
      <c r="S380" s="114">
        <v>35024</v>
      </c>
      <c r="T380" s="196">
        <v>30465</v>
      </c>
      <c r="U380" s="52" t="str">
        <f>IFERROR(INDEX(tblPiNAnalysis[[Site Management ]], MATCH(tblPiNHistorical[[#This Row],[ID]], tblPiNAnalysis[ID], 0)), "")</f>
        <v/>
      </c>
      <c r="V380" s="52" t="str">
        <f>IFERROR(INDEX(tblPiNAnalysis[Education], MATCH(tblPiNHistorical[[#This Row],[ID]], tblPiNAnalysis[ID], 0)), "")</f>
        <v/>
      </c>
      <c r="W380" s="28" t="str">
        <f>IFERROR(INDEX(tblPiNAnalysis[Food Security and Livlihoods], MATCH(tblPiNHistorical[[#This Row],[ID]], tblPiNAnalysis[ID], 0)), "")</f>
        <v/>
      </c>
      <c r="X380" s="28" t="str">
        <f>IFERROR(INDEX(tblPiNAnalysis[[Health ]], MATCH(tblPiNHistorical[[#This Row],[ID]], tblPiNAnalysis[ID], 0)), "")</f>
        <v/>
      </c>
      <c r="Y380" s="28" t="str">
        <f>IFERROR(INDEX(tblPiNAnalysis[Nutrition], MATCH(tblPiNHistorical[[#This Row],[ID]], tblPiNAnalysis[ID], 0)), "")</f>
        <v/>
      </c>
      <c r="Z380" s="28" t="str">
        <f>IFERROR(INDEX(tblPiNAnalysis[Protection], MATCH(tblPiNHistorical[[#This Row],[ID]], tblPiNAnalysis[ID], 0)), "")</f>
        <v/>
      </c>
      <c r="AA380" s="28" t="str">
        <f>IFERROR(INDEX(tblPiNAnalysis[CP], MATCH(tblPiNHistorical[[#This Row],[ID]], tblPiNAnalysis[ID], 0)), "")</f>
        <v/>
      </c>
      <c r="AB380" s="83" t="str">
        <f>IFERROR(INDEX(tblPiNAnalysis[GBV], MATCH(tblPiNHistorical[[#This Row],[ID]], tblPiNAnalysis[ID], 0)), "")</f>
        <v/>
      </c>
      <c r="AC380" s="28" t="str">
        <f>IFERROR(INDEX(tblPiNAnalysis[Mine Action], MATCH(tblPiNHistorical[[#This Row],[ID]], tblPiNAnalysis[ID], 0)), "")</f>
        <v/>
      </c>
      <c r="AD380" s="83" t="str">
        <f>IFERROR(INDEX(tblPiNAnalysis[[Shelter NFI ]], MATCH(tblPiNHistorical[[#This Row],[ID]], tblPiNAnalysis[ID], 0)), "")</f>
        <v/>
      </c>
      <c r="AE380" s="28" t="str">
        <f>IFERROR(INDEX(tblPiNAnalysis[WASH], MATCH(tblPiNHistorical[[#This Row],[ID]], tblPiNAnalysis[ID], 0)), "")</f>
        <v/>
      </c>
      <c r="AF380"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380" s="136" t="str">
        <f>IF(OR(tblPiNHistorical[[#This Row],[Education Old]]="", tblPiNHistorical[[#This Row],[Education Old]]=0, tblPiNHistorical[[#This Row],[Education New]]="", tblPiNHistorical[[#This Row],[Education New]]=0), "", tblPiNHistorical[[#This Row],[Education New]]-tblPiNHistorical[[#This Row],[Education Old]])</f>
        <v/>
      </c>
      <c r="AH380"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380" s="137" t="str">
        <f>IF(OR(tblPiNHistorical[[#This Row],[Health Old]]="", tblPiNHistorical[[#This Row],[Health Old]]=0, tblPiNHistorical[[#This Row],[Health New]]="", tblPiNHistorical[[#This Row],[Health New]]=0), "", tblPiNHistorical[[#This Row],[Health New]]-tblPiNHistorical[[#This Row],[Health Old]])</f>
        <v/>
      </c>
      <c r="AJ380" s="136" t="str">
        <f>IF(OR(tblPiNHistorical[[#This Row],[Nutrition Old]]="", tblPiNHistorical[[#This Row],[Nutrition Old]]=0, tblPiNHistorical[[#This Row],[Nutrition New]]="", tblPiNHistorical[[#This Row],[Nutrition New]]=0), "", tblPiNHistorical[[#This Row],[Nutrition New]]-tblPiNHistorical[[#This Row],[Nutrition Old]])</f>
        <v/>
      </c>
      <c r="AK380" s="136" t="str">
        <f>IF(OR(tblPiNHistorical[[#This Row],[Protection Old]]="", tblPiNHistorical[[#This Row],[Protection Old]]=0, tblPiNHistorical[[#This Row],[Protection New]]="", tblPiNHistorical[[#This Row],[Protection New]]=0), "", tblPiNHistorical[[#This Row],[Protection New]]-tblPiNHistorical[[#This Row],[Protection Old]])</f>
        <v/>
      </c>
      <c r="AL380" s="136" t="str">
        <f>IF(OR(tblPiNHistorical[[#This Row],[CP Old ]]="", tblPiNHistorical[[#This Row],[CP Old ]]=0, tblPiNHistorical[[#This Row],[CP New]]="", tblPiNHistorical[[#This Row],[CP New]]=0), "", tblPiNHistorical[[#This Row],[CP New]]-tblPiNHistorical[[#This Row],[CP Old ]])</f>
        <v/>
      </c>
      <c r="AM380" s="83" t="str">
        <f>IF(OR(tblPiNHistorical[[#This Row],[GBV Old]]="", tblPiNHistorical[[#This Row],[GBV Old]]=0, tblPiNHistorical[[#This Row],[GBV New]]="", tblPiNHistorical[[#This Row],[GBV New]]=0), "", tblPiNHistorical[[#This Row],[GBV New]]-tblPiNHistorical[[#This Row],[GBV Old]])</f>
        <v/>
      </c>
      <c r="AN380" s="83" t="str">
        <f>IF(OR(tblPiNHistorical[[#This Row],[Mine Action Old]]="", tblPiNHistorical[[#This Row],[Mine Action Old]]=0, tblPiNHistorical[[#This Row],[Mine Action New]]="", tblPiNHistorical[[#This Row],[Mine Action New]]=0), "", tblPiNHistorical[[#This Row],[Mine Action New]]-tblPiNHistorical[[#This Row],[Mine Action Old]])</f>
        <v/>
      </c>
      <c r="AO380" s="136" t="str">
        <f>IF(OR(tblPiNHistorical[[#This Row],[Shelter NFI Old]]="", tblPiNHistorical[[#This Row],[Shelter NFI Old]]=0, tblPiNHistorical[[#This Row],[Shelter NFI New]]="", tblPiNHistorical[[#This Row],[Shelter NFI New]]=0), "", tblPiNHistorical[[#This Row],[Shelter NFI New]]-tblPiNHistorical[[#This Row],[Shelter NFI Old]])</f>
        <v/>
      </c>
      <c r="AP380" s="138" t="str">
        <f>IF(OR(tblPiNHistorical[[#This Row],[WASH Old]]="", tblPiNHistorical[[#This Row],[WASH Old]]=0, tblPiNHistorical[[#This Row],[WASH New]]="", tblPiNHistorical[[#This Row],[WASH New]]=0), "", tblPiNHistorical[[#This Row],[WASH New]]-tblPiNHistorical[[#This Row],[WASH Old]])</f>
        <v/>
      </c>
      <c r="AQ380" s="139" t="str">
        <f>IFERROR(ROUND((tblPiNHistorical[[#This Row],[Site Management - New]] - tblPiNHistorical[[#This Row],[Site Management - Old]])/tblPiNHistorical[[#This Row],[Site Management - Old]], 1), "")</f>
        <v/>
      </c>
      <c r="AR380" s="140" t="str">
        <f>IFERROR(ROUND((tblPiNHistorical[[#This Row],[Education New]]-tblPiNHistorical[[#This Row],[Education Old]])/tblPiNHistorical[[#This Row],[Education Old]], 1), "")</f>
        <v/>
      </c>
      <c r="AS380" s="141" t="str">
        <f>IFERROR(ROUND((tblPiNHistorical[[#This Row],[Food Security and Livlihoods New]]-tblPiNHistorical[[#This Row],[Food Security and Livlihoods Old]])/tblPiNHistorical[[#This Row],[Food Security and Livlihoods Old]], 1), "")</f>
        <v/>
      </c>
      <c r="AT380" s="142" t="str">
        <f>IFERROR(ROUND((tblPiNHistorical[[#This Row],[Health New]]-tblPiNHistorical[[#This Row],[Health Old]])/tblPiNHistorical[[#This Row],[Health Old]], 1), "")</f>
        <v/>
      </c>
      <c r="AU380" s="140" t="str">
        <f>IFERROR(ROUND((tblPiNHistorical[[#This Row],[Nutrition New]]-tblPiNHistorical[[#This Row],[Nutrition Old]])/tblPiNHistorical[[#This Row],[Nutrition Old]], 1), "")</f>
        <v/>
      </c>
      <c r="AV380" s="140" t="str">
        <f>IFERROR(ROUND((tblPiNHistorical[[#This Row],[Protection New]]-tblPiNHistorical[[#This Row],[Protection Old]])/tblPiNHistorical[[#This Row],[Protection Old]], 1), "")</f>
        <v/>
      </c>
      <c r="AW380" s="84" t="str">
        <f>IFERROR(ROUND((tblPiNHistorical[[#This Row],[CP New]]-tblPiNHistorical[[#This Row],[CP Old ]])/tblPiNHistorical[[#This Row],[CP Old ]], 1), "")</f>
        <v/>
      </c>
      <c r="AX380" s="84" t="str">
        <f>IFERROR(ROUND((tblPiNHistorical[[#This Row],[GBV New]]-tblPiNHistorical[[#This Row],[GBV Old]])/tblPiNHistorical[[#This Row],[GBV Old]], 1), "")</f>
        <v/>
      </c>
      <c r="AY380" s="84" t="str">
        <f>IFERROR(ROUND((tblPiNHistorical[[#This Row],[Mine Action New]]-tblPiNHistorical[[#This Row],[Mine Action Old]])/tblPiNHistorical[[#This Row],[Mine Action Old]], 1), "")</f>
        <v/>
      </c>
      <c r="AZ380" s="140" t="str">
        <f>IFERROR(ROUND((tblPiNHistorical[[#This Row],[Shelter NFI New]]-tblPiNHistorical[[#This Row],[Shelter NFI Old]])/tblPiNHistorical[[#This Row],[Shelter NFI Old]], 1), "")</f>
        <v/>
      </c>
      <c r="BA380" s="31" t="str">
        <f>IFERROR(ROUND((tblPiNHistorical[[#This Row],[WASH New]]-tblPiNHistorical[[#This Row],[WASH Old]])/tblPiNHistorical[[#This Row],[WASH Old]], 1), "")</f>
        <v/>
      </c>
    </row>
    <row r="381" spans="1:53" ht="38.25" x14ac:dyDescent="0.25">
      <c r="A381"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RefugeesSD09046</v>
      </c>
      <c r="B381" s="134" t="s">
        <v>197</v>
      </c>
      <c r="C381" s="124" t="s">
        <v>126</v>
      </c>
      <c r="D381" s="124" t="s">
        <v>388</v>
      </c>
      <c r="E381" s="59" t="s">
        <v>389</v>
      </c>
      <c r="F381" s="54"/>
      <c r="G381" s="29"/>
      <c r="H381" s="53">
        <v>58360</v>
      </c>
      <c r="I381" s="53" t="s">
        <v>90</v>
      </c>
      <c r="J381" s="34">
        <v>0</v>
      </c>
      <c r="K381" s="116">
        <v>0</v>
      </c>
      <c r="L381" s="114">
        <v>0</v>
      </c>
      <c r="M381" s="114">
        <v>0</v>
      </c>
      <c r="N381" s="114">
        <v>0</v>
      </c>
      <c r="O381" s="114">
        <v>0</v>
      </c>
      <c r="P381" s="114">
        <v>0</v>
      </c>
      <c r="Q381" s="114">
        <v>0</v>
      </c>
      <c r="R381" s="114">
        <v>0</v>
      </c>
      <c r="S381" s="114">
        <v>0</v>
      </c>
      <c r="T381" s="196">
        <v>0</v>
      </c>
      <c r="U381" s="52" t="str">
        <f>IFERROR(INDEX(tblPiNAnalysis[[Site Management ]], MATCH(tblPiNHistorical[[#This Row],[ID]], tblPiNAnalysis[ID], 0)), "")</f>
        <v/>
      </c>
      <c r="V381" s="52" t="str">
        <f>IFERROR(INDEX(tblPiNAnalysis[Education], MATCH(tblPiNHistorical[[#This Row],[ID]], tblPiNAnalysis[ID], 0)), "")</f>
        <v/>
      </c>
      <c r="W381" s="28" t="str">
        <f>IFERROR(INDEX(tblPiNAnalysis[Food Security and Livlihoods], MATCH(tblPiNHistorical[[#This Row],[ID]], tblPiNAnalysis[ID], 0)), "")</f>
        <v/>
      </c>
      <c r="X381" s="28" t="str">
        <f>IFERROR(INDEX(tblPiNAnalysis[[Health ]], MATCH(tblPiNHistorical[[#This Row],[ID]], tblPiNAnalysis[ID], 0)), "")</f>
        <v/>
      </c>
      <c r="Y381" s="28" t="str">
        <f>IFERROR(INDEX(tblPiNAnalysis[Nutrition], MATCH(tblPiNHistorical[[#This Row],[ID]], tblPiNAnalysis[ID], 0)), "")</f>
        <v/>
      </c>
      <c r="Z381" s="28" t="str">
        <f>IFERROR(INDEX(tblPiNAnalysis[Protection], MATCH(tblPiNHistorical[[#This Row],[ID]], tblPiNAnalysis[ID], 0)), "")</f>
        <v/>
      </c>
      <c r="AA381" s="28" t="str">
        <f>IFERROR(INDEX(tblPiNAnalysis[CP], MATCH(tblPiNHistorical[[#This Row],[ID]], tblPiNAnalysis[ID], 0)), "")</f>
        <v/>
      </c>
      <c r="AB381" s="83" t="str">
        <f>IFERROR(INDEX(tblPiNAnalysis[GBV], MATCH(tblPiNHistorical[[#This Row],[ID]], tblPiNAnalysis[ID], 0)), "")</f>
        <v/>
      </c>
      <c r="AC381" s="28" t="str">
        <f>IFERROR(INDEX(tblPiNAnalysis[Mine Action], MATCH(tblPiNHistorical[[#This Row],[ID]], tblPiNAnalysis[ID], 0)), "")</f>
        <v/>
      </c>
      <c r="AD381" s="83" t="str">
        <f>IFERROR(INDEX(tblPiNAnalysis[[Shelter NFI ]], MATCH(tblPiNHistorical[[#This Row],[ID]], tblPiNAnalysis[ID], 0)), "")</f>
        <v/>
      </c>
      <c r="AE381" s="28" t="str">
        <f>IFERROR(INDEX(tblPiNAnalysis[WASH], MATCH(tblPiNHistorical[[#This Row],[ID]], tblPiNAnalysis[ID], 0)), "")</f>
        <v/>
      </c>
      <c r="AF381"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381" s="136" t="str">
        <f>IF(OR(tblPiNHistorical[[#This Row],[Education Old]]="", tblPiNHistorical[[#This Row],[Education Old]]=0, tblPiNHistorical[[#This Row],[Education New]]="", tblPiNHistorical[[#This Row],[Education New]]=0), "", tblPiNHistorical[[#This Row],[Education New]]-tblPiNHistorical[[#This Row],[Education Old]])</f>
        <v/>
      </c>
      <c r="AH381"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381" s="67" t="str">
        <f>IF(OR(tblPiNHistorical[[#This Row],[Health Old]]="", tblPiNHistorical[[#This Row],[Health Old]]=0, tblPiNHistorical[[#This Row],[Health New]]="", tblPiNHistorical[[#This Row],[Health New]]=0), "", tblPiNHistorical[[#This Row],[Health New]]-tblPiNHistorical[[#This Row],[Health Old]])</f>
        <v/>
      </c>
      <c r="AJ381" s="136" t="str">
        <f>IF(OR(tblPiNHistorical[[#This Row],[Nutrition Old]]="", tblPiNHistorical[[#This Row],[Nutrition Old]]=0, tblPiNHistorical[[#This Row],[Nutrition New]]="", tblPiNHistorical[[#This Row],[Nutrition New]]=0), "", tblPiNHistorical[[#This Row],[Nutrition New]]-tblPiNHistorical[[#This Row],[Nutrition Old]])</f>
        <v/>
      </c>
      <c r="AK381" s="136" t="str">
        <f>IF(OR(tblPiNHistorical[[#This Row],[Protection Old]]="", tblPiNHistorical[[#This Row],[Protection Old]]=0, tblPiNHistorical[[#This Row],[Protection New]]="", tblPiNHistorical[[#This Row],[Protection New]]=0), "", tblPiNHistorical[[#This Row],[Protection New]]-tblPiNHistorical[[#This Row],[Protection Old]])</f>
        <v/>
      </c>
      <c r="AL381" s="136" t="str">
        <f>IF(OR(tblPiNHistorical[[#This Row],[CP Old ]]="", tblPiNHistorical[[#This Row],[CP Old ]]=0, tblPiNHistorical[[#This Row],[CP New]]="", tblPiNHistorical[[#This Row],[CP New]]=0), "", tblPiNHistorical[[#This Row],[CP New]]-tblPiNHistorical[[#This Row],[CP Old ]])</f>
        <v/>
      </c>
      <c r="AM381" s="83" t="str">
        <f>IF(OR(tblPiNHistorical[[#This Row],[GBV Old]]="", tblPiNHistorical[[#This Row],[GBV Old]]=0, tblPiNHistorical[[#This Row],[GBV New]]="", tblPiNHistorical[[#This Row],[GBV New]]=0), "", tblPiNHistorical[[#This Row],[GBV New]]-tblPiNHistorical[[#This Row],[GBV Old]])</f>
        <v/>
      </c>
      <c r="AN381" s="83" t="str">
        <f>IF(OR(tblPiNHistorical[[#This Row],[Mine Action Old]]="", tblPiNHistorical[[#This Row],[Mine Action Old]]=0, tblPiNHistorical[[#This Row],[Mine Action New]]="", tblPiNHistorical[[#This Row],[Mine Action New]]=0), "", tblPiNHistorical[[#This Row],[Mine Action New]]-tblPiNHistorical[[#This Row],[Mine Action Old]])</f>
        <v/>
      </c>
      <c r="AO381" s="136" t="str">
        <f>IF(OR(tblPiNHistorical[[#This Row],[Shelter NFI Old]]="", tblPiNHistorical[[#This Row],[Shelter NFI Old]]=0, tblPiNHistorical[[#This Row],[Shelter NFI New]]="", tblPiNHistorical[[#This Row],[Shelter NFI New]]=0), "", tblPiNHistorical[[#This Row],[Shelter NFI New]]-tblPiNHistorical[[#This Row],[Shelter NFI Old]])</f>
        <v/>
      </c>
      <c r="AP381" s="138" t="str">
        <f>IF(OR(tblPiNHistorical[[#This Row],[WASH Old]]="", tblPiNHistorical[[#This Row],[WASH Old]]=0, tblPiNHistorical[[#This Row],[WASH New]]="", tblPiNHistorical[[#This Row],[WASH New]]=0), "", tblPiNHistorical[[#This Row],[WASH New]]-tblPiNHistorical[[#This Row],[WASH Old]])</f>
        <v/>
      </c>
      <c r="AQ381" s="139" t="str">
        <f>IFERROR(ROUND((tblPiNHistorical[[#This Row],[Site Management - New]] - tblPiNHistorical[[#This Row],[Site Management - Old]])/tblPiNHistorical[[#This Row],[Site Management - Old]], 1), "")</f>
        <v/>
      </c>
      <c r="AR381" s="140" t="str">
        <f>IFERROR(ROUND((tblPiNHistorical[[#This Row],[Education New]]-tblPiNHistorical[[#This Row],[Education Old]])/tblPiNHistorical[[#This Row],[Education Old]], 1), "")</f>
        <v/>
      </c>
      <c r="AS381" s="141" t="str">
        <f>IFERROR(ROUND((tblPiNHistorical[[#This Row],[Food Security and Livlihoods New]]-tblPiNHistorical[[#This Row],[Food Security and Livlihoods Old]])/tblPiNHistorical[[#This Row],[Food Security and Livlihoods Old]], 1), "")</f>
        <v/>
      </c>
      <c r="AT381" s="66" t="str">
        <f>IFERROR(ROUND((tblPiNHistorical[[#This Row],[Health New]]-tblPiNHistorical[[#This Row],[Health Old]])/tblPiNHistorical[[#This Row],[Health Old]], 1), "")</f>
        <v/>
      </c>
      <c r="AU381" s="140" t="str">
        <f>IFERROR(ROUND((tblPiNHistorical[[#This Row],[Nutrition New]]-tblPiNHistorical[[#This Row],[Nutrition Old]])/tblPiNHistorical[[#This Row],[Nutrition Old]], 1), "")</f>
        <v/>
      </c>
      <c r="AV381" s="140" t="str">
        <f>IFERROR(ROUND((tblPiNHistorical[[#This Row],[Protection New]]-tblPiNHistorical[[#This Row],[Protection Old]])/tblPiNHistorical[[#This Row],[Protection Old]], 1), "")</f>
        <v/>
      </c>
      <c r="AW381" s="84" t="str">
        <f>IFERROR(ROUND((tblPiNHistorical[[#This Row],[CP New]]-tblPiNHistorical[[#This Row],[CP Old ]])/tblPiNHistorical[[#This Row],[CP Old ]], 1), "")</f>
        <v/>
      </c>
      <c r="AX381" s="84" t="str">
        <f>IFERROR(ROUND((tblPiNHistorical[[#This Row],[GBV New]]-tblPiNHistorical[[#This Row],[GBV Old]])/tblPiNHistorical[[#This Row],[GBV Old]], 1), "")</f>
        <v/>
      </c>
      <c r="AY381" s="84" t="str">
        <f>IFERROR(ROUND((tblPiNHistorical[[#This Row],[Mine Action New]]-tblPiNHistorical[[#This Row],[Mine Action Old]])/tblPiNHistorical[[#This Row],[Mine Action Old]], 1), "")</f>
        <v/>
      </c>
      <c r="AZ381" s="140" t="str">
        <f>IFERROR(ROUND((tblPiNHistorical[[#This Row],[Shelter NFI New]]-tblPiNHistorical[[#This Row],[Shelter NFI Old]])/tblPiNHistorical[[#This Row],[Shelter NFI Old]], 1), "")</f>
        <v/>
      </c>
      <c r="BA381" s="31" t="str">
        <f>IFERROR(ROUND((tblPiNHistorical[[#This Row],[WASH New]]-tblPiNHistorical[[#This Row],[WASH Old]])/tblPiNHistorical[[#This Row],[WASH Old]], 1), "")</f>
        <v/>
      </c>
    </row>
    <row r="382" spans="1:53" ht="38.25" x14ac:dyDescent="0.25">
      <c r="A382"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RefugeesSD09048</v>
      </c>
      <c r="B382" s="134" t="s">
        <v>197</v>
      </c>
      <c r="C382" s="124" t="s">
        <v>126</v>
      </c>
      <c r="D382" s="124" t="s">
        <v>392</v>
      </c>
      <c r="E382" s="59" t="s">
        <v>393</v>
      </c>
      <c r="F382" s="54"/>
      <c r="G382" s="29"/>
      <c r="H382" s="53">
        <v>0</v>
      </c>
      <c r="I382" s="53" t="s">
        <v>90</v>
      </c>
      <c r="J382" s="34">
        <v>0</v>
      </c>
      <c r="K382" s="116">
        <v>0</v>
      </c>
      <c r="L382" s="114">
        <v>0</v>
      </c>
      <c r="M382" s="114">
        <v>0</v>
      </c>
      <c r="N382" s="114">
        <v>0</v>
      </c>
      <c r="O382" s="114">
        <v>0</v>
      </c>
      <c r="P382" s="114">
        <v>0</v>
      </c>
      <c r="Q382" s="114">
        <v>0</v>
      </c>
      <c r="R382" s="114">
        <v>0</v>
      </c>
      <c r="S382" s="114">
        <v>0</v>
      </c>
      <c r="T382" s="196">
        <v>0</v>
      </c>
      <c r="U382" s="52" t="str">
        <f>IFERROR(INDEX(tblPiNAnalysis[[Site Management ]], MATCH(tblPiNHistorical[[#This Row],[ID]], tblPiNAnalysis[ID], 0)), "")</f>
        <v/>
      </c>
      <c r="V382" s="52" t="str">
        <f>IFERROR(INDEX(tblPiNAnalysis[Education], MATCH(tblPiNHistorical[[#This Row],[ID]], tblPiNAnalysis[ID], 0)), "")</f>
        <v/>
      </c>
      <c r="W382" s="28" t="str">
        <f>IFERROR(INDEX(tblPiNAnalysis[Food Security and Livlihoods], MATCH(tblPiNHistorical[[#This Row],[ID]], tblPiNAnalysis[ID], 0)), "")</f>
        <v/>
      </c>
      <c r="X382" s="28" t="str">
        <f>IFERROR(INDEX(tblPiNAnalysis[[Health ]], MATCH(tblPiNHistorical[[#This Row],[ID]], tblPiNAnalysis[ID], 0)), "")</f>
        <v/>
      </c>
      <c r="Y382" s="28" t="str">
        <f>IFERROR(INDEX(tblPiNAnalysis[Nutrition], MATCH(tblPiNHistorical[[#This Row],[ID]], tblPiNAnalysis[ID], 0)), "")</f>
        <v/>
      </c>
      <c r="Z382" s="28" t="str">
        <f>IFERROR(INDEX(tblPiNAnalysis[Protection], MATCH(tblPiNHistorical[[#This Row],[ID]], tblPiNAnalysis[ID], 0)), "")</f>
        <v/>
      </c>
      <c r="AA382" s="28" t="str">
        <f>IFERROR(INDEX(tblPiNAnalysis[CP], MATCH(tblPiNHistorical[[#This Row],[ID]], tblPiNAnalysis[ID], 0)), "")</f>
        <v/>
      </c>
      <c r="AB382" s="83" t="str">
        <f>IFERROR(INDEX(tblPiNAnalysis[GBV], MATCH(tblPiNHistorical[[#This Row],[ID]], tblPiNAnalysis[ID], 0)), "")</f>
        <v/>
      </c>
      <c r="AC382" s="28" t="str">
        <f>IFERROR(INDEX(tblPiNAnalysis[Mine Action], MATCH(tblPiNHistorical[[#This Row],[ID]], tblPiNAnalysis[ID], 0)), "")</f>
        <v/>
      </c>
      <c r="AD382" s="83" t="str">
        <f>IFERROR(INDEX(tblPiNAnalysis[[Shelter NFI ]], MATCH(tblPiNHistorical[[#This Row],[ID]], tblPiNAnalysis[ID], 0)), "")</f>
        <v/>
      </c>
      <c r="AE382" s="28" t="str">
        <f>IFERROR(INDEX(tblPiNAnalysis[WASH], MATCH(tblPiNHistorical[[#This Row],[ID]], tblPiNAnalysis[ID], 0)), "")</f>
        <v/>
      </c>
      <c r="AF382"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382" s="136" t="str">
        <f>IF(OR(tblPiNHistorical[[#This Row],[Education Old]]="", tblPiNHistorical[[#This Row],[Education Old]]=0, tblPiNHistorical[[#This Row],[Education New]]="", tblPiNHistorical[[#This Row],[Education New]]=0), "", tblPiNHistorical[[#This Row],[Education New]]-tblPiNHistorical[[#This Row],[Education Old]])</f>
        <v/>
      </c>
      <c r="AH382"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382" s="137" t="str">
        <f>IF(OR(tblPiNHistorical[[#This Row],[Health Old]]="", tblPiNHistorical[[#This Row],[Health Old]]=0, tblPiNHistorical[[#This Row],[Health New]]="", tblPiNHistorical[[#This Row],[Health New]]=0), "", tblPiNHistorical[[#This Row],[Health New]]-tblPiNHistorical[[#This Row],[Health Old]])</f>
        <v/>
      </c>
      <c r="AJ382" s="136" t="str">
        <f>IF(OR(tblPiNHistorical[[#This Row],[Nutrition Old]]="", tblPiNHistorical[[#This Row],[Nutrition Old]]=0, tblPiNHistorical[[#This Row],[Nutrition New]]="", tblPiNHistorical[[#This Row],[Nutrition New]]=0), "", tblPiNHistorical[[#This Row],[Nutrition New]]-tblPiNHistorical[[#This Row],[Nutrition Old]])</f>
        <v/>
      </c>
      <c r="AK382" s="136" t="str">
        <f>IF(OR(tblPiNHistorical[[#This Row],[Protection Old]]="", tblPiNHistorical[[#This Row],[Protection Old]]=0, tblPiNHistorical[[#This Row],[Protection New]]="", tblPiNHistorical[[#This Row],[Protection New]]=0), "", tblPiNHistorical[[#This Row],[Protection New]]-tblPiNHistorical[[#This Row],[Protection Old]])</f>
        <v/>
      </c>
      <c r="AL382" s="136" t="str">
        <f>IF(OR(tblPiNHistorical[[#This Row],[CP Old ]]="", tblPiNHistorical[[#This Row],[CP Old ]]=0, tblPiNHistorical[[#This Row],[CP New]]="", tblPiNHistorical[[#This Row],[CP New]]=0), "", tblPiNHistorical[[#This Row],[CP New]]-tblPiNHistorical[[#This Row],[CP Old ]])</f>
        <v/>
      </c>
      <c r="AM382" s="83" t="str">
        <f>IF(OR(tblPiNHistorical[[#This Row],[GBV Old]]="", tblPiNHistorical[[#This Row],[GBV Old]]=0, tblPiNHistorical[[#This Row],[GBV New]]="", tblPiNHistorical[[#This Row],[GBV New]]=0), "", tblPiNHistorical[[#This Row],[GBV New]]-tblPiNHistorical[[#This Row],[GBV Old]])</f>
        <v/>
      </c>
      <c r="AN382" s="83" t="str">
        <f>IF(OR(tblPiNHistorical[[#This Row],[Mine Action Old]]="", tblPiNHistorical[[#This Row],[Mine Action Old]]=0, tblPiNHistorical[[#This Row],[Mine Action New]]="", tblPiNHistorical[[#This Row],[Mine Action New]]=0), "", tblPiNHistorical[[#This Row],[Mine Action New]]-tblPiNHistorical[[#This Row],[Mine Action Old]])</f>
        <v/>
      </c>
      <c r="AO382" s="136" t="str">
        <f>IF(OR(tblPiNHistorical[[#This Row],[Shelter NFI Old]]="", tblPiNHistorical[[#This Row],[Shelter NFI Old]]=0, tblPiNHistorical[[#This Row],[Shelter NFI New]]="", tblPiNHistorical[[#This Row],[Shelter NFI New]]=0), "", tblPiNHistorical[[#This Row],[Shelter NFI New]]-tblPiNHistorical[[#This Row],[Shelter NFI Old]])</f>
        <v/>
      </c>
      <c r="AP382" s="138" t="str">
        <f>IF(OR(tblPiNHistorical[[#This Row],[WASH Old]]="", tblPiNHistorical[[#This Row],[WASH Old]]=0, tblPiNHistorical[[#This Row],[WASH New]]="", tblPiNHistorical[[#This Row],[WASH New]]=0), "", tblPiNHistorical[[#This Row],[WASH New]]-tblPiNHistorical[[#This Row],[WASH Old]])</f>
        <v/>
      </c>
      <c r="AQ382" s="139" t="str">
        <f>IFERROR(ROUND((tblPiNHistorical[[#This Row],[Site Management - New]] - tblPiNHistorical[[#This Row],[Site Management - Old]])/tblPiNHistorical[[#This Row],[Site Management - Old]], 1), "")</f>
        <v/>
      </c>
      <c r="AR382" s="140" t="str">
        <f>IFERROR(ROUND((tblPiNHistorical[[#This Row],[Education New]]-tblPiNHistorical[[#This Row],[Education Old]])/tblPiNHistorical[[#This Row],[Education Old]], 1), "")</f>
        <v/>
      </c>
      <c r="AS382" s="141" t="str">
        <f>IFERROR(ROUND((tblPiNHistorical[[#This Row],[Food Security and Livlihoods New]]-tblPiNHistorical[[#This Row],[Food Security and Livlihoods Old]])/tblPiNHistorical[[#This Row],[Food Security and Livlihoods Old]], 1), "")</f>
        <v/>
      </c>
      <c r="AT382" s="142" t="str">
        <f>IFERROR(ROUND((tblPiNHistorical[[#This Row],[Health New]]-tblPiNHistorical[[#This Row],[Health Old]])/tblPiNHistorical[[#This Row],[Health Old]], 1), "")</f>
        <v/>
      </c>
      <c r="AU382" s="140" t="str">
        <f>IFERROR(ROUND((tblPiNHistorical[[#This Row],[Nutrition New]]-tblPiNHistorical[[#This Row],[Nutrition Old]])/tblPiNHistorical[[#This Row],[Nutrition Old]], 1), "")</f>
        <v/>
      </c>
      <c r="AV382" s="140" t="str">
        <f>IFERROR(ROUND((tblPiNHistorical[[#This Row],[Protection New]]-tblPiNHistorical[[#This Row],[Protection Old]])/tblPiNHistorical[[#This Row],[Protection Old]], 1), "")</f>
        <v/>
      </c>
      <c r="AW382" s="84" t="str">
        <f>IFERROR(ROUND((tblPiNHistorical[[#This Row],[CP New]]-tblPiNHistorical[[#This Row],[CP Old ]])/tblPiNHistorical[[#This Row],[CP Old ]], 1), "")</f>
        <v/>
      </c>
      <c r="AX382" s="84" t="str">
        <f>IFERROR(ROUND((tblPiNHistorical[[#This Row],[GBV New]]-tblPiNHistorical[[#This Row],[GBV Old]])/tblPiNHistorical[[#This Row],[GBV Old]], 1), "")</f>
        <v/>
      </c>
      <c r="AY382" s="84" t="str">
        <f>IFERROR(ROUND((tblPiNHistorical[[#This Row],[Mine Action New]]-tblPiNHistorical[[#This Row],[Mine Action Old]])/tblPiNHistorical[[#This Row],[Mine Action Old]], 1), "")</f>
        <v/>
      </c>
      <c r="AZ382" s="140" t="str">
        <f>IFERROR(ROUND((tblPiNHistorical[[#This Row],[Shelter NFI New]]-tblPiNHistorical[[#This Row],[Shelter NFI Old]])/tblPiNHistorical[[#This Row],[Shelter NFI Old]], 1), "")</f>
        <v/>
      </c>
      <c r="BA382" s="31" t="str">
        <f>IFERROR(ROUND((tblPiNHistorical[[#This Row],[WASH New]]-tblPiNHistorical[[#This Row],[WASH Old]])/tblPiNHistorical[[#This Row],[WASH Old]], 1), "")</f>
        <v/>
      </c>
    </row>
    <row r="383" spans="1:53" ht="38.25" x14ac:dyDescent="0.25">
      <c r="A383"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RefugeesSD09045</v>
      </c>
      <c r="B383" s="134" t="s">
        <v>197</v>
      </c>
      <c r="C383" s="124" t="s">
        <v>126</v>
      </c>
      <c r="D383" s="124" t="s">
        <v>386</v>
      </c>
      <c r="E383" s="59" t="s">
        <v>387</v>
      </c>
      <c r="F383" s="54"/>
      <c r="G383" s="29"/>
      <c r="H383" s="53">
        <v>2</v>
      </c>
      <c r="I383" s="53" t="s">
        <v>90</v>
      </c>
      <c r="J383" s="34">
        <v>0</v>
      </c>
      <c r="K383" s="116">
        <v>0</v>
      </c>
      <c r="L383" s="114">
        <v>0</v>
      </c>
      <c r="M383" s="114">
        <v>0</v>
      </c>
      <c r="N383" s="114">
        <v>0</v>
      </c>
      <c r="O383" s="114">
        <v>0</v>
      </c>
      <c r="P383" s="114">
        <v>0</v>
      </c>
      <c r="Q383" s="114">
        <v>0</v>
      </c>
      <c r="R383" s="114">
        <v>0</v>
      </c>
      <c r="S383" s="114">
        <v>0</v>
      </c>
      <c r="T383" s="196">
        <v>0</v>
      </c>
      <c r="U383" s="52" t="str">
        <f>IFERROR(INDEX(tblPiNAnalysis[[Site Management ]], MATCH(tblPiNHistorical[[#This Row],[ID]], tblPiNAnalysis[ID], 0)), "")</f>
        <v/>
      </c>
      <c r="V383" s="52" t="str">
        <f>IFERROR(INDEX(tblPiNAnalysis[Education], MATCH(tblPiNHistorical[[#This Row],[ID]], tblPiNAnalysis[ID], 0)), "")</f>
        <v/>
      </c>
      <c r="W383" s="28" t="str">
        <f>IFERROR(INDEX(tblPiNAnalysis[Food Security and Livlihoods], MATCH(tblPiNHistorical[[#This Row],[ID]], tblPiNAnalysis[ID], 0)), "")</f>
        <v/>
      </c>
      <c r="X383" s="28" t="str">
        <f>IFERROR(INDEX(tblPiNAnalysis[[Health ]], MATCH(tblPiNHistorical[[#This Row],[ID]], tblPiNAnalysis[ID], 0)), "")</f>
        <v/>
      </c>
      <c r="Y383" s="28" t="str">
        <f>IFERROR(INDEX(tblPiNAnalysis[Nutrition], MATCH(tblPiNHistorical[[#This Row],[ID]], tblPiNAnalysis[ID], 0)), "")</f>
        <v/>
      </c>
      <c r="Z383" s="28" t="str">
        <f>IFERROR(INDEX(tblPiNAnalysis[Protection], MATCH(tblPiNHistorical[[#This Row],[ID]], tblPiNAnalysis[ID], 0)), "")</f>
        <v/>
      </c>
      <c r="AA383" s="28" t="str">
        <f>IFERROR(INDEX(tblPiNAnalysis[CP], MATCH(tblPiNHistorical[[#This Row],[ID]], tblPiNAnalysis[ID], 0)), "")</f>
        <v/>
      </c>
      <c r="AB383" s="83" t="str">
        <f>IFERROR(INDEX(tblPiNAnalysis[GBV], MATCH(tblPiNHistorical[[#This Row],[ID]], tblPiNAnalysis[ID], 0)), "")</f>
        <v/>
      </c>
      <c r="AC383" s="28" t="str">
        <f>IFERROR(INDEX(tblPiNAnalysis[Mine Action], MATCH(tblPiNHistorical[[#This Row],[ID]], tblPiNAnalysis[ID], 0)), "")</f>
        <v/>
      </c>
      <c r="AD383" s="83" t="str">
        <f>IFERROR(INDEX(tblPiNAnalysis[[Shelter NFI ]], MATCH(tblPiNHistorical[[#This Row],[ID]], tblPiNAnalysis[ID], 0)), "")</f>
        <v/>
      </c>
      <c r="AE383" s="28" t="str">
        <f>IFERROR(INDEX(tblPiNAnalysis[WASH], MATCH(tblPiNHistorical[[#This Row],[ID]], tblPiNAnalysis[ID], 0)), "")</f>
        <v/>
      </c>
      <c r="AF383"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383" s="136" t="str">
        <f>IF(OR(tblPiNHistorical[[#This Row],[Education Old]]="", tblPiNHistorical[[#This Row],[Education Old]]=0, tblPiNHistorical[[#This Row],[Education New]]="", tblPiNHistorical[[#This Row],[Education New]]=0), "", tblPiNHistorical[[#This Row],[Education New]]-tblPiNHistorical[[#This Row],[Education Old]])</f>
        <v/>
      </c>
      <c r="AH383"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383" s="137" t="str">
        <f>IF(OR(tblPiNHistorical[[#This Row],[Health Old]]="", tblPiNHistorical[[#This Row],[Health Old]]=0, tblPiNHistorical[[#This Row],[Health New]]="", tblPiNHistorical[[#This Row],[Health New]]=0), "", tblPiNHistorical[[#This Row],[Health New]]-tblPiNHistorical[[#This Row],[Health Old]])</f>
        <v/>
      </c>
      <c r="AJ383" s="136" t="str">
        <f>IF(OR(tblPiNHistorical[[#This Row],[Nutrition Old]]="", tblPiNHistorical[[#This Row],[Nutrition Old]]=0, tblPiNHistorical[[#This Row],[Nutrition New]]="", tblPiNHistorical[[#This Row],[Nutrition New]]=0), "", tblPiNHistorical[[#This Row],[Nutrition New]]-tblPiNHistorical[[#This Row],[Nutrition Old]])</f>
        <v/>
      </c>
      <c r="AK383" s="136" t="str">
        <f>IF(OR(tblPiNHistorical[[#This Row],[Protection Old]]="", tblPiNHistorical[[#This Row],[Protection Old]]=0, tblPiNHistorical[[#This Row],[Protection New]]="", tblPiNHistorical[[#This Row],[Protection New]]=0), "", tblPiNHistorical[[#This Row],[Protection New]]-tblPiNHistorical[[#This Row],[Protection Old]])</f>
        <v/>
      </c>
      <c r="AL383" s="136" t="str">
        <f>IF(OR(tblPiNHistorical[[#This Row],[CP Old ]]="", tblPiNHistorical[[#This Row],[CP Old ]]=0, tblPiNHistorical[[#This Row],[CP New]]="", tblPiNHistorical[[#This Row],[CP New]]=0), "", tblPiNHistorical[[#This Row],[CP New]]-tblPiNHistorical[[#This Row],[CP Old ]])</f>
        <v/>
      </c>
      <c r="AM383" s="83" t="str">
        <f>IF(OR(tblPiNHistorical[[#This Row],[GBV Old]]="", tblPiNHistorical[[#This Row],[GBV Old]]=0, tblPiNHistorical[[#This Row],[GBV New]]="", tblPiNHistorical[[#This Row],[GBV New]]=0), "", tblPiNHistorical[[#This Row],[GBV New]]-tblPiNHistorical[[#This Row],[GBV Old]])</f>
        <v/>
      </c>
      <c r="AN383" s="83" t="str">
        <f>IF(OR(tblPiNHistorical[[#This Row],[Mine Action Old]]="", tblPiNHistorical[[#This Row],[Mine Action Old]]=0, tblPiNHistorical[[#This Row],[Mine Action New]]="", tblPiNHistorical[[#This Row],[Mine Action New]]=0), "", tblPiNHistorical[[#This Row],[Mine Action New]]-tblPiNHistorical[[#This Row],[Mine Action Old]])</f>
        <v/>
      </c>
      <c r="AO383" s="136" t="str">
        <f>IF(OR(tblPiNHistorical[[#This Row],[Shelter NFI Old]]="", tblPiNHistorical[[#This Row],[Shelter NFI Old]]=0, tblPiNHistorical[[#This Row],[Shelter NFI New]]="", tblPiNHistorical[[#This Row],[Shelter NFI New]]=0), "", tblPiNHistorical[[#This Row],[Shelter NFI New]]-tblPiNHistorical[[#This Row],[Shelter NFI Old]])</f>
        <v/>
      </c>
      <c r="AP383" s="138" t="str">
        <f>IF(OR(tblPiNHistorical[[#This Row],[WASH Old]]="", tblPiNHistorical[[#This Row],[WASH Old]]=0, tblPiNHistorical[[#This Row],[WASH New]]="", tblPiNHistorical[[#This Row],[WASH New]]=0), "", tblPiNHistorical[[#This Row],[WASH New]]-tblPiNHistorical[[#This Row],[WASH Old]])</f>
        <v/>
      </c>
      <c r="AQ383" s="139" t="str">
        <f>IFERROR(ROUND((tblPiNHistorical[[#This Row],[Site Management - New]] - tblPiNHistorical[[#This Row],[Site Management - Old]])/tblPiNHistorical[[#This Row],[Site Management - Old]], 1), "")</f>
        <v/>
      </c>
      <c r="AR383" s="140" t="str">
        <f>IFERROR(ROUND((tblPiNHistorical[[#This Row],[Education New]]-tblPiNHistorical[[#This Row],[Education Old]])/tblPiNHistorical[[#This Row],[Education Old]], 1), "")</f>
        <v/>
      </c>
      <c r="AS383" s="141" t="str">
        <f>IFERROR(ROUND((tblPiNHistorical[[#This Row],[Food Security and Livlihoods New]]-tblPiNHistorical[[#This Row],[Food Security and Livlihoods Old]])/tblPiNHistorical[[#This Row],[Food Security and Livlihoods Old]], 1), "")</f>
        <v/>
      </c>
      <c r="AT383" s="142" t="str">
        <f>IFERROR(ROUND((tblPiNHistorical[[#This Row],[Health New]]-tblPiNHistorical[[#This Row],[Health Old]])/tblPiNHistorical[[#This Row],[Health Old]], 1), "")</f>
        <v/>
      </c>
      <c r="AU383" s="140" t="str">
        <f>IFERROR(ROUND((tblPiNHistorical[[#This Row],[Nutrition New]]-tblPiNHistorical[[#This Row],[Nutrition Old]])/tblPiNHistorical[[#This Row],[Nutrition Old]], 1), "")</f>
        <v/>
      </c>
      <c r="AV383" s="140" t="str">
        <f>IFERROR(ROUND((tblPiNHistorical[[#This Row],[Protection New]]-tblPiNHistorical[[#This Row],[Protection Old]])/tblPiNHistorical[[#This Row],[Protection Old]], 1), "")</f>
        <v/>
      </c>
      <c r="AW383" s="84" t="str">
        <f>IFERROR(ROUND((tblPiNHistorical[[#This Row],[CP New]]-tblPiNHistorical[[#This Row],[CP Old ]])/tblPiNHistorical[[#This Row],[CP Old ]], 1), "")</f>
        <v/>
      </c>
      <c r="AX383" s="84" t="str">
        <f>IFERROR(ROUND((tblPiNHistorical[[#This Row],[GBV New]]-tblPiNHistorical[[#This Row],[GBV Old]])/tblPiNHistorical[[#This Row],[GBV Old]], 1), "")</f>
        <v/>
      </c>
      <c r="AY383" s="84" t="str">
        <f>IFERROR(ROUND((tblPiNHistorical[[#This Row],[Mine Action New]]-tblPiNHistorical[[#This Row],[Mine Action Old]])/tblPiNHistorical[[#This Row],[Mine Action Old]], 1), "")</f>
        <v/>
      </c>
      <c r="AZ383" s="140" t="str">
        <f>IFERROR(ROUND((tblPiNHistorical[[#This Row],[Shelter NFI New]]-tblPiNHistorical[[#This Row],[Shelter NFI Old]])/tblPiNHistorical[[#This Row],[Shelter NFI Old]], 1), "")</f>
        <v/>
      </c>
      <c r="BA383" s="31" t="str">
        <f>IFERROR(ROUND((tblPiNHistorical[[#This Row],[WASH New]]-tblPiNHistorical[[#This Row],[WASH Old]])/tblPiNHistorical[[#This Row],[WASH Old]], 1), "")</f>
        <v/>
      </c>
    </row>
    <row r="384" spans="1:53" ht="38.25" x14ac:dyDescent="0.25">
      <c r="A384"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Host CommunitySD19101</v>
      </c>
      <c r="B384" s="134" t="s">
        <v>144</v>
      </c>
      <c r="C384" s="124" t="s">
        <v>136</v>
      </c>
      <c r="D384" s="124" t="s">
        <v>574</v>
      </c>
      <c r="E384" s="59" t="s">
        <v>573</v>
      </c>
      <c r="F384" s="54"/>
      <c r="G384" s="29"/>
      <c r="H384" s="53">
        <v>0</v>
      </c>
      <c r="I384" s="53" t="s">
        <v>87</v>
      </c>
      <c r="J384" s="34">
        <v>0</v>
      </c>
      <c r="K384" s="116">
        <v>0</v>
      </c>
      <c r="L384" s="114">
        <v>0</v>
      </c>
      <c r="M384" s="114">
        <v>0</v>
      </c>
      <c r="N384" s="114">
        <v>0</v>
      </c>
      <c r="O384" s="114">
        <v>0</v>
      </c>
      <c r="P384" s="114">
        <v>0</v>
      </c>
      <c r="Q384" s="114">
        <v>0</v>
      </c>
      <c r="R384" s="114">
        <v>0</v>
      </c>
      <c r="S384" s="114">
        <v>0</v>
      </c>
      <c r="T384" s="196">
        <v>0</v>
      </c>
      <c r="U384" s="52" t="str">
        <f>IFERROR(INDEX(tblPiNAnalysis[[Site Management ]], MATCH(tblPiNHistorical[[#This Row],[ID]], tblPiNAnalysis[ID], 0)), "")</f>
        <v/>
      </c>
      <c r="V384" s="52" t="str">
        <f>IFERROR(INDEX(tblPiNAnalysis[Education], MATCH(tblPiNHistorical[[#This Row],[ID]], tblPiNAnalysis[ID], 0)), "")</f>
        <v/>
      </c>
      <c r="W384" s="28" t="str">
        <f>IFERROR(INDEX(tblPiNAnalysis[Food Security and Livlihoods], MATCH(tblPiNHistorical[[#This Row],[ID]], tblPiNAnalysis[ID], 0)), "")</f>
        <v/>
      </c>
      <c r="X384" s="28" t="str">
        <f>IFERROR(INDEX(tblPiNAnalysis[[Health ]], MATCH(tblPiNHistorical[[#This Row],[ID]], tblPiNAnalysis[ID], 0)), "")</f>
        <v/>
      </c>
      <c r="Y384" s="28" t="str">
        <f>IFERROR(INDEX(tblPiNAnalysis[Nutrition], MATCH(tblPiNHistorical[[#This Row],[ID]], tblPiNAnalysis[ID], 0)), "")</f>
        <v/>
      </c>
      <c r="Z384" s="28" t="str">
        <f>IFERROR(INDEX(tblPiNAnalysis[Protection], MATCH(tblPiNHistorical[[#This Row],[ID]], tblPiNAnalysis[ID], 0)), "")</f>
        <v/>
      </c>
      <c r="AA384" s="28" t="str">
        <f>IFERROR(INDEX(tblPiNAnalysis[CP], MATCH(tblPiNHistorical[[#This Row],[ID]], tblPiNAnalysis[ID], 0)), "")</f>
        <v/>
      </c>
      <c r="AB384" s="83" t="str">
        <f>IFERROR(INDEX(tblPiNAnalysis[GBV], MATCH(tblPiNHistorical[[#This Row],[ID]], tblPiNAnalysis[ID], 0)), "")</f>
        <v/>
      </c>
      <c r="AC384" s="28" t="str">
        <f>IFERROR(INDEX(tblPiNAnalysis[Mine Action], MATCH(tblPiNHistorical[[#This Row],[ID]], tblPiNAnalysis[ID], 0)), "")</f>
        <v/>
      </c>
      <c r="AD384" s="83" t="str">
        <f>IFERROR(INDEX(tblPiNAnalysis[[Shelter NFI ]], MATCH(tblPiNHistorical[[#This Row],[ID]], tblPiNAnalysis[ID], 0)), "")</f>
        <v/>
      </c>
      <c r="AE384" s="28" t="str">
        <f>IFERROR(INDEX(tblPiNAnalysis[WASH], MATCH(tblPiNHistorical[[#This Row],[ID]], tblPiNAnalysis[ID], 0)), "")</f>
        <v/>
      </c>
      <c r="AF384"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384" s="136" t="str">
        <f>IF(OR(tblPiNHistorical[[#This Row],[Education Old]]="", tblPiNHistorical[[#This Row],[Education Old]]=0, tblPiNHistorical[[#This Row],[Education New]]="", tblPiNHistorical[[#This Row],[Education New]]=0), "", tblPiNHistorical[[#This Row],[Education New]]-tblPiNHistorical[[#This Row],[Education Old]])</f>
        <v/>
      </c>
      <c r="AH384"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384" s="137" t="str">
        <f>IF(OR(tblPiNHistorical[[#This Row],[Health Old]]="", tblPiNHistorical[[#This Row],[Health Old]]=0, tblPiNHistorical[[#This Row],[Health New]]="", tblPiNHistorical[[#This Row],[Health New]]=0), "", tblPiNHistorical[[#This Row],[Health New]]-tblPiNHistorical[[#This Row],[Health Old]])</f>
        <v/>
      </c>
      <c r="AJ384" s="136" t="str">
        <f>IF(OR(tblPiNHistorical[[#This Row],[Nutrition Old]]="", tblPiNHistorical[[#This Row],[Nutrition Old]]=0, tblPiNHistorical[[#This Row],[Nutrition New]]="", tblPiNHistorical[[#This Row],[Nutrition New]]=0), "", tblPiNHistorical[[#This Row],[Nutrition New]]-tblPiNHistorical[[#This Row],[Nutrition Old]])</f>
        <v/>
      </c>
      <c r="AK384" s="136" t="str">
        <f>IF(OR(tblPiNHistorical[[#This Row],[Protection Old]]="", tblPiNHistorical[[#This Row],[Protection Old]]=0, tblPiNHistorical[[#This Row],[Protection New]]="", tblPiNHistorical[[#This Row],[Protection New]]=0), "", tblPiNHistorical[[#This Row],[Protection New]]-tblPiNHistorical[[#This Row],[Protection Old]])</f>
        <v/>
      </c>
      <c r="AL384" s="136" t="str">
        <f>IF(OR(tblPiNHistorical[[#This Row],[CP Old ]]="", tblPiNHistorical[[#This Row],[CP Old ]]=0, tblPiNHistorical[[#This Row],[CP New]]="", tblPiNHistorical[[#This Row],[CP New]]=0), "", tblPiNHistorical[[#This Row],[CP New]]-tblPiNHistorical[[#This Row],[CP Old ]])</f>
        <v/>
      </c>
      <c r="AM384" s="83" t="str">
        <f>IF(OR(tblPiNHistorical[[#This Row],[GBV Old]]="", tblPiNHistorical[[#This Row],[GBV Old]]=0, tblPiNHistorical[[#This Row],[GBV New]]="", tblPiNHistorical[[#This Row],[GBV New]]=0), "", tblPiNHistorical[[#This Row],[GBV New]]-tblPiNHistorical[[#This Row],[GBV Old]])</f>
        <v/>
      </c>
      <c r="AN384" s="83" t="str">
        <f>IF(OR(tblPiNHistorical[[#This Row],[Mine Action Old]]="", tblPiNHistorical[[#This Row],[Mine Action Old]]=0, tblPiNHistorical[[#This Row],[Mine Action New]]="", tblPiNHistorical[[#This Row],[Mine Action New]]=0), "", tblPiNHistorical[[#This Row],[Mine Action New]]-tblPiNHistorical[[#This Row],[Mine Action Old]])</f>
        <v/>
      </c>
      <c r="AO384" s="136" t="str">
        <f>IF(OR(tblPiNHistorical[[#This Row],[Shelter NFI Old]]="", tblPiNHistorical[[#This Row],[Shelter NFI Old]]=0, tblPiNHistorical[[#This Row],[Shelter NFI New]]="", tblPiNHistorical[[#This Row],[Shelter NFI New]]=0), "", tblPiNHistorical[[#This Row],[Shelter NFI New]]-tblPiNHistorical[[#This Row],[Shelter NFI Old]])</f>
        <v/>
      </c>
      <c r="AP384" s="138" t="str">
        <f>IF(OR(tblPiNHistorical[[#This Row],[WASH Old]]="", tblPiNHistorical[[#This Row],[WASH Old]]=0, tblPiNHistorical[[#This Row],[WASH New]]="", tblPiNHistorical[[#This Row],[WASH New]]=0), "", tblPiNHistorical[[#This Row],[WASH New]]-tblPiNHistorical[[#This Row],[WASH Old]])</f>
        <v/>
      </c>
      <c r="AQ384" s="139" t="str">
        <f>IFERROR(ROUND((tblPiNHistorical[[#This Row],[Site Management - New]] - tblPiNHistorical[[#This Row],[Site Management - Old]])/tblPiNHistorical[[#This Row],[Site Management - Old]], 1), "")</f>
        <v/>
      </c>
      <c r="AR384" s="140" t="str">
        <f>IFERROR(ROUND((tblPiNHistorical[[#This Row],[Education New]]-tblPiNHistorical[[#This Row],[Education Old]])/tblPiNHistorical[[#This Row],[Education Old]], 1), "")</f>
        <v/>
      </c>
      <c r="AS384" s="141" t="str">
        <f>IFERROR(ROUND((tblPiNHistorical[[#This Row],[Food Security and Livlihoods New]]-tblPiNHistorical[[#This Row],[Food Security and Livlihoods Old]])/tblPiNHistorical[[#This Row],[Food Security and Livlihoods Old]], 1), "")</f>
        <v/>
      </c>
      <c r="AT384" s="142" t="str">
        <f>IFERROR(ROUND((tblPiNHistorical[[#This Row],[Health New]]-tblPiNHistorical[[#This Row],[Health Old]])/tblPiNHistorical[[#This Row],[Health Old]], 1), "")</f>
        <v/>
      </c>
      <c r="AU384" s="140" t="str">
        <f>IFERROR(ROUND((tblPiNHistorical[[#This Row],[Nutrition New]]-tblPiNHistorical[[#This Row],[Nutrition Old]])/tblPiNHistorical[[#This Row],[Nutrition Old]], 1), "")</f>
        <v/>
      </c>
      <c r="AV384" s="140" t="str">
        <f>IFERROR(ROUND((tblPiNHistorical[[#This Row],[Protection New]]-tblPiNHistorical[[#This Row],[Protection Old]])/tblPiNHistorical[[#This Row],[Protection Old]], 1), "")</f>
        <v/>
      </c>
      <c r="AW384" s="84" t="str">
        <f>IFERROR(ROUND((tblPiNHistorical[[#This Row],[CP New]]-tblPiNHistorical[[#This Row],[CP Old ]])/tblPiNHistorical[[#This Row],[CP Old ]], 1), "")</f>
        <v/>
      </c>
      <c r="AX384" s="84" t="str">
        <f>IFERROR(ROUND((tblPiNHistorical[[#This Row],[GBV New]]-tblPiNHistorical[[#This Row],[GBV Old]])/tblPiNHistorical[[#This Row],[GBV Old]], 1), "")</f>
        <v/>
      </c>
      <c r="AY384" s="84" t="str">
        <f>IFERROR(ROUND((tblPiNHistorical[[#This Row],[Mine Action New]]-tblPiNHistorical[[#This Row],[Mine Action Old]])/tblPiNHistorical[[#This Row],[Mine Action Old]], 1), "")</f>
        <v/>
      </c>
      <c r="AZ384" s="140" t="str">
        <f>IFERROR(ROUND((tblPiNHistorical[[#This Row],[Shelter NFI New]]-tblPiNHistorical[[#This Row],[Shelter NFI Old]])/tblPiNHistorical[[#This Row],[Shelter NFI Old]], 1), "")</f>
        <v/>
      </c>
      <c r="BA384" s="31" t="str">
        <f>IFERROR(ROUND((tblPiNHistorical[[#This Row],[WASH New]]-tblPiNHistorical[[#This Row],[WASH Old]])/tblPiNHistorical[[#This Row],[WASH Old]], 1), "")</f>
        <v/>
      </c>
    </row>
    <row r="385" spans="1:53" ht="38.25" x14ac:dyDescent="0.25">
      <c r="A385"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Host CommunitySD15034</v>
      </c>
      <c r="B385" s="134" t="s">
        <v>147</v>
      </c>
      <c r="C385" s="124" t="s">
        <v>132</v>
      </c>
      <c r="D385" s="124" t="s">
        <v>504</v>
      </c>
      <c r="E385" s="59" t="s">
        <v>505</v>
      </c>
      <c r="F385" s="54"/>
      <c r="G385" s="29"/>
      <c r="H385" s="53">
        <v>41234</v>
      </c>
      <c r="I385" s="53" t="s">
        <v>87</v>
      </c>
      <c r="J385" s="34">
        <v>0</v>
      </c>
      <c r="K385" s="116">
        <v>0</v>
      </c>
      <c r="L385" s="114">
        <v>41234</v>
      </c>
      <c r="M385" s="114">
        <v>41234</v>
      </c>
      <c r="N385" s="114">
        <v>3013</v>
      </c>
      <c r="O385" s="114">
        <v>13056</v>
      </c>
      <c r="P385" s="114">
        <v>4536</v>
      </c>
      <c r="Q385" s="114">
        <v>13056</v>
      </c>
      <c r="R385" s="114">
        <v>0</v>
      </c>
      <c r="S385" s="114">
        <v>8247</v>
      </c>
      <c r="T385" s="196">
        <v>30133.807199999999</v>
      </c>
      <c r="U385" s="52">
        <f>IFERROR(INDEX(tblPiNAnalysis[[Site Management ]], MATCH(tblPiNHistorical[[#This Row],[ID]], tblPiNAnalysis[ID], 0)), "")</f>
        <v>0</v>
      </c>
      <c r="V385" s="52">
        <f>IFERROR(INDEX(tblPiNAnalysis[Education], MATCH(tblPiNHistorical[[#This Row],[ID]], tblPiNAnalysis[ID], 0)), "")</f>
        <v>0</v>
      </c>
      <c r="W385" s="28">
        <f>IFERROR(INDEX(tblPiNAnalysis[Food Security and Livlihoods], MATCH(tblPiNHistorical[[#This Row],[ID]], tblPiNAnalysis[ID], 0)), "")</f>
        <v>0</v>
      </c>
      <c r="X385" s="28">
        <f>IFERROR(INDEX(tblPiNAnalysis[[Health ]], MATCH(tblPiNHistorical[[#This Row],[ID]], tblPiNAnalysis[ID], 0)), "")</f>
        <v>0</v>
      </c>
      <c r="Y385" s="28">
        <f>IFERROR(INDEX(tblPiNAnalysis[Nutrition], MATCH(tblPiNHistorical[[#This Row],[ID]], tblPiNAnalysis[ID], 0)), "")</f>
        <v>0</v>
      </c>
      <c r="Z385" s="28">
        <f>IFERROR(INDEX(tblPiNAnalysis[Protection], MATCH(tblPiNHistorical[[#This Row],[ID]], tblPiNAnalysis[ID], 0)), "")</f>
        <v>0</v>
      </c>
      <c r="AA385" s="28">
        <f>IFERROR(INDEX(tblPiNAnalysis[CP], MATCH(tblPiNHistorical[[#This Row],[ID]], tblPiNAnalysis[ID], 0)), "")</f>
        <v>0</v>
      </c>
      <c r="AB385" s="83">
        <f>IFERROR(INDEX(tblPiNAnalysis[GBV], MATCH(tblPiNHistorical[[#This Row],[ID]], tblPiNAnalysis[ID], 0)), "")</f>
        <v>0</v>
      </c>
      <c r="AC385" s="28">
        <f>IFERROR(INDEX(tblPiNAnalysis[Mine Action], MATCH(tblPiNHistorical[[#This Row],[ID]], tblPiNAnalysis[ID], 0)), "")</f>
        <v>0</v>
      </c>
      <c r="AD385" s="83">
        <f>IFERROR(INDEX(tblPiNAnalysis[[Shelter NFI ]], MATCH(tblPiNHistorical[[#This Row],[ID]], tblPiNAnalysis[ID], 0)), "")</f>
        <v>14151</v>
      </c>
      <c r="AE385" s="28">
        <f>IFERROR(INDEX(tblPiNAnalysis[WASH], MATCH(tblPiNHistorical[[#This Row],[ID]], tblPiNAnalysis[ID], 0)), "")</f>
        <v>0</v>
      </c>
      <c r="AF385"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385" s="136" t="str">
        <f>IF(OR(tblPiNHistorical[[#This Row],[Education Old]]="", tblPiNHistorical[[#This Row],[Education Old]]=0, tblPiNHistorical[[#This Row],[Education New]]="", tblPiNHistorical[[#This Row],[Education New]]=0), "", tblPiNHistorical[[#This Row],[Education New]]-tblPiNHistorical[[#This Row],[Education Old]])</f>
        <v/>
      </c>
      <c r="AH385"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385" s="137" t="str">
        <f>IF(OR(tblPiNHistorical[[#This Row],[Health Old]]="", tblPiNHistorical[[#This Row],[Health Old]]=0, tblPiNHistorical[[#This Row],[Health New]]="", tblPiNHistorical[[#This Row],[Health New]]=0), "", tblPiNHistorical[[#This Row],[Health New]]-tblPiNHistorical[[#This Row],[Health Old]])</f>
        <v/>
      </c>
      <c r="AJ385" s="136" t="str">
        <f>IF(OR(tblPiNHistorical[[#This Row],[Nutrition Old]]="", tblPiNHistorical[[#This Row],[Nutrition Old]]=0, tblPiNHistorical[[#This Row],[Nutrition New]]="", tblPiNHistorical[[#This Row],[Nutrition New]]=0), "", tblPiNHistorical[[#This Row],[Nutrition New]]-tblPiNHistorical[[#This Row],[Nutrition Old]])</f>
        <v/>
      </c>
      <c r="AK385" s="136" t="str">
        <f>IF(OR(tblPiNHistorical[[#This Row],[Protection Old]]="", tblPiNHistorical[[#This Row],[Protection Old]]=0, tblPiNHistorical[[#This Row],[Protection New]]="", tblPiNHistorical[[#This Row],[Protection New]]=0), "", tblPiNHistorical[[#This Row],[Protection New]]-tblPiNHistorical[[#This Row],[Protection Old]])</f>
        <v/>
      </c>
      <c r="AL385" s="136" t="str">
        <f>IF(OR(tblPiNHistorical[[#This Row],[CP Old ]]="", tblPiNHistorical[[#This Row],[CP Old ]]=0, tblPiNHistorical[[#This Row],[CP New]]="", tblPiNHistorical[[#This Row],[CP New]]=0), "", tblPiNHistorical[[#This Row],[CP New]]-tblPiNHistorical[[#This Row],[CP Old ]])</f>
        <v/>
      </c>
      <c r="AM385" s="83" t="str">
        <f>IF(OR(tblPiNHistorical[[#This Row],[GBV Old]]="", tblPiNHistorical[[#This Row],[GBV Old]]=0, tblPiNHistorical[[#This Row],[GBV New]]="", tblPiNHistorical[[#This Row],[GBV New]]=0), "", tblPiNHistorical[[#This Row],[GBV New]]-tblPiNHistorical[[#This Row],[GBV Old]])</f>
        <v/>
      </c>
      <c r="AN385" s="83" t="str">
        <f>IF(OR(tblPiNHistorical[[#This Row],[Mine Action Old]]="", tblPiNHistorical[[#This Row],[Mine Action Old]]=0, tblPiNHistorical[[#This Row],[Mine Action New]]="", tblPiNHistorical[[#This Row],[Mine Action New]]=0), "", tblPiNHistorical[[#This Row],[Mine Action New]]-tblPiNHistorical[[#This Row],[Mine Action Old]])</f>
        <v/>
      </c>
      <c r="AO385" s="136">
        <f>IF(OR(tblPiNHistorical[[#This Row],[Shelter NFI Old]]="", tblPiNHistorical[[#This Row],[Shelter NFI Old]]=0, tblPiNHistorical[[#This Row],[Shelter NFI New]]="", tblPiNHistorical[[#This Row],[Shelter NFI New]]=0), "", tblPiNHistorical[[#This Row],[Shelter NFI New]]-tblPiNHistorical[[#This Row],[Shelter NFI Old]])</f>
        <v>5904</v>
      </c>
      <c r="AP385" s="138" t="str">
        <f>IF(OR(tblPiNHistorical[[#This Row],[WASH Old]]="", tblPiNHistorical[[#This Row],[WASH Old]]=0, tblPiNHistorical[[#This Row],[WASH New]]="", tblPiNHistorical[[#This Row],[WASH New]]=0), "", tblPiNHistorical[[#This Row],[WASH New]]-tblPiNHistorical[[#This Row],[WASH Old]])</f>
        <v/>
      </c>
      <c r="AQ385" s="139" t="str">
        <f>IFERROR(ROUND((tblPiNHistorical[[#This Row],[Site Management - New]] - tblPiNHistorical[[#This Row],[Site Management - Old]])/tblPiNHistorical[[#This Row],[Site Management - Old]], 1), "")</f>
        <v/>
      </c>
      <c r="AR385" s="140" t="str">
        <f>IFERROR(ROUND((tblPiNHistorical[[#This Row],[Education New]]-tblPiNHistorical[[#This Row],[Education Old]])/tblPiNHistorical[[#This Row],[Education Old]], 1), "")</f>
        <v/>
      </c>
      <c r="AS385" s="141">
        <f>IFERROR(ROUND((tblPiNHistorical[[#This Row],[Food Security and Livlihoods New]]-tblPiNHistorical[[#This Row],[Food Security and Livlihoods Old]])/tblPiNHistorical[[#This Row],[Food Security and Livlihoods Old]], 1), "")</f>
        <v>-1</v>
      </c>
      <c r="AT385" s="142">
        <f>IFERROR(ROUND((tblPiNHistorical[[#This Row],[Health New]]-tblPiNHistorical[[#This Row],[Health Old]])/tblPiNHistorical[[#This Row],[Health Old]], 1), "")</f>
        <v>-1</v>
      </c>
      <c r="AU385" s="140">
        <f>IFERROR(ROUND((tblPiNHistorical[[#This Row],[Nutrition New]]-tblPiNHistorical[[#This Row],[Nutrition Old]])/tblPiNHistorical[[#This Row],[Nutrition Old]], 1), "")</f>
        <v>-1</v>
      </c>
      <c r="AV385" s="140">
        <f>IFERROR(ROUND((tblPiNHistorical[[#This Row],[Protection New]]-tblPiNHistorical[[#This Row],[Protection Old]])/tblPiNHistorical[[#This Row],[Protection Old]], 1), "")</f>
        <v>-1</v>
      </c>
      <c r="AW385" s="84">
        <f>IFERROR(ROUND((tblPiNHistorical[[#This Row],[CP New]]-tblPiNHistorical[[#This Row],[CP Old ]])/tblPiNHistorical[[#This Row],[CP Old ]], 1), "")</f>
        <v>-1</v>
      </c>
      <c r="AX385" s="84">
        <f>IFERROR(ROUND((tblPiNHistorical[[#This Row],[GBV New]]-tblPiNHistorical[[#This Row],[GBV Old]])/tblPiNHistorical[[#This Row],[GBV Old]], 1), "")</f>
        <v>-1</v>
      </c>
      <c r="AY385" s="84" t="str">
        <f>IFERROR(ROUND((tblPiNHistorical[[#This Row],[Mine Action New]]-tblPiNHistorical[[#This Row],[Mine Action Old]])/tblPiNHistorical[[#This Row],[Mine Action Old]], 1), "")</f>
        <v/>
      </c>
      <c r="AZ385" s="140">
        <f>IFERROR(ROUND((tblPiNHistorical[[#This Row],[Shelter NFI New]]-tblPiNHistorical[[#This Row],[Shelter NFI Old]])/tblPiNHistorical[[#This Row],[Shelter NFI Old]], 1), "")</f>
        <v>0.7</v>
      </c>
      <c r="BA385" s="31">
        <f>IFERROR(ROUND((tblPiNHistorical[[#This Row],[WASH New]]-tblPiNHistorical[[#This Row],[WASH Old]])/tblPiNHistorical[[#This Row],[WASH Old]], 1), "")</f>
        <v>-1</v>
      </c>
    </row>
    <row r="386" spans="1:53" ht="38.25" x14ac:dyDescent="0.25">
      <c r="A386"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Host CommunitySD15035</v>
      </c>
      <c r="B386" s="134" t="s">
        <v>147</v>
      </c>
      <c r="C386" s="124" t="s">
        <v>132</v>
      </c>
      <c r="D386" s="124" t="s">
        <v>506</v>
      </c>
      <c r="E386" s="59" t="s">
        <v>507</v>
      </c>
      <c r="F386" s="54"/>
      <c r="G386" s="29"/>
      <c r="H386" s="53">
        <v>72373</v>
      </c>
      <c r="I386" s="53" t="s">
        <v>87</v>
      </c>
      <c r="J386" s="34">
        <v>0</v>
      </c>
      <c r="K386" s="116">
        <v>28059.0121</v>
      </c>
      <c r="L386" s="114">
        <v>72373</v>
      </c>
      <c r="M386" s="114">
        <v>72373</v>
      </c>
      <c r="N386" s="114">
        <v>3625</v>
      </c>
      <c r="O386" s="114">
        <v>22917</v>
      </c>
      <c r="P386" s="114">
        <v>7961</v>
      </c>
      <c r="Q386" s="114">
        <v>22917</v>
      </c>
      <c r="R386" s="114">
        <v>0</v>
      </c>
      <c r="S386" s="114">
        <v>21712</v>
      </c>
      <c r="T386" s="196">
        <v>59845.233699999997</v>
      </c>
      <c r="U386" s="52">
        <f>IFERROR(INDEX(tblPiNAnalysis[[Site Management ]], MATCH(tblPiNHistorical[[#This Row],[ID]], tblPiNAnalysis[ID], 0)), "")</f>
        <v>0</v>
      </c>
      <c r="V386" s="52">
        <f>IFERROR(INDEX(tblPiNAnalysis[Education], MATCH(tblPiNHistorical[[#This Row],[ID]], tblPiNAnalysis[ID], 0)), "")</f>
        <v>0</v>
      </c>
      <c r="W386" s="28">
        <f>IFERROR(INDEX(tblPiNAnalysis[Food Security and Livlihoods], MATCH(tblPiNHistorical[[#This Row],[ID]], tblPiNAnalysis[ID], 0)), "")</f>
        <v>0</v>
      </c>
      <c r="X386" s="28">
        <f>IFERROR(INDEX(tblPiNAnalysis[[Health ]], MATCH(tblPiNHistorical[[#This Row],[ID]], tblPiNAnalysis[ID], 0)), "")</f>
        <v>0</v>
      </c>
      <c r="Y386" s="28">
        <f>IFERROR(INDEX(tblPiNAnalysis[Nutrition], MATCH(tblPiNHistorical[[#This Row],[ID]], tblPiNAnalysis[ID], 0)), "")</f>
        <v>0</v>
      </c>
      <c r="Z386" s="28">
        <f>IFERROR(INDEX(tblPiNAnalysis[Protection], MATCH(tblPiNHistorical[[#This Row],[ID]], tblPiNAnalysis[ID], 0)), "")</f>
        <v>0</v>
      </c>
      <c r="AA386" s="28">
        <f>IFERROR(INDEX(tblPiNAnalysis[CP], MATCH(tblPiNHistorical[[#This Row],[ID]], tblPiNAnalysis[ID], 0)), "")</f>
        <v>0</v>
      </c>
      <c r="AB386" s="83">
        <f>IFERROR(INDEX(tblPiNAnalysis[GBV], MATCH(tblPiNHistorical[[#This Row],[ID]], tblPiNAnalysis[ID], 0)), "")</f>
        <v>0</v>
      </c>
      <c r="AC386" s="28">
        <f>IFERROR(INDEX(tblPiNAnalysis[Mine Action], MATCH(tblPiNHistorical[[#This Row],[ID]], tblPiNAnalysis[ID], 0)), "")</f>
        <v>0</v>
      </c>
      <c r="AD386" s="83">
        <f>IFERROR(INDEX(tblPiNAnalysis[[Shelter NFI ]], MATCH(tblPiNHistorical[[#This Row],[ID]], tblPiNAnalysis[ID], 0)), "")</f>
        <v>15353</v>
      </c>
      <c r="AE386" s="28">
        <f>IFERROR(INDEX(tblPiNAnalysis[WASH], MATCH(tblPiNHistorical[[#This Row],[ID]], tblPiNAnalysis[ID], 0)), "")</f>
        <v>0</v>
      </c>
      <c r="AF386"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386" s="136" t="str">
        <f>IF(OR(tblPiNHistorical[[#This Row],[Education Old]]="", tblPiNHistorical[[#This Row],[Education Old]]=0, tblPiNHistorical[[#This Row],[Education New]]="", tblPiNHistorical[[#This Row],[Education New]]=0), "", tblPiNHistorical[[#This Row],[Education New]]-tblPiNHistorical[[#This Row],[Education Old]])</f>
        <v/>
      </c>
      <c r="AH386"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386" s="137" t="str">
        <f>IF(OR(tblPiNHistorical[[#This Row],[Health Old]]="", tblPiNHistorical[[#This Row],[Health Old]]=0, tblPiNHistorical[[#This Row],[Health New]]="", tblPiNHistorical[[#This Row],[Health New]]=0), "", tblPiNHistorical[[#This Row],[Health New]]-tblPiNHistorical[[#This Row],[Health Old]])</f>
        <v/>
      </c>
      <c r="AJ386" s="136" t="str">
        <f>IF(OR(tblPiNHistorical[[#This Row],[Nutrition Old]]="", tblPiNHistorical[[#This Row],[Nutrition Old]]=0, tblPiNHistorical[[#This Row],[Nutrition New]]="", tblPiNHistorical[[#This Row],[Nutrition New]]=0), "", tblPiNHistorical[[#This Row],[Nutrition New]]-tblPiNHistorical[[#This Row],[Nutrition Old]])</f>
        <v/>
      </c>
      <c r="AK386" s="136" t="str">
        <f>IF(OR(tblPiNHistorical[[#This Row],[Protection Old]]="", tblPiNHistorical[[#This Row],[Protection Old]]=0, tblPiNHistorical[[#This Row],[Protection New]]="", tblPiNHistorical[[#This Row],[Protection New]]=0), "", tblPiNHistorical[[#This Row],[Protection New]]-tblPiNHistorical[[#This Row],[Protection Old]])</f>
        <v/>
      </c>
      <c r="AL386" s="136" t="str">
        <f>IF(OR(tblPiNHistorical[[#This Row],[CP Old ]]="", tblPiNHistorical[[#This Row],[CP Old ]]=0, tblPiNHistorical[[#This Row],[CP New]]="", tblPiNHistorical[[#This Row],[CP New]]=0), "", tblPiNHistorical[[#This Row],[CP New]]-tblPiNHistorical[[#This Row],[CP Old ]])</f>
        <v/>
      </c>
      <c r="AM386" s="83" t="str">
        <f>IF(OR(tblPiNHistorical[[#This Row],[GBV Old]]="", tblPiNHistorical[[#This Row],[GBV Old]]=0, tblPiNHistorical[[#This Row],[GBV New]]="", tblPiNHistorical[[#This Row],[GBV New]]=0), "", tblPiNHistorical[[#This Row],[GBV New]]-tblPiNHistorical[[#This Row],[GBV Old]])</f>
        <v/>
      </c>
      <c r="AN386" s="83" t="str">
        <f>IF(OR(tblPiNHistorical[[#This Row],[Mine Action Old]]="", tblPiNHistorical[[#This Row],[Mine Action Old]]=0, tblPiNHistorical[[#This Row],[Mine Action New]]="", tblPiNHistorical[[#This Row],[Mine Action New]]=0), "", tblPiNHistorical[[#This Row],[Mine Action New]]-tblPiNHistorical[[#This Row],[Mine Action Old]])</f>
        <v/>
      </c>
      <c r="AO386" s="136">
        <f>IF(OR(tblPiNHistorical[[#This Row],[Shelter NFI Old]]="", tblPiNHistorical[[#This Row],[Shelter NFI Old]]=0, tblPiNHistorical[[#This Row],[Shelter NFI New]]="", tblPiNHistorical[[#This Row],[Shelter NFI New]]=0), "", tblPiNHistorical[[#This Row],[Shelter NFI New]]-tblPiNHistorical[[#This Row],[Shelter NFI Old]])</f>
        <v>-6359</v>
      </c>
      <c r="AP386" s="138" t="str">
        <f>IF(OR(tblPiNHistorical[[#This Row],[WASH Old]]="", tblPiNHistorical[[#This Row],[WASH Old]]=0, tblPiNHistorical[[#This Row],[WASH New]]="", tblPiNHistorical[[#This Row],[WASH New]]=0), "", tblPiNHistorical[[#This Row],[WASH New]]-tblPiNHistorical[[#This Row],[WASH Old]])</f>
        <v/>
      </c>
      <c r="AQ386" s="139" t="str">
        <f>IFERROR(ROUND((tblPiNHistorical[[#This Row],[Site Management - New]] - tblPiNHistorical[[#This Row],[Site Management - Old]])/tblPiNHistorical[[#This Row],[Site Management - Old]], 1), "")</f>
        <v/>
      </c>
      <c r="AR386" s="140">
        <f>IFERROR(ROUND((tblPiNHistorical[[#This Row],[Education New]]-tblPiNHistorical[[#This Row],[Education Old]])/tblPiNHistorical[[#This Row],[Education Old]], 1), "")</f>
        <v>-1</v>
      </c>
      <c r="AS386" s="141">
        <f>IFERROR(ROUND((tblPiNHistorical[[#This Row],[Food Security and Livlihoods New]]-tblPiNHistorical[[#This Row],[Food Security and Livlihoods Old]])/tblPiNHistorical[[#This Row],[Food Security and Livlihoods Old]], 1), "")</f>
        <v>-1</v>
      </c>
      <c r="AT386" s="142">
        <f>IFERROR(ROUND((tblPiNHistorical[[#This Row],[Health New]]-tblPiNHistorical[[#This Row],[Health Old]])/tblPiNHistorical[[#This Row],[Health Old]], 1), "")</f>
        <v>-1</v>
      </c>
      <c r="AU386" s="140">
        <f>IFERROR(ROUND((tblPiNHistorical[[#This Row],[Nutrition New]]-tblPiNHistorical[[#This Row],[Nutrition Old]])/tblPiNHistorical[[#This Row],[Nutrition Old]], 1), "")</f>
        <v>-1</v>
      </c>
      <c r="AV386" s="140">
        <f>IFERROR(ROUND((tblPiNHistorical[[#This Row],[Protection New]]-tblPiNHistorical[[#This Row],[Protection Old]])/tblPiNHistorical[[#This Row],[Protection Old]], 1), "")</f>
        <v>-1</v>
      </c>
      <c r="AW386" s="84">
        <f>IFERROR(ROUND((tblPiNHistorical[[#This Row],[CP New]]-tblPiNHistorical[[#This Row],[CP Old ]])/tblPiNHistorical[[#This Row],[CP Old ]], 1), "")</f>
        <v>-1</v>
      </c>
      <c r="AX386" s="84">
        <f>IFERROR(ROUND((tblPiNHistorical[[#This Row],[GBV New]]-tblPiNHistorical[[#This Row],[GBV Old]])/tblPiNHistorical[[#This Row],[GBV Old]], 1), "")</f>
        <v>-1</v>
      </c>
      <c r="AY386" s="84" t="str">
        <f>IFERROR(ROUND((tblPiNHistorical[[#This Row],[Mine Action New]]-tblPiNHistorical[[#This Row],[Mine Action Old]])/tblPiNHistorical[[#This Row],[Mine Action Old]], 1), "")</f>
        <v/>
      </c>
      <c r="AZ386" s="140">
        <f>IFERROR(ROUND((tblPiNHistorical[[#This Row],[Shelter NFI New]]-tblPiNHistorical[[#This Row],[Shelter NFI Old]])/tblPiNHistorical[[#This Row],[Shelter NFI Old]], 1), "")</f>
        <v>-0.3</v>
      </c>
      <c r="BA386" s="31">
        <f>IFERROR(ROUND((tblPiNHistorical[[#This Row],[WASH New]]-tblPiNHistorical[[#This Row],[WASH Old]])/tblPiNHistorical[[#This Row],[WASH Old]], 1), "")</f>
        <v>-1</v>
      </c>
    </row>
    <row r="387" spans="1:53" ht="38.25" x14ac:dyDescent="0.25">
      <c r="A387"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Host CommunitySD15036</v>
      </c>
      <c r="B387" s="134" t="s">
        <v>147</v>
      </c>
      <c r="C387" s="124" t="s">
        <v>132</v>
      </c>
      <c r="D387" s="124" t="s">
        <v>508</v>
      </c>
      <c r="E387" s="59" t="s">
        <v>509</v>
      </c>
      <c r="F387" s="54"/>
      <c r="G387" s="29"/>
      <c r="H387" s="53">
        <v>29708</v>
      </c>
      <c r="I387" s="53" t="s">
        <v>87</v>
      </c>
      <c r="J387" s="34">
        <v>0</v>
      </c>
      <c r="K387" s="116">
        <v>0</v>
      </c>
      <c r="L387" s="114">
        <v>29708</v>
      </c>
      <c r="M387" s="114">
        <v>29708</v>
      </c>
      <c r="N387" s="114">
        <v>2720</v>
      </c>
      <c r="O387" s="114">
        <v>9406</v>
      </c>
      <c r="P387" s="114">
        <v>3268</v>
      </c>
      <c r="Q387" s="114">
        <v>9406</v>
      </c>
      <c r="R387" s="114">
        <v>0</v>
      </c>
      <c r="S387" s="114">
        <v>5942</v>
      </c>
      <c r="T387" s="196">
        <v>19895.4476</v>
      </c>
      <c r="U387" s="52">
        <f>IFERROR(INDEX(tblPiNAnalysis[[Site Management ]], MATCH(tblPiNHistorical[[#This Row],[ID]], tblPiNAnalysis[ID], 0)), "")</f>
        <v>0</v>
      </c>
      <c r="V387" s="52">
        <f>IFERROR(INDEX(tblPiNAnalysis[Education], MATCH(tblPiNHistorical[[#This Row],[ID]], tblPiNAnalysis[ID], 0)), "")</f>
        <v>0</v>
      </c>
      <c r="W387" s="28">
        <f>IFERROR(INDEX(tblPiNAnalysis[Food Security and Livlihoods], MATCH(tblPiNHistorical[[#This Row],[ID]], tblPiNAnalysis[ID], 0)), "")</f>
        <v>0</v>
      </c>
      <c r="X387" s="28">
        <f>IFERROR(INDEX(tblPiNAnalysis[[Health ]], MATCH(tblPiNHistorical[[#This Row],[ID]], tblPiNAnalysis[ID], 0)), "")</f>
        <v>0</v>
      </c>
      <c r="Y387" s="28">
        <f>IFERROR(INDEX(tblPiNAnalysis[Nutrition], MATCH(tblPiNHistorical[[#This Row],[ID]], tblPiNAnalysis[ID], 0)), "")</f>
        <v>0</v>
      </c>
      <c r="Z387" s="28">
        <f>IFERROR(INDEX(tblPiNAnalysis[Protection], MATCH(tblPiNHistorical[[#This Row],[ID]], tblPiNAnalysis[ID], 0)), "")</f>
        <v>0</v>
      </c>
      <c r="AA387" s="28">
        <f>IFERROR(INDEX(tblPiNAnalysis[CP], MATCH(tblPiNHistorical[[#This Row],[ID]], tblPiNAnalysis[ID], 0)), "")</f>
        <v>0</v>
      </c>
      <c r="AB387" s="83">
        <f>IFERROR(INDEX(tblPiNAnalysis[GBV], MATCH(tblPiNHistorical[[#This Row],[ID]], tblPiNAnalysis[ID], 0)), "")</f>
        <v>0</v>
      </c>
      <c r="AC387" s="28">
        <f>IFERROR(INDEX(tblPiNAnalysis[Mine Action], MATCH(tblPiNHistorical[[#This Row],[ID]], tblPiNAnalysis[ID], 0)), "")</f>
        <v>0</v>
      </c>
      <c r="AD387" s="83">
        <f>IFERROR(INDEX(tblPiNAnalysis[[Shelter NFI ]], MATCH(tblPiNHistorical[[#This Row],[ID]], tblPiNAnalysis[ID], 0)), "")</f>
        <v>36662</v>
      </c>
      <c r="AE387" s="28">
        <f>IFERROR(INDEX(tblPiNAnalysis[WASH], MATCH(tblPiNHistorical[[#This Row],[ID]], tblPiNAnalysis[ID], 0)), "")</f>
        <v>0</v>
      </c>
      <c r="AF387"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387" s="136" t="str">
        <f>IF(OR(tblPiNHistorical[[#This Row],[Education Old]]="", tblPiNHistorical[[#This Row],[Education Old]]=0, tblPiNHistorical[[#This Row],[Education New]]="", tblPiNHistorical[[#This Row],[Education New]]=0), "", tblPiNHistorical[[#This Row],[Education New]]-tblPiNHistorical[[#This Row],[Education Old]])</f>
        <v/>
      </c>
      <c r="AH387"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387" s="137" t="str">
        <f>IF(OR(tblPiNHistorical[[#This Row],[Health Old]]="", tblPiNHistorical[[#This Row],[Health Old]]=0, tblPiNHistorical[[#This Row],[Health New]]="", tblPiNHistorical[[#This Row],[Health New]]=0), "", tblPiNHistorical[[#This Row],[Health New]]-tblPiNHistorical[[#This Row],[Health Old]])</f>
        <v/>
      </c>
      <c r="AJ387" s="136" t="str">
        <f>IF(OR(tblPiNHistorical[[#This Row],[Nutrition Old]]="", tblPiNHistorical[[#This Row],[Nutrition Old]]=0, tblPiNHistorical[[#This Row],[Nutrition New]]="", tblPiNHistorical[[#This Row],[Nutrition New]]=0), "", tblPiNHistorical[[#This Row],[Nutrition New]]-tblPiNHistorical[[#This Row],[Nutrition Old]])</f>
        <v/>
      </c>
      <c r="AK387" s="136" t="str">
        <f>IF(OR(tblPiNHistorical[[#This Row],[Protection Old]]="", tblPiNHistorical[[#This Row],[Protection Old]]=0, tblPiNHistorical[[#This Row],[Protection New]]="", tblPiNHistorical[[#This Row],[Protection New]]=0), "", tblPiNHistorical[[#This Row],[Protection New]]-tblPiNHistorical[[#This Row],[Protection Old]])</f>
        <v/>
      </c>
      <c r="AL387" s="136" t="str">
        <f>IF(OR(tblPiNHistorical[[#This Row],[CP Old ]]="", tblPiNHistorical[[#This Row],[CP Old ]]=0, tblPiNHistorical[[#This Row],[CP New]]="", tblPiNHistorical[[#This Row],[CP New]]=0), "", tblPiNHistorical[[#This Row],[CP New]]-tblPiNHistorical[[#This Row],[CP Old ]])</f>
        <v/>
      </c>
      <c r="AM387" s="83" t="str">
        <f>IF(OR(tblPiNHistorical[[#This Row],[GBV Old]]="", tblPiNHistorical[[#This Row],[GBV Old]]=0, tblPiNHistorical[[#This Row],[GBV New]]="", tblPiNHistorical[[#This Row],[GBV New]]=0), "", tblPiNHistorical[[#This Row],[GBV New]]-tblPiNHistorical[[#This Row],[GBV Old]])</f>
        <v/>
      </c>
      <c r="AN387" s="83" t="str">
        <f>IF(OR(tblPiNHistorical[[#This Row],[Mine Action Old]]="", tblPiNHistorical[[#This Row],[Mine Action Old]]=0, tblPiNHistorical[[#This Row],[Mine Action New]]="", tblPiNHistorical[[#This Row],[Mine Action New]]=0), "", tblPiNHistorical[[#This Row],[Mine Action New]]-tblPiNHistorical[[#This Row],[Mine Action Old]])</f>
        <v/>
      </c>
      <c r="AO387" s="136">
        <f>IF(OR(tblPiNHistorical[[#This Row],[Shelter NFI Old]]="", tblPiNHistorical[[#This Row],[Shelter NFI Old]]=0, tblPiNHistorical[[#This Row],[Shelter NFI New]]="", tblPiNHistorical[[#This Row],[Shelter NFI New]]=0), "", tblPiNHistorical[[#This Row],[Shelter NFI New]]-tblPiNHistorical[[#This Row],[Shelter NFI Old]])</f>
        <v>30720</v>
      </c>
      <c r="AP387" s="138" t="str">
        <f>IF(OR(tblPiNHistorical[[#This Row],[WASH Old]]="", tblPiNHistorical[[#This Row],[WASH Old]]=0, tblPiNHistorical[[#This Row],[WASH New]]="", tblPiNHistorical[[#This Row],[WASH New]]=0), "", tblPiNHistorical[[#This Row],[WASH New]]-tblPiNHistorical[[#This Row],[WASH Old]])</f>
        <v/>
      </c>
      <c r="AQ387" s="139" t="str">
        <f>IFERROR(ROUND((tblPiNHistorical[[#This Row],[Site Management - New]] - tblPiNHistorical[[#This Row],[Site Management - Old]])/tblPiNHistorical[[#This Row],[Site Management - Old]], 1), "")</f>
        <v/>
      </c>
      <c r="AR387" s="140" t="str">
        <f>IFERROR(ROUND((tblPiNHistorical[[#This Row],[Education New]]-tblPiNHistorical[[#This Row],[Education Old]])/tblPiNHistorical[[#This Row],[Education Old]], 1), "")</f>
        <v/>
      </c>
      <c r="AS387" s="141">
        <f>IFERROR(ROUND((tblPiNHistorical[[#This Row],[Food Security and Livlihoods New]]-tblPiNHistorical[[#This Row],[Food Security and Livlihoods Old]])/tblPiNHistorical[[#This Row],[Food Security and Livlihoods Old]], 1), "")</f>
        <v>-1</v>
      </c>
      <c r="AT387" s="142">
        <f>IFERROR(ROUND((tblPiNHistorical[[#This Row],[Health New]]-tblPiNHistorical[[#This Row],[Health Old]])/tblPiNHistorical[[#This Row],[Health Old]], 1), "")</f>
        <v>-1</v>
      </c>
      <c r="AU387" s="140">
        <f>IFERROR(ROUND((tblPiNHistorical[[#This Row],[Nutrition New]]-tblPiNHistorical[[#This Row],[Nutrition Old]])/tblPiNHistorical[[#This Row],[Nutrition Old]], 1), "")</f>
        <v>-1</v>
      </c>
      <c r="AV387" s="140">
        <f>IFERROR(ROUND((tblPiNHistorical[[#This Row],[Protection New]]-tblPiNHistorical[[#This Row],[Protection Old]])/tblPiNHistorical[[#This Row],[Protection Old]], 1), "")</f>
        <v>-1</v>
      </c>
      <c r="AW387" s="84">
        <f>IFERROR(ROUND((tblPiNHistorical[[#This Row],[CP New]]-tblPiNHistorical[[#This Row],[CP Old ]])/tblPiNHistorical[[#This Row],[CP Old ]], 1), "")</f>
        <v>-1</v>
      </c>
      <c r="AX387" s="84">
        <f>IFERROR(ROUND((tblPiNHistorical[[#This Row],[GBV New]]-tblPiNHistorical[[#This Row],[GBV Old]])/tblPiNHistorical[[#This Row],[GBV Old]], 1), "")</f>
        <v>-1</v>
      </c>
      <c r="AY387" s="84" t="str">
        <f>IFERROR(ROUND((tblPiNHistorical[[#This Row],[Mine Action New]]-tblPiNHistorical[[#This Row],[Mine Action Old]])/tblPiNHistorical[[#This Row],[Mine Action Old]], 1), "")</f>
        <v/>
      </c>
      <c r="AZ387" s="140">
        <f>IFERROR(ROUND((tblPiNHistorical[[#This Row],[Shelter NFI New]]-tblPiNHistorical[[#This Row],[Shelter NFI Old]])/tblPiNHistorical[[#This Row],[Shelter NFI Old]], 1), "")</f>
        <v>5.2</v>
      </c>
      <c r="BA387" s="31">
        <f>IFERROR(ROUND((tblPiNHistorical[[#This Row],[WASH New]]-tblPiNHistorical[[#This Row],[WASH Old]])/tblPiNHistorical[[#This Row],[WASH Old]], 1), "")</f>
        <v>-1</v>
      </c>
    </row>
    <row r="388" spans="1:53" ht="38.25" x14ac:dyDescent="0.25">
      <c r="A388"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Host CommunitySD15037</v>
      </c>
      <c r="B388" s="134" t="s">
        <v>147</v>
      </c>
      <c r="C388" s="124" t="s">
        <v>132</v>
      </c>
      <c r="D388" s="124" t="s">
        <v>510</v>
      </c>
      <c r="E388" s="59" t="s">
        <v>511</v>
      </c>
      <c r="F388" s="54"/>
      <c r="G388" s="29"/>
      <c r="H388" s="53">
        <v>9110</v>
      </c>
      <c r="I388" s="53" t="s">
        <v>87</v>
      </c>
      <c r="J388" s="34">
        <v>0</v>
      </c>
      <c r="K388" s="116">
        <v>0</v>
      </c>
      <c r="L388" s="114">
        <v>9110</v>
      </c>
      <c r="M388" s="114">
        <v>9110</v>
      </c>
      <c r="N388" s="114">
        <v>816</v>
      </c>
      <c r="O388" s="114">
        <v>2404</v>
      </c>
      <c r="P388" s="114">
        <v>1002</v>
      </c>
      <c r="Q388" s="114">
        <v>2404</v>
      </c>
      <c r="R388" s="114">
        <v>0</v>
      </c>
      <c r="S388" s="114">
        <v>0</v>
      </c>
      <c r="T388" s="196">
        <v>4367.3339999999989</v>
      </c>
      <c r="U388" s="52">
        <f>IFERROR(INDEX(tblPiNAnalysis[[Site Management ]], MATCH(tblPiNHistorical[[#This Row],[ID]], tblPiNAnalysis[ID], 0)), "")</f>
        <v>0</v>
      </c>
      <c r="V388" s="52">
        <f>IFERROR(INDEX(tblPiNAnalysis[Education], MATCH(tblPiNHistorical[[#This Row],[ID]], tblPiNAnalysis[ID], 0)), "")</f>
        <v>0</v>
      </c>
      <c r="W388" s="28">
        <f>IFERROR(INDEX(tblPiNAnalysis[Food Security and Livlihoods], MATCH(tblPiNHistorical[[#This Row],[ID]], tblPiNAnalysis[ID], 0)), "")</f>
        <v>0</v>
      </c>
      <c r="X388" s="28">
        <f>IFERROR(INDEX(tblPiNAnalysis[[Health ]], MATCH(tblPiNHistorical[[#This Row],[ID]], tblPiNAnalysis[ID], 0)), "")</f>
        <v>0</v>
      </c>
      <c r="Y388" s="28">
        <f>IFERROR(INDEX(tblPiNAnalysis[Nutrition], MATCH(tblPiNHistorical[[#This Row],[ID]], tblPiNAnalysis[ID], 0)), "")</f>
        <v>0</v>
      </c>
      <c r="Z388" s="28">
        <f>IFERROR(INDEX(tblPiNAnalysis[Protection], MATCH(tblPiNHistorical[[#This Row],[ID]], tblPiNAnalysis[ID], 0)), "")</f>
        <v>0</v>
      </c>
      <c r="AA388" s="28">
        <f>IFERROR(INDEX(tblPiNAnalysis[CP], MATCH(tblPiNHistorical[[#This Row],[ID]], tblPiNAnalysis[ID], 0)), "")</f>
        <v>0</v>
      </c>
      <c r="AB388" s="83">
        <f>IFERROR(INDEX(tblPiNAnalysis[GBV], MATCH(tblPiNHistorical[[#This Row],[ID]], tblPiNAnalysis[ID], 0)), "")</f>
        <v>0</v>
      </c>
      <c r="AC388" s="28">
        <f>IFERROR(INDEX(tblPiNAnalysis[Mine Action], MATCH(tblPiNHistorical[[#This Row],[ID]], tblPiNAnalysis[ID], 0)), "")</f>
        <v>0</v>
      </c>
      <c r="AD388" s="83">
        <f>IFERROR(INDEX(tblPiNAnalysis[[Shelter NFI ]], MATCH(tblPiNHistorical[[#This Row],[ID]], tblPiNAnalysis[ID], 0)), "")</f>
        <v>34680</v>
      </c>
      <c r="AE388" s="28">
        <f>IFERROR(INDEX(tblPiNAnalysis[WASH], MATCH(tblPiNHistorical[[#This Row],[ID]], tblPiNAnalysis[ID], 0)), "")</f>
        <v>0</v>
      </c>
      <c r="AF388"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388" s="136" t="str">
        <f>IF(OR(tblPiNHistorical[[#This Row],[Education Old]]="", tblPiNHistorical[[#This Row],[Education Old]]=0, tblPiNHistorical[[#This Row],[Education New]]="", tblPiNHistorical[[#This Row],[Education New]]=0), "", tblPiNHistorical[[#This Row],[Education New]]-tblPiNHistorical[[#This Row],[Education Old]])</f>
        <v/>
      </c>
      <c r="AH388"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388" s="137" t="str">
        <f>IF(OR(tblPiNHistorical[[#This Row],[Health Old]]="", tblPiNHistorical[[#This Row],[Health Old]]=0, tblPiNHistorical[[#This Row],[Health New]]="", tblPiNHistorical[[#This Row],[Health New]]=0), "", tblPiNHistorical[[#This Row],[Health New]]-tblPiNHistorical[[#This Row],[Health Old]])</f>
        <v/>
      </c>
      <c r="AJ388" s="136" t="str">
        <f>IF(OR(tblPiNHistorical[[#This Row],[Nutrition Old]]="", tblPiNHistorical[[#This Row],[Nutrition Old]]=0, tblPiNHistorical[[#This Row],[Nutrition New]]="", tblPiNHistorical[[#This Row],[Nutrition New]]=0), "", tblPiNHistorical[[#This Row],[Nutrition New]]-tblPiNHistorical[[#This Row],[Nutrition Old]])</f>
        <v/>
      </c>
      <c r="AK388" s="136" t="str">
        <f>IF(OR(tblPiNHistorical[[#This Row],[Protection Old]]="", tblPiNHistorical[[#This Row],[Protection Old]]=0, tblPiNHistorical[[#This Row],[Protection New]]="", tblPiNHistorical[[#This Row],[Protection New]]=0), "", tblPiNHistorical[[#This Row],[Protection New]]-tblPiNHistorical[[#This Row],[Protection Old]])</f>
        <v/>
      </c>
      <c r="AL388" s="136" t="str">
        <f>IF(OR(tblPiNHistorical[[#This Row],[CP Old ]]="", tblPiNHistorical[[#This Row],[CP Old ]]=0, tblPiNHistorical[[#This Row],[CP New]]="", tblPiNHistorical[[#This Row],[CP New]]=0), "", tblPiNHistorical[[#This Row],[CP New]]-tblPiNHistorical[[#This Row],[CP Old ]])</f>
        <v/>
      </c>
      <c r="AM388" s="83" t="str">
        <f>IF(OR(tblPiNHistorical[[#This Row],[GBV Old]]="", tblPiNHistorical[[#This Row],[GBV Old]]=0, tblPiNHistorical[[#This Row],[GBV New]]="", tblPiNHistorical[[#This Row],[GBV New]]=0), "", tblPiNHistorical[[#This Row],[GBV New]]-tblPiNHistorical[[#This Row],[GBV Old]])</f>
        <v/>
      </c>
      <c r="AN388" s="83" t="str">
        <f>IF(OR(tblPiNHistorical[[#This Row],[Mine Action Old]]="", tblPiNHistorical[[#This Row],[Mine Action Old]]=0, tblPiNHistorical[[#This Row],[Mine Action New]]="", tblPiNHistorical[[#This Row],[Mine Action New]]=0), "", tblPiNHistorical[[#This Row],[Mine Action New]]-tblPiNHistorical[[#This Row],[Mine Action Old]])</f>
        <v/>
      </c>
      <c r="AO388" s="136" t="str">
        <f>IF(OR(tblPiNHistorical[[#This Row],[Shelter NFI Old]]="", tblPiNHistorical[[#This Row],[Shelter NFI Old]]=0, tblPiNHistorical[[#This Row],[Shelter NFI New]]="", tblPiNHistorical[[#This Row],[Shelter NFI New]]=0), "", tblPiNHistorical[[#This Row],[Shelter NFI New]]-tblPiNHistorical[[#This Row],[Shelter NFI Old]])</f>
        <v/>
      </c>
      <c r="AP388" s="138" t="str">
        <f>IF(OR(tblPiNHistorical[[#This Row],[WASH Old]]="", tblPiNHistorical[[#This Row],[WASH Old]]=0, tblPiNHistorical[[#This Row],[WASH New]]="", tblPiNHistorical[[#This Row],[WASH New]]=0), "", tblPiNHistorical[[#This Row],[WASH New]]-tblPiNHistorical[[#This Row],[WASH Old]])</f>
        <v/>
      </c>
      <c r="AQ388" s="139" t="str">
        <f>IFERROR(ROUND((tblPiNHistorical[[#This Row],[Site Management - New]] - tblPiNHistorical[[#This Row],[Site Management - Old]])/tblPiNHistorical[[#This Row],[Site Management - Old]], 1), "")</f>
        <v/>
      </c>
      <c r="AR388" s="140" t="str">
        <f>IFERROR(ROUND((tblPiNHistorical[[#This Row],[Education New]]-tblPiNHistorical[[#This Row],[Education Old]])/tblPiNHistorical[[#This Row],[Education Old]], 1), "")</f>
        <v/>
      </c>
      <c r="AS388" s="141">
        <f>IFERROR(ROUND((tblPiNHistorical[[#This Row],[Food Security and Livlihoods New]]-tblPiNHistorical[[#This Row],[Food Security and Livlihoods Old]])/tblPiNHistorical[[#This Row],[Food Security and Livlihoods Old]], 1), "")</f>
        <v>-1</v>
      </c>
      <c r="AT388" s="142">
        <f>IFERROR(ROUND((tblPiNHistorical[[#This Row],[Health New]]-tblPiNHistorical[[#This Row],[Health Old]])/tblPiNHistorical[[#This Row],[Health Old]], 1), "")</f>
        <v>-1</v>
      </c>
      <c r="AU388" s="140">
        <f>IFERROR(ROUND((tblPiNHistorical[[#This Row],[Nutrition New]]-tblPiNHistorical[[#This Row],[Nutrition Old]])/tblPiNHistorical[[#This Row],[Nutrition Old]], 1), "")</f>
        <v>-1</v>
      </c>
      <c r="AV388" s="140">
        <f>IFERROR(ROUND((tblPiNHistorical[[#This Row],[Protection New]]-tblPiNHistorical[[#This Row],[Protection Old]])/tblPiNHistorical[[#This Row],[Protection Old]], 1), "")</f>
        <v>-1</v>
      </c>
      <c r="AW388" s="84">
        <f>IFERROR(ROUND((tblPiNHistorical[[#This Row],[CP New]]-tblPiNHistorical[[#This Row],[CP Old ]])/tblPiNHistorical[[#This Row],[CP Old ]], 1), "")</f>
        <v>-1</v>
      </c>
      <c r="AX388" s="84">
        <f>IFERROR(ROUND((tblPiNHistorical[[#This Row],[GBV New]]-tblPiNHistorical[[#This Row],[GBV Old]])/tblPiNHistorical[[#This Row],[GBV Old]], 1), "")</f>
        <v>-1</v>
      </c>
      <c r="AY388" s="84" t="str">
        <f>IFERROR(ROUND((tblPiNHistorical[[#This Row],[Mine Action New]]-tblPiNHistorical[[#This Row],[Mine Action Old]])/tblPiNHistorical[[#This Row],[Mine Action Old]], 1), "")</f>
        <v/>
      </c>
      <c r="AZ388" s="140" t="str">
        <f>IFERROR(ROUND((tblPiNHistorical[[#This Row],[Shelter NFI New]]-tblPiNHistorical[[#This Row],[Shelter NFI Old]])/tblPiNHistorical[[#This Row],[Shelter NFI Old]], 1), "")</f>
        <v/>
      </c>
      <c r="BA388" s="31">
        <f>IFERROR(ROUND((tblPiNHistorical[[#This Row],[WASH New]]-tblPiNHistorical[[#This Row],[WASH Old]])/tblPiNHistorical[[#This Row],[WASH Old]], 1), "")</f>
        <v>-1</v>
      </c>
    </row>
    <row r="389" spans="1:53" ht="38.25" x14ac:dyDescent="0.25">
      <c r="A389"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Host CommunitySD15031</v>
      </c>
      <c r="B389" s="134" t="s">
        <v>147</v>
      </c>
      <c r="C389" s="124" t="s">
        <v>132</v>
      </c>
      <c r="D389" s="124" t="s">
        <v>498</v>
      </c>
      <c r="E389" s="59" t="s">
        <v>499</v>
      </c>
      <c r="F389" s="54"/>
      <c r="G389" s="29"/>
      <c r="H389" s="53">
        <v>22104</v>
      </c>
      <c r="I389" s="53" t="s">
        <v>87</v>
      </c>
      <c r="J389" s="34">
        <v>0</v>
      </c>
      <c r="K389" s="116">
        <v>0</v>
      </c>
      <c r="L389" s="114">
        <v>22104</v>
      </c>
      <c r="M389" s="114">
        <v>22104</v>
      </c>
      <c r="N389" s="114">
        <v>1431</v>
      </c>
      <c r="O389" s="114">
        <v>6999</v>
      </c>
      <c r="P389" s="114">
        <v>2431</v>
      </c>
      <c r="Q389" s="114">
        <v>6999</v>
      </c>
      <c r="R389" s="114">
        <v>0</v>
      </c>
      <c r="S389" s="114">
        <v>4421</v>
      </c>
      <c r="T389" s="196">
        <v>12285.403200000001</v>
      </c>
      <c r="U389" s="52">
        <f>IFERROR(INDEX(tblPiNAnalysis[[Site Management ]], MATCH(tblPiNHistorical[[#This Row],[ID]], tblPiNAnalysis[ID], 0)), "")</f>
        <v>0</v>
      </c>
      <c r="V389" s="52">
        <f>IFERROR(INDEX(tblPiNAnalysis[Education], MATCH(tblPiNHistorical[[#This Row],[ID]], tblPiNAnalysis[ID], 0)), "")</f>
        <v>0</v>
      </c>
      <c r="W389" s="28">
        <f>IFERROR(INDEX(tblPiNAnalysis[Food Security and Livlihoods], MATCH(tblPiNHistorical[[#This Row],[ID]], tblPiNAnalysis[ID], 0)), "")</f>
        <v>0</v>
      </c>
      <c r="X389" s="28">
        <f>IFERROR(INDEX(tblPiNAnalysis[[Health ]], MATCH(tblPiNHistorical[[#This Row],[ID]], tblPiNAnalysis[ID], 0)), "")</f>
        <v>0</v>
      </c>
      <c r="Y389" s="28">
        <f>IFERROR(INDEX(tblPiNAnalysis[Nutrition], MATCH(tblPiNHistorical[[#This Row],[ID]], tblPiNAnalysis[ID], 0)), "")</f>
        <v>0</v>
      </c>
      <c r="Z389" s="28">
        <f>IFERROR(INDEX(tblPiNAnalysis[Protection], MATCH(tblPiNHistorical[[#This Row],[ID]], tblPiNAnalysis[ID], 0)), "")</f>
        <v>0</v>
      </c>
      <c r="AA389" s="28">
        <f>IFERROR(INDEX(tblPiNAnalysis[CP], MATCH(tblPiNHistorical[[#This Row],[ID]], tblPiNAnalysis[ID], 0)), "")</f>
        <v>0</v>
      </c>
      <c r="AB389" s="83">
        <f>IFERROR(INDEX(tblPiNAnalysis[GBV], MATCH(tblPiNHistorical[[#This Row],[ID]], tblPiNAnalysis[ID], 0)), "")</f>
        <v>0</v>
      </c>
      <c r="AC389" s="28">
        <f>IFERROR(INDEX(tblPiNAnalysis[Mine Action], MATCH(tblPiNHistorical[[#This Row],[ID]], tblPiNAnalysis[ID], 0)), "")</f>
        <v>0</v>
      </c>
      <c r="AD389" s="83">
        <f>IFERROR(INDEX(tblPiNAnalysis[[Shelter NFI ]], MATCH(tblPiNHistorical[[#This Row],[ID]], tblPiNAnalysis[ID], 0)), "")</f>
        <v>5396</v>
      </c>
      <c r="AE389" s="28">
        <f>IFERROR(INDEX(tblPiNAnalysis[WASH], MATCH(tblPiNHistorical[[#This Row],[ID]], tblPiNAnalysis[ID], 0)), "")</f>
        <v>0</v>
      </c>
      <c r="AF389"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389" s="136" t="str">
        <f>IF(OR(tblPiNHistorical[[#This Row],[Education Old]]="", tblPiNHistorical[[#This Row],[Education Old]]=0, tblPiNHistorical[[#This Row],[Education New]]="", tblPiNHistorical[[#This Row],[Education New]]=0), "", tblPiNHistorical[[#This Row],[Education New]]-tblPiNHistorical[[#This Row],[Education Old]])</f>
        <v/>
      </c>
      <c r="AH389"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389" s="137" t="str">
        <f>IF(OR(tblPiNHistorical[[#This Row],[Health Old]]="", tblPiNHistorical[[#This Row],[Health Old]]=0, tblPiNHistorical[[#This Row],[Health New]]="", tblPiNHistorical[[#This Row],[Health New]]=0), "", tblPiNHistorical[[#This Row],[Health New]]-tblPiNHistorical[[#This Row],[Health Old]])</f>
        <v/>
      </c>
      <c r="AJ389" s="136" t="str">
        <f>IF(OR(tblPiNHistorical[[#This Row],[Nutrition Old]]="", tblPiNHistorical[[#This Row],[Nutrition Old]]=0, tblPiNHistorical[[#This Row],[Nutrition New]]="", tblPiNHistorical[[#This Row],[Nutrition New]]=0), "", tblPiNHistorical[[#This Row],[Nutrition New]]-tblPiNHistorical[[#This Row],[Nutrition Old]])</f>
        <v/>
      </c>
      <c r="AK389" s="136" t="str">
        <f>IF(OR(tblPiNHistorical[[#This Row],[Protection Old]]="", tblPiNHistorical[[#This Row],[Protection Old]]=0, tblPiNHistorical[[#This Row],[Protection New]]="", tblPiNHistorical[[#This Row],[Protection New]]=0), "", tblPiNHistorical[[#This Row],[Protection New]]-tblPiNHistorical[[#This Row],[Protection Old]])</f>
        <v/>
      </c>
      <c r="AL389" s="136" t="str">
        <f>IF(OR(tblPiNHistorical[[#This Row],[CP Old ]]="", tblPiNHistorical[[#This Row],[CP Old ]]=0, tblPiNHistorical[[#This Row],[CP New]]="", tblPiNHistorical[[#This Row],[CP New]]=0), "", tblPiNHistorical[[#This Row],[CP New]]-tblPiNHistorical[[#This Row],[CP Old ]])</f>
        <v/>
      </c>
      <c r="AM389" s="83" t="str">
        <f>IF(OR(tblPiNHistorical[[#This Row],[GBV Old]]="", tblPiNHistorical[[#This Row],[GBV Old]]=0, tblPiNHistorical[[#This Row],[GBV New]]="", tblPiNHistorical[[#This Row],[GBV New]]=0), "", tblPiNHistorical[[#This Row],[GBV New]]-tblPiNHistorical[[#This Row],[GBV Old]])</f>
        <v/>
      </c>
      <c r="AN389" s="83" t="str">
        <f>IF(OR(tblPiNHistorical[[#This Row],[Mine Action Old]]="", tblPiNHistorical[[#This Row],[Mine Action Old]]=0, tblPiNHistorical[[#This Row],[Mine Action New]]="", tblPiNHistorical[[#This Row],[Mine Action New]]=0), "", tblPiNHistorical[[#This Row],[Mine Action New]]-tblPiNHistorical[[#This Row],[Mine Action Old]])</f>
        <v/>
      </c>
      <c r="AO389" s="136">
        <f>IF(OR(tblPiNHistorical[[#This Row],[Shelter NFI Old]]="", tblPiNHistorical[[#This Row],[Shelter NFI Old]]=0, tblPiNHistorical[[#This Row],[Shelter NFI New]]="", tblPiNHistorical[[#This Row],[Shelter NFI New]]=0), "", tblPiNHistorical[[#This Row],[Shelter NFI New]]-tblPiNHistorical[[#This Row],[Shelter NFI Old]])</f>
        <v>975</v>
      </c>
      <c r="AP389" s="138" t="str">
        <f>IF(OR(tblPiNHistorical[[#This Row],[WASH Old]]="", tblPiNHistorical[[#This Row],[WASH Old]]=0, tblPiNHistorical[[#This Row],[WASH New]]="", tblPiNHistorical[[#This Row],[WASH New]]=0), "", tblPiNHistorical[[#This Row],[WASH New]]-tblPiNHistorical[[#This Row],[WASH Old]])</f>
        <v/>
      </c>
      <c r="AQ389" s="139" t="str">
        <f>IFERROR(ROUND((tblPiNHistorical[[#This Row],[Site Management - New]] - tblPiNHistorical[[#This Row],[Site Management - Old]])/tblPiNHistorical[[#This Row],[Site Management - Old]], 1), "")</f>
        <v/>
      </c>
      <c r="AR389" s="140" t="str">
        <f>IFERROR(ROUND((tblPiNHistorical[[#This Row],[Education New]]-tblPiNHistorical[[#This Row],[Education Old]])/tblPiNHistorical[[#This Row],[Education Old]], 1), "")</f>
        <v/>
      </c>
      <c r="AS389" s="141">
        <f>IFERROR(ROUND((tblPiNHistorical[[#This Row],[Food Security and Livlihoods New]]-tblPiNHistorical[[#This Row],[Food Security and Livlihoods Old]])/tblPiNHistorical[[#This Row],[Food Security and Livlihoods Old]], 1), "")</f>
        <v>-1</v>
      </c>
      <c r="AT389" s="142">
        <f>IFERROR(ROUND((tblPiNHistorical[[#This Row],[Health New]]-tblPiNHistorical[[#This Row],[Health Old]])/tblPiNHistorical[[#This Row],[Health Old]], 1), "")</f>
        <v>-1</v>
      </c>
      <c r="AU389" s="140">
        <f>IFERROR(ROUND((tblPiNHistorical[[#This Row],[Nutrition New]]-tblPiNHistorical[[#This Row],[Nutrition Old]])/tblPiNHistorical[[#This Row],[Nutrition Old]], 1), "")</f>
        <v>-1</v>
      </c>
      <c r="AV389" s="140">
        <f>IFERROR(ROUND((tblPiNHistorical[[#This Row],[Protection New]]-tblPiNHistorical[[#This Row],[Protection Old]])/tblPiNHistorical[[#This Row],[Protection Old]], 1), "")</f>
        <v>-1</v>
      </c>
      <c r="AW389" s="84">
        <f>IFERROR(ROUND((tblPiNHistorical[[#This Row],[CP New]]-tblPiNHistorical[[#This Row],[CP Old ]])/tblPiNHistorical[[#This Row],[CP Old ]], 1), "")</f>
        <v>-1</v>
      </c>
      <c r="AX389" s="84">
        <f>IFERROR(ROUND((tblPiNHistorical[[#This Row],[GBV New]]-tblPiNHistorical[[#This Row],[GBV Old]])/tblPiNHistorical[[#This Row],[GBV Old]], 1), "")</f>
        <v>-1</v>
      </c>
      <c r="AY389" s="84" t="str">
        <f>IFERROR(ROUND((tblPiNHistorical[[#This Row],[Mine Action New]]-tblPiNHistorical[[#This Row],[Mine Action Old]])/tblPiNHistorical[[#This Row],[Mine Action Old]], 1), "")</f>
        <v/>
      </c>
      <c r="AZ389" s="140">
        <f>IFERROR(ROUND((tblPiNHistorical[[#This Row],[Shelter NFI New]]-tblPiNHistorical[[#This Row],[Shelter NFI Old]])/tblPiNHistorical[[#This Row],[Shelter NFI Old]], 1), "")</f>
        <v>0.2</v>
      </c>
      <c r="BA389" s="31">
        <f>IFERROR(ROUND((tblPiNHistorical[[#This Row],[WASH New]]-tblPiNHistorical[[#This Row],[WASH Old]])/tblPiNHistorical[[#This Row],[WASH Old]], 1), "")</f>
        <v>-1</v>
      </c>
    </row>
    <row r="390" spans="1:53" ht="38.25" x14ac:dyDescent="0.25">
      <c r="A390"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Host CommunitySD15030</v>
      </c>
      <c r="B390" s="134" t="s">
        <v>147</v>
      </c>
      <c r="C390" s="124" t="s">
        <v>132</v>
      </c>
      <c r="D390" s="124" t="s">
        <v>496</v>
      </c>
      <c r="E390" s="59" t="s">
        <v>497</v>
      </c>
      <c r="F390" s="54"/>
      <c r="G390" s="29"/>
      <c r="H390" s="53">
        <v>57832</v>
      </c>
      <c r="I390" s="53" t="s">
        <v>87</v>
      </c>
      <c r="J390" s="34">
        <v>0</v>
      </c>
      <c r="K390" s="116">
        <v>22421.466400000001</v>
      </c>
      <c r="L390" s="114">
        <v>40545</v>
      </c>
      <c r="M390" s="114">
        <v>57832</v>
      </c>
      <c r="N390" s="114">
        <v>3805</v>
      </c>
      <c r="O390" s="114">
        <v>18311</v>
      </c>
      <c r="P390" s="114">
        <v>6362</v>
      </c>
      <c r="Q390" s="114">
        <v>18311</v>
      </c>
      <c r="R390" s="114">
        <v>0</v>
      </c>
      <c r="S390" s="114">
        <v>11566</v>
      </c>
      <c r="T390" s="196">
        <v>23190.631999999998</v>
      </c>
      <c r="U390" s="52">
        <f>IFERROR(INDEX(tblPiNAnalysis[[Site Management ]], MATCH(tblPiNHistorical[[#This Row],[ID]], tblPiNAnalysis[ID], 0)), "")</f>
        <v>0</v>
      </c>
      <c r="V390" s="52">
        <f>IFERROR(INDEX(tblPiNAnalysis[Education], MATCH(tblPiNHistorical[[#This Row],[ID]], tblPiNAnalysis[ID], 0)), "")</f>
        <v>0</v>
      </c>
      <c r="W390" s="28">
        <f>IFERROR(INDEX(tblPiNAnalysis[Food Security and Livlihoods], MATCH(tblPiNHistorical[[#This Row],[ID]], tblPiNAnalysis[ID], 0)), "")</f>
        <v>0</v>
      </c>
      <c r="X390" s="28">
        <f>IFERROR(INDEX(tblPiNAnalysis[[Health ]], MATCH(tblPiNHistorical[[#This Row],[ID]], tblPiNAnalysis[ID], 0)), "")</f>
        <v>0</v>
      </c>
      <c r="Y390" s="28">
        <f>IFERROR(INDEX(tblPiNAnalysis[Nutrition], MATCH(tblPiNHistorical[[#This Row],[ID]], tblPiNAnalysis[ID], 0)), "")</f>
        <v>0</v>
      </c>
      <c r="Z390" s="28">
        <f>IFERROR(INDEX(tblPiNAnalysis[Protection], MATCH(tblPiNHistorical[[#This Row],[ID]], tblPiNAnalysis[ID], 0)), "")</f>
        <v>0</v>
      </c>
      <c r="AA390" s="28">
        <f>IFERROR(INDEX(tblPiNAnalysis[CP], MATCH(tblPiNHistorical[[#This Row],[ID]], tblPiNAnalysis[ID], 0)), "")</f>
        <v>0</v>
      </c>
      <c r="AB390" s="83">
        <f>IFERROR(INDEX(tblPiNAnalysis[GBV], MATCH(tblPiNHistorical[[#This Row],[ID]], tblPiNAnalysis[ID], 0)), "")</f>
        <v>0</v>
      </c>
      <c r="AC390" s="28">
        <f>IFERROR(INDEX(tblPiNAnalysis[Mine Action], MATCH(tblPiNHistorical[[#This Row],[ID]], tblPiNAnalysis[ID], 0)), "")</f>
        <v>0</v>
      </c>
      <c r="AD390" s="83">
        <f>IFERROR(INDEX(tblPiNAnalysis[[Shelter NFI ]], MATCH(tblPiNHistorical[[#This Row],[ID]], tblPiNAnalysis[ID], 0)), "")</f>
        <v>6084</v>
      </c>
      <c r="AE390" s="28">
        <f>IFERROR(INDEX(tblPiNAnalysis[WASH], MATCH(tblPiNHistorical[[#This Row],[ID]], tblPiNAnalysis[ID], 0)), "")</f>
        <v>0</v>
      </c>
      <c r="AF390"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390" s="136" t="str">
        <f>IF(OR(tblPiNHistorical[[#This Row],[Education Old]]="", tblPiNHistorical[[#This Row],[Education Old]]=0, tblPiNHistorical[[#This Row],[Education New]]="", tblPiNHistorical[[#This Row],[Education New]]=0), "", tblPiNHistorical[[#This Row],[Education New]]-tblPiNHistorical[[#This Row],[Education Old]])</f>
        <v/>
      </c>
      <c r="AH390"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390" s="137" t="str">
        <f>IF(OR(tblPiNHistorical[[#This Row],[Health Old]]="", tblPiNHistorical[[#This Row],[Health Old]]=0, tblPiNHistorical[[#This Row],[Health New]]="", tblPiNHistorical[[#This Row],[Health New]]=0), "", tblPiNHistorical[[#This Row],[Health New]]-tblPiNHistorical[[#This Row],[Health Old]])</f>
        <v/>
      </c>
      <c r="AJ390" s="136" t="str">
        <f>IF(OR(tblPiNHistorical[[#This Row],[Nutrition Old]]="", tblPiNHistorical[[#This Row],[Nutrition Old]]=0, tblPiNHistorical[[#This Row],[Nutrition New]]="", tblPiNHistorical[[#This Row],[Nutrition New]]=0), "", tblPiNHistorical[[#This Row],[Nutrition New]]-tblPiNHistorical[[#This Row],[Nutrition Old]])</f>
        <v/>
      </c>
      <c r="AK390" s="136" t="str">
        <f>IF(OR(tblPiNHistorical[[#This Row],[Protection Old]]="", tblPiNHistorical[[#This Row],[Protection Old]]=0, tblPiNHistorical[[#This Row],[Protection New]]="", tblPiNHistorical[[#This Row],[Protection New]]=0), "", tblPiNHistorical[[#This Row],[Protection New]]-tblPiNHistorical[[#This Row],[Protection Old]])</f>
        <v/>
      </c>
      <c r="AL390" s="136" t="str">
        <f>IF(OR(tblPiNHistorical[[#This Row],[CP Old ]]="", tblPiNHistorical[[#This Row],[CP Old ]]=0, tblPiNHistorical[[#This Row],[CP New]]="", tblPiNHistorical[[#This Row],[CP New]]=0), "", tblPiNHistorical[[#This Row],[CP New]]-tblPiNHistorical[[#This Row],[CP Old ]])</f>
        <v/>
      </c>
      <c r="AM390" s="83" t="str">
        <f>IF(OR(tblPiNHistorical[[#This Row],[GBV Old]]="", tblPiNHistorical[[#This Row],[GBV Old]]=0, tblPiNHistorical[[#This Row],[GBV New]]="", tblPiNHistorical[[#This Row],[GBV New]]=0), "", tblPiNHistorical[[#This Row],[GBV New]]-tblPiNHistorical[[#This Row],[GBV Old]])</f>
        <v/>
      </c>
      <c r="AN390" s="83" t="str">
        <f>IF(OR(tblPiNHistorical[[#This Row],[Mine Action Old]]="", tblPiNHistorical[[#This Row],[Mine Action Old]]=0, tblPiNHistorical[[#This Row],[Mine Action New]]="", tblPiNHistorical[[#This Row],[Mine Action New]]=0), "", tblPiNHistorical[[#This Row],[Mine Action New]]-tblPiNHistorical[[#This Row],[Mine Action Old]])</f>
        <v/>
      </c>
      <c r="AO390" s="136">
        <f>IF(OR(tblPiNHistorical[[#This Row],[Shelter NFI Old]]="", tblPiNHistorical[[#This Row],[Shelter NFI Old]]=0, tblPiNHistorical[[#This Row],[Shelter NFI New]]="", tblPiNHistorical[[#This Row],[Shelter NFI New]]=0), "", tblPiNHistorical[[#This Row],[Shelter NFI New]]-tblPiNHistorical[[#This Row],[Shelter NFI Old]])</f>
        <v>-5482</v>
      </c>
      <c r="AP390" s="138" t="str">
        <f>IF(OR(tblPiNHistorical[[#This Row],[WASH Old]]="", tblPiNHistorical[[#This Row],[WASH Old]]=0, tblPiNHistorical[[#This Row],[WASH New]]="", tblPiNHistorical[[#This Row],[WASH New]]=0), "", tblPiNHistorical[[#This Row],[WASH New]]-tblPiNHistorical[[#This Row],[WASH Old]])</f>
        <v/>
      </c>
      <c r="AQ390" s="139" t="str">
        <f>IFERROR(ROUND((tblPiNHistorical[[#This Row],[Site Management - New]] - tblPiNHistorical[[#This Row],[Site Management - Old]])/tblPiNHistorical[[#This Row],[Site Management - Old]], 1), "")</f>
        <v/>
      </c>
      <c r="AR390" s="140">
        <f>IFERROR(ROUND((tblPiNHistorical[[#This Row],[Education New]]-tblPiNHistorical[[#This Row],[Education Old]])/tblPiNHistorical[[#This Row],[Education Old]], 1), "")</f>
        <v>-1</v>
      </c>
      <c r="AS390" s="141">
        <f>IFERROR(ROUND((tblPiNHistorical[[#This Row],[Food Security and Livlihoods New]]-tblPiNHistorical[[#This Row],[Food Security and Livlihoods Old]])/tblPiNHistorical[[#This Row],[Food Security and Livlihoods Old]], 1), "")</f>
        <v>-1</v>
      </c>
      <c r="AT390" s="142">
        <f>IFERROR(ROUND((tblPiNHistorical[[#This Row],[Health New]]-tblPiNHistorical[[#This Row],[Health Old]])/tblPiNHistorical[[#This Row],[Health Old]], 1), "")</f>
        <v>-1</v>
      </c>
      <c r="AU390" s="140">
        <f>IFERROR(ROUND((tblPiNHistorical[[#This Row],[Nutrition New]]-tblPiNHistorical[[#This Row],[Nutrition Old]])/tblPiNHistorical[[#This Row],[Nutrition Old]], 1), "")</f>
        <v>-1</v>
      </c>
      <c r="AV390" s="140">
        <f>IFERROR(ROUND((tblPiNHistorical[[#This Row],[Protection New]]-tblPiNHistorical[[#This Row],[Protection Old]])/tblPiNHistorical[[#This Row],[Protection Old]], 1), "")</f>
        <v>-1</v>
      </c>
      <c r="AW390" s="84">
        <f>IFERROR(ROUND((tblPiNHistorical[[#This Row],[CP New]]-tblPiNHistorical[[#This Row],[CP Old ]])/tblPiNHistorical[[#This Row],[CP Old ]], 1), "")</f>
        <v>-1</v>
      </c>
      <c r="AX390" s="84">
        <f>IFERROR(ROUND((tblPiNHistorical[[#This Row],[GBV New]]-tblPiNHistorical[[#This Row],[GBV Old]])/tblPiNHistorical[[#This Row],[GBV Old]], 1), "")</f>
        <v>-1</v>
      </c>
      <c r="AY390" s="84" t="str">
        <f>IFERROR(ROUND((tblPiNHistorical[[#This Row],[Mine Action New]]-tblPiNHistorical[[#This Row],[Mine Action Old]])/tblPiNHistorical[[#This Row],[Mine Action Old]], 1), "")</f>
        <v/>
      </c>
      <c r="AZ390" s="140">
        <f>IFERROR(ROUND((tblPiNHistorical[[#This Row],[Shelter NFI New]]-tblPiNHistorical[[#This Row],[Shelter NFI Old]])/tblPiNHistorical[[#This Row],[Shelter NFI Old]], 1), "")</f>
        <v>-0.5</v>
      </c>
      <c r="BA390" s="31">
        <f>IFERROR(ROUND((tblPiNHistorical[[#This Row],[WASH New]]-tblPiNHistorical[[#This Row],[WASH Old]])/tblPiNHistorical[[#This Row],[WASH Old]], 1), "")</f>
        <v>-1</v>
      </c>
    </row>
    <row r="391" spans="1:53" ht="38.25" x14ac:dyDescent="0.25">
      <c r="A391"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Host CommunitySD15033</v>
      </c>
      <c r="B391" s="134" t="s">
        <v>147</v>
      </c>
      <c r="C391" s="124" t="s">
        <v>132</v>
      </c>
      <c r="D391" s="124" t="s">
        <v>502</v>
      </c>
      <c r="E391" s="59" t="s">
        <v>503</v>
      </c>
      <c r="F391" s="54"/>
      <c r="G391" s="29"/>
      <c r="H391" s="53">
        <v>14376</v>
      </c>
      <c r="I391" s="53" t="s">
        <v>87</v>
      </c>
      <c r="J391" s="34">
        <v>0</v>
      </c>
      <c r="K391" s="116">
        <v>0</v>
      </c>
      <c r="L391" s="114">
        <v>14376</v>
      </c>
      <c r="M391" s="114">
        <v>14376</v>
      </c>
      <c r="N391" s="114">
        <v>1026</v>
      </c>
      <c r="O391" s="114">
        <v>4552</v>
      </c>
      <c r="P391" s="114">
        <v>1581</v>
      </c>
      <c r="Q391" s="114">
        <v>4552</v>
      </c>
      <c r="R391" s="114">
        <v>0</v>
      </c>
      <c r="S391" s="114">
        <v>0</v>
      </c>
      <c r="T391" s="196">
        <v>6742.3439999999991</v>
      </c>
      <c r="U391" s="52">
        <f>IFERROR(INDEX(tblPiNAnalysis[[Site Management ]], MATCH(tblPiNHistorical[[#This Row],[ID]], tblPiNAnalysis[ID], 0)), "")</f>
        <v>0</v>
      </c>
      <c r="V391" s="52">
        <f>IFERROR(INDEX(tblPiNAnalysis[Education], MATCH(tblPiNHistorical[[#This Row],[ID]], tblPiNAnalysis[ID], 0)), "")</f>
        <v>0</v>
      </c>
      <c r="W391" s="28">
        <f>IFERROR(INDEX(tblPiNAnalysis[Food Security and Livlihoods], MATCH(tblPiNHistorical[[#This Row],[ID]], tblPiNAnalysis[ID], 0)), "")</f>
        <v>0</v>
      </c>
      <c r="X391" s="28">
        <f>IFERROR(INDEX(tblPiNAnalysis[[Health ]], MATCH(tblPiNHistorical[[#This Row],[ID]], tblPiNAnalysis[ID], 0)), "")</f>
        <v>0</v>
      </c>
      <c r="Y391" s="28">
        <f>IFERROR(INDEX(tblPiNAnalysis[Nutrition], MATCH(tblPiNHistorical[[#This Row],[ID]], tblPiNAnalysis[ID], 0)), "")</f>
        <v>0</v>
      </c>
      <c r="Z391" s="28">
        <f>IFERROR(INDEX(tblPiNAnalysis[Protection], MATCH(tblPiNHistorical[[#This Row],[ID]], tblPiNAnalysis[ID], 0)), "")</f>
        <v>0</v>
      </c>
      <c r="AA391" s="28">
        <f>IFERROR(INDEX(tblPiNAnalysis[CP], MATCH(tblPiNHistorical[[#This Row],[ID]], tblPiNAnalysis[ID], 0)), "")</f>
        <v>0</v>
      </c>
      <c r="AB391" s="83">
        <f>IFERROR(INDEX(tblPiNAnalysis[GBV], MATCH(tblPiNHistorical[[#This Row],[ID]], tblPiNAnalysis[ID], 0)), "")</f>
        <v>0</v>
      </c>
      <c r="AC391" s="28">
        <f>IFERROR(INDEX(tblPiNAnalysis[Mine Action], MATCH(tblPiNHistorical[[#This Row],[ID]], tblPiNAnalysis[ID], 0)), "")</f>
        <v>0</v>
      </c>
      <c r="AD391" s="83">
        <f>IFERROR(INDEX(tblPiNAnalysis[[Shelter NFI ]], MATCH(tblPiNHistorical[[#This Row],[ID]], tblPiNAnalysis[ID], 0)), "")</f>
        <v>7262</v>
      </c>
      <c r="AE391" s="28">
        <f>IFERROR(INDEX(tblPiNAnalysis[WASH], MATCH(tblPiNHistorical[[#This Row],[ID]], tblPiNAnalysis[ID], 0)), "")</f>
        <v>0</v>
      </c>
      <c r="AF391"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391" s="136" t="str">
        <f>IF(OR(tblPiNHistorical[[#This Row],[Education Old]]="", tblPiNHistorical[[#This Row],[Education Old]]=0, tblPiNHistorical[[#This Row],[Education New]]="", tblPiNHistorical[[#This Row],[Education New]]=0), "", tblPiNHistorical[[#This Row],[Education New]]-tblPiNHistorical[[#This Row],[Education Old]])</f>
        <v/>
      </c>
      <c r="AH391"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391" s="137" t="str">
        <f>IF(OR(tblPiNHistorical[[#This Row],[Health Old]]="", tblPiNHistorical[[#This Row],[Health Old]]=0, tblPiNHistorical[[#This Row],[Health New]]="", tblPiNHistorical[[#This Row],[Health New]]=0), "", tblPiNHistorical[[#This Row],[Health New]]-tblPiNHistorical[[#This Row],[Health Old]])</f>
        <v/>
      </c>
      <c r="AJ391" s="136" t="str">
        <f>IF(OR(tblPiNHistorical[[#This Row],[Nutrition Old]]="", tblPiNHistorical[[#This Row],[Nutrition Old]]=0, tblPiNHistorical[[#This Row],[Nutrition New]]="", tblPiNHistorical[[#This Row],[Nutrition New]]=0), "", tblPiNHistorical[[#This Row],[Nutrition New]]-tblPiNHistorical[[#This Row],[Nutrition Old]])</f>
        <v/>
      </c>
      <c r="AK391" s="136" t="str">
        <f>IF(OR(tblPiNHistorical[[#This Row],[Protection Old]]="", tblPiNHistorical[[#This Row],[Protection Old]]=0, tblPiNHistorical[[#This Row],[Protection New]]="", tblPiNHistorical[[#This Row],[Protection New]]=0), "", tblPiNHistorical[[#This Row],[Protection New]]-tblPiNHistorical[[#This Row],[Protection Old]])</f>
        <v/>
      </c>
      <c r="AL391" s="136" t="str">
        <f>IF(OR(tblPiNHistorical[[#This Row],[CP Old ]]="", tblPiNHistorical[[#This Row],[CP Old ]]=0, tblPiNHistorical[[#This Row],[CP New]]="", tblPiNHistorical[[#This Row],[CP New]]=0), "", tblPiNHistorical[[#This Row],[CP New]]-tblPiNHistorical[[#This Row],[CP Old ]])</f>
        <v/>
      </c>
      <c r="AM391" s="83" t="str">
        <f>IF(OR(tblPiNHistorical[[#This Row],[GBV Old]]="", tblPiNHistorical[[#This Row],[GBV Old]]=0, tblPiNHistorical[[#This Row],[GBV New]]="", tblPiNHistorical[[#This Row],[GBV New]]=0), "", tblPiNHistorical[[#This Row],[GBV New]]-tblPiNHistorical[[#This Row],[GBV Old]])</f>
        <v/>
      </c>
      <c r="AN391" s="83" t="str">
        <f>IF(OR(tblPiNHistorical[[#This Row],[Mine Action Old]]="", tblPiNHistorical[[#This Row],[Mine Action Old]]=0, tblPiNHistorical[[#This Row],[Mine Action New]]="", tblPiNHistorical[[#This Row],[Mine Action New]]=0), "", tblPiNHistorical[[#This Row],[Mine Action New]]-tblPiNHistorical[[#This Row],[Mine Action Old]])</f>
        <v/>
      </c>
      <c r="AO391" s="136" t="str">
        <f>IF(OR(tblPiNHistorical[[#This Row],[Shelter NFI Old]]="", tblPiNHistorical[[#This Row],[Shelter NFI Old]]=0, tblPiNHistorical[[#This Row],[Shelter NFI New]]="", tblPiNHistorical[[#This Row],[Shelter NFI New]]=0), "", tblPiNHistorical[[#This Row],[Shelter NFI New]]-tblPiNHistorical[[#This Row],[Shelter NFI Old]])</f>
        <v/>
      </c>
      <c r="AP391" s="138" t="str">
        <f>IF(OR(tblPiNHistorical[[#This Row],[WASH Old]]="", tblPiNHistorical[[#This Row],[WASH Old]]=0, tblPiNHistorical[[#This Row],[WASH New]]="", tblPiNHistorical[[#This Row],[WASH New]]=0), "", tblPiNHistorical[[#This Row],[WASH New]]-tblPiNHistorical[[#This Row],[WASH Old]])</f>
        <v/>
      </c>
      <c r="AQ391" s="139" t="str">
        <f>IFERROR(ROUND((tblPiNHistorical[[#This Row],[Site Management - New]] - tblPiNHistorical[[#This Row],[Site Management - Old]])/tblPiNHistorical[[#This Row],[Site Management - Old]], 1), "")</f>
        <v/>
      </c>
      <c r="AR391" s="140" t="str">
        <f>IFERROR(ROUND((tblPiNHistorical[[#This Row],[Education New]]-tblPiNHistorical[[#This Row],[Education Old]])/tblPiNHistorical[[#This Row],[Education Old]], 1), "")</f>
        <v/>
      </c>
      <c r="AS391" s="141">
        <f>IFERROR(ROUND((tblPiNHistorical[[#This Row],[Food Security and Livlihoods New]]-tblPiNHistorical[[#This Row],[Food Security and Livlihoods Old]])/tblPiNHistorical[[#This Row],[Food Security and Livlihoods Old]], 1), "")</f>
        <v>-1</v>
      </c>
      <c r="AT391" s="142">
        <f>IFERROR(ROUND((tblPiNHistorical[[#This Row],[Health New]]-tblPiNHistorical[[#This Row],[Health Old]])/tblPiNHistorical[[#This Row],[Health Old]], 1), "")</f>
        <v>-1</v>
      </c>
      <c r="AU391" s="140">
        <f>IFERROR(ROUND((tblPiNHistorical[[#This Row],[Nutrition New]]-tblPiNHistorical[[#This Row],[Nutrition Old]])/tblPiNHistorical[[#This Row],[Nutrition Old]], 1), "")</f>
        <v>-1</v>
      </c>
      <c r="AV391" s="140">
        <f>IFERROR(ROUND((tblPiNHistorical[[#This Row],[Protection New]]-tblPiNHistorical[[#This Row],[Protection Old]])/tblPiNHistorical[[#This Row],[Protection Old]], 1), "")</f>
        <v>-1</v>
      </c>
      <c r="AW391" s="84">
        <f>IFERROR(ROUND((tblPiNHistorical[[#This Row],[CP New]]-tblPiNHistorical[[#This Row],[CP Old ]])/tblPiNHistorical[[#This Row],[CP Old ]], 1), "")</f>
        <v>-1</v>
      </c>
      <c r="AX391" s="84">
        <f>IFERROR(ROUND((tblPiNHistorical[[#This Row],[GBV New]]-tblPiNHistorical[[#This Row],[GBV Old]])/tblPiNHistorical[[#This Row],[GBV Old]], 1), "")</f>
        <v>-1</v>
      </c>
      <c r="AY391" s="84" t="str">
        <f>IFERROR(ROUND((tblPiNHistorical[[#This Row],[Mine Action New]]-tblPiNHistorical[[#This Row],[Mine Action Old]])/tblPiNHistorical[[#This Row],[Mine Action Old]], 1), "")</f>
        <v/>
      </c>
      <c r="AZ391" s="140" t="str">
        <f>IFERROR(ROUND((tblPiNHistorical[[#This Row],[Shelter NFI New]]-tblPiNHistorical[[#This Row],[Shelter NFI Old]])/tblPiNHistorical[[#This Row],[Shelter NFI Old]], 1), "")</f>
        <v/>
      </c>
      <c r="BA391" s="31">
        <f>IFERROR(ROUND((tblPiNHistorical[[#This Row],[WASH New]]-tblPiNHistorical[[#This Row],[WASH Old]])/tblPiNHistorical[[#This Row],[WASH Old]], 1), "")</f>
        <v>-1</v>
      </c>
    </row>
    <row r="392" spans="1:53" ht="38.25" x14ac:dyDescent="0.25">
      <c r="A392"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Host CommunitySD15032</v>
      </c>
      <c r="B392" s="134" t="s">
        <v>147</v>
      </c>
      <c r="C392" s="124" t="s">
        <v>132</v>
      </c>
      <c r="D392" s="124" t="s">
        <v>500</v>
      </c>
      <c r="E392" s="59" t="s">
        <v>501</v>
      </c>
      <c r="F392" s="54"/>
      <c r="G392" s="29"/>
      <c r="H392" s="53">
        <v>43043</v>
      </c>
      <c r="I392" s="53" t="s">
        <v>87</v>
      </c>
      <c r="J392" s="34">
        <v>0</v>
      </c>
      <c r="K392" s="116">
        <v>16687.771099999998</v>
      </c>
      <c r="L392" s="114">
        <v>43043</v>
      </c>
      <c r="M392" s="114">
        <v>43043</v>
      </c>
      <c r="N392" s="114">
        <v>3753</v>
      </c>
      <c r="O392" s="114">
        <v>13628</v>
      </c>
      <c r="P392" s="114">
        <v>4735</v>
      </c>
      <c r="Q392" s="114">
        <v>13628</v>
      </c>
      <c r="R392" s="114">
        <v>0</v>
      </c>
      <c r="S392" s="114">
        <v>8609</v>
      </c>
      <c r="T392" s="196">
        <v>22588.966399999998</v>
      </c>
      <c r="U392" s="52">
        <f>IFERROR(INDEX(tblPiNAnalysis[[Site Management ]], MATCH(tblPiNHistorical[[#This Row],[ID]], tblPiNAnalysis[ID], 0)), "")</f>
        <v>0</v>
      </c>
      <c r="V392" s="52">
        <f>IFERROR(INDEX(tblPiNAnalysis[Education], MATCH(tblPiNHistorical[[#This Row],[ID]], tblPiNAnalysis[ID], 0)), "")</f>
        <v>0</v>
      </c>
      <c r="W392" s="28">
        <f>IFERROR(INDEX(tblPiNAnalysis[Food Security and Livlihoods], MATCH(tblPiNHistorical[[#This Row],[ID]], tblPiNAnalysis[ID], 0)), "")</f>
        <v>0</v>
      </c>
      <c r="X392" s="28">
        <f>IFERROR(INDEX(tblPiNAnalysis[[Health ]], MATCH(tblPiNHistorical[[#This Row],[ID]], tblPiNAnalysis[ID], 0)), "")</f>
        <v>0</v>
      </c>
      <c r="Y392" s="28">
        <f>IFERROR(INDEX(tblPiNAnalysis[Nutrition], MATCH(tblPiNHistorical[[#This Row],[ID]], tblPiNAnalysis[ID], 0)), "")</f>
        <v>0</v>
      </c>
      <c r="Z392" s="28">
        <f>IFERROR(INDEX(tblPiNAnalysis[Protection], MATCH(tblPiNHistorical[[#This Row],[ID]], tblPiNAnalysis[ID], 0)), "")</f>
        <v>0</v>
      </c>
      <c r="AA392" s="28">
        <f>IFERROR(INDEX(tblPiNAnalysis[CP], MATCH(tblPiNHistorical[[#This Row],[ID]], tblPiNAnalysis[ID], 0)), "")</f>
        <v>0</v>
      </c>
      <c r="AB392" s="83">
        <f>IFERROR(INDEX(tblPiNAnalysis[GBV], MATCH(tblPiNHistorical[[#This Row],[ID]], tblPiNAnalysis[ID], 0)), "")</f>
        <v>0</v>
      </c>
      <c r="AC392" s="28">
        <f>IFERROR(INDEX(tblPiNAnalysis[Mine Action], MATCH(tblPiNHistorical[[#This Row],[ID]], tblPiNAnalysis[ID], 0)), "")</f>
        <v>0</v>
      </c>
      <c r="AD392" s="83">
        <f>IFERROR(INDEX(tblPiNAnalysis[[Shelter NFI ]], MATCH(tblPiNHistorical[[#This Row],[ID]], tblPiNAnalysis[ID], 0)), "")</f>
        <v>8001</v>
      </c>
      <c r="AE392" s="28">
        <f>IFERROR(INDEX(tblPiNAnalysis[WASH], MATCH(tblPiNHistorical[[#This Row],[ID]], tblPiNAnalysis[ID], 0)), "")</f>
        <v>0</v>
      </c>
      <c r="AF392"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392" s="136" t="str">
        <f>IF(OR(tblPiNHistorical[[#This Row],[Education Old]]="", tblPiNHistorical[[#This Row],[Education Old]]=0, tblPiNHistorical[[#This Row],[Education New]]="", tblPiNHistorical[[#This Row],[Education New]]=0), "", tblPiNHistorical[[#This Row],[Education New]]-tblPiNHistorical[[#This Row],[Education Old]])</f>
        <v/>
      </c>
      <c r="AH392"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392" s="137" t="str">
        <f>IF(OR(tblPiNHistorical[[#This Row],[Health Old]]="", tblPiNHistorical[[#This Row],[Health Old]]=0, tblPiNHistorical[[#This Row],[Health New]]="", tblPiNHistorical[[#This Row],[Health New]]=0), "", tblPiNHistorical[[#This Row],[Health New]]-tblPiNHistorical[[#This Row],[Health Old]])</f>
        <v/>
      </c>
      <c r="AJ392" s="136" t="str">
        <f>IF(OR(tblPiNHistorical[[#This Row],[Nutrition Old]]="", tblPiNHistorical[[#This Row],[Nutrition Old]]=0, tblPiNHistorical[[#This Row],[Nutrition New]]="", tblPiNHistorical[[#This Row],[Nutrition New]]=0), "", tblPiNHistorical[[#This Row],[Nutrition New]]-tblPiNHistorical[[#This Row],[Nutrition Old]])</f>
        <v/>
      </c>
      <c r="AK392" s="136" t="str">
        <f>IF(OR(tblPiNHistorical[[#This Row],[Protection Old]]="", tblPiNHistorical[[#This Row],[Protection Old]]=0, tblPiNHistorical[[#This Row],[Protection New]]="", tblPiNHistorical[[#This Row],[Protection New]]=0), "", tblPiNHistorical[[#This Row],[Protection New]]-tblPiNHistorical[[#This Row],[Protection Old]])</f>
        <v/>
      </c>
      <c r="AL392" s="136" t="str">
        <f>IF(OR(tblPiNHistorical[[#This Row],[CP Old ]]="", tblPiNHistorical[[#This Row],[CP Old ]]=0, tblPiNHistorical[[#This Row],[CP New]]="", tblPiNHistorical[[#This Row],[CP New]]=0), "", tblPiNHistorical[[#This Row],[CP New]]-tblPiNHistorical[[#This Row],[CP Old ]])</f>
        <v/>
      </c>
      <c r="AM392" s="83" t="str">
        <f>IF(OR(tblPiNHistorical[[#This Row],[GBV Old]]="", tblPiNHistorical[[#This Row],[GBV Old]]=0, tblPiNHistorical[[#This Row],[GBV New]]="", tblPiNHistorical[[#This Row],[GBV New]]=0), "", tblPiNHistorical[[#This Row],[GBV New]]-tblPiNHistorical[[#This Row],[GBV Old]])</f>
        <v/>
      </c>
      <c r="AN392" s="83" t="str">
        <f>IF(OR(tblPiNHistorical[[#This Row],[Mine Action Old]]="", tblPiNHistorical[[#This Row],[Mine Action Old]]=0, tblPiNHistorical[[#This Row],[Mine Action New]]="", tblPiNHistorical[[#This Row],[Mine Action New]]=0), "", tblPiNHistorical[[#This Row],[Mine Action New]]-tblPiNHistorical[[#This Row],[Mine Action Old]])</f>
        <v/>
      </c>
      <c r="AO392" s="136">
        <f>IF(OR(tblPiNHistorical[[#This Row],[Shelter NFI Old]]="", tblPiNHistorical[[#This Row],[Shelter NFI Old]]=0, tblPiNHistorical[[#This Row],[Shelter NFI New]]="", tblPiNHistorical[[#This Row],[Shelter NFI New]]=0), "", tblPiNHistorical[[#This Row],[Shelter NFI New]]-tblPiNHistorical[[#This Row],[Shelter NFI Old]])</f>
        <v>-608</v>
      </c>
      <c r="AP392" s="138" t="str">
        <f>IF(OR(tblPiNHistorical[[#This Row],[WASH Old]]="", tblPiNHistorical[[#This Row],[WASH Old]]=0, tblPiNHistorical[[#This Row],[WASH New]]="", tblPiNHistorical[[#This Row],[WASH New]]=0), "", tblPiNHistorical[[#This Row],[WASH New]]-tblPiNHistorical[[#This Row],[WASH Old]])</f>
        <v/>
      </c>
      <c r="AQ392" s="139" t="str">
        <f>IFERROR(ROUND((tblPiNHistorical[[#This Row],[Site Management - New]] - tblPiNHistorical[[#This Row],[Site Management - Old]])/tblPiNHistorical[[#This Row],[Site Management - Old]], 1), "")</f>
        <v/>
      </c>
      <c r="AR392" s="140">
        <f>IFERROR(ROUND((tblPiNHistorical[[#This Row],[Education New]]-tblPiNHistorical[[#This Row],[Education Old]])/tblPiNHistorical[[#This Row],[Education Old]], 1), "")</f>
        <v>-1</v>
      </c>
      <c r="AS392" s="141">
        <f>IFERROR(ROUND((tblPiNHistorical[[#This Row],[Food Security and Livlihoods New]]-tblPiNHistorical[[#This Row],[Food Security and Livlihoods Old]])/tblPiNHistorical[[#This Row],[Food Security and Livlihoods Old]], 1), "")</f>
        <v>-1</v>
      </c>
      <c r="AT392" s="142">
        <f>IFERROR(ROUND((tblPiNHistorical[[#This Row],[Health New]]-tblPiNHistorical[[#This Row],[Health Old]])/tblPiNHistorical[[#This Row],[Health Old]], 1), "")</f>
        <v>-1</v>
      </c>
      <c r="AU392" s="140">
        <f>IFERROR(ROUND((tblPiNHistorical[[#This Row],[Nutrition New]]-tblPiNHistorical[[#This Row],[Nutrition Old]])/tblPiNHistorical[[#This Row],[Nutrition Old]], 1), "")</f>
        <v>-1</v>
      </c>
      <c r="AV392" s="140">
        <f>IFERROR(ROUND((tblPiNHistorical[[#This Row],[Protection New]]-tblPiNHistorical[[#This Row],[Protection Old]])/tblPiNHistorical[[#This Row],[Protection Old]], 1), "")</f>
        <v>-1</v>
      </c>
      <c r="AW392" s="84">
        <f>IFERROR(ROUND((tblPiNHistorical[[#This Row],[CP New]]-tblPiNHistorical[[#This Row],[CP Old ]])/tblPiNHistorical[[#This Row],[CP Old ]], 1), "")</f>
        <v>-1</v>
      </c>
      <c r="AX392" s="84">
        <f>IFERROR(ROUND((tblPiNHistorical[[#This Row],[GBV New]]-tblPiNHistorical[[#This Row],[GBV Old]])/tblPiNHistorical[[#This Row],[GBV Old]], 1), "")</f>
        <v>-1</v>
      </c>
      <c r="AY392" s="84" t="str">
        <f>IFERROR(ROUND((tblPiNHistorical[[#This Row],[Mine Action New]]-tblPiNHistorical[[#This Row],[Mine Action Old]])/tblPiNHistorical[[#This Row],[Mine Action Old]], 1), "")</f>
        <v/>
      </c>
      <c r="AZ392" s="140">
        <f>IFERROR(ROUND((tblPiNHistorical[[#This Row],[Shelter NFI New]]-tblPiNHistorical[[#This Row],[Shelter NFI Old]])/tblPiNHistorical[[#This Row],[Shelter NFI Old]], 1), "")</f>
        <v>-0.1</v>
      </c>
      <c r="BA392" s="31">
        <f>IFERROR(ROUND((tblPiNHistorical[[#This Row],[WASH New]]-tblPiNHistorical[[#This Row],[WASH Old]])/tblPiNHistorical[[#This Row],[WASH Old]], 1), "")</f>
        <v>-1</v>
      </c>
    </row>
    <row r="393" spans="1:53" ht="38.25" x14ac:dyDescent="0.25">
      <c r="A393"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Host CommunitySD08106</v>
      </c>
      <c r="B393" s="134" t="s">
        <v>150</v>
      </c>
      <c r="C393" s="124" t="s">
        <v>125</v>
      </c>
      <c r="D393" s="124" t="s">
        <v>374</v>
      </c>
      <c r="E393" s="59" t="s">
        <v>375</v>
      </c>
      <c r="F393" s="54"/>
      <c r="G393" s="29"/>
      <c r="H393" s="53">
        <v>19116</v>
      </c>
      <c r="I393" s="53" t="s">
        <v>87</v>
      </c>
      <c r="J393" s="34">
        <v>0</v>
      </c>
      <c r="K393" s="116">
        <v>7411.2731999999996</v>
      </c>
      <c r="L393" s="114">
        <v>19116</v>
      </c>
      <c r="M393" s="114">
        <v>19116</v>
      </c>
      <c r="N393" s="114">
        <v>1730</v>
      </c>
      <c r="O393" s="114">
        <v>7646.4000000000005</v>
      </c>
      <c r="P393" s="114">
        <v>2103</v>
      </c>
      <c r="Q393" s="114">
        <v>5045</v>
      </c>
      <c r="R393" s="114">
        <v>7646.4000000000005</v>
      </c>
      <c r="S393" s="114">
        <v>3823</v>
      </c>
      <c r="T393" s="196">
        <v>13654.558800000003</v>
      </c>
      <c r="U393" s="52">
        <f>IFERROR(INDEX(tblPiNAnalysis[[Site Management ]], MATCH(tblPiNHistorical[[#This Row],[ID]], tblPiNAnalysis[ID], 0)), "")</f>
        <v>0</v>
      </c>
      <c r="V393" s="52">
        <f>IFERROR(INDEX(tblPiNAnalysis[Education], MATCH(tblPiNHistorical[[#This Row],[ID]], tblPiNAnalysis[ID], 0)), "")</f>
        <v>0</v>
      </c>
      <c r="W393" s="28">
        <f>IFERROR(INDEX(tblPiNAnalysis[Food Security and Livlihoods], MATCH(tblPiNHistorical[[#This Row],[ID]], tblPiNAnalysis[ID], 0)), "")</f>
        <v>0</v>
      </c>
      <c r="X393" s="28">
        <f>IFERROR(INDEX(tblPiNAnalysis[[Health ]], MATCH(tblPiNHistorical[[#This Row],[ID]], tblPiNAnalysis[ID], 0)), "")</f>
        <v>0</v>
      </c>
      <c r="Y393" s="28">
        <f>IFERROR(INDEX(tblPiNAnalysis[Nutrition], MATCH(tblPiNHistorical[[#This Row],[ID]], tblPiNAnalysis[ID], 0)), "")</f>
        <v>0</v>
      </c>
      <c r="Z393" s="28">
        <f>IFERROR(INDEX(tblPiNAnalysis[Protection], MATCH(tblPiNHistorical[[#This Row],[ID]], tblPiNAnalysis[ID], 0)), "")</f>
        <v>0</v>
      </c>
      <c r="AA393" s="28">
        <f>IFERROR(INDEX(tblPiNAnalysis[CP], MATCH(tblPiNHistorical[[#This Row],[ID]], tblPiNAnalysis[ID], 0)), "")</f>
        <v>0</v>
      </c>
      <c r="AB393" s="83">
        <f>IFERROR(INDEX(tblPiNAnalysis[GBV], MATCH(tblPiNHistorical[[#This Row],[ID]], tblPiNAnalysis[ID], 0)), "")</f>
        <v>0</v>
      </c>
      <c r="AC393" s="28">
        <f>IFERROR(INDEX(tblPiNAnalysis[Mine Action], MATCH(tblPiNHistorical[[#This Row],[ID]], tblPiNAnalysis[ID], 0)), "")</f>
        <v>0</v>
      </c>
      <c r="AD393" s="83">
        <f>IFERROR(INDEX(tblPiNAnalysis[[Shelter NFI ]], MATCH(tblPiNHistorical[[#This Row],[ID]], tblPiNAnalysis[ID], 0)), "")</f>
        <v>15018</v>
      </c>
      <c r="AE393" s="28">
        <f>IFERROR(INDEX(tblPiNAnalysis[WASH], MATCH(tblPiNHistorical[[#This Row],[ID]], tblPiNAnalysis[ID], 0)), "")</f>
        <v>0</v>
      </c>
      <c r="AF393"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393" s="136" t="str">
        <f>IF(OR(tblPiNHistorical[[#This Row],[Education Old]]="", tblPiNHistorical[[#This Row],[Education Old]]=0, tblPiNHistorical[[#This Row],[Education New]]="", tblPiNHistorical[[#This Row],[Education New]]=0), "", tblPiNHistorical[[#This Row],[Education New]]-tblPiNHistorical[[#This Row],[Education Old]])</f>
        <v/>
      </c>
      <c r="AH393"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393" s="137" t="str">
        <f>IF(OR(tblPiNHistorical[[#This Row],[Health Old]]="", tblPiNHistorical[[#This Row],[Health Old]]=0, tblPiNHistorical[[#This Row],[Health New]]="", tblPiNHistorical[[#This Row],[Health New]]=0), "", tblPiNHistorical[[#This Row],[Health New]]-tblPiNHistorical[[#This Row],[Health Old]])</f>
        <v/>
      </c>
      <c r="AJ393" s="136" t="str">
        <f>IF(OR(tblPiNHistorical[[#This Row],[Nutrition Old]]="", tblPiNHistorical[[#This Row],[Nutrition Old]]=0, tblPiNHistorical[[#This Row],[Nutrition New]]="", tblPiNHistorical[[#This Row],[Nutrition New]]=0), "", tblPiNHistorical[[#This Row],[Nutrition New]]-tblPiNHistorical[[#This Row],[Nutrition Old]])</f>
        <v/>
      </c>
      <c r="AK393" s="136" t="str">
        <f>IF(OR(tblPiNHistorical[[#This Row],[Protection Old]]="", tblPiNHistorical[[#This Row],[Protection Old]]=0, tblPiNHistorical[[#This Row],[Protection New]]="", tblPiNHistorical[[#This Row],[Protection New]]=0), "", tblPiNHistorical[[#This Row],[Protection New]]-tblPiNHistorical[[#This Row],[Protection Old]])</f>
        <v/>
      </c>
      <c r="AL393" s="136" t="str">
        <f>IF(OR(tblPiNHistorical[[#This Row],[CP Old ]]="", tblPiNHistorical[[#This Row],[CP Old ]]=0, tblPiNHistorical[[#This Row],[CP New]]="", tblPiNHistorical[[#This Row],[CP New]]=0), "", tblPiNHistorical[[#This Row],[CP New]]-tblPiNHistorical[[#This Row],[CP Old ]])</f>
        <v/>
      </c>
      <c r="AM393" s="83" t="str">
        <f>IF(OR(tblPiNHistorical[[#This Row],[GBV Old]]="", tblPiNHistorical[[#This Row],[GBV Old]]=0, tblPiNHistorical[[#This Row],[GBV New]]="", tblPiNHistorical[[#This Row],[GBV New]]=0), "", tblPiNHistorical[[#This Row],[GBV New]]-tblPiNHistorical[[#This Row],[GBV Old]])</f>
        <v/>
      </c>
      <c r="AN393" s="83" t="str">
        <f>IF(OR(tblPiNHistorical[[#This Row],[Mine Action Old]]="", tblPiNHistorical[[#This Row],[Mine Action Old]]=0, tblPiNHistorical[[#This Row],[Mine Action New]]="", tblPiNHistorical[[#This Row],[Mine Action New]]=0), "", tblPiNHistorical[[#This Row],[Mine Action New]]-tblPiNHistorical[[#This Row],[Mine Action Old]])</f>
        <v/>
      </c>
      <c r="AO393" s="136">
        <f>IF(OR(tblPiNHistorical[[#This Row],[Shelter NFI Old]]="", tblPiNHistorical[[#This Row],[Shelter NFI Old]]=0, tblPiNHistorical[[#This Row],[Shelter NFI New]]="", tblPiNHistorical[[#This Row],[Shelter NFI New]]=0), "", tblPiNHistorical[[#This Row],[Shelter NFI New]]-tblPiNHistorical[[#This Row],[Shelter NFI Old]])</f>
        <v>11195</v>
      </c>
      <c r="AP393" s="138" t="str">
        <f>IF(OR(tblPiNHistorical[[#This Row],[WASH Old]]="", tblPiNHistorical[[#This Row],[WASH Old]]=0, tblPiNHistorical[[#This Row],[WASH New]]="", tblPiNHistorical[[#This Row],[WASH New]]=0), "", tblPiNHistorical[[#This Row],[WASH New]]-tblPiNHistorical[[#This Row],[WASH Old]])</f>
        <v/>
      </c>
      <c r="AQ393" s="139" t="str">
        <f>IFERROR(ROUND((tblPiNHistorical[[#This Row],[Site Management - New]] - tblPiNHistorical[[#This Row],[Site Management - Old]])/tblPiNHistorical[[#This Row],[Site Management - Old]], 1), "")</f>
        <v/>
      </c>
      <c r="AR393" s="140">
        <f>IFERROR(ROUND((tblPiNHistorical[[#This Row],[Education New]]-tblPiNHistorical[[#This Row],[Education Old]])/tblPiNHistorical[[#This Row],[Education Old]], 1), "")</f>
        <v>-1</v>
      </c>
      <c r="AS393" s="141">
        <f>IFERROR(ROUND((tblPiNHistorical[[#This Row],[Food Security and Livlihoods New]]-tblPiNHistorical[[#This Row],[Food Security and Livlihoods Old]])/tblPiNHistorical[[#This Row],[Food Security and Livlihoods Old]], 1), "")</f>
        <v>-1</v>
      </c>
      <c r="AT393" s="142">
        <f>IFERROR(ROUND((tblPiNHistorical[[#This Row],[Health New]]-tblPiNHistorical[[#This Row],[Health Old]])/tblPiNHistorical[[#This Row],[Health Old]], 1), "")</f>
        <v>-1</v>
      </c>
      <c r="AU393" s="140">
        <f>IFERROR(ROUND((tblPiNHistorical[[#This Row],[Nutrition New]]-tblPiNHistorical[[#This Row],[Nutrition Old]])/tblPiNHistorical[[#This Row],[Nutrition Old]], 1), "")</f>
        <v>-1</v>
      </c>
      <c r="AV393" s="140">
        <f>IFERROR(ROUND((tblPiNHistorical[[#This Row],[Protection New]]-tblPiNHistorical[[#This Row],[Protection Old]])/tblPiNHistorical[[#This Row],[Protection Old]], 1), "")</f>
        <v>-1</v>
      </c>
      <c r="AW393" s="84">
        <f>IFERROR(ROUND((tblPiNHistorical[[#This Row],[CP New]]-tblPiNHistorical[[#This Row],[CP Old ]])/tblPiNHistorical[[#This Row],[CP Old ]], 1), "")</f>
        <v>-1</v>
      </c>
      <c r="AX393" s="84">
        <f>IFERROR(ROUND((tblPiNHistorical[[#This Row],[GBV New]]-tblPiNHistorical[[#This Row],[GBV Old]])/tblPiNHistorical[[#This Row],[GBV Old]], 1), "")</f>
        <v>-1</v>
      </c>
      <c r="AY393" s="84">
        <f>IFERROR(ROUND((tblPiNHistorical[[#This Row],[Mine Action New]]-tblPiNHistorical[[#This Row],[Mine Action Old]])/tblPiNHistorical[[#This Row],[Mine Action Old]], 1), "")</f>
        <v>-1</v>
      </c>
      <c r="AZ393" s="140">
        <f>IFERROR(ROUND((tblPiNHistorical[[#This Row],[Shelter NFI New]]-tblPiNHistorical[[#This Row],[Shelter NFI Old]])/tblPiNHistorical[[#This Row],[Shelter NFI Old]], 1), "")</f>
        <v>2.9</v>
      </c>
      <c r="BA393" s="31">
        <f>IFERROR(ROUND((tblPiNHistorical[[#This Row],[WASH New]]-tblPiNHistorical[[#This Row],[WASH Old]])/tblPiNHistorical[[#This Row],[WASH Old]], 1), "")</f>
        <v>-1</v>
      </c>
    </row>
    <row r="394" spans="1:53" ht="38.25" x14ac:dyDescent="0.25">
      <c r="A394"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Host CommunitySD08107</v>
      </c>
      <c r="B394" s="134" t="s">
        <v>150</v>
      </c>
      <c r="C394" s="124" t="s">
        <v>125</v>
      </c>
      <c r="D394" s="124" t="s">
        <v>376</v>
      </c>
      <c r="E394" s="59" t="s">
        <v>377</v>
      </c>
      <c r="F394" s="54"/>
      <c r="G394" s="29"/>
      <c r="H394" s="53">
        <v>32756</v>
      </c>
      <c r="I394" s="53" t="s">
        <v>87</v>
      </c>
      <c r="J394" s="34">
        <v>0</v>
      </c>
      <c r="K394" s="116">
        <v>0</v>
      </c>
      <c r="L394" s="114">
        <v>9826.7999999999993</v>
      </c>
      <c r="M394" s="114">
        <v>32756</v>
      </c>
      <c r="N394" s="114">
        <v>2360</v>
      </c>
      <c r="O394" s="114">
        <v>10373</v>
      </c>
      <c r="P394" s="114">
        <v>3603</v>
      </c>
      <c r="Q394" s="114">
        <v>10373</v>
      </c>
      <c r="R394" s="114">
        <v>0</v>
      </c>
      <c r="S394" s="114">
        <v>6551</v>
      </c>
      <c r="T394" s="196">
        <v>18320.430800000002</v>
      </c>
      <c r="U394" s="52">
        <f>IFERROR(INDEX(tblPiNAnalysis[[Site Management ]], MATCH(tblPiNHistorical[[#This Row],[ID]], tblPiNAnalysis[ID], 0)), "")</f>
        <v>0</v>
      </c>
      <c r="V394" s="52">
        <f>IFERROR(INDEX(tblPiNAnalysis[Education], MATCH(tblPiNHistorical[[#This Row],[ID]], tblPiNAnalysis[ID], 0)), "")</f>
        <v>0</v>
      </c>
      <c r="W394" s="28">
        <f>IFERROR(INDEX(tblPiNAnalysis[Food Security and Livlihoods], MATCH(tblPiNHistorical[[#This Row],[ID]], tblPiNAnalysis[ID], 0)), "")</f>
        <v>0</v>
      </c>
      <c r="X394" s="28">
        <f>IFERROR(INDEX(tblPiNAnalysis[[Health ]], MATCH(tblPiNHistorical[[#This Row],[ID]], tblPiNAnalysis[ID], 0)), "")</f>
        <v>0</v>
      </c>
      <c r="Y394" s="28">
        <f>IFERROR(INDEX(tblPiNAnalysis[Nutrition], MATCH(tblPiNHistorical[[#This Row],[ID]], tblPiNAnalysis[ID], 0)), "")</f>
        <v>0</v>
      </c>
      <c r="Z394" s="28">
        <f>IFERROR(INDEX(tblPiNAnalysis[Protection], MATCH(tblPiNHistorical[[#This Row],[ID]], tblPiNAnalysis[ID], 0)), "")</f>
        <v>0</v>
      </c>
      <c r="AA394" s="28">
        <f>IFERROR(INDEX(tblPiNAnalysis[CP], MATCH(tblPiNHistorical[[#This Row],[ID]], tblPiNAnalysis[ID], 0)), "")</f>
        <v>0</v>
      </c>
      <c r="AB394" s="83">
        <f>IFERROR(INDEX(tblPiNAnalysis[GBV], MATCH(tblPiNHistorical[[#This Row],[ID]], tblPiNAnalysis[ID], 0)), "")</f>
        <v>0</v>
      </c>
      <c r="AC394" s="28">
        <f>IFERROR(INDEX(tblPiNAnalysis[Mine Action], MATCH(tblPiNHistorical[[#This Row],[ID]], tblPiNAnalysis[ID], 0)), "")</f>
        <v>0</v>
      </c>
      <c r="AD394" s="83">
        <f>IFERROR(INDEX(tblPiNAnalysis[[Shelter NFI ]], MATCH(tblPiNHistorical[[#This Row],[ID]], tblPiNAnalysis[ID], 0)), "")</f>
        <v>8913</v>
      </c>
      <c r="AE394" s="28">
        <f>IFERROR(INDEX(tblPiNAnalysis[WASH], MATCH(tblPiNHistorical[[#This Row],[ID]], tblPiNAnalysis[ID], 0)), "")</f>
        <v>0</v>
      </c>
      <c r="AF394"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394" s="136" t="str">
        <f>IF(OR(tblPiNHistorical[[#This Row],[Education Old]]="", tblPiNHistorical[[#This Row],[Education Old]]=0, tblPiNHistorical[[#This Row],[Education New]]="", tblPiNHistorical[[#This Row],[Education New]]=0), "", tblPiNHistorical[[#This Row],[Education New]]-tblPiNHistorical[[#This Row],[Education Old]])</f>
        <v/>
      </c>
      <c r="AH394"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394" s="137" t="str">
        <f>IF(OR(tblPiNHistorical[[#This Row],[Health Old]]="", tblPiNHistorical[[#This Row],[Health Old]]=0, tblPiNHistorical[[#This Row],[Health New]]="", tblPiNHistorical[[#This Row],[Health New]]=0), "", tblPiNHistorical[[#This Row],[Health New]]-tblPiNHistorical[[#This Row],[Health Old]])</f>
        <v/>
      </c>
      <c r="AJ394" s="136" t="str">
        <f>IF(OR(tblPiNHistorical[[#This Row],[Nutrition Old]]="", tblPiNHistorical[[#This Row],[Nutrition Old]]=0, tblPiNHistorical[[#This Row],[Nutrition New]]="", tblPiNHistorical[[#This Row],[Nutrition New]]=0), "", tblPiNHistorical[[#This Row],[Nutrition New]]-tblPiNHistorical[[#This Row],[Nutrition Old]])</f>
        <v/>
      </c>
      <c r="AK394" s="136" t="str">
        <f>IF(OR(tblPiNHistorical[[#This Row],[Protection Old]]="", tblPiNHistorical[[#This Row],[Protection Old]]=0, tblPiNHistorical[[#This Row],[Protection New]]="", tblPiNHistorical[[#This Row],[Protection New]]=0), "", tblPiNHistorical[[#This Row],[Protection New]]-tblPiNHistorical[[#This Row],[Protection Old]])</f>
        <v/>
      </c>
      <c r="AL394" s="136" t="str">
        <f>IF(OR(tblPiNHistorical[[#This Row],[CP Old ]]="", tblPiNHistorical[[#This Row],[CP Old ]]=0, tblPiNHistorical[[#This Row],[CP New]]="", tblPiNHistorical[[#This Row],[CP New]]=0), "", tblPiNHistorical[[#This Row],[CP New]]-tblPiNHistorical[[#This Row],[CP Old ]])</f>
        <v/>
      </c>
      <c r="AM394" s="83" t="str">
        <f>IF(OR(tblPiNHistorical[[#This Row],[GBV Old]]="", tblPiNHistorical[[#This Row],[GBV Old]]=0, tblPiNHistorical[[#This Row],[GBV New]]="", tblPiNHistorical[[#This Row],[GBV New]]=0), "", tblPiNHistorical[[#This Row],[GBV New]]-tblPiNHistorical[[#This Row],[GBV Old]])</f>
        <v/>
      </c>
      <c r="AN394" s="83" t="str">
        <f>IF(OR(tblPiNHistorical[[#This Row],[Mine Action Old]]="", tblPiNHistorical[[#This Row],[Mine Action Old]]=0, tblPiNHistorical[[#This Row],[Mine Action New]]="", tblPiNHistorical[[#This Row],[Mine Action New]]=0), "", tblPiNHistorical[[#This Row],[Mine Action New]]-tblPiNHistorical[[#This Row],[Mine Action Old]])</f>
        <v/>
      </c>
      <c r="AO394" s="136">
        <f>IF(OR(tblPiNHistorical[[#This Row],[Shelter NFI Old]]="", tblPiNHistorical[[#This Row],[Shelter NFI Old]]=0, tblPiNHistorical[[#This Row],[Shelter NFI New]]="", tblPiNHistorical[[#This Row],[Shelter NFI New]]=0), "", tblPiNHistorical[[#This Row],[Shelter NFI New]]-tblPiNHistorical[[#This Row],[Shelter NFI Old]])</f>
        <v>2362</v>
      </c>
      <c r="AP394" s="138" t="str">
        <f>IF(OR(tblPiNHistorical[[#This Row],[WASH Old]]="", tblPiNHistorical[[#This Row],[WASH Old]]=0, tblPiNHistorical[[#This Row],[WASH New]]="", tblPiNHistorical[[#This Row],[WASH New]]=0), "", tblPiNHistorical[[#This Row],[WASH New]]-tblPiNHistorical[[#This Row],[WASH Old]])</f>
        <v/>
      </c>
      <c r="AQ394" s="139" t="str">
        <f>IFERROR(ROUND((tblPiNHistorical[[#This Row],[Site Management - New]] - tblPiNHistorical[[#This Row],[Site Management - Old]])/tblPiNHistorical[[#This Row],[Site Management - Old]], 1), "")</f>
        <v/>
      </c>
      <c r="AR394" s="140" t="str">
        <f>IFERROR(ROUND((tblPiNHistorical[[#This Row],[Education New]]-tblPiNHistorical[[#This Row],[Education Old]])/tblPiNHistorical[[#This Row],[Education Old]], 1), "")</f>
        <v/>
      </c>
      <c r="AS394" s="141">
        <f>IFERROR(ROUND((tblPiNHistorical[[#This Row],[Food Security and Livlihoods New]]-tblPiNHistorical[[#This Row],[Food Security and Livlihoods Old]])/tblPiNHistorical[[#This Row],[Food Security and Livlihoods Old]], 1), "")</f>
        <v>-1</v>
      </c>
      <c r="AT394" s="142">
        <f>IFERROR(ROUND((tblPiNHistorical[[#This Row],[Health New]]-tblPiNHistorical[[#This Row],[Health Old]])/tblPiNHistorical[[#This Row],[Health Old]], 1), "")</f>
        <v>-1</v>
      </c>
      <c r="AU394" s="140">
        <f>IFERROR(ROUND((tblPiNHistorical[[#This Row],[Nutrition New]]-tblPiNHistorical[[#This Row],[Nutrition Old]])/tblPiNHistorical[[#This Row],[Nutrition Old]], 1), "")</f>
        <v>-1</v>
      </c>
      <c r="AV394" s="140">
        <f>IFERROR(ROUND((tblPiNHistorical[[#This Row],[Protection New]]-tblPiNHistorical[[#This Row],[Protection Old]])/tblPiNHistorical[[#This Row],[Protection Old]], 1), "")</f>
        <v>-1</v>
      </c>
      <c r="AW394" s="84">
        <f>IFERROR(ROUND((tblPiNHistorical[[#This Row],[CP New]]-tblPiNHistorical[[#This Row],[CP Old ]])/tblPiNHistorical[[#This Row],[CP Old ]], 1), "")</f>
        <v>-1</v>
      </c>
      <c r="AX394" s="84">
        <f>IFERROR(ROUND((tblPiNHistorical[[#This Row],[GBV New]]-tblPiNHistorical[[#This Row],[GBV Old]])/tblPiNHistorical[[#This Row],[GBV Old]], 1), "")</f>
        <v>-1</v>
      </c>
      <c r="AY394" s="84" t="str">
        <f>IFERROR(ROUND((tblPiNHistorical[[#This Row],[Mine Action New]]-tblPiNHistorical[[#This Row],[Mine Action Old]])/tblPiNHistorical[[#This Row],[Mine Action Old]], 1), "")</f>
        <v/>
      </c>
      <c r="AZ394" s="140">
        <f>IFERROR(ROUND((tblPiNHistorical[[#This Row],[Shelter NFI New]]-tblPiNHistorical[[#This Row],[Shelter NFI Old]])/tblPiNHistorical[[#This Row],[Shelter NFI Old]], 1), "")</f>
        <v>0.4</v>
      </c>
      <c r="BA394" s="31">
        <f>IFERROR(ROUND((tblPiNHistorical[[#This Row],[WASH New]]-tblPiNHistorical[[#This Row],[WASH Old]])/tblPiNHistorical[[#This Row],[WASH Old]], 1), "")</f>
        <v>-1</v>
      </c>
    </row>
    <row r="395" spans="1:53" ht="38.25" x14ac:dyDescent="0.25">
      <c r="A395"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Host CommunitySD08108</v>
      </c>
      <c r="B395" s="134" t="s">
        <v>150</v>
      </c>
      <c r="C395" s="124" t="s">
        <v>125</v>
      </c>
      <c r="D395" s="124" t="s">
        <v>378</v>
      </c>
      <c r="E395" s="59" t="s">
        <v>379</v>
      </c>
      <c r="F395" s="54"/>
      <c r="G395" s="29"/>
      <c r="H395" s="53">
        <v>16752</v>
      </c>
      <c r="I395" s="53" t="s">
        <v>87</v>
      </c>
      <c r="J395" s="34">
        <v>0</v>
      </c>
      <c r="K395" s="116">
        <v>0</v>
      </c>
      <c r="L395" s="114">
        <v>4188</v>
      </c>
      <c r="M395" s="114">
        <v>16752</v>
      </c>
      <c r="N395" s="114">
        <v>1203</v>
      </c>
      <c r="O395" s="114">
        <v>4420</v>
      </c>
      <c r="P395" s="114">
        <v>1843</v>
      </c>
      <c r="Q395" s="114">
        <v>4420</v>
      </c>
      <c r="R395" s="114">
        <v>1675.2</v>
      </c>
      <c r="S395" s="114">
        <v>3350</v>
      </c>
      <c r="T395" s="196">
        <v>16752</v>
      </c>
      <c r="U395" s="52">
        <f>IFERROR(INDEX(tblPiNAnalysis[[Site Management ]], MATCH(tblPiNHistorical[[#This Row],[ID]], tblPiNAnalysis[ID], 0)), "")</f>
        <v>0</v>
      </c>
      <c r="V395" s="52">
        <f>IFERROR(INDEX(tblPiNAnalysis[Education], MATCH(tblPiNHistorical[[#This Row],[ID]], tblPiNAnalysis[ID], 0)), "")</f>
        <v>0</v>
      </c>
      <c r="W395" s="28">
        <f>IFERROR(INDEX(tblPiNAnalysis[Food Security and Livlihoods], MATCH(tblPiNHistorical[[#This Row],[ID]], tblPiNAnalysis[ID], 0)), "")</f>
        <v>0</v>
      </c>
      <c r="X395" s="28">
        <f>IFERROR(INDEX(tblPiNAnalysis[[Health ]], MATCH(tblPiNHistorical[[#This Row],[ID]], tblPiNAnalysis[ID], 0)), "")</f>
        <v>0</v>
      </c>
      <c r="Y395" s="28">
        <f>IFERROR(INDEX(tblPiNAnalysis[Nutrition], MATCH(tblPiNHistorical[[#This Row],[ID]], tblPiNAnalysis[ID], 0)), "")</f>
        <v>0</v>
      </c>
      <c r="Z395" s="28">
        <f>IFERROR(INDEX(tblPiNAnalysis[Protection], MATCH(tblPiNHistorical[[#This Row],[ID]], tblPiNAnalysis[ID], 0)), "")</f>
        <v>0</v>
      </c>
      <c r="AA395" s="28">
        <f>IFERROR(INDEX(tblPiNAnalysis[CP], MATCH(tblPiNHistorical[[#This Row],[ID]], tblPiNAnalysis[ID], 0)), "")</f>
        <v>0</v>
      </c>
      <c r="AB395" s="83">
        <f>IFERROR(INDEX(tblPiNAnalysis[GBV], MATCH(tblPiNHistorical[[#This Row],[ID]], tblPiNAnalysis[ID], 0)), "")</f>
        <v>0</v>
      </c>
      <c r="AC395" s="28">
        <f>IFERROR(INDEX(tblPiNAnalysis[Mine Action], MATCH(tblPiNHistorical[[#This Row],[ID]], tblPiNAnalysis[ID], 0)), "")</f>
        <v>0</v>
      </c>
      <c r="AD395" s="83">
        <f>IFERROR(INDEX(tblPiNAnalysis[[Shelter NFI ]], MATCH(tblPiNHistorical[[#This Row],[ID]], tblPiNAnalysis[ID], 0)), "")</f>
        <v>16422</v>
      </c>
      <c r="AE395" s="28">
        <f>IFERROR(INDEX(tblPiNAnalysis[WASH], MATCH(tblPiNHistorical[[#This Row],[ID]], tblPiNAnalysis[ID], 0)), "")</f>
        <v>0</v>
      </c>
      <c r="AF395"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395" s="136" t="str">
        <f>IF(OR(tblPiNHistorical[[#This Row],[Education Old]]="", tblPiNHistorical[[#This Row],[Education Old]]=0, tblPiNHistorical[[#This Row],[Education New]]="", tblPiNHistorical[[#This Row],[Education New]]=0), "", tblPiNHistorical[[#This Row],[Education New]]-tblPiNHistorical[[#This Row],[Education Old]])</f>
        <v/>
      </c>
      <c r="AH395"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395" s="137" t="str">
        <f>IF(OR(tblPiNHistorical[[#This Row],[Health Old]]="", tblPiNHistorical[[#This Row],[Health Old]]=0, tblPiNHistorical[[#This Row],[Health New]]="", tblPiNHistorical[[#This Row],[Health New]]=0), "", tblPiNHistorical[[#This Row],[Health New]]-tblPiNHistorical[[#This Row],[Health Old]])</f>
        <v/>
      </c>
      <c r="AJ395" s="136" t="str">
        <f>IF(OR(tblPiNHistorical[[#This Row],[Nutrition Old]]="", tblPiNHistorical[[#This Row],[Nutrition Old]]=0, tblPiNHistorical[[#This Row],[Nutrition New]]="", tblPiNHistorical[[#This Row],[Nutrition New]]=0), "", tblPiNHistorical[[#This Row],[Nutrition New]]-tblPiNHistorical[[#This Row],[Nutrition Old]])</f>
        <v/>
      </c>
      <c r="AK395" s="136" t="str">
        <f>IF(OR(tblPiNHistorical[[#This Row],[Protection Old]]="", tblPiNHistorical[[#This Row],[Protection Old]]=0, tblPiNHistorical[[#This Row],[Protection New]]="", tblPiNHistorical[[#This Row],[Protection New]]=0), "", tblPiNHistorical[[#This Row],[Protection New]]-tblPiNHistorical[[#This Row],[Protection Old]])</f>
        <v/>
      </c>
      <c r="AL395" s="136" t="str">
        <f>IF(OR(tblPiNHistorical[[#This Row],[CP Old ]]="", tblPiNHistorical[[#This Row],[CP Old ]]=0, tblPiNHistorical[[#This Row],[CP New]]="", tblPiNHistorical[[#This Row],[CP New]]=0), "", tblPiNHistorical[[#This Row],[CP New]]-tblPiNHistorical[[#This Row],[CP Old ]])</f>
        <v/>
      </c>
      <c r="AM395" s="83" t="str">
        <f>IF(OR(tblPiNHistorical[[#This Row],[GBV Old]]="", tblPiNHistorical[[#This Row],[GBV Old]]=0, tblPiNHistorical[[#This Row],[GBV New]]="", tblPiNHistorical[[#This Row],[GBV New]]=0), "", tblPiNHistorical[[#This Row],[GBV New]]-tblPiNHistorical[[#This Row],[GBV Old]])</f>
        <v/>
      </c>
      <c r="AN395" s="83" t="str">
        <f>IF(OR(tblPiNHistorical[[#This Row],[Mine Action Old]]="", tblPiNHistorical[[#This Row],[Mine Action Old]]=0, tblPiNHistorical[[#This Row],[Mine Action New]]="", tblPiNHistorical[[#This Row],[Mine Action New]]=0), "", tblPiNHistorical[[#This Row],[Mine Action New]]-tblPiNHistorical[[#This Row],[Mine Action Old]])</f>
        <v/>
      </c>
      <c r="AO395" s="136">
        <f>IF(OR(tblPiNHistorical[[#This Row],[Shelter NFI Old]]="", tblPiNHistorical[[#This Row],[Shelter NFI Old]]=0, tblPiNHistorical[[#This Row],[Shelter NFI New]]="", tblPiNHistorical[[#This Row],[Shelter NFI New]]=0), "", tblPiNHistorical[[#This Row],[Shelter NFI New]]-tblPiNHistorical[[#This Row],[Shelter NFI Old]])</f>
        <v>13072</v>
      </c>
      <c r="AP395" s="138" t="str">
        <f>IF(OR(tblPiNHistorical[[#This Row],[WASH Old]]="", tblPiNHistorical[[#This Row],[WASH Old]]=0, tblPiNHistorical[[#This Row],[WASH New]]="", tblPiNHistorical[[#This Row],[WASH New]]=0), "", tblPiNHistorical[[#This Row],[WASH New]]-tblPiNHistorical[[#This Row],[WASH Old]])</f>
        <v/>
      </c>
      <c r="AQ395" s="139" t="str">
        <f>IFERROR(ROUND((tblPiNHistorical[[#This Row],[Site Management - New]] - tblPiNHistorical[[#This Row],[Site Management - Old]])/tblPiNHistorical[[#This Row],[Site Management - Old]], 1), "")</f>
        <v/>
      </c>
      <c r="AR395" s="140" t="str">
        <f>IFERROR(ROUND((tblPiNHistorical[[#This Row],[Education New]]-tblPiNHistorical[[#This Row],[Education Old]])/tblPiNHistorical[[#This Row],[Education Old]], 1), "")</f>
        <v/>
      </c>
      <c r="AS395" s="141">
        <f>IFERROR(ROUND((tblPiNHistorical[[#This Row],[Food Security and Livlihoods New]]-tblPiNHistorical[[#This Row],[Food Security and Livlihoods Old]])/tblPiNHistorical[[#This Row],[Food Security and Livlihoods Old]], 1), "")</f>
        <v>-1</v>
      </c>
      <c r="AT395" s="142">
        <f>IFERROR(ROUND((tblPiNHistorical[[#This Row],[Health New]]-tblPiNHistorical[[#This Row],[Health Old]])/tblPiNHistorical[[#This Row],[Health Old]], 1), "")</f>
        <v>-1</v>
      </c>
      <c r="AU395" s="140">
        <f>IFERROR(ROUND((tblPiNHistorical[[#This Row],[Nutrition New]]-tblPiNHistorical[[#This Row],[Nutrition Old]])/tblPiNHistorical[[#This Row],[Nutrition Old]], 1), "")</f>
        <v>-1</v>
      </c>
      <c r="AV395" s="140">
        <f>IFERROR(ROUND((tblPiNHistorical[[#This Row],[Protection New]]-tblPiNHistorical[[#This Row],[Protection Old]])/tblPiNHistorical[[#This Row],[Protection Old]], 1), "")</f>
        <v>-1</v>
      </c>
      <c r="AW395" s="84">
        <f>IFERROR(ROUND((tblPiNHistorical[[#This Row],[CP New]]-tblPiNHistorical[[#This Row],[CP Old ]])/tblPiNHistorical[[#This Row],[CP Old ]], 1), "")</f>
        <v>-1</v>
      </c>
      <c r="AX395" s="84">
        <f>IFERROR(ROUND((tblPiNHistorical[[#This Row],[GBV New]]-tblPiNHistorical[[#This Row],[GBV Old]])/tblPiNHistorical[[#This Row],[GBV Old]], 1), "")</f>
        <v>-1</v>
      </c>
      <c r="AY395" s="84">
        <f>IFERROR(ROUND((tblPiNHistorical[[#This Row],[Mine Action New]]-tblPiNHistorical[[#This Row],[Mine Action Old]])/tblPiNHistorical[[#This Row],[Mine Action Old]], 1), "")</f>
        <v>-1</v>
      </c>
      <c r="AZ395" s="140">
        <f>IFERROR(ROUND((tblPiNHistorical[[#This Row],[Shelter NFI New]]-tblPiNHistorical[[#This Row],[Shelter NFI Old]])/tblPiNHistorical[[#This Row],[Shelter NFI Old]], 1), "")</f>
        <v>3.9</v>
      </c>
      <c r="BA395" s="31">
        <f>IFERROR(ROUND((tblPiNHistorical[[#This Row],[WASH New]]-tblPiNHistorical[[#This Row],[WASH Old]])/tblPiNHistorical[[#This Row],[WASH Old]], 1), "")</f>
        <v>-1</v>
      </c>
    </row>
    <row r="396" spans="1:53" ht="38.25" x14ac:dyDescent="0.25">
      <c r="A396"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Host CommunitySD08104</v>
      </c>
      <c r="B396" s="134" t="s">
        <v>150</v>
      </c>
      <c r="C396" s="124" t="s">
        <v>125</v>
      </c>
      <c r="D396" s="124" t="s">
        <v>370</v>
      </c>
      <c r="E396" s="59" t="s">
        <v>371</v>
      </c>
      <c r="F396" s="54"/>
      <c r="G396" s="29"/>
      <c r="H396" s="53">
        <v>41256</v>
      </c>
      <c r="I396" s="53" t="s">
        <v>87</v>
      </c>
      <c r="J396" s="34">
        <v>0</v>
      </c>
      <c r="K396" s="116">
        <v>15994.9512</v>
      </c>
      <c r="L396" s="114">
        <v>41256</v>
      </c>
      <c r="M396" s="114">
        <v>41256</v>
      </c>
      <c r="N396" s="114">
        <v>1730</v>
      </c>
      <c r="O396" s="114">
        <v>16502.400000000001</v>
      </c>
      <c r="P396" s="114">
        <v>4538</v>
      </c>
      <c r="Q396" s="114">
        <v>10887</v>
      </c>
      <c r="R396" s="114">
        <v>16502.400000000001</v>
      </c>
      <c r="S396" s="114">
        <v>8251</v>
      </c>
      <c r="T396" s="196">
        <v>27785.915999999997</v>
      </c>
      <c r="U396" s="52">
        <f>IFERROR(INDEX(tblPiNAnalysis[[Site Management ]], MATCH(tblPiNHistorical[[#This Row],[ID]], tblPiNAnalysis[ID], 0)), "")</f>
        <v>0</v>
      </c>
      <c r="V396" s="52">
        <f>IFERROR(INDEX(tblPiNAnalysis[Education], MATCH(tblPiNHistorical[[#This Row],[ID]], tblPiNAnalysis[ID], 0)), "")</f>
        <v>0</v>
      </c>
      <c r="W396" s="28">
        <f>IFERROR(INDEX(tblPiNAnalysis[Food Security and Livlihoods], MATCH(tblPiNHistorical[[#This Row],[ID]], tblPiNAnalysis[ID], 0)), "")</f>
        <v>0</v>
      </c>
      <c r="X396" s="28">
        <f>IFERROR(INDEX(tblPiNAnalysis[[Health ]], MATCH(tblPiNHistorical[[#This Row],[ID]], tblPiNAnalysis[ID], 0)), "")</f>
        <v>0</v>
      </c>
      <c r="Y396" s="28">
        <f>IFERROR(INDEX(tblPiNAnalysis[Nutrition], MATCH(tblPiNHistorical[[#This Row],[ID]], tblPiNAnalysis[ID], 0)), "")</f>
        <v>0</v>
      </c>
      <c r="Z396" s="28">
        <f>IFERROR(INDEX(tblPiNAnalysis[Protection], MATCH(tblPiNHistorical[[#This Row],[ID]], tblPiNAnalysis[ID], 0)), "")</f>
        <v>0</v>
      </c>
      <c r="AA396" s="28">
        <f>IFERROR(INDEX(tblPiNAnalysis[CP], MATCH(tblPiNHistorical[[#This Row],[ID]], tblPiNAnalysis[ID], 0)), "")</f>
        <v>0</v>
      </c>
      <c r="AB396" s="83">
        <f>IFERROR(INDEX(tblPiNAnalysis[GBV], MATCH(tblPiNHistorical[[#This Row],[ID]], tblPiNAnalysis[ID], 0)), "")</f>
        <v>0</v>
      </c>
      <c r="AC396" s="28">
        <f>IFERROR(INDEX(tblPiNAnalysis[Mine Action], MATCH(tblPiNHistorical[[#This Row],[ID]], tblPiNAnalysis[ID], 0)), "")</f>
        <v>0</v>
      </c>
      <c r="AD396" s="83">
        <f>IFERROR(INDEX(tblPiNAnalysis[[Shelter NFI ]], MATCH(tblPiNHistorical[[#This Row],[ID]], tblPiNAnalysis[ID], 0)), "")</f>
        <v>44046</v>
      </c>
      <c r="AE396" s="28">
        <f>IFERROR(INDEX(tblPiNAnalysis[WASH], MATCH(tblPiNHistorical[[#This Row],[ID]], tblPiNAnalysis[ID], 0)), "")</f>
        <v>0</v>
      </c>
      <c r="AF396"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396" s="136" t="str">
        <f>IF(OR(tblPiNHistorical[[#This Row],[Education Old]]="", tblPiNHistorical[[#This Row],[Education Old]]=0, tblPiNHistorical[[#This Row],[Education New]]="", tblPiNHistorical[[#This Row],[Education New]]=0), "", tblPiNHistorical[[#This Row],[Education New]]-tblPiNHistorical[[#This Row],[Education Old]])</f>
        <v/>
      </c>
      <c r="AH396"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396" s="137" t="str">
        <f>IF(OR(tblPiNHistorical[[#This Row],[Health Old]]="", tblPiNHistorical[[#This Row],[Health Old]]=0, tblPiNHistorical[[#This Row],[Health New]]="", tblPiNHistorical[[#This Row],[Health New]]=0), "", tblPiNHistorical[[#This Row],[Health New]]-tblPiNHistorical[[#This Row],[Health Old]])</f>
        <v/>
      </c>
      <c r="AJ396" s="136" t="str">
        <f>IF(OR(tblPiNHistorical[[#This Row],[Nutrition Old]]="", tblPiNHistorical[[#This Row],[Nutrition Old]]=0, tblPiNHistorical[[#This Row],[Nutrition New]]="", tblPiNHistorical[[#This Row],[Nutrition New]]=0), "", tblPiNHistorical[[#This Row],[Nutrition New]]-tblPiNHistorical[[#This Row],[Nutrition Old]])</f>
        <v/>
      </c>
      <c r="AK396" s="136" t="str">
        <f>IF(OR(tblPiNHistorical[[#This Row],[Protection Old]]="", tblPiNHistorical[[#This Row],[Protection Old]]=0, tblPiNHistorical[[#This Row],[Protection New]]="", tblPiNHistorical[[#This Row],[Protection New]]=0), "", tblPiNHistorical[[#This Row],[Protection New]]-tblPiNHistorical[[#This Row],[Protection Old]])</f>
        <v/>
      </c>
      <c r="AL396" s="136" t="str">
        <f>IF(OR(tblPiNHistorical[[#This Row],[CP Old ]]="", tblPiNHistorical[[#This Row],[CP Old ]]=0, tblPiNHistorical[[#This Row],[CP New]]="", tblPiNHistorical[[#This Row],[CP New]]=0), "", tblPiNHistorical[[#This Row],[CP New]]-tblPiNHistorical[[#This Row],[CP Old ]])</f>
        <v/>
      </c>
      <c r="AM396" s="83" t="str">
        <f>IF(OR(tblPiNHistorical[[#This Row],[GBV Old]]="", tblPiNHistorical[[#This Row],[GBV Old]]=0, tblPiNHistorical[[#This Row],[GBV New]]="", tblPiNHistorical[[#This Row],[GBV New]]=0), "", tblPiNHistorical[[#This Row],[GBV New]]-tblPiNHistorical[[#This Row],[GBV Old]])</f>
        <v/>
      </c>
      <c r="AN396" s="83" t="str">
        <f>IF(OR(tblPiNHistorical[[#This Row],[Mine Action Old]]="", tblPiNHistorical[[#This Row],[Mine Action Old]]=0, tblPiNHistorical[[#This Row],[Mine Action New]]="", tblPiNHistorical[[#This Row],[Mine Action New]]=0), "", tblPiNHistorical[[#This Row],[Mine Action New]]-tblPiNHistorical[[#This Row],[Mine Action Old]])</f>
        <v/>
      </c>
      <c r="AO396" s="136">
        <f>IF(OR(tblPiNHistorical[[#This Row],[Shelter NFI Old]]="", tblPiNHistorical[[#This Row],[Shelter NFI Old]]=0, tblPiNHistorical[[#This Row],[Shelter NFI New]]="", tblPiNHistorical[[#This Row],[Shelter NFI New]]=0), "", tblPiNHistorical[[#This Row],[Shelter NFI New]]-tblPiNHistorical[[#This Row],[Shelter NFI Old]])</f>
        <v>35795</v>
      </c>
      <c r="AP396" s="138" t="str">
        <f>IF(OR(tblPiNHistorical[[#This Row],[WASH Old]]="", tblPiNHistorical[[#This Row],[WASH Old]]=0, tblPiNHistorical[[#This Row],[WASH New]]="", tblPiNHistorical[[#This Row],[WASH New]]=0), "", tblPiNHistorical[[#This Row],[WASH New]]-tblPiNHistorical[[#This Row],[WASH Old]])</f>
        <v/>
      </c>
      <c r="AQ396" s="139" t="str">
        <f>IFERROR(ROUND((tblPiNHistorical[[#This Row],[Site Management - New]] - tblPiNHistorical[[#This Row],[Site Management - Old]])/tblPiNHistorical[[#This Row],[Site Management - Old]], 1), "")</f>
        <v/>
      </c>
      <c r="AR396" s="140">
        <f>IFERROR(ROUND((tblPiNHistorical[[#This Row],[Education New]]-tblPiNHistorical[[#This Row],[Education Old]])/tblPiNHistorical[[#This Row],[Education Old]], 1), "")</f>
        <v>-1</v>
      </c>
      <c r="AS396" s="141">
        <f>IFERROR(ROUND((tblPiNHistorical[[#This Row],[Food Security and Livlihoods New]]-tblPiNHistorical[[#This Row],[Food Security and Livlihoods Old]])/tblPiNHistorical[[#This Row],[Food Security and Livlihoods Old]], 1), "")</f>
        <v>-1</v>
      </c>
      <c r="AT396" s="142">
        <f>IFERROR(ROUND((tblPiNHistorical[[#This Row],[Health New]]-tblPiNHistorical[[#This Row],[Health Old]])/tblPiNHistorical[[#This Row],[Health Old]], 1), "")</f>
        <v>-1</v>
      </c>
      <c r="AU396" s="140">
        <f>IFERROR(ROUND((tblPiNHistorical[[#This Row],[Nutrition New]]-tblPiNHistorical[[#This Row],[Nutrition Old]])/tblPiNHistorical[[#This Row],[Nutrition Old]], 1), "")</f>
        <v>-1</v>
      </c>
      <c r="AV396" s="140">
        <f>IFERROR(ROUND((tblPiNHistorical[[#This Row],[Protection New]]-tblPiNHistorical[[#This Row],[Protection Old]])/tblPiNHistorical[[#This Row],[Protection Old]], 1), "")</f>
        <v>-1</v>
      </c>
      <c r="AW396" s="84">
        <f>IFERROR(ROUND((tblPiNHistorical[[#This Row],[CP New]]-tblPiNHistorical[[#This Row],[CP Old ]])/tblPiNHistorical[[#This Row],[CP Old ]], 1), "")</f>
        <v>-1</v>
      </c>
      <c r="AX396" s="84">
        <f>IFERROR(ROUND((tblPiNHistorical[[#This Row],[GBV New]]-tblPiNHistorical[[#This Row],[GBV Old]])/tblPiNHistorical[[#This Row],[GBV Old]], 1), "")</f>
        <v>-1</v>
      </c>
      <c r="AY396" s="84">
        <f>IFERROR(ROUND((tblPiNHistorical[[#This Row],[Mine Action New]]-tblPiNHistorical[[#This Row],[Mine Action Old]])/tblPiNHistorical[[#This Row],[Mine Action Old]], 1), "")</f>
        <v>-1</v>
      </c>
      <c r="AZ396" s="140">
        <f>IFERROR(ROUND((tblPiNHistorical[[#This Row],[Shelter NFI New]]-tblPiNHistorical[[#This Row],[Shelter NFI Old]])/tblPiNHistorical[[#This Row],[Shelter NFI Old]], 1), "")</f>
        <v>4.3</v>
      </c>
      <c r="BA396" s="31">
        <f>IFERROR(ROUND((tblPiNHistorical[[#This Row],[WASH New]]-tblPiNHistorical[[#This Row],[WASH Old]])/tblPiNHistorical[[#This Row],[WASH Old]], 1), "")</f>
        <v>-1</v>
      </c>
    </row>
    <row r="397" spans="1:53" ht="38.25" x14ac:dyDescent="0.25">
      <c r="A397"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Host CommunitySD08105</v>
      </c>
      <c r="B397" s="134" t="s">
        <v>150</v>
      </c>
      <c r="C397" s="124" t="s">
        <v>125</v>
      </c>
      <c r="D397" s="124" t="s">
        <v>372</v>
      </c>
      <c r="E397" s="59" t="s">
        <v>373</v>
      </c>
      <c r="F397" s="54"/>
      <c r="G397" s="29"/>
      <c r="H397" s="53">
        <v>49843</v>
      </c>
      <c r="I397" s="53" t="s">
        <v>87</v>
      </c>
      <c r="J397" s="34">
        <v>0</v>
      </c>
      <c r="K397" s="116">
        <v>0</v>
      </c>
      <c r="L397" s="114">
        <v>12460.75</v>
      </c>
      <c r="M397" s="114">
        <v>49843</v>
      </c>
      <c r="N397" s="114">
        <v>3286</v>
      </c>
      <c r="O397" s="114">
        <v>15782</v>
      </c>
      <c r="P397" s="114">
        <v>5483</v>
      </c>
      <c r="Q397" s="114">
        <v>15782</v>
      </c>
      <c r="R397" s="114">
        <v>4984.3</v>
      </c>
      <c r="S397" s="114">
        <v>9969</v>
      </c>
      <c r="T397" s="196">
        <v>31889.5514</v>
      </c>
      <c r="U397" s="52">
        <f>IFERROR(INDEX(tblPiNAnalysis[[Site Management ]], MATCH(tblPiNHistorical[[#This Row],[ID]], tblPiNAnalysis[ID], 0)), "")</f>
        <v>0</v>
      </c>
      <c r="V397" s="52">
        <f>IFERROR(INDEX(tblPiNAnalysis[Education], MATCH(tblPiNHistorical[[#This Row],[ID]], tblPiNAnalysis[ID], 0)), "")</f>
        <v>0</v>
      </c>
      <c r="W397" s="28">
        <f>IFERROR(INDEX(tblPiNAnalysis[Food Security and Livlihoods], MATCH(tblPiNHistorical[[#This Row],[ID]], tblPiNAnalysis[ID], 0)), "")</f>
        <v>0</v>
      </c>
      <c r="X397" s="28">
        <f>IFERROR(INDEX(tblPiNAnalysis[[Health ]], MATCH(tblPiNHistorical[[#This Row],[ID]], tblPiNAnalysis[ID], 0)), "")</f>
        <v>0</v>
      </c>
      <c r="Y397" s="28">
        <f>IFERROR(INDEX(tblPiNAnalysis[Nutrition], MATCH(tblPiNHistorical[[#This Row],[ID]], tblPiNAnalysis[ID], 0)), "")</f>
        <v>0</v>
      </c>
      <c r="Z397" s="28">
        <f>IFERROR(INDEX(tblPiNAnalysis[Protection], MATCH(tblPiNHistorical[[#This Row],[ID]], tblPiNAnalysis[ID], 0)), "")</f>
        <v>0</v>
      </c>
      <c r="AA397" s="28">
        <f>IFERROR(INDEX(tblPiNAnalysis[CP], MATCH(tblPiNHistorical[[#This Row],[ID]], tblPiNAnalysis[ID], 0)), "")</f>
        <v>0</v>
      </c>
      <c r="AB397" s="83">
        <f>IFERROR(INDEX(tblPiNAnalysis[GBV], MATCH(tblPiNHistorical[[#This Row],[ID]], tblPiNAnalysis[ID], 0)), "")</f>
        <v>0</v>
      </c>
      <c r="AC397" s="28">
        <f>IFERROR(INDEX(tblPiNAnalysis[Mine Action], MATCH(tblPiNHistorical[[#This Row],[ID]], tblPiNAnalysis[ID], 0)), "")</f>
        <v>0</v>
      </c>
      <c r="AD397" s="83">
        <f>IFERROR(INDEX(tblPiNAnalysis[[Shelter NFI ]], MATCH(tblPiNHistorical[[#This Row],[ID]], tblPiNAnalysis[ID], 0)), "")</f>
        <v>77968</v>
      </c>
      <c r="AE397" s="28">
        <f>IFERROR(INDEX(tblPiNAnalysis[WASH], MATCH(tblPiNHistorical[[#This Row],[ID]], tblPiNAnalysis[ID], 0)), "")</f>
        <v>0</v>
      </c>
      <c r="AF397"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397" s="136" t="str">
        <f>IF(OR(tblPiNHistorical[[#This Row],[Education Old]]="", tblPiNHistorical[[#This Row],[Education Old]]=0, tblPiNHistorical[[#This Row],[Education New]]="", tblPiNHistorical[[#This Row],[Education New]]=0), "", tblPiNHistorical[[#This Row],[Education New]]-tblPiNHistorical[[#This Row],[Education Old]])</f>
        <v/>
      </c>
      <c r="AH397"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397" s="137" t="str">
        <f>IF(OR(tblPiNHistorical[[#This Row],[Health Old]]="", tblPiNHistorical[[#This Row],[Health Old]]=0, tblPiNHistorical[[#This Row],[Health New]]="", tblPiNHistorical[[#This Row],[Health New]]=0), "", tblPiNHistorical[[#This Row],[Health New]]-tblPiNHistorical[[#This Row],[Health Old]])</f>
        <v/>
      </c>
      <c r="AJ397" s="136" t="str">
        <f>IF(OR(tblPiNHistorical[[#This Row],[Nutrition Old]]="", tblPiNHistorical[[#This Row],[Nutrition Old]]=0, tblPiNHistorical[[#This Row],[Nutrition New]]="", tblPiNHistorical[[#This Row],[Nutrition New]]=0), "", tblPiNHistorical[[#This Row],[Nutrition New]]-tblPiNHistorical[[#This Row],[Nutrition Old]])</f>
        <v/>
      </c>
      <c r="AK397" s="136" t="str">
        <f>IF(OR(tblPiNHistorical[[#This Row],[Protection Old]]="", tblPiNHistorical[[#This Row],[Protection Old]]=0, tblPiNHistorical[[#This Row],[Protection New]]="", tblPiNHistorical[[#This Row],[Protection New]]=0), "", tblPiNHistorical[[#This Row],[Protection New]]-tblPiNHistorical[[#This Row],[Protection Old]])</f>
        <v/>
      </c>
      <c r="AL397" s="136" t="str">
        <f>IF(OR(tblPiNHistorical[[#This Row],[CP Old ]]="", tblPiNHistorical[[#This Row],[CP Old ]]=0, tblPiNHistorical[[#This Row],[CP New]]="", tblPiNHistorical[[#This Row],[CP New]]=0), "", tblPiNHistorical[[#This Row],[CP New]]-tblPiNHistorical[[#This Row],[CP Old ]])</f>
        <v/>
      </c>
      <c r="AM397" s="83" t="str">
        <f>IF(OR(tblPiNHistorical[[#This Row],[GBV Old]]="", tblPiNHistorical[[#This Row],[GBV Old]]=0, tblPiNHistorical[[#This Row],[GBV New]]="", tblPiNHistorical[[#This Row],[GBV New]]=0), "", tblPiNHistorical[[#This Row],[GBV New]]-tblPiNHistorical[[#This Row],[GBV Old]])</f>
        <v/>
      </c>
      <c r="AN397" s="83" t="str">
        <f>IF(OR(tblPiNHistorical[[#This Row],[Mine Action Old]]="", tblPiNHistorical[[#This Row],[Mine Action Old]]=0, tblPiNHistorical[[#This Row],[Mine Action New]]="", tblPiNHistorical[[#This Row],[Mine Action New]]=0), "", tblPiNHistorical[[#This Row],[Mine Action New]]-tblPiNHistorical[[#This Row],[Mine Action Old]])</f>
        <v/>
      </c>
      <c r="AO397" s="136">
        <f>IF(OR(tblPiNHistorical[[#This Row],[Shelter NFI Old]]="", tblPiNHistorical[[#This Row],[Shelter NFI Old]]=0, tblPiNHistorical[[#This Row],[Shelter NFI New]]="", tblPiNHistorical[[#This Row],[Shelter NFI New]]=0), "", tblPiNHistorical[[#This Row],[Shelter NFI New]]-tblPiNHistorical[[#This Row],[Shelter NFI Old]])</f>
        <v>67999</v>
      </c>
      <c r="AP397" s="138" t="str">
        <f>IF(OR(tblPiNHistorical[[#This Row],[WASH Old]]="", tblPiNHistorical[[#This Row],[WASH Old]]=0, tblPiNHistorical[[#This Row],[WASH New]]="", tblPiNHistorical[[#This Row],[WASH New]]=0), "", tblPiNHistorical[[#This Row],[WASH New]]-tblPiNHistorical[[#This Row],[WASH Old]])</f>
        <v/>
      </c>
      <c r="AQ397" s="139" t="str">
        <f>IFERROR(ROUND((tblPiNHistorical[[#This Row],[Site Management - New]] - tblPiNHistorical[[#This Row],[Site Management - Old]])/tblPiNHistorical[[#This Row],[Site Management - Old]], 1), "")</f>
        <v/>
      </c>
      <c r="AR397" s="140" t="str">
        <f>IFERROR(ROUND((tblPiNHistorical[[#This Row],[Education New]]-tblPiNHistorical[[#This Row],[Education Old]])/tblPiNHistorical[[#This Row],[Education Old]], 1), "")</f>
        <v/>
      </c>
      <c r="AS397" s="141">
        <f>IFERROR(ROUND((tblPiNHistorical[[#This Row],[Food Security and Livlihoods New]]-tblPiNHistorical[[#This Row],[Food Security and Livlihoods Old]])/tblPiNHistorical[[#This Row],[Food Security and Livlihoods Old]], 1), "")</f>
        <v>-1</v>
      </c>
      <c r="AT397" s="142">
        <f>IFERROR(ROUND((tblPiNHistorical[[#This Row],[Health New]]-tblPiNHistorical[[#This Row],[Health Old]])/tblPiNHistorical[[#This Row],[Health Old]], 1), "")</f>
        <v>-1</v>
      </c>
      <c r="AU397" s="140">
        <f>IFERROR(ROUND((tblPiNHistorical[[#This Row],[Nutrition New]]-tblPiNHistorical[[#This Row],[Nutrition Old]])/tblPiNHistorical[[#This Row],[Nutrition Old]], 1), "")</f>
        <v>-1</v>
      </c>
      <c r="AV397" s="140">
        <f>IFERROR(ROUND((tblPiNHistorical[[#This Row],[Protection New]]-tblPiNHistorical[[#This Row],[Protection Old]])/tblPiNHistorical[[#This Row],[Protection Old]], 1), "")</f>
        <v>-1</v>
      </c>
      <c r="AW397" s="84">
        <f>IFERROR(ROUND((tblPiNHistorical[[#This Row],[CP New]]-tblPiNHistorical[[#This Row],[CP Old ]])/tblPiNHistorical[[#This Row],[CP Old ]], 1), "")</f>
        <v>-1</v>
      </c>
      <c r="AX397" s="84">
        <f>IFERROR(ROUND((tblPiNHistorical[[#This Row],[GBV New]]-tblPiNHistorical[[#This Row],[GBV Old]])/tblPiNHistorical[[#This Row],[GBV Old]], 1), "")</f>
        <v>-1</v>
      </c>
      <c r="AY397" s="84">
        <f>IFERROR(ROUND((tblPiNHistorical[[#This Row],[Mine Action New]]-tblPiNHistorical[[#This Row],[Mine Action Old]])/tblPiNHistorical[[#This Row],[Mine Action Old]], 1), "")</f>
        <v>-1</v>
      </c>
      <c r="AZ397" s="140">
        <f>IFERROR(ROUND((tblPiNHistorical[[#This Row],[Shelter NFI New]]-tblPiNHistorical[[#This Row],[Shelter NFI Old]])/tblPiNHistorical[[#This Row],[Shelter NFI Old]], 1), "")</f>
        <v>6.8</v>
      </c>
      <c r="BA397" s="31">
        <f>IFERROR(ROUND((tblPiNHistorical[[#This Row],[WASH New]]-tblPiNHistorical[[#This Row],[WASH Old]])/tblPiNHistorical[[#This Row],[WASH Old]], 1), "")</f>
        <v>-1</v>
      </c>
    </row>
    <row r="398" spans="1:53" ht="38.25" x14ac:dyDescent="0.25">
      <c r="A398"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Host CommunitySD08109</v>
      </c>
      <c r="B398" s="134" t="s">
        <v>150</v>
      </c>
      <c r="C398" s="124" t="s">
        <v>125</v>
      </c>
      <c r="D398" s="124" t="s">
        <v>380</v>
      </c>
      <c r="E398" s="59" t="s">
        <v>381</v>
      </c>
      <c r="F398" s="54"/>
      <c r="G398" s="29"/>
      <c r="H398" s="53">
        <v>29421</v>
      </c>
      <c r="I398" s="53" t="s">
        <v>87</v>
      </c>
      <c r="J398" s="34">
        <v>0</v>
      </c>
      <c r="K398" s="116">
        <v>11406.521699999999</v>
      </c>
      <c r="L398" s="114">
        <v>29421</v>
      </c>
      <c r="M398" s="114">
        <v>29421</v>
      </c>
      <c r="N398" s="114">
        <v>1336</v>
      </c>
      <c r="O398" s="114">
        <v>11768.400000000001</v>
      </c>
      <c r="P398" s="114">
        <v>3236</v>
      </c>
      <c r="Q398" s="114">
        <v>7764</v>
      </c>
      <c r="R398" s="114">
        <v>11768.400000000001</v>
      </c>
      <c r="S398" s="114">
        <v>5884</v>
      </c>
      <c r="T398" s="196">
        <v>18794.1348</v>
      </c>
      <c r="U398" s="52">
        <f>IFERROR(INDEX(tblPiNAnalysis[[Site Management ]], MATCH(tblPiNHistorical[[#This Row],[ID]], tblPiNAnalysis[ID], 0)), "")</f>
        <v>0</v>
      </c>
      <c r="V398" s="52">
        <f>IFERROR(INDEX(tblPiNAnalysis[Education], MATCH(tblPiNHistorical[[#This Row],[ID]], tblPiNAnalysis[ID], 0)), "")</f>
        <v>0</v>
      </c>
      <c r="W398" s="28">
        <f>IFERROR(INDEX(tblPiNAnalysis[Food Security and Livlihoods], MATCH(tblPiNHistorical[[#This Row],[ID]], tblPiNAnalysis[ID], 0)), "")</f>
        <v>0</v>
      </c>
      <c r="X398" s="28">
        <f>IFERROR(INDEX(tblPiNAnalysis[[Health ]], MATCH(tblPiNHistorical[[#This Row],[ID]], tblPiNAnalysis[ID], 0)), "")</f>
        <v>0</v>
      </c>
      <c r="Y398" s="28">
        <f>IFERROR(INDEX(tblPiNAnalysis[Nutrition], MATCH(tblPiNHistorical[[#This Row],[ID]], tblPiNAnalysis[ID], 0)), "")</f>
        <v>0</v>
      </c>
      <c r="Z398" s="28">
        <f>IFERROR(INDEX(tblPiNAnalysis[Protection], MATCH(tblPiNHistorical[[#This Row],[ID]], tblPiNAnalysis[ID], 0)), "")</f>
        <v>0</v>
      </c>
      <c r="AA398" s="28">
        <f>IFERROR(INDEX(tblPiNAnalysis[CP], MATCH(tblPiNHistorical[[#This Row],[ID]], tblPiNAnalysis[ID], 0)), "")</f>
        <v>0</v>
      </c>
      <c r="AB398" s="83">
        <f>IFERROR(INDEX(tblPiNAnalysis[GBV], MATCH(tblPiNHistorical[[#This Row],[ID]], tblPiNAnalysis[ID], 0)), "")</f>
        <v>0</v>
      </c>
      <c r="AC398" s="28">
        <f>IFERROR(INDEX(tblPiNAnalysis[Mine Action], MATCH(tblPiNHistorical[[#This Row],[ID]], tblPiNAnalysis[ID], 0)), "")</f>
        <v>0</v>
      </c>
      <c r="AD398" s="83">
        <f>IFERROR(INDEX(tblPiNAnalysis[[Shelter NFI ]], MATCH(tblPiNHistorical[[#This Row],[ID]], tblPiNAnalysis[ID], 0)), "")</f>
        <v>22198</v>
      </c>
      <c r="AE398" s="28">
        <f>IFERROR(INDEX(tblPiNAnalysis[WASH], MATCH(tblPiNHistorical[[#This Row],[ID]], tblPiNAnalysis[ID], 0)), "")</f>
        <v>0</v>
      </c>
      <c r="AF398"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398" s="136" t="str">
        <f>IF(OR(tblPiNHistorical[[#This Row],[Education Old]]="", tblPiNHistorical[[#This Row],[Education Old]]=0, tblPiNHistorical[[#This Row],[Education New]]="", tblPiNHistorical[[#This Row],[Education New]]=0), "", tblPiNHistorical[[#This Row],[Education New]]-tblPiNHistorical[[#This Row],[Education Old]])</f>
        <v/>
      </c>
      <c r="AH398"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398" s="137" t="str">
        <f>IF(OR(tblPiNHistorical[[#This Row],[Health Old]]="", tblPiNHistorical[[#This Row],[Health Old]]=0, tblPiNHistorical[[#This Row],[Health New]]="", tblPiNHistorical[[#This Row],[Health New]]=0), "", tblPiNHistorical[[#This Row],[Health New]]-tblPiNHistorical[[#This Row],[Health Old]])</f>
        <v/>
      </c>
      <c r="AJ398" s="136" t="str">
        <f>IF(OR(tblPiNHistorical[[#This Row],[Nutrition Old]]="", tblPiNHistorical[[#This Row],[Nutrition Old]]=0, tblPiNHistorical[[#This Row],[Nutrition New]]="", tblPiNHistorical[[#This Row],[Nutrition New]]=0), "", tblPiNHistorical[[#This Row],[Nutrition New]]-tblPiNHistorical[[#This Row],[Nutrition Old]])</f>
        <v/>
      </c>
      <c r="AK398" s="136" t="str">
        <f>IF(OR(tblPiNHistorical[[#This Row],[Protection Old]]="", tblPiNHistorical[[#This Row],[Protection Old]]=0, tblPiNHistorical[[#This Row],[Protection New]]="", tblPiNHistorical[[#This Row],[Protection New]]=0), "", tblPiNHistorical[[#This Row],[Protection New]]-tblPiNHistorical[[#This Row],[Protection Old]])</f>
        <v/>
      </c>
      <c r="AL398" s="136" t="str">
        <f>IF(OR(tblPiNHistorical[[#This Row],[CP Old ]]="", tblPiNHistorical[[#This Row],[CP Old ]]=0, tblPiNHistorical[[#This Row],[CP New]]="", tblPiNHistorical[[#This Row],[CP New]]=0), "", tblPiNHistorical[[#This Row],[CP New]]-tblPiNHistorical[[#This Row],[CP Old ]])</f>
        <v/>
      </c>
      <c r="AM398" s="83" t="str">
        <f>IF(OR(tblPiNHistorical[[#This Row],[GBV Old]]="", tblPiNHistorical[[#This Row],[GBV Old]]=0, tblPiNHistorical[[#This Row],[GBV New]]="", tblPiNHistorical[[#This Row],[GBV New]]=0), "", tblPiNHistorical[[#This Row],[GBV New]]-tblPiNHistorical[[#This Row],[GBV Old]])</f>
        <v/>
      </c>
      <c r="AN398" s="83" t="str">
        <f>IF(OR(tblPiNHistorical[[#This Row],[Mine Action Old]]="", tblPiNHistorical[[#This Row],[Mine Action Old]]=0, tblPiNHistorical[[#This Row],[Mine Action New]]="", tblPiNHistorical[[#This Row],[Mine Action New]]=0), "", tblPiNHistorical[[#This Row],[Mine Action New]]-tblPiNHistorical[[#This Row],[Mine Action Old]])</f>
        <v/>
      </c>
      <c r="AO398" s="136">
        <f>IF(OR(tblPiNHistorical[[#This Row],[Shelter NFI Old]]="", tblPiNHistorical[[#This Row],[Shelter NFI Old]]=0, tblPiNHistorical[[#This Row],[Shelter NFI New]]="", tblPiNHistorical[[#This Row],[Shelter NFI New]]=0), "", tblPiNHistorical[[#This Row],[Shelter NFI New]]-tblPiNHistorical[[#This Row],[Shelter NFI Old]])</f>
        <v>16314</v>
      </c>
      <c r="AP398" s="138" t="str">
        <f>IF(OR(tblPiNHistorical[[#This Row],[WASH Old]]="", tblPiNHistorical[[#This Row],[WASH Old]]=0, tblPiNHistorical[[#This Row],[WASH New]]="", tblPiNHistorical[[#This Row],[WASH New]]=0), "", tblPiNHistorical[[#This Row],[WASH New]]-tblPiNHistorical[[#This Row],[WASH Old]])</f>
        <v/>
      </c>
      <c r="AQ398" s="139" t="str">
        <f>IFERROR(ROUND((tblPiNHistorical[[#This Row],[Site Management - New]] - tblPiNHistorical[[#This Row],[Site Management - Old]])/tblPiNHistorical[[#This Row],[Site Management - Old]], 1), "")</f>
        <v/>
      </c>
      <c r="AR398" s="140">
        <f>IFERROR(ROUND((tblPiNHistorical[[#This Row],[Education New]]-tblPiNHistorical[[#This Row],[Education Old]])/tblPiNHistorical[[#This Row],[Education Old]], 1), "")</f>
        <v>-1</v>
      </c>
      <c r="AS398" s="141">
        <f>IFERROR(ROUND((tblPiNHistorical[[#This Row],[Food Security and Livlihoods New]]-tblPiNHistorical[[#This Row],[Food Security and Livlihoods Old]])/tblPiNHistorical[[#This Row],[Food Security and Livlihoods Old]], 1), "")</f>
        <v>-1</v>
      </c>
      <c r="AT398" s="142">
        <f>IFERROR(ROUND((tblPiNHistorical[[#This Row],[Health New]]-tblPiNHistorical[[#This Row],[Health Old]])/tblPiNHistorical[[#This Row],[Health Old]], 1), "")</f>
        <v>-1</v>
      </c>
      <c r="AU398" s="140">
        <f>IFERROR(ROUND((tblPiNHistorical[[#This Row],[Nutrition New]]-tblPiNHistorical[[#This Row],[Nutrition Old]])/tblPiNHistorical[[#This Row],[Nutrition Old]], 1), "")</f>
        <v>-1</v>
      </c>
      <c r="AV398" s="140">
        <f>IFERROR(ROUND((tblPiNHistorical[[#This Row],[Protection New]]-tblPiNHistorical[[#This Row],[Protection Old]])/tblPiNHistorical[[#This Row],[Protection Old]], 1), "")</f>
        <v>-1</v>
      </c>
      <c r="AW398" s="84">
        <f>IFERROR(ROUND((tblPiNHistorical[[#This Row],[CP New]]-tblPiNHistorical[[#This Row],[CP Old ]])/tblPiNHistorical[[#This Row],[CP Old ]], 1), "")</f>
        <v>-1</v>
      </c>
      <c r="AX398" s="84">
        <f>IFERROR(ROUND((tblPiNHistorical[[#This Row],[GBV New]]-tblPiNHistorical[[#This Row],[GBV Old]])/tblPiNHistorical[[#This Row],[GBV Old]], 1), "")</f>
        <v>-1</v>
      </c>
      <c r="AY398" s="84">
        <f>IFERROR(ROUND((tblPiNHistorical[[#This Row],[Mine Action New]]-tblPiNHistorical[[#This Row],[Mine Action Old]])/tblPiNHistorical[[#This Row],[Mine Action Old]], 1), "")</f>
        <v>-1</v>
      </c>
      <c r="AZ398" s="140">
        <f>IFERROR(ROUND((tblPiNHistorical[[#This Row],[Shelter NFI New]]-tblPiNHistorical[[#This Row],[Shelter NFI Old]])/tblPiNHistorical[[#This Row],[Shelter NFI Old]], 1), "")</f>
        <v>2.8</v>
      </c>
      <c r="BA398" s="31">
        <f>IFERROR(ROUND((tblPiNHistorical[[#This Row],[WASH New]]-tblPiNHistorical[[#This Row],[WASH Old]])/tblPiNHistorical[[#This Row],[WASH Old]], 1), "")</f>
        <v>-1</v>
      </c>
    </row>
    <row r="399" spans="1:53" ht="38.25" x14ac:dyDescent="0.25">
      <c r="A399"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Host CommunitySD08110</v>
      </c>
      <c r="B399" s="134" t="s">
        <v>150</v>
      </c>
      <c r="C399" s="124" t="s">
        <v>125</v>
      </c>
      <c r="D399" s="124" t="s">
        <v>382</v>
      </c>
      <c r="E399" s="59" t="s">
        <v>383</v>
      </c>
      <c r="F399" s="54"/>
      <c r="G399" s="29"/>
      <c r="H399" s="53">
        <v>20340</v>
      </c>
      <c r="I399" s="53" t="s">
        <v>87</v>
      </c>
      <c r="J399" s="34">
        <v>0</v>
      </c>
      <c r="K399" s="116">
        <v>7885.8180000000002</v>
      </c>
      <c r="L399" s="114">
        <v>20340</v>
      </c>
      <c r="M399" s="114">
        <v>20340</v>
      </c>
      <c r="N399" s="114">
        <v>1332</v>
      </c>
      <c r="O399" s="114">
        <v>5368</v>
      </c>
      <c r="P399" s="114">
        <v>2237</v>
      </c>
      <c r="Q399" s="114">
        <v>5368</v>
      </c>
      <c r="R399" s="114">
        <v>0</v>
      </c>
      <c r="S399" s="114">
        <v>4068</v>
      </c>
      <c r="T399" s="196">
        <v>10074.402</v>
      </c>
      <c r="U399" s="52">
        <f>IFERROR(INDEX(tblPiNAnalysis[[Site Management ]], MATCH(tblPiNHistorical[[#This Row],[ID]], tblPiNAnalysis[ID], 0)), "")</f>
        <v>0</v>
      </c>
      <c r="V399" s="52">
        <f>IFERROR(INDEX(tblPiNAnalysis[Education], MATCH(tblPiNHistorical[[#This Row],[ID]], tblPiNAnalysis[ID], 0)), "")</f>
        <v>0</v>
      </c>
      <c r="W399" s="28">
        <f>IFERROR(INDEX(tblPiNAnalysis[Food Security and Livlihoods], MATCH(tblPiNHistorical[[#This Row],[ID]], tblPiNAnalysis[ID], 0)), "")</f>
        <v>0</v>
      </c>
      <c r="X399" s="28">
        <f>IFERROR(INDEX(tblPiNAnalysis[[Health ]], MATCH(tblPiNHistorical[[#This Row],[ID]], tblPiNAnalysis[ID], 0)), "")</f>
        <v>0</v>
      </c>
      <c r="Y399" s="28">
        <f>IFERROR(INDEX(tblPiNAnalysis[Nutrition], MATCH(tblPiNHistorical[[#This Row],[ID]], tblPiNAnalysis[ID], 0)), "")</f>
        <v>0</v>
      </c>
      <c r="Z399" s="28">
        <f>IFERROR(INDEX(tblPiNAnalysis[Protection], MATCH(tblPiNHistorical[[#This Row],[ID]], tblPiNAnalysis[ID], 0)), "")</f>
        <v>0</v>
      </c>
      <c r="AA399" s="28">
        <f>IFERROR(INDEX(tblPiNAnalysis[CP], MATCH(tblPiNHistorical[[#This Row],[ID]], tblPiNAnalysis[ID], 0)), "")</f>
        <v>0</v>
      </c>
      <c r="AB399" s="83">
        <f>IFERROR(INDEX(tblPiNAnalysis[GBV], MATCH(tblPiNHistorical[[#This Row],[ID]], tblPiNAnalysis[ID], 0)), "")</f>
        <v>0</v>
      </c>
      <c r="AC399" s="28">
        <f>IFERROR(INDEX(tblPiNAnalysis[Mine Action], MATCH(tblPiNHistorical[[#This Row],[ID]], tblPiNAnalysis[ID], 0)), "")</f>
        <v>0</v>
      </c>
      <c r="AD399" s="83">
        <f>IFERROR(INDEX(tblPiNAnalysis[[Shelter NFI ]], MATCH(tblPiNHistorical[[#This Row],[ID]], tblPiNAnalysis[ID], 0)), "")</f>
        <v>9138</v>
      </c>
      <c r="AE399" s="28">
        <f>IFERROR(INDEX(tblPiNAnalysis[WASH], MATCH(tblPiNHistorical[[#This Row],[ID]], tblPiNAnalysis[ID], 0)), "")</f>
        <v>0</v>
      </c>
      <c r="AF399"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399" s="136" t="str">
        <f>IF(OR(tblPiNHistorical[[#This Row],[Education Old]]="", tblPiNHistorical[[#This Row],[Education Old]]=0, tblPiNHistorical[[#This Row],[Education New]]="", tblPiNHistorical[[#This Row],[Education New]]=0), "", tblPiNHistorical[[#This Row],[Education New]]-tblPiNHistorical[[#This Row],[Education Old]])</f>
        <v/>
      </c>
      <c r="AH399"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399" s="137" t="str">
        <f>IF(OR(tblPiNHistorical[[#This Row],[Health Old]]="", tblPiNHistorical[[#This Row],[Health Old]]=0, tblPiNHistorical[[#This Row],[Health New]]="", tblPiNHistorical[[#This Row],[Health New]]=0), "", tblPiNHistorical[[#This Row],[Health New]]-tblPiNHistorical[[#This Row],[Health Old]])</f>
        <v/>
      </c>
      <c r="AJ399" s="136" t="str">
        <f>IF(OR(tblPiNHistorical[[#This Row],[Nutrition Old]]="", tblPiNHistorical[[#This Row],[Nutrition Old]]=0, tblPiNHistorical[[#This Row],[Nutrition New]]="", tblPiNHistorical[[#This Row],[Nutrition New]]=0), "", tblPiNHistorical[[#This Row],[Nutrition New]]-tblPiNHistorical[[#This Row],[Nutrition Old]])</f>
        <v/>
      </c>
      <c r="AK399" s="136" t="str">
        <f>IF(OR(tblPiNHistorical[[#This Row],[Protection Old]]="", tblPiNHistorical[[#This Row],[Protection Old]]=0, tblPiNHistorical[[#This Row],[Protection New]]="", tblPiNHistorical[[#This Row],[Protection New]]=0), "", tblPiNHistorical[[#This Row],[Protection New]]-tblPiNHistorical[[#This Row],[Protection Old]])</f>
        <v/>
      </c>
      <c r="AL399" s="136" t="str">
        <f>IF(OR(tblPiNHistorical[[#This Row],[CP Old ]]="", tblPiNHistorical[[#This Row],[CP Old ]]=0, tblPiNHistorical[[#This Row],[CP New]]="", tblPiNHistorical[[#This Row],[CP New]]=0), "", tblPiNHistorical[[#This Row],[CP New]]-tblPiNHistorical[[#This Row],[CP Old ]])</f>
        <v/>
      </c>
      <c r="AM399" s="83" t="str">
        <f>IF(OR(tblPiNHistorical[[#This Row],[GBV Old]]="", tblPiNHistorical[[#This Row],[GBV Old]]=0, tblPiNHistorical[[#This Row],[GBV New]]="", tblPiNHistorical[[#This Row],[GBV New]]=0), "", tblPiNHistorical[[#This Row],[GBV New]]-tblPiNHistorical[[#This Row],[GBV Old]])</f>
        <v/>
      </c>
      <c r="AN399" s="83" t="str">
        <f>IF(OR(tblPiNHistorical[[#This Row],[Mine Action Old]]="", tblPiNHistorical[[#This Row],[Mine Action Old]]=0, tblPiNHistorical[[#This Row],[Mine Action New]]="", tblPiNHistorical[[#This Row],[Mine Action New]]=0), "", tblPiNHistorical[[#This Row],[Mine Action New]]-tblPiNHistorical[[#This Row],[Mine Action Old]])</f>
        <v/>
      </c>
      <c r="AO399" s="136">
        <f>IF(OR(tblPiNHistorical[[#This Row],[Shelter NFI Old]]="", tblPiNHistorical[[#This Row],[Shelter NFI Old]]=0, tblPiNHistorical[[#This Row],[Shelter NFI New]]="", tblPiNHistorical[[#This Row],[Shelter NFI New]]=0), "", tblPiNHistorical[[#This Row],[Shelter NFI New]]-tblPiNHistorical[[#This Row],[Shelter NFI Old]])</f>
        <v>5070</v>
      </c>
      <c r="AP399" s="138" t="str">
        <f>IF(OR(tblPiNHistorical[[#This Row],[WASH Old]]="", tblPiNHistorical[[#This Row],[WASH Old]]=0, tblPiNHistorical[[#This Row],[WASH New]]="", tblPiNHistorical[[#This Row],[WASH New]]=0), "", tblPiNHistorical[[#This Row],[WASH New]]-tblPiNHistorical[[#This Row],[WASH Old]])</f>
        <v/>
      </c>
      <c r="AQ399" s="139" t="str">
        <f>IFERROR(ROUND((tblPiNHistorical[[#This Row],[Site Management - New]] - tblPiNHistorical[[#This Row],[Site Management - Old]])/tblPiNHistorical[[#This Row],[Site Management - Old]], 1), "")</f>
        <v/>
      </c>
      <c r="AR399" s="140">
        <f>IFERROR(ROUND((tblPiNHistorical[[#This Row],[Education New]]-tblPiNHistorical[[#This Row],[Education Old]])/tblPiNHistorical[[#This Row],[Education Old]], 1), "")</f>
        <v>-1</v>
      </c>
      <c r="AS399" s="141">
        <f>IFERROR(ROUND((tblPiNHistorical[[#This Row],[Food Security and Livlihoods New]]-tblPiNHistorical[[#This Row],[Food Security and Livlihoods Old]])/tblPiNHistorical[[#This Row],[Food Security and Livlihoods Old]], 1), "")</f>
        <v>-1</v>
      </c>
      <c r="AT399" s="142">
        <f>IFERROR(ROUND((tblPiNHistorical[[#This Row],[Health New]]-tblPiNHistorical[[#This Row],[Health Old]])/tblPiNHistorical[[#This Row],[Health Old]], 1), "")</f>
        <v>-1</v>
      </c>
      <c r="AU399" s="140">
        <f>IFERROR(ROUND((tblPiNHistorical[[#This Row],[Nutrition New]]-tblPiNHistorical[[#This Row],[Nutrition Old]])/tblPiNHistorical[[#This Row],[Nutrition Old]], 1), "")</f>
        <v>-1</v>
      </c>
      <c r="AV399" s="140">
        <f>IFERROR(ROUND((tblPiNHistorical[[#This Row],[Protection New]]-tblPiNHistorical[[#This Row],[Protection Old]])/tblPiNHistorical[[#This Row],[Protection Old]], 1), "")</f>
        <v>-1</v>
      </c>
      <c r="AW399" s="84">
        <f>IFERROR(ROUND((tblPiNHistorical[[#This Row],[CP New]]-tblPiNHistorical[[#This Row],[CP Old ]])/tblPiNHistorical[[#This Row],[CP Old ]], 1), "")</f>
        <v>-1</v>
      </c>
      <c r="AX399" s="84">
        <f>IFERROR(ROUND((tblPiNHistorical[[#This Row],[GBV New]]-tblPiNHistorical[[#This Row],[GBV Old]])/tblPiNHistorical[[#This Row],[GBV Old]], 1), "")</f>
        <v>-1</v>
      </c>
      <c r="AY399" s="84" t="str">
        <f>IFERROR(ROUND((tblPiNHistorical[[#This Row],[Mine Action New]]-tblPiNHistorical[[#This Row],[Mine Action Old]])/tblPiNHistorical[[#This Row],[Mine Action Old]], 1), "")</f>
        <v/>
      </c>
      <c r="AZ399" s="140">
        <f>IFERROR(ROUND((tblPiNHistorical[[#This Row],[Shelter NFI New]]-tblPiNHistorical[[#This Row],[Shelter NFI Old]])/tblPiNHistorical[[#This Row],[Shelter NFI Old]], 1), "")</f>
        <v>1.2</v>
      </c>
      <c r="BA399" s="31">
        <f>IFERROR(ROUND((tblPiNHistorical[[#This Row],[WASH New]]-tblPiNHistorical[[#This Row],[WASH Old]])/tblPiNHistorical[[#This Row],[WASH Old]], 1), "")</f>
        <v>-1</v>
      </c>
    </row>
    <row r="400" spans="1:53" ht="38.25" x14ac:dyDescent="0.25">
      <c r="A400"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Host CommunitySD06110</v>
      </c>
      <c r="B400" s="134" t="s">
        <v>141</v>
      </c>
      <c r="C400" s="124" t="s">
        <v>123</v>
      </c>
      <c r="D400" s="124" t="s">
        <v>143</v>
      </c>
      <c r="E400" s="59" t="s">
        <v>142</v>
      </c>
      <c r="F400" s="54"/>
      <c r="G400" s="29"/>
      <c r="H400" s="53">
        <v>69761</v>
      </c>
      <c r="I400" s="53" t="s">
        <v>87</v>
      </c>
      <c r="J400" s="34">
        <v>0</v>
      </c>
      <c r="K400" s="116">
        <v>27046.3397</v>
      </c>
      <c r="L400" s="114">
        <v>69761</v>
      </c>
      <c r="M400" s="114">
        <v>69761</v>
      </c>
      <c r="N400" s="114">
        <v>7856</v>
      </c>
      <c r="O400" s="114">
        <v>22090</v>
      </c>
      <c r="P400" s="114">
        <v>7674</v>
      </c>
      <c r="Q400" s="114">
        <v>22090</v>
      </c>
      <c r="R400" s="114">
        <v>6976.1</v>
      </c>
      <c r="S400" s="114">
        <v>13952</v>
      </c>
      <c r="T400" s="196">
        <v>59394.515400000004</v>
      </c>
      <c r="U400" s="52">
        <f>IFERROR(INDEX(tblPiNAnalysis[[Site Management ]], MATCH(tblPiNHistorical[[#This Row],[ID]], tblPiNAnalysis[ID], 0)), "")</f>
        <v>0</v>
      </c>
      <c r="V400" s="52">
        <f>IFERROR(INDEX(tblPiNAnalysis[Education], MATCH(tblPiNHistorical[[#This Row],[ID]], tblPiNAnalysis[ID], 0)), "")</f>
        <v>0</v>
      </c>
      <c r="W400" s="28">
        <f>IFERROR(INDEX(tblPiNAnalysis[Food Security and Livlihoods], MATCH(tblPiNHistorical[[#This Row],[ID]], tblPiNAnalysis[ID], 0)), "")</f>
        <v>0</v>
      </c>
      <c r="X400" s="28">
        <f>IFERROR(INDEX(tblPiNAnalysis[[Health ]], MATCH(tblPiNHistorical[[#This Row],[ID]], tblPiNAnalysis[ID], 0)), "")</f>
        <v>0</v>
      </c>
      <c r="Y400" s="28">
        <f>IFERROR(INDEX(tblPiNAnalysis[Nutrition], MATCH(tblPiNHistorical[[#This Row],[ID]], tblPiNAnalysis[ID], 0)), "")</f>
        <v>0</v>
      </c>
      <c r="Z400" s="28">
        <f>IFERROR(INDEX(tblPiNAnalysis[Protection], MATCH(tblPiNHistorical[[#This Row],[ID]], tblPiNAnalysis[ID], 0)), "")</f>
        <v>0</v>
      </c>
      <c r="AA400" s="28">
        <f>IFERROR(INDEX(tblPiNAnalysis[CP], MATCH(tblPiNHistorical[[#This Row],[ID]], tblPiNAnalysis[ID], 0)), "")</f>
        <v>0</v>
      </c>
      <c r="AB400" s="83">
        <f>IFERROR(INDEX(tblPiNAnalysis[GBV], MATCH(tblPiNHistorical[[#This Row],[ID]], tblPiNAnalysis[ID], 0)), "")</f>
        <v>0</v>
      </c>
      <c r="AC400" s="28">
        <f>IFERROR(INDEX(tblPiNAnalysis[Mine Action], MATCH(tblPiNHistorical[[#This Row],[ID]], tblPiNAnalysis[ID], 0)), "")</f>
        <v>0</v>
      </c>
      <c r="AD400" s="83">
        <f>IFERROR(INDEX(tblPiNAnalysis[[Shelter NFI ]], MATCH(tblPiNHistorical[[#This Row],[ID]], tblPiNAnalysis[ID], 0)), "")</f>
        <v>0</v>
      </c>
      <c r="AE400" s="28">
        <f>IFERROR(INDEX(tblPiNAnalysis[WASH], MATCH(tblPiNHistorical[[#This Row],[ID]], tblPiNAnalysis[ID], 0)), "")</f>
        <v>0</v>
      </c>
      <c r="AF400"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400" s="136" t="str">
        <f>IF(OR(tblPiNHistorical[[#This Row],[Education Old]]="", tblPiNHistorical[[#This Row],[Education Old]]=0, tblPiNHistorical[[#This Row],[Education New]]="", tblPiNHistorical[[#This Row],[Education New]]=0), "", tblPiNHistorical[[#This Row],[Education New]]-tblPiNHistorical[[#This Row],[Education Old]])</f>
        <v/>
      </c>
      <c r="AH400"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400" s="137" t="str">
        <f>IF(OR(tblPiNHistorical[[#This Row],[Health Old]]="", tblPiNHistorical[[#This Row],[Health Old]]=0, tblPiNHistorical[[#This Row],[Health New]]="", tblPiNHistorical[[#This Row],[Health New]]=0), "", tblPiNHistorical[[#This Row],[Health New]]-tblPiNHistorical[[#This Row],[Health Old]])</f>
        <v/>
      </c>
      <c r="AJ400" s="136" t="str">
        <f>IF(OR(tblPiNHistorical[[#This Row],[Nutrition Old]]="", tblPiNHistorical[[#This Row],[Nutrition Old]]=0, tblPiNHistorical[[#This Row],[Nutrition New]]="", tblPiNHistorical[[#This Row],[Nutrition New]]=0), "", tblPiNHistorical[[#This Row],[Nutrition New]]-tblPiNHistorical[[#This Row],[Nutrition Old]])</f>
        <v/>
      </c>
      <c r="AK400" s="136" t="str">
        <f>IF(OR(tblPiNHistorical[[#This Row],[Protection Old]]="", tblPiNHistorical[[#This Row],[Protection Old]]=0, tblPiNHistorical[[#This Row],[Protection New]]="", tblPiNHistorical[[#This Row],[Protection New]]=0), "", tblPiNHistorical[[#This Row],[Protection New]]-tblPiNHistorical[[#This Row],[Protection Old]])</f>
        <v/>
      </c>
      <c r="AL400" s="136" t="str">
        <f>IF(OR(tblPiNHistorical[[#This Row],[CP Old ]]="", tblPiNHistorical[[#This Row],[CP Old ]]=0, tblPiNHistorical[[#This Row],[CP New]]="", tblPiNHistorical[[#This Row],[CP New]]=0), "", tblPiNHistorical[[#This Row],[CP New]]-tblPiNHistorical[[#This Row],[CP Old ]])</f>
        <v/>
      </c>
      <c r="AM400" s="83" t="str">
        <f>IF(OR(tblPiNHistorical[[#This Row],[GBV Old]]="", tblPiNHistorical[[#This Row],[GBV Old]]=0, tblPiNHistorical[[#This Row],[GBV New]]="", tblPiNHistorical[[#This Row],[GBV New]]=0), "", tblPiNHistorical[[#This Row],[GBV New]]-tblPiNHistorical[[#This Row],[GBV Old]])</f>
        <v/>
      </c>
      <c r="AN400" s="83" t="str">
        <f>IF(OR(tblPiNHistorical[[#This Row],[Mine Action Old]]="", tblPiNHistorical[[#This Row],[Mine Action Old]]=0, tblPiNHistorical[[#This Row],[Mine Action New]]="", tblPiNHistorical[[#This Row],[Mine Action New]]=0), "", tblPiNHistorical[[#This Row],[Mine Action New]]-tblPiNHistorical[[#This Row],[Mine Action Old]])</f>
        <v/>
      </c>
      <c r="AO400" s="136" t="str">
        <f>IF(OR(tblPiNHistorical[[#This Row],[Shelter NFI Old]]="", tblPiNHistorical[[#This Row],[Shelter NFI Old]]=0, tblPiNHistorical[[#This Row],[Shelter NFI New]]="", tblPiNHistorical[[#This Row],[Shelter NFI New]]=0), "", tblPiNHistorical[[#This Row],[Shelter NFI New]]-tblPiNHistorical[[#This Row],[Shelter NFI Old]])</f>
        <v/>
      </c>
      <c r="AP400" s="138" t="str">
        <f>IF(OR(tblPiNHistorical[[#This Row],[WASH Old]]="", tblPiNHistorical[[#This Row],[WASH Old]]=0, tblPiNHistorical[[#This Row],[WASH New]]="", tblPiNHistorical[[#This Row],[WASH New]]=0), "", tblPiNHistorical[[#This Row],[WASH New]]-tblPiNHistorical[[#This Row],[WASH Old]])</f>
        <v/>
      </c>
      <c r="AQ400" s="139" t="str">
        <f>IFERROR(ROUND((tblPiNHistorical[[#This Row],[Site Management - New]] - tblPiNHistorical[[#This Row],[Site Management - Old]])/tblPiNHistorical[[#This Row],[Site Management - Old]], 1), "")</f>
        <v/>
      </c>
      <c r="AR400" s="140">
        <f>IFERROR(ROUND((tblPiNHistorical[[#This Row],[Education New]]-tblPiNHistorical[[#This Row],[Education Old]])/tblPiNHistorical[[#This Row],[Education Old]], 1), "")</f>
        <v>-1</v>
      </c>
      <c r="AS400" s="141">
        <f>IFERROR(ROUND((tblPiNHistorical[[#This Row],[Food Security and Livlihoods New]]-tblPiNHistorical[[#This Row],[Food Security and Livlihoods Old]])/tblPiNHistorical[[#This Row],[Food Security and Livlihoods Old]], 1), "")</f>
        <v>-1</v>
      </c>
      <c r="AT400" s="142">
        <f>IFERROR(ROUND((tblPiNHistorical[[#This Row],[Health New]]-tblPiNHistorical[[#This Row],[Health Old]])/tblPiNHistorical[[#This Row],[Health Old]], 1), "")</f>
        <v>-1</v>
      </c>
      <c r="AU400" s="140">
        <f>IFERROR(ROUND((tblPiNHistorical[[#This Row],[Nutrition New]]-tblPiNHistorical[[#This Row],[Nutrition Old]])/tblPiNHistorical[[#This Row],[Nutrition Old]], 1), "")</f>
        <v>-1</v>
      </c>
      <c r="AV400" s="140">
        <f>IFERROR(ROUND((tblPiNHistorical[[#This Row],[Protection New]]-tblPiNHistorical[[#This Row],[Protection Old]])/tblPiNHistorical[[#This Row],[Protection Old]], 1), "")</f>
        <v>-1</v>
      </c>
      <c r="AW400" s="84">
        <f>IFERROR(ROUND((tblPiNHistorical[[#This Row],[CP New]]-tblPiNHistorical[[#This Row],[CP Old ]])/tblPiNHistorical[[#This Row],[CP Old ]], 1), "")</f>
        <v>-1</v>
      </c>
      <c r="AX400" s="84">
        <f>IFERROR(ROUND((tblPiNHistorical[[#This Row],[GBV New]]-tblPiNHistorical[[#This Row],[GBV Old]])/tblPiNHistorical[[#This Row],[GBV Old]], 1), "")</f>
        <v>-1</v>
      </c>
      <c r="AY400" s="84">
        <f>IFERROR(ROUND((tblPiNHistorical[[#This Row],[Mine Action New]]-tblPiNHistorical[[#This Row],[Mine Action Old]])/tblPiNHistorical[[#This Row],[Mine Action Old]], 1), "")</f>
        <v>-1</v>
      </c>
      <c r="AZ400" s="140">
        <f>IFERROR(ROUND((tblPiNHistorical[[#This Row],[Shelter NFI New]]-tblPiNHistorical[[#This Row],[Shelter NFI Old]])/tblPiNHistorical[[#This Row],[Shelter NFI Old]], 1), "")</f>
        <v>-1</v>
      </c>
      <c r="BA400" s="31">
        <f>IFERROR(ROUND((tblPiNHistorical[[#This Row],[WASH New]]-tblPiNHistorical[[#This Row],[WASH Old]])/tblPiNHistorical[[#This Row],[WASH Old]], 1), "")</f>
        <v>-1</v>
      </c>
    </row>
    <row r="401" spans="1:53" ht="38.25" x14ac:dyDescent="0.25">
      <c r="A401"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Host CommunitySD06112</v>
      </c>
      <c r="B401" s="134" t="s">
        <v>141</v>
      </c>
      <c r="C401" s="124" t="s">
        <v>123</v>
      </c>
      <c r="D401" s="124" t="s">
        <v>146</v>
      </c>
      <c r="E401" s="59" t="s">
        <v>145</v>
      </c>
      <c r="F401" s="54"/>
      <c r="G401" s="29"/>
      <c r="H401" s="53">
        <v>29435</v>
      </c>
      <c r="I401" s="53" t="s">
        <v>87</v>
      </c>
      <c r="J401" s="34">
        <v>0</v>
      </c>
      <c r="K401" s="116">
        <v>11411.949499999999</v>
      </c>
      <c r="L401" s="114">
        <v>29435</v>
      </c>
      <c r="M401" s="114">
        <v>29435</v>
      </c>
      <c r="N401" s="114">
        <v>3135</v>
      </c>
      <c r="O401" s="114">
        <v>9320</v>
      </c>
      <c r="P401" s="114">
        <v>3238</v>
      </c>
      <c r="Q401" s="114">
        <v>9320</v>
      </c>
      <c r="R401" s="114">
        <v>2943.5</v>
      </c>
      <c r="S401" s="114">
        <v>5887</v>
      </c>
      <c r="T401" s="196">
        <v>14558.551000000001</v>
      </c>
      <c r="U401" s="52">
        <f>IFERROR(INDEX(tblPiNAnalysis[[Site Management ]], MATCH(tblPiNHistorical[[#This Row],[ID]], tblPiNAnalysis[ID], 0)), "")</f>
        <v>0</v>
      </c>
      <c r="V401" s="52">
        <f>IFERROR(INDEX(tblPiNAnalysis[Education], MATCH(tblPiNHistorical[[#This Row],[ID]], tblPiNAnalysis[ID], 0)), "")</f>
        <v>0</v>
      </c>
      <c r="W401" s="28">
        <f>IFERROR(INDEX(tblPiNAnalysis[Food Security and Livlihoods], MATCH(tblPiNHistorical[[#This Row],[ID]], tblPiNAnalysis[ID], 0)), "")</f>
        <v>0</v>
      </c>
      <c r="X401" s="28">
        <f>IFERROR(INDEX(tblPiNAnalysis[[Health ]], MATCH(tblPiNHistorical[[#This Row],[ID]], tblPiNAnalysis[ID], 0)), "")</f>
        <v>0</v>
      </c>
      <c r="Y401" s="28">
        <f>IFERROR(INDEX(tblPiNAnalysis[Nutrition], MATCH(tblPiNHistorical[[#This Row],[ID]], tblPiNAnalysis[ID], 0)), "")</f>
        <v>0</v>
      </c>
      <c r="Z401" s="28">
        <f>IFERROR(INDEX(tblPiNAnalysis[Protection], MATCH(tblPiNHistorical[[#This Row],[ID]], tblPiNAnalysis[ID], 0)), "")</f>
        <v>0</v>
      </c>
      <c r="AA401" s="28">
        <f>IFERROR(INDEX(tblPiNAnalysis[CP], MATCH(tblPiNHistorical[[#This Row],[ID]], tblPiNAnalysis[ID], 0)), "")</f>
        <v>0</v>
      </c>
      <c r="AB401" s="83">
        <f>IFERROR(INDEX(tblPiNAnalysis[GBV], MATCH(tblPiNHistorical[[#This Row],[ID]], tblPiNAnalysis[ID], 0)), "")</f>
        <v>0</v>
      </c>
      <c r="AC401" s="28">
        <f>IFERROR(INDEX(tblPiNAnalysis[Mine Action], MATCH(tblPiNHistorical[[#This Row],[ID]], tblPiNAnalysis[ID], 0)), "")</f>
        <v>0</v>
      </c>
      <c r="AD401" s="83">
        <f>IFERROR(INDEX(tblPiNAnalysis[[Shelter NFI ]], MATCH(tblPiNHistorical[[#This Row],[ID]], tblPiNAnalysis[ID], 0)), "")</f>
        <v>17107</v>
      </c>
      <c r="AE401" s="28">
        <f>IFERROR(INDEX(tblPiNAnalysis[WASH], MATCH(tblPiNHistorical[[#This Row],[ID]], tblPiNAnalysis[ID], 0)), "")</f>
        <v>0</v>
      </c>
      <c r="AF401"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401" s="136" t="str">
        <f>IF(OR(tblPiNHistorical[[#This Row],[Education Old]]="", tblPiNHistorical[[#This Row],[Education Old]]=0, tblPiNHistorical[[#This Row],[Education New]]="", tblPiNHistorical[[#This Row],[Education New]]=0), "", tblPiNHistorical[[#This Row],[Education New]]-tblPiNHistorical[[#This Row],[Education Old]])</f>
        <v/>
      </c>
      <c r="AH401"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401" s="137" t="str">
        <f>IF(OR(tblPiNHistorical[[#This Row],[Health Old]]="", tblPiNHistorical[[#This Row],[Health Old]]=0, tblPiNHistorical[[#This Row],[Health New]]="", tblPiNHistorical[[#This Row],[Health New]]=0), "", tblPiNHistorical[[#This Row],[Health New]]-tblPiNHistorical[[#This Row],[Health Old]])</f>
        <v/>
      </c>
      <c r="AJ401" s="136" t="str">
        <f>IF(OR(tblPiNHistorical[[#This Row],[Nutrition Old]]="", tblPiNHistorical[[#This Row],[Nutrition Old]]=0, tblPiNHistorical[[#This Row],[Nutrition New]]="", tblPiNHistorical[[#This Row],[Nutrition New]]=0), "", tblPiNHistorical[[#This Row],[Nutrition New]]-tblPiNHistorical[[#This Row],[Nutrition Old]])</f>
        <v/>
      </c>
      <c r="AK401" s="136" t="str">
        <f>IF(OR(tblPiNHistorical[[#This Row],[Protection Old]]="", tblPiNHistorical[[#This Row],[Protection Old]]=0, tblPiNHistorical[[#This Row],[Protection New]]="", tblPiNHistorical[[#This Row],[Protection New]]=0), "", tblPiNHistorical[[#This Row],[Protection New]]-tblPiNHistorical[[#This Row],[Protection Old]])</f>
        <v/>
      </c>
      <c r="AL401" s="136" t="str">
        <f>IF(OR(tblPiNHistorical[[#This Row],[CP Old ]]="", tblPiNHistorical[[#This Row],[CP Old ]]=0, tblPiNHistorical[[#This Row],[CP New]]="", tblPiNHistorical[[#This Row],[CP New]]=0), "", tblPiNHistorical[[#This Row],[CP New]]-tblPiNHistorical[[#This Row],[CP Old ]])</f>
        <v/>
      </c>
      <c r="AM401" s="83" t="str">
        <f>IF(OR(tblPiNHistorical[[#This Row],[GBV Old]]="", tblPiNHistorical[[#This Row],[GBV Old]]=0, tblPiNHistorical[[#This Row],[GBV New]]="", tblPiNHistorical[[#This Row],[GBV New]]=0), "", tblPiNHistorical[[#This Row],[GBV New]]-tblPiNHistorical[[#This Row],[GBV Old]])</f>
        <v/>
      </c>
      <c r="AN401" s="83" t="str">
        <f>IF(OR(tblPiNHistorical[[#This Row],[Mine Action Old]]="", tblPiNHistorical[[#This Row],[Mine Action Old]]=0, tblPiNHistorical[[#This Row],[Mine Action New]]="", tblPiNHistorical[[#This Row],[Mine Action New]]=0), "", tblPiNHistorical[[#This Row],[Mine Action New]]-tblPiNHistorical[[#This Row],[Mine Action Old]])</f>
        <v/>
      </c>
      <c r="AO401" s="136">
        <f>IF(OR(tblPiNHistorical[[#This Row],[Shelter NFI Old]]="", tblPiNHistorical[[#This Row],[Shelter NFI Old]]=0, tblPiNHistorical[[#This Row],[Shelter NFI New]]="", tblPiNHistorical[[#This Row],[Shelter NFI New]]=0), "", tblPiNHistorical[[#This Row],[Shelter NFI New]]-tblPiNHistorical[[#This Row],[Shelter NFI Old]])</f>
        <v>11220</v>
      </c>
      <c r="AP401" s="138" t="str">
        <f>IF(OR(tblPiNHistorical[[#This Row],[WASH Old]]="", tblPiNHistorical[[#This Row],[WASH Old]]=0, tblPiNHistorical[[#This Row],[WASH New]]="", tblPiNHistorical[[#This Row],[WASH New]]=0), "", tblPiNHistorical[[#This Row],[WASH New]]-tblPiNHistorical[[#This Row],[WASH Old]])</f>
        <v/>
      </c>
      <c r="AQ401" s="139" t="str">
        <f>IFERROR(ROUND((tblPiNHistorical[[#This Row],[Site Management - New]] - tblPiNHistorical[[#This Row],[Site Management - Old]])/tblPiNHistorical[[#This Row],[Site Management - Old]], 1), "")</f>
        <v/>
      </c>
      <c r="AR401" s="140">
        <f>IFERROR(ROUND((tblPiNHistorical[[#This Row],[Education New]]-tblPiNHistorical[[#This Row],[Education Old]])/tblPiNHistorical[[#This Row],[Education Old]], 1), "")</f>
        <v>-1</v>
      </c>
      <c r="AS401" s="141">
        <f>IFERROR(ROUND((tblPiNHistorical[[#This Row],[Food Security and Livlihoods New]]-tblPiNHistorical[[#This Row],[Food Security and Livlihoods Old]])/tblPiNHistorical[[#This Row],[Food Security and Livlihoods Old]], 1), "")</f>
        <v>-1</v>
      </c>
      <c r="AT401" s="142">
        <f>IFERROR(ROUND((tblPiNHistorical[[#This Row],[Health New]]-tblPiNHistorical[[#This Row],[Health Old]])/tblPiNHistorical[[#This Row],[Health Old]], 1), "")</f>
        <v>-1</v>
      </c>
      <c r="AU401" s="140">
        <f>IFERROR(ROUND((tblPiNHistorical[[#This Row],[Nutrition New]]-tblPiNHistorical[[#This Row],[Nutrition Old]])/tblPiNHistorical[[#This Row],[Nutrition Old]], 1), "")</f>
        <v>-1</v>
      </c>
      <c r="AV401" s="140">
        <f>IFERROR(ROUND((tblPiNHistorical[[#This Row],[Protection New]]-tblPiNHistorical[[#This Row],[Protection Old]])/tblPiNHistorical[[#This Row],[Protection Old]], 1), "")</f>
        <v>-1</v>
      </c>
      <c r="AW401" s="84">
        <f>IFERROR(ROUND((tblPiNHistorical[[#This Row],[CP New]]-tblPiNHistorical[[#This Row],[CP Old ]])/tblPiNHistorical[[#This Row],[CP Old ]], 1), "")</f>
        <v>-1</v>
      </c>
      <c r="AX401" s="84">
        <f>IFERROR(ROUND((tblPiNHistorical[[#This Row],[GBV New]]-tblPiNHistorical[[#This Row],[GBV Old]])/tblPiNHistorical[[#This Row],[GBV Old]], 1), "")</f>
        <v>-1</v>
      </c>
      <c r="AY401" s="84">
        <f>IFERROR(ROUND((tblPiNHistorical[[#This Row],[Mine Action New]]-tblPiNHistorical[[#This Row],[Mine Action Old]])/tblPiNHistorical[[#This Row],[Mine Action Old]], 1), "")</f>
        <v>-1</v>
      </c>
      <c r="AZ401" s="140">
        <f>IFERROR(ROUND((tblPiNHistorical[[#This Row],[Shelter NFI New]]-tblPiNHistorical[[#This Row],[Shelter NFI Old]])/tblPiNHistorical[[#This Row],[Shelter NFI Old]], 1), "")</f>
        <v>1.9</v>
      </c>
      <c r="BA401" s="31">
        <f>IFERROR(ROUND((tblPiNHistorical[[#This Row],[WASH New]]-tblPiNHistorical[[#This Row],[WASH Old]])/tblPiNHistorical[[#This Row],[WASH Old]], 1), "")</f>
        <v>-1</v>
      </c>
    </row>
    <row r="402" spans="1:53" ht="38.25" x14ac:dyDescent="0.25">
      <c r="A402"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Host CommunitySD06131</v>
      </c>
      <c r="B402" s="134" t="s">
        <v>141</v>
      </c>
      <c r="C402" s="124" t="s">
        <v>123</v>
      </c>
      <c r="D402" s="124" t="s">
        <v>152</v>
      </c>
      <c r="E402" s="59" t="s">
        <v>151</v>
      </c>
      <c r="F402" s="54"/>
      <c r="G402" s="29"/>
      <c r="H402" s="53">
        <v>42700</v>
      </c>
      <c r="I402" s="53" t="s">
        <v>87</v>
      </c>
      <c r="J402" s="34">
        <v>0</v>
      </c>
      <c r="K402" s="116">
        <v>16554.79</v>
      </c>
      <c r="L402" s="114">
        <v>42700</v>
      </c>
      <c r="M402" s="114">
        <v>42700</v>
      </c>
      <c r="N402" s="114">
        <v>3748</v>
      </c>
      <c r="O402" s="114">
        <v>13521</v>
      </c>
      <c r="P402" s="114">
        <v>4697</v>
      </c>
      <c r="Q402" s="114">
        <v>13521</v>
      </c>
      <c r="R402" s="114">
        <v>6405</v>
      </c>
      <c r="S402" s="114">
        <v>0</v>
      </c>
      <c r="T402" s="196">
        <v>31418.659999999996</v>
      </c>
      <c r="U402" s="52">
        <f>IFERROR(INDEX(tblPiNAnalysis[[Site Management ]], MATCH(tblPiNHistorical[[#This Row],[ID]], tblPiNAnalysis[ID], 0)), "")</f>
        <v>0</v>
      </c>
      <c r="V402" s="52">
        <f>IFERROR(INDEX(tblPiNAnalysis[Education], MATCH(tblPiNHistorical[[#This Row],[ID]], tblPiNAnalysis[ID], 0)), "")</f>
        <v>0</v>
      </c>
      <c r="W402" s="28">
        <f>IFERROR(INDEX(tblPiNAnalysis[Food Security and Livlihoods], MATCH(tblPiNHistorical[[#This Row],[ID]], tblPiNAnalysis[ID], 0)), "")</f>
        <v>0</v>
      </c>
      <c r="X402" s="28">
        <f>IFERROR(INDEX(tblPiNAnalysis[[Health ]], MATCH(tblPiNHistorical[[#This Row],[ID]], tblPiNAnalysis[ID], 0)), "")</f>
        <v>0</v>
      </c>
      <c r="Y402" s="28">
        <f>IFERROR(INDEX(tblPiNAnalysis[Nutrition], MATCH(tblPiNHistorical[[#This Row],[ID]], tblPiNAnalysis[ID], 0)), "")</f>
        <v>0</v>
      </c>
      <c r="Z402" s="28">
        <f>IFERROR(INDEX(tblPiNAnalysis[Protection], MATCH(tblPiNHistorical[[#This Row],[ID]], tblPiNAnalysis[ID], 0)), "")</f>
        <v>0</v>
      </c>
      <c r="AA402" s="28">
        <f>IFERROR(INDEX(tblPiNAnalysis[CP], MATCH(tblPiNHistorical[[#This Row],[ID]], tblPiNAnalysis[ID], 0)), "")</f>
        <v>0</v>
      </c>
      <c r="AB402" s="83">
        <f>IFERROR(INDEX(tblPiNAnalysis[GBV], MATCH(tblPiNHistorical[[#This Row],[ID]], tblPiNAnalysis[ID], 0)), "")</f>
        <v>0</v>
      </c>
      <c r="AC402" s="28">
        <f>IFERROR(INDEX(tblPiNAnalysis[Mine Action], MATCH(tblPiNHistorical[[#This Row],[ID]], tblPiNAnalysis[ID], 0)), "")</f>
        <v>0</v>
      </c>
      <c r="AD402" s="83">
        <f>IFERROR(INDEX(tblPiNAnalysis[[Shelter NFI ]], MATCH(tblPiNHistorical[[#This Row],[ID]], tblPiNAnalysis[ID], 0)), "")</f>
        <v>12839</v>
      </c>
      <c r="AE402" s="28">
        <f>IFERROR(INDEX(tblPiNAnalysis[WASH], MATCH(tblPiNHistorical[[#This Row],[ID]], tblPiNAnalysis[ID], 0)), "")</f>
        <v>0</v>
      </c>
      <c r="AF402"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402" s="136" t="str">
        <f>IF(OR(tblPiNHistorical[[#This Row],[Education Old]]="", tblPiNHistorical[[#This Row],[Education Old]]=0, tblPiNHistorical[[#This Row],[Education New]]="", tblPiNHistorical[[#This Row],[Education New]]=0), "", tblPiNHistorical[[#This Row],[Education New]]-tblPiNHistorical[[#This Row],[Education Old]])</f>
        <v/>
      </c>
      <c r="AH402"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402" s="137" t="str">
        <f>IF(OR(tblPiNHistorical[[#This Row],[Health Old]]="", tblPiNHistorical[[#This Row],[Health Old]]=0, tblPiNHistorical[[#This Row],[Health New]]="", tblPiNHistorical[[#This Row],[Health New]]=0), "", tblPiNHistorical[[#This Row],[Health New]]-tblPiNHistorical[[#This Row],[Health Old]])</f>
        <v/>
      </c>
      <c r="AJ402" s="136" t="str">
        <f>IF(OR(tblPiNHistorical[[#This Row],[Nutrition Old]]="", tblPiNHistorical[[#This Row],[Nutrition Old]]=0, tblPiNHistorical[[#This Row],[Nutrition New]]="", tblPiNHistorical[[#This Row],[Nutrition New]]=0), "", tblPiNHistorical[[#This Row],[Nutrition New]]-tblPiNHistorical[[#This Row],[Nutrition Old]])</f>
        <v/>
      </c>
      <c r="AK402" s="136" t="str">
        <f>IF(OR(tblPiNHistorical[[#This Row],[Protection Old]]="", tblPiNHistorical[[#This Row],[Protection Old]]=0, tblPiNHistorical[[#This Row],[Protection New]]="", tblPiNHistorical[[#This Row],[Protection New]]=0), "", tblPiNHistorical[[#This Row],[Protection New]]-tblPiNHistorical[[#This Row],[Protection Old]])</f>
        <v/>
      </c>
      <c r="AL402" s="136" t="str">
        <f>IF(OR(tblPiNHistorical[[#This Row],[CP Old ]]="", tblPiNHistorical[[#This Row],[CP Old ]]=0, tblPiNHistorical[[#This Row],[CP New]]="", tblPiNHistorical[[#This Row],[CP New]]=0), "", tblPiNHistorical[[#This Row],[CP New]]-tblPiNHistorical[[#This Row],[CP Old ]])</f>
        <v/>
      </c>
      <c r="AM402" s="83" t="str">
        <f>IF(OR(tblPiNHistorical[[#This Row],[GBV Old]]="", tblPiNHistorical[[#This Row],[GBV Old]]=0, tblPiNHistorical[[#This Row],[GBV New]]="", tblPiNHistorical[[#This Row],[GBV New]]=0), "", tblPiNHistorical[[#This Row],[GBV New]]-tblPiNHistorical[[#This Row],[GBV Old]])</f>
        <v/>
      </c>
      <c r="AN402" s="83" t="str">
        <f>IF(OR(tblPiNHistorical[[#This Row],[Mine Action Old]]="", tblPiNHistorical[[#This Row],[Mine Action Old]]=0, tblPiNHistorical[[#This Row],[Mine Action New]]="", tblPiNHistorical[[#This Row],[Mine Action New]]=0), "", tblPiNHistorical[[#This Row],[Mine Action New]]-tblPiNHistorical[[#This Row],[Mine Action Old]])</f>
        <v/>
      </c>
      <c r="AO402" s="136" t="str">
        <f>IF(OR(tblPiNHistorical[[#This Row],[Shelter NFI Old]]="", tblPiNHistorical[[#This Row],[Shelter NFI Old]]=0, tblPiNHistorical[[#This Row],[Shelter NFI New]]="", tblPiNHistorical[[#This Row],[Shelter NFI New]]=0), "", tblPiNHistorical[[#This Row],[Shelter NFI New]]-tblPiNHistorical[[#This Row],[Shelter NFI Old]])</f>
        <v/>
      </c>
      <c r="AP402" s="138" t="str">
        <f>IF(OR(tblPiNHistorical[[#This Row],[WASH Old]]="", tblPiNHistorical[[#This Row],[WASH Old]]=0, tblPiNHistorical[[#This Row],[WASH New]]="", tblPiNHistorical[[#This Row],[WASH New]]=0), "", tblPiNHistorical[[#This Row],[WASH New]]-tblPiNHistorical[[#This Row],[WASH Old]])</f>
        <v/>
      </c>
      <c r="AQ402" s="139" t="str">
        <f>IFERROR(ROUND((tblPiNHistorical[[#This Row],[Site Management - New]] - tblPiNHistorical[[#This Row],[Site Management - Old]])/tblPiNHistorical[[#This Row],[Site Management - Old]], 1), "")</f>
        <v/>
      </c>
      <c r="AR402" s="140">
        <f>IFERROR(ROUND((tblPiNHistorical[[#This Row],[Education New]]-tblPiNHistorical[[#This Row],[Education Old]])/tblPiNHistorical[[#This Row],[Education Old]], 1), "")</f>
        <v>-1</v>
      </c>
      <c r="AS402" s="141">
        <f>IFERROR(ROUND((tblPiNHistorical[[#This Row],[Food Security and Livlihoods New]]-tblPiNHistorical[[#This Row],[Food Security and Livlihoods Old]])/tblPiNHistorical[[#This Row],[Food Security and Livlihoods Old]], 1), "")</f>
        <v>-1</v>
      </c>
      <c r="AT402" s="142">
        <f>IFERROR(ROUND((tblPiNHistorical[[#This Row],[Health New]]-tblPiNHistorical[[#This Row],[Health Old]])/tblPiNHistorical[[#This Row],[Health Old]], 1), "")</f>
        <v>-1</v>
      </c>
      <c r="AU402" s="140">
        <f>IFERROR(ROUND((tblPiNHistorical[[#This Row],[Nutrition New]]-tblPiNHistorical[[#This Row],[Nutrition Old]])/tblPiNHistorical[[#This Row],[Nutrition Old]], 1), "")</f>
        <v>-1</v>
      </c>
      <c r="AV402" s="140">
        <f>IFERROR(ROUND((tblPiNHistorical[[#This Row],[Protection New]]-tblPiNHistorical[[#This Row],[Protection Old]])/tblPiNHistorical[[#This Row],[Protection Old]], 1), "")</f>
        <v>-1</v>
      </c>
      <c r="AW402" s="84">
        <f>IFERROR(ROUND((tblPiNHistorical[[#This Row],[CP New]]-tblPiNHistorical[[#This Row],[CP Old ]])/tblPiNHistorical[[#This Row],[CP Old ]], 1), "")</f>
        <v>-1</v>
      </c>
      <c r="AX402" s="84">
        <f>IFERROR(ROUND((tblPiNHistorical[[#This Row],[GBV New]]-tblPiNHistorical[[#This Row],[GBV Old]])/tblPiNHistorical[[#This Row],[GBV Old]], 1), "")</f>
        <v>-1</v>
      </c>
      <c r="AY402" s="84">
        <f>IFERROR(ROUND((tblPiNHistorical[[#This Row],[Mine Action New]]-tblPiNHistorical[[#This Row],[Mine Action Old]])/tblPiNHistorical[[#This Row],[Mine Action Old]], 1), "")</f>
        <v>-1</v>
      </c>
      <c r="AZ402" s="140" t="str">
        <f>IFERROR(ROUND((tblPiNHistorical[[#This Row],[Shelter NFI New]]-tblPiNHistorical[[#This Row],[Shelter NFI Old]])/tblPiNHistorical[[#This Row],[Shelter NFI Old]], 1), "")</f>
        <v/>
      </c>
      <c r="BA402" s="31">
        <f>IFERROR(ROUND((tblPiNHistorical[[#This Row],[WASH New]]-tblPiNHistorical[[#This Row],[WASH Old]])/tblPiNHistorical[[#This Row],[WASH Old]], 1), "")</f>
        <v>-1</v>
      </c>
    </row>
    <row r="403" spans="1:53" ht="38.25" x14ac:dyDescent="0.25">
      <c r="A403"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Host CommunitySD06130</v>
      </c>
      <c r="B403" s="134" t="s">
        <v>141</v>
      </c>
      <c r="C403" s="124" t="s">
        <v>123</v>
      </c>
      <c r="D403" s="124" t="s">
        <v>149</v>
      </c>
      <c r="E403" s="59" t="s">
        <v>148</v>
      </c>
      <c r="F403" s="54"/>
      <c r="G403" s="29"/>
      <c r="H403" s="53">
        <v>25736</v>
      </c>
      <c r="I403" s="53" t="s">
        <v>87</v>
      </c>
      <c r="J403" s="34">
        <v>0</v>
      </c>
      <c r="K403" s="116">
        <v>9977.8472000000002</v>
      </c>
      <c r="L403" s="114">
        <v>25736</v>
      </c>
      <c r="M403" s="114">
        <v>25736</v>
      </c>
      <c r="N403" s="114">
        <v>2257</v>
      </c>
      <c r="O403" s="114">
        <v>8149</v>
      </c>
      <c r="P403" s="114">
        <v>2831</v>
      </c>
      <c r="Q403" s="114">
        <v>8149</v>
      </c>
      <c r="R403" s="114">
        <v>0</v>
      </c>
      <c r="S403" s="114">
        <v>5147</v>
      </c>
      <c r="T403" s="196">
        <v>22894.745600000002</v>
      </c>
      <c r="U403" s="52">
        <f>IFERROR(INDEX(tblPiNAnalysis[[Site Management ]], MATCH(tblPiNHistorical[[#This Row],[ID]], tblPiNAnalysis[ID], 0)), "")</f>
        <v>0</v>
      </c>
      <c r="V403" s="52">
        <f>IFERROR(INDEX(tblPiNAnalysis[Education], MATCH(tblPiNHistorical[[#This Row],[ID]], tblPiNAnalysis[ID], 0)), "")</f>
        <v>0</v>
      </c>
      <c r="W403" s="28">
        <f>IFERROR(INDEX(tblPiNAnalysis[Food Security and Livlihoods], MATCH(tblPiNHistorical[[#This Row],[ID]], tblPiNAnalysis[ID], 0)), "")</f>
        <v>0</v>
      </c>
      <c r="X403" s="28">
        <f>IFERROR(INDEX(tblPiNAnalysis[[Health ]], MATCH(tblPiNHistorical[[#This Row],[ID]], tblPiNAnalysis[ID], 0)), "")</f>
        <v>0</v>
      </c>
      <c r="Y403" s="28">
        <f>IFERROR(INDEX(tblPiNAnalysis[Nutrition], MATCH(tblPiNHistorical[[#This Row],[ID]], tblPiNAnalysis[ID], 0)), "")</f>
        <v>0</v>
      </c>
      <c r="Z403" s="28">
        <f>IFERROR(INDEX(tblPiNAnalysis[Protection], MATCH(tblPiNHistorical[[#This Row],[ID]], tblPiNAnalysis[ID], 0)), "")</f>
        <v>0</v>
      </c>
      <c r="AA403" s="28">
        <f>IFERROR(INDEX(tblPiNAnalysis[CP], MATCH(tblPiNHistorical[[#This Row],[ID]], tblPiNAnalysis[ID], 0)), "")</f>
        <v>0</v>
      </c>
      <c r="AB403" s="83">
        <f>IFERROR(INDEX(tblPiNAnalysis[GBV], MATCH(tblPiNHistorical[[#This Row],[ID]], tblPiNAnalysis[ID], 0)), "")</f>
        <v>0</v>
      </c>
      <c r="AC403" s="28">
        <f>IFERROR(INDEX(tblPiNAnalysis[Mine Action], MATCH(tblPiNHistorical[[#This Row],[ID]], tblPiNAnalysis[ID], 0)), "")</f>
        <v>0</v>
      </c>
      <c r="AD403" s="83">
        <f>IFERROR(INDEX(tblPiNAnalysis[[Shelter NFI ]], MATCH(tblPiNHistorical[[#This Row],[ID]], tblPiNAnalysis[ID], 0)), "")</f>
        <v>3340</v>
      </c>
      <c r="AE403" s="28">
        <f>IFERROR(INDEX(tblPiNAnalysis[WASH], MATCH(tblPiNHistorical[[#This Row],[ID]], tblPiNAnalysis[ID], 0)), "")</f>
        <v>0</v>
      </c>
      <c r="AF403"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403" s="136" t="str">
        <f>IF(OR(tblPiNHistorical[[#This Row],[Education Old]]="", tblPiNHistorical[[#This Row],[Education Old]]=0, tblPiNHistorical[[#This Row],[Education New]]="", tblPiNHistorical[[#This Row],[Education New]]=0), "", tblPiNHistorical[[#This Row],[Education New]]-tblPiNHistorical[[#This Row],[Education Old]])</f>
        <v/>
      </c>
      <c r="AH403"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403" s="137" t="str">
        <f>IF(OR(tblPiNHistorical[[#This Row],[Health Old]]="", tblPiNHistorical[[#This Row],[Health Old]]=0, tblPiNHistorical[[#This Row],[Health New]]="", tblPiNHistorical[[#This Row],[Health New]]=0), "", tblPiNHistorical[[#This Row],[Health New]]-tblPiNHistorical[[#This Row],[Health Old]])</f>
        <v/>
      </c>
      <c r="AJ403" s="136" t="str">
        <f>IF(OR(tblPiNHistorical[[#This Row],[Nutrition Old]]="", tblPiNHistorical[[#This Row],[Nutrition Old]]=0, tblPiNHistorical[[#This Row],[Nutrition New]]="", tblPiNHistorical[[#This Row],[Nutrition New]]=0), "", tblPiNHistorical[[#This Row],[Nutrition New]]-tblPiNHistorical[[#This Row],[Nutrition Old]])</f>
        <v/>
      </c>
      <c r="AK403" s="136" t="str">
        <f>IF(OR(tblPiNHistorical[[#This Row],[Protection Old]]="", tblPiNHistorical[[#This Row],[Protection Old]]=0, tblPiNHistorical[[#This Row],[Protection New]]="", tblPiNHistorical[[#This Row],[Protection New]]=0), "", tblPiNHistorical[[#This Row],[Protection New]]-tblPiNHistorical[[#This Row],[Protection Old]])</f>
        <v/>
      </c>
      <c r="AL403" s="136" t="str">
        <f>IF(OR(tblPiNHistorical[[#This Row],[CP Old ]]="", tblPiNHistorical[[#This Row],[CP Old ]]=0, tblPiNHistorical[[#This Row],[CP New]]="", tblPiNHistorical[[#This Row],[CP New]]=0), "", tblPiNHistorical[[#This Row],[CP New]]-tblPiNHistorical[[#This Row],[CP Old ]])</f>
        <v/>
      </c>
      <c r="AM403" s="83" t="str">
        <f>IF(OR(tblPiNHistorical[[#This Row],[GBV Old]]="", tblPiNHistorical[[#This Row],[GBV Old]]=0, tblPiNHistorical[[#This Row],[GBV New]]="", tblPiNHistorical[[#This Row],[GBV New]]=0), "", tblPiNHistorical[[#This Row],[GBV New]]-tblPiNHistorical[[#This Row],[GBV Old]])</f>
        <v/>
      </c>
      <c r="AN403" s="83" t="str">
        <f>IF(OR(tblPiNHistorical[[#This Row],[Mine Action Old]]="", tblPiNHistorical[[#This Row],[Mine Action Old]]=0, tblPiNHistorical[[#This Row],[Mine Action New]]="", tblPiNHistorical[[#This Row],[Mine Action New]]=0), "", tblPiNHistorical[[#This Row],[Mine Action New]]-tblPiNHistorical[[#This Row],[Mine Action Old]])</f>
        <v/>
      </c>
      <c r="AO403" s="136">
        <f>IF(OR(tblPiNHistorical[[#This Row],[Shelter NFI Old]]="", tblPiNHistorical[[#This Row],[Shelter NFI Old]]=0, tblPiNHistorical[[#This Row],[Shelter NFI New]]="", tblPiNHistorical[[#This Row],[Shelter NFI New]]=0), "", tblPiNHistorical[[#This Row],[Shelter NFI New]]-tblPiNHistorical[[#This Row],[Shelter NFI Old]])</f>
        <v>-1807</v>
      </c>
      <c r="AP403" s="138" t="str">
        <f>IF(OR(tblPiNHistorical[[#This Row],[WASH Old]]="", tblPiNHistorical[[#This Row],[WASH Old]]=0, tblPiNHistorical[[#This Row],[WASH New]]="", tblPiNHistorical[[#This Row],[WASH New]]=0), "", tblPiNHistorical[[#This Row],[WASH New]]-tblPiNHistorical[[#This Row],[WASH Old]])</f>
        <v/>
      </c>
      <c r="AQ403" s="139" t="str">
        <f>IFERROR(ROUND((tblPiNHistorical[[#This Row],[Site Management - New]] - tblPiNHistorical[[#This Row],[Site Management - Old]])/tblPiNHistorical[[#This Row],[Site Management - Old]], 1), "")</f>
        <v/>
      </c>
      <c r="AR403" s="140">
        <f>IFERROR(ROUND((tblPiNHistorical[[#This Row],[Education New]]-tblPiNHistorical[[#This Row],[Education Old]])/tblPiNHistorical[[#This Row],[Education Old]], 1), "")</f>
        <v>-1</v>
      </c>
      <c r="AS403" s="141">
        <f>IFERROR(ROUND((tblPiNHistorical[[#This Row],[Food Security and Livlihoods New]]-tblPiNHistorical[[#This Row],[Food Security and Livlihoods Old]])/tblPiNHistorical[[#This Row],[Food Security and Livlihoods Old]], 1), "")</f>
        <v>-1</v>
      </c>
      <c r="AT403" s="142">
        <f>IFERROR(ROUND((tblPiNHistorical[[#This Row],[Health New]]-tblPiNHistorical[[#This Row],[Health Old]])/tblPiNHistorical[[#This Row],[Health Old]], 1), "")</f>
        <v>-1</v>
      </c>
      <c r="AU403" s="140">
        <f>IFERROR(ROUND((tblPiNHistorical[[#This Row],[Nutrition New]]-tblPiNHistorical[[#This Row],[Nutrition Old]])/tblPiNHistorical[[#This Row],[Nutrition Old]], 1), "")</f>
        <v>-1</v>
      </c>
      <c r="AV403" s="140">
        <f>IFERROR(ROUND((tblPiNHistorical[[#This Row],[Protection New]]-tblPiNHistorical[[#This Row],[Protection Old]])/tblPiNHistorical[[#This Row],[Protection Old]], 1), "")</f>
        <v>-1</v>
      </c>
      <c r="AW403" s="84">
        <f>IFERROR(ROUND((tblPiNHistorical[[#This Row],[CP New]]-tblPiNHistorical[[#This Row],[CP Old ]])/tblPiNHistorical[[#This Row],[CP Old ]], 1), "")</f>
        <v>-1</v>
      </c>
      <c r="AX403" s="84">
        <f>IFERROR(ROUND((tblPiNHistorical[[#This Row],[GBV New]]-tblPiNHistorical[[#This Row],[GBV Old]])/tblPiNHistorical[[#This Row],[GBV Old]], 1), "")</f>
        <v>-1</v>
      </c>
      <c r="AY403" s="84" t="str">
        <f>IFERROR(ROUND((tblPiNHistorical[[#This Row],[Mine Action New]]-tblPiNHistorical[[#This Row],[Mine Action Old]])/tblPiNHistorical[[#This Row],[Mine Action Old]], 1), "")</f>
        <v/>
      </c>
      <c r="AZ403" s="140">
        <f>IFERROR(ROUND((tblPiNHistorical[[#This Row],[Shelter NFI New]]-tblPiNHistorical[[#This Row],[Shelter NFI Old]])/tblPiNHistorical[[#This Row],[Shelter NFI Old]], 1), "")</f>
        <v>-0.4</v>
      </c>
      <c r="BA403" s="31">
        <f>IFERROR(ROUND((tblPiNHistorical[[#This Row],[WASH New]]-tblPiNHistorical[[#This Row],[WASH Old]])/tblPiNHistorical[[#This Row],[WASH Old]], 1), "")</f>
        <v>-1</v>
      </c>
    </row>
    <row r="404" spans="1:53" ht="38.25" x14ac:dyDescent="0.25">
      <c r="A404"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Host CommunitySD06132</v>
      </c>
      <c r="B404" s="134" t="s">
        <v>141</v>
      </c>
      <c r="C404" s="124" t="s">
        <v>123</v>
      </c>
      <c r="D404" s="124" t="s">
        <v>154</v>
      </c>
      <c r="E404" s="59" t="s">
        <v>153</v>
      </c>
      <c r="F404" s="54"/>
      <c r="G404" s="29"/>
      <c r="H404" s="53">
        <v>111818</v>
      </c>
      <c r="I404" s="53" t="s">
        <v>87</v>
      </c>
      <c r="J404" s="34">
        <v>0</v>
      </c>
      <c r="K404" s="116">
        <v>43351.838599999995</v>
      </c>
      <c r="L404" s="114">
        <v>111818</v>
      </c>
      <c r="M404" s="114">
        <v>111818</v>
      </c>
      <c r="N404" s="114">
        <v>10885</v>
      </c>
      <c r="O404" s="114">
        <v>35405</v>
      </c>
      <c r="P404" s="114">
        <v>12300</v>
      </c>
      <c r="Q404" s="114">
        <v>35405</v>
      </c>
      <c r="R404" s="114">
        <v>16772.7</v>
      </c>
      <c r="S404" s="114">
        <v>22364</v>
      </c>
      <c r="T404" s="196">
        <v>110744.5472</v>
      </c>
      <c r="U404" s="52">
        <f>IFERROR(INDEX(tblPiNAnalysis[[Site Management ]], MATCH(tblPiNHistorical[[#This Row],[ID]], tblPiNAnalysis[ID], 0)), "")</f>
        <v>0</v>
      </c>
      <c r="V404" s="52">
        <f>IFERROR(INDEX(tblPiNAnalysis[Education], MATCH(tblPiNHistorical[[#This Row],[ID]], tblPiNAnalysis[ID], 0)), "")</f>
        <v>0</v>
      </c>
      <c r="W404" s="28">
        <f>IFERROR(INDEX(tblPiNAnalysis[Food Security and Livlihoods], MATCH(tblPiNHistorical[[#This Row],[ID]], tblPiNAnalysis[ID], 0)), "")</f>
        <v>0</v>
      </c>
      <c r="X404" s="28">
        <f>IFERROR(INDEX(tblPiNAnalysis[[Health ]], MATCH(tblPiNHistorical[[#This Row],[ID]], tblPiNAnalysis[ID], 0)), "")</f>
        <v>0</v>
      </c>
      <c r="Y404" s="28">
        <f>IFERROR(INDEX(tblPiNAnalysis[Nutrition], MATCH(tblPiNHistorical[[#This Row],[ID]], tblPiNAnalysis[ID], 0)), "")</f>
        <v>0</v>
      </c>
      <c r="Z404" s="28">
        <f>IFERROR(INDEX(tblPiNAnalysis[Protection], MATCH(tblPiNHistorical[[#This Row],[ID]], tblPiNAnalysis[ID], 0)), "")</f>
        <v>0</v>
      </c>
      <c r="AA404" s="28">
        <f>IFERROR(INDEX(tblPiNAnalysis[CP], MATCH(tblPiNHistorical[[#This Row],[ID]], tblPiNAnalysis[ID], 0)), "")</f>
        <v>0</v>
      </c>
      <c r="AB404" s="83">
        <f>IFERROR(INDEX(tblPiNAnalysis[GBV], MATCH(tblPiNHistorical[[#This Row],[ID]], tblPiNAnalysis[ID], 0)), "")</f>
        <v>0</v>
      </c>
      <c r="AC404" s="28">
        <f>IFERROR(INDEX(tblPiNAnalysis[Mine Action], MATCH(tblPiNHistorical[[#This Row],[ID]], tblPiNAnalysis[ID], 0)), "")</f>
        <v>0</v>
      </c>
      <c r="AD404" s="83">
        <f>IFERROR(INDEX(tblPiNAnalysis[[Shelter NFI ]], MATCH(tblPiNHistorical[[#This Row],[ID]], tblPiNAnalysis[ID], 0)), "")</f>
        <v>0</v>
      </c>
      <c r="AE404" s="28">
        <f>IFERROR(INDEX(tblPiNAnalysis[WASH], MATCH(tblPiNHistorical[[#This Row],[ID]], tblPiNAnalysis[ID], 0)), "")</f>
        <v>0</v>
      </c>
      <c r="AF404"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404" s="136" t="str">
        <f>IF(OR(tblPiNHistorical[[#This Row],[Education Old]]="", tblPiNHistorical[[#This Row],[Education Old]]=0, tblPiNHistorical[[#This Row],[Education New]]="", tblPiNHistorical[[#This Row],[Education New]]=0), "", tblPiNHistorical[[#This Row],[Education New]]-tblPiNHistorical[[#This Row],[Education Old]])</f>
        <v/>
      </c>
      <c r="AH404"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404" s="137" t="str">
        <f>IF(OR(tblPiNHistorical[[#This Row],[Health Old]]="", tblPiNHistorical[[#This Row],[Health Old]]=0, tblPiNHistorical[[#This Row],[Health New]]="", tblPiNHistorical[[#This Row],[Health New]]=0), "", tblPiNHistorical[[#This Row],[Health New]]-tblPiNHistorical[[#This Row],[Health Old]])</f>
        <v/>
      </c>
      <c r="AJ404" s="136" t="str">
        <f>IF(OR(tblPiNHistorical[[#This Row],[Nutrition Old]]="", tblPiNHistorical[[#This Row],[Nutrition Old]]=0, tblPiNHistorical[[#This Row],[Nutrition New]]="", tblPiNHistorical[[#This Row],[Nutrition New]]=0), "", tblPiNHistorical[[#This Row],[Nutrition New]]-tblPiNHistorical[[#This Row],[Nutrition Old]])</f>
        <v/>
      </c>
      <c r="AK404" s="136" t="str">
        <f>IF(OR(tblPiNHistorical[[#This Row],[Protection Old]]="", tblPiNHistorical[[#This Row],[Protection Old]]=0, tblPiNHistorical[[#This Row],[Protection New]]="", tblPiNHistorical[[#This Row],[Protection New]]=0), "", tblPiNHistorical[[#This Row],[Protection New]]-tblPiNHistorical[[#This Row],[Protection Old]])</f>
        <v/>
      </c>
      <c r="AL404" s="136" t="str">
        <f>IF(OR(tblPiNHistorical[[#This Row],[CP Old ]]="", tblPiNHistorical[[#This Row],[CP Old ]]=0, tblPiNHistorical[[#This Row],[CP New]]="", tblPiNHistorical[[#This Row],[CP New]]=0), "", tblPiNHistorical[[#This Row],[CP New]]-tblPiNHistorical[[#This Row],[CP Old ]])</f>
        <v/>
      </c>
      <c r="AM404" s="83" t="str">
        <f>IF(OR(tblPiNHistorical[[#This Row],[GBV Old]]="", tblPiNHistorical[[#This Row],[GBV Old]]=0, tblPiNHistorical[[#This Row],[GBV New]]="", tblPiNHistorical[[#This Row],[GBV New]]=0), "", tblPiNHistorical[[#This Row],[GBV New]]-tblPiNHistorical[[#This Row],[GBV Old]])</f>
        <v/>
      </c>
      <c r="AN404" s="83" t="str">
        <f>IF(OR(tblPiNHistorical[[#This Row],[Mine Action Old]]="", tblPiNHistorical[[#This Row],[Mine Action Old]]=0, tblPiNHistorical[[#This Row],[Mine Action New]]="", tblPiNHistorical[[#This Row],[Mine Action New]]=0), "", tblPiNHistorical[[#This Row],[Mine Action New]]-tblPiNHistorical[[#This Row],[Mine Action Old]])</f>
        <v/>
      </c>
      <c r="AO404" s="136" t="str">
        <f>IF(OR(tblPiNHistorical[[#This Row],[Shelter NFI Old]]="", tblPiNHistorical[[#This Row],[Shelter NFI Old]]=0, tblPiNHistorical[[#This Row],[Shelter NFI New]]="", tblPiNHistorical[[#This Row],[Shelter NFI New]]=0), "", tblPiNHistorical[[#This Row],[Shelter NFI New]]-tblPiNHistorical[[#This Row],[Shelter NFI Old]])</f>
        <v/>
      </c>
      <c r="AP404" s="138" t="str">
        <f>IF(OR(tblPiNHistorical[[#This Row],[WASH Old]]="", tblPiNHistorical[[#This Row],[WASH Old]]=0, tblPiNHistorical[[#This Row],[WASH New]]="", tblPiNHistorical[[#This Row],[WASH New]]=0), "", tblPiNHistorical[[#This Row],[WASH New]]-tblPiNHistorical[[#This Row],[WASH Old]])</f>
        <v/>
      </c>
      <c r="AQ404" s="139" t="str">
        <f>IFERROR(ROUND((tblPiNHistorical[[#This Row],[Site Management - New]] - tblPiNHistorical[[#This Row],[Site Management - Old]])/tblPiNHistorical[[#This Row],[Site Management - Old]], 1), "")</f>
        <v/>
      </c>
      <c r="AR404" s="140">
        <f>IFERROR(ROUND((tblPiNHistorical[[#This Row],[Education New]]-tblPiNHistorical[[#This Row],[Education Old]])/tblPiNHistorical[[#This Row],[Education Old]], 1), "")</f>
        <v>-1</v>
      </c>
      <c r="AS404" s="141">
        <f>IFERROR(ROUND((tblPiNHistorical[[#This Row],[Food Security and Livlihoods New]]-tblPiNHistorical[[#This Row],[Food Security and Livlihoods Old]])/tblPiNHistorical[[#This Row],[Food Security and Livlihoods Old]], 1), "")</f>
        <v>-1</v>
      </c>
      <c r="AT404" s="142">
        <f>IFERROR(ROUND((tblPiNHistorical[[#This Row],[Health New]]-tblPiNHistorical[[#This Row],[Health Old]])/tblPiNHistorical[[#This Row],[Health Old]], 1), "")</f>
        <v>-1</v>
      </c>
      <c r="AU404" s="140">
        <f>IFERROR(ROUND((tblPiNHistorical[[#This Row],[Nutrition New]]-tblPiNHistorical[[#This Row],[Nutrition Old]])/tblPiNHistorical[[#This Row],[Nutrition Old]], 1), "")</f>
        <v>-1</v>
      </c>
      <c r="AV404" s="140">
        <f>IFERROR(ROUND((tblPiNHistorical[[#This Row],[Protection New]]-tblPiNHistorical[[#This Row],[Protection Old]])/tblPiNHistorical[[#This Row],[Protection Old]], 1), "")</f>
        <v>-1</v>
      </c>
      <c r="AW404" s="84">
        <f>IFERROR(ROUND((tblPiNHistorical[[#This Row],[CP New]]-tblPiNHistorical[[#This Row],[CP Old ]])/tblPiNHistorical[[#This Row],[CP Old ]], 1), "")</f>
        <v>-1</v>
      </c>
      <c r="AX404" s="84">
        <f>IFERROR(ROUND((tblPiNHistorical[[#This Row],[GBV New]]-tblPiNHistorical[[#This Row],[GBV Old]])/tblPiNHistorical[[#This Row],[GBV Old]], 1), "")</f>
        <v>-1</v>
      </c>
      <c r="AY404" s="84">
        <f>IFERROR(ROUND((tblPiNHistorical[[#This Row],[Mine Action New]]-tblPiNHistorical[[#This Row],[Mine Action Old]])/tblPiNHistorical[[#This Row],[Mine Action Old]], 1), "")</f>
        <v>-1</v>
      </c>
      <c r="AZ404" s="140">
        <f>IFERROR(ROUND((tblPiNHistorical[[#This Row],[Shelter NFI New]]-tblPiNHistorical[[#This Row],[Shelter NFI Old]])/tblPiNHistorical[[#This Row],[Shelter NFI Old]], 1), "")</f>
        <v>-1</v>
      </c>
      <c r="BA404" s="31">
        <f>IFERROR(ROUND((tblPiNHistorical[[#This Row],[WASH New]]-tblPiNHistorical[[#This Row],[WASH Old]])/tblPiNHistorical[[#This Row],[WASH Old]], 1), "")</f>
        <v>-1</v>
      </c>
    </row>
    <row r="405" spans="1:53" ht="38.25" x14ac:dyDescent="0.25">
      <c r="A405"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Host CommunitySD06135</v>
      </c>
      <c r="B405" s="134" t="s">
        <v>141</v>
      </c>
      <c r="C405" s="124" t="s">
        <v>123</v>
      </c>
      <c r="D405" s="124" t="s">
        <v>157</v>
      </c>
      <c r="E405" s="59" t="s">
        <v>156</v>
      </c>
      <c r="F405" s="54"/>
      <c r="G405" s="29"/>
      <c r="H405" s="53">
        <v>50328</v>
      </c>
      <c r="I405" s="53" t="s">
        <v>87</v>
      </c>
      <c r="J405" s="34">
        <v>0</v>
      </c>
      <c r="K405" s="116">
        <v>19512.1656</v>
      </c>
      <c r="L405" s="114">
        <v>50328</v>
      </c>
      <c r="M405" s="114">
        <v>50328</v>
      </c>
      <c r="N405" s="114">
        <v>6997</v>
      </c>
      <c r="O405" s="114">
        <v>20131.2</v>
      </c>
      <c r="P405" s="114">
        <v>5536</v>
      </c>
      <c r="Q405" s="114">
        <v>15935</v>
      </c>
      <c r="R405" s="114">
        <v>20131.2</v>
      </c>
      <c r="S405" s="114">
        <v>15098</v>
      </c>
      <c r="T405" s="196">
        <v>50237.409599999999</v>
      </c>
      <c r="U405" s="52">
        <f>IFERROR(INDEX(tblPiNAnalysis[[Site Management ]], MATCH(tblPiNHistorical[[#This Row],[ID]], tblPiNAnalysis[ID], 0)), "")</f>
        <v>0</v>
      </c>
      <c r="V405" s="52">
        <f>IFERROR(INDEX(tblPiNAnalysis[Education], MATCH(tblPiNHistorical[[#This Row],[ID]], tblPiNAnalysis[ID], 0)), "")</f>
        <v>0</v>
      </c>
      <c r="W405" s="28">
        <f>IFERROR(INDEX(tblPiNAnalysis[Food Security and Livlihoods], MATCH(tblPiNHistorical[[#This Row],[ID]], tblPiNAnalysis[ID], 0)), "")</f>
        <v>0</v>
      </c>
      <c r="X405" s="28">
        <f>IFERROR(INDEX(tblPiNAnalysis[[Health ]], MATCH(tblPiNHistorical[[#This Row],[ID]], tblPiNAnalysis[ID], 0)), "")</f>
        <v>0</v>
      </c>
      <c r="Y405" s="28">
        <f>IFERROR(INDEX(tblPiNAnalysis[Nutrition], MATCH(tblPiNHistorical[[#This Row],[ID]], tblPiNAnalysis[ID], 0)), "")</f>
        <v>0</v>
      </c>
      <c r="Z405" s="28">
        <f>IFERROR(INDEX(tblPiNAnalysis[Protection], MATCH(tblPiNHistorical[[#This Row],[ID]], tblPiNAnalysis[ID], 0)), "")</f>
        <v>0</v>
      </c>
      <c r="AA405" s="28">
        <f>IFERROR(INDEX(tblPiNAnalysis[CP], MATCH(tblPiNHistorical[[#This Row],[ID]], tblPiNAnalysis[ID], 0)), "")</f>
        <v>0</v>
      </c>
      <c r="AB405" s="83">
        <f>IFERROR(INDEX(tblPiNAnalysis[GBV], MATCH(tblPiNHistorical[[#This Row],[ID]], tblPiNAnalysis[ID], 0)), "")</f>
        <v>0</v>
      </c>
      <c r="AC405" s="28">
        <f>IFERROR(INDEX(tblPiNAnalysis[Mine Action], MATCH(tblPiNHistorical[[#This Row],[ID]], tblPiNAnalysis[ID], 0)), "")</f>
        <v>0</v>
      </c>
      <c r="AD405" s="83">
        <f>IFERROR(INDEX(tblPiNAnalysis[[Shelter NFI ]], MATCH(tblPiNHistorical[[#This Row],[ID]], tblPiNAnalysis[ID], 0)), "")</f>
        <v>18444</v>
      </c>
      <c r="AE405" s="28">
        <f>IFERROR(INDEX(tblPiNAnalysis[WASH], MATCH(tblPiNHistorical[[#This Row],[ID]], tblPiNAnalysis[ID], 0)), "")</f>
        <v>0</v>
      </c>
      <c r="AF405"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405" s="136" t="str">
        <f>IF(OR(tblPiNHistorical[[#This Row],[Education Old]]="", tblPiNHistorical[[#This Row],[Education Old]]=0, tblPiNHistorical[[#This Row],[Education New]]="", tblPiNHistorical[[#This Row],[Education New]]=0), "", tblPiNHistorical[[#This Row],[Education New]]-tblPiNHistorical[[#This Row],[Education Old]])</f>
        <v/>
      </c>
      <c r="AH405"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405" s="137" t="str">
        <f>IF(OR(tblPiNHistorical[[#This Row],[Health Old]]="", tblPiNHistorical[[#This Row],[Health Old]]=0, tblPiNHistorical[[#This Row],[Health New]]="", tblPiNHistorical[[#This Row],[Health New]]=0), "", tblPiNHistorical[[#This Row],[Health New]]-tblPiNHistorical[[#This Row],[Health Old]])</f>
        <v/>
      </c>
      <c r="AJ405" s="136" t="str">
        <f>IF(OR(tblPiNHistorical[[#This Row],[Nutrition Old]]="", tblPiNHistorical[[#This Row],[Nutrition Old]]=0, tblPiNHistorical[[#This Row],[Nutrition New]]="", tblPiNHistorical[[#This Row],[Nutrition New]]=0), "", tblPiNHistorical[[#This Row],[Nutrition New]]-tblPiNHistorical[[#This Row],[Nutrition Old]])</f>
        <v/>
      </c>
      <c r="AK405" s="136" t="str">
        <f>IF(OR(tblPiNHistorical[[#This Row],[Protection Old]]="", tblPiNHistorical[[#This Row],[Protection Old]]=0, tblPiNHistorical[[#This Row],[Protection New]]="", tblPiNHistorical[[#This Row],[Protection New]]=0), "", tblPiNHistorical[[#This Row],[Protection New]]-tblPiNHistorical[[#This Row],[Protection Old]])</f>
        <v/>
      </c>
      <c r="AL405" s="136" t="str">
        <f>IF(OR(tblPiNHistorical[[#This Row],[CP Old ]]="", tblPiNHistorical[[#This Row],[CP Old ]]=0, tblPiNHistorical[[#This Row],[CP New]]="", tblPiNHistorical[[#This Row],[CP New]]=0), "", tblPiNHistorical[[#This Row],[CP New]]-tblPiNHistorical[[#This Row],[CP Old ]])</f>
        <v/>
      </c>
      <c r="AM405" s="83" t="str">
        <f>IF(OR(tblPiNHistorical[[#This Row],[GBV Old]]="", tblPiNHistorical[[#This Row],[GBV Old]]=0, tblPiNHistorical[[#This Row],[GBV New]]="", tblPiNHistorical[[#This Row],[GBV New]]=0), "", tblPiNHistorical[[#This Row],[GBV New]]-tblPiNHistorical[[#This Row],[GBV Old]])</f>
        <v/>
      </c>
      <c r="AN405" s="83" t="str">
        <f>IF(OR(tblPiNHistorical[[#This Row],[Mine Action Old]]="", tblPiNHistorical[[#This Row],[Mine Action Old]]=0, tblPiNHistorical[[#This Row],[Mine Action New]]="", tblPiNHistorical[[#This Row],[Mine Action New]]=0), "", tblPiNHistorical[[#This Row],[Mine Action New]]-tblPiNHistorical[[#This Row],[Mine Action Old]])</f>
        <v/>
      </c>
      <c r="AO405" s="136">
        <f>IF(OR(tblPiNHistorical[[#This Row],[Shelter NFI Old]]="", tblPiNHistorical[[#This Row],[Shelter NFI Old]]=0, tblPiNHistorical[[#This Row],[Shelter NFI New]]="", tblPiNHistorical[[#This Row],[Shelter NFI New]]=0), "", tblPiNHistorical[[#This Row],[Shelter NFI New]]-tblPiNHistorical[[#This Row],[Shelter NFI Old]])</f>
        <v>3346</v>
      </c>
      <c r="AP405" s="138" t="str">
        <f>IF(OR(tblPiNHistorical[[#This Row],[WASH Old]]="", tblPiNHistorical[[#This Row],[WASH Old]]=0, tblPiNHistorical[[#This Row],[WASH New]]="", tblPiNHistorical[[#This Row],[WASH New]]=0), "", tblPiNHistorical[[#This Row],[WASH New]]-tblPiNHistorical[[#This Row],[WASH Old]])</f>
        <v/>
      </c>
      <c r="AQ405" s="139" t="str">
        <f>IFERROR(ROUND((tblPiNHistorical[[#This Row],[Site Management - New]] - tblPiNHistorical[[#This Row],[Site Management - Old]])/tblPiNHistorical[[#This Row],[Site Management - Old]], 1), "")</f>
        <v/>
      </c>
      <c r="AR405" s="140">
        <f>IFERROR(ROUND((tblPiNHistorical[[#This Row],[Education New]]-tblPiNHistorical[[#This Row],[Education Old]])/tblPiNHistorical[[#This Row],[Education Old]], 1), "")</f>
        <v>-1</v>
      </c>
      <c r="AS405" s="141">
        <f>IFERROR(ROUND((tblPiNHistorical[[#This Row],[Food Security and Livlihoods New]]-tblPiNHistorical[[#This Row],[Food Security and Livlihoods Old]])/tblPiNHistorical[[#This Row],[Food Security and Livlihoods Old]], 1), "")</f>
        <v>-1</v>
      </c>
      <c r="AT405" s="142">
        <f>IFERROR(ROUND((tblPiNHistorical[[#This Row],[Health New]]-tblPiNHistorical[[#This Row],[Health Old]])/tblPiNHistorical[[#This Row],[Health Old]], 1), "")</f>
        <v>-1</v>
      </c>
      <c r="AU405" s="140">
        <f>IFERROR(ROUND((tblPiNHistorical[[#This Row],[Nutrition New]]-tblPiNHistorical[[#This Row],[Nutrition Old]])/tblPiNHistorical[[#This Row],[Nutrition Old]], 1), "")</f>
        <v>-1</v>
      </c>
      <c r="AV405" s="140">
        <f>IFERROR(ROUND((tblPiNHistorical[[#This Row],[Protection New]]-tblPiNHistorical[[#This Row],[Protection Old]])/tblPiNHistorical[[#This Row],[Protection Old]], 1), "")</f>
        <v>-1</v>
      </c>
      <c r="AW405" s="84">
        <f>IFERROR(ROUND((tblPiNHistorical[[#This Row],[CP New]]-tblPiNHistorical[[#This Row],[CP Old ]])/tblPiNHistorical[[#This Row],[CP Old ]], 1), "")</f>
        <v>-1</v>
      </c>
      <c r="AX405" s="84">
        <f>IFERROR(ROUND((tblPiNHistorical[[#This Row],[GBV New]]-tblPiNHistorical[[#This Row],[GBV Old]])/tblPiNHistorical[[#This Row],[GBV Old]], 1), "")</f>
        <v>-1</v>
      </c>
      <c r="AY405" s="84">
        <f>IFERROR(ROUND((tblPiNHistorical[[#This Row],[Mine Action New]]-tblPiNHistorical[[#This Row],[Mine Action Old]])/tblPiNHistorical[[#This Row],[Mine Action Old]], 1), "")</f>
        <v>-1</v>
      </c>
      <c r="AZ405" s="140">
        <f>IFERROR(ROUND((tblPiNHistorical[[#This Row],[Shelter NFI New]]-tblPiNHistorical[[#This Row],[Shelter NFI Old]])/tblPiNHistorical[[#This Row],[Shelter NFI Old]], 1), "")</f>
        <v>0.2</v>
      </c>
      <c r="BA405" s="31">
        <f>IFERROR(ROUND((tblPiNHistorical[[#This Row],[WASH New]]-tblPiNHistorical[[#This Row],[WASH Old]])/tblPiNHistorical[[#This Row],[WASH Old]], 1), "")</f>
        <v>-1</v>
      </c>
    </row>
    <row r="406" spans="1:53" ht="38.25" x14ac:dyDescent="0.25">
      <c r="A406"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Host CommunitySD06137</v>
      </c>
      <c r="B406" s="134" t="s">
        <v>141</v>
      </c>
      <c r="C406" s="124" t="s">
        <v>123</v>
      </c>
      <c r="D406" s="124" t="s">
        <v>160</v>
      </c>
      <c r="E406" s="59" t="s">
        <v>159</v>
      </c>
      <c r="F406" s="54"/>
      <c r="G406" s="29"/>
      <c r="H406" s="53">
        <v>54305.8</v>
      </c>
      <c r="I406" s="53" t="s">
        <v>87</v>
      </c>
      <c r="J406" s="34">
        <v>0</v>
      </c>
      <c r="K406" s="116">
        <v>21054.358660000002</v>
      </c>
      <c r="L406" s="114">
        <v>50305.8</v>
      </c>
      <c r="M406" s="114">
        <v>54305.8</v>
      </c>
      <c r="N406" s="114">
        <v>6563</v>
      </c>
      <c r="O406" s="114">
        <v>17196</v>
      </c>
      <c r="P406" s="114">
        <v>5974</v>
      </c>
      <c r="Q406" s="114">
        <v>17196</v>
      </c>
      <c r="R406" s="114">
        <v>5430.5800000000008</v>
      </c>
      <c r="S406" s="114">
        <v>10861</v>
      </c>
      <c r="T406" s="196">
        <v>30547.012499999997</v>
      </c>
      <c r="U406" s="52">
        <f>IFERROR(INDEX(tblPiNAnalysis[[Site Management ]], MATCH(tblPiNHistorical[[#This Row],[ID]], tblPiNAnalysis[ID], 0)), "")</f>
        <v>0</v>
      </c>
      <c r="V406" s="52">
        <f>IFERROR(INDEX(tblPiNAnalysis[Education], MATCH(tblPiNHistorical[[#This Row],[ID]], tblPiNAnalysis[ID], 0)), "")</f>
        <v>0</v>
      </c>
      <c r="W406" s="28">
        <f>IFERROR(INDEX(tblPiNAnalysis[Food Security and Livlihoods], MATCH(tblPiNHistorical[[#This Row],[ID]], tblPiNAnalysis[ID], 0)), "")</f>
        <v>0</v>
      </c>
      <c r="X406" s="28">
        <f>IFERROR(INDEX(tblPiNAnalysis[[Health ]], MATCH(tblPiNHistorical[[#This Row],[ID]], tblPiNAnalysis[ID], 0)), "")</f>
        <v>0</v>
      </c>
      <c r="Y406" s="28">
        <f>IFERROR(INDEX(tblPiNAnalysis[Nutrition], MATCH(tblPiNHistorical[[#This Row],[ID]], tblPiNAnalysis[ID], 0)), "")</f>
        <v>0</v>
      </c>
      <c r="Z406" s="28">
        <f>IFERROR(INDEX(tblPiNAnalysis[Protection], MATCH(tblPiNHistorical[[#This Row],[ID]], tblPiNAnalysis[ID], 0)), "")</f>
        <v>0</v>
      </c>
      <c r="AA406" s="28">
        <f>IFERROR(INDEX(tblPiNAnalysis[CP], MATCH(tblPiNHistorical[[#This Row],[ID]], tblPiNAnalysis[ID], 0)), "")</f>
        <v>0</v>
      </c>
      <c r="AB406" s="83">
        <f>IFERROR(INDEX(tblPiNAnalysis[GBV], MATCH(tblPiNHistorical[[#This Row],[ID]], tblPiNAnalysis[ID], 0)), "")</f>
        <v>0</v>
      </c>
      <c r="AC406" s="28">
        <f>IFERROR(INDEX(tblPiNAnalysis[Mine Action], MATCH(tblPiNHistorical[[#This Row],[ID]], tblPiNAnalysis[ID], 0)), "")</f>
        <v>0</v>
      </c>
      <c r="AD406" s="83">
        <f>IFERROR(INDEX(tblPiNAnalysis[[Shelter NFI ]], MATCH(tblPiNHistorical[[#This Row],[ID]], tblPiNAnalysis[ID], 0)), "")</f>
        <v>0</v>
      </c>
      <c r="AE406" s="28">
        <f>IFERROR(INDEX(tblPiNAnalysis[WASH], MATCH(tblPiNHistorical[[#This Row],[ID]], tblPiNAnalysis[ID], 0)), "")</f>
        <v>0</v>
      </c>
      <c r="AF406"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406" s="136" t="str">
        <f>IF(OR(tblPiNHistorical[[#This Row],[Education Old]]="", tblPiNHistorical[[#This Row],[Education Old]]=0, tblPiNHistorical[[#This Row],[Education New]]="", tblPiNHistorical[[#This Row],[Education New]]=0), "", tblPiNHistorical[[#This Row],[Education New]]-tblPiNHistorical[[#This Row],[Education Old]])</f>
        <v/>
      </c>
      <c r="AH406"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406" s="137" t="str">
        <f>IF(OR(tblPiNHistorical[[#This Row],[Health Old]]="", tblPiNHistorical[[#This Row],[Health Old]]=0, tblPiNHistorical[[#This Row],[Health New]]="", tblPiNHistorical[[#This Row],[Health New]]=0), "", tblPiNHistorical[[#This Row],[Health New]]-tblPiNHistorical[[#This Row],[Health Old]])</f>
        <v/>
      </c>
      <c r="AJ406" s="136" t="str">
        <f>IF(OR(tblPiNHistorical[[#This Row],[Nutrition Old]]="", tblPiNHistorical[[#This Row],[Nutrition Old]]=0, tblPiNHistorical[[#This Row],[Nutrition New]]="", tblPiNHistorical[[#This Row],[Nutrition New]]=0), "", tblPiNHistorical[[#This Row],[Nutrition New]]-tblPiNHistorical[[#This Row],[Nutrition Old]])</f>
        <v/>
      </c>
      <c r="AK406" s="136" t="str">
        <f>IF(OR(tblPiNHistorical[[#This Row],[Protection Old]]="", tblPiNHistorical[[#This Row],[Protection Old]]=0, tblPiNHistorical[[#This Row],[Protection New]]="", tblPiNHistorical[[#This Row],[Protection New]]=0), "", tblPiNHistorical[[#This Row],[Protection New]]-tblPiNHistorical[[#This Row],[Protection Old]])</f>
        <v/>
      </c>
      <c r="AL406" s="136" t="str">
        <f>IF(OR(tblPiNHistorical[[#This Row],[CP Old ]]="", tblPiNHistorical[[#This Row],[CP Old ]]=0, tblPiNHistorical[[#This Row],[CP New]]="", tblPiNHistorical[[#This Row],[CP New]]=0), "", tblPiNHistorical[[#This Row],[CP New]]-tblPiNHistorical[[#This Row],[CP Old ]])</f>
        <v/>
      </c>
      <c r="AM406" s="83" t="str">
        <f>IF(OR(tblPiNHistorical[[#This Row],[GBV Old]]="", tblPiNHistorical[[#This Row],[GBV Old]]=0, tblPiNHistorical[[#This Row],[GBV New]]="", tblPiNHistorical[[#This Row],[GBV New]]=0), "", tblPiNHistorical[[#This Row],[GBV New]]-tblPiNHistorical[[#This Row],[GBV Old]])</f>
        <v/>
      </c>
      <c r="AN406" s="83" t="str">
        <f>IF(OR(tblPiNHistorical[[#This Row],[Mine Action Old]]="", tblPiNHistorical[[#This Row],[Mine Action Old]]=0, tblPiNHistorical[[#This Row],[Mine Action New]]="", tblPiNHistorical[[#This Row],[Mine Action New]]=0), "", tblPiNHistorical[[#This Row],[Mine Action New]]-tblPiNHistorical[[#This Row],[Mine Action Old]])</f>
        <v/>
      </c>
      <c r="AO406" s="136" t="str">
        <f>IF(OR(tblPiNHistorical[[#This Row],[Shelter NFI Old]]="", tblPiNHistorical[[#This Row],[Shelter NFI Old]]=0, tblPiNHistorical[[#This Row],[Shelter NFI New]]="", tblPiNHistorical[[#This Row],[Shelter NFI New]]=0), "", tblPiNHistorical[[#This Row],[Shelter NFI New]]-tblPiNHistorical[[#This Row],[Shelter NFI Old]])</f>
        <v/>
      </c>
      <c r="AP406" s="138" t="str">
        <f>IF(OR(tblPiNHistorical[[#This Row],[WASH Old]]="", tblPiNHistorical[[#This Row],[WASH Old]]=0, tblPiNHistorical[[#This Row],[WASH New]]="", tblPiNHistorical[[#This Row],[WASH New]]=0), "", tblPiNHistorical[[#This Row],[WASH New]]-tblPiNHistorical[[#This Row],[WASH Old]])</f>
        <v/>
      </c>
      <c r="AQ406" s="139" t="str">
        <f>IFERROR(ROUND((tblPiNHistorical[[#This Row],[Site Management - New]] - tblPiNHistorical[[#This Row],[Site Management - Old]])/tblPiNHistorical[[#This Row],[Site Management - Old]], 1), "")</f>
        <v/>
      </c>
      <c r="AR406" s="140">
        <f>IFERROR(ROUND((tblPiNHistorical[[#This Row],[Education New]]-tblPiNHistorical[[#This Row],[Education Old]])/tblPiNHistorical[[#This Row],[Education Old]], 1), "")</f>
        <v>-1</v>
      </c>
      <c r="AS406" s="141">
        <f>IFERROR(ROUND((tblPiNHistorical[[#This Row],[Food Security and Livlihoods New]]-tblPiNHistorical[[#This Row],[Food Security and Livlihoods Old]])/tblPiNHistorical[[#This Row],[Food Security and Livlihoods Old]], 1), "")</f>
        <v>-1</v>
      </c>
      <c r="AT406" s="142">
        <f>IFERROR(ROUND((tblPiNHistorical[[#This Row],[Health New]]-tblPiNHistorical[[#This Row],[Health Old]])/tblPiNHistorical[[#This Row],[Health Old]], 1), "")</f>
        <v>-1</v>
      </c>
      <c r="AU406" s="140">
        <f>IFERROR(ROUND((tblPiNHistorical[[#This Row],[Nutrition New]]-tblPiNHistorical[[#This Row],[Nutrition Old]])/tblPiNHistorical[[#This Row],[Nutrition Old]], 1), "")</f>
        <v>-1</v>
      </c>
      <c r="AV406" s="140">
        <f>IFERROR(ROUND((tblPiNHistorical[[#This Row],[Protection New]]-tblPiNHistorical[[#This Row],[Protection Old]])/tblPiNHistorical[[#This Row],[Protection Old]], 1), "")</f>
        <v>-1</v>
      </c>
      <c r="AW406" s="84">
        <f>IFERROR(ROUND((tblPiNHistorical[[#This Row],[CP New]]-tblPiNHistorical[[#This Row],[CP Old ]])/tblPiNHistorical[[#This Row],[CP Old ]], 1), "")</f>
        <v>-1</v>
      </c>
      <c r="AX406" s="84">
        <f>IFERROR(ROUND((tblPiNHistorical[[#This Row],[GBV New]]-tblPiNHistorical[[#This Row],[GBV Old]])/tblPiNHistorical[[#This Row],[GBV Old]], 1), "")</f>
        <v>-1</v>
      </c>
      <c r="AY406" s="84">
        <f>IFERROR(ROUND((tblPiNHistorical[[#This Row],[Mine Action New]]-tblPiNHistorical[[#This Row],[Mine Action Old]])/tblPiNHistorical[[#This Row],[Mine Action Old]], 1), "")</f>
        <v>-1</v>
      </c>
      <c r="AZ406" s="140">
        <f>IFERROR(ROUND((tblPiNHistorical[[#This Row],[Shelter NFI New]]-tblPiNHistorical[[#This Row],[Shelter NFI Old]])/tblPiNHistorical[[#This Row],[Shelter NFI Old]], 1), "")</f>
        <v>-1</v>
      </c>
      <c r="BA406" s="31">
        <f>IFERROR(ROUND((tblPiNHistorical[[#This Row],[WASH New]]-tblPiNHistorical[[#This Row],[WASH Old]])/tblPiNHistorical[[#This Row],[WASH Old]], 1), "")</f>
        <v>-1</v>
      </c>
    </row>
    <row r="407" spans="1:53" ht="38.25" x14ac:dyDescent="0.25">
      <c r="A407"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Host CommunitySD06139</v>
      </c>
      <c r="B407" s="134" t="s">
        <v>141</v>
      </c>
      <c r="C407" s="124" t="s">
        <v>123</v>
      </c>
      <c r="D407" s="124" t="s">
        <v>166</v>
      </c>
      <c r="E407" s="59" t="s">
        <v>165</v>
      </c>
      <c r="F407" s="54"/>
      <c r="G407" s="29"/>
      <c r="H407" s="53">
        <v>74176.25</v>
      </c>
      <c r="I407" s="53" t="s">
        <v>87</v>
      </c>
      <c r="J407" s="34">
        <v>0</v>
      </c>
      <c r="K407" s="116">
        <v>28758.132125</v>
      </c>
      <c r="L407" s="114">
        <v>74176</v>
      </c>
      <c r="M407" s="114">
        <v>74176</v>
      </c>
      <c r="N407" s="114">
        <v>7722</v>
      </c>
      <c r="O407" s="114">
        <v>23488</v>
      </c>
      <c r="P407" s="114">
        <v>8159</v>
      </c>
      <c r="Q407" s="114">
        <v>23488</v>
      </c>
      <c r="R407" s="114">
        <v>11126.4375</v>
      </c>
      <c r="S407" s="114">
        <v>22253</v>
      </c>
      <c r="T407" s="196">
        <v>49942.869124999997</v>
      </c>
      <c r="U407" s="52">
        <f>IFERROR(INDEX(tblPiNAnalysis[[Site Management ]], MATCH(tblPiNHistorical[[#This Row],[ID]], tblPiNAnalysis[ID], 0)), "")</f>
        <v>0</v>
      </c>
      <c r="V407" s="52">
        <f>IFERROR(INDEX(tblPiNAnalysis[Education], MATCH(tblPiNHistorical[[#This Row],[ID]], tblPiNAnalysis[ID], 0)), "")</f>
        <v>0</v>
      </c>
      <c r="W407" s="28">
        <f>IFERROR(INDEX(tblPiNAnalysis[Food Security and Livlihoods], MATCH(tblPiNHistorical[[#This Row],[ID]], tblPiNAnalysis[ID], 0)), "")</f>
        <v>0</v>
      </c>
      <c r="X407" s="28">
        <f>IFERROR(INDEX(tblPiNAnalysis[[Health ]], MATCH(tblPiNHistorical[[#This Row],[ID]], tblPiNAnalysis[ID], 0)), "")</f>
        <v>0</v>
      </c>
      <c r="Y407" s="28">
        <f>IFERROR(INDEX(tblPiNAnalysis[Nutrition], MATCH(tblPiNHistorical[[#This Row],[ID]], tblPiNAnalysis[ID], 0)), "")</f>
        <v>0</v>
      </c>
      <c r="Z407" s="28">
        <f>IFERROR(INDEX(tblPiNAnalysis[Protection], MATCH(tblPiNHistorical[[#This Row],[ID]], tblPiNAnalysis[ID], 0)), "")</f>
        <v>0</v>
      </c>
      <c r="AA407" s="28">
        <f>IFERROR(INDEX(tblPiNAnalysis[CP], MATCH(tblPiNHistorical[[#This Row],[ID]], tblPiNAnalysis[ID], 0)), "")</f>
        <v>0</v>
      </c>
      <c r="AB407" s="83">
        <f>IFERROR(INDEX(tblPiNAnalysis[GBV], MATCH(tblPiNHistorical[[#This Row],[ID]], tblPiNAnalysis[ID], 0)), "")</f>
        <v>0</v>
      </c>
      <c r="AC407" s="28">
        <f>IFERROR(INDEX(tblPiNAnalysis[Mine Action], MATCH(tblPiNHistorical[[#This Row],[ID]], tblPiNAnalysis[ID], 0)), "")</f>
        <v>0</v>
      </c>
      <c r="AD407" s="83">
        <f>IFERROR(INDEX(tblPiNAnalysis[[Shelter NFI ]], MATCH(tblPiNHistorical[[#This Row],[ID]], tblPiNAnalysis[ID], 0)), "")</f>
        <v>0</v>
      </c>
      <c r="AE407" s="28">
        <f>IFERROR(INDEX(tblPiNAnalysis[WASH], MATCH(tblPiNHistorical[[#This Row],[ID]], tblPiNAnalysis[ID], 0)), "")</f>
        <v>0</v>
      </c>
      <c r="AF407"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407" s="136" t="str">
        <f>IF(OR(tblPiNHistorical[[#This Row],[Education Old]]="", tblPiNHistorical[[#This Row],[Education Old]]=0, tblPiNHistorical[[#This Row],[Education New]]="", tblPiNHistorical[[#This Row],[Education New]]=0), "", tblPiNHistorical[[#This Row],[Education New]]-tblPiNHistorical[[#This Row],[Education Old]])</f>
        <v/>
      </c>
      <c r="AH407"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407" s="137" t="str">
        <f>IF(OR(tblPiNHistorical[[#This Row],[Health Old]]="", tblPiNHistorical[[#This Row],[Health Old]]=0, tblPiNHistorical[[#This Row],[Health New]]="", tblPiNHistorical[[#This Row],[Health New]]=0), "", tblPiNHistorical[[#This Row],[Health New]]-tblPiNHistorical[[#This Row],[Health Old]])</f>
        <v/>
      </c>
      <c r="AJ407" s="136" t="str">
        <f>IF(OR(tblPiNHistorical[[#This Row],[Nutrition Old]]="", tblPiNHistorical[[#This Row],[Nutrition Old]]=0, tblPiNHistorical[[#This Row],[Nutrition New]]="", tblPiNHistorical[[#This Row],[Nutrition New]]=0), "", tblPiNHistorical[[#This Row],[Nutrition New]]-tblPiNHistorical[[#This Row],[Nutrition Old]])</f>
        <v/>
      </c>
      <c r="AK407" s="136" t="str">
        <f>IF(OR(tblPiNHistorical[[#This Row],[Protection Old]]="", tblPiNHistorical[[#This Row],[Protection Old]]=0, tblPiNHistorical[[#This Row],[Protection New]]="", tblPiNHistorical[[#This Row],[Protection New]]=0), "", tblPiNHistorical[[#This Row],[Protection New]]-tblPiNHistorical[[#This Row],[Protection Old]])</f>
        <v/>
      </c>
      <c r="AL407" s="136" t="str">
        <f>IF(OR(tblPiNHistorical[[#This Row],[CP Old ]]="", tblPiNHistorical[[#This Row],[CP Old ]]=0, tblPiNHistorical[[#This Row],[CP New]]="", tblPiNHistorical[[#This Row],[CP New]]=0), "", tblPiNHistorical[[#This Row],[CP New]]-tblPiNHistorical[[#This Row],[CP Old ]])</f>
        <v/>
      </c>
      <c r="AM407" s="83" t="str">
        <f>IF(OR(tblPiNHistorical[[#This Row],[GBV Old]]="", tblPiNHistorical[[#This Row],[GBV Old]]=0, tblPiNHistorical[[#This Row],[GBV New]]="", tblPiNHistorical[[#This Row],[GBV New]]=0), "", tblPiNHistorical[[#This Row],[GBV New]]-tblPiNHistorical[[#This Row],[GBV Old]])</f>
        <v/>
      </c>
      <c r="AN407" s="83" t="str">
        <f>IF(OR(tblPiNHistorical[[#This Row],[Mine Action Old]]="", tblPiNHistorical[[#This Row],[Mine Action Old]]=0, tblPiNHistorical[[#This Row],[Mine Action New]]="", tblPiNHistorical[[#This Row],[Mine Action New]]=0), "", tblPiNHistorical[[#This Row],[Mine Action New]]-tblPiNHistorical[[#This Row],[Mine Action Old]])</f>
        <v/>
      </c>
      <c r="AO407" s="136" t="str">
        <f>IF(OR(tblPiNHistorical[[#This Row],[Shelter NFI Old]]="", tblPiNHistorical[[#This Row],[Shelter NFI Old]]=0, tblPiNHistorical[[#This Row],[Shelter NFI New]]="", tblPiNHistorical[[#This Row],[Shelter NFI New]]=0), "", tblPiNHistorical[[#This Row],[Shelter NFI New]]-tblPiNHistorical[[#This Row],[Shelter NFI Old]])</f>
        <v/>
      </c>
      <c r="AP407" s="138" t="str">
        <f>IF(OR(tblPiNHistorical[[#This Row],[WASH Old]]="", tblPiNHistorical[[#This Row],[WASH Old]]=0, tblPiNHistorical[[#This Row],[WASH New]]="", tblPiNHistorical[[#This Row],[WASH New]]=0), "", tblPiNHistorical[[#This Row],[WASH New]]-tblPiNHistorical[[#This Row],[WASH Old]])</f>
        <v/>
      </c>
      <c r="AQ407" s="139" t="str">
        <f>IFERROR(ROUND((tblPiNHistorical[[#This Row],[Site Management - New]] - tblPiNHistorical[[#This Row],[Site Management - Old]])/tblPiNHistorical[[#This Row],[Site Management - Old]], 1), "")</f>
        <v/>
      </c>
      <c r="AR407" s="140">
        <f>IFERROR(ROUND((tblPiNHistorical[[#This Row],[Education New]]-tblPiNHistorical[[#This Row],[Education Old]])/tblPiNHistorical[[#This Row],[Education Old]], 1), "")</f>
        <v>-1</v>
      </c>
      <c r="AS407" s="141">
        <f>IFERROR(ROUND((tblPiNHistorical[[#This Row],[Food Security and Livlihoods New]]-tblPiNHistorical[[#This Row],[Food Security and Livlihoods Old]])/tblPiNHistorical[[#This Row],[Food Security and Livlihoods Old]], 1), "")</f>
        <v>-1</v>
      </c>
      <c r="AT407" s="142">
        <f>IFERROR(ROUND((tblPiNHistorical[[#This Row],[Health New]]-tblPiNHistorical[[#This Row],[Health Old]])/tblPiNHistorical[[#This Row],[Health Old]], 1), "")</f>
        <v>-1</v>
      </c>
      <c r="AU407" s="140">
        <f>IFERROR(ROUND((tblPiNHistorical[[#This Row],[Nutrition New]]-tblPiNHistorical[[#This Row],[Nutrition Old]])/tblPiNHistorical[[#This Row],[Nutrition Old]], 1), "")</f>
        <v>-1</v>
      </c>
      <c r="AV407" s="140">
        <f>IFERROR(ROUND((tblPiNHistorical[[#This Row],[Protection New]]-tblPiNHistorical[[#This Row],[Protection Old]])/tblPiNHistorical[[#This Row],[Protection Old]], 1), "")</f>
        <v>-1</v>
      </c>
      <c r="AW407" s="84">
        <f>IFERROR(ROUND((tblPiNHistorical[[#This Row],[CP New]]-tblPiNHistorical[[#This Row],[CP Old ]])/tblPiNHistorical[[#This Row],[CP Old ]], 1), "")</f>
        <v>-1</v>
      </c>
      <c r="AX407" s="84">
        <f>IFERROR(ROUND((tblPiNHistorical[[#This Row],[GBV New]]-tblPiNHistorical[[#This Row],[GBV Old]])/tblPiNHistorical[[#This Row],[GBV Old]], 1), "")</f>
        <v>-1</v>
      </c>
      <c r="AY407" s="84">
        <f>IFERROR(ROUND((tblPiNHistorical[[#This Row],[Mine Action New]]-tblPiNHistorical[[#This Row],[Mine Action Old]])/tblPiNHistorical[[#This Row],[Mine Action Old]], 1), "")</f>
        <v>-1</v>
      </c>
      <c r="AZ407" s="140">
        <f>IFERROR(ROUND((tblPiNHistorical[[#This Row],[Shelter NFI New]]-tblPiNHistorical[[#This Row],[Shelter NFI Old]])/tblPiNHistorical[[#This Row],[Shelter NFI Old]], 1), "")</f>
        <v>-1</v>
      </c>
      <c r="BA407" s="31">
        <f>IFERROR(ROUND((tblPiNHistorical[[#This Row],[WASH New]]-tblPiNHistorical[[#This Row],[WASH Old]])/tblPiNHistorical[[#This Row],[WASH Old]], 1), "")</f>
        <v>-1</v>
      </c>
    </row>
    <row r="408" spans="1:53" ht="38.25" x14ac:dyDescent="0.25">
      <c r="A408"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Host CommunitySD06138</v>
      </c>
      <c r="B408" s="134" t="s">
        <v>141</v>
      </c>
      <c r="C408" s="124" t="s">
        <v>123</v>
      </c>
      <c r="D408" s="124" t="s">
        <v>163</v>
      </c>
      <c r="E408" s="59" t="s">
        <v>162</v>
      </c>
      <c r="F408" s="54"/>
      <c r="G408" s="29"/>
      <c r="H408" s="53">
        <v>183690</v>
      </c>
      <c r="I408" s="53" t="s">
        <v>87</v>
      </c>
      <c r="J408" s="34">
        <v>0</v>
      </c>
      <c r="K408" s="116">
        <v>71216.612999999998</v>
      </c>
      <c r="L408" s="114">
        <v>181977</v>
      </c>
      <c r="M408" s="114">
        <v>183690</v>
      </c>
      <c r="N408" s="114">
        <v>21182</v>
      </c>
      <c r="O408" s="114">
        <v>128582.99999999999</v>
      </c>
      <c r="P408" s="114">
        <v>20206</v>
      </c>
      <c r="Q408" s="114">
        <v>63012</v>
      </c>
      <c r="R408" s="114">
        <v>128582.99999999999</v>
      </c>
      <c r="S408" s="114">
        <v>55107</v>
      </c>
      <c r="T408" s="196">
        <v>128417.679</v>
      </c>
      <c r="U408" s="52">
        <f>IFERROR(INDEX(tblPiNAnalysis[[Site Management ]], MATCH(tblPiNHistorical[[#This Row],[ID]], tblPiNAnalysis[ID], 0)), "")</f>
        <v>0</v>
      </c>
      <c r="V408" s="52">
        <f>IFERROR(INDEX(tblPiNAnalysis[Education], MATCH(tblPiNHistorical[[#This Row],[ID]], tblPiNAnalysis[ID], 0)), "")</f>
        <v>0</v>
      </c>
      <c r="W408" s="28">
        <f>IFERROR(INDEX(tblPiNAnalysis[Food Security and Livlihoods], MATCH(tblPiNHistorical[[#This Row],[ID]], tblPiNAnalysis[ID], 0)), "")</f>
        <v>0</v>
      </c>
      <c r="X408" s="28">
        <f>IFERROR(INDEX(tblPiNAnalysis[[Health ]], MATCH(tblPiNHistorical[[#This Row],[ID]], tblPiNAnalysis[ID], 0)), "")</f>
        <v>0</v>
      </c>
      <c r="Y408" s="28">
        <f>IFERROR(INDEX(tblPiNAnalysis[Nutrition], MATCH(tblPiNHistorical[[#This Row],[ID]], tblPiNAnalysis[ID], 0)), "")</f>
        <v>0</v>
      </c>
      <c r="Z408" s="28">
        <f>IFERROR(INDEX(tblPiNAnalysis[Protection], MATCH(tblPiNHistorical[[#This Row],[ID]], tblPiNAnalysis[ID], 0)), "")</f>
        <v>0</v>
      </c>
      <c r="AA408" s="28">
        <f>IFERROR(INDEX(tblPiNAnalysis[CP], MATCH(tblPiNHistorical[[#This Row],[ID]], tblPiNAnalysis[ID], 0)), "")</f>
        <v>0</v>
      </c>
      <c r="AB408" s="83">
        <f>IFERROR(INDEX(tblPiNAnalysis[GBV], MATCH(tblPiNHistorical[[#This Row],[ID]], tblPiNAnalysis[ID], 0)), "")</f>
        <v>0</v>
      </c>
      <c r="AC408" s="28">
        <f>IFERROR(INDEX(tblPiNAnalysis[Mine Action], MATCH(tblPiNHistorical[[#This Row],[ID]], tblPiNAnalysis[ID], 0)), "")</f>
        <v>0</v>
      </c>
      <c r="AD408" s="83">
        <f>IFERROR(INDEX(tblPiNAnalysis[[Shelter NFI ]], MATCH(tblPiNHistorical[[#This Row],[ID]], tblPiNAnalysis[ID], 0)), "")</f>
        <v>0</v>
      </c>
      <c r="AE408" s="28">
        <f>IFERROR(INDEX(tblPiNAnalysis[WASH], MATCH(tblPiNHistorical[[#This Row],[ID]], tblPiNAnalysis[ID], 0)), "")</f>
        <v>0</v>
      </c>
      <c r="AF408"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408" s="136" t="str">
        <f>IF(OR(tblPiNHistorical[[#This Row],[Education Old]]="", tblPiNHistorical[[#This Row],[Education Old]]=0, tblPiNHistorical[[#This Row],[Education New]]="", tblPiNHistorical[[#This Row],[Education New]]=0), "", tblPiNHistorical[[#This Row],[Education New]]-tblPiNHistorical[[#This Row],[Education Old]])</f>
        <v/>
      </c>
      <c r="AH408"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408" s="137" t="str">
        <f>IF(OR(tblPiNHistorical[[#This Row],[Health Old]]="", tblPiNHistorical[[#This Row],[Health Old]]=0, tblPiNHistorical[[#This Row],[Health New]]="", tblPiNHistorical[[#This Row],[Health New]]=0), "", tblPiNHistorical[[#This Row],[Health New]]-tblPiNHistorical[[#This Row],[Health Old]])</f>
        <v/>
      </c>
      <c r="AJ408" s="136" t="str">
        <f>IF(OR(tblPiNHistorical[[#This Row],[Nutrition Old]]="", tblPiNHistorical[[#This Row],[Nutrition Old]]=0, tblPiNHistorical[[#This Row],[Nutrition New]]="", tblPiNHistorical[[#This Row],[Nutrition New]]=0), "", tblPiNHistorical[[#This Row],[Nutrition New]]-tblPiNHistorical[[#This Row],[Nutrition Old]])</f>
        <v/>
      </c>
      <c r="AK408" s="136" t="str">
        <f>IF(OR(tblPiNHistorical[[#This Row],[Protection Old]]="", tblPiNHistorical[[#This Row],[Protection Old]]=0, tblPiNHistorical[[#This Row],[Protection New]]="", tblPiNHistorical[[#This Row],[Protection New]]=0), "", tblPiNHistorical[[#This Row],[Protection New]]-tblPiNHistorical[[#This Row],[Protection Old]])</f>
        <v/>
      </c>
      <c r="AL408" s="136" t="str">
        <f>IF(OR(tblPiNHistorical[[#This Row],[CP Old ]]="", tblPiNHistorical[[#This Row],[CP Old ]]=0, tblPiNHistorical[[#This Row],[CP New]]="", tblPiNHistorical[[#This Row],[CP New]]=0), "", tblPiNHistorical[[#This Row],[CP New]]-tblPiNHistorical[[#This Row],[CP Old ]])</f>
        <v/>
      </c>
      <c r="AM408" s="83" t="str">
        <f>IF(OR(tblPiNHistorical[[#This Row],[GBV Old]]="", tblPiNHistorical[[#This Row],[GBV Old]]=0, tblPiNHistorical[[#This Row],[GBV New]]="", tblPiNHistorical[[#This Row],[GBV New]]=0), "", tblPiNHistorical[[#This Row],[GBV New]]-tblPiNHistorical[[#This Row],[GBV Old]])</f>
        <v/>
      </c>
      <c r="AN408" s="83" t="str">
        <f>IF(OR(tblPiNHistorical[[#This Row],[Mine Action Old]]="", tblPiNHistorical[[#This Row],[Mine Action Old]]=0, tblPiNHistorical[[#This Row],[Mine Action New]]="", tblPiNHistorical[[#This Row],[Mine Action New]]=0), "", tblPiNHistorical[[#This Row],[Mine Action New]]-tblPiNHistorical[[#This Row],[Mine Action Old]])</f>
        <v/>
      </c>
      <c r="AO408" s="136" t="str">
        <f>IF(OR(tblPiNHistorical[[#This Row],[Shelter NFI Old]]="", tblPiNHistorical[[#This Row],[Shelter NFI Old]]=0, tblPiNHistorical[[#This Row],[Shelter NFI New]]="", tblPiNHistorical[[#This Row],[Shelter NFI New]]=0), "", tblPiNHistorical[[#This Row],[Shelter NFI New]]-tblPiNHistorical[[#This Row],[Shelter NFI Old]])</f>
        <v/>
      </c>
      <c r="AP408" s="138" t="str">
        <f>IF(OR(tblPiNHistorical[[#This Row],[WASH Old]]="", tblPiNHistorical[[#This Row],[WASH Old]]=0, tblPiNHistorical[[#This Row],[WASH New]]="", tblPiNHistorical[[#This Row],[WASH New]]=0), "", tblPiNHistorical[[#This Row],[WASH New]]-tblPiNHistorical[[#This Row],[WASH Old]])</f>
        <v/>
      </c>
      <c r="AQ408" s="139" t="str">
        <f>IFERROR(ROUND((tblPiNHistorical[[#This Row],[Site Management - New]] - tblPiNHistorical[[#This Row],[Site Management - Old]])/tblPiNHistorical[[#This Row],[Site Management - Old]], 1), "")</f>
        <v/>
      </c>
      <c r="AR408" s="140">
        <f>IFERROR(ROUND((tblPiNHistorical[[#This Row],[Education New]]-tblPiNHistorical[[#This Row],[Education Old]])/tblPiNHistorical[[#This Row],[Education Old]], 1), "")</f>
        <v>-1</v>
      </c>
      <c r="AS408" s="141">
        <f>IFERROR(ROUND((tblPiNHistorical[[#This Row],[Food Security and Livlihoods New]]-tblPiNHistorical[[#This Row],[Food Security and Livlihoods Old]])/tblPiNHistorical[[#This Row],[Food Security and Livlihoods Old]], 1), "")</f>
        <v>-1</v>
      </c>
      <c r="AT408" s="142">
        <f>IFERROR(ROUND((tblPiNHistorical[[#This Row],[Health New]]-tblPiNHistorical[[#This Row],[Health Old]])/tblPiNHistorical[[#This Row],[Health Old]], 1), "")</f>
        <v>-1</v>
      </c>
      <c r="AU408" s="140">
        <f>IFERROR(ROUND((tblPiNHistorical[[#This Row],[Nutrition New]]-tblPiNHistorical[[#This Row],[Nutrition Old]])/tblPiNHistorical[[#This Row],[Nutrition Old]], 1), "")</f>
        <v>-1</v>
      </c>
      <c r="AV408" s="140">
        <f>IFERROR(ROUND((tblPiNHistorical[[#This Row],[Protection New]]-tblPiNHistorical[[#This Row],[Protection Old]])/tblPiNHistorical[[#This Row],[Protection Old]], 1), "")</f>
        <v>-1</v>
      </c>
      <c r="AW408" s="84">
        <f>IFERROR(ROUND((tblPiNHistorical[[#This Row],[CP New]]-tblPiNHistorical[[#This Row],[CP Old ]])/tblPiNHistorical[[#This Row],[CP Old ]], 1), "")</f>
        <v>-1</v>
      </c>
      <c r="AX408" s="84">
        <f>IFERROR(ROUND((tblPiNHistorical[[#This Row],[GBV New]]-tblPiNHistorical[[#This Row],[GBV Old]])/tblPiNHistorical[[#This Row],[GBV Old]], 1), "")</f>
        <v>-1</v>
      </c>
      <c r="AY408" s="84">
        <f>IFERROR(ROUND((tblPiNHistorical[[#This Row],[Mine Action New]]-tblPiNHistorical[[#This Row],[Mine Action Old]])/tblPiNHistorical[[#This Row],[Mine Action Old]], 1), "")</f>
        <v>-1</v>
      </c>
      <c r="AZ408" s="140">
        <f>IFERROR(ROUND((tblPiNHistorical[[#This Row],[Shelter NFI New]]-tblPiNHistorical[[#This Row],[Shelter NFI Old]])/tblPiNHistorical[[#This Row],[Shelter NFI Old]], 1), "")</f>
        <v>-1</v>
      </c>
      <c r="BA408" s="31">
        <f>IFERROR(ROUND((tblPiNHistorical[[#This Row],[WASH New]]-tblPiNHistorical[[#This Row],[WASH Old]])/tblPiNHistorical[[#This Row],[WASH Old]], 1), "")</f>
        <v>-1</v>
      </c>
    </row>
    <row r="409" spans="1:53" ht="38.25" x14ac:dyDescent="0.25">
      <c r="A409"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Host CommunitySD05140</v>
      </c>
      <c r="B409" s="134" t="s">
        <v>155</v>
      </c>
      <c r="C409" s="124" t="s">
        <v>122</v>
      </c>
      <c r="D409" s="124" t="s">
        <v>172</v>
      </c>
      <c r="E409" s="59" t="s">
        <v>171</v>
      </c>
      <c r="F409" s="54"/>
      <c r="G409" s="29"/>
      <c r="H409" s="53">
        <v>49741</v>
      </c>
      <c r="I409" s="53" t="s">
        <v>87</v>
      </c>
      <c r="J409" s="34">
        <v>0</v>
      </c>
      <c r="K409" s="116">
        <v>19284.5857</v>
      </c>
      <c r="L409" s="114">
        <v>49741</v>
      </c>
      <c r="M409" s="114">
        <v>49741</v>
      </c>
      <c r="N409" s="114">
        <v>4798</v>
      </c>
      <c r="O409" s="114">
        <v>15750</v>
      </c>
      <c r="P409" s="114">
        <v>5472</v>
      </c>
      <c r="Q409" s="114">
        <v>15750</v>
      </c>
      <c r="R409" s="114">
        <v>0</v>
      </c>
      <c r="S409" s="114">
        <v>9948</v>
      </c>
      <c r="T409" s="196">
        <v>49119.237500000003</v>
      </c>
      <c r="U409" s="52">
        <f>IFERROR(INDEX(tblPiNAnalysis[[Site Management ]], MATCH(tblPiNHistorical[[#This Row],[ID]], tblPiNAnalysis[ID], 0)), "")</f>
        <v>0</v>
      </c>
      <c r="V409" s="52">
        <f>IFERROR(INDEX(tblPiNAnalysis[Education], MATCH(tblPiNHistorical[[#This Row],[ID]], tblPiNAnalysis[ID], 0)), "")</f>
        <v>0</v>
      </c>
      <c r="W409" s="28">
        <f>IFERROR(INDEX(tblPiNAnalysis[Food Security and Livlihoods], MATCH(tblPiNHistorical[[#This Row],[ID]], tblPiNAnalysis[ID], 0)), "")</f>
        <v>0</v>
      </c>
      <c r="X409" s="28">
        <f>IFERROR(INDEX(tblPiNAnalysis[[Health ]], MATCH(tblPiNHistorical[[#This Row],[ID]], tblPiNAnalysis[ID], 0)), "")</f>
        <v>0</v>
      </c>
      <c r="Y409" s="28">
        <f>IFERROR(INDEX(tblPiNAnalysis[Nutrition], MATCH(tblPiNHistorical[[#This Row],[ID]], tblPiNAnalysis[ID], 0)), "")</f>
        <v>0</v>
      </c>
      <c r="Z409" s="28">
        <f>IFERROR(INDEX(tblPiNAnalysis[Protection], MATCH(tblPiNHistorical[[#This Row],[ID]], tblPiNAnalysis[ID], 0)), "")</f>
        <v>0</v>
      </c>
      <c r="AA409" s="28">
        <f>IFERROR(INDEX(tblPiNAnalysis[CP], MATCH(tblPiNHistorical[[#This Row],[ID]], tblPiNAnalysis[ID], 0)), "")</f>
        <v>0</v>
      </c>
      <c r="AB409" s="83">
        <f>IFERROR(INDEX(tblPiNAnalysis[GBV], MATCH(tblPiNHistorical[[#This Row],[ID]], tblPiNAnalysis[ID], 0)), "")</f>
        <v>0</v>
      </c>
      <c r="AC409" s="28">
        <f>IFERROR(INDEX(tblPiNAnalysis[Mine Action], MATCH(tblPiNHistorical[[#This Row],[ID]], tblPiNAnalysis[ID], 0)), "")</f>
        <v>0</v>
      </c>
      <c r="AD409" s="83">
        <f>IFERROR(INDEX(tblPiNAnalysis[[Shelter NFI ]], MATCH(tblPiNHistorical[[#This Row],[ID]], tblPiNAnalysis[ID], 0)), "")</f>
        <v>43540</v>
      </c>
      <c r="AE409" s="28">
        <f>IFERROR(INDEX(tblPiNAnalysis[WASH], MATCH(tblPiNHistorical[[#This Row],[ID]], tblPiNAnalysis[ID], 0)), "")</f>
        <v>0</v>
      </c>
      <c r="AF409"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409" s="136" t="str">
        <f>IF(OR(tblPiNHistorical[[#This Row],[Education Old]]="", tblPiNHistorical[[#This Row],[Education Old]]=0, tblPiNHistorical[[#This Row],[Education New]]="", tblPiNHistorical[[#This Row],[Education New]]=0), "", tblPiNHistorical[[#This Row],[Education New]]-tblPiNHistorical[[#This Row],[Education Old]])</f>
        <v/>
      </c>
      <c r="AH409"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409" s="137" t="str">
        <f>IF(OR(tblPiNHistorical[[#This Row],[Health Old]]="", tblPiNHistorical[[#This Row],[Health Old]]=0, tblPiNHistorical[[#This Row],[Health New]]="", tblPiNHistorical[[#This Row],[Health New]]=0), "", tblPiNHistorical[[#This Row],[Health New]]-tblPiNHistorical[[#This Row],[Health Old]])</f>
        <v/>
      </c>
      <c r="AJ409" s="136" t="str">
        <f>IF(OR(tblPiNHistorical[[#This Row],[Nutrition Old]]="", tblPiNHistorical[[#This Row],[Nutrition Old]]=0, tblPiNHistorical[[#This Row],[Nutrition New]]="", tblPiNHistorical[[#This Row],[Nutrition New]]=0), "", tblPiNHistorical[[#This Row],[Nutrition New]]-tblPiNHistorical[[#This Row],[Nutrition Old]])</f>
        <v/>
      </c>
      <c r="AK409" s="136" t="str">
        <f>IF(OR(tblPiNHistorical[[#This Row],[Protection Old]]="", tblPiNHistorical[[#This Row],[Protection Old]]=0, tblPiNHistorical[[#This Row],[Protection New]]="", tblPiNHistorical[[#This Row],[Protection New]]=0), "", tblPiNHistorical[[#This Row],[Protection New]]-tblPiNHistorical[[#This Row],[Protection Old]])</f>
        <v/>
      </c>
      <c r="AL409" s="136" t="str">
        <f>IF(OR(tblPiNHistorical[[#This Row],[CP Old ]]="", tblPiNHistorical[[#This Row],[CP Old ]]=0, tblPiNHistorical[[#This Row],[CP New]]="", tblPiNHistorical[[#This Row],[CP New]]=0), "", tblPiNHistorical[[#This Row],[CP New]]-tblPiNHistorical[[#This Row],[CP Old ]])</f>
        <v/>
      </c>
      <c r="AM409" s="83" t="str">
        <f>IF(OR(tblPiNHistorical[[#This Row],[GBV Old]]="", tblPiNHistorical[[#This Row],[GBV Old]]=0, tblPiNHistorical[[#This Row],[GBV New]]="", tblPiNHistorical[[#This Row],[GBV New]]=0), "", tblPiNHistorical[[#This Row],[GBV New]]-tblPiNHistorical[[#This Row],[GBV Old]])</f>
        <v/>
      </c>
      <c r="AN409" s="83" t="str">
        <f>IF(OR(tblPiNHistorical[[#This Row],[Mine Action Old]]="", tblPiNHistorical[[#This Row],[Mine Action Old]]=0, tblPiNHistorical[[#This Row],[Mine Action New]]="", tblPiNHistorical[[#This Row],[Mine Action New]]=0), "", tblPiNHistorical[[#This Row],[Mine Action New]]-tblPiNHistorical[[#This Row],[Mine Action Old]])</f>
        <v/>
      </c>
      <c r="AO409" s="136">
        <f>IF(OR(tblPiNHistorical[[#This Row],[Shelter NFI Old]]="", tblPiNHistorical[[#This Row],[Shelter NFI Old]]=0, tblPiNHistorical[[#This Row],[Shelter NFI New]]="", tblPiNHistorical[[#This Row],[Shelter NFI New]]=0), "", tblPiNHistorical[[#This Row],[Shelter NFI New]]-tblPiNHistorical[[#This Row],[Shelter NFI Old]])</f>
        <v>33592</v>
      </c>
      <c r="AP409" s="138" t="str">
        <f>IF(OR(tblPiNHistorical[[#This Row],[WASH Old]]="", tblPiNHistorical[[#This Row],[WASH Old]]=0, tblPiNHistorical[[#This Row],[WASH New]]="", tblPiNHistorical[[#This Row],[WASH New]]=0), "", tblPiNHistorical[[#This Row],[WASH New]]-tblPiNHistorical[[#This Row],[WASH Old]])</f>
        <v/>
      </c>
      <c r="AQ409" s="139" t="str">
        <f>IFERROR(ROUND((tblPiNHistorical[[#This Row],[Site Management - New]] - tblPiNHistorical[[#This Row],[Site Management - Old]])/tblPiNHistorical[[#This Row],[Site Management - Old]], 1), "")</f>
        <v/>
      </c>
      <c r="AR409" s="140">
        <f>IFERROR(ROUND((tblPiNHistorical[[#This Row],[Education New]]-tblPiNHistorical[[#This Row],[Education Old]])/tblPiNHistorical[[#This Row],[Education Old]], 1), "")</f>
        <v>-1</v>
      </c>
      <c r="AS409" s="141">
        <f>IFERROR(ROUND((tblPiNHistorical[[#This Row],[Food Security and Livlihoods New]]-tblPiNHistorical[[#This Row],[Food Security and Livlihoods Old]])/tblPiNHistorical[[#This Row],[Food Security and Livlihoods Old]], 1), "")</f>
        <v>-1</v>
      </c>
      <c r="AT409" s="142">
        <f>IFERROR(ROUND((tblPiNHistorical[[#This Row],[Health New]]-tblPiNHistorical[[#This Row],[Health Old]])/tblPiNHistorical[[#This Row],[Health Old]], 1), "")</f>
        <v>-1</v>
      </c>
      <c r="AU409" s="140">
        <f>IFERROR(ROUND((tblPiNHistorical[[#This Row],[Nutrition New]]-tblPiNHistorical[[#This Row],[Nutrition Old]])/tblPiNHistorical[[#This Row],[Nutrition Old]], 1), "")</f>
        <v>-1</v>
      </c>
      <c r="AV409" s="140">
        <f>IFERROR(ROUND((tblPiNHistorical[[#This Row],[Protection New]]-tblPiNHistorical[[#This Row],[Protection Old]])/tblPiNHistorical[[#This Row],[Protection Old]], 1), "")</f>
        <v>-1</v>
      </c>
      <c r="AW409" s="84">
        <f>IFERROR(ROUND((tblPiNHistorical[[#This Row],[CP New]]-tblPiNHistorical[[#This Row],[CP Old ]])/tblPiNHistorical[[#This Row],[CP Old ]], 1), "")</f>
        <v>-1</v>
      </c>
      <c r="AX409" s="84">
        <f>IFERROR(ROUND((tblPiNHistorical[[#This Row],[GBV New]]-tblPiNHistorical[[#This Row],[GBV Old]])/tblPiNHistorical[[#This Row],[GBV Old]], 1), "")</f>
        <v>-1</v>
      </c>
      <c r="AY409" s="84" t="str">
        <f>IFERROR(ROUND((tblPiNHistorical[[#This Row],[Mine Action New]]-tblPiNHistorical[[#This Row],[Mine Action Old]])/tblPiNHistorical[[#This Row],[Mine Action Old]], 1), "")</f>
        <v/>
      </c>
      <c r="AZ409" s="140">
        <f>IFERROR(ROUND((tblPiNHistorical[[#This Row],[Shelter NFI New]]-tblPiNHistorical[[#This Row],[Shelter NFI Old]])/tblPiNHistorical[[#This Row],[Shelter NFI Old]], 1), "")</f>
        <v>3.4</v>
      </c>
      <c r="BA409" s="31">
        <f>IFERROR(ROUND((tblPiNHistorical[[#This Row],[WASH New]]-tblPiNHistorical[[#This Row],[WASH Old]])/tblPiNHistorical[[#This Row],[WASH Old]], 1), "")</f>
        <v>-1</v>
      </c>
    </row>
    <row r="410" spans="1:53" ht="38.25" x14ac:dyDescent="0.25">
      <c r="A410"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Host CommunitySD05155</v>
      </c>
      <c r="B410" s="134" t="s">
        <v>155</v>
      </c>
      <c r="C410" s="124" t="s">
        <v>122</v>
      </c>
      <c r="D410" s="124" t="s">
        <v>184</v>
      </c>
      <c r="E410" s="59" t="s">
        <v>183</v>
      </c>
      <c r="F410" s="54"/>
      <c r="G410" s="29"/>
      <c r="H410" s="53">
        <v>36649</v>
      </c>
      <c r="I410" s="53" t="s">
        <v>87</v>
      </c>
      <c r="J410" s="34">
        <v>0</v>
      </c>
      <c r="K410" s="116">
        <v>14208.817299999999</v>
      </c>
      <c r="L410" s="114">
        <v>36649</v>
      </c>
      <c r="M410" s="114">
        <v>36649</v>
      </c>
      <c r="N410" s="114">
        <v>4819</v>
      </c>
      <c r="O410" s="114">
        <v>11603</v>
      </c>
      <c r="P410" s="114">
        <v>4031</v>
      </c>
      <c r="Q410" s="114">
        <v>11603</v>
      </c>
      <c r="R410" s="114">
        <v>0</v>
      </c>
      <c r="S410" s="114">
        <v>7330</v>
      </c>
      <c r="T410" s="196">
        <v>28472.608100000001</v>
      </c>
      <c r="U410" s="52">
        <f>IFERROR(INDEX(tblPiNAnalysis[[Site Management ]], MATCH(tblPiNHistorical[[#This Row],[ID]], tblPiNAnalysis[ID], 0)), "")</f>
        <v>0</v>
      </c>
      <c r="V410" s="52">
        <f>IFERROR(INDEX(tblPiNAnalysis[Education], MATCH(tblPiNHistorical[[#This Row],[ID]], tblPiNAnalysis[ID], 0)), "")</f>
        <v>0</v>
      </c>
      <c r="W410" s="28">
        <f>IFERROR(INDEX(tblPiNAnalysis[Food Security and Livlihoods], MATCH(tblPiNHistorical[[#This Row],[ID]], tblPiNAnalysis[ID], 0)), "")</f>
        <v>0</v>
      </c>
      <c r="X410" s="28">
        <f>IFERROR(INDEX(tblPiNAnalysis[[Health ]], MATCH(tblPiNHistorical[[#This Row],[ID]], tblPiNAnalysis[ID], 0)), "")</f>
        <v>0</v>
      </c>
      <c r="Y410" s="28">
        <f>IFERROR(INDEX(tblPiNAnalysis[Nutrition], MATCH(tblPiNHistorical[[#This Row],[ID]], tblPiNAnalysis[ID], 0)), "")</f>
        <v>0</v>
      </c>
      <c r="Z410" s="28">
        <f>IFERROR(INDEX(tblPiNAnalysis[Protection], MATCH(tblPiNHistorical[[#This Row],[ID]], tblPiNAnalysis[ID], 0)), "")</f>
        <v>0</v>
      </c>
      <c r="AA410" s="28">
        <f>IFERROR(INDEX(tblPiNAnalysis[CP], MATCH(tblPiNHistorical[[#This Row],[ID]], tblPiNAnalysis[ID], 0)), "")</f>
        <v>0</v>
      </c>
      <c r="AB410" s="83">
        <f>IFERROR(INDEX(tblPiNAnalysis[GBV], MATCH(tblPiNHistorical[[#This Row],[ID]], tblPiNAnalysis[ID], 0)), "")</f>
        <v>0</v>
      </c>
      <c r="AC410" s="28">
        <f>IFERROR(INDEX(tblPiNAnalysis[Mine Action], MATCH(tblPiNHistorical[[#This Row],[ID]], tblPiNAnalysis[ID], 0)), "")</f>
        <v>0</v>
      </c>
      <c r="AD410" s="83">
        <f>IFERROR(INDEX(tblPiNAnalysis[[Shelter NFI ]], MATCH(tblPiNHistorical[[#This Row],[ID]], tblPiNAnalysis[ID], 0)), "")</f>
        <v>33943</v>
      </c>
      <c r="AE410" s="28">
        <f>IFERROR(INDEX(tblPiNAnalysis[WASH], MATCH(tblPiNHistorical[[#This Row],[ID]], tblPiNAnalysis[ID], 0)), "")</f>
        <v>0</v>
      </c>
      <c r="AF410"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410" s="136" t="str">
        <f>IF(OR(tblPiNHistorical[[#This Row],[Education Old]]="", tblPiNHistorical[[#This Row],[Education Old]]=0, tblPiNHistorical[[#This Row],[Education New]]="", tblPiNHistorical[[#This Row],[Education New]]=0), "", tblPiNHistorical[[#This Row],[Education New]]-tblPiNHistorical[[#This Row],[Education Old]])</f>
        <v/>
      </c>
      <c r="AH410"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410" s="137" t="str">
        <f>IF(OR(tblPiNHistorical[[#This Row],[Health Old]]="", tblPiNHistorical[[#This Row],[Health Old]]=0, tblPiNHistorical[[#This Row],[Health New]]="", tblPiNHistorical[[#This Row],[Health New]]=0), "", tblPiNHistorical[[#This Row],[Health New]]-tblPiNHistorical[[#This Row],[Health Old]])</f>
        <v/>
      </c>
      <c r="AJ410" s="136" t="str">
        <f>IF(OR(tblPiNHistorical[[#This Row],[Nutrition Old]]="", tblPiNHistorical[[#This Row],[Nutrition Old]]=0, tblPiNHistorical[[#This Row],[Nutrition New]]="", tblPiNHistorical[[#This Row],[Nutrition New]]=0), "", tblPiNHistorical[[#This Row],[Nutrition New]]-tblPiNHistorical[[#This Row],[Nutrition Old]])</f>
        <v/>
      </c>
      <c r="AK410" s="136" t="str">
        <f>IF(OR(tblPiNHistorical[[#This Row],[Protection Old]]="", tblPiNHistorical[[#This Row],[Protection Old]]=0, tblPiNHistorical[[#This Row],[Protection New]]="", tblPiNHistorical[[#This Row],[Protection New]]=0), "", tblPiNHistorical[[#This Row],[Protection New]]-tblPiNHistorical[[#This Row],[Protection Old]])</f>
        <v/>
      </c>
      <c r="AL410" s="136" t="str">
        <f>IF(OR(tblPiNHistorical[[#This Row],[CP Old ]]="", tblPiNHistorical[[#This Row],[CP Old ]]=0, tblPiNHistorical[[#This Row],[CP New]]="", tblPiNHistorical[[#This Row],[CP New]]=0), "", tblPiNHistorical[[#This Row],[CP New]]-tblPiNHistorical[[#This Row],[CP Old ]])</f>
        <v/>
      </c>
      <c r="AM410" s="83" t="str">
        <f>IF(OR(tblPiNHistorical[[#This Row],[GBV Old]]="", tblPiNHistorical[[#This Row],[GBV Old]]=0, tblPiNHistorical[[#This Row],[GBV New]]="", tblPiNHistorical[[#This Row],[GBV New]]=0), "", tblPiNHistorical[[#This Row],[GBV New]]-tblPiNHistorical[[#This Row],[GBV Old]])</f>
        <v/>
      </c>
      <c r="AN410" s="83" t="str">
        <f>IF(OR(tblPiNHistorical[[#This Row],[Mine Action Old]]="", tblPiNHistorical[[#This Row],[Mine Action Old]]=0, tblPiNHistorical[[#This Row],[Mine Action New]]="", tblPiNHistorical[[#This Row],[Mine Action New]]=0), "", tblPiNHistorical[[#This Row],[Mine Action New]]-tblPiNHistorical[[#This Row],[Mine Action Old]])</f>
        <v/>
      </c>
      <c r="AO410" s="136">
        <f>IF(OR(tblPiNHistorical[[#This Row],[Shelter NFI Old]]="", tblPiNHistorical[[#This Row],[Shelter NFI Old]]=0, tblPiNHistorical[[#This Row],[Shelter NFI New]]="", tblPiNHistorical[[#This Row],[Shelter NFI New]]=0), "", tblPiNHistorical[[#This Row],[Shelter NFI New]]-tblPiNHistorical[[#This Row],[Shelter NFI Old]])</f>
        <v>26613</v>
      </c>
      <c r="AP410" s="138" t="str">
        <f>IF(OR(tblPiNHistorical[[#This Row],[WASH Old]]="", tblPiNHistorical[[#This Row],[WASH Old]]=0, tblPiNHistorical[[#This Row],[WASH New]]="", tblPiNHistorical[[#This Row],[WASH New]]=0), "", tblPiNHistorical[[#This Row],[WASH New]]-tblPiNHistorical[[#This Row],[WASH Old]])</f>
        <v/>
      </c>
      <c r="AQ410" s="139" t="str">
        <f>IFERROR(ROUND((tblPiNHistorical[[#This Row],[Site Management - New]] - tblPiNHistorical[[#This Row],[Site Management - Old]])/tblPiNHistorical[[#This Row],[Site Management - Old]], 1), "")</f>
        <v/>
      </c>
      <c r="AR410" s="140">
        <f>IFERROR(ROUND((tblPiNHistorical[[#This Row],[Education New]]-tblPiNHistorical[[#This Row],[Education Old]])/tblPiNHistorical[[#This Row],[Education Old]], 1), "")</f>
        <v>-1</v>
      </c>
      <c r="AS410" s="141">
        <f>IFERROR(ROUND((tblPiNHistorical[[#This Row],[Food Security and Livlihoods New]]-tblPiNHistorical[[#This Row],[Food Security and Livlihoods Old]])/tblPiNHistorical[[#This Row],[Food Security and Livlihoods Old]], 1), "")</f>
        <v>-1</v>
      </c>
      <c r="AT410" s="142">
        <f>IFERROR(ROUND((tblPiNHistorical[[#This Row],[Health New]]-tblPiNHistorical[[#This Row],[Health Old]])/tblPiNHistorical[[#This Row],[Health Old]], 1), "")</f>
        <v>-1</v>
      </c>
      <c r="AU410" s="140">
        <f>IFERROR(ROUND((tblPiNHistorical[[#This Row],[Nutrition New]]-tblPiNHistorical[[#This Row],[Nutrition Old]])/tblPiNHistorical[[#This Row],[Nutrition Old]], 1), "")</f>
        <v>-1</v>
      </c>
      <c r="AV410" s="140">
        <f>IFERROR(ROUND((tblPiNHistorical[[#This Row],[Protection New]]-tblPiNHistorical[[#This Row],[Protection Old]])/tblPiNHistorical[[#This Row],[Protection Old]], 1), "")</f>
        <v>-1</v>
      </c>
      <c r="AW410" s="84">
        <f>IFERROR(ROUND((tblPiNHistorical[[#This Row],[CP New]]-tblPiNHistorical[[#This Row],[CP Old ]])/tblPiNHistorical[[#This Row],[CP Old ]], 1), "")</f>
        <v>-1</v>
      </c>
      <c r="AX410" s="84">
        <f>IFERROR(ROUND((tblPiNHistorical[[#This Row],[GBV New]]-tblPiNHistorical[[#This Row],[GBV Old]])/tblPiNHistorical[[#This Row],[GBV Old]], 1), "")</f>
        <v>-1</v>
      </c>
      <c r="AY410" s="84" t="str">
        <f>IFERROR(ROUND((tblPiNHistorical[[#This Row],[Mine Action New]]-tblPiNHistorical[[#This Row],[Mine Action Old]])/tblPiNHistorical[[#This Row],[Mine Action Old]], 1), "")</f>
        <v/>
      </c>
      <c r="AZ410" s="140">
        <f>IFERROR(ROUND((tblPiNHistorical[[#This Row],[Shelter NFI New]]-tblPiNHistorical[[#This Row],[Shelter NFI Old]])/tblPiNHistorical[[#This Row],[Shelter NFI Old]], 1), "")</f>
        <v>3.6</v>
      </c>
      <c r="BA410" s="31">
        <f>IFERROR(ROUND((tblPiNHistorical[[#This Row],[WASH New]]-tblPiNHistorical[[#This Row],[WASH Old]])/tblPiNHistorical[[#This Row],[WASH Old]], 1), "")</f>
        <v>-1</v>
      </c>
    </row>
    <row r="411" spans="1:53" ht="38.25" x14ac:dyDescent="0.25">
      <c r="A411"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Host CommunitySD05142</v>
      </c>
      <c r="B411" s="134" t="s">
        <v>155</v>
      </c>
      <c r="C411" s="124" t="s">
        <v>122</v>
      </c>
      <c r="D411" s="124" t="s">
        <v>175</v>
      </c>
      <c r="E411" s="59" t="s">
        <v>174</v>
      </c>
      <c r="F411" s="54"/>
      <c r="G411" s="29"/>
      <c r="H411" s="53">
        <v>88709</v>
      </c>
      <c r="I411" s="53" t="s">
        <v>87</v>
      </c>
      <c r="J411" s="34">
        <v>0</v>
      </c>
      <c r="K411" s="116">
        <v>34392.479299999999</v>
      </c>
      <c r="L411" s="114">
        <v>77709</v>
      </c>
      <c r="M411" s="114">
        <v>88709</v>
      </c>
      <c r="N411" s="114">
        <v>10220</v>
      </c>
      <c r="O411" s="114">
        <v>28090</v>
      </c>
      <c r="P411" s="114">
        <v>9758</v>
      </c>
      <c r="Q411" s="114">
        <v>28090</v>
      </c>
      <c r="R411" s="114">
        <v>8870.9</v>
      </c>
      <c r="S411" s="114">
        <v>26613</v>
      </c>
      <c r="T411" s="196">
        <v>41435.973900000005</v>
      </c>
      <c r="U411" s="52">
        <f>IFERROR(INDEX(tblPiNAnalysis[[Site Management ]], MATCH(tblPiNHistorical[[#This Row],[ID]], tblPiNAnalysis[ID], 0)), "")</f>
        <v>0</v>
      </c>
      <c r="V411" s="52">
        <f>IFERROR(INDEX(tblPiNAnalysis[Education], MATCH(tblPiNHistorical[[#This Row],[ID]], tblPiNAnalysis[ID], 0)), "")</f>
        <v>0</v>
      </c>
      <c r="W411" s="28">
        <f>IFERROR(INDEX(tblPiNAnalysis[Food Security and Livlihoods], MATCH(tblPiNHistorical[[#This Row],[ID]], tblPiNAnalysis[ID], 0)), "")</f>
        <v>0</v>
      </c>
      <c r="X411" s="28">
        <f>IFERROR(INDEX(tblPiNAnalysis[[Health ]], MATCH(tblPiNHistorical[[#This Row],[ID]], tblPiNAnalysis[ID], 0)), "")</f>
        <v>0</v>
      </c>
      <c r="Y411" s="28">
        <f>IFERROR(INDEX(tblPiNAnalysis[Nutrition], MATCH(tblPiNHistorical[[#This Row],[ID]], tblPiNAnalysis[ID], 0)), "")</f>
        <v>0</v>
      </c>
      <c r="Z411" s="28">
        <f>IFERROR(INDEX(tblPiNAnalysis[Protection], MATCH(tblPiNHistorical[[#This Row],[ID]], tblPiNAnalysis[ID], 0)), "")</f>
        <v>0</v>
      </c>
      <c r="AA411" s="28">
        <f>IFERROR(INDEX(tblPiNAnalysis[CP], MATCH(tblPiNHistorical[[#This Row],[ID]], tblPiNAnalysis[ID], 0)), "")</f>
        <v>0</v>
      </c>
      <c r="AB411" s="83">
        <f>IFERROR(INDEX(tblPiNAnalysis[GBV], MATCH(tblPiNHistorical[[#This Row],[ID]], tblPiNAnalysis[ID], 0)), "")</f>
        <v>0</v>
      </c>
      <c r="AC411" s="28">
        <f>IFERROR(INDEX(tblPiNAnalysis[Mine Action], MATCH(tblPiNHistorical[[#This Row],[ID]], tblPiNAnalysis[ID], 0)), "")</f>
        <v>0</v>
      </c>
      <c r="AD411" s="83">
        <f>IFERROR(INDEX(tblPiNAnalysis[[Shelter NFI ]], MATCH(tblPiNHistorical[[#This Row],[ID]], tblPiNAnalysis[ID], 0)), "")</f>
        <v>42447</v>
      </c>
      <c r="AE411" s="28">
        <f>IFERROR(INDEX(tblPiNAnalysis[WASH], MATCH(tblPiNHistorical[[#This Row],[ID]], tblPiNAnalysis[ID], 0)), "")</f>
        <v>0</v>
      </c>
      <c r="AF411"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411" s="136" t="str">
        <f>IF(OR(tblPiNHistorical[[#This Row],[Education Old]]="", tblPiNHistorical[[#This Row],[Education Old]]=0, tblPiNHistorical[[#This Row],[Education New]]="", tblPiNHistorical[[#This Row],[Education New]]=0), "", tblPiNHistorical[[#This Row],[Education New]]-tblPiNHistorical[[#This Row],[Education Old]])</f>
        <v/>
      </c>
      <c r="AH411"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411" s="137" t="str">
        <f>IF(OR(tblPiNHistorical[[#This Row],[Health Old]]="", tblPiNHistorical[[#This Row],[Health Old]]=0, tblPiNHistorical[[#This Row],[Health New]]="", tblPiNHistorical[[#This Row],[Health New]]=0), "", tblPiNHistorical[[#This Row],[Health New]]-tblPiNHistorical[[#This Row],[Health Old]])</f>
        <v/>
      </c>
      <c r="AJ411" s="136" t="str">
        <f>IF(OR(tblPiNHistorical[[#This Row],[Nutrition Old]]="", tblPiNHistorical[[#This Row],[Nutrition Old]]=0, tblPiNHistorical[[#This Row],[Nutrition New]]="", tblPiNHistorical[[#This Row],[Nutrition New]]=0), "", tblPiNHistorical[[#This Row],[Nutrition New]]-tblPiNHistorical[[#This Row],[Nutrition Old]])</f>
        <v/>
      </c>
      <c r="AK411" s="136" t="str">
        <f>IF(OR(tblPiNHistorical[[#This Row],[Protection Old]]="", tblPiNHistorical[[#This Row],[Protection Old]]=0, tblPiNHistorical[[#This Row],[Protection New]]="", tblPiNHistorical[[#This Row],[Protection New]]=0), "", tblPiNHistorical[[#This Row],[Protection New]]-tblPiNHistorical[[#This Row],[Protection Old]])</f>
        <v/>
      </c>
      <c r="AL411" s="136" t="str">
        <f>IF(OR(tblPiNHistorical[[#This Row],[CP Old ]]="", tblPiNHistorical[[#This Row],[CP Old ]]=0, tblPiNHistorical[[#This Row],[CP New]]="", tblPiNHistorical[[#This Row],[CP New]]=0), "", tblPiNHistorical[[#This Row],[CP New]]-tblPiNHistorical[[#This Row],[CP Old ]])</f>
        <v/>
      </c>
      <c r="AM411" s="83" t="str">
        <f>IF(OR(tblPiNHistorical[[#This Row],[GBV Old]]="", tblPiNHistorical[[#This Row],[GBV Old]]=0, tblPiNHistorical[[#This Row],[GBV New]]="", tblPiNHistorical[[#This Row],[GBV New]]=0), "", tblPiNHistorical[[#This Row],[GBV New]]-tblPiNHistorical[[#This Row],[GBV Old]])</f>
        <v/>
      </c>
      <c r="AN411" s="83" t="str">
        <f>IF(OR(tblPiNHistorical[[#This Row],[Mine Action Old]]="", tblPiNHistorical[[#This Row],[Mine Action Old]]=0, tblPiNHistorical[[#This Row],[Mine Action New]]="", tblPiNHistorical[[#This Row],[Mine Action New]]=0), "", tblPiNHistorical[[#This Row],[Mine Action New]]-tblPiNHistorical[[#This Row],[Mine Action Old]])</f>
        <v/>
      </c>
      <c r="AO411" s="136">
        <f>IF(OR(tblPiNHistorical[[#This Row],[Shelter NFI Old]]="", tblPiNHistorical[[#This Row],[Shelter NFI Old]]=0, tblPiNHistorical[[#This Row],[Shelter NFI New]]="", tblPiNHistorical[[#This Row],[Shelter NFI New]]=0), "", tblPiNHistorical[[#This Row],[Shelter NFI New]]-tblPiNHistorical[[#This Row],[Shelter NFI Old]])</f>
        <v>15834</v>
      </c>
      <c r="AP411" s="138" t="str">
        <f>IF(OR(tblPiNHistorical[[#This Row],[WASH Old]]="", tblPiNHistorical[[#This Row],[WASH Old]]=0, tblPiNHistorical[[#This Row],[WASH New]]="", tblPiNHistorical[[#This Row],[WASH New]]=0), "", tblPiNHistorical[[#This Row],[WASH New]]-tblPiNHistorical[[#This Row],[WASH Old]])</f>
        <v/>
      </c>
      <c r="AQ411" s="139" t="str">
        <f>IFERROR(ROUND((tblPiNHistorical[[#This Row],[Site Management - New]] - tblPiNHistorical[[#This Row],[Site Management - Old]])/tblPiNHistorical[[#This Row],[Site Management - Old]], 1), "")</f>
        <v/>
      </c>
      <c r="AR411" s="140">
        <f>IFERROR(ROUND((tblPiNHistorical[[#This Row],[Education New]]-tblPiNHistorical[[#This Row],[Education Old]])/tblPiNHistorical[[#This Row],[Education Old]], 1), "")</f>
        <v>-1</v>
      </c>
      <c r="AS411" s="141">
        <f>IFERROR(ROUND((tblPiNHistorical[[#This Row],[Food Security and Livlihoods New]]-tblPiNHistorical[[#This Row],[Food Security and Livlihoods Old]])/tblPiNHistorical[[#This Row],[Food Security and Livlihoods Old]], 1), "")</f>
        <v>-1</v>
      </c>
      <c r="AT411" s="142">
        <f>IFERROR(ROUND((tblPiNHistorical[[#This Row],[Health New]]-tblPiNHistorical[[#This Row],[Health Old]])/tblPiNHistorical[[#This Row],[Health Old]], 1), "")</f>
        <v>-1</v>
      </c>
      <c r="AU411" s="140">
        <f>IFERROR(ROUND((tblPiNHistorical[[#This Row],[Nutrition New]]-tblPiNHistorical[[#This Row],[Nutrition Old]])/tblPiNHistorical[[#This Row],[Nutrition Old]], 1), "")</f>
        <v>-1</v>
      </c>
      <c r="AV411" s="140">
        <f>IFERROR(ROUND((tblPiNHistorical[[#This Row],[Protection New]]-tblPiNHistorical[[#This Row],[Protection Old]])/tblPiNHistorical[[#This Row],[Protection Old]], 1), "")</f>
        <v>-1</v>
      </c>
      <c r="AW411" s="84">
        <f>IFERROR(ROUND((tblPiNHistorical[[#This Row],[CP New]]-tblPiNHistorical[[#This Row],[CP Old ]])/tblPiNHistorical[[#This Row],[CP Old ]], 1), "")</f>
        <v>-1</v>
      </c>
      <c r="AX411" s="84">
        <f>IFERROR(ROUND((tblPiNHistorical[[#This Row],[GBV New]]-tblPiNHistorical[[#This Row],[GBV Old]])/tblPiNHistorical[[#This Row],[GBV Old]], 1), "")</f>
        <v>-1</v>
      </c>
      <c r="AY411" s="84">
        <f>IFERROR(ROUND((tblPiNHistorical[[#This Row],[Mine Action New]]-tblPiNHistorical[[#This Row],[Mine Action Old]])/tblPiNHistorical[[#This Row],[Mine Action Old]], 1), "")</f>
        <v>-1</v>
      </c>
      <c r="AZ411" s="140">
        <f>IFERROR(ROUND((tblPiNHistorical[[#This Row],[Shelter NFI New]]-tblPiNHistorical[[#This Row],[Shelter NFI Old]])/tblPiNHistorical[[#This Row],[Shelter NFI Old]], 1), "")</f>
        <v>0.6</v>
      </c>
      <c r="BA411" s="31">
        <f>IFERROR(ROUND((tblPiNHistorical[[#This Row],[WASH New]]-tblPiNHistorical[[#This Row],[WASH Old]])/tblPiNHistorical[[#This Row],[WASH Old]], 1), "")</f>
        <v>-1</v>
      </c>
    </row>
    <row r="412" spans="1:53" ht="38.25" x14ac:dyDescent="0.25">
      <c r="A412"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Host CommunitySD05139</v>
      </c>
      <c r="B412" s="134" t="s">
        <v>155</v>
      </c>
      <c r="C412" s="124" t="s">
        <v>122</v>
      </c>
      <c r="D412" s="124" t="s">
        <v>169</v>
      </c>
      <c r="E412" s="59" t="s">
        <v>168</v>
      </c>
      <c r="F412" s="54"/>
      <c r="G412" s="29"/>
      <c r="H412" s="53">
        <v>53903</v>
      </c>
      <c r="I412" s="53" t="s">
        <v>87</v>
      </c>
      <c r="J412" s="34">
        <v>0</v>
      </c>
      <c r="K412" s="116">
        <v>20898.1931</v>
      </c>
      <c r="L412" s="114">
        <v>48903</v>
      </c>
      <c r="M412" s="114">
        <v>53903</v>
      </c>
      <c r="N412" s="114">
        <v>8459</v>
      </c>
      <c r="O412" s="114">
        <v>17068</v>
      </c>
      <c r="P412" s="114">
        <v>5929</v>
      </c>
      <c r="Q412" s="114">
        <v>17068</v>
      </c>
      <c r="R412" s="114">
        <v>5390.3</v>
      </c>
      <c r="S412" s="114">
        <v>16171</v>
      </c>
      <c r="T412" s="196">
        <v>29781.407500000001</v>
      </c>
      <c r="U412" s="52">
        <f>IFERROR(INDEX(tblPiNAnalysis[[Site Management ]], MATCH(tblPiNHistorical[[#This Row],[ID]], tblPiNAnalysis[ID], 0)), "")</f>
        <v>0</v>
      </c>
      <c r="V412" s="52">
        <f>IFERROR(INDEX(tblPiNAnalysis[Education], MATCH(tblPiNHistorical[[#This Row],[ID]], tblPiNAnalysis[ID], 0)), "")</f>
        <v>0</v>
      </c>
      <c r="W412" s="28">
        <f>IFERROR(INDEX(tblPiNAnalysis[Food Security and Livlihoods], MATCH(tblPiNHistorical[[#This Row],[ID]], tblPiNAnalysis[ID], 0)), "")</f>
        <v>0</v>
      </c>
      <c r="X412" s="28">
        <f>IFERROR(INDEX(tblPiNAnalysis[[Health ]], MATCH(tblPiNHistorical[[#This Row],[ID]], tblPiNAnalysis[ID], 0)), "")</f>
        <v>0</v>
      </c>
      <c r="Y412" s="28">
        <f>IFERROR(INDEX(tblPiNAnalysis[Nutrition], MATCH(tblPiNHistorical[[#This Row],[ID]], tblPiNAnalysis[ID], 0)), "")</f>
        <v>0</v>
      </c>
      <c r="Z412" s="28">
        <f>IFERROR(INDEX(tblPiNAnalysis[Protection], MATCH(tblPiNHistorical[[#This Row],[ID]], tblPiNAnalysis[ID], 0)), "")</f>
        <v>0</v>
      </c>
      <c r="AA412" s="28">
        <f>IFERROR(INDEX(tblPiNAnalysis[CP], MATCH(tblPiNHistorical[[#This Row],[ID]], tblPiNAnalysis[ID], 0)), "")</f>
        <v>0</v>
      </c>
      <c r="AB412" s="83">
        <f>IFERROR(INDEX(tblPiNAnalysis[GBV], MATCH(tblPiNHistorical[[#This Row],[ID]], tblPiNAnalysis[ID], 0)), "")</f>
        <v>0</v>
      </c>
      <c r="AC412" s="28">
        <f>IFERROR(INDEX(tblPiNAnalysis[Mine Action], MATCH(tblPiNHistorical[[#This Row],[ID]], tblPiNAnalysis[ID], 0)), "")</f>
        <v>0</v>
      </c>
      <c r="AD412" s="83">
        <f>IFERROR(INDEX(tblPiNAnalysis[[Shelter NFI ]], MATCH(tblPiNHistorical[[#This Row],[ID]], tblPiNAnalysis[ID], 0)), "")</f>
        <v>24140</v>
      </c>
      <c r="AE412" s="28">
        <f>IFERROR(INDEX(tblPiNAnalysis[WASH], MATCH(tblPiNHistorical[[#This Row],[ID]], tblPiNAnalysis[ID], 0)), "")</f>
        <v>0</v>
      </c>
      <c r="AF412"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412" s="136" t="str">
        <f>IF(OR(tblPiNHistorical[[#This Row],[Education Old]]="", tblPiNHistorical[[#This Row],[Education Old]]=0, tblPiNHistorical[[#This Row],[Education New]]="", tblPiNHistorical[[#This Row],[Education New]]=0), "", tblPiNHistorical[[#This Row],[Education New]]-tblPiNHistorical[[#This Row],[Education Old]])</f>
        <v/>
      </c>
      <c r="AH412"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412" s="137" t="str">
        <f>IF(OR(tblPiNHistorical[[#This Row],[Health Old]]="", tblPiNHistorical[[#This Row],[Health Old]]=0, tblPiNHistorical[[#This Row],[Health New]]="", tblPiNHistorical[[#This Row],[Health New]]=0), "", tblPiNHistorical[[#This Row],[Health New]]-tblPiNHistorical[[#This Row],[Health Old]])</f>
        <v/>
      </c>
      <c r="AJ412" s="136" t="str">
        <f>IF(OR(tblPiNHistorical[[#This Row],[Nutrition Old]]="", tblPiNHistorical[[#This Row],[Nutrition Old]]=0, tblPiNHistorical[[#This Row],[Nutrition New]]="", tblPiNHistorical[[#This Row],[Nutrition New]]=0), "", tblPiNHistorical[[#This Row],[Nutrition New]]-tblPiNHistorical[[#This Row],[Nutrition Old]])</f>
        <v/>
      </c>
      <c r="AK412" s="136" t="str">
        <f>IF(OR(tblPiNHistorical[[#This Row],[Protection Old]]="", tblPiNHistorical[[#This Row],[Protection Old]]=0, tblPiNHistorical[[#This Row],[Protection New]]="", tblPiNHistorical[[#This Row],[Protection New]]=0), "", tblPiNHistorical[[#This Row],[Protection New]]-tblPiNHistorical[[#This Row],[Protection Old]])</f>
        <v/>
      </c>
      <c r="AL412" s="136" t="str">
        <f>IF(OR(tblPiNHistorical[[#This Row],[CP Old ]]="", tblPiNHistorical[[#This Row],[CP Old ]]=0, tblPiNHistorical[[#This Row],[CP New]]="", tblPiNHistorical[[#This Row],[CP New]]=0), "", tblPiNHistorical[[#This Row],[CP New]]-tblPiNHistorical[[#This Row],[CP Old ]])</f>
        <v/>
      </c>
      <c r="AM412" s="83" t="str">
        <f>IF(OR(tblPiNHistorical[[#This Row],[GBV Old]]="", tblPiNHistorical[[#This Row],[GBV Old]]=0, tblPiNHistorical[[#This Row],[GBV New]]="", tblPiNHistorical[[#This Row],[GBV New]]=0), "", tblPiNHistorical[[#This Row],[GBV New]]-tblPiNHistorical[[#This Row],[GBV Old]])</f>
        <v/>
      </c>
      <c r="AN412" s="83" t="str">
        <f>IF(OR(tblPiNHistorical[[#This Row],[Mine Action Old]]="", tblPiNHistorical[[#This Row],[Mine Action Old]]=0, tblPiNHistorical[[#This Row],[Mine Action New]]="", tblPiNHistorical[[#This Row],[Mine Action New]]=0), "", tblPiNHistorical[[#This Row],[Mine Action New]]-tblPiNHistorical[[#This Row],[Mine Action Old]])</f>
        <v/>
      </c>
      <c r="AO412" s="136">
        <f>IF(OR(tblPiNHistorical[[#This Row],[Shelter NFI Old]]="", tblPiNHistorical[[#This Row],[Shelter NFI Old]]=0, tblPiNHistorical[[#This Row],[Shelter NFI New]]="", tblPiNHistorical[[#This Row],[Shelter NFI New]]=0), "", tblPiNHistorical[[#This Row],[Shelter NFI New]]-tblPiNHistorical[[#This Row],[Shelter NFI Old]])</f>
        <v>7969</v>
      </c>
      <c r="AP412" s="138" t="str">
        <f>IF(OR(tblPiNHistorical[[#This Row],[WASH Old]]="", tblPiNHistorical[[#This Row],[WASH Old]]=0, tblPiNHistorical[[#This Row],[WASH New]]="", tblPiNHistorical[[#This Row],[WASH New]]=0), "", tblPiNHistorical[[#This Row],[WASH New]]-tblPiNHistorical[[#This Row],[WASH Old]])</f>
        <v/>
      </c>
      <c r="AQ412" s="139" t="str">
        <f>IFERROR(ROUND((tblPiNHistorical[[#This Row],[Site Management - New]] - tblPiNHistorical[[#This Row],[Site Management - Old]])/tblPiNHistorical[[#This Row],[Site Management - Old]], 1), "")</f>
        <v/>
      </c>
      <c r="AR412" s="140">
        <f>IFERROR(ROUND((tblPiNHistorical[[#This Row],[Education New]]-tblPiNHistorical[[#This Row],[Education Old]])/tblPiNHistorical[[#This Row],[Education Old]], 1), "")</f>
        <v>-1</v>
      </c>
      <c r="AS412" s="141">
        <f>IFERROR(ROUND((tblPiNHistorical[[#This Row],[Food Security and Livlihoods New]]-tblPiNHistorical[[#This Row],[Food Security and Livlihoods Old]])/tblPiNHistorical[[#This Row],[Food Security and Livlihoods Old]], 1), "")</f>
        <v>-1</v>
      </c>
      <c r="AT412" s="142">
        <f>IFERROR(ROUND((tblPiNHistorical[[#This Row],[Health New]]-tblPiNHistorical[[#This Row],[Health Old]])/tblPiNHistorical[[#This Row],[Health Old]], 1), "")</f>
        <v>-1</v>
      </c>
      <c r="AU412" s="140">
        <f>IFERROR(ROUND((tblPiNHistorical[[#This Row],[Nutrition New]]-tblPiNHistorical[[#This Row],[Nutrition Old]])/tblPiNHistorical[[#This Row],[Nutrition Old]], 1), "")</f>
        <v>-1</v>
      </c>
      <c r="AV412" s="140">
        <f>IFERROR(ROUND((tblPiNHistorical[[#This Row],[Protection New]]-tblPiNHistorical[[#This Row],[Protection Old]])/tblPiNHistorical[[#This Row],[Protection Old]], 1), "")</f>
        <v>-1</v>
      </c>
      <c r="AW412" s="84">
        <f>IFERROR(ROUND((tblPiNHistorical[[#This Row],[CP New]]-tblPiNHistorical[[#This Row],[CP Old ]])/tblPiNHistorical[[#This Row],[CP Old ]], 1), "")</f>
        <v>-1</v>
      </c>
      <c r="AX412" s="84">
        <f>IFERROR(ROUND((tblPiNHistorical[[#This Row],[GBV New]]-tblPiNHistorical[[#This Row],[GBV Old]])/tblPiNHistorical[[#This Row],[GBV Old]], 1), "")</f>
        <v>-1</v>
      </c>
      <c r="AY412" s="84">
        <f>IFERROR(ROUND((tblPiNHistorical[[#This Row],[Mine Action New]]-tblPiNHistorical[[#This Row],[Mine Action Old]])/tblPiNHistorical[[#This Row],[Mine Action Old]], 1), "")</f>
        <v>-1</v>
      </c>
      <c r="AZ412" s="140">
        <f>IFERROR(ROUND((tblPiNHistorical[[#This Row],[Shelter NFI New]]-tblPiNHistorical[[#This Row],[Shelter NFI Old]])/tblPiNHistorical[[#This Row],[Shelter NFI Old]], 1), "")</f>
        <v>0.5</v>
      </c>
      <c r="BA412" s="31">
        <f>IFERROR(ROUND((tblPiNHistorical[[#This Row],[WASH New]]-tblPiNHistorical[[#This Row],[WASH Old]])/tblPiNHistorical[[#This Row],[WASH Old]], 1), "")</f>
        <v>-1</v>
      </c>
    </row>
    <row r="413" spans="1:53" ht="38.25" x14ac:dyDescent="0.25">
      <c r="A413"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Host CommunitySD05152</v>
      </c>
      <c r="B413" s="134" t="s">
        <v>155</v>
      </c>
      <c r="C413" s="124" t="s">
        <v>122</v>
      </c>
      <c r="D413" s="124" t="s">
        <v>181</v>
      </c>
      <c r="E413" s="59" t="s">
        <v>180</v>
      </c>
      <c r="F413" s="54"/>
      <c r="G413" s="29"/>
      <c r="H413" s="53">
        <v>7937</v>
      </c>
      <c r="I413" s="53" t="s">
        <v>87</v>
      </c>
      <c r="J413" s="34">
        <v>0</v>
      </c>
      <c r="K413" s="116">
        <v>3077.1749</v>
      </c>
      <c r="L413" s="114">
        <v>7937</v>
      </c>
      <c r="M413" s="114">
        <v>7937</v>
      </c>
      <c r="N413" s="114">
        <v>823</v>
      </c>
      <c r="O413" s="114">
        <v>2514</v>
      </c>
      <c r="P413" s="114">
        <v>873</v>
      </c>
      <c r="Q413" s="114">
        <v>2514</v>
      </c>
      <c r="R413" s="114">
        <v>0</v>
      </c>
      <c r="S413" s="114">
        <v>2381</v>
      </c>
      <c r="T413" s="196">
        <v>7638.5687999999991</v>
      </c>
      <c r="U413" s="52">
        <f>IFERROR(INDEX(tblPiNAnalysis[[Site Management ]], MATCH(tblPiNHistorical[[#This Row],[ID]], tblPiNAnalysis[ID], 0)), "")</f>
        <v>0</v>
      </c>
      <c r="V413" s="52">
        <f>IFERROR(INDEX(tblPiNAnalysis[Education], MATCH(tblPiNHistorical[[#This Row],[ID]], tblPiNAnalysis[ID], 0)), "")</f>
        <v>0</v>
      </c>
      <c r="W413" s="28">
        <f>IFERROR(INDEX(tblPiNAnalysis[Food Security and Livlihoods], MATCH(tblPiNHistorical[[#This Row],[ID]], tblPiNAnalysis[ID], 0)), "")</f>
        <v>0</v>
      </c>
      <c r="X413" s="28">
        <f>IFERROR(INDEX(tblPiNAnalysis[[Health ]], MATCH(tblPiNHistorical[[#This Row],[ID]], tblPiNAnalysis[ID], 0)), "")</f>
        <v>0</v>
      </c>
      <c r="Y413" s="28">
        <f>IFERROR(INDEX(tblPiNAnalysis[Nutrition], MATCH(tblPiNHistorical[[#This Row],[ID]], tblPiNAnalysis[ID], 0)), "")</f>
        <v>0</v>
      </c>
      <c r="Z413" s="28">
        <f>IFERROR(INDEX(tblPiNAnalysis[Protection], MATCH(tblPiNHistorical[[#This Row],[ID]], tblPiNAnalysis[ID], 0)), "")</f>
        <v>0</v>
      </c>
      <c r="AA413" s="28">
        <f>IFERROR(INDEX(tblPiNAnalysis[CP], MATCH(tblPiNHistorical[[#This Row],[ID]], tblPiNAnalysis[ID], 0)), "")</f>
        <v>0</v>
      </c>
      <c r="AB413" s="83">
        <f>IFERROR(INDEX(tblPiNAnalysis[GBV], MATCH(tblPiNHistorical[[#This Row],[ID]], tblPiNAnalysis[ID], 0)), "")</f>
        <v>0</v>
      </c>
      <c r="AC413" s="28">
        <f>IFERROR(INDEX(tblPiNAnalysis[Mine Action], MATCH(tblPiNHistorical[[#This Row],[ID]], tblPiNAnalysis[ID], 0)), "")</f>
        <v>0</v>
      </c>
      <c r="AD413" s="83">
        <f>IFERROR(INDEX(tblPiNAnalysis[[Shelter NFI ]], MATCH(tblPiNHistorical[[#This Row],[ID]], tblPiNAnalysis[ID], 0)), "")</f>
        <v>32544</v>
      </c>
      <c r="AE413" s="28">
        <f>IFERROR(INDEX(tblPiNAnalysis[WASH], MATCH(tblPiNHistorical[[#This Row],[ID]], tblPiNAnalysis[ID], 0)), "")</f>
        <v>0</v>
      </c>
      <c r="AF413"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413" s="136" t="str">
        <f>IF(OR(tblPiNHistorical[[#This Row],[Education Old]]="", tblPiNHistorical[[#This Row],[Education Old]]=0, tblPiNHistorical[[#This Row],[Education New]]="", tblPiNHistorical[[#This Row],[Education New]]=0), "", tblPiNHistorical[[#This Row],[Education New]]-tblPiNHistorical[[#This Row],[Education Old]])</f>
        <v/>
      </c>
      <c r="AH413"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413" s="137" t="str">
        <f>IF(OR(tblPiNHistorical[[#This Row],[Health Old]]="", tblPiNHistorical[[#This Row],[Health Old]]=0, tblPiNHistorical[[#This Row],[Health New]]="", tblPiNHistorical[[#This Row],[Health New]]=0), "", tblPiNHistorical[[#This Row],[Health New]]-tblPiNHistorical[[#This Row],[Health Old]])</f>
        <v/>
      </c>
      <c r="AJ413" s="136" t="str">
        <f>IF(OR(tblPiNHistorical[[#This Row],[Nutrition Old]]="", tblPiNHistorical[[#This Row],[Nutrition Old]]=0, tblPiNHistorical[[#This Row],[Nutrition New]]="", tblPiNHistorical[[#This Row],[Nutrition New]]=0), "", tblPiNHistorical[[#This Row],[Nutrition New]]-tblPiNHistorical[[#This Row],[Nutrition Old]])</f>
        <v/>
      </c>
      <c r="AK413" s="136" t="str">
        <f>IF(OR(tblPiNHistorical[[#This Row],[Protection Old]]="", tblPiNHistorical[[#This Row],[Protection Old]]=0, tblPiNHistorical[[#This Row],[Protection New]]="", tblPiNHistorical[[#This Row],[Protection New]]=0), "", tblPiNHistorical[[#This Row],[Protection New]]-tblPiNHistorical[[#This Row],[Protection Old]])</f>
        <v/>
      </c>
      <c r="AL413" s="136" t="str">
        <f>IF(OR(tblPiNHistorical[[#This Row],[CP Old ]]="", tblPiNHistorical[[#This Row],[CP Old ]]=0, tblPiNHistorical[[#This Row],[CP New]]="", tblPiNHistorical[[#This Row],[CP New]]=0), "", tblPiNHistorical[[#This Row],[CP New]]-tblPiNHistorical[[#This Row],[CP Old ]])</f>
        <v/>
      </c>
      <c r="AM413" s="83" t="str">
        <f>IF(OR(tblPiNHistorical[[#This Row],[GBV Old]]="", tblPiNHistorical[[#This Row],[GBV Old]]=0, tblPiNHistorical[[#This Row],[GBV New]]="", tblPiNHistorical[[#This Row],[GBV New]]=0), "", tblPiNHistorical[[#This Row],[GBV New]]-tblPiNHistorical[[#This Row],[GBV Old]])</f>
        <v/>
      </c>
      <c r="AN413" s="83" t="str">
        <f>IF(OR(tblPiNHistorical[[#This Row],[Mine Action Old]]="", tblPiNHistorical[[#This Row],[Mine Action Old]]=0, tblPiNHistorical[[#This Row],[Mine Action New]]="", tblPiNHistorical[[#This Row],[Mine Action New]]=0), "", tblPiNHistorical[[#This Row],[Mine Action New]]-tblPiNHistorical[[#This Row],[Mine Action Old]])</f>
        <v/>
      </c>
      <c r="AO413" s="136">
        <f>IF(OR(tblPiNHistorical[[#This Row],[Shelter NFI Old]]="", tblPiNHistorical[[#This Row],[Shelter NFI Old]]=0, tblPiNHistorical[[#This Row],[Shelter NFI New]]="", tblPiNHistorical[[#This Row],[Shelter NFI New]]=0), "", tblPiNHistorical[[#This Row],[Shelter NFI New]]-tblPiNHistorical[[#This Row],[Shelter NFI Old]])</f>
        <v>30163</v>
      </c>
      <c r="AP413" s="138" t="str">
        <f>IF(OR(tblPiNHistorical[[#This Row],[WASH Old]]="", tblPiNHistorical[[#This Row],[WASH Old]]=0, tblPiNHistorical[[#This Row],[WASH New]]="", tblPiNHistorical[[#This Row],[WASH New]]=0), "", tblPiNHistorical[[#This Row],[WASH New]]-tblPiNHistorical[[#This Row],[WASH Old]])</f>
        <v/>
      </c>
      <c r="AQ413" s="139" t="str">
        <f>IFERROR(ROUND((tblPiNHistorical[[#This Row],[Site Management - New]] - tblPiNHistorical[[#This Row],[Site Management - Old]])/tblPiNHistorical[[#This Row],[Site Management - Old]], 1), "")</f>
        <v/>
      </c>
      <c r="AR413" s="140">
        <f>IFERROR(ROUND((tblPiNHistorical[[#This Row],[Education New]]-tblPiNHistorical[[#This Row],[Education Old]])/tblPiNHistorical[[#This Row],[Education Old]], 1), "")</f>
        <v>-1</v>
      </c>
      <c r="AS413" s="141">
        <f>IFERROR(ROUND((tblPiNHistorical[[#This Row],[Food Security and Livlihoods New]]-tblPiNHistorical[[#This Row],[Food Security and Livlihoods Old]])/tblPiNHistorical[[#This Row],[Food Security and Livlihoods Old]], 1), "")</f>
        <v>-1</v>
      </c>
      <c r="AT413" s="142">
        <f>IFERROR(ROUND((tblPiNHistorical[[#This Row],[Health New]]-tblPiNHistorical[[#This Row],[Health Old]])/tblPiNHistorical[[#This Row],[Health Old]], 1), "")</f>
        <v>-1</v>
      </c>
      <c r="AU413" s="140">
        <f>IFERROR(ROUND((tblPiNHistorical[[#This Row],[Nutrition New]]-tblPiNHistorical[[#This Row],[Nutrition Old]])/tblPiNHistorical[[#This Row],[Nutrition Old]], 1), "")</f>
        <v>-1</v>
      </c>
      <c r="AV413" s="140">
        <f>IFERROR(ROUND((tblPiNHistorical[[#This Row],[Protection New]]-tblPiNHistorical[[#This Row],[Protection Old]])/tblPiNHistorical[[#This Row],[Protection Old]], 1), "")</f>
        <v>-1</v>
      </c>
      <c r="AW413" s="84">
        <f>IFERROR(ROUND((tblPiNHistorical[[#This Row],[CP New]]-tblPiNHistorical[[#This Row],[CP Old ]])/tblPiNHistorical[[#This Row],[CP Old ]], 1), "")</f>
        <v>-1</v>
      </c>
      <c r="AX413" s="84">
        <f>IFERROR(ROUND((tblPiNHistorical[[#This Row],[GBV New]]-tblPiNHistorical[[#This Row],[GBV Old]])/tblPiNHistorical[[#This Row],[GBV Old]], 1), "")</f>
        <v>-1</v>
      </c>
      <c r="AY413" s="84" t="str">
        <f>IFERROR(ROUND((tblPiNHistorical[[#This Row],[Mine Action New]]-tblPiNHistorical[[#This Row],[Mine Action Old]])/tblPiNHistorical[[#This Row],[Mine Action Old]], 1), "")</f>
        <v/>
      </c>
      <c r="AZ413" s="140">
        <f>IFERROR(ROUND((tblPiNHistorical[[#This Row],[Shelter NFI New]]-tblPiNHistorical[[#This Row],[Shelter NFI Old]])/tblPiNHistorical[[#This Row],[Shelter NFI Old]], 1), "")</f>
        <v>12.7</v>
      </c>
      <c r="BA413" s="31">
        <f>IFERROR(ROUND((tblPiNHistorical[[#This Row],[WASH New]]-tblPiNHistorical[[#This Row],[WASH Old]])/tblPiNHistorical[[#This Row],[WASH Old]], 1), "")</f>
        <v>-1</v>
      </c>
    </row>
    <row r="414" spans="1:53" ht="38.25" x14ac:dyDescent="0.25">
      <c r="A414"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Host CommunitySD05163</v>
      </c>
      <c r="B414" s="134" t="s">
        <v>155</v>
      </c>
      <c r="C414" s="124" t="s">
        <v>122</v>
      </c>
      <c r="D414" s="124" t="s">
        <v>190</v>
      </c>
      <c r="E414" s="59" t="s">
        <v>189</v>
      </c>
      <c r="F414" s="54"/>
      <c r="G414" s="29"/>
      <c r="H414" s="53">
        <v>16376</v>
      </c>
      <c r="I414" s="53" t="s">
        <v>87</v>
      </c>
      <c r="J414" s="34">
        <v>0</v>
      </c>
      <c r="K414" s="116">
        <v>6348.9751999999999</v>
      </c>
      <c r="L414" s="114">
        <v>16376</v>
      </c>
      <c r="M414" s="114">
        <v>16376</v>
      </c>
      <c r="N414" s="114">
        <v>1923</v>
      </c>
      <c r="O414" s="114">
        <v>5185</v>
      </c>
      <c r="P414" s="114">
        <v>1801</v>
      </c>
      <c r="Q414" s="114">
        <v>5185</v>
      </c>
      <c r="R414" s="114">
        <v>0</v>
      </c>
      <c r="S414" s="114">
        <v>3275</v>
      </c>
      <c r="T414" s="196">
        <v>16292.482399999997</v>
      </c>
      <c r="U414" s="52">
        <f>IFERROR(INDEX(tblPiNAnalysis[[Site Management ]], MATCH(tblPiNHistorical[[#This Row],[ID]], tblPiNAnalysis[ID], 0)), "")</f>
        <v>0</v>
      </c>
      <c r="V414" s="52">
        <f>IFERROR(INDEX(tblPiNAnalysis[Education], MATCH(tblPiNHistorical[[#This Row],[ID]], tblPiNAnalysis[ID], 0)), "")</f>
        <v>0</v>
      </c>
      <c r="W414" s="28">
        <f>IFERROR(INDEX(tblPiNAnalysis[Food Security and Livlihoods], MATCH(tblPiNHistorical[[#This Row],[ID]], tblPiNAnalysis[ID], 0)), "")</f>
        <v>0</v>
      </c>
      <c r="X414" s="28">
        <f>IFERROR(INDEX(tblPiNAnalysis[[Health ]], MATCH(tblPiNHistorical[[#This Row],[ID]], tblPiNAnalysis[ID], 0)), "")</f>
        <v>0</v>
      </c>
      <c r="Y414" s="28">
        <f>IFERROR(INDEX(tblPiNAnalysis[Nutrition], MATCH(tblPiNHistorical[[#This Row],[ID]], tblPiNAnalysis[ID], 0)), "")</f>
        <v>0</v>
      </c>
      <c r="Z414" s="28">
        <f>IFERROR(INDEX(tblPiNAnalysis[Protection], MATCH(tblPiNHistorical[[#This Row],[ID]], tblPiNAnalysis[ID], 0)), "")</f>
        <v>0</v>
      </c>
      <c r="AA414" s="28">
        <f>IFERROR(INDEX(tblPiNAnalysis[CP], MATCH(tblPiNHistorical[[#This Row],[ID]], tblPiNAnalysis[ID], 0)), "")</f>
        <v>0</v>
      </c>
      <c r="AB414" s="83">
        <f>IFERROR(INDEX(tblPiNAnalysis[GBV], MATCH(tblPiNHistorical[[#This Row],[ID]], tblPiNAnalysis[ID], 0)), "")</f>
        <v>0</v>
      </c>
      <c r="AC414" s="28">
        <f>IFERROR(INDEX(tblPiNAnalysis[Mine Action], MATCH(tblPiNHistorical[[#This Row],[ID]], tblPiNAnalysis[ID], 0)), "")</f>
        <v>0</v>
      </c>
      <c r="AD414" s="83">
        <f>IFERROR(INDEX(tblPiNAnalysis[[Shelter NFI ]], MATCH(tblPiNHistorical[[#This Row],[ID]], tblPiNAnalysis[ID], 0)), "")</f>
        <v>24000</v>
      </c>
      <c r="AE414" s="28">
        <f>IFERROR(INDEX(tblPiNAnalysis[WASH], MATCH(tblPiNHistorical[[#This Row],[ID]], tblPiNAnalysis[ID], 0)), "")</f>
        <v>0</v>
      </c>
      <c r="AF414"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414" s="136" t="str">
        <f>IF(OR(tblPiNHistorical[[#This Row],[Education Old]]="", tblPiNHistorical[[#This Row],[Education Old]]=0, tblPiNHistorical[[#This Row],[Education New]]="", tblPiNHistorical[[#This Row],[Education New]]=0), "", tblPiNHistorical[[#This Row],[Education New]]-tblPiNHistorical[[#This Row],[Education Old]])</f>
        <v/>
      </c>
      <c r="AH414"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414" s="137" t="str">
        <f>IF(OR(tblPiNHistorical[[#This Row],[Health Old]]="", tblPiNHistorical[[#This Row],[Health Old]]=0, tblPiNHistorical[[#This Row],[Health New]]="", tblPiNHistorical[[#This Row],[Health New]]=0), "", tblPiNHistorical[[#This Row],[Health New]]-tblPiNHistorical[[#This Row],[Health Old]])</f>
        <v/>
      </c>
      <c r="AJ414" s="136" t="str">
        <f>IF(OR(tblPiNHistorical[[#This Row],[Nutrition Old]]="", tblPiNHistorical[[#This Row],[Nutrition Old]]=0, tblPiNHistorical[[#This Row],[Nutrition New]]="", tblPiNHistorical[[#This Row],[Nutrition New]]=0), "", tblPiNHistorical[[#This Row],[Nutrition New]]-tblPiNHistorical[[#This Row],[Nutrition Old]])</f>
        <v/>
      </c>
      <c r="AK414" s="136" t="str">
        <f>IF(OR(tblPiNHistorical[[#This Row],[Protection Old]]="", tblPiNHistorical[[#This Row],[Protection Old]]=0, tblPiNHistorical[[#This Row],[Protection New]]="", tblPiNHistorical[[#This Row],[Protection New]]=0), "", tblPiNHistorical[[#This Row],[Protection New]]-tblPiNHistorical[[#This Row],[Protection Old]])</f>
        <v/>
      </c>
      <c r="AL414" s="136" t="str">
        <f>IF(OR(tblPiNHistorical[[#This Row],[CP Old ]]="", tblPiNHistorical[[#This Row],[CP Old ]]=0, tblPiNHistorical[[#This Row],[CP New]]="", tblPiNHistorical[[#This Row],[CP New]]=0), "", tblPiNHistorical[[#This Row],[CP New]]-tblPiNHistorical[[#This Row],[CP Old ]])</f>
        <v/>
      </c>
      <c r="AM414" s="83" t="str">
        <f>IF(OR(tblPiNHistorical[[#This Row],[GBV Old]]="", tblPiNHistorical[[#This Row],[GBV Old]]=0, tblPiNHistorical[[#This Row],[GBV New]]="", tblPiNHistorical[[#This Row],[GBV New]]=0), "", tblPiNHistorical[[#This Row],[GBV New]]-tblPiNHistorical[[#This Row],[GBV Old]])</f>
        <v/>
      </c>
      <c r="AN414" s="83" t="str">
        <f>IF(OR(tblPiNHistorical[[#This Row],[Mine Action Old]]="", tblPiNHistorical[[#This Row],[Mine Action Old]]=0, tblPiNHistorical[[#This Row],[Mine Action New]]="", tblPiNHistorical[[#This Row],[Mine Action New]]=0), "", tblPiNHistorical[[#This Row],[Mine Action New]]-tblPiNHistorical[[#This Row],[Mine Action Old]])</f>
        <v/>
      </c>
      <c r="AO414" s="136">
        <f>IF(OR(tblPiNHistorical[[#This Row],[Shelter NFI Old]]="", tblPiNHistorical[[#This Row],[Shelter NFI Old]]=0, tblPiNHistorical[[#This Row],[Shelter NFI New]]="", tblPiNHistorical[[#This Row],[Shelter NFI New]]=0), "", tblPiNHistorical[[#This Row],[Shelter NFI New]]-tblPiNHistorical[[#This Row],[Shelter NFI Old]])</f>
        <v>20725</v>
      </c>
      <c r="AP414" s="138" t="str">
        <f>IF(OR(tblPiNHistorical[[#This Row],[WASH Old]]="", tblPiNHistorical[[#This Row],[WASH Old]]=0, tblPiNHistorical[[#This Row],[WASH New]]="", tblPiNHistorical[[#This Row],[WASH New]]=0), "", tblPiNHistorical[[#This Row],[WASH New]]-tblPiNHistorical[[#This Row],[WASH Old]])</f>
        <v/>
      </c>
      <c r="AQ414" s="139" t="str">
        <f>IFERROR(ROUND((tblPiNHistorical[[#This Row],[Site Management - New]] - tblPiNHistorical[[#This Row],[Site Management - Old]])/tblPiNHistorical[[#This Row],[Site Management - Old]], 1), "")</f>
        <v/>
      </c>
      <c r="AR414" s="140">
        <f>IFERROR(ROUND((tblPiNHistorical[[#This Row],[Education New]]-tblPiNHistorical[[#This Row],[Education Old]])/tblPiNHistorical[[#This Row],[Education Old]], 1), "")</f>
        <v>-1</v>
      </c>
      <c r="AS414" s="141">
        <f>IFERROR(ROUND((tblPiNHistorical[[#This Row],[Food Security and Livlihoods New]]-tblPiNHistorical[[#This Row],[Food Security and Livlihoods Old]])/tblPiNHistorical[[#This Row],[Food Security and Livlihoods Old]], 1), "")</f>
        <v>-1</v>
      </c>
      <c r="AT414" s="142">
        <f>IFERROR(ROUND((tblPiNHistorical[[#This Row],[Health New]]-tblPiNHistorical[[#This Row],[Health Old]])/tblPiNHistorical[[#This Row],[Health Old]], 1), "")</f>
        <v>-1</v>
      </c>
      <c r="AU414" s="140">
        <f>IFERROR(ROUND((tblPiNHistorical[[#This Row],[Nutrition New]]-tblPiNHistorical[[#This Row],[Nutrition Old]])/tblPiNHistorical[[#This Row],[Nutrition Old]], 1), "")</f>
        <v>-1</v>
      </c>
      <c r="AV414" s="140">
        <f>IFERROR(ROUND((tblPiNHistorical[[#This Row],[Protection New]]-tblPiNHistorical[[#This Row],[Protection Old]])/tblPiNHistorical[[#This Row],[Protection Old]], 1), "")</f>
        <v>-1</v>
      </c>
      <c r="AW414" s="84">
        <f>IFERROR(ROUND((tblPiNHistorical[[#This Row],[CP New]]-tblPiNHistorical[[#This Row],[CP Old ]])/tblPiNHistorical[[#This Row],[CP Old ]], 1), "")</f>
        <v>-1</v>
      </c>
      <c r="AX414" s="84">
        <f>IFERROR(ROUND((tblPiNHistorical[[#This Row],[GBV New]]-tblPiNHistorical[[#This Row],[GBV Old]])/tblPiNHistorical[[#This Row],[GBV Old]], 1), "")</f>
        <v>-1</v>
      </c>
      <c r="AY414" s="84" t="str">
        <f>IFERROR(ROUND((tblPiNHistorical[[#This Row],[Mine Action New]]-tblPiNHistorical[[#This Row],[Mine Action Old]])/tblPiNHistorical[[#This Row],[Mine Action Old]], 1), "")</f>
        <v/>
      </c>
      <c r="AZ414" s="140">
        <f>IFERROR(ROUND((tblPiNHistorical[[#This Row],[Shelter NFI New]]-tblPiNHistorical[[#This Row],[Shelter NFI Old]])/tblPiNHistorical[[#This Row],[Shelter NFI Old]], 1), "")</f>
        <v>6.3</v>
      </c>
      <c r="BA414" s="31">
        <f>IFERROR(ROUND((tblPiNHistorical[[#This Row],[WASH New]]-tblPiNHistorical[[#This Row],[WASH Old]])/tblPiNHistorical[[#This Row],[WASH Old]], 1), "")</f>
        <v>-1</v>
      </c>
    </row>
    <row r="415" spans="1:53" ht="38.25" x14ac:dyDescent="0.25">
      <c r="A415"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Host CommunitySD05160</v>
      </c>
      <c r="B415" s="134" t="s">
        <v>155</v>
      </c>
      <c r="C415" s="124" t="s">
        <v>122</v>
      </c>
      <c r="D415" s="124" t="s">
        <v>187</v>
      </c>
      <c r="E415" s="59" t="s">
        <v>186</v>
      </c>
      <c r="F415" s="54"/>
      <c r="G415" s="29"/>
      <c r="H415" s="53">
        <v>84774</v>
      </c>
      <c r="I415" s="53" t="s">
        <v>87</v>
      </c>
      <c r="J415" s="34">
        <v>0</v>
      </c>
      <c r="K415" s="116">
        <v>32866.879800000002</v>
      </c>
      <c r="L415" s="114">
        <v>84774</v>
      </c>
      <c r="M415" s="114">
        <v>84774</v>
      </c>
      <c r="N415" s="114">
        <v>13276</v>
      </c>
      <c r="O415" s="114">
        <v>26843</v>
      </c>
      <c r="P415" s="114">
        <v>9325</v>
      </c>
      <c r="Q415" s="114">
        <v>26843</v>
      </c>
      <c r="R415" s="114">
        <v>8477.4</v>
      </c>
      <c r="S415" s="114">
        <v>25432</v>
      </c>
      <c r="T415" s="196">
        <v>79136.528999999995</v>
      </c>
      <c r="U415" s="52">
        <f>IFERROR(INDEX(tblPiNAnalysis[[Site Management ]], MATCH(tblPiNHistorical[[#This Row],[ID]], tblPiNAnalysis[ID], 0)), "")</f>
        <v>0</v>
      </c>
      <c r="V415" s="52">
        <f>IFERROR(INDEX(tblPiNAnalysis[Education], MATCH(tblPiNHistorical[[#This Row],[ID]], tblPiNAnalysis[ID], 0)), "")</f>
        <v>0</v>
      </c>
      <c r="W415" s="28">
        <f>IFERROR(INDEX(tblPiNAnalysis[Food Security and Livlihoods], MATCH(tblPiNHistorical[[#This Row],[ID]], tblPiNAnalysis[ID], 0)), "")</f>
        <v>0</v>
      </c>
      <c r="X415" s="28">
        <f>IFERROR(INDEX(tblPiNAnalysis[[Health ]], MATCH(tblPiNHistorical[[#This Row],[ID]], tblPiNAnalysis[ID], 0)), "")</f>
        <v>0</v>
      </c>
      <c r="Y415" s="28">
        <f>IFERROR(INDEX(tblPiNAnalysis[Nutrition], MATCH(tblPiNHistorical[[#This Row],[ID]], tblPiNAnalysis[ID], 0)), "")</f>
        <v>0</v>
      </c>
      <c r="Z415" s="28">
        <f>IFERROR(INDEX(tblPiNAnalysis[Protection], MATCH(tblPiNHistorical[[#This Row],[ID]], tblPiNAnalysis[ID], 0)), "")</f>
        <v>0</v>
      </c>
      <c r="AA415" s="28">
        <f>IFERROR(INDEX(tblPiNAnalysis[CP], MATCH(tblPiNHistorical[[#This Row],[ID]], tblPiNAnalysis[ID], 0)), "")</f>
        <v>0</v>
      </c>
      <c r="AB415" s="83">
        <f>IFERROR(INDEX(tblPiNAnalysis[GBV], MATCH(tblPiNHistorical[[#This Row],[ID]], tblPiNAnalysis[ID], 0)), "")</f>
        <v>0</v>
      </c>
      <c r="AC415" s="28">
        <f>IFERROR(INDEX(tblPiNAnalysis[Mine Action], MATCH(tblPiNHistorical[[#This Row],[ID]], tblPiNAnalysis[ID], 0)), "")</f>
        <v>0</v>
      </c>
      <c r="AD415" s="83">
        <f>IFERROR(INDEX(tblPiNAnalysis[[Shelter NFI ]], MATCH(tblPiNHistorical[[#This Row],[ID]], tblPiNAnalysis[ID], 0)), "")</f>
        <v>63798</v>
      </c>
      <c r="AE415" s="28">
        <f>IFERROR(INDEX(tblPiNAnalysis[WASH], MATCH(tblPiNHistorical[[#This Row],[ID]], tblPiNAnalysis[ID], 0)), "")</f>
        <v>0</v>
      </c>
      <c r="AF415"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415" s="136" t="str">
        <f>IF(OR(tblPiNHistorical[[#This Row],[Education Old]]="", tblPiNHistorical[[#This Row],[Education Old]]=0, tblPiNHistorical[[#This Row],[Education New]]="", tblPiNHistorical[[#This Row],[Education New]]=0), "", tblPiNHistorical[[#This Row],[Education New]]-tblPiNHistorical[[#This Row],[Education Old]])</f>
        <v/>
      </c>
      <c r="AH415"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415" s="137" t="str">
        <f>IF(OR(tblPiNHistorical[[#This Row],[Health Old]]="", tblPiNHistorical[[#This Row],[Health Old]]=0, tblPiNHistorical[[#This Row],[Health New]]="", tblPiNHistorical[[#This Row],[Health New]]=0), "", tblPiNHistorical[[#This Row],[Health New]]-tblPiNHistorical[[#This Row],[Health Old]])</f>
        <v/>
      </c>
      <c r="AJ415" s="136" t="str">
        <f>IF(OR(tblPiNHistorical[[#This Row],[Nutrition Old]]="", tblPiNHistorical[[#This Row],[Nutrition Old]]=0, tblPiNHistorical[[#This Row],[Nutrition New]]="", tblPiNHistorical[[#This Row],[Nutrition New]]=0), "", tblPiNHistorical[[#This Row],[Nutrition New]]-tblPiNHistorical[[#This Row],[Nutrition Old]])</f>
        <v/>
      </c>
      <c r="AK415" s="136" t="str">
        <f>IF(OR(tblPiNHistorical[[#This Row],[Protection Old]]="", tblPiNHistorical[[#This Row],[Protection Old]]=0, tblPiNHistorical[[#This Row],[Protection New]]="", tblPiNHistorical[[#This Row],[Protection New]]=0), "", tblPiNHistorical[[#This Row],[Protection New]]-tblPiNHistorical[[#This Row],[Protection Old]])</f>
        <v/>
      </c>
      <c r="AL415" s="136" t="str">
        <f>IF(OR(tblPiNHistorical[[#This Row],[CP Old ]]="", tblPiNHistorical[[#This Row],[CP Old ]]=0, tblPiNHistorical[[#This Row],[CP New]]="", tblPiNHistorical[[#This Row],[CP New]]=0), "", tblPiNHistorical[[#This Row],[CP New]]-tblPiNHistorical[[#This Row],[CP Old ]])</f>
        <v/>
      </c>
      <c r="AM415" s="83" t="str">
        <f>IF(OR(tblPiNHistorical[[#This Row],[GBV Old]]="", tblPiNHistorical[[#This Row],[GBV Old]]=0, tblPiNHistorical[[#This Row],[GBV New]]="", tblPiNHistorical[[#This Row],[GBV New]]=0), "", tblPiNHistorical[[#This Row],[GBV New]]-tblPiNHistorical[[#This Row],[GBV Old]])</f>
        <v/>
      </c>
      <c r="AN415" s="83" t="str">
        <f>IF(OR(tblPiNHistorical[[#This Row],[Mine Action Old]]="", tblPiNHistorical[[#This Row],[Mine Action Old]]=0, tblPiNHistorical[[#This Row],[Mine Action New]]="", tblPiNHistorical[[#This Row],[Mine Action New]]=0), "", tblPiNHistorical[[#This Row],[Mine Action New]]-tblPiNHistorical[[#This Row],[Mine Action Old]])</f>
        <v/>
      </c>
      <c r="AO415" s="136">
        <f>IF(OR(tblPiNHistorical[[#This Row],[Shelter NFI Old]]="", tblPiNHistorical[[#This Row],[Shelter NFI Old]]=0, tblPiNHistorical[[#This Row],[Shelter NFI New]]="", tblPiNHistorical[[#This Row],[Shelter NFI New]]=0), "", tblPiNHistorical[[#This Row],[Shelter NFI New]]-tblPiNHistorical[[#This Row],[Shelter NFI Old]])</f>
        <v>38366</v>
      </c>
      <c r="AP415" s="138" t="str">
        <f>IF(OR(tblPiNHistorical[[#This Row],[WASH Old]]="", tblPiNHistorical[[#This Row],[WASH Old]]=0, tblPiNHistorical[[#This Row],[WASH New]]="", tblPiNHistorical[[#This Row],[WASH New]]=0), "", tblPiNHistorical[[#This Row],[WASH New]]-tblPiNHistorical[[#This Row],[WASH Old]])</f>
        <v/>
      </c>
      <c r="AQ415" s="139" t="str">
        <f>IFERROR(ROUND((tblPiNHistorical[[#This Row],[Site Management - New]] - tblPiNHistorical[[#This Row],[Site Management - Old]])/tblPiNHistorical[[#This Row],[Site Management - Old]], 1), "")</f>
        <v/>
      </c>
      <c r="AR415" s="140">
        <f>IFERROR(ROUND((tblPiNHistorical[[#This Row],[Education New]]-tblPiNHistorical[[#This Row],[Education Old]])/tblPiNHistorical[[#This Row],[Education Old]], 1), "")</f>
        <v>-1</v>
      </c>
      <c r="AS415" s="141">
        <f>IFERROR(ROUND((tblPiNHistorical[[#This Row],[Food Security and Livlihoods New]]-tblPiNHistorical[[#This Row],[Food Security and Livlihoods Old]])/tblPiNHistorical[[#This Row],[Food Security and Livlihoods Old]], 1), "")</f>
        <v>-1</v>
      </c>
      <c r="AT415" s="142">
        <f>IFERROR(ROUND((tblPiNHistorical[[#This Row],[Health New]]-tblPiNHistorical[[#This Row],[Health Old]])/tblPiNHistorical[[#This Row],[Health Old]], 1), "")</f>
        <v>-1</v>
      </c>
      <c r="AU415" s="140">
        <f>IFERROR(ROUND((tblPiNHistorical[[#This Row],[Nutrition New]]-tblPiNHistorical[[#This Row],[Nutrition Old]])/tblPiNHistorical[[#This Row],[Nutrition Old]], 1), "")</f>
        <v>-1</v>
      </c>
      <c r="AV415" s="140">
        <f>IFERROR(ROUND((tblPiNHistorical[[#This Row],[Protection New]]-tblPiNHistorical[[#This Row],[Protection Old]])/tblPiNHistorical[[#This Row],[Protection Old]], 1), "")</f>
        <v>-1</v>
      </c>
      <c r="AW415" s="84">
        <f>IFERROR(ROUND((tblPiNHistorical[[#This Row],[CP New]]-tblPiNHistorical[[#This Row],[CP Old ]])/tblPiNHistorical[[#This Row],[CP Old ]], 1), "")</f>
        <v>-1</v>
      </c>
      <c r="AX415" s="84">
        <f>IFERROR(ROUND((tblPiNHistorical[[#This Row],[GBV New]]-tblPiNHistorical[[#This Row],[GBV Old]])/tblPiNHistorical[[#This Row],[GBV Old]], 1), "")</f>
        <v>-1</v>
      </c>
      <c r="AY415" s="84">
        <f>IFERROR(ROUND((tblPiNHistorical[[#This Row],[Mine Action New]]-tblPiNHistorical[[#This Row],[Mine Action Old]])/tblPiNHistorical[[#This Row],[Mine Action Old]], 1), "")</f>
        <v>-1</v>
      </c>
      <c r="AZ415" s="140">
        <f>IFERROR(ROUND((tblPiNHistorical[[#This Row],[Shelter NFI New]]-tblPiNHistorical[[#This Row],[Shelter NFI Old]])/tblPiNHistorical[[#This Row],[Shelter NFI Old]], 1), "")</f>
        <v>1.5</v>
      </c>
      <c r="BA415" s="31">
        <f>IFERROR(ROUND((tblPiNHistorical[[#This Row],[WASH New]]-tblPiNHistorical[[#This Row],[WASH Old]])/tblPiNHistorical[[#This Row],[WASH Old]], 1), "")</f>
        <v>-1</v>
      </c>
    </row>
    <row r="416" spans="1:53" ht="38.25" x14ac:dyDescent="0.25">
      <c r="A416"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Host CommunitySD05148</v>
      </c>
      <c r="B416" s="134" t="s">
        <v>155</v>
      </c>
      <c r="C416" s="124" t="s">
        <v>122</v>
      </c>
      <c r="D416" s="124" t="s">
        <v>178</v>
      </c>
      <c r="E416" s="59" t="s">
        <v>177</v>
      </c>
      <c r="F416" s="54"/>
      <c r="G416" s="29"/>
      <c r="H416" s="53">
        <v>4032</v>
      </c>
      <c r="I416" s="53" t="s">
        <v>87</v>
      </c>
      <c r="J416" s="34">
        <v>0</v>
      </c>
      <c r="K416" s="116">
        <v>1563.2064</v>
      </c>
      <c r="L416" s="114">
        <v>4032</v>
      </c>
      <c r="M416" s="114">
        <v>4032</v>
      </c>
      <c r="N416" s="114">
        <v>1133</v>
      </c>
      <c r="O416" s="114">
        <v>1277</v>
      </c>
      <c r="P416" s="114">
        <v>444</v>
      </c>
      <c r="Q416" s="114">
        <v>1277</v>
      </c>
      <c r="R416" s="114">
        <v>604.79999999999995</v>
      </c>
      <c r="S416" s="114">
        <v>806</v>
      </c>
      <c r="T416" s="196">
        <v>3960.2303999999999</v>
      </c>
      <c r="U416" s="52">
        <f>IFERROR(INDEX(tblPiNAnalysis[[Site Management ]], MATCH(tblPiNHistorical[[#This Row],[ID]], tblPiNAnalysis[ID], 0)), "")</f>
        <v>0</v>
      </c>
      <c r="V416" s="52">
        <f>IFERROR(INDEX(tblPiNAnalysis[Education], MATCH(tblPiNHistorical[[#This Row],[ID]], tblPiNAnalysis[ID], 0)), "")</f>
        <v>0</v>
      </c>
      <c r="W416" s="28">
        <f>IFERROR(INDEX(tblPiNAnalysis[Food Security and Livlihoods], MATCH(tblPiNHistorical[[#This Row],[ID]], tblPiNAnalysis[ID], 0)), "")</f>
        <v>0</v>
      </c>
      <c r="X416" s="28">
        <f>IFERROR(INDEX(tblPiNAnalysis[[Health ]], MATCH(tblPiNHistorical[[#This Row],[ID]], tblPiNAnalysis[ID], 0)), "")</f>
        <v>0</v>
      </c>
      <c r="Y416" s="28">
        <f>IFERROR(INDEX(tblPiNAnalysis[Nutrition], MATCH(tblPiNHistorical[[#This Row],[ID]], tblPiNAnalysis[ID], 0)), "")</f>
        <v>0</v>
      </c>
      <c r="Z416" s="28">
        <f>IFERROR(INDEX(tblPiNAnalysis[Protection], MATCH(tblPiNHistorical[[#This Row],[ID]], tblPiNAnalysis[ID], 0)), "")</f>
        <v>0</v>
      </c>
      <c r="AA416" s="28">
        <f>IFERROR(INDEX(tblPiNAnalysis[CP], MATCH(tblPiNHistorical[[#This Row],[ID]], tblPiNAnalysis[ID], 0)), "")</f>
        <v>0</v>
      </c>
      <c r="AB416" s="83">
        <f>IFERROR(INDEX(tblPiNAnalysis[GBV], MATCH(tblPiNHistorical[[#This Row],[ID]], tblPiNAnalysis[ID], 0)), "")</f>
        <v>0</v>
      </c>
      <c r="AC416" s="28">
        <f>IFERROR(INDEX(tblPiNAnalysis[Mine Action], MATCH(tblPiNHistorical[[#This Row],[ID]], tblPiNAnalysis[ID], 0)), "")</f>
        <v>0</v>
      </c>
      <c r="AD416" s="83">
        <f>IFERROR(INDEX(tblPiNAnalysis[[Shelter NFI ]], MATCH(tblPiNHistorical[[#This Row],[ID]], tblPiNAnalysis[ID], 0)), "")</f>
        <v>86508</v>
      </c>
      <c r="AE416" s="28">
        <f>IFERROR(INDEX(tblPiNAnalysis[WASH], MATCH(tblPiNHistorical[[#This Row],[ID]], tblPiNAnalysis[ID], 0)), "")</f>
        <v>0</v>
      </c>
      <c r="AF416"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416" s="136" t="str">
        <f>IF(OR(tblPiNHistorical[[#This Row],[Education Old]]="", tblPiNHistorical[[#This Row],[Education Old]]=0, tblPiNHistorical[[#This Row],[Education New]]="", tblPiNHistorical[[#This Row],[Education New]]=0), "", tblPiNHistorical[[#This Row],[Education New]]-tblPiNHistorical[[#This Row],[Education Old]])</f>
        <v/>
      </c>
      <c r="AH416"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416" s="137" t="str">
        <f>IF(OR(tblPiNHistorical[[#This Row],[Health Old]]="", tblPiNHistorical[[#This Row],[Health Old]]=0, tblPiNHistorical[[#This Row],[Health New]]="", tblPiNHistorical[[#This Row],[Health New]]=0), "", tblPiNHistorical[[#This Row],[Health New]]-tblPiNHistorical[[#This Row],[Health Old]])</f>
        <v/>
      </c>
      <c r="AJ416" s="136" t="str">
        <f>IF(OR(tblPiNHistorical[[#This Row],[Nutrition Old]]="", tblPiNHistorical[[#This Row],[Nutrition Old]]=0, tblPiNHistorical[[#This Row],[Nutrition New]]="", tblPiNHistorical[[#This Row],[Nutrition New]]=0), "", tblPiNHistorical[[#This Row],[Nutrition New]]-tblPiNHistorical[[#This Row],[Nutrition Old]])</f>
        <v/>
      </c>
      <c r="AK416" s="136" t="str">
        <f>IF(OR(tblPiNHistorical[[#This Row],[Protection Old]]="", tblPiNHistorical[[#This Row],[Protection Old]]=0, tblPiNHistorical[[#This Row],[Protection New]]="", tblPiNHistorical[[#This Row],[Protection New]]=0), "", tblPiNHistorical[[#This Row],[Protection New]]-tblPiNHistorical[[#This Row],[Protection Old]])</f>
        <v/>
      </c>
      <c r="AL416" s="136" t="str">
        <f>IF(OR(tblPiNHistorical[[#This Row],[CP Old ]]="", tblPiNHistorical[[#This Row],[CP Old ]]=0, tblPiNHistorical[[#This Row],[CP New]]="", tblPiNHistorical[[#This Row],[CP New]]=0), "", tblPiNHistorical[[#This Row],[CP New]]-tblPiNHistorical[[#This Row],[CP Old ]])</f>
        <v/>
      </c>
      <c r="AM416" s="83" t="str">
        <f>IF(OR(tblPiNHistorical[[#This Row],[GBV Old]]="", tblPiNHistorical[[#This Row],[GBV Old]]=0, tblPiNHistorical[[#This Row],[GBV New]]="", tblPiNHistorical[[#This Row],[GBV New]]=0), "", tblPiNHistorical[[#This Row],[GBV New]]-tblPiNHistorical[[#This Row],[GBV Old]])</f>
        <v/>
      </c>
      <c r="AN416" s="83" t="str">
        <f>IF(OR(tblPiNHistorical[[#This Row],[Mine Action Old]]="", tblPiNHistorical[[#This Row],[Mine Action Old]]=0, tblPiNHistorical[[#This Row],[Mine Action New]]="", tblPiNHistorical[[#This Row],[Mine Action New]]=0), "", tblPiNHistorical[[#This Row],[Mine Action New]]-tblPiNHistorical[[#This Row],[Mine Action Old]])</f>
        <v/>
      </c>
      <c r="AO416" s="136">
        <f>IF(OR(tblPiNHistorical[[#This Row],[Shelter NFI Old]]="", tblPiNHistorical[[#This Row],[Shelter NFI Old]]=0, tblPiNHistorical[[#This Row],[Shelter NFI New]]="", tblPiNHistorical[[#This Row],[Shelter NFI New]]=0), "", tblPiNHistorical[[#This Row],[Shelter NFI New]]-tblPiNHistorical[[#This Row],[Shelter NFI Old]])</f>
        <v>85702</v>
      </c>
      <c r="AP416" s="138" t="str">
        <f>IF(OR(tblPiNHistorical[[#This Row],[WASH Old]]="", tblPiNHistorical[[#This Row],[WASH Old]]=0, tblPiNHistorical[[#This Row],[WASH New]]="", tblPiNHistorical[[#This Row],[WASH New]]=0), "", tblPiNHistorical[[#This Row],[WASH New]]-tblPiNHistorical[[#This Row],[WASH Old]])</f>
        <v/>
      </c>
      <c r="AQ416" s="139" t="str">
        <f>IFERROR(ROUND((tblPiNHistorical[[#This Row],[Site Management - New]] - tblPiNHistorical[[#This Row],[Site Management - Old]])/tblPiNHistorical[[#This Row],[Site Management - Old]], 1), "")</f>
        <v/>
      </c>
      <c r="AR416" s="140">
        <f>IFERROR(ROUND((tblPiNHistorical[[#This Row],[Education New]]-tblPiNHistorical[[#This Row],[Education Old]])/tblPiNHistorical[[#This Row],[Education Old]], 1), "")</f>
        <v>-1</v>
      </c>
      <c r="AS416" s="141">
        <f>IFERROR(ROUND((tblPiNHistorical[[#This Row],[Food Security and Livlihoods New]]-tblPiNHistorical[[#This Row],[Food Security and Livlihoods Old]])/tblPiNHistorical[[#This Row],[Food Security and Livlihoods Old]], 1), "")</f>
        <v>-1</v>
      </c>
      <c r="AT416" s="142">
        <f>IFERROR(ROUND((tblPiNHistorical[[#This Row],[Health New]]-tblPiNHistorical[[#This Row],[Health Old]])/tblPiNHistorical[[#This Row],[Health Old]], 1), "")</f>
        <v>-1</v>
      </c>
      <c r="AU416" s="140">
        <f>IFERROR(ROUND((tblPiNHistorical[[#This Row],[Nutrition New]]-tblPiNHistorical[[#This Row],[Nutrition Old]])/tblPiNHistorical[[#This Row],[Nutrition Old]], 1), "")</f>
        <v>-1</v>
      </c>
      <c r="AV416" s="140">
        <f>IFERROR(ROUND((tblPiNHistorical[[#This Row],[Protection New]]-tblPiNHistorical[[#This Row],[Protection Old]])/tblPiNHistorical[[#This Row],[Protection Old]], 1), "")</f>
        <v>-1</v>
      </c>
      <c r="AW416" s="84">
        <f>IFERROR(ROUND((tblPiNHistorical[[#This Row],[CP New]]-tblPiNHistorical[[#This Row],[CP Old ]])/tblPiNHistorical[[#This Row],[CP Old ]], 1), "")</f>
        <v>-1</v>
      </c>
      <c r="AX416" s="84">
        <f>IFERROR(ROUND((tblPiNHistorical[[#This Row],[GBV New]]-tblPiNHistorical[[#This Row],[GBV Old]])/tblPiNHistorical[[#This Row],[GBV Old]], 1), "")</f>
        <v>-1</v>
      </c>
      <c r="AY416" s="84">
        <f>IFERROR(ROUND((tblPiNHistorical[[#This Row],[Mine Action New]]-tblPiNHistorical[[#This Row],[Mine Action Old]])/tblPiNHistorical[[#This Row],[Mine Action Old]], 1), "")</f>
        <v>-1</v>
      </c>
      <c r="AZ416" s="140">
        <f>IFERROR(ROUND((tblPiNHistorical[[#This Row],[Shelter NFI New]]-tblPiNHistorical[[#This Row],[Shelter NFI Old]])/tblPiNHistorical[[#This Row],[Shelter NFI Old]], 1), "")</f>
        <v>106.3</v>
      </c>
      <c r="BA416" s="31">
        <f>IFERROR(ROUND((tblPiNHistorical[[#This Row],[WASH New]]-tblPiNHistorical[[#This Row],[WASH Old]])/tblPiNHistorical[[#This Row],[WASH Old]], 1), "")</f>
        <v>-1</v>
      </c>
    </row>
    <row r="417" spans="1:53" ht="38.25" x14ac:dyDescent="0.25">
      <c r="A417"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Host CommunitySD05165</v>
      </c>
      <c r="B417" s="134" t="s">
        <v>155</v>
      </c>
      <c r="C417" s="124" t="s">
        <v>122</v>
      </c>
      <c r="D417" s="124" t="s">
        <v>193</v>
      </c>
      <c r="E417" s="59" t="s">
        <v>192</v>
      </c>
      <c r="F417" s="54"/>
      <c r="G417" s="29"/>
      <c r="H417" s="53">
        <v>4362.8999999999996</v>
      </c>
      <c r="I417" s="53" t="s">
        <v>87</v>
      </c>
      <c r="J417" s="34">
        <v>0</v>
      </c>
      <c r="K417" s="116">
        <v>1691.4963299999997</v>
      </c>
      <c r="L417" s="114">
        <v>4363</v>
      </c>
      <c r="M417" s="114">
        <v>4362.8999999999996</v>
      </c>
      <c r="N417" s="114">
        <v>622</v>
      </c>
      <c r="O417" s="114">
        <v>1381</v>
      </c>
      <c r="P417" s="114">
        <v>480</v>
      </c>
      <c r="Q417" s="114">
        <v>1381</v>
      </c>
      <c r="R417" s="114">
        <v>436.28999999999996</v>
      </c>
      <c r="S417" s="114">
        <v>873</v>
      </c>
      <c r="T417" s="196">
        <v>4170.0598199999995</v>
      </c>
      <c r="U417" s="52">
        <f>IFERROR(INDEX(tblPiNAnalysis[[Site Management ]], MATCH(tblPiNHistorical[[#This Row],[ID]], tblPiNAnalysis[ID], 0)), "")</f>
        <v>0</v>
      </c>
      <c r="V417" s="52">
        <f>IFERROR(INDEX(tblPiNAnalysis[Education], MATCH(tblPiNHistorical[[#This Row],[ID]], tblPiNAnalysis[ID], 0)), "")</f>
        <v>0</v>
      </c>
      <c r="W417" s="28">
        <f>IFERROR(INDEX(tblPiNAnalysis[Food Security and Livlihoods], MATCH(tblPiNHistorical[[#This Row],[ID]], tblPiNAnalysis[ID], 0)), "")</f>
        <v>0</v>
      </c>
      <c r="X417" s="28">
        <f>IFERROR(INDEX(tblPiNAnalysis[[Health ]], MATCH(tblPiNHistorical[[#This Row],[ID]], tblPiNAnalysis[ID], 0)), "")</f>
        <v>0</v>
      </c>
      <c r="Y417" s="28">
        <f>IFERROR(INDEX(tblPiNAnalysis[Nutrition], MATCH(tblPiNHistorical[[#This Row],[ID]], tblPiNAnalysis[ID], 0)), "")</f>
        <v>0</v>
      </c>
      <c r="Z417" s="28">
        <f>IFERROR(INDEX(tblPiNAnalysis[Protection], MATCH(tblPiNHistorical[[#This Row],[ID]], tblPiNAnalysis[ID], 0)), "")</f>
        <v>0</v>
      </c>
      <c r="AA417" s="28">
        <f>IFERROR(INDEX(tblPiNAnalysis[CP], MATCH(tblPiNHistorical[[#This Row],[ID]], tblPiNAnalysis[ID], 0)), "")</f>
        <v>0</v>
      </c>
      <c r="AB417" s="83">
        <f>IFERROR(INDEX(tblPiNAnalysis[GBV], MATCH(tblPiNHistorical[[#This Row],[ID]], tblPiNAnalysis[ID], 0)), "")</f>
        <v>0</v>
      </c>
      <c r="AC417" s="28">
        <f>IFERROR(INDEX(tblPiNAnalysis[Mine Action], MATCH(tblPiNHistorical[[#This Row],[ID]], tblPiNAnalysis[ID], 0)), "")</f>
        <v>0</v>
      </c>
      <c r="AD417" s="83">
        <f>IFERROR(INDEX(tblPiNAnalysis[[Shelter NFI ]], MATCH(tblPiNHistorical[[#This Row],[ID]], tblPiNAnalysis[ID], 0)), "")</f>
        <v>37850</v>
      </c>
      <c r="AE417" s="28">
        <f>IFERROR(INDEX(tblPiNAnalysis[WASH], MATCH(tblPiNHistorical[[#This Row],[ID]], tblPiNAnalysis[ID], 0)), "")</f>
        <v>0</v>
      </c>
      <c r="AF417"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417" s="136" t="str">
        <f>IF(OR(tblPiNHistorical[[#This Row],[Education Old]]="", tblPiNHistorical[[#This Row],[Education Old]]=0, tblPiNHistorical[[#This Row],[Education New]]="", tblPiNHistorical[[#This Row],[Education New]]=0), "", tblPiNHistorical[[#This Row],[Education New]]-tblPiNHistorical[[#This Row],[Education Old]])</f>
        <v/>
      </c>
      <c r="AH417"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417" s="137" t="str">
        <f>IF(OR(tblPiNHistorical[[#This Row],[Health Old]]="", tblPiNHistorical[[#This Row],[Health Old]]=0, tblPiNHistorical[[#This Row],[Health New]]="", tblPiNHistorical[[#This Row],[Health New]]=0), "", tblPiNHistorical[[#This Row],[Health New]]-tblPiNHistorical[[#This Row],[Health Old]])</f>
        <v/>
      </c>
      <c r="AJ417" s="136" t="str">
        <f>IF(OR(tblPiNHistorical[[#This Row],[Nutrition Old]]="", tblPiNHistorical[[#This Row],[Nutrition Old]]=0, tblPiNHistorical[[#This Row],[Nutrition New]]="", tblPiNHistorical[[#This Row],[Nutrition New]]=0), "", tblPiNHistorical[[#This Row],[Nutrition New]]-tblPiNHistorical[[#This Row],[Nutrition Old]])</f>
        <v/>
      </c>
      <c r="AK417" s="136" t="str">
        <f>IF(OR(tblPiNHistorical[[#This Row],[Protection Old]]="", tblPiNHistorical[[#This Row],[Protection Old]]=0, tblPiNHistorical[[#This Row],[Protection New]]="", tblPiNHistorical[[#This Row],[Protection New]]=0), "", tblPiNHistorical[[#This Row],[Protection New]]-tblPiNHistorical[[#This Row],[Protection Old]])</f>
        <v/>
      </c>
      <c r="AL417" s="136" t="str">
        <f>IF(OR(tblPiNHistorical[[#This Row],[CP Old ]]="", tblPiNHistorical[[#This Row],[CP Old ]]=0, tblPiNHistorical[[#This Row],[CP New]]="", tblPiNHistorical[[#This Row],[CP New]]=0), "", tblPiNHistorical[[#This Row],[CP New]]-tblPiNHistorical[[#This Row],[CP Old ]])</f>
        <v/>
      </c>
      <c r="AM417" s="83" t="str">
        <f>IF(OR(tblPiNHistorical[[#This Row],[GBV Old]]="", tblPiNHistorical[[#This Row],[GBV Old]]=0, tblPiNHistorical[[#This Row],[GBV New]]="", tblPiNHistorical[[#This Row],[GBV New]]=0), "", tblPiNHistorical[[#This Row],[GBV New]]-tblPiNHistorical[[#This Row],[GBV Old]])</f>
        <v/>
      </c>
      <c r="AN417" s="83" t="str">
        <f>IF(OR(tblPiNHistorical[[#This Row],[Mine Action Old]]="", tblPiNHistorical[[#This Row],[Mine Action Old]]=0, tblPiNHistorical[[#This Row],[Mine Action New]]="", tblPiNHistorical[[#This Row],[Mine Action New]]=0), "", tblPiNHistorical[[#This Row],[Mine Action New]]-tblPiNHistorical[[#This Row],[Mine Action Old]])</f>
        <v/>
      </c>
      <c r="AO417" s="136">
        <f>IF(OR(tblPiNHistorical[[#This Row],[Shelter NFI Old]]="", tblPiNHistorical[[#This Row],[Shelter NFI Old]]=0, tblPiNHistorical[[#This Row],[Shelter NFI New]]="", tblPiNHistorical[[#This Row],[Shelter NFI New]]=0), "", tblPiNHistorical[[#This Row],[Shelter NFI New]]-tblPiNHistorical[[#This Row],[Shelter NFI Old]])</f>
        <v>36977</v>
      </c>
      <c r="AP417" s="138" t="str">
        <f>IF(OR(tblPiNHistorical[[#This Row],[WASH Old]]="", tblPiNHistorical[[#This Row],[WASH Old]]=0, tblPiNHistorical[[#This Row],[WASH New]]="", tblPiNHistorical[[#This Row],[WASH New]]=0), "", tblPiNHistorical[[#This Row],[WASH New]]-tblPiNHistorical[[#This Row],[WASH Old]])</f>
        <v/>
      </c>
      <c r="AQ417" s="139" t="str">
        <f>IFERROR(ROUND((tblPiNHistorical[[#This Row],[Site Management - New]] - tblPiNHistorical[[#This Row],[Site Management - Old]])/tblPiNHistorical[[#This Row],[Site Management - Old]], 1), "")</f>
        <v/>
      </c>
      <c r="AR417" s="140">
        <f>IFERROR(ROUND((tblPiNHistorical[[#This Row],[Education New]]-tblPiNHistorical[[#This Row],[Education Old]])/tblPiNHistorical[[#This Row],[Education Old]], 1), "")</f>
        <v>-1</v>
      </c>
      <c r="AS417" s="141">
        <f>IFERROR(ROUND((tblPiNHistorical[[#This Row],[Food Security and Livlihoods New]]-tblPiNHistorical[[#This Row],[Food Security and Livlihoods Old]])/tblPiNHistorical[[#This Row],[Food Security and Livlihoods Old]], 1), "")</f>
        <v>-1</v>
      </c>
      <c r="AT417" s="142">
        <f>IFERROR(ROUND((tblPiNHistorical[[#This Row],[Health New]]-tblPiNHistorical[[#This Row],[Health Old]])/tblPiNHistorical[[#This Row],[Health Old]], 1), "")</f>
        <v>-1</v>
      </c>
      <c r="AU417" s="140">
        <f>IFERROR(ROUND((tblPiNHistorical[[#This Row],[Nutrition New]]-tblPiNHistorical[[#This Row],[Nutrition Old]])/tblPiNHistorical[[#This Row],[Nutrition Old]], 1), "")</f>
        <v>-1</v>
      </c>
      <c r="AV417" s="140">
        <f>IFERROR(ROUND((tblPiNHistorical[[#This Row],[Protection New]]-tblPiNHistorical[[#This Row],[Protection Old]])/tblPiNHistorical[[#This Row],[Protection Old]], 1), "")</f>
        <v>-1</v>
      </c>
      <c r="AW417" s="84">
        <f>IFERROR(ROUND((tblPiNHistorical[[#This Row],[CP New]]-tblPiNHistorical[[#This Row],[CP Old ]])/tblPiNHistorical[[#This Row],[CP Old ]], 1), "")</f>
        <v>-1</v>
      </c>
      <c r="AX417" s="84">
        <f>IFERROR(ROUND((tblPiNHistorical[[#This Row],[GBV New]]-tblPiNHistorical[[#This Row],[GBV Old]])/tblPiNHistorical[[#This Row],[GBV Old]], 1), "")</f>
        <v>-1</v>
      </c>
      <c r="AY417" s="84">
        <f>IFERROR(ROUND((tblPiNHistorical[[#This Row],[Mine Action New]]-tblPiNHistorical[[#This Row],[Mine Action Old]])/tblPiNHistorical[[#This Row],[Mine Action Old]], 1), "")</f>
        <v>-1</v>
      </c>
      <c r="AZ417" s="140">
        <f>IFERROR(ROUND((tblPiNHistorical[[#This Row],[Shelter NFI New]]-tblPiNHistorical[[#This Row],[Shelter NFI Old]])/tblPiNHistorical[[#This Row],[Shelter NFI Old]], 1), "")</f>
        <v>42.4</v>
      </c>
      <c r="BA417" s="31">
        <f>IFERROR(ROUND((tblPiNHistorical[[#This Row],[WASH New]]-tblPiNHistorical[[#This Row],[WASH Old]])/tblPiNHistorical[[#This Row],[WASH Old]], 1), "")</f>
        <v>-1</v>
      </c>
    </row>
    <row r="418" spans="1:53" ht="38.25" x14ac:dyDescent="0.25">
      <c r="A418"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Host CommunitySD12073</v>
      </c>
      <c r="B418" s="134" t="s">
        <v>158</v>
      </c>
      <c r="C418" s="124" t="s">
        <v>129</v>
      </c>
      <c r="D418" s="124" t="s">
        <v>444</v>
      </c>
      <c r="E418" s="59" t="s">
        <v>445</v>
      </c>
      <c r="F418" s="54"/>
      <c r="G418" s="29"/>
      <c r="H418" s="53">
        <v>2966</v>
      </c>
      <c r="I418" s="53" t="s">
        <v>87</v>
      </c>
      <c r="J418" s="34">
        <v>0</v>
      </c>
      <c r="K418" s="116">
        <v>0</v>
      </c>
      <c r="L418" s="114">
        <v>2966</v>
      </c>
      <c r="M418" s="114">
        <v>2966</v>
      </c>
      <c r="N418" s="114">
        <v>272</v>
      </c>
      <c r="O418" s="114">
        <v>783</v>
      </c>
      <c r="P418" s="114">
        <v>326</v>
      </c>
      <c r="Q418" s="114">
        <v>783</v>
      </c>
      <c r="R418" s="114">
        <v>0</v>
      </c>
      <c r="S418" s="114">
        <v>0</v>
      </c>
      <c r="T418" s="196">
        <v>2909.9425999999999</v>
      </c>
      <c r="U418" s="52">
        <f>IFERROR(INDEX(tblPiNAnalysis[[Site Management ]], MATCH(tblPiNHistorical[[#This Row],[ID]], tblPiNAnalysis[ID], 0)), "")</f>
        <v>0</v>
      </c>
      <c r="V418" s="52">
        <f>IFERROR(INDEX(tblPiNAnalysis[Education], MATCH(tblPiNHistorical[[#This Row],[ID]], tblPiNAnalysis[ID], 0)), "")</f>
        <v>0</v>
      </c>
      <c r="W418" s="28">
        <f>IFERROR(INDEX(tblPiNAnalysis[Food Security and Livlihoods], MATCH(tblPiNHistorical[[#This Row],[ID]], tblPiNAnalysis[ID], 0)), "")</f>
        <v>0</v>
      </c>
      <c r="X418" s="28">
        <f>IFERROR(INDEX(tblPiNAnalysis[[Health ]], MATCH(tblPiNHistorical[[#This Row],[ID]], tblPiNAnalysis[ID], 0)), "")</f>
        <v>0</v>
      </c>
      <c r="Y418" s="28">
        <f>IFERROR(INDEX(tblPiNAnalysis[Nutrition], MATCH(tblPiNHistorical[[#This Row],[ID]], tblPiNAnalysis[ID], 0)), "")</f>
        <v>0</v>
      </c>
      <c r="Z418" s="28">
        <f>IFERROR(INDEX(tblPiNAnalysis[Protection], MATCH(tblPiNHistorical[[#This Row],[ID]], tblPiNAnalysis[ID], 0)), "")</f>
        <v>0</v>
      </c>
      <c r="AA418" s="28">
        <f>IFERROR(INDEX(tblPiNAnalysis[CP], MATCH(tblPiNHistorical[[#This Row],[ID]], tblPiNAnalysis[ID], 0)), "")</f>
        <v>0</v>
      </c>
      <c r="AB418" s="83">
        <f>IFERROR(INDEX(tblPiNAnalysis[GBV], MATCH(tblPiNHistorical[[#This Row],[ID]], tblPiNAnalysis[ID], 0)), "")</f>
        <v>0</v>
      </c>
      <c r="AC418" s="28">
        <f>IFERROR(INDEX(tblPiNAnalysis[Mine Action], MATCH(tblPiNHistorical[[#This Row],[ID]], tblPiNAnalysis[ID], 0)), "")</f>
        <v>0</v>
      </c>
      <c r="AD418" s="83">
        <f>IFERROR(INDEX(tblPiNAnalysis[[Shelter NFI ]], MATCH(tblPiNHistorical[[#This Row],[ID]], tblPiNAnalysis[ID], 0)), "")</f>
        <v>5045</v>
      </c>
      <c r="AE418" s="28">
        <f>IFERROR(INDEX(tblPiNAnalysis[WASH], MATCH(tblPiNHistorical[[#This Row],[ID]], tblPiNAnalysis[ID], 0)), "")</f>
        <v>0</v>
      </c>
      <c r="AF418"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418" s="136" t="str">
        <f>IF(OR(tblPiNHistorical[[#This Row],[Education Old]]="", tblPiNHistorical[[#This Row],[Education Old]]=0, tblPiNHistorical[[#This Row],[Education New]]="", tblPiNHistorical[[#This Row],[Education New]]=0), "", tblPiNHistorical[[#This Row],[Education New]]-tblPiNHistorical[[#This Row],[Education Old]])</f>
        <v/>
      </c>
      <c r="AH418"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418" s="137" t="str">
        <f>IF(OR(tblPiNHistorical[[#This Row],[Health Old]]="", tblPiNHistorical[[#This Row],[Health Old]]=0, tblPiNHistorical[[#This Row],[Health New]]="", tblPiNHistorical[[#This Row],[Health New]]=0), "", tblPiNHistorical[[#This Row],[Health New]]-tblPiNHistorical[[#This Row],[Health Old]])</f>
        <v/>
      </c>
      <c r="AJ418" s="136" t="str">
        <f>IF(OR(tblPiNHistorical[[#This Row],[Nutrition Old]]="", tblPiNHistorical[[#This Row],[Nutrition Old]]=0, tblPiNHistorical[[#This Row],[Nutrition New]]="", tblPiNHistorical[[#This Row],[Nutrition New]]=0), "", tblPiNHistorical[[#This Row],[Nutrition New]]-tblPiNHistorical[[#This Row],[Nutrition Old]])</f>
        <v/>
      </c>
      <c r="AK418" s="136" t="str">
        <f>IF(OR(tblPiNHistorical[[#This Row],[Protection Old]]="", tblPiNHistorical[[#This Row],[Protection Old]]=0, tblPiNHistorical[[#This Row],[Protection New]]="", tblPiNHistorical[[#This Row],[Protection New]]=0), "", tblPiNHistorical[[#This Row],[Protection New]]-tblPiNHistorical[[#This Row],[Protection Old]])</f>
        <v/>
      </c>
      <c r="AL418" s="136" t="str">
        <f>IF(OR(tblPiNHistorical[[#This Row],[CP Old ]]="", tblPiNHistorical[[#This Row],[CP Old ]]=0, tblPiNHistorical[[#This Row],[CP New]]="", tblPiNHistorical[[#This Row],[CP New]]=0), "", tblPiNHistorical[[#This Row],[CP New]]-tblPiNHistorical[[#This Row],[CP Old ]])</f>
        <v/>
      </c>
      <c r="AM418" s="83" t="str">
        <f>IF(OR(tblPiNHistorical[[#This Row],[GBV Old]]="", tblPiNHistorical[[#This Row],[GBV Old]]=0, tblPiNHistorical[[#This Row],[GBV New]]="", tblPiNHistorical[[#This Row],[GBV New]]=0), "", tblPiNHistorical[[#This Row],[GBV New]]-tblPiNHistorical[[#This Row],[GBV Old]])</f>
        <v/>
      </c>
      <c r="AN418" s="83" t="str">
        <f>IF(OR(tblPiNHistorical[[#This Row],[Mine Action Old]]="", tblPiNHistorical[[#This Row],[Mine Action Old]]=0, tblPiNHistorical[[#This Row],[Mine Action New]]="", tblPiNHistorical[[#This Row],[Mine Action New]]=0), "", tblPiNHistorical[[#This Row],[Mine Action New]]-tblPiNHistorical[[#This Row],[Mine Action Old]])</f>
        <v/>
      </c>
      <c r="AO418" s="136" t="str">
        <f>IF(OR(tblPiNHistorical[[#This Row],[Shelter NFI Old]]="", tblPiNHistorical[[#This Row],[Shelter NFI Old]]=0, tblPiNHistorical[[#This Row],[Shelter NFI New]]="", tblPiNHistorical[[#This Row],[Shelter NFI New]]=0), "", tblPiNHistorical[[#This Row],[Shelter NFI New]]-tblPiNHistorical[[#This Row],[Shelter NFI Old]])</f>
        <v/>
      </c>
      <c r="AP418" s="138" t="str">
        <f>IF(OR(tblPiNHistorical[[#This Row],[WASH Old]]="", tblPiNHistorical[[#This Row],[WASH Old]]=0, tblPiNHistorical[[#This Row],[WASH New]]="", tblPiNHistorical[[#This Row],[WASH New]]=0), "", tblPiNHistorical[[#This Row],[WASH New]]-tblPiNHistorical[[#This Row],[WASH Old]])</f>
        <v/>
      </c>
      <c r="AQ418" s="139" t="str">
        <f>IFERROR(ROUND((tblPiNHistorical[[#This Row],[Site Management - New]] - tblPiNHistorical[[#This Row],[Site Management - Old]])/tblPiNHistorical[[#This Row],[Site Management - Old]], 1), "")</f>
        <v/>
      </c>
      <c r="AR418" s="140" t="str">
        <f>IFERROR(ROUND((tblPiNHistorical[[#This Row],[Education New]]-tblPiNHistorical[[#This Row],[Education Old]])/tblPiNHistorical[[#This Row],[Education Old]], 1), "")</f>
        <v/>
      </c>
      <c r="AS418" s="141">
        <f>IFERROR(ROUND((tblPiNHistorical[[#This Row],[Food Security and Livlihoods New]]-tblPiNHistorical[[#This Row],[Food Security and Livlihoods Old]])/tblPiNHistorical[[#This Row],[Food Security and Livlihoods Old]], 1), "")</f>
        <v>-1</v>
      </c>
      <c r="AT418" s="142">
        <f>IFERROR(ROUND((tblPiNHistorical[[#This Row],[Health New]]-tblPiNHistorical[[#This Row],[Health Old]])/tblPiNHistorical[[#This Row],[Health Old]], 1), "")</f>
        <v>-1</v>
      </c>
      <c r="AU418" s="140">
        <f>IFERROR(ROUND((tblPiNHistorical[[#This Row],[Nutrition New]]-tblPiNHistorical[[#This Row],[Nutrition Old]])/tblPiNHistorical[[#This Row],[Nutrition Old]], 1), "")</f>
        <v>-1</v>
      </c>
      <c r="AV418" s="140">
        <f>IFERROR(ROUND((tblPiNHistorical[[#This Row],[Protection New]]-tblPiNHistorical[[#This Row],[Protection Old]])/tblPiNHistorical[[#This Row],[Protection Old]], 1), "")</f>
        <v>-1</v>
      </c>
      <c r="AW418" s="84">
        <f>IFERROR(ROUND((tblPiNHistorical[[#This Row],[CP New]]-tblPiNHistorical[[#This Row],[CP Old ]])/tblPiNHistorical[[#This Row],[CP Old ]], 1), "")</f>
        <v>-1</v>
      </c>
      <c r="AX418" s="84">
        <f>IFERROR(ROUND((tblPiNHistorical[[#This Row],[GBV New]]-tblPiNHistorical[[#This Row],[GBV Old]])/tblPiNHistorical[[#This Row],[GBV Old]], 1), "")</f>
        <v>-1</v>
      </c>
      <c r="AY418" s="84" t="str">
        <f>IFERROR(ROUND((tblPiNHistorical[[#This Row],[Mine Action New]]-tblPiNHistorical[[#This Row],[Mine Action Old]])/tblPiNHistorical[[#This Row],[Mine Action Old]], 1), "")</f>
        <v/>
      </c>
      <c r="AZ418" s="140" t="str">
        <f>IFERROR(ROUND((tblPiNHistorical[[#This Row],[Shelter NFI New]]-tblPiNHistorical[[#This Row],[Shelter NFI Old]])/tblPiNHistorical[[#This Row],[Shelter NFI Old]], 1), "")</f>
        <v/>
      </c>
      <c r="BA418" s="31">
        <f>IFERROR(ROUND((tblPiNHistorical[[#This Row],[WASH New]]-tblPiNHistorical[[#This Row],[WASH Old]])/tblPiNHistorical[[#This Row],[WASH Old]], 1), "")</f>
        <v>-1</v>
      </c>
    </row>
    <row r="419" spans="1:53" ht="38.25" x14ac:dyDescent="0.25">
      <c r="A419"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Host CommunitySD12074</v>
      </c>
      <c r="B419" s="134" t="s">
        <v>158</v>
      </c>
      <c r="C419" s="124" t="s">
        <v>129</v>
      </c>
      <c r="D419" s="124" t="s">
        <v>446</v>
      </c>
      <c r="E419" s="59" t="s">
        <v>447</v>
      </c>
      <c r="F419" s="54"/>
      <c r="G419" s="29"/>
      <c r="H419" s="53">
        <v>11957</v>
      </c>
      <c r="I419" s="53" t="s">
        <v>87</v>
      </c>
      <c r="J419" s="34">
        <v>0</v>
      </c>
      <c r="K419" s="116">
        <v>0</v>
      </c>
      <c r="L419" s="114">
        <v>11957</v>
      </c>
      <c r="M419" s="114">
        <v>11957</v>
      </c>
      <c r="N419" s="114">
        <v>932</v>
      </c>
      <c r="O419" s="114">
        <v>3786</v>
      </c>
      <c r="P419" s="114">
        <v>1315</v>
      </c>
      <c r="Q419" s="114">
        <v>3786</v>
      </c>
      <c r="R419" s="114">
        <v>0</v>
      </c>
      <c r="S419" s="114">
        <v>0</v>
      </c>
      <c r="T419" s="196">
        <v>10494.658899999999</v>
      </c>
      <c r="U419" s="52">
        <f>IFERROR(INDEX(tblPiNAnalysis[[Site Management ]], MATCH(tblPiNHistorical[[#This Row],[ID]], tblPiNAnalysis[ID], 0)), "")</f>
        <v>0</v>
      </c>
      <c r="V419" s="52">
        <f>IFERROR(INDEX(tblPiNAnalysis[Education], MATCH(tblPiNHistorical[[#This Row],[ID]], tblPiNAnalysis[ID], 0)), "")</f>
        <v>0</v>
      </c>
      <c r="W419" s="28">
        <f>IFERROR(INDEX(tblPiNAnalysis[Food Security and Livlihoods], MATCH(tblPiNHistorical[[#This Row],[ID]], tblPiNAnalysis[ID], 0)), "")</f>
        <v>0</v>
      </c>
      <c r="X419" s="28">
        <f>IFERROR(INDEX(tblPiNAnalysis[[Health ]], MATCH(tblPiNHistorical[[#This Row],[ID]], tblPiNAnalysis[ID], 0)), "")</f>
        <v>0</v>
      </c>
      <c r="Y419" s="28">
        <f>IFERROR(INDEX(tblPiNAnalysis[Nutrition], MATCH(tblPiNHistorical[[#This Row],[ID]], tblPiNAnalysis[ID], 0)), "")</f>
        <v>0</v>
      </c>
      <c r="Z419" s="28">
        <f>IFERROR(INDEX(tblPiNAnalysis[Protection], MATCH(tblPiNHistorical[[#This Row],[ID]], tblPiNAnalysis[ID], 0)), "")</f>
        <v>0</v>
      </c>
      <c r="AA419" s="28">
        <f>IFERROR(INDEX(tblPiNAnalysis[CP], MATCH(tblPiNHistorical[[#This Row],[ID]], tblPiNAnalysis[ID], 0)), "")</f>
        <v>0</v>
      </c>
      <c r="AB419" s="83">
        <f>IFERROR(INDEX(tblPiNAnalysis[GBV], MATCH(tblPiNHistorical[[#This Row],[ID]], tblPiNAnalysis[ID], 0)), "")</f>
        <v>0</v>
      </c>
      <c r="AC419" s="28">
        <f>IFERROR(INDEX(tblPiNAnalysis[Mine Action], MATCH(tblPiNHistorical[[#This Row],[ID]], tblPiNAnalysis[ID], 0)), "")</f>
        <v>0</v>
      </c>
      <c r="AD419" s="83">
        <f>IFERROR(INDEX(tblPiNAnalysis[[Shelter NFI ]], MATCH(tblPiNHistorical[[#This Row],[ID]], tblPiNAnalysis[ID], 0)), "")</f>
        <v>18146</v>
      </c>
      <c r="AE419" s="28">
        <f>IFERROR(INDEX(tblPiNAnalysis[WASH], MATCH(tblPiNHistorical[[#This Row],[ID]], tblPiNAnalysis[ID], 0)), "")</f>
        <v>0</v>
      </c>
      <c r="AF419"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419" s="136" t="str">
        <f>IF(OR(tblPiNHistorical[[#This Row],[Education Old]]="", tblPiNHistorical[[#This Row],[Education Old]]=0, tblPiNHistorical[[#This Row],[Education New]]="", tblPiNHistorical[[#This Row],[Education New]]=0), "", tblPiNHistorical[[#This Row],[Education New]]-tblPiNHistorical[[#This Row],[Education Old]])</f>
        <v/>
      </c>
      <c r="AH419"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419" s="137" t="str">
        <f>IF(OR(tblPiNHistorical[[#This Row],[Health Old]]="", tblPiNHistorical[[#This Row],[Health Old]]=0, tblPiNHistorical[[#This Row],[Health New]]="", tblPiNHistorical[[#This Row],[Health New]]=0), "", tblPiNHistorical[[#This Row],[Health New]]-tblPiNHistorical[[#This Row],[Health Old]])</f>
        <v/>
      </c>
      <c r="AJ419" s="136" t="str">
        <f>IF(OR(tblPiNHistorical[[#This Row],[Nutrition Old]]="", tblPiNHistorical[[#This Row],[Nutrition Old]]=0, tblPiNHistorical[[#This Row],[Nutrition New]]="", tblPiNHistorical[[#This Row],[Nutrition New]]=0), "", tblPiNHistorical[[#This Row],[Nutrition New]]-tblPiNHistorical[[#This Row],[Nutrition Old]])</f>
        <v/>
      </c>
      <c r="AK419" s="136" t="str">
        <f>IF(OR(tblPiNHistorical[[#This Row],[Protection Old]]="", tblPiNHistorical[[#This Row],[Protection Old]]=0, tblPiNHistorical[[#This Row],[Protection New]]="", tblPiNHistorical[[#This Row],[Protection New]]=0), "", tblPiNHistorical[[#This Row],[Protection New]]-tblPiNHistorical[[#This Row],[Protection Old]])</f>
        <v/>
      </c>
      <c r="AL419" s="136" t="str">
        <f>IF(OR(tblPiNHistorical[[#This Row],[CP Old ]]="", tblPiNHistorical[[#This Row],[CP Old ]]=0, tblPiNHistorical[[#This Row],[CP New]]="", tblPiNHistorical[[#This Row],[CP New]]=0), "", tblPiNHistorical[[#This Row],[CP New]]-tblPiNHistorical[[#This Row],[CP Old ]])</f>
        <v/>
      </c>
      <c r="AM419" s="83" t="str">
        <f>IF(OR(tblPiNHistorical[[#This Row],[GBV Old]]="", tblPiNHistorical[[#This Row],[GBV Old]]=0, tblPiNHistorical[[#This Row],[GBV New]]="", tblPiNHistorical[[#This Row],[GBV New]]=0), "", tblPiNHistorical[[#This Row],[GBV New]]-tblPiNHistorical[[#This Row],[GBV Old]])</f>
        <v/>
      </c>
      <c r="AN419" s="83" t="str">
        <f>IF(OR(tblPiNHistorical[[#This Row],[Mine Action Old]]="", tblPiNHistorical[[#This Row],[Mine Action Old]]=0, tblPiNHistorical[[#This Row],[Mine Action New]]="", tblPiNHistorical[[#This Row],[Mine Action New]]=0), "", tblPiNHistorical[[#This Row],[Mine Action New]]-tblPiNHistorical[[#This Row],[Mine Action Old]])</f>
        <v/>
      </c>
      <c r="AO419" s="136" t="str">
        <f>IF(OR(tblPiNHistorical[[#This Row],[Shelter NFI Old]]="", tblPiNHistorical[[#This Row],[Shelter NFI Old]]=0, tblPiNHistorical[[#This Row],[Shelter NFI New]]="", tblPiNHistorical[[#This Row],[Shelter NFI New]]=0), "", tblPiNHistorical[[#This Row],[Shelter NFI New]]-tblPiNHistorical[[#This Row],[Shelter NFI Old]])</f>
        <v/>
      </c>
      <c r="AP419" s="138" t="str">
        <f>IF(OR(tblPiNHistorical[[#This Row],[WASH Old]]="", tblPiNHistorical[[#This Row],[WASH Old]]=0, tblPiNHistorical[[#This Row],[WASH New]]="", tblPiNHistorical[[#This Row],[WASH New]]=0), "", tblPiNHistorical[[#This Row],[WASH New]]-tblPiNHistorical[[#This Row],[WASH Old]])</f>
        <v/>
      </c>
      <c r="AQ419" s="139" t="str">
        <f>IFERROR(ROUND((tblPiNHistorical[[#This Row],[Site Management - New]] - tblPiNHistorical[[#This Row],[Site Management - Old]])/tblPiNHistorical[[#This Row],[Site Management - Old]], 1), "")</f>
        <v/>
      </c>
      <c r="AR419" s="140" t="str">
        <f>IFERROR(ROUND((tblPiNHistorical[[#This Row],[Education New]]-tblPiNHistorical[[#This Row],[Education Old]])/tblPiNHistorical[[#This Row],[Education Old]], 1), "")</f>
        <v/>
      </c>
      <c r="AS419" s="141">
        <f>IFERROR(ROUND((tblPiNHistorical[[#This Row],[Food Security and Livlihoods New]]-tblPiNHistorical[[#This Row],[Food Security and Livlihoods Old]])/tblPiNHistorical[[#This Row],[Food Security and Livlihoods Old]], 1), "")</f>
        <v>-1</v>
      </c>
      <c r="AT419" s="142">
        <f>IFERROR(ROUND((tblPiNHistorical[[#This Row],[Health New]]-tblPiNHistorical[[#This Row],[Health Old]])/tblPiNHistorical[[#This Row],[Health Old]], 1), "")</f>
        <v>-1</v>
      </c>
      <c r="AU419" s="140">
        <f>IFERROR(ROUND((tblPiNHistorical[[#This Row],[Nutrition New]]-tblPiNHistorical[[#This Row],[Nutrition Old]])/tblPiNHistorical[[#This Row],[Nutrition Old]], 1), "")</f>
        <v>-1</v>
      </c>
      <c r="AV419" s="140">
        <f>IFERROR(ROUND((tblPiNHistorical[[#This Row],[Protection New]]-tblPiNHistorical[[#This Row],[Protection Old]])/tblPiNHistorical[[#This Row],[Protection Old]], 1), "")</f>
        <v>-1</v>
      </c>
      <c r="AW419" s="84">
        <f>IFERROR(ROUND((tblPiNHistorical[[#This Row],[CP New]]-tblPiNHistorical[[#This Row],[CP Old ]])/tblPiNHistorical[[#This Row],[CP Old ]], 1), "")</f>
        <v>-1</v>
      </c>
      <c r="AX419" s="84">
        <f>IFERROR(ROUND((tblPiNHistorical[[#This Row],[GBV New]]-tblPiNHistorical[[#This Row],[GBV Old]])/tblPiNHistorical[[#This Row],[GBV Old]], 1), "")</f>
        <v>-1</v>
      </c>
      <c r="AY419" s="84" t="str">
        <f>IFERROR(ROUND((tblPiNHistorical[[#This Row],[Mine Action New]]-tblPiNHistorical[[#This Row],[Mine Action Old]])/tblPiNHistorical[[#This Row],[Mine Action Old]], 1), "")</f>
        <v/>
      </c>
      <c r="AZ419" s="140" t="str">
        <f>IFERROR(ROUND((tblPiNHistorical[[#This Row],[Shelter NFI New]]-tblPiNHistorical[[#This Row],[Shelter NFI Old]])/tblPiNHistorical[[#This Row],[Shelter NFI Old]], 1), "")</f>
        <v/>
      </c>
      <c r="BA419" s="31">
        <f>IFERROR(ROUND((tblPiNHistorical[[#This Row],[WASH New]]-tblPiNHistorical[[#This Row],[WASH Old]])/tblPiNHistorical[[#This Row],[WASH Old]], 1), "")</f>
        <v>-1</v>
      </c>
    </row>
    <row r="420" spans="1:53" ht="38.25" x14ac:dyDescent="0.25">
      <c r="A420"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Host CommunitySD12075</v>
      </c>
      <c r="B420" s="134" t="s">
        <v>158</v>
      </c>
      <c r="C420" s="124" t="s">
        <v>129</v>
      </c>
      <c r="D420" s="124" t="s">
        <v>448</v>
      </c>
      <c r="E420" s="59" t="s">
        <v>449</v>
      </c>
      <c r="F420" s="54"/>
      <c r="G420" s="29"/>
      <c r="H420" s="53">
        <v>14593</v>
      </c>
      <c r="I420" s="53" t="s">
        <v>87</v>
      </c>
      <c r="J420" s="34">
        <v>0</v>
      </c>
      <c r="K420" s="116">
        <v>0</v>
      </c>
      <c r="L420" s="114">
        <v>4377.8999999999996</v>
      </c>
      <c r="M420" s="114">
        <v>14593</v>
      </c>
      <c r="N420" s="114">
        <v>1038</v>
      </c>
      <c r="O420" s="114">
        <v>4620</v>
      </c>
      <c r="P420" s="114">
        <v>1605</v>
      </c>
      <c r="Q420" s="114">
        <v>4620</v>
      </c>
      <c r="R420" s="114">
        <v>0</v>
      </c>
      <c r="S420" s="114">
        <v>0</v>
      </c>
      <c r="T420" s="196">
        <v>10714.1806</v>
      </c>
      <c r="U420" s="52">
        <f>IFERROR(INDEX(tblPiNAnalysis[[Site Management ]], MATCH(tblPiNHistorical[[#This Row],[ID]], tblPiNAnalysis[ID], 0)), "")</f>
        <v>0</v>
      </c>
      <c r="V420" s="52">
        <f>IFERROR(INDEX(tblPiNAnalysis[Education], MATCH(tblPiNHistorical[[#This Row],[ID]], tblPiNAnalysis[ID], 0)), "")</f>
        <v>0</v>
      </c>
      <c r="W420" s="28">
        <f>IFERROR(INDEX(tblPiNAnalysis[Food Security and Livlihoods], MATCH(tblPiNHistorical[[#This Row],[ID]], tblPiNAnalysis[ID], 0)), "")</f>
        <v>0</v>
      </c>
      <c r="X420" s="28">
        <f>IFERROR(INDEX(tblPiNAnalysis[[Health ]], MATCH(tblPiNHistorical[[#This Row],[ID]], tblPiNAnalysis[ID], 0)), "")</f>
        <v>0</v>
      </c>
      <c r="Y420" s="28">
        <f>IFERROR(INDEX(tblPiNAnalysis[Nutrition], MATCH(tblPiNHistorical[[#This Row],[ID]], tblPiNAnalysis[ID], 0)), "")</f>
        <v>0</v>
      </c>
      <c r="Z420" s="28">
        <f>IFERROR(INDEX(tblPiNAnalysis[Protection], MATCH(tblPiNHistorical[[#This Row],[ID]], tblPiNAnalysis[ID], 0)), "")</f>
        <v>0</v>
      </c>
      <c r="AA420" s="28">
        <f>IFERROR(INDEX(tblPiNAnalysis[CP], MATCH(tblPiNHistorical[[#This Row],[ID]], tblPiNAnalysis[ID], 0)), "")</f>
        <v>0</v>
      </c>
      <c r="AB420" s="83">
        <f>IFERROR(INDEX(tblPiNAnalysis[GBV], MATCH(tblPiNHistorical[[#This Row],[ID]], tblPiNAnalysis[ID], 0)), "")</f>
        <v>0</v>
      </c>
      <c r="AC420" s="28">
        <f>IFERROR(INDEX(tblPiNAnalysis[Mine Action], MATCH(tblPiNHistorical[[#This Row],[ID]], tblPiNAnalysis[ID], 0)), "")</f>
        <v>0</v>
      </c>
      <c r="AD420" s="83">
        <f>IFERROR(INDEX(tblPiNAnalysis[[Shelter NFI ]], MATCH(tblPiNHistorical[[#This Row],[ID]], tblPiNAnalysis[ID], 0)), "")</f>
        <v>4397</v>
      </c>
      <c r="AE420" s="28">
        <f>IFERROR(INDEX(tblPiNAnalysis[WASH], MATCH(tblPiNHistorical[[#This Row],[ID]], tblPiNAnalysis[ID], 0)), "")</f>
        <v>0</v>
      </c>
      <c r="AF420"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420" s="136" t="str">
        <f>IF(OR(tblPiNHistorical[[#This Row],[Education Old]]="", tblPiNHistorical[[#This Row],[Education Old]]=0, tblPiNHistorical[[#This Row],[Education New]]="", tblPiNHistorical[[#This Row],[Education New]]=0), "", tblPiNHistorical[[#This Row],[Education New]]-tblPiNHistorical[[#This Row],[Education Old]])</f>
        <v/>
      </c>
      <c r="AH420"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420" s="137" t="str">
        <f>IF(OR(tblPiNHistorical[[#This Row],[Health Old]]="", tblPiNHistorical[[#This Row],[Health Old]]=0, tblPiNHistorical[[#This Row],[Health New]]="", tblPiNHistorical[[#This Row],[Health New]]=0), "", tblPiNHistorical[[#This Row],[Health New]]-tblPiNHistorical[[#This Row],[Health Old]])</f>
        <v/>
      </c>
      <c r="AJ420" s="136" t="str">
        <f>IF(OR(tblPiNHistorical[[#This Row],[Nutrition Old]]="", tblPiNHistorical[[#This Row],[Nutrition Old]]=0, tblPiNHistorical[[#This Row],[Nutrition New]]="", tblPiNHistorical[[#This Row],[Nutrition New]]=0), "", tblPiNHistorical[[#This Row],[Nutrition New]]-tblPiNHistorical[[#This Row],[Nutrition Old]])</f>
        <v/>
      </c>
      <c r="AK420" s="136" t="str">
        <f>IF(OR(tblPiNHistorical[[#This Row],[Protection Old]]="", tblPiNHistorical[[#This Row],[Protection Old]]=0, tblPiNHistorical[[#This Row],[Protection New]]="", tblPiNHistorical[[#This Row],[Protection New]]=0), "", tblPiNHistorical[[#This Row],[Protection New]]-tblPiNHistorical[[#This Row],[Protection Old]])</f>
        <v/>
      </c>
      <c r="AL420" s="136" t="str">
        <f>IF(OR(tblPiNHistorical[[#This Row],[CP Old ]]="", tblPiNHistorical[[#This Row],[CP Old ]]=0, tblPiNHistorical[[#This Row],[CP New]]="", tblPiNHistorical[[#This Row],[CP New]]=0), "", tblPiNHistorical[[#This Row],[CP New]]-tblPiNHistorical[[#This Row],[CP Old ]])</f>
        <v/>
      </c>
      <c r="AM420" s="83" t="str">
        <f>IF(OR(tblPiNHistorical[[#This Row],[GBV Old]]="", tblPiNHistorical[[#This Row],[GBV Old]]=0, tblPiNHistorical[[#This Row],[GBV New]]="", tblPiNHistorical[[#This Row],[GBV New]]=0), "", tblPiNHistorical[[#This Row],[GBV New]]-tblPiNHistorical[[#This Row],[GBV Old]])</f>
        <v/>
      </c>
      <c r="AN420" s="83" t="str">
        <f>IF(OR(tblPiNHistorical[[#This Row],[Mine Action Old]]="", tblPiNHistorical[[#This Row],[Mine Action Old]]=0, tblPiNHistorical[[#This Row],[Mine Action New]]="", tblPiNHistorical[[#This Row],[Mine Action New]]=0), "", tblPiNHistorical[[#This Row],[Mine Action New]]-tblPiNHistorical[[#This Row],[Mine Action Old]])</f>
        <v/>
      </c>
      <c r="AO420" s="136" t="str">
        <f>IF(OR(tblPiNHistorical[[#This Row],[Shelter NFI Old]]="", tblPiNHistorical[[#This Row],[Shelter NFI Old]]=0, tblPiNHistorical[[#This Row],[Shelter NFI New]]="", tblPiNHistorical[[#This Row],[Shelter NFI New]]=0), "", tblPiNHistorical[[#This Row],[Shelter NFI New]]-tblPiNHistorical[[#This Row],[Shelter NFI Old]])</f>
        <v/>
      </c>
      <c r="AP420" s="138" t="str">
        <f>IF(OR(tblPiNHistorical[[#This Row],[WASH Old]]="", tblPiNHistorical[[#This Row],[WASH Old]]=0, tblPiNHistorical[[#This Row],[WASH New]]="", tblPiNHistorical[[#This Row],[WASH New]]=0), "", tblPiNHistorical[[#This Row],[WASH New]]-tblPiNHistorical[[#This Row],[WASH Old]])</f>
        <v/>
      </c>
      <c r="AQ420" s="139" t="str">
        <f>IFERROR(ROUND((tblPiNHistorical[[#This Row],[Site Management - New]] - tblPiNHistorical[[#This Row],[Site Management - Old]])/tblPiNHistorical[[#This Row],[Site Management - Old]], 1), "")</f>
        <v/>
      </c>
      <c r="AR420" s="140" t="str">
        <f>IFERROR(ROUND((tblPiNHistorical[[#This Row],[Education New]]-tblPiNHistorical[[#This Row],[Education Old]])/tblPiNHistorical[[#This Row],[Education Old]], 1), "")</f>
        <v/>
      </c>
      <c r="AS420" s="141">
        <f>IFERROR(ROUND((tblPiNHistorical[[#This Row],[Food Security and Livlihoods New]]-tblPiNHistorical[[#This Row],[Food Security and Livlihoods Old]])/tblPiNHistorical[[#This Row],[Food Security and Livlihoods Old]], 1), "")</f>
        <v>-1</v>
      </c>
      <c r="AT420" s="142">
        <f>IFERROR(ROUND((tblPiNHistorical[[#This Row],[Health New]]-tblPiNHistorical[[#This Row],[Health Old]])/tblPiNHistorical[[#This Row],[Health Old]], 1), "")</f>
        <v>-1</v>
      </c>
      <c r="AU420" s="140">
        <f>IFERROR(ROUND((tblPiNHistorical[[#This Row],[Nutrition New]]-tblPiNHistorical[[#This Row],[Nutrition Old]])/tblPiNHistorical[[#This Row],[Nutrition Old]], 1), "")</f>
        <v>-1</v>
      </c>
      <c r="AV420" s="140">
        <f>IFERROR(ROUND((tblPiNHistorical[[#This Row],[Protection New]]-tblPiNHistorical[[#This Row],[Protection Old]])/tblPiNHistorical[[#This Row],[Protection Old]], 1), "")</f>
        <v>-1</v>
      </c>
      <c r="AW420" s="84">
        <f>IFERROR(ROUND((tblPiNHistorical[[#This Row],[CP New]]-tblPiNHistorical[[#This Row],[CP Old ]])/tblPiNHistorical[[#This Row],[CP Old ]], 1), "")</f>
        <v>-1</v>
      </c>
      <c r="AX420" s="84">
        <f>IFERROR(ROUND((tblPiNHistorical[[#This Row],[GBV New]]-tblPiNHistorical[[#This Row],[GBV Old]])/tblPiNHistorical[[#This Row],[GBV Old]], 1), "")</f>
        <v>-1</v>
      </c>
      <c r="AY420" s="84" t="str">
        <f>IFERROR(ROUND((tblPiNHistorical[[#This Row],[Mine Action New]]-tblPiNHistorical[[#This Row],[Mine Action Old]])/tblPiNHistorical[[#This Row],[Mine Action Old]], 1), "")</f>
        <v/>
      </c>
      <c r="AZ420" s="140" t="str">
        <f>IFERROR(ROUND((tblPiNHistorical[[#This Row],[Shelter NFI New]]-tblPiNHistorical[[#This Row],[Shelter NFI Old]])/tblPiNHistorical[[#This Row],[Shelter NFI Old]], 1), "")</f>
        <v/>
      </c>
      <c r="BA420" s="31">
        <f>IFERROR(ROUND((tblPiNHistorical[[#This Row],[WASH New]]-tblPiNHistorical[[#This Row],[WASH Old]])/tblPiNHistorical[[#This Row],[WASH Old]], 1), "")</f>
        <v>-1</v>
      </c>
    </row>
    <row r="421" spans="1:53" ht="42.75" x14ac:dyDescent="0.25">
      <c r="A421"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Host CommunitySD12078</v>
      </c>
      <c r="B421" s="134" t="s">
        <v>158</v>
      </c>
      <c r="C421" s="124" t="s">
        <v>129</v>
      </c>
      <c r="D421" s="124" t="s">
        <v>454</v>
      </c>
      <c r="E421" s="59" t="s">
        <v>455</v>
      </c>
      <c r="F421" s="54"/>
      <c r="G421" s="29"/>
      <c r="H421" s="53">
        <v>8355</v>
      </c>
      <c r="I421" s="53" t="s">
        <v>87</v>
      </c>
      <c r="J421" s="34">
        <v>0</v>
      </c>
      <c r="K421" s="116">
        <v>3239.2334999999998</v>
      </c>
      <c r="L421" s="114">
        <v>8355</v>
      </c>
      <c r="M421" s="114">
        <v>8355</v>
      </c>
      <c r="N421" s="114">
        <v>949</v>
      </c>
      <c r="O421" s="114">
        <v>2204</v>
      </c>
      <c r="P421" s="114">
        <v>919</v>
      </c>
      <c r="Q421" s="114">
        <v>2204</v>
      </c>
      <c r="R421" s="114">
        <v>0</v>
      </c>
      <c r="S421" s="114">
        <v>0</v>
      </c>
      <c r="T421" s="196">
        <v>8035.8389999999999</v>
      </c>
      <c r="U421" s="52">
        <f>IFERROR(INDEX(tblPiNAnalysis[[Site Management ]], MATCH(tblPiNHistorical[[#This Row],[ID]], tblPiNAnalysis[ID], 0)), "")</f>
        <v>0</v>
      </c>
      <c r="V421" s="52">
        <f>IFERROR(INDEX(tblPiNAnalysis[Education], MATCH(tblPiNHistorical[[#This Row],[ID]], tblPiNAnalysis[ID], 0)), "")</f>
        <v>0</v>
      </c>
      <c r="W421" s="28">
        <f>IFERROR(INDEX(tblPiNAnalysis[Food Security and Livlihoods], MATCH(tblPiNHistorical[[#This Row],[ID]], tblPiNAnalysis[ID], 0)), "")</f>
        <v>0</v>
      </c>
      <c r="X421" s="28">
        <f>IFERROR(INDEX(tblPiNAnalysis[[Health ]], MATCH(tblPiNHistorical[[#This Row],[ID]], tblPiNAnalysis[ID], 0)), "")</f>
        <v>0</v>
      </c>
      <c r="Y421" s="28">
        <f>IFERROR(INDEX(tblPiNAnalysis[Nutrition], MATCH(tblPiNHistorical[[#This Row],[ID]], tblPiNAnalysis[ID], 0)), "")</f>
        <v>0</v>
      </c>
      <c r="Z421" s="28">
        <f>IFERROR(INDEX(tblPiNAnalysis[Protection], MATCH(tblPiNHistorical[[#This Row],[ID]], tblPiNAnalysis[ID], 0)), "")</f>
        <v>0</v>
      </c>
      <c r="AA421" s="28">
        <f>IFERROR(INDEX(tblPiNAnalysis[CP], MATCH(tblPiNHistorical[[#This Row],[ID]], tblPiNAnalysis[ID], 0)), "")</f>
        <v>0</v>
      </c>
      <c r="AB421" s="83">
        <f>IFERROR(INDEX(tblPiNAnalysis[GBV], MATCH(tblPiNHistorical[[#This Row],[ID]], tblPiNAnalysis[ID], 0)), "")</f>
        <v>0</v>
      </c>
      <c r="AC421" s="28">
        <f>IFERROR(INDEX(tblPiNAnalysis[Mine Action], MATCH(tblPiNHistorical[[#This Row],[ID]], tblPiNAnalysis[ID], 0)), "")</f>
        <v>0</v>
      </c>
      <c r="AD421" s="83">
        <f>IFERROR(INDEX(tblPiNAnalysis[[Shelter NFI ]], MATCH(tblPiNHistorical[[#This Row],[ID]], tblPiNAnalysis[ID], 0)), "")</f>
        <v>4088</v>
      </c>
      <c r="AE421" s="28">
        <f>IFERROR(INDEX(tblPiNAnalysis[WASH], MATCH(tblPiNHistorical[[#This Row],[ID]], tblPiNAnalysis[ID], 0)), "")</f>
        <v>0</v>
      </c>
      <c r="AF421"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421" s="136" t="str">
        <f>IF(OR(tblPiNHistorical[[#This Row],[Education Old]]="", tblPiNHistorical[[#This Row],[Education Old]]=0, tblPiNHistorical[[#This Row],[Education New]]="", tblPiNHistorical[[#This Row],[Education New]]=0), "", tblPiNHistorical[[#This Row],[Education New]]-tblPiNHistorical[[#This Row],[Education Old]])</f>
        <v/>
      </c>
      <c r="AH421"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421" s="137" t="str">
        <f>IF(OR(tblPiNHistorical[[#This Row],[Health Old]]="", tblPiNHistorical[[#This Row],[Health Old]]=0, tblPiNHistorical[[#This Row],[Health New]]="", tblPiNHistorical[[#This Row],[Health New]]=0), "", tblPiNHistorical[[#This Row],[Health New]]-tblPiNHistorical[[#This Row],[Health Old]])</f>
        <v/>
      </c>
      <c r="AJ421" s="136" t="str">
        <f>IF(OR(tblPiNHistorical[[#This Row],[Nutrition Old]]="", tblPiNHistorical[[#This Row],[Nutrition Old]]=0, tblPiNHistorical[[#This Row],[Nutrition New]]="", tblPiNHistorical[[#This Row],[Nutrition New]]=0), "", tblPiNHistorical[[#This Row],[Nutrition New]]-tblPiNHistorical[[#This Row],[Nutrition Old]])</f>
        <v/>
      </c>
      <c r="AK421" s="136" t="str">
        <f>IF(OR(tblPiNHistorical[[#This Row],[Protection Old]]="", tblPiNHistorical[[#This Row],[Protection Old]]=0, tblPiNHistorical[[#This Row],[Protection New]]="", tblPiNHistorical[[#This Row],[Protection New]]=0), "", tblPiNHistorical[[#This Row],[Protection New]]-tblPiNHistorical[[#This Row],[Protection Old]])</f>
        <v/>
      </c>
      <c r="AL421" s="136" t="str">
        <f>IF(OR(tblPiNHistorical[[#This Row],[CP Old ]]="", tblPiNHistorical[[#This Row],[CP Old ]]=0, tblPiNHistorical[[#This Row],[CP New]]="", tblPiNHistorical[[#This Row],[CP New]]=0), "", tblPiNHistorical[[#This Row],[CP New]]-tblPiNHistorical[[#This Row],[CP Old ]])</f>
        <v/>
      </c>
      <c r="AM421" s="83" t="str">
        <f>IF(OR(tblPiNHistorical[[#This Row],[GBV Old]]="", tblPiNHistorical[[#This Row],[GBV Old]]=0, tblPiNHistorical[[#This Row],[GBV New]]="", tblPiNHistorical[[#This Row],[GBV New]]=0), "", tblPiNHistorical[[#This Row],[GBV New]]-tblPiNHistorical[[#This Row],[GBV Old]])</f>
        <v/>
      </c>
      <c r="AN421" s="83" t="str">
        <f>IF(OR(tblPiNHistorical[[#This Row],[Mine Action Old]]="", tblPiNHistorical[[#This Row],[Mine Action Old]]=0, tblPiNHistorical[[#This Row],[Mine Action New]]="", tblPiNHistorical[[#This Row],[Mine Action New]]=0), "", tblPiNHistorical[[#This Row],[Mine Action New]]-tblPiNHistorical[[#This Row],[Mine Action Old]])</f>
        <v/>
      </c>
      <c r="AO421" s="136" t="str">
        <f>IF(OR(tblPiNHistorical[[#This Row],[Shelter NFI Old]]="", tblPiNHistorical[[#This Row],[Shelter NFI Old]]=0, tblPiNHistorical[[#This Row],[Shelter NFI New]]="", tblPiNHistorical[[#This Row],[Shelter NFI New]]=0), "", tblPiNHistorical[[#This Row],[Shelter NFI New]]-tblPiNHistorical[[#This Row],[Shelter NFI Old]])</f>
        <v/>
      </c>
      <c r="AP421" s="138" t="str">
        <f>IF(OR(tblPiNHistorical[[#This Row],[WASH Old]]="", tblPiNHistorical[[#This Row],[WASH Old]]=0, tblPiNHistorical[[#This Row],[WASH New]]="", tblPiNHistorical[[#This Row],[WASH New]]=0), "", tblPiNHistorical[[#This Row],[WASH New]]-tblPiNHistorical[[#This Row],[WASH Old]])</f>
        <v/>
      </c>
      <c r="AQ421" s="139" t="str">
        <f>IFERROR(ROUND((tblPiNHistorical[[#This Row],[Site Management - New]] - tblPiNHistorical[[#This Row],[Site Management - Old]])/tblPiNHistorical[[#This Row],[Site Management - Old]], 1), "")</f>
        <v/>
      </c>
      <c r="AR421" s="140">
        <f>IFERROR(ROUND((tblPiNHistorical[[#This Row],[Education New]]-tblPiNHistorical[[#This Row],[Education Old]])/tblPiNHistorical[[#This Row],[Education Old]], 1), "")</f>
        <v>-1</v>
      </c>
      <c r="AS421" s="141">
        <f>IFERROR(ROUND((tblPiNHistorical[[#This Row],[Food Security and Livlihoods New]]-tblPiNHistorical[[#This Row],[Food Security and Livlihoods Old]])/tblPiNHistorical[[#This Row],[Food Security and Livlihoods Old]], 1), "")</f>
        <v>-1</v>
      </c>
      <c r="AT421" s="142">
        <f>IFERROR(ROUND((tblPiNHistorical[[#This Row],[Health New]]-tblPiNHistorical[[#This Row],[Health Old]])/tblPiNHistorical[[#This Row],[Health Old]], 1), "")</f>
        <v>-1</v>
      </c>
      <c r="AU421" s="140">
        <f>IFERROR(ROUND((tblPiNHistorical[[#This Row],[Nutrition New]]-tblPiNHistorical[[#This Row],[Nutrition Old]])/tblPiNHistorical[[#This Row],[Nutrition Old]], 1), "")</f>
        <v>-1</v>
      </c>
      <c r="AV421" s="140">
        <f>IFERROR(ROUND((tblPiNHistorical[[#This Row],[Protection New]]-tblPiNHistorical[[#This Row],[Protection Old]])/tblPiNHistorical[[#This Row],[Protection Old]], 1), "")</f>
        <v>-1</v>
      </c>
      <c r="AW421" s="84">
        <f>IFERROR(ROUND((tblPiNHistorical[[#This Row],[CP New]]-tblPiNHistorical[[#This Row],[CP Old ]])/tblPiNHistorical[[#This Row],[CP Old ]], 1), "")</f>
        <v>-1</v>
      </c>
      <c r="AX421" s="84">
        <f>IFERROR(ROUND((tblPiNHistorical[[#This Row],[GBV New]]-tblPiNHistorical[[#This Row],[GBV Old]])/tblPiNHistorical[[#This Row],[GBV Old]], 1), "")</f>
        <v>-1</v>
      </c>
      <c r="AY421" s="84" t="str">
        <f>IFERROR(ROUND((tblPiNHistorical[[#This Row],[Mine Action New]]-tblPiNHistorical[[#This Row],[Mine Action Old]])/tblPiNHistorical[[#This Row],[Mine Action Old]], 1), "")</f>
        <v/>
      </c>
      <c r="AZ421" s="140" t="str">
        <f>IFERROR(ROUND((tblPiNHistorical[[#This Row],[Shelter NFI New]]-tblPiNHistorical[[#This Row],[Shelter NFI Old]])/tblPiNHistorical[[#This Row],[Shelter NFI Old]], 1), "")</f>
        <v/>
      </c>
      <c r="BA421" s="31">
        <f>IFERROR(ROUND((tblPiNHistorical[[#This Row],[WASH New]]-tblPiNHistorical[[#This Row],[WASH Old]])/tblPiNHistorical[[#This Row],[WASH Old]], 1), "")</f>
        <v>-1</v>
      </c>
    </row>
    <row r="422" spans="1:53" ht="38.25" x14ac:dyDescent="0.25">
      <c r="A422"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Host CommunitySD12082</v>
      </c>
      <c r="B422" s="134" t="s">
        <v>158</v>
      </c>
      <c r="C422" s="124" t="s">
        <v>129</v>
      </c>
      <c r="D422" s="124" t="s">
        <v>462</v>
      </c>
      <c r="E422" s="59" t="s">
        <v>463</v>
      </c>
      <c r="F422" s="54"/>
      <c r="G422" s="29"/>
      <c r="H422" s="53">
        <v>41607</v>
      </c>
      <c r="I422" s="53" t="s">
        <v>87</v>
      </c>
      <c r="J422" s="34">
        <v>0</v>
      </c>
      <c r="K422" s="116">
        <v>16131.0339</v>
      </c>
      <c r="L422" s="114">
        <v>41607</v>
      </c>
      <c r="M422" s="114">
        <v>41607</v>
      </c>
      <c r="N422" s="114">
        <v>2211</v>
      </c>
      <c r="O422" s="114">
        <v>13175</v>
      </c>
      <c r="P422" s="114">
        <v>4577</v>
      </c>
      <c r="Q422" s="114">
        <v>13175</v>
      </c>
      <c r="R422" s="114">
        <v>0</v>
      </c>
      <c r="S422" s="114">
        <v>8321</v>
      </c>
      <c r="T422" s="196">
        <v>36705.695399999997</v>
      </c>
      <c r="U422" s="52">
        <f>IFERROR(INDEX(tblPiNAnalysis[[Site Management ]], MATCH(tblPiNHistorical[[#This Row],[ID]], tblPiNAnalysis[ID], 0)), "")</f>
        <v>0</v>
      </c>
      <c r="V422" s="52">
        <f>IFERROR(INDEX(tblPiNAnalysis[Education], MATCH(tblPiNHistorical[[#This Row],[ID]], tblPiNAnalysis[ID], 0)), "")</f>
        <v>0</v>
      </c>
      <c r="W422" s="28">
        <f>IFERROR(INDEX(tblPiNAnalysis[Food Security and Livlihoods], MATCH(tblPiNHistorical[[#This Row],[ID]], tblPiNAnalysis[ID], 0)), "")</f>
        <v>0</v>
      </c>
      <c r="X422" s="28">
        <f>IFERROR(INDEX(tblPiNAnalysis[[Health ]], MATCH(tblPiNHistorical[[#This Row],[ID]], tblPiNAnalysis[ID], 0)), "")</f>
        <v>0</v>
      </c>
      <c r="Y422" s="28">
        <f>IFERROR(INDEX(tblPiNAnalysis[Nutrition], MATCH(tblPiNHistorical[[#This Row],[ID]], tblPiNAnalysis[ID], 0)), "")</f>
        <v>0</v>
      </c>
      <c r="Z422" s="28">
        <f>IFERROR(INDEX(tblPiNAnalysis[Protection], MATCH(tblPiNHistorical[[#This Row],[ID]], tblPiNAnalysis[ID], 0)), "")</f>
        <v>0</v>
      </c>
      <c r="AA422" s="28">
        <f>IFERROR(INDEX(tblPiNAnalysis[CP], MATCH(tblPiNHistorical[[#This Row],[ID]], tblPiNAnalysis[ID], 0)), "")</f>
        <v>0</v>
      </c>
      <c r="AB422" s="83">
        <f>IFERROR(INDEX(tblPiNAnalysis[GBV], MATCH(tblPiNHistorical[[#This Row],[ID]], tblPiNAnalysis[ID], 0)), "")</f>
        <v>0</v>
      </c>
      <c r="AC422" s="28">
        <f>IFERROR(INDEX(tblPiNAnalysis[Mine Action], MATCH(tblPiNHistorical[[#This Row],[ID]], tblPiNAnalysis[ID], 0)), "")</f>
        <v>0</v>
      </c>
      <c r="AD422" s="83">
        <f>IFERROR(INDEX(tblPiNAnalysis[[Shelter NFI ]], MATCH(tblPiNHistorical[[#This Row],[ID]], tblPiNAnalysis[ID], 0)), "")</f>
        <v>39139</v>
      </c>
      <c r="AE422" s="28">
        <f>IFERROR(INDEX(tblPiNAnalysis[WASH], MATCH(tblPiNHistorical[[#This Row],[ID]], tblPiNAnalysis[ID], 0)), "")</f>
        <v>0</v>
      </c>
      <c r="AF422"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422" s="136" t="str">
        <f>IF(OR(tblPiNHistorical[[#This Row],[Education Old]]="", tblPiNHistorical[[#This Row],[Education Old]]=0, tblPiNHistorical[[#This Row],[Education New]]="", tblPiNHistorical[[#This Row],[Education New]]=0), "", tblPiNHistorical[[#This Row],[Education New]]-tblPiNHistorical[[#This Row],[Education Old]])</f>
        <v/>
      </c>
      <c r="AH422"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422" s="137" t="str">
        <f>IF(OR(tblPiNHistorical[[#This Row],[Health Old]]="", tblPiNHistorical[[#This Row],[Health Old]]=0, tblPiNHistorical[[#This Row],[Health New]]="", tblPiNHistorical[[#This Row],[Health New]]=0), "", tblPiNHistorical[[#This Row],[Health New]]-tblPiNHistorical[[#This Row],[Health Old]])</f>
        <v/>
      </c>
      <c r="AJ422" s="136" t="str">
        <f>IF(OR(tblPiNHistorical[[#This Row],[Nutrition Old]]="", tblPiNHistorical[[#This Row],[Nutrition Old]]=0, tblPiNHistorical[[#This Row],[Nutrition New]]="", tblPiNHistorical[[#This Row],[Nutrition New]]=0), "", tblPiNHistorical[[#This Row],[Nutrition New]]-tblPiNHistorical[[#This Row],[Nutrition Old]])</f>
        <v/>
      </c>
      <c r="AK422" s="136" t="str">
        <f>IF(OR(tblPiNHistorical[[#This Row],[Protection Old]]="", tblPiNHistorical[[#This Row],[Protection Old]]=0, tblPiNHistorical[[#This Row],[Protection New]]="", tblPiNHistorical[[#This Row],[Protection New]]=0), "", tblPiNHistorical[[#This Row],[Protection New]]-tblPiNHistorical[[#This Row],[Protection Old]])</f>
        <v/>
      </c>
      <c r="AL422" s="136" t="str">
        <f>IF(OR(tblPiNHistorical[[#This Row],[CP Old ]]="", tblPiNHistorical[[#This Row],[CP Old ]]=0, tblPiNHistorical[[#This Row],[CP New]]="", tblPiNHistorical[[#This Row],[CP New]]=0), "", tblPiNHistorical[[#This Row],[CP New]]-tblPiNHistorical[[#This Row],[CP Old ]])</f>
        <v/>
      </c>
      <c r="AM422" s="83" t="str">
        <f>IF(OR(tblPiNHistorical[[#This Row],[GBV Old]]="", tblPiNHistorical[[#This Row],[GBV Old]]=0, tblPiNHistorical[[#This Row],[GBV New]]="", tblPiNHistorical[[#This Row],[GBV New]]=0), "", tblPiNHistorical[[#This Row],[GBV New]]-tblPiNHistorical[[#This Row],[GBV Old]])</f>
        <v/>
      </c>
      <c r="AN422" s="83" t="str">
        <f>IF(OR(tblPiNHistorical[[#This Row],[Mine Action Old]]="", tblPiNHistorical[[#This Row],[Mine Action Old]]=0, tblPiNHistorical[[#This Row],[Mine Action New]]="", tblPiNHistorical[[#This Row],[Mine Action New]]=0), "", tblPiNHistorical[[#This Row],[Mine Action New]]-tblPiNHistorical[[#This Row],[Mine Action Old]])</f>
        <v/>
      </c>
      <c r="AO422" s="136">
        <f>IF(OR(tblPiNHistorical[[#This Row],[Shelter NFI Old]]="", tblPiNHistorical[[#This Row],[Shelter NFI Old]]=0, tblPiNHistorical[[#This Row],[Shelter NFI New]]="", tblPiNHistorical[[#This Row],[Shelter NFI New]]=0), "", tblPiNHistorical[[#This Row],[Shelter NFI New]]-tblPiNHistorical[[#This Row],[Shelter NFI Old]])</f>
        <v>30818</v>
      </c>
      <c r="AP422" s="138" t="str">
        <f>IF(OR(tblPiNHistorical[[#This Row],[WASH Old]]="", tblPiNHistorical[[#This Row],[WASH Old]]=0, tblPiNHistorical[[#This Row],[WASH New]]="", tblPiNHistorical[[#This Row],[WASH New]]=0), "", tblPiNHistorical[[#This Row],[WASH New]]-tblPiNHistorical[[#This Row],[WASH Old]])</f>
        <v/>
      </c>
      <c r="AQ422" s="139" t="str">
        <f>IFERROR(ROUND((tblPiNHistorical[[#This Row],[Site Management - New]] - tblPiNHistorical[[#This Row],[Site Management - Old]])/tblPiNHistorical[[#This Row],[Site Management - Old]], 1), "")</f>
        <v/>
      </c>
      <c r="AR422" s="140">
        <f>IFERROR(ROUND((tblPiNHistorical[[#This Row],[Education New]]-tblPiNHistorical[[#This Row],[Education Old]])/tblPiNHistorical[[#This Row],[Education Old]], 1), "")</f>
        <v>-1</v>
      </c>
      <c r="AS422" s="141">
        <f>IFERROR(ROUND((tblPiNHistorical[[#This Row],[Food Security and Livlihoods New]]-tblPiNHistorical[[#This Row],[Food Security and Livlihoods Old]])/tblPiNHistorical[[#This Row],[Food Security and Livlihoods Old]], 1), "")</f>
        <v>-1</v>
      </c>
      <c r="AT422" s="142">
        <f>IFERROR(ROUND((tblPiNHistorical[[#This Row],[Health New]]-tblPiNHistorical[[#This Row],[Health Old]])/tblPiNHistorical[[#This Row],[Health Old]], 1), "")</f>
        <v>-1</v>
      </c>
      <c r="AU422" s="140">
        <f>IFERROR(ROUND((tblPiNHistorical[[#This Row],[Nutrition New]]-tblPiNHistorical[[#This Row],[Nutrition Old]])/tblPiNHistorical[[#This Row],[Nutrition Old]], 1), "")</f>
        <v>-1</v>
      </c>
      <c r="AV422" s="140">
        <f>IFERROR(ROUND((tblPiNHistorical[[#This Row],[Protection New]]-tblPiNHistorical[[#This Row],[Protection Old]])/tblPiNHistorical[[#This Row],[Protection Old]], 1), "")</f>
        <v>-1</v>
      </c>
      <c r="AW422" s="84">
        <f>IFERROR(ROUND((tblPiNHistorical[[#This Row],[CP New]]-tblPiNHistorical[[#This Row],[CP Old ]])/tblPiNHistorical[[#This Row],[CP Old ]], 1), "")</f>
        <v>-1</v>
      </c>
      <c r="AX422" s="84">
        <f>IFERROR(ROUND((tblPiNHistorical[[#This Row],[GBV New]]-tblPiNHistorical[[#This Row],[GBV Old]])/tblPiNHistorical[[#This Row],[GBV Old]], 1), "")</f>
        <v>-1</v>
      </c>
      <c r="AY422" s="84" t="str">
        <f>IFERROR(ROUND((tblPiNHistorical[[#This Row],[Mine Action New]]-tblPiNHistorical[[#This Row],[Mine Action Old]])/tblPiNHistorical[[#This Row],[Mine Action Old]], 1), "")</f>
        <v/>
      </c>
      <c r="AZ422" s="140">
        <f>IFERROR(ROUND((tblPiNHistorical[[#This Row],[Shelter NFI New]]-tblPiNHistorical[[#This Row],[Shelter NFI Old]])/tblPiNHistorical[[#This Row],[Shelter NFI Old]], 1), "")</f>
        <v>3.7</v>
      </c>
      <c r="BA422" s="31">
        <f>IFERROR(ROUND((tblPiNHistorical[[#This Row],[WASH New]]-tblPiNHistorical[[#This Row],[WASH Old]])/tblPiNHistorical[[#This Row],[WASH Old]], 1), "")</f>
        <v>-1</v>
      </c>
    </row>
    <row r="423" spans="1:53" ht="38.25" x14ac:dyDescent="0.25">
      <c r="A423"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Host CommunitySD12076</v>
      </c>
      <c r="B423" s="134" t="s">
        <v>158</v>
      </c>
      <c r="C423" s="124" t="s">
        <v>129</v>
      </c>
      <c r="D423" s="124" t="s">
        <v>450</v>
      </c>
      <c r="E423" s="59" t="s">
        <v>451</v>
      </c>
      <c r="F423" s="54"/>
      <c r="G423" s="29"/>
      <c r="H423" s="53">
        <v>18745</v>
      </c>
      <c r="I423" s="53" t="s">
        <v>87</v>
      </c>
      <c r="J423" s="34">
        <v>0</v>
      </c>
      <c r="K423" s="116">
        <v>7267.4364999999998</v>
      </c>
      <c r="L423" s="114">
        <v>18745</v>
      </c>
      <c r="M423" s="114">
        <v>18745</v>
      </c>
      <c r="N423" s="114">
        <v>950</v>
      </c>
      <c r="O423" s="114">
        <v>5935</v>
      </c>
      <c r="P423" s="114">
        <v>2062</v>
      </c>
      <c r="Q423" s="114">
        <v>5935</v>
      </c>
      <c r="R423" s="114">
        <v>0</v>
      </c>
      <c r="S423" s="114">
        <v>3749</v>
      </c>
      <c r="T423" s="196">
        <v>13509.521499999999</v>
      </c>
      <c r="U423" s="52">
        <f>IFERROR(INDEX(tblPiNAnalysis[[Site Management ]], MATCH(tblPiNHistorical[[#This Row],[ID]], tblPiNAnalysis[ID], 0)), "")</f>
        <v>0</v>
      </c>
      <c r="V423" s="52">
        <f>IFERROR(INDEX(tblPiNAnalysis[Education], MATCH(tblPiNHistorical[[#This Row],[ID]], tblPiNAnalysis[ID], 0)), "")</f>
        <v>0</v>
      </c>
      <c r="W423" s="28">
        <f>IFERROR(INDEX(tblPiNAnalysis[Food Security and Livlihoods], MATCH(tblPiNHistorical[[#This Row],[ID]], tblPiNAnalysis[ID], 0)), "")</f>
        <v>0</v>
      </c>
      <c r="X423" s="28">
        <f>IFERROR(INDEX(tblPiNAnalysis[[Health ]], MATCH(tblPiNHistorical[[#This Row],[ID]], tblPiNAnalysis[ID], 0)), "")</f>
        <v>0</v>
      </c>
      <c r="Y423" s="28">
        <f>IFERROR(INDEX(tblPiNAnalysis[Nutrition], MATCH(tblPiNHistorical[[#This Row],[ID]], tblPiNAnalysis[ID], 0)), "")</f>
        <v>0</v>
      </c>
      <c r="Z423" s="28">
        <f>IFERROR(INDEX(tblPiNAnalysis[Protection], MATCH(tblPiNHistorical[[#This Row],[ID]], tblPiNAnalysis[ID], 0)), "")</f>
        <v>0</v>
      </c>
      <c r="AA423" s="28">
        <f>IFERROR(INDEX(tblPiNAnalysis[CP], MATCH(tblPiNHistorical[[#This Row],[ID]], tblPiNAnalysis[ID], 0)), "")</f>
        <v>0</v>
      </c>
      <c r="AB423" s="83">
        <f>IFERROR(INDEX(tblPiNAnalysis[GBV], MATCH(tblPiNHistorical[[#This Row],[ID]], tblPiNAnalysis[ID], 0)), "")</f>
        <v>0</v>
      </c>
      <c r="AC423" s="28">
        <f>IFERROR(INDEX(tblPiNAnalysis[Mine Action], MATCH(tblPiNHistorical[[#This Row],[ID]], tblPiNAnalysis[ID], 0)), "")</f>
        <v>0</v>
      </c>
      <c r="AD423" s="83">
        <f>IFERROR(INDEX(tblPiNAnalysis[[Shelter NFI ]], MATCH(tblPiNHistorical[[#This Row],[ID]], tblPiNAnalysis[ID], 0)), "")</f>
        <v>2069</v>
      </c>
      <c r="AE423" s="28">
        <f>IFERROR(INDEX(tblPiNAnalysis[WASH], MATCH(tblPiNHistorical[[#This Row],[ID]], tblPiNAnalysis[ID], 0)), "")</f>
        <v>0</v>
      </c>
      <c r="AF423"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423" s="136" t="str">
        <f>IF(OR(tblPiNHistorical[[#This Row],[Education Old]]="", tblPiNHistorical[[#This Row],[Education Old]]=0, tblPiNHistorical[[#This Row],[Education New]]="", tblPiNHistorical[[#This Row],[Education New]]=0), "", tblPiNHistorical[[#This Row],[Education New]]-tblPiNHistorical[[#This Row],[Education Old]])</f>
        <v/>
      </c>
      <c r="AH423"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423" s="137" t="str">
        <f>IF(OR(tblPiNHistorical[[#This Row],[Health Old]]="", tblPiNHistorical[[#This Row],[Health Old]]=0, tblPiNHistorical[[#This Row],[Health New]]="", tblPiNHistorical[[#This Row],[Health New]]=0), "", tblPiNHistorical[[#This Row],[Health New]]-tblPiNHistorical[[#This Row],[Health Old]])</f>
        <v/>
      </c>
      <c r="AJ423" s="136" t="str">
        <f>IF(OR(tblPiNHistorical[[#This Row],[Nutrition Old]]="", tblPiNHistorical[[#This Row],[Nutrition Old]]=0, tblPiNHistorical[[#This Row],[Nutrition New]]="", tblPiNHistorical[[#This Row],[Nutrition New]]=0), "", tblPiNHistorical[[#This Row],[Nutrition New]]-tblPiNHistorical[[#This Row],[Nutrition Old]])</f>
        <v/>
      </c>
      <c r="AK423" s="136" t="str">
        <f>IF(OR(tblPiNHistorical[[#This Row],[Protection Old]]="", tblPiNHistorical[[#This Row],[Protection Old]]=0, tblPiNHistorical[[#This Row],[Protection New]]="", tblPiNHistorical[[#This Row],[Protection New]]=0), "", tblPiNHistorical[[#This Row],[Protection New]]-tblPiNHistorical[[#This Row],[Protection Old]])</f>
        <v/>
      </c>
      <c r="AL423" s="136" t="str">
        <f>IF(OR(tblPiNHistorical[[#This Row],[CP Old ]]="", tblPiNHistorical[[#This Row],[CP Old ]]=0, tblPiNHistorical[[#This Row],[CP New]]="", tblPiNHistorical[[#This Row],[CP New]]=0), "", tblPiNHistorical[[#This Row],[CP New]]-tblPiNHistorical[[#This Row],[CP Old ]])</f>
        <v/>
      </c>
      <c r="AM423" s="83" t="str">
        <f>IF(OR(tblPiNHistorical[[#This Row],[GBV Old]]="", tblPiNHistorical[[#This Row],[GBV Old]]=0, tblPiNHistorical[[#This Row],[GBV New]]="", tblPiNHistorical[[#This Row],[GBV New]]=0), "", tblPiNHistorical[[#This Row],[GBV New]]-tblPiNHistorical[[#This Row],[GBV Old]])</f>
        <v/>
      </c>
      <c r="AN423" s="83" t="str">
        <f>IF(OR(tblPiNHistorical[[#This Row],[Mine Action Old]]="", tblPiNHistorical[[#This Row],[Mine Action Old]]=0, tblPiNHistorical[[#This Row],[Mine Action New]]="", tblPiNHistorical[[#This Row],[Mine Action New]]=0), "", tblPiNHistorical[[#This Row],[Mine Action New]]-tblPiNHistorical[[#This Row],[Mine Action Old]])</f>
        <v/>
      </c>
      <c r="AO423" s="136">
        <f>IF(OR(tblPiNHistorical[[#This Row],[Shelter NFI Old]]="", tblPiNHistorical[[#This Row],[Shelter NFI Old]]=0, tblPiNHistorical[[#This Row],[Shelter NFI New]]="", tblPiNHistorical[[#This Row],[Shelter NFI New]]=0), "", tblPiNHistorical[[#This Row],[Shelter NFI New]]-tblPiNHistorical[[#This Row],[Shelter NFI Old]])</f>
        <v>-1680</v>
      </c>
      <c r="AP423" s="138" t="str">
        <f>IF(OR(tblPiNHistorical[[#This Row],[WASH Old]]="", tblPiNHistorical[[#This Row],[WASH Old]]=0, tblPiNHistorical[[#This Row],[WASH New]]="", tblPiNHistorical[[#This Row],[WASH New]]=0), "", tblPiNHistorical[[#This Row],[WASH New]]-tblPiNHistorical[[#This Row],[WASH Old]])</f>
        <v/>
      </c>
      <c r="AQ423" s="139" t="str">
        <f>IFERROR(ROUND((tblPiNHistorical[[#This Row],[Site Management - New]] - tblPiNHistorical[[#This Row],[Site Management - Old]])/tblPiNHistorical[[#This Row],[Site Management - Old]], 1), "")</f>
        <v/>
      </c>
      <c r="AR423" s="140">
        <f>IFERROR(ROUND((tblPiNHistorical[[#This Row],[Education New]]-tblPiNHistorical[[#This Row],[Education Old]])/tblPiNHistorical[[#This Row],[Education Old]], 1), "")</f>
        <v>-1</v>
      </c>
      <c r="AS423" s="141">
        <f>IFERROR(ROUND((tblPiNHistorical[[#This Row],[Food Security and Livlihoods New]]-tblPiNHistorical[[#This Row],[Food Security and Livlihoods Old]])/tblPiNHistorical[[#This Row],[Food Security and Livlihoods Old]], 1), "")</f>
        <v>-1</v>
      </c>
      <c r="AT423" s="142">
        <f>IFERROR(ROUND((tblPiNHistorical[[#This Row],[Health New]]-tblPiNHistorical[[#This Row],[Health Old]])/tblPiNHistorical[[#This Row],[Health Old]], 1), "")</f>
        <v>-1</v>
      </c>
      <c r="AU423" s="140">
        <f>IFERROR(ROUND((tblPiNHistorical[[#This Row],[Nutrition New]]-tblPiNHistorical[[#This Row],[Nutrition Old]])/tblPiNHistorical[[#This Row],[Nutrition Old]], 1), "")</f>
        <v>-1</v>
      </c>
      <c r="AV423" s="140">
        <f>IFERROR(ROUND((tblPiNHistorical[[#This Row],[Protection New]]-tblPiNHistorical[[#This Row],[Protection Old]])/tblPiNHistorical[[#This Row],[Protection Old]], 1), "")</f>
        <v>-1</v>
      </c>
      <c r="AW423" s="84">
        <f>IFERROR(ROUND((tblPiNHistorical[[#This Row],[CP New]]-tblPiNHistorical[[#This Row],[CP Old ]])/tblPiNHistorical[[#This Row],[CP Old ]], 1), "")</f>
        <v>-1</v>
      </c>
      <c r="AX423" s="84">
        <f>IFERROR(ROUND((tblPiNHistorical[[#This Row],[GBV New]]-tblPiNHistorical[[#This Row],[GBV Old]])/tblPiNHistorical[[#This Row],[GBV Old]], 1), "")</f>
        <v>-1</v>
      </c>
      <c r="AY423" s="84" t="str">
        <f>IFERROR(ROUND((tblPiNHistorical[[#This Row],[Mine Action New]]-tblPiNHistorical[[#This Row],[Mine Action Old]])/tblPiNHistorical[[#This Row],[Mine Action Old]], 1), "")</f>
        <v/>
      </c>
      <c r="AZ423" s="140">
        <f>IFERROR(ROUND((tblPiNHistorical[[#This Row],[Shelter NFI New]]-tblPiNHistorical[[#This Row],[Shelter NFI Old]])/tblPiNHistorical[[#This Row],[Shelter NFI Old]], 1), "")</f>
        <v>-0.4</v>
      </c>
      <c r="BA423" s="31">
        <f>IFERROR(ROUND((tblPiNHistorical[[#This Row],[WASH New]]-tblPiNHistorical[[#This Row],[WASH Old]])/tblPiNHistorical[[#This Row],[WASH Old]], 1), "")</f>
        <v>-1</v>
      </c>
    </row>
    <row r="424" spans="1:53" ht="38.25" x14ac:dyDescent="0.25">
      <c r="A424"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Host CommunitySD12084</v>
      </c>
      <c r="B424" s="134" t="s">
        <v>158</v>
      </c>
      <c r="C424" s="124" t="s">
        <v>129</v>
      </c>
      <c r="D424" s="124" t="s">
        <v>466</v>
      </c>
      <c r="E424" s="59" t="s">
        <v>467</v>
      </c>
      <c r="F424" s="54"/>
      <c r="G424" s="29"/>
      <c r="H424" s="53">
        <v>36565</v>
      </c>
      <c r="I424" s="53" t="s">
        <v>87</v>
      </c>
      <c r="J424" s="34">
        <v>0</v>
      </c>
      <c r="K424" s="116">
        <v>0</v>
      </c>
      <c r="L424" s="114">
        <v>36565</v>
      </c>
      <c r="M424" s="114">
        <v>36565</v>
      </c>
      <c r="N424" s="114">
        <v>2038</v>
      </c>
      <c r="O424" s="114">
        <v>11578</v>
      </c>
      <c r="P424" s="114">
        <v>4022</v>
      </c>
      <c r="Q424" s="114">
        <v>11578</v>
      </c>
      <c r="R424" s="114">
        <v>0</v>
      </c>
      <c r="S424" s="114">
        <v>7313</v>
      </c>
      <c r="T424" s="196">
        <v>29120.365999999998</v>
      </c>
      <c r="U424" s="52">
        <f>IFERROR(INDEX(tblPiNAnalysis[[Site Management ]], MATCH(tblPiNHistorical[[#This Row],[ID]], tblPiNAnalysis[ID], 0)), "")</f>
        <v>0</v>
      </c>
      <c r="V424" s="52">
        <f>IFERROR(INDEX(tblPiNAnalysis[Education], MATCH(tblPiNHistorical[[#This Row],[ID]], tblPiNAnalysis[ID], 0)), "")</f>
        <v>0</v>
      </c>
      <c r="W424" s="28">
        <f>IFERROR(INDEX(tblPiNAnalysis[Food Security and Livlihoods], MATCH(tblPiNHistorical[[#This Row],[ID]], tblPiNAnalysis[ID], 0)), "")</f>
        <v>0</v>
      </c>
      <c r="X424" s="28">
        <f>IFERROR(INDEX(tblPiNAnalysis[[Health ]], MATCH(tblPiNHistorical[[#This Row],[ID]], tblPiNAnalysis[ID], 0)), "")</f>
        <v>0</v>
      </c>
      <c r="Y424" s="28">
        <f>IFERROR(INDEX(tblPiNAnalysis[Nutrition], MATCH(tblPiNHistorical[[#This Row],[ID]], tblPiNAnalysis[ID], 0)), "")</f>
        <v>0</v>
      </c>
      <c r="Z424" s="28">
        <f>IFERROR(INDEX(tblPiNAnalysis[Protection], MATCH(tblPiNHistorical[[#This Row],[ID]], tblPiNAnalysis[ID], 0)), "")</f>
        <v>0</v>
      </c>
      <c r="AA424" s="28">
        <f>IFERROR(INDEX(tblPiNAnalysis[CP], MATCH(tblPiNHistorical[[#This Row],[ID]], tblPiNAnalysis[ID], 0)), "")</f>
        <v>0</v>
      </c>
      <c r="AB424" s="83">
        <f>IFERROR(INDEX(tblPiNAnalysis[GBV], MATCH(tblPiNHistorical[[#This Row],[ID]], tblPiNAnalysis[ID], 0)), "")</f>
        <v>0</v>
      </c>
      <c r="AC424" s="28">
        <f>IFERROR(INDEX(tblPiNAnalysis[Mine Action], MATCH(tblPiNHistorical[[#This Row],[ID]], tblPiNAnalysis[ID], 0)), "")</f>
        <v>0</v>
      </c>
      <c r="AD424" s="83">
        <f>IFERROR(INDEX(tblPiNAnalysis[[Shelter NFI ]], MATCH(tblPiNHistorical[[#This Row],[ID]], tblPiNAnalysis[ID], 0)), "")</f>
        <v>37841</v>
      </c>
      <c r="AE424" s="28">
        <f>IFERROR(INDEX(tblPiNAnalysis[WASH], MATCH(tblPiNHistorical[[#This Row],[ID]], tblPiNAnalysis[ID], 0)), "")</f>
        <v>0</v>
      </c>
      <c r="AF424"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424" s="136" t="str">
        <f>IF(OR(tblPiNHistorical[[#This Row],[Education Old]]="", tblPiNHistorical[[#This Row],[Education Old]]=0, tblPiNHistorical[[#This Row],[Education New]]="", tblPiNHistorical[[#This Row],[Education New]]=0), "", tblPiNHistorical[[#This Row],[Education New]]-tblPiNHistorical[[#This Row],[Education Old]])</f>
        <v/>
      </c>
      <c r="AH424"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424" s="137" t="str">
        <f>IF(OR(tblPiNHistorical[[#This Row],[Health Old]]="", tblPiNHistorical[[#This Row],[Health Old]]=0, tblPiNHistorical[[#This Row],[Health New]]="", tblPiNHistorical[[#This Row],[Health New]]=0), "", tblPiNHistorical[[#This Row],[Health New]]-tblPiNHistorical[[#This Row],[Health Old]])</f>
        <v/>
      </c>
      <c r="AJ424" s="136" t="str">
        <f>IF(OR(tblPiNHistorical[[#This Row],[Nutrition Old]]="", tblPiNHistorical[[#This Row],[Nutrition Old]]=0, tblPiNHistorical[[#This Row],[Nutrition New]]="", tblPiNHistorical[[#This Row],[Nutrition New]]=0), "", tblPiNHistorical[[#This Row],[Nutrition New]]-tblPiNHistorical[[#This Row],[Nutrition Old]])</f>
        <v/>
      </c>
      <c r="AK424" s="136" t="str">
        <f>IF(OR(tblPiNHistorical[[#This Row],[Protection Old]]="", tblPiNHistorical[[#This Row],[Protection Old]]=0, tblPiNHistorical[[#This Row],[Protection New]]="", tblPiNHistorical[[#This Row],[Protection New]]=0), "", tblPiNHistorical[[#This Row],[Protection New]]-tblPiNHistorical[[#This Row],[Protection Old]])</f>
        <v/>
      </c>
      <c r="AL424" s="136" t="str">
        <f>IF(OR(tblPiNHistorical[[#This Row],[CP Old ]]="", tblPiNHistorical[[#This Row],[CP Old ]]=0, tblPiNHistorical[[#This Row],[CP New]]="", tblPiNHistorical[[#This Row],[CP New]]=0), "", tblPiNHistorical[[#This Row],[CP New]]-tblPiNHistorical[[#This Row],[CP Old ]])</f>
        <v/>
      </c>
      <c r="AM424" s="83" t="str">
        <f>IF(OR(tblPiNHistorical[[#This Row],[GBV Old]]="", tblPiNHistorical[[#This Row],[GBV Old]]=0, tblPiNHistorical[[#This Row],[GBV New]]="", tblPiNHistorical[[#This Row],[GBV New]]=0), "", tblPiNHistorical[[#This Row],[GBV New]]-tblPiNHistorical[[#This Row],[GBV Old]])</f>
        <v/>
      </c>
      <c r="AN424" s="83" t="str">
        <f>IF(OR(tblPiNHistorical[[#This Row],[Mine Action Old]]="", tblPiNHistorical[[#This Row],[Mine Action Old]]=0, tblPiNHistorical[[#This Row],[Mine Action New]]="", tblPiNHistorical[[#This Row],[Mine Action New]]=0), "", tblPiNHistorical[[#This Row],[Mine Action New]]-tblPiNHistorical[[#This Row],[Mine Action Old]])</f>
        <v/>
      </c>
      <c r="AO424" s="136">
        <f>IF(OR(tblPiNHistorical[[#This Row],[Shelter NFI Old]]="", tblPiNHistorical[[#This Row],[Shelter NFI Old]]=0, tblPiNHistorical[[#This Row],[Shelter NFI New]]="", tblPiNHistorical[[#This Row],[Shelter NFI New]]=0), "", tblPiNHistorical[[#This Row],[Shelter NFI New]]-tblPiNHistorical[[#This Row],[Shelter NFI Old]])</f>
        <v>30528</v>
      </c>
      <c r="AP424" s="138" t="str">
        <f>IF(OR(tblPiNHistorical[[#This Row],[WASH Old]]="", tblPiNHistorical[[#This Row],[WASH Old]]=0, tblPiNHistorical[[#This Row],[WASH New]]="", tblPiNHistorical[[#This Row],[WASH New]]=0), "", tblPiNHistorical[[#This Row],[WASH New]]-tblPiNHistorical[[#This Row],[WASH Old]])</f>
        <v/>
      </c>
      <c r="AQ424" s="139" t="str">
        <f>IFERROR(ROUND((tblPiNHistorical[[#This Row],[Site Management - New]] - tblPiNHistorical[[#This Row],[Site Management - Old]])/tblPiNHistorical[[#This Row],[Site Management - Old]], 1), "")</f>
        <v/>
      </c>
      <c r="AR424" s="140" t="str">
        <f>IFERROR(ROUND((tblPiNHistorical[[#This Row],[Education New]]-tblPiNHistorical[[#This Row],[Education Old]])/tblPiNHistorical[[#This Row],[Education Old]], 1), "")</f>
        <v/>
      </c>
      <c r="AS424" s="141">
        <f>IFERROR(ROUND((tblPiNHistorical[[#This Row],[Food Security and Livlihoods New]]-tblPiNHistorical[[#This Row],[Food Security and Livlihoods Old]])/tblPiNHistorical[[#This Row],[Food Security and Livlihoods Old]], 1), "")</f>
        <v>-1</v>
      </c>
      <c r="AT424" s="142">
        <f>IFERROR(ROUND((tblPiNHistorical[[#This Row],[Health New]]-tblPiNHistorical[[#This Row],[Health Old]])/tblPiNHistorical[[#This Row],[Health Old]], 1), "")</f>
        <v>-1</v>
      </c>
      <c r="AU424" s="140">
        <f>IFERROR(ROUND((tblPiNHistorical[[#This Row],[Nutrition New]]-tblPiNHistorical[[#This Row],[Nutrition Old]])/tblPiNHistorical[[#This Row],[Nutrition Old]], 1), "")</f>
        <v>-1</v>
      </c>
      <c r="AV424" s="140">
        <f>IFERROR(ROUND((tblPiNHistorical[[#This Row],[Protection New]]-tblPiNHistorical[[#This Row],[Protection Old]])/tblPiNHistorical[[#This Row],[Protection Old]], 1), "")</f>
        <v>-1</v>
      </c>
      <c r="AW424" s="84">
        <f>IFERROR(ROUND((tblPiNHistorical[[#This Row],[CP New]]-tblPiNHistorical[[#This Row],[CP Old ]])/tblPiNHistorical[[#This Row],[CP Old ]], 1), "")</f>
        <v>-1</v>
      </c>
      <c r="AX424" s="84">
        <f>IFERROR(ROUND((tblPiNHistorical[[#This Row],[GBV New]]-tblPiNHistorical[[#This Row],[GBV Old]])/tblPiNHistorical[[#This Row],[GBV Old]], 1), "")</f>
        <v>-1</v>
      </c>
      <c r="AY424" s="84" t="str">
        <f>IFERROR(ROUND((tblPiNHistorical[[#This Row],[Mine Action New]]-tblPiNHistorical[[#This Row],[Mine Action Old]])/tblPiNHistorical[[#This Row],[Mine Action Old]], 1), "")</f>
        <v/>
      </c>
      <c r="AZ424" s="140">
        <f>IFERROR(ROUND((tblPiNHistorical[[#This Row],[Shelter NFI New]]-tblPiNHistorical[[#This Row],[Shelter NFI Old]])/tblPiNHistorical[[#This Row],[Shelter NFI Old]], 1), "")</f>
        <v>4.2</v>
      </c>
      <c r="BA424" s="31">
        <f>IFERROR(ROUND((tblPiNHistorical[[#This Row],[WASH New]]-tblPiNHistorical[[#This Row],[WASH Old]])/tblPiNHistorical[[#This Row],[WASH Old]], 1), "")</f>
        <v>-1</v>
      </c>
    </row>
    <row r="425" spans="1:53" ht="38.25" x14ac:dyDescent="0.25">
      <c r="A425"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Host CommunitySD12077</v>
      </c>
      <c r="B425" s="134" t="s">
        <v>158</v>
      </c>
      <c r="C425" s="124" t="s">
        <v>129</v>
      </c>
      <c r="D425" s="124" t="s">
        <v>452</v>
      </c>
      <c r="E425" s="59" t="s">
        <v>453</v>
      </c>
      <c r="F425" s="54"/>
      <c r="G425" s="29"/>
      <c r="H425" s="53">
        <v>30676</v>
      </c>
      <c r="I425" s="53" t="s">
        <v>87</v>
      </c>
      <c r="J425" s="34">
        <v>0</v>
      </c>
      <c r="K425" s="116">
        <v>11893.0852</v>
      </c>
      <c r="L425" s="114">
        <v>30676</v>
      </c>
      <c r="M425" s="114">
        <v>30676</v>
      </c>
      <c r="N425" s="114">
        <v>3104</v>
      </c>
      <c r="O425" s="114">
        <v>9713</v>
      </c>
      <c r="P425" s="114">
        <v>3374</v>
      </c>
      <c r="Q425" s="114">
        <v>9713</v>
      </c>
      <c r="R425" s="114">
        <v>0</v>
      </c>
      <c r="S425" s="114">
        <v>6135</v>
      </c>
      <c r="T425" s="196">
        <v>28838.507600000001</v>
      </c>
      <c r="U425" s="52">
        <f>IFERROR(INDEX(tblPiNAnalysis[[Site Management ]], MATCH(tblPiNHistorical[[#This Row],[ID]], tblPiNAnalysis[ID], 0)), "")</f>
        <v>0</v>
      </c>
      <c r="V425" s="52">
        <f>IFERROR(INDEX(tblPiNAnalysis[Education], MATCH(tblPiNHistorical[[#This Row],[ID]], tblPiNAnalysis[ID], 0)), "")</f>
        <v>0</v>
      </c>
      <c r="W425" s="28">
        <f>IFERROR(INDEX(tblPiNAnalysis[Food Security and Livlihoods], MATCH(tblPiNHistorical[[#This Row],[ID]], tblPiNAnalysis[ID], 0)), "")</f>
        <v>0</v>
      </c>
      <c r="X425" s="28">
        <f>IFERROR(INDEX(tblPiNAnalysis[[Health ]], MATCH(tblPiNHistorical[[#This Row],[ID]], tblPiNAnalysis[ID], 0)), "")</f>
        <v>0</v>
      </c>
      <c r="Y425" s="28">
        <f>IFERROR(INDEX(tblPiNAnalysis[Nutrition], MATCH(tblPiNHistorical[[#This Row],[ID]], tblPiNAnalysis[ID], 0)), "")</f>
        <v>0</v>
      </c>
      <c r="Z425" s="28">
        <f>IFERROR(INDEX(tblPiNAnalysis[Protection], MATCH(tblPiNHistorical[[#This Row],[ID]], tblPiNAnalysis[ID], 0)), "")</f>
        <v>0</v>
      </c>
      <c r="AA425" s="28">
        <f>IFERROR(INDEX(tblPiNAnalysis[CP], MATCH(tblPiNHistorical[[#This Row],[ID]], tblPiNAnalysis[ID], 0)), "")</f>
        <v>0</v>
      </c>
      <c r="AB425" s="83">
        <f>IFERROR(INDEX(tblPiNAnalysis[GBV], MATCH(tblPiNHistorical[[#This Row],[ID]], tblPiNAnalysis[ID], 0)), "")</f>
        <v>0</v>
      </c>
      <c r="AC425" s="28">
        <f>IFERROR(INDEX(tblPiNAnalysis[Mine Action], MATCH(tblPiNHistorical[[#This Row],[ID]], tblPiNAnalysis[ID], 0)), "")</f>
        <v>0</v>
      </c>
      <c r="AD425" s="83">
        <f>IFERROR(INDEX(tblPiNAnalysis[[Shelter NFI ]], MATCH(tblPiNHistorical[[#This Row],[ID]], tblPiNAnalysis[ID], 0)), "")</f>
        <v>35445</v>
      </c>
      <c r="AE425" s="28">
        <f>IFERROR(INDEX(tblPiNAnalysis[WASH], MATCH(tblPiNHistorical[[#This Row],[ID]], tblPiNAnalysis[ID], 0)), "")</f>
        <v>0</v>
      </c>
      <c r="AF425"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425" s="136" t="str">
        <f>IF(OR(tblPiNHistorical[[#This Row],[Education Old]]="", tblPiNHistorical[[#This Row],[Education Old]]=0, tblPiNHistorical[[#This Row],[Education New]]="", tblPiNHistorical[[#This Row],[Education New]]=0), "", tblPiNHistorical[[#This Row],[Education New]]-tblPiNHistorical[[#This Row],[Education Old]])</f>
        <v/>
      </c>
      <c r="AH425"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425" s="137" t="str">
        <f>IF(OR(tblPiNHistorical[[#This Row],[Health Old]]="", tblPiNHistorical[[#This Row],[Health Old]]=0, tblPiNHistorical[[#This Row],[Health New]]="", tblPiNHistorical[[#This Row],[Health New]]=0), "", tblPiNHistorical[[#This Row],[Health New]]-tblPiNHistorical[[#This Row],[Health Old]])</f>
        <v/>
      </c>
      <c r="AJ425" s="136" t="str">
        <f>IF(OR(tblPiNHistorical[[#This Row],[Nutrition Old]]="", tblPiNHistorical[[#This Row],[Nutrition Old]]=0, tblPiNHistorical[[#This Row],[Nutrition New]]="", tblPiNHistorical[[#This Row],[Nutrition New]]=0), "", tblPiNHistorical[[#This Row],[Nutrition New]]-tblPiNHistorical[[#This Row],[Nutrition Old]])</f>
        <v/>
      </c>
      <c r="AK425" s="136" t="str">
        <f>IF(OR(tblPiNHistorical[[#This Row],[Protection Old]]="", tblPiNHistorical[[#This Row],[Protection Old]]=0, tblPiNHistorical[[#This Row],[Protection New]]="", tblPiNHistorical[[#This Row],[Protection New]]=0), "", tblPiNHistorical[[#This Row],[Protection New]]-tblPiNHistorical[[#This Row],[Protection Old]])</f>
        <v/>
      </c>
      <c r="AL425" s="136" t="str">
        <f>IF(OR(tblPiNHistorical[[#This Row],[CP Old ]]="", tblPiNHistorical[[#This Row],[CP Old ]]=0, tblPiNHistorical[[#This Row],[CP New]]="", tblPiNHistorical[[#This Row],[CP New]]=0), "", tblPiNHistorical[[#This Row],[CP New]]-tblPiNHistorical[[#This Row],[CP Old ]])</f>
        <v/>
      </c>
      <c r="AM425" s="83" t="str">
        <f>IF(OR(tblPiNHistorical[[#This Row],[GBV Old]]="", tblPiNHistorical[[#This Row],[GBV Old]]=0, tblPiNHistorical[[#This Row],[GBV New]]="", tblPiNHistorical[[#This Row],[GBV New]]=0), "", tblPiNHistorical[[#This Row],[GBV New]]-tblPiNHistorical[[#This Row],[GBV Old]])</f>
        <v/>
      </c>
      <c r="AN425" s="83" t="str">
        <f>IF(OR(tblPiNHistorical[[#This Row],[Mine Action Old]]="", tblPiNHistorical[[#This Row],[Mine Action Old]]=0, tblPiNHistorical[[#This Row],[Mine Action New]]="", tblPiNHistorical[[#This Row],[Mine Action New]]=0), "", tblPiNHistorical[[#This Row],[Mine Action New]]-tblPiNHistorical[[#This Row],[Mine Action Old]])</f>
        <v/>
      </c>
      <c r="AO425" s="136">
        <f>IF(OR(tblPiNHistorical[[#This Row],[Shelter NFI Old]]="", tblPiNHistorical[[#This Row],[Shelter NFI Old]]=0, tblPiNHistorical[[#This Row],[Shelter NFI New]]="", tblPiNHistorical[[#This Row],[Shelter NFI New]]=0), "", tblPiNHistorical[[#This Row],[Shelter NFI New]]-tblPiNHistorical[[#This Row],[Shelter NFI Old]])</f>
        <v>29310</v>
      </c>
      <c r="AP425" s="138" t="str">
        <f>IF(OR(tblPiNHistorical[[#This Row],[WASH Old]]="", tblPiNHistorical[[#This Row],[WASH Old]]=0, tblPiNHistorical[[#This Row],[WASH New]]="", tblPiNHistorical[[#This Row],[WASH New]]=0), "", tblPiNHistorical[[#This Row],[WASH New]]-tblPiNHistorical[[#This Row],[WASH Old]])</f>
        <v/>
      </c>
      <c r="AQ425" s="139" t="str">
        <f>IFERROR(ROUND((tblPiNHistorical[[#This Row],[Site Management - New]] - tblPiNHistorical[[#This Row],[Site Management - Old]])/tblPiNHistorical[[#This Row],[Site Management - Old]], 1), "")</f>
        <v/>
      </c>
      <c r="AR425" s="140">
        <f>IFERROR(ROUND((tblPiNHistorical[[#This Row],[Education New]]-tblPiNHistorical[[#This Row],[Education Old]])/tblPiNHistorical[[#This Row],[Education Old]], 1), "")</f>
        <v>-1</v>
      </c>
      <c r="AS425" s="141">
        <f>IFERROR(ROUND((tblPiNHistorical[[#This Row],[Food Security and Livlihoods New]]-tblPiNHistorical[[#This Row],[Food Security and Livlihoods Old]])/tblPiNHistorical[[#This Row],[Food Security and Livlihoods Old]], 1), "")</f>
        <v>-1</v>
      </c>
      <c r="AT425" s="142">
        <f>IFERROR(ROUND((tblPiNHistorical[[#This Row],[Health New]]-tblPiNHistorical[[#This Row],[Health Old]])/tblPiNHistorical[[#This Row],[Health Old]], 1), "")</f>
        <v>-1</v>
      </c>
      <c r="AU425" s="140">
        <f>IFERROR(ROUND((tblPiNHistorical[[#This Row],[Nutrition New]]-tblPiNHistorical[[#This Row],[Nutrition Old]])/tblPiNHistorical[[#This Row],[Nutrition Old]], 1), "")</f>
        <v>-1</v>
      </c>
      <c r="AV425" s="140">
        <f>IFERROR(ROUND((tblPiNHistorical[[#This Row],[Protection New]]-tblPiNHistorical[[#This Row],[Protection Old]])/tblPiNHistorical[[#This Row],[Protection Old]], 1), "")</f>
        <v>-1</v>
      </c>
      <c r="AW425" s="84">
        <f>IFERROR(ROUND((tblPiNHistorical[[#This Row],[CP New]]-tblPiNHistorical[[#This Row],[CP Old ]])/tblPiNHistorical[[#This Row],[CP Old ]], 1), "")</f>
        <v>-1</v>
      </c>
      <c r="AX425" s="84">
        <f>IFERROR(ROUND((tblPiNHistorical[[#This Row],[GBV New]]-tblPiNHistorical[[#This Row],[GBV Old]])/tblPiNHistorical[[#This Row],[GBV Old]], 1), "")</f>
        <v>-1</v>
      </c>
      <c r="AY425" s="84" t="str">
        <f>IFERROR(ROUND((tblPiNHistorical[[#This Row],[Mine Action New]]-tblPiNHistorical[[#This Row],[Mine Action Old]])/tblPiNHistorical[[#This Row],[Mine Action Old]], 1), "")</f>
        <v/>
      </c>
      <c r="AZ425" s="140">
        <f>IFERROR(ROUND((tblPiNHistorical[[#This Row],[Shelter NFI New]]-tblPiNHistorical[[#This Row],[Shelter NFI Old]])/tblPiNHistorical[[#This Row],[Shelter NFI Old]], 1), "")</f>
        <v>4.8</v>
      </c>
      <c r="BA425" s="31">
        <f>IFERROR(ROUND((tblPiNHistorical[[#This Row],[WASH New]]-tblPiNHistorical[[#This Row],[WASH Old]])/tblPiNHistorical[[#This Row],[WASH Old]], 1), "")</f>
        <v>-1</v>
      </c>
    </row>
    <row r="426" spans="1:53" ht="38.25" x14ac:dyDescent="0.25">
      <c r="A426"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Host CommunitySD12079</v>
      </c>
      <c r="B426" s="134" t="s">
        <v>158</v>
      </c>
      <c r="C426" s="124" t="s">
        <v>129</v>
      </c>
      <c r="D426" s="124" t="s">
        <v>456</v>
      </c>
      <c r="E426" s="59" t="s">
        <v>457</v>
      </c>
      <c r="F426" s="54"/>
      <c r="G426" s="29"/>
      <c r="H426" s="53">
        <v>12202</v>
      </c>
      <c r="I426" s="53" t="s">
        <v>87</v>
      </c>
      <c r="J426" s="34">
        <v>0</v>
      </c>
      <c r="K426" s="116">
        <v>4730.7154</v>
      </c>
      <c r="L426" s="114">
        <v>12202</v>
      </c>
      <c r="M426" s="114">
        <v>12202</v>
      </c>
      <c r="N426" s="114">
        <v>473</v>
      </c>
      <c r="O426" s="114">
        <v>3864</v>
      </c>
      <c r="P426" s="114">
        <v>1342</v>
      </c>
      <c r="Q426" s="114">
        <v>3864</v>
      </c>
      <c r="R426" s="114">
        <v>0</v>
      </c>
      <c r="S426" s="114">
        <v>2440</v>
      </c>
      <c r="T426" s="196">
        <v>10915.9092</v>
      </c>
      <c r="U426" s="52">
        <f>IFERROR(INDEX(tblPiNAnalysis[[Site Management ]], MATCH(tblPiNHistorical[[#This Row],[ID]], tblPiNAnalysis[ID], 0)), "")</f>
        <v>0</v>
      </c>
      <c r="V426" s="52">
        <f>IFERROR(INDEX(tblPiNAnalysis[Education], MATCH(tblPiNHistorical[[#This Row],[ID]], tblPiNAnalysis[ID], 0)), "")</f>
        <v>0</v>
      </c>
      <c r="W426" s="28">
        <f>IFERROR(INDEX(tblPiNAnalysis[Food Security and Livlihoods], MATCH(tblPiNHistorical[[#This Row],[ID]], tblPiNAnalysis[ID], 0)), "")</f>
        <v>0</v>
      </c>
      <c r="X426" s="28">
        <f>IFERROR(INDEX(tblPiNAnalysis[[Health ]], MATCH(tblPiNHistorical[[#This Row],[ID]], tblPiNAnalysis[ID], 0)), "")</f>
        <v>0</v>
      </c>
      <c r="Y426" s="28">
        <f>IFERROR(INDEX(tblPiNAnalysis[Nutrition], MATCH(tblPiNHistorical[[#This Row],[ID]], tblPiNAnalysis[ID], 0)), "")</f>
        <v>0</v>
      </c>
      <c r="Z426" s="28">
        <f>IFERROR(INDEX(tblPiNAnalysis[Protection], MATCH(tblPiNHistorical[[#This Row],[ID]], tblPiNAnalysis[ID], 0)), "")</f>
        <v>0</v>
      </c>
      <c r="AA426" s="28">
        <f>IFERROR(INDEX(tblPiNAnalysis[CP], MATCH(tblPiNHistorical[[#This Row],[ID]], tblPiNAnalysis[ID], 0)), "")</f>
        <v>0</v>
      </c>
      <c r="AB426" s="83">
        <f>IFERROR(INDEX(tblPiNAnalysis[GBV], MATCH(tblPiNHistorical[[#This Row],[ID]], tblPiNAnalysis[ID], 0)), "")</f>
        <v>0</v>
      </c>
      <c r="AC426" s="28">
        <f>IFERROR(INDEX(tblPiNAnalysis[Mine Action], MATCH(tblPiNHistorical[[#This Row],[ID]], tblPiNAnalysis[ID], 0)), "")</f>
        <v>0</v>
      </c>
      <c r="AD426" s="83">
        <f>IFERROR(INDEX(tblPiNAnalysis[[Shelter NFI ]], MATCH(tblPiNHistorical[[#This Row],[ID]], tblPiNAnalysis[ID], 0)), "")</f>
        <v>3815</v>
      </c>
      <c r="AE426" s="28">
        <f>IFERROR(INDEX(tblPiNAnalysis[WASH], MATCH(tblPiNHistorical[[#This Row],[ID]], tblPiNAnalysis[ID], 0)), "")</f>
        <v>0</v>
      </c>
      <c r="AF426"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426" s="136" t="str">
        <f>IF(OR(tblPiNHistorical[[#This Row],[Education Old]]="", tblPiNHistorical[[#This Row],[Education Old]]=0, tblPiNHistorical[[#This Row],[Education New]]="", tblPiNHistorical[[#This Row],[Education New]]=0), "", tblPiNHistorical[[#This Row],[Education New]]-tblPiNHistorical[[#This Row],[Education Old]])</f>
        <v/>
      </c>
      <c r="AH426"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426" s="137" t="str">
        <f>IF(OR(tblPiNHistorical[[#This Row],[Health Old]]="", tblPiNHistorical[[#This Row],[Health Old]]=0, tblPiNHistorical[[#This Row],[Health New]]="", tblPiNHistorical[[#This Row],[Health New]]=0), "", tblPiNHistorical[[#This Row],[Health New]]-tblPiNHistorical[[#This Row],[Health Old]])</f>
        <v/>
      </c>
      <c r="AJ426" s="136" t="str">
        <f>IF(OR(tblPiNHistorical[[#This Row],[Nutrition Old]]="", tblPiNHistorical[[#This Row],[Nutrition Old]]=0, tblPiNHistorical[[#This Row],[Nutrition New]]="", tblPiNHistorical[[#This Row],[Nutrition New]]=0), "", tblPiNHistorical[[#This Row],[Nutrition New]]-tblPiNHistorical[[#This Row],[Nutrition Old]])</f>
        <v/>
      </c>
      <c r="AK426" s="136" t="str">
        <f>IF(OR(tblPiNHistorical[[#This Row],[Protection Old]]="", tblPiNHistorical[[#This Row],[Protection Old]]=0, tblPiNHistorical[[#This Row],[Protection New]]="", tblPiNHistorical[[#This Row],[Protection New]]=0), "", tblPiNHistorical[[#This Row],[Protection New]]-tblPiNHistorical[[#This Row],[Protection Old]])</f>
        <v/>
      </c>
      <c r="AL426" s="136" t="str">
        <f>IF(OR(tblPiNHistorical[[#This Row],[CP Old ]]="", tblPiNHistorical[[#This Row],[CP Old ]]=0, tblPiNHistorical[[#This Row],[CP New]]="", tblPiNHistorical[[#This Row],[CP New]]=0), "", tblPiNHistorical[[#This Row],[CP New]]-tblPiNHistorical[[#This Row],[CP Old ]])</f>
        <v/>
      </c>
      <c r="AM426" s="83" t="str">
        <f>IF(OR(tblPiNHistorical[[#This Row],[GBV Old]]="", tblPiNHistorical[[#This Row],[GBV Old]]=0, tblPiNHistorical[[#This Row],[GBV New]]="", tblPiNHistorical[[#This Row],[GBV New]]=0), "", tblPiNHistorical[[#This Row],[GBV New]]-tblPiNHistorical[[#This Row],[GBV Old]])</f>
        <v/>
      </c>
      <c r="AN426" s="83" t="str">
        <f>IF(OR(tblPiNHistorical[[#This Row],[Mine Action Old]]="", tblPiNHistorical[[#This Row],[Mine Action Old]]=0, tblPiNHistorical[[#This Row],[Mine Action New]]="", tblPiNHistorical[[#This Row],[Mine Action New]]=0), "", tblPiNHistorical[[#This Row],[Mine Action New]]-tblPiNHistorical[[#This Row],[Mine Action Old]])</f>
        <v/>
      </c>
      <c r="AO426" s="136">
        <f>IF(OR(tblPiNHistorical[[#This Row],[Shelter NFI Old]]="", tblPiNHistorical[[#This Row],[Shelter NFI Old]]=0, tblPiNHistorical[[#This Row],[Shelter NFI New]]="", tblPiNHistorical[[#This Row],[Shelter NFI New]]=0), "", tblPiNHistorical[[#This Row],[Shelter NFI New]]-tblPiNHistorical[[#This Row],[Shelter NFI Old]])</f>
        <v>1375</v>
      </c>
      <c r="AP426" s="138" t="str">
        <f>IF(OR(tblPiNHistorical[[#This Row],[WASH Old]]="", tblPiNHistorical[[#This Row],[WASH Old]]=0, tblPiNHistorical[[#This Row],[WASH New]]="", tblPiNHistorical[[#This Row],[WASH New]]=0), "", tblPiNHistorical[[#This Row],[WASH New]]-tblPiNHistorical[[#This Row],[WASH Old]])</f>
        <v/>
      </c>
      <c r="AQ426" s="139" t="str">
        <f>IFERROR(ROUND((tblPiNHistorical[[#This Row],[Site Management - New]] - tblPiNHistorical[[#This Row],[Site Management - Old]])/tblPiNHistorical[[#This Row],[Site Management - Old]], 1), "")</f>
        <v/>
      </c>
      <c r="AR426" s="140">
        <f>IFERROR(ROUND((tblPiNHistorical[[#This Row],[Education New]]-tblPiNHistorical[[#This Row],[Education Old]])/tblPiNHistorical[[#This Row],[Education Old]], 1), "")</f>
        <v>-1</v>
      </c>
      <c r="AS426" s="141">
        <f>IFERROR(ROUND((tblPiNHistorical[[#This Row],[Food Security and Livlihoods New]]-tblPiNHistorical[[#This Row],[Food Security and Livlihoods Old]])/tblPiNHistorical[[#This Row],[Food Security and Livlihoods Old]], 1), "")</f>
        <v>-1</v>
      </c>
      <c r="AT426" s="142">
        <f>IFERROR(ROUND((tblPiNHistorical[[#This Row],[Health New]]-tblPiNHistorical[[#This Row],[Health Old]])/tblPiNHistorical[[#This Row],[Health Old]], 1), "")</f>
        <v>-1</v>
      </c>
      <c r="AU426" s="140">
        <f>IFERROR(ROUND((tblPiNHistorical[[#This Row],[Nutrition New]]-tblPiNHistorical[[#This Row],[Nutrition Old]])/tblPiNHistorical[[#This Row],[Nutrition Old]], 1), "")</f>
        <v>-1</v>
      </c>
      <c r="AV426" s="140">
        <f>IFERROR(ROUND((tblPiNHistorical[[#This Row],[Protection New]]-tblPiNHistorical[[#This Row],[Protection Old]])/tblPiNHistorical[[#This Row],[Protection Old]], 1), "")</f>
        <v>-1</v>
      </c>
      <c r="AW426" s="84">
        <f>IFERROR(ROUND((tblPiNHistorical[[#This Row],[CP New]]-tblPiNHistorical[[#This Row],[CP Old ]])/tblPiNHistorical[[#This Row],[CP Old ]], 1), "")</f>
        <v>-1</v>
      </c>
      <c r="AX426" s="84">
        <f>IFERROR(ROUND((tblPiNHistorical[[#This Row],[GBV New]]-tblPiNHistorical[[#This Row],[GBV Old]])/tblPiNHistorical[[#This Row],[GBV Old]], 1), "")</f>
        <v>-1</v>
      </c>
      <c r="AY426" s="84" t="str">
        <f>IFERROR(ROUND((tblPiNHistorical[[#This Row],[Mine Action New]]-tblPiNHistorical[[#This Row],[Mine Action Old]])/tblPiNHistorical[[#This Row],[Mine Action Old]], 1), "")</f>
        <v/>
      </c>
      <c r="AZ426" s="140">
        <f>IFERROR(ROUND((tblPiNHistorical[[#This Row],[Shelter NFI New]]-tblPiNHistorical[[#This Row],[Shelter NFI Old]])/tblPiNHistorical[[#This Row],[Shelter NFI Old]], 1), "")</f>
        <v>0.6</v>
      </c>
      <c r="BA426" s="31">
        <f>IFERROR(ROUND((tblPiNHistorical[[#This Row],[WASH New]]-tblPiNHistorical[[#This Row],[WASH Old]])/tblPiNHistorical[[#This Row],[WASH Old]], 1), "")</f>
        <v>-1</v>
      </c>
    </row>
    <row r="427" spans="1:53" ht="38.25" x14ac:dyDescent="0.25">
      <c r="A427"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Host CommunitySD12083</v>
      </c>
      <c r="B427" s="134" t="s">
        <v>158</v>
      </c>
      <c r="C427" s="124" t="s">
        <v>129</v>
      </c>
      <c r="D427" s="124" t="s">
        <v>464</v>
      </c>
      <c r="E427" s="59" t="s">
        <v>465</v>
      </c>
      <c r="F427" s="54"/>
      <c r="G427" s="29"/>
      <c r="H427" s="53">
        <v>45673</v>
      </c>
      <c r="I427" s="53" t="s">
        <v>87</v>
      </c>
      <c r="J427" s="34">
        <v>0</v>
      </c>
      <c r="K427" s="116">
        <v>17707.4221</v>
      </c>
      <c r="L427" s="114">
        <v>45673</v>
      </c>
      <c r="M427" s="114">
        <v>45673</v>
      </c>
      <c r="N427" s="114">
        <v>3482</v>
      </c>
      <c r="O427" s="114">
        <v>14462</v>
      </c>
      <c r="P427" s="114">
        <v>5024</v>
      </c>
      <c r="Q427" s="114">
        <v>14462</v>
      </c>
      <c r="R427" s="114">
        <v>0</v>
      </c>
      <c r="S427" s="114">
        <v>9135</v>
      </c>
      <c r="T427" s="196">
        <v>36588.640299999999</v>
      </c>
      <c r="U427" s="52">
        <f>IFERROR(INDEX(tblPiNAnalysis[[Site Management ]], MATCH(tblPiNHistorical[[#This Row],[ID]], tblPiNAnalysis[ID], 0)), "")</f>
        <v>0</v>
      </c>
      <c r="V427" s="52">
        <f>IFERROR(INDEX(tblPiNAnalysis[Education], MATCH(tblPiNHistorical[[#This Row],[ID]], tblPiNAnalysis[ID], 0)), "")</f>
        <v>0</v>
      </c>
      <c r="W427" s="28">
        <f>IFERROR(INDEX(tblPiNAnalysis[Food Security and Livlihoods], MATCH(tblPiNHistorical[[#This Row],[ID]], tblPiNAnalysis[ID], 0)), "")</f>
        <v>0</v>
      </c>
      <c r="X427" s="28">
        <f>IFERROR(INDEX(tblPiNAnalysis[[Health ]], MATCH(tblPiNHistorical[[#This Row],[ID]], tblPiNAnalysis[ID], 0)), "")</f>
        <v>0</v>
      </c>
      <c r="Y427" s="28">
        <f>IFERROR(INDEX(tblPiNAnalysis[Nutrition], MATCH(tblPiNHistorical[[#This Row],[ID]], tblPiNAnalysis[ID], 0)), "")</f>
        <v>0</v>
      </c>
      <c r="Z427" s="28">
        <f>IFERROR(INDEX(tblPiNAnalysis[Protection], MATCH(tblPiNHistorical[[#This Row],[ID]], tblPiNAnalysis[ID], 0)), "")</f>
        <v>0</v>
      </c>
      <c r="AA427" s="28">
        <f>IFERROR(INDEX(tblPiNAnalysis[CP], MATCH(tblPiNHistorical[[#This Row],[ID]], tblPiNAnalysis[ID], 0)), "")</f>
        <v>0</v>
      </c>
      <c r="AB427" s="83">
        <f>IFERROR(INDEX(tblPiNAnalysis[GBV], MATCH(tblPiNHistorical[[#This Row],[ID]], tblPiNAnalysis[ID], 0)), "")</f>
        <v>0</v>
      </c>
      <c r="AC427" s="28">
        <f>IFERROR(INDEX(tblPiNAnalysis[Mine Action], MATCH(tblPiNHistorical[[#This Row],[ID]], tblPiNAnalysis[ID], 0)), "")</f>
        <v>0</v>
      </c>
      <c r="AD427" s="83">
        <f>IFERROR(INDEX(tblPiNAnalysis[[Shelter NFI ]], MATCH(tblPiNHistorical[[#This Row],[ID]], tblPiNAnalysis[ID], 0)), "")</f>
        <v>3340</v>
      </c>
      <c r="AE427" s="28">
        <f>IFERROR(INDEX(tblPiNAnalysis[WASH], MATCH(tblPiNHistorical[[#This Row],[ID]], tblPiNAnalysis[ID], 0)), "")</f>
        <v>0</v>
      </c>
      <c r="AF427"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427" s="136" t="str">
        <f>IF(OR(tblPiNHistorical[[#This Row],[Education Old]]="", tblPiNHistorical[[#This Row],[Education Old]]=0, tblPiNHistorical[[#This Row],[Education New]]="", tblPiNHistorical[[#This Row],[Education New]]=0), "", tblPiNHistorical[[#This Row],[Education New]]-tblPiNHistorical[[#This Row],[Education Old]])</f>
        <v/>
      </c>
      <c r="AH427"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427" s="137" t="str">
        <f>IF(OR(tblPiNHistorical[[#This Row],[Health Old]]="", tblPiNHistorical[[#This Row],[Health Old]]=0, tblPiNHistorical[[#This Row],[Health New]]="", tblPiNHistorical[[#This Row],[Health New]]=0), "", tblPiNHistorical[[#This Row],[Health New]]-tblPiNHistorical[[#This Row],[Health Old]])</f>
        <v/>
      </c>
      <c r="AJ427" s="136" t="str">
        <f>IF(OR(tblPiNHistorical[[#This Row],[Nutrition Old]]="", tblPiNHistorical[[#This Row],[Nutrition Old]]=0, tblPiNHistorical[[#This Row],[Nutrition New]]="", tblPiNHistorical[[#This Row],[Nutrition New]]=0), "", tblPiNHistorical[[#This Row],[Nutrition New]]-tblPiNHistorical[[#This Row],[Nutrition Old]])</f>
        <v/>
      </c>
      <c r="AK427" s="136" t="str">
        <f>IF(OR(tblPiNHistorical[[#This Row],[Protection Old]]="", tblPiNHistorical[[#This Row],[Protection Old]]=0, tblPiNHistorical[[#This Row],[Protection New]]="", tblPiNHistorical[[#This Row],[Protection New]]=0), "", tblPiNHistorical[[#This Row],[Protection New]]-tblPiNHistorical[[#This Row],[Protection Old]])</f>
        <v/>
      </c>
      <c r="AL427" s="136" t="str">
        <f>IF(OR(tblPiNHistorical[[#This Row],[CP Old ]]="", tblPiNHistorical[[#This Row],[CP Old ]]=0, tblPiNHistorical[[#This Row],[CP New]]="", tblPiNHistorical[[#This Row],[CP New]]=0), "", tblPiNHistorical[[#This Row],[CP New]]-tblPiNHistorical[[#This Row],[CP Old ]])</f>
        <v/>
      </c>
      <c r="AM427" s="83" t="str">
        <f>IF(OR(tblPiNHistorical[[#This Row],[GBV Old]]="", tblPiNHistorical[[#This Row],[GBV Old]]=0, tblPiNHistorical[[#This Row],[GBV New]]="", tblPiNHistorical[[#This Row],[GBV New]]=0), "", tblPiNHistorical[[#This Row],[GBV New]]-tblPiNHistorical[[#This Row],[GBV Old]])</f>
        <v/>
      </c>
      <c r="AN427" s="83" t="str">
        <f>IF(OR(tblPiNHistorical[[#This Row],[Mine Action Old]]="", tblPiNHistorical[[#This Row],[Mine Action Old]]=0, tblPiNHistorical[[#This Row],[Mine Action New]]="", tblPiNHistorical[[#This Row],[Mine Action New]]=0), "", tblPiNHistorical[[#This Row],[Mine Action New]]-tblPiNHistorical[[#This Row],[Mine Action Old]])</f>
        <v/>
      </c>
      <c r="AO427" s="136">
        <f>IF(OR(tblPiNHistorical[[#This Row],[Shelter NFI Old]]="", tblPiNHistorical[[#This Row],[Shelter NFI Old]]=0, tblPiNHistorical[[#This Row],[Shelter NFI New]]="", tblPiNHistorical[[#This Row],[Shelter NFI New]]=0), "", tblPiNHistorical[[#This Row],[Shelter NFI New]]-tblPiNHistorical[[#This Row],[Shelter NFI Old]])</f>
        <v>-5795</v>
      </c>
      <c r="AP427" s="138" t="str">
        <f>IF(OR(tblPiNHistorical[[#This Row],[WASH Old]]="", tblPiNHistorical[[#This Row],[WASH Old]]=0, tblPiNHistorical[[#This Row],[WASH New]]="", tblPiNHistorical[[#This Row],[WASH New]]=0), "", tblPiNHistorical[[#This Row],[WASH New]]-tblPiNHistorical[[#This Row],[WASH Old]])</f>
        <v/>
      </c>
      <c r="AQ427" s="139" t="str">
        <f>IFERROR(ROUND((tblPiNHistorical[[#This Row],[Site Management - New]] - tblPiNHistorical[[#This Row],[Site Management - Old]])/tblPiNHistorical[[#This Row],[Site Management - Old]], 1), "")</f>
        <v/>
      </c>
      <c r="AR427" s="140">
        <f>IFERROR(ROUND((tblPiNHistorical[[#This Row],[Education New]]-tblPiNHistorical[[#This Row],[Education Old]])/tblPiNHistorical[[#This Row],[Education Old]], 1), "")</f>
        <v>-1</v>
      </c>
      <c r="AS427" s="141">
        <f>IFERROR(ROUND((tblPiNHistorical[[#This Row],[Food Security and Livlihoods New]]-tblPiNHistorical[[#This Row],[Food Security and Livlihoods Old]])/tblPiNHistorical[[#This Row],[Food Security and Livlihoods Old]], 1), "")</f>
        <v>-1</v>
      </c>
      <c r="AT427" s="142">
        <f>IFERROR(ROUND((tblPiNHistorical[[#This Row],[Health New]]-tblPiNHistorical[[#This Row],[Health Old]])/tblPiNHistorical[[#This Row],[Health Old]], 1), "")</f>
        <v>-1</v>
      </c>
      <c r="AU427" s="140">
        <f>IFERROR(ROUND((tblPiNHistorical[[#This Row],[Nutrition New]]-tblPiNHistorical[[#This Row],[Nutrition Old]])/tblPiNHistorical[[#This Row],[Nutrition Old]], 1), "")</f>
        <v>-1</v>
      </c>
      <c r="AV427" s="140">
        <f>IFERROR(ROUND((tblPiNHistorical[[#This Row],[Protection New]]-tblPiNHistorical[[#This Row],[Protection Old]])/tblPiNHistorical[[#This Row],[Protection Old]], 1), "")</f>
        <v>-1</v>
      </c>
      <c r="AW427" s="84">
        <f>IFERROR(ROUND((tblPiNHistorical[[#This Row],[CP New]]-tblPiNHistorical[[#This Row],[CP Old ]])/tblPiNHistorical[[#This Row],[CP Old ]], 1), "")</f>
        <v>-1</v>
      </c>
      <c r="AX427" s="84">
        <f>IFERROR(ROUND((tblPiNHistorical[[#This Row],[GBV New]]-tblPiNHistorical[[#This Row],[GBV Old]])/tblPiNHistorical[[#This Row],[GBV Old]], 1), "")</f>
        <v>-1</v>
      </c>
      <c r="AY427" s="84" t="str">
        <f>IFERROR(ROUND((tblPiNHistorical[[#This Row],[Mine Action New]]-tblPiNHistorical[[#This Row],[Mine Action Old]])/tblPiNHistorical[[#This Row],[Mine Action Old]], 1), "")</f>
        <v/>
      </c>
      <c r="AZ427" s="140">
        <f>IFERROR(ROUND((tblPiNHistorical[[#This Row],[Shelter NFI New]]-tblPiNHistorical[[#This Row],[Shelter NFI Old]])/tblPiNHistorical[[#This Row],[Shelter NFI Old]], 1), "")</f>
        <v>-0.6</v>
      </c>
      <c r="BA427" s="31">
        <f>IFERROR(ROUND((tblPiNHistorical[[#This Row],[WASH New]]-tblPiNHistorical[[#This Row],[WASH Old]])/tblPiNHistorical[[#This Row],[WASH Old]], 1), "")</f>
        <v>-1</v>
      </c>
    </row>
    <row r="428" spans="1:53" ht="38.25" x14ac:dyDescent="0.25">
      <c r="A428"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Host CommunitySD12080</v>
      </c>
      <c r="B428" s="134" t="s">
        <v>158</v>
      </c>
      <c r="C428" s="124" t="s">
        <v>129</v>
      </c>
      <c r="D428" s="124" t="s">
        <v>458</v>
      </c>
      <c r="E428" s="59" t="s">
        <v>459</v>
      </c>
      <c r="F428" s="54"/>
      <c r="G428" s="29"/>
      <c r="H428" s="53">
        <v>72357</v>
      </c>
      <c r="I428" s="53" t="s">
        <v>87</v>
      </c>
      <c r="J428" s="34">
        <v>0</v>
      </c>
      <c r="K428" s="116">
        <v>28052.8089</v>
      </c>
      <c r="L428" s="114">
        <v>14471.4</v>
      </c>
      <c r="M428" s="114">
        <v>72357</v>
      </c>
      <c r="N428" s="114">
        <v>7732</v>
      </c>
      <c r="O428" s="114">
        <v>22911</v>
      </c>
      <c r="P428" s="114">
        <v>7959</v>
      </c>
      <c r="Q428" s="114">
        <v>22911</v>
      </c>
      <c r="R428" s="114">
        <v>0</v>
      </c>
      <c r="S428" s="114">
        <v>21707</v>
      </c>
      <c r="T428" s="196">
        <v>31439.116500000004</v>
      </c>
      <c r="U428" s="52">
        <f>IFERROR(INDEX(tblPiNAnalysis[[Site Management ]], MATCH(tblPiNHistorical[[#This Row],[ID]], tblPiNAnalysis[ID], 0)), "")</f>
        <v>0</v>
      </c>
      <c r="V428" s="52">
        <f>IFERROR(INDEX(tblPiNAnalysis[Education], MATCH(tblPiNHistorical[[#This Row],[ID]], tblPiNAnalysis[ID], 0)), "")</f>
        <v>0</v>
      </c>
      <c r="W428" s="28">
        <f>IFERROR(INDEX(tblPiNAnalysis[Food Security and Livlihoods], MATCH(tblPiNHistorical[[#This Row],[ID]], tblPiNAnalysis[ID], 0)), "")</f>
        <v>0</v>
      </c>
      <c r="X428" s="28">
        <f>IFERROR(INDEX(tblPiNAnalysis[[Health ]], MATCH(tblPiNHistorical[[#This Row],[ID]], tblPiNAnalysis[ID], 0)), "")</f>
        <v>0</v>
      </c>
      <c r="Y428" s="28">
        <f>IFERROR(INDEX(tblPiNAnalysis[Nutrition], MATCH(tblPiNHistorical[[#This Row],[ID]], tblPiNAnalysis[ID], 0)), "")</f>
        <v>0</v>
      </c>
      <c r="Z428" s="28">
        <f>IFERROR(INDEX(tblPiNAnalysis[Protection], MATCH(tblPiNHistorical[[#This Row],[ID]], tblPiNAnalysis[ID], 0)), "")</f>
        <v>0</v>
      </c>
      <c r="AA428" s="28">
        <f>IFERROR(INDEX(tblPiNAnalysis[CP], MATCH(tblPiNHistorical[[#This Row],[ID]], tblPiNAnalysis[ID], 0)), "")</f>
        <v>0</v>
      </c>
      <c r="AB428" s="83">
        <f>IFERROR(INDEX(tblPiNAnalysis[GBV], MATCH(tblPiNHistorical[[#This Row],[ID]], tblPiNAnalysis[ID], 0)), "")</f>
        <v>0</v>
      </c>
      <c r="AC428" s="28">
        <f>IFERROR(INDEX(tblPiNAnalysis[Mine Action], MATCH(tblPiNHistorical[[#This Row],[ID]], tblPiNAnalysis[ID], 0)), "")</f>
        <v>0</v>
      </c>
      <c r="AD428" s="83">
        <f>IFERROR(INDEX(tblPiNAnalysis[[Shelter NFI ]], MATCH(tblPiNHistorical[[#This Row],[ID]], tblPiNAnalysis[ID], 0)), "")</f>
        <v>31255</v>
      </c>
      <c r="AE428" s="28">
        <f>IFERROR(INDEX(tblPiNAnalysis[WASH], MATCH(tblPiNHistorical[[#This Row],[ID]], tblPiNAnalysis[ID], 0)), "")</f>
        <v>0</v>
      </c>
      <c r="AF428"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428" s="136" t="str">
        <f>IF(OR(tblPiNHistorical[[#This Row],[Education Old]]="", tblPiNHistorical[[#This Row],[Education Old]]=0, tblPiNHistorical[[#This Row],[Education New]]="", tblPiNHistorical[[#This Row],[Education New]]=0), "", tblPiNHistorical[[#This Row],[Education New]]-tblPiNHistorical[[#This Row],[Education Old]])</f>
        <v/>
      </c>
      <c r="AH428"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428" s="137" t="str">
        <f>IF(OR(tblPiNHistorical[[#This Row],[Health Old]]="", tblPiNHistorical[[#This Row],[Health Old]]=0, tblPiNHistorical[[#This Row],[Health New]]="", tblPiNHistorical[[#This Row],[Health New]]=0), "", tblPiNHistorical[[#This Row],[Health New]]-tblPiNHistorical[[#This Row],[Health Old]])</f>
        <v/>
      </c>
      <c r="AJ428" s="136" t="str">
        <f>IF(OR(tblPiNHistorical[[#This Row],[Nutrition Old]]="", tblPiNHistorical[[#This Row],[Nutrition Old]]=0, tblPiNHistorical[[#This Row],[Nutrition New]]="", tblPiNHistorical[[#This Row],[Nutrition New]]=0), "", tblPiNHistorical[[#This Row],[Nutrition New]]-tblPiNHistorical[[#This Row],[Nutrition Old]])</f>
        <v/>
      </c>
      <c r="AK428" s="136" t="str">
        <f>IF(OR(tblPiNHistorical[[#This Row],[Protection Old]]="", tblPiNHistorical[[#This Row],[Protection Old]]=0, tblPiNHistorical[[#This Row],[Protection New]]="", tblPiNHistorical[[#This Row],[Protection New]]=0), "", tblPiNHistorical[[#This Row],[Protection New]]-tblPiNHistorical[[#This Row],[Protection Old]])</f>
        <v/>
      </c>
      <c r="AL428" s="136" t="str">
        <f>IF(OR(tblPiNHistorical[[#This Row],[CP Old ]]="", tblPiNHistorical[[#This Row],[CP Old ]]=0, tblPiNHistorical[[#This Row],[CP New]]="", tblPiNHistorical[[#This Row],[CP New]]=0), "", tblPiNHistorical[[#This Row],[CP New]]-tblPiNHistorical[[#This Row],[CP Old ]])</f>
        <v/>
      </c>
      <c r="AM428" s="83" t="str">
        <f>IF(OR(tblPiNHistorical[[#This Row],[GBV Old]]="", tblPiNHistorical[[#This Row],[GBV Old]]=0, tblPiNHistorical[[#This Row],[GBV New]]="", tblPiNHistorical[[#This Row],[GBV New]]=0), "", tblPiNHistorical[[#This Row],[GBV New]]-tblPiNHistorical[[#This Row],[GBV Old]])</f>
        <v/>
      </c>
      <c r="AN428" s="83" t="str">
        <f>IF(OR(tblPiNHistorical[[#This Row],[Mine Action Old]]="", tblPiNHistorical[[#This Row],[Mine Action Old]]=0, tblPiNHistorical[[#This Row],[Mine Action New]]="", tblPiNHistorical[[#This Row],[Mine Action New]]=0), "", tblPiNHistorical[[#This Row],[Mine Action New]]-tblPiNHistorical[[#This Row],[Mine Action Old]])</f>
        <v/>
      </c>
      <c r="AO428" s="136">
        <f>IF(OR(tblPiNHistorical[[#This Row],[Shelter NFI Old]]="", tblPiNHistorical[[#This Row],[Shelter NFI Old]]=0, tblPiNHistorical[[#This Row],[Shelter NFI New]]="", tblPiNHistorical[[#This Row],[Shelter NFI New]]=0), "", tblPiNHistorical[[#This Row],[Shelter NFI New]]-tblPiNHistorical[[#This Row],[Shelter NFI Old]])</f>
        <v>9548</v>
      </c>
      <c r="AP428" s="138" t="str">
        <f>IF(OR(tblPiNHistorical[[#This Row],[WASH Old]]="", tblPiNHistorical[[#This Row],[WASH Old]]=0, tblPiNHistorical[[#This Row],[WASH New]]="", tblPiNHistorical[[#This Row],[WASH New]]=0), "", tblPiNHistorical[[#This Row],[WASH New]]-tblPiNHistorical[[#This Row],[WASH Old]])</f>
        <v/>
      </c>
      <c r="AQ428" s="139" t="str">
        <f>IFERROR(ROUND((tblPiNHistorical[[#This Row],[Site Management - New]] - tblPiNHistorical[[#This Row],[Site Management - Old]])/tblPiNHistorical[[#This Row],[Site Management - Old]], 1), "")</f>
        <v/>
      </c>
      <c r="AR428" s="140">
        <f>IFERROR(ROUND((tblPiNHistorical[[#This Row],[Education New]]-tblPiNHistorical[[#This Row],[Education Old]])/tblPiNHistorical[[#This Row],[Education Old]], 1), "")</f>
        <v>-1</v>
      </c>
      <c r="AS428" s="141">
        <f>IFERROR(ROUND((tblPiNHistorical[[#This Row],[Food Security and Livlihoods New]]-tblPiNHistorical[[#This Row],[Food Security and Livlihoods Old]])/tblPiNHistorical[[#This Row],[Food Security and Livlihoods Old]], 1), "")</f>
        <v>-1</v>
      </c>
      <c r="AT428" s="142">
        <f>IFERROR(ROUND((tblPiNHistorical[[#This Row],[Health New]]-tblPiNHistorical[[#This Row],[Health Old]])/tblPiNHistorical[[#This Row],[Health Old]], 1), "")</f>
        <v>-1</v>
      </c>
      <c r="AU428" s="140">
        <f>IFERROR(ROUND((tblPiNHistorical[[#This Row],[Nutrition New]]-tblPiNHistorical[[#This Row],[Nutrition Old]])/tblPiNHistorical[[#This Row],[Nutrition Old]], 1), "")</f>
        <v>-1</v>
      </c>
      <c r="AV428" s="140">
        <f>IFERROR(ROUND((tblPiNHistorical[[#This Row],[Protection New]]-tblPiNHistorical[[#This Row],[Protection Old]])/tblPiNHistorical[[#This Row],[Protection Old]], 1), "")</f>
        <v>-1</v>
      </c>
      <c r="AW428" s="84">
        <f>IFERROR(ROUND((tblPiNHistorical[[#This Row],[CP New]]-tblPiNHistorical[[#This Row],[CP Old ]])/tblPiNHistorical[[#This Row],[CP Old ]], 1), "")</f>
        <v>-1</v>
      </c>
      <c r="AX428" s="84">
        <f>IFERROR(ROUND((tblPiNHistorical[[#This Row],[GBV New]]-tblPiNHistorical[[#This Row],[GBV Old]])/tblPiNHistorical[[#This Row],[GBV Old]], 1), "")</f>
        <v>-1</v>
      </c>
      <c r="AY428" s="84" t="str">
        <f>IFERROR(ROUND((tblPiNHistorical[[#This Row],[Mine Action New]]-tblPiNHistorical[[#This Row],[Mine Action Old]])/tblPiNHistorical[[#This Row],[Mine Action Old]], 1), "")</f>
        <v/>
      </c>
      <c r="AZ428" s="140">
        <f>IFERROR(ROUND((tblPiNHistorical[[#This Row],[Shelter NFI New]]-tblPiNHistorical[[#This Row],[Shelter NFI Old]])/tblPiNHistorical[[#This Row],[Shelter NFI Old]], 1), "")</f>
        <v>0.4</v>
      </c>
      <c r="BA428" s="31">
        <f>IFERROR(ROUND((tblPiNHistorical[[#This Row],[WASH New]]-tblPiNHistorical[[#This Row],[WASH Old]])/tblPiNHistorical[[#This Row],[WASH Old]], 1), "")</f>
        <v>-1</v>
      </c>
    </row>
    <row r="429" spans="1:53" ht="38.25" x14ac:dyDescent="0.25">
      <c r="A429"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Host CommunitySD12081</v>
      </c>
      <c r="B429" s="134" t="s">
        <v>158</v>
      </c>
      <c r="C429" s="124" t="s">
        <v>129</v>
      </c>
      <c r="D429" s="124" t="s">
        <v>460</v>
      </c>
      <c r="E429" s="59" t="s">
        <v>461</v>
      </c>
      <c r="F429" s="54"/>
      <c r="G429" s="29"/>
      <c r="H429" s="53">
        <v>37374</v>
      </c>
      <c r="I429" s="53" t="s">
        <v>87</v>
      </c>
      <c r="J429" s="34">
        <v>0</v>
      </c>
      <c r="K429" s="116">
        <v>0</v>
      </c>
      <c r="L429" s="114">
        <v>37374</v>
      </c>
      <c r="M429" s="114">
        <v>37374</v>
      </c>
      <c r="N429" s="114">
        <v>2091</v>
      </c>
      <c r="O429" s="114">
        <v>11834</v>
      </c>
      <c r="P429" s="114">
        <v>4111</v>
      </c>
      <c r="Q429" s="114">
        <v>11834</v>
      </c>
      <c r="R429" s="114">
        <v>0</v>
      </c>
      <c r="S429" s="114">
        <v>0</v>
      </c>
      <c r="T429" s="196">
        <v>22988.7474</v>
      </c>
      <c r="U429" s="52">
        <f>IFERROR(INDEX(tblPiNAnalysis[[Site Management ]], MATCH(tblPiNHistorical[[#This Row],[ID]], tblPiNAnalysis[ID], 0)), "")</f>
        <v>0</v>
      </c>
      <c r="V429" s="52">
        <f>IFERROR(INDEX(tblPiNAnalysis[Education], MATCH(tblPiNHistorical[[#This Row],[ID]], tblPiNAnalysis[ID], 0)), "")</f>
        <v>0</v>
      </c>
      <c r="W429" s="28">
        <f>IFERROR(INDEX(tblPiNAnalysis[Food Security and Livlihoods], MATCH(tblPiNHistorical[[#This Row],[ID]], tblPiNAnalysis[ID], 0)), "")</f>
        <v>0</v>
      </c>
      <c r="X429" s="28">
        <f>IFERROR(INDEX(tblPiNAnalysis[[Health ]], MATCH(tblPiNHistorical[[#This Row],[ID]], tblPiNAnalysis[ID], 0)), "")</f>
        <v>0</v>
      </c>
      <c r="Y429" s="28">
        <f>IFERROR(INDEX(tblPiNAnalysis[Nutrition], MATCH(tblPiNHistorical[[#This Row],[ID]], tblPiNAnalysis[ID], 0)), "")</f>
        <v>0</v>
      </c>
      <c r="Z429" s="28">
        <f>IFERROR(INDEX(tblPiNAnalysis[Protection], MATCH(tblPiNHistorical[[#This Row],[ID]], tblPiNAnalysis[ID], 0)), "")</f>
        <v>0</v>
      </c>
      <c r="AA429" s="28">
        <f>IFERROR(INDEX(tblPiNAnalysis[CP], MATCH(tblPiNHistorical[[#This Row],[ID]], tblPiNAnalysis[ID], 0)), "")</f>
        <v>0</v>
      </c>
      <c r="AB429" s="83">
        <f>IFERROR(INDEX(tblPiNAnalysis[GBV], MATCH(tblPiNHistorical[[#This Row],[ID]], tblPiNAnalysis[ID], 0)), "")</f>
        <v>0</v>
      </c>
      <c r="AC429" s="28">
        <f>IFERROR(INDEX(tblPiNAnalysis[Mine Action], MATCH(tblPiNHistorical[[#This Row],[ID]], tblPiNAnalysis[ID], 0)), "")</f>
        <v>0</v>
      </c>
      <c r="AD429" s="83">
        <f>IFERROR(INDEX(tblPiNAnalysis[[Shelter NFI ]], MATCH(tblPiNHistorical[[#This Row],[ID]], tblPiNAnalysis[ID], 0)), "")</f>
        <v>6169</v>
      </c>
      <c r="AE429" s="28">
        <f>IFERROR(INDEX(tblPiNAnalysis[WASH], MATCH(tblPiNHistorical[[#This Row],[ID]], tblPiNAnalysis[ID], 0)), "")</f>
        <v>0</v>
      </c>
      <c r="AF429"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429" s="136" t="str">
        <f>IF(OR(tblPiNHistorical[[#This Row],[Education Old]]="", tblPiNHistorical[[#This Row],[Education Old]]=0, tblPiNHistorical[[#This Row],[Education New]]="", tblPiNHistorical[[#This Row],[Education New]]=0), "", tblPiNHistorical[[#This Row],[Education New]]-tblPiNHistorical[[#This Row],[Education Old]])</f>
        <v/>
      </c>
      <c r="AH429"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429" s="137" t="str">
        <f>IF(OR(tblPiNHistorical[[#This Row],[Health Old]]="", tblPiNHistorical[[#This Row],[Health Old]]=0, tblPiNHistorical[[#This Row],[Health New]]="", tblPiNHistorical[[#This Row],[Health New]]=0), "", tblPiNHistorical[[#This Row],[Health New]]-tblPiNHistorical[[#This Row],[Health Old]])</f>
        <v/>
      </c>
      <c r="AJ429" s="136" t="str">
        <f>IF(OR(tblPiNHistorical[[#This Row],[Nutrition Old]]="", tblPiNHistorical[[#This Row],[Nutrition Old]]=0, tblPiNHistorical[[#This Row],[Nutrition New]]="", tblPiNHistorical[[#This Row],[Nutrition New]]=0), "", tblPiNHistorical[[#This Row],[Nutrition New]]-tblPiNHistorical[[#This Row],[Nutrition Old]])</f>
        <v/>
      </c>
      <c r="AK429" s="136" t="str">
        <f>IF(OR(tblPiNHistorical[[#This Row],[Protection Old]]="", tblPiNHistorical[[#This Row],[Protection Old]]=0, tblPiNHistorical[[#This Row],[Protection New]]="", tblPiNHistorical[[#This Row],[Protection New]]=0), "", tblPiNHistorical[[#This Row],[Protection New]]-tblPiNHistorical[[#This Row],[Protection Old]])</f>
        <v/>
      </c>
      <c r="AL429" s="136" t="str">
        <f>IF(OR(tblPiNHistorical[[#This Row],[CP Old ]]="", tblPiNHistorical[[#This Row],[CP Old ]]=0, tblPiNHistorical[[#This Row],[CP New]]="", tblPiNHistorical[[#This Row],[CP New]]=0), "", tblPiNHistorical[[#This Row],[CP New]]-tblPiNHistorical[[#This Row],[CP Old ]])</f>
        <v/>
      </c>
      <c r="AM429" s="83" t="str">
        <f>IF(OR(tblPiNHistorical[[#This Row],[GBV Old]]="", tblPiNHistorical[[#This Row],[GBV Old]]=0, tblPiNHistorical[[#This Row],[GBV New]]="", tblPiNHistorical[[#This Row],[GBV New]]=0), "", tblPiNHistorical[[#This Row],[GBV New]]-tblPiNHistorical[[#This Row],[GBV Old]])</f>
        <v/>
      </c>
      <c r="AN429" s="83" t="str">
        <f>IF(OR(tblPiNHistorical[[#This Row],[Mine Action Old]]="", tblPiNHistorical[[#This Row],[Mine Action Old]]=0, tblPiNHistorical[[#This Row],[Mine Action New]]="", tblPiNHistorical[[#This Row],[Mine Action New]]=0), "", tblPiNHistorical[[#This Row],[Mine Action New]]-tblPiNHistorical[[#This Row],[Mine Action Old]])</f>
        <v/>
      </c>
      <c r="AO429" s="136" t="str">
        <f>IF(OR(tblPiNHistorical[[#This Row],[Shelter NFI Old]]="", tblPiNHistorical[[#This Row],[Shelter NFI Old]]=0, tblPiNHistorical[[#This Row],[Shelter NFI New]]="", tblPiNHistorical[[#This Row],[Shelter NFI New]]=0), "", tblPiNHistorical[[#This Row],[Shelter NFI New]]-tblPiNHistorical[[#This Row],[Shelter NFI Old]])</f>
        <v/>
      </c>
      <c r="AP429" s="138" t="str">
        <f>IF(OR(tblPiNHistorical[[#This Row],[WASH Old]]="", tblPiNHistorical[[#This Row],[WASH Old]]=0, tblPiNHistorical[[#This Row],[WASH New]]="", tblPiNHistorical[[#This Row],[WASH New]]=0), "", tblPiNHistorical[[#This Row],[WASH New]]-tblPiNHistorical[[#This Row],[WASH Old]])</f>
        <v/>
      </c>
      <c r="AQ429" s="139" t="str">
        <f>IFERROR(ROUND((tblPiNHistorical[[#This Row],[Site Management - New]] - tblPiNHistorical[[#This Row],[Site Management - Old]])/tblPiNHistorical[[#This Row],[Site Management - Old]], 1), "")</f>
        <v/>
      </c>
      <c r="AR429" s="140" t="str">
        <f>IFERROR(ROUND((tblPiNHistorical[[#This Row],[Education New]]-tblPiNHistorical[[#This Row],[Education Old]])/tblPiNHistorical[[#This Row],[Education Old]], 1), "")</f>
        <v/>
      </c>
      <c r="AS429" s="141">
        <f>IFERROR(ROUND((tblPiNHistorical[[#This Row],[Food Security and Livlihoods New]]-tblPiNHistorical[[#This Row],[Food Security and Livlihoods Old]])/tblPiNHistorical[[#This Row],[Food Security and Livlihoods Old]], 1), "")</f>
        <v>-1</v>
      </c>
      <c r="AT429" s="142">
        <f>IFERROR(ROUND((tblPiNHistorical[[#This Row],[Health New]]-tblPiNHistorical[[#This Row],[Health Old]])/tblPiNHistorical[[#This Row],[Health Old]], 1), "")</f>
        <v>-1</v>
      </c>
      <c r="AU429" s="140">
        <f>IFERROR(ROUND((tblPiNHistorical[[#This Row],[Nutrition New]]-tblPiNHistorical[[#This Row],[Nutrition Old]])/tblPiNHistorical[[#This Row],[Nutrition Old]], 1), "")</f>
        <v>-1</v>
      </c>
      <c r="AV429" s="140">
        <f>IFERROR(ROUND((tblPiNHistorical[[#This Row],[Protection New]]-tblPiNHistorical[[#This Row],[Protection Old]])/tblPiNHistorical[[#This Row],[Protection Old]], 1), "")</f>
        <v>-1</v>
      </c>
      <c r="AW429" s="84">
        <f>IFERROR(ROUND((tblPiNHistorical[[#This Row],[CP New]]-tblPiNHistorical[[#This Row],[CP Old ]])/tblPiNHistorical[[#This Row],[CP Old ]], 1), "")</f>
        <v>-1</v>
      </c>
      <c r="AX429" s="84">
        <f>IFERROR(ROUND((tblPiNHistorical[[#This Row],[GBV New]]-tblPiNHistorical[[#This Row],[GBV Old]])/tblPiNHistorical[[#This Row],[GBV Old]], 1), "")</f>
        <v>-1</v>
      </c>
      <c r="AY429" s="84" t="str">
        <f>IFERROR(ROUND((tblPiNHistorical[[#This Row],[Mine Action New]]-tblPiNHistorical[[#This Row],[Mine Action Old]])/tblPiNHistorical[[#This Row],[Mine Action Old]], 1), "")</f>
        <v/>
      </c>
      <c r="AZ429" s="140" t="str">
        <f>IFERROR(ROUND((tblPiNHistorical[[#This Row],[Shelter NFI New]]-tblPiNHistorical[[#This Row],[Shelter NFI Old]])/tblPiNHistorical[[#This Row],[Shelter NFI Old]], 1), "")</f>
        <v/>
      </c>
      <c r="BA429" s="31">
        <f>IFERROR(ROUND((tblPiNHistorical[[#This Row],[WASH New]]-tblPiNHistorical[[#This Row],[WASH Old]])/tblPiNHistorical[[#This Row],[WASH Old]], 1), "")</f>
        <v>-1</v>
      </c>
    </row>
    <row r="430" spans="1:53" ht="38.25" x14ac:dyDescent="0.25">
      <c r="A430"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Host CommunitySD11052</v>
      </c>
      <c r="B430" s="134" t="s">
        <v>161</v>
      </c>
      <c r="C430" s="124" t="s">
        <v>128</v>
      </c>
      <c r="D430" s="124" t="s">
        <v>422</v>
      </c>
      <c r="E430" s="59" t="s">
        <v>423</v>
      </c>
      <c r="F430" s="54"/>
      <c r="G430" s="29"/>
      <c r="H430" s="53">
        <v>33448</v>
      </c>
      <c r="I430" s="53" t="s">
        <v>87</v>
      </c>
      <c r="J430" s="34">
        <v>0</v>
      </c>
      <c r="K430" s="116">
        <v>12967.7896</v>
      </c>
      <c r="L430" s="114">
        <v>33448</v>
      </c>
      <c r="M430" s="114">
        <v>33448</v>
      </c>
      <c r="N430" s="114">
        <v>1931</v>
      </c>
      <c r="O430" s="114">
        <v>10591</v>
      </c>
      <c r="P430" s="114">
        <v>3679</v>
      </c>
      <c r="Q430" s="114">
        <v>10591</v>
      </c>
      <c r="R430" s="114">
        <v>0</v>
      </c>
      <c r="S430" s="114">
        <v>6690</v>
      </c>
      <c r="T430" s="196">
        <v>20035.351999999999</v>
      </c>
      <c r="U430" s="52">
        <f>IFERROR(INDEX(tblPiNAnalysis[[Site Management ]], MATCH(tblPiNHistorical[[#This Row],[ID]], tblPiNAnalysis[ID], 0)), "")</f>
        <v>0</v>
      </c>
      <c r="V430" s="52">
        <f>IFERROR(INDEX(tblPiNAnalysis[Education], MATCH(tblPiNHistorical[[#This Row],[ID]], tblPiNAnalysis[ID], 0)), "")</f>
        <v>0</v>
      </c>
      <c r="W430" s="28">
        <f>IFERROR(INDEX(tblPiNAnalysis[Food Security and Livlihoods], MATCH(tblPiNHistorical[[#This Row],[ID]], tblPiNAnalysis[ID], 0)), "")</f>
        <v>0</v>
      </c>
      <c r="X430" s="28">
        <f>IFERROR(INDEX(tblPiNAnalysis[[Health ]], MATCH(tblPiNHistorical[[#This Row],[ID]], tblPiNAnalysis[ID], 0)), "")</f>
        <v>0</v>
      </c>
      <c r="Y430" s="28">
        <f>IFERROR(INDEX(tblPiNAnalysis[Nutrition], MATCH(tblPiNHistorical[[#This Row],[ID]], tblPiNAnalysis[ID], 0)), "")</f>
        <v>0</v>
      </c>
      <c r="Z430" s="28">
        <f>IFERROR(INDEX(tblPiNAnalysis[Protection], MATCH(tblPiNHistorical[[#This Row],[ID]], tblPiNAnalysis[ID], 0)), "")</f>
        <v>0</v>
      </c>
      <c r="AA430" s="28">
        <f>IFERROR(INDEX(tblPiNAnalysis[CP], MATCH(tblPiNHistorical[[#This Row],[ID]], tblPiNAnalysis[ID], 0)), "")</f>
        <v>0</v>
      </c>
      <c r="AB430" s="83">
        <f>IFERROR(INDEX(tblPiNAnalysis[GBV], MATCH(tblPiNHistorical[[#This Row],[ID]], tblPiNAnalysis[ID], 0)), "")</f>
        <v>0</v>
      </c>
      <c r="AC430" s="28">
        <f>IFERROR(INDEX(tblPiNAnalysis[Mine Action], MATCH(tblPiNHistorical[[#This Row],[ID]], tblPiNAnalysis[ID], 0)), "")</f>
        <v>0</v>
      </c>
      <c r="AD430" s="83">
        <f>IFERROR(INDEX(tblPiNAnalysis[[Shelter NFI ]], MATCH(tblPiNHistorical[[#This Row],[ID]], tblPiNAnalysis[ID], 0)), "")</f>
        <v>14353</v>
      </c>
      <c r="AE430" s="28">
        <f>IFERROR(INDEX(tblPiNAnalysis[WASH], MATCH(tblPiNHistorical[[#This Row],[ID]], tblPiNAnalysis[ID], 0)), "")</f>
        <v>0</v>
      </c>
      <c r="AF430"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430" s="136" t="str">
        <f>IF(OR(tblPiNHistorical[[#This Row],[Education Old]]="", tblPiNHistorical[[#This Row],[Education Old]]=0, tblPiNHistorical[[#This Row],[Education New]]="", tblPiNHistorical[[#This Row],[Education New]]=0), "", tblPiNHistorical[[#This Row],[Education New]]-tblPiNHistorical[[#This Row],[Education Old]])</f>
        <v/>
      </c>
      <c r="AH430"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430" s="137" t="str">
        <f>IF(OR(tblPiNHistorical[[#This Row],[Health Old]]="", tblPiNHistorical[[#This Row],[Health Old]]=0, tblPiNHistorical[[#This Row],[Health New]]="", tblPiNHistorical[[#This Row],[Health New]]=0), "", tblPiNHistorical[[#This Row],[Health New]]-tblPiNHistorical[[#This Row],[Health Old]])</f>
        <v/>
      </c>
      <c r="AJ430" s="136" t="str">
        <f>IF(OR(tblPiNHistorical[[#This Row],[Nutrition Old]]="", tblPiNHistorical[[#This Row],[Nutrition Old]]=0, tblPiNHistorical[[#This Row],[Nutrition New]]="", tblPiNHistorical[[#This Row],[Nutrition New]]=0), "", tblPiNHistorical[[#This Row],[Nutrition New]]-tblPiNHistorical[[#This Row],[Nutrition Old]])</f>
        <v/>
      </c>
      <c r="AK430" s="136" t="str">
        <f>IF(OR(tblPiNHistorical[[#This Row],[Protection Old]]="", tblPiNHistorical[[#This Row],[Protection Old]]=0, tblPiNHistorical[[#This Row],[Protection New]]="", tblPiNHistorical[[#This Row],[Protection New]]=0), "", tblPiNHistorical[[#This Row],[Protection New]]-tblPiNHistorical[[#This Row],[Protection Old]])</f>
        <v/>
      </c>
      <c r="AL430" s="136" t="str">
        <f>IF(OR(tblPiNHistorical[[#This Row],[CP Old ]]="", tblPiNHistorical[[#This Row],[CP Old ]]=0, tblPiNHistorical[[#This Row],[CP New]]="", tblPiNHistorical[[#This Row],[CP New]]=0), "", tblPiNHistorical[[#This Row],[CP New]]-tblPiNHistorical[[#This Row],[CP Old ]])</f>
        <v/>
      </c>
      <c r="AM430" s="83" t="str">
        <f>IF(OR(tblPiNHistorical[[#This Row],[GBV Old]]="", tblPiNHistorical[[#This Row],[GBV Old]]=0, tblPiNHistorical[[#This Row],[GBV New]]="", tblPiNHistorical[[#This Row],[GBV New]]=0), "", tblPiNHistorical[[#This Row],[GBV New]]-tblPiNHistorical[[#This Row],[GBV Old]])</f>
        <v/>
      </c>
      <c r="AN430" s="83" t="str">
        <f>IF(OR(tblPiNHistorical[[#This Row],[Mine Action Old]]="", tblPiNHistorical[[#This Row],[Mine Action Old]]=0, tblPiNHistorical[[#This Row],[Mine Action New]]="", tblPiNHistorical[[#This Row],[Mine Action New]]=0), "", tblPiNHistorical[[#This Row],[Mine Action New]]-tblPiNHistorical[[#This Row],[Mine Action Old]])</f>
        <v/>
      </c>
      <c r="AO430" s="136">
        <f>IF(OR(tblPiNHistorical[[#This Row],[Shelter NFI Old]]="", tblPiNHistorical[[#This Row],[Shelter NFI Old]]=0, tblPiNHistorical[[#This Row],[Shelter NFI New]]="", tblPiNHistorical[[#This Row],[Shelter NFI New]]=0), "", tblPiNHistorical[[#This Row],[Shelter NFI New]]-tblPiNHistorical[[#This Row],[Shelter NFI Old]])</f>
        <v>7663</v>
      </c>
      <c r="AP430" s="138" t="str">
        <f>IF(OR(tblPiNHistorical[[#This Row],[WASH Old]]="", tblPiNHistorical[[#This Row],[WASH Old]]=0, tblPiNHistorical[[#This Row],[WASH New]]="", tblPiNHistorical[[#This Row],[WASH New]]=0), "", tblPiNHistorical[[#This Row],[WASH New]]-tblPiNHistorical[[#This Row],[WASH Old]])</f>
        <v/>
      </c>
      <c r="AQ430" s="139" t="str">
        <f>IFERROR(ROUND((tblPiNHistorical[[#This Row],[Site Management - New]] - tblPiNHistorical[[#This Row],[Site Management - Old]])/tblPiNHistorical[[#This Row],[Site Management - Old]], 1), "")</f>
        <v/>
      </c>
      <c r="AR430" s="140">
        <f>IFERROR(ROUND((tblPiNHistorical[[#This Row],[Education New]]-tblPiNHistorical[[#This Row],[Education Old]])/tblPiNHistorical[[#This Row],[Education Old]], 1), "")</f>
        <v>-1</v>
      </c>
      <c r="AS430" s="141">
        <f>IFERROR(ROUND((tblPiNHistorical[[#This Row],[Food Security and Livlihoods New]]-tblPiNHistorical[[#This Row],[Food Security and Livlihoods Old]])/tblPiNHistorical[[#This Row],[Food Security and Livlihoods Old]], 1), "")</f>
        <v>-1</v>
      </c>
      <c r="AT430" s="142">
        <f>IFERROR(ROUND((tblPiNHistorical[[#This Row],[Health New]]-tblPiNHistorical[[#This Row],[Health Old]])/tblPiNHistorical[[#This Row],[Health Old]], 1), "")</f>
        <v>-1</v>
      </c>
      <c r="AU430" s="140">
        <f>IFERROR(ROUND((tblPiNHistorical[[#This Row],[Nutrition New]]-tblPiNHistorical[[#This Row],[Nutrition Old]])/tblPiNHistorical[[#This Row],[Nutrition Old]], 1), "")</f>
        <v>-1</v>
      </c>
      <c r="AV430" s="140">
        <f>IFERROR(ROUND((tblPiNHistorical[[#This Row],[Protection New]]-tblPiNHistorical[[#This Row],[Protection Old]])/tblPiNHistorical[[#This Row],[Protection Old]], 1), "")</f>
        <v>-1</v>
      </c>
      <c r="AW430" s="84">
        <f>IFERROR(ROUND((tblPiNHistorical[[#This Row],[CP New]]-tblPiNHistorical[[#This Row],[CP Old ]])/tblPiNHistorical[[#This Row],[CP Old ]], 1), "")</f>
        <v>-1</v>
      </c>
      <c r="AX430" s="84">
        <f>IFERROR(ROUND((tblPiNHistorical[[#This Row],[GBV New]]-tblPiNHistorical[[#This Row],[GBV Old]])/tblPiNHistorical[[#This Row],[GBV Old]], 1), "")</f>
        <v>-1</v>
      </c>
      <c r="AY430" s="84" t="str">
        <f>IFERROR(ROUND((tblPiNHistorical[[#This Row],[Mine Action New]]-tblPiNHistorical[[#This Row],[Mine Action Old]])/tblPiNHistorical[[#This Row],[Mine Action Old]], 1), "")</f>
        <v/>
      </c>
      <c r="AZ430" s="140">
        <f>IFERROR(ROUND((tblPiNHistorical[[#This Row],[Shelter NFI New]]-tblPiNHistorical[[#This Row],[Shelter NFI Old]])/tblPiNHistorical[[#This Row],[Shelter NFI Old]], 1), "")</f>
        <v>1.1000000000000001</v>
      </c>
      <c r="BA430" s="31">
        <f>IFERROR(ROUND((tblPiNHistorical[[#This Row],[WASH New]]-tblPiNHistorical[[#This Row],[WASH Old]])/tblPiNHistorical[[#This Row],[WASH Old]], 1), "")</f>
        <v>-1</v>
      </c>
    </row>
    <row r="431" spans="1:53" ht="38.25" x14ac:dyDescent="0.25">
      <c r="A431"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Host CommunitySD11053</v>
      </c>
      <c r="B431" s="134" t="s">
        <v>161</v>
      </c>
      <c r="C431" s="124" t="s">
        <v>128</v>
      </c>
      <c r="D431" s="124" t="s">
        <v>424</v>
      </c>
      <c r="E431" s="59" t="s">
        <v>425</v>
      </c>
      <c r="F431" s="54"/>
      <c r="G431" s="29"/>
      <c r="H431" s="53">
        <v>45576</v>
      </c>
      <c r="I431" s="53" t="s">
        <v>87</v>
      </c>
      <c r="J431" s="34">
        <v>0</v>
      </c>
      <c r="K431" s="116">
        <v>17669.815200000001</v>
      </c>
      <c r="L431" s="114">
        <v>45576</v>
      </c>
      <c r="M431" s="114">
        <v>45576</v>
      </c>
      <c r="N431" s="114">
        <v>5182</v>
      </c>
      <c r="O431" s="114">
        <v>14432</v>
      </c>
      <c r="P431" s="114">
        <v>5013</v>
      </c>
      <c r="Q431" s="114">
        <v>14432</v>
      </c>
      <c r="R431" s="114">
        <v>0</v>
      </c>
      <c r="S431" s="114">
        <v>9115</v>
      </c>
      <c r="T431" s="196">
        <v>15044.637600000002</v>
      </c>
      <c r="U431" s="52">
        <f>IFERROR(INDEX(tblPiNAnalysis[[Site Management ]], MATCH(tblPiNHistorical[[#This Row],[ID]], tblPiNAnalysis[ID], 0)), "")</f>
        <v>0</v>
      </c>
      <c r="V431" s="52">
        <f>IFERROR(INDEX(tblPiNAnalysis[Education], MATCH(tblPiNHistorical[[#This Row],[ID]], tblPiNAnalysis[ID], 0)), "")</f>
        <v>0</v>
      </c>
      <c r="W431" s="28">
        <f>IFERROR(INDEX(tblPiNAnalysis[Food Security and Livlihoods], MATCH(tblPiNHistorical[[#This Row],[ID]], tblPiNAnalysis[ID], 0)), "")</f>
        <v>0</v>
      </c>
      <c r="X431" s="28">
        <f>IFERROR(INDEX(tblPiNAnalysis[[Health ]], MATCH(tblPiNHistorical[[#This Row],[ID]], tblPiNAnalysis[ID], 0)), "")</f>
        <v>0</v>
      </c>
      <c r="Y431" s="28">
        <f>IFERROR(INDEX(tblPiNAnalysis[Nutrition], MATCH(tblPiNHistorical[[#This Row],[ID]], tblPiNAnalysis[ID], 0)), "")</f>
        <v>0</v>
      </c>
      <c r="Z431" s="28">
        <f>IFERROR(INDEX(tblPiNAnalysis[Protection], MATCH(tblPiNHistorical[[#This Row],[ID]], tblPiNAnalysis[ID], 0)), "")</f>
        <v>0</v>
      </c>
      <c r="AA431" s="28">
        <f>IFERROR(INDEX(tblPiNAnalysis[CP], MATCH(tblPiNHistorical[[#This Row],[ID]], tblPiNAnalysis[ID], 0)), "")</f>
        <v>0</v>
      </c>
      <c r="AB431" s="83">
        <f>IFERROR(INDEX(tblPiNAnalysis[GBV], MATCH(tblPiNHistorical[[#This Row],[ID]], tblPiNAnalysis[ID], 0)), "")</f>
        <v>0</v>
      </c>
      <c r="AC431" s="28">
        <f>IFERROR(INDEX(tblPiNAnalysis[Mine Action], MATCH(tblPiNHistorical[[#This Row],[ID]], tblPiNAnalysis[ID], 0)), "")</f>
        <v>0</v>
      </c>
      <c r="AD431" s="83">
        <f>IFERROR(INDEX(tblPiNAnalysis[[Shelter NFI ]], MATCH(tblPiNHistorical[[#This Row],[ID]], tblPiNAnalysis[ID], 0)), "")</f>
        <v>55683</v>
      </c>
      <c r="AE431" s="28">
        <f>IFERROR(INDEX(tblPiNAnalysis[WASH], MATCH(tblPiNHistorical[[#This Row],[ID]], tblPiNAnalysis[ID], 0)), "")</f>
        <v>0</v>
      </c>
      <c r="AF431"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431" s="136" t="str">
        <f>IF(OR(tblPiNHistorical[[#This Row],[Education Old]]="", tblPiNHistorical[[#This Row],[Education Old]]=0, tblPiNHistorical[[#This Row],[Education New]]="", tblPiNHistorical[[#This Row],[Education New]]=0), "", tblPiNHistorical[[#This Row],[Education New]]-tblPiNHistorical[[#This Row],[Education Old]])</f>
        <v/>
      </c>
      <c r="AH431"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431" s="137" t="str">
        <f>IF(OR(tblPiNHistorical[[#This Row],[Health Old]]="", tblPiNHistorical[[#This Row],[Health Old]]=0, tblPiNHistorical[[#This Row],[Health New]]="", tblPiNHistorical[[#This Row],[Health New]]=0), "", tblPiNHistorical[[#This Row],[Health New]]-tblPiNHistorical[[#This Row],[Health Old]])</f>
        <v/>
      </c>
      <c r="AJ431" s="136" t="str">
        <f>IF(OR(tblPiNHistorical[[#This Row],[Nutrition Old]]="", tblPiNHistorical[[#This Row],[Nutrition Old]]=0, tblPiNHistorical[[#This Row],[Nutrition New]]="", tblPiNHistorical[[#This Row],[Nutrition New]]=0), "", tblPiNHistorical[[#This Row],[Nutrition New]]-tblPiNHistorical[[#This Row],[Nutrition Old]])</f>
        <v/>
      </c>
      <c r="AK431" s="136" t="str">
        <f>IF(OR(tblPiNHistorical[[#This Row],[Protection Old]]="", tblPiNHistorical[[#This Row],[Protection Old]]=0, tblPiNHistorical[[#This Row],[Protection New]]="", tblPiNHistorical[[#This Row],[Protection New]]=0), "", tblPiNHistorical[[#This Row],[Protection New]]-tblPiNHistorical[[#This Row],[Protection Old]])</f>
        <v/>
      </c>
      <c r="AL431" s="136" t="str">
        <f>IF(OR(tblPiNHistorical[[#This Row],[CP Old ]]="", tblPiNHistorical[[#This Row],[CP Old ]]=0, tblPiNHistorical[[#This Row],[CP New]]="", tblPiNHistorical[[#This Row],[CP New]]=0), "", tblPiNHistorical[[#This Row],[CP New]]-tblPiNHistorical[[#This Row],[CP Old ]])</f>
        <v/>
      </c>
      <c r="AM431" s="83" t="str">
        <f>IF(OR(tblPiNHistorical[[#This Row],[GBV Old]]="", tblPiNHistorical[[#This Row],[GBV Old]]=0, tblPiNHistorical[[#This Row],[GBV New]]="", tblPiNHistorical[[#This Row],[GBV New]]=0), "", tblPiNHistorical[[#This Row],[GBV New]]-tblPiNHistorical[[#This Row],[GBV Old]])</f>
        <v/>
      </c>
      <c r="AN431" s="83" t="str">
        <f>IF(OR(tblPiNHistorical[[#This Row],[Mine Action Old]]="", tblPiNHistorical[[#This Row],[Mine Action Old]]=0, tblPiNHistorical[[#This Row],[Mine Action New]]="", tblPiNHistorical[[#This Row],[Mine Action New]]=0), "", tblPiNHistorical[[#This Row],[Mine Action New]]-tblPiNHistorical[[#This Row],[Mine Action Old]])</f>
        <v/>
      </c>
      <c r="AO431" s="136">
        <f>IF(OR(tblPiNHistorical[[#This Row],[Shelter NFI Old]]="", tblPiNHistorical[[#This Row],[Shelter NFI Old]]=0, tblPiNHistorical[[#This Row],[Shelter NFI New]]="", tblPiNHistorical[[#This Row],[Shelter NFI New]]=0), "", tblPiNHistorical[[#This Row],[Shelter NFI New]]-tblPiNHistorical[[#This Row],[Shelter NFI Old]])</f>
        <v>46568</v>
      </c>
      <c r="AP431" s="138" t="str">
        <f>IF(OR(tblPiNHistorical[[#This Row],[WASH Old]]="", tblPiNHistorical[[#This Row],[WASH Old]]=0, tblPiNHistorical[[#This Row],[WASH New]]="", tblPiNHistorical[[#This Row],[WASH New]]=0), "", tblPiNHistorical[[#This Row],[WASH New]]-tblPiNHistorical[[#This Row],[WASH Old]])</f>
        <v/>
      </c>
      <c r="AQ431" s="139" t="str">
        <f>IFERROR(ROUND((tblPiNHistorical[[#This Row],[Site Management - New]] - tblPiNHistorical[[#This Row],[Site Management - Old]])/tblPiNHistorical[[#This Row],[Site Management - Old]], 1), "")</f>
        <v/>
      </c>
      <c r="AR431" s="140">
        <f>IFERROR(ROUND((tblPiNHistorical[[#This Row],[Education New]]-tblPiNHistorical[[#This Row],[Education Old]])/tblPiNHistorical[[#This Row],[Education Old]], 1), "")</f>
        <v>-1</v>
      </c>
      <c r="AS431" s="141">
        <f>IFERROR(ROUND((tblPiNHistorical[[#This Row],[Food Security and Livlihoods New]]-tblPiNHistorical[[#This Row],[Food Security and Livlihoods Old]])/tblPiNHistorical[[#This Row],[Food Security and Livlihoods Old]], 1), "")</f>
        <v>-1</v>
      </c>
      <c r="AT431" s="142">
        <f>IFERROR(ROUND((tblPiNHistorical[[#This Row],[Health New]]-tblPiNHistorical[[#This Row],[Health Old]])/tblPiNHistorical[[#This Row],[Health Old]], 1), "")</f>
        <v>-1</v>
      </c>
      <c r="AU431" s="140">
        <f>IFERROR(ROUND((tblPiNHistorical[[#This Row],[Nutrition New]]-tblPiNHistorical[[#This Row],[Nutrition Old]])/tblPiNHistorical[[#This Row],[Nutrition Old]], 1), "")</f>
        <v>-1</v>
      </c>
      <c r="AV431" s="140">
        <f>IFERROR(ROUND((tblPiNHistorical[[#This Row],[Protection New]]-tblPiNHistorical[[#This Row],[Protection Old]])/tblPiNHistorical[[#This Row],[Protection Old]], 1), "")</f>
        <v>-1</v>
      </c>
      <c r="AW431" s="84">
        <f>IFERROR(ROUND((tblPiNHistorical[[#This Row],[CP New]]-tblPiNHistorical[[#This Row],[CP Old ]])/tblPiNHistorical[[#This Row],[CP Old ]], 1), "")</f>
        <v>-1</v>
      </c>
      <c r="AX431" s="84">
        <f>IFERROR(ROUND((tblPiNHistorical[[#This Row],[GBV New]]-tblPiNHistorical[[#This Row],[GBV Old]])/tblPiNHistorical[[#This Row],[GBV Old]], 1), "")</f>
        <v>-1</v>
      </c>
      <c r="AY431" s="84" t="str">
        <f>IFERROR(ROUND((tblPiNHistorical[[#This Row],[Mine Action New]]-tblPiNHistorical[[#This Row],[Mine Action Old]])/tblPiNHistorical[[#This Row],[Mine Action Old]], 1), "")</f>
        <v/>
      </c>
      <c r="AZ431" s="140">
        <f>IFERROR(ROUND((tblPiNHistorical[[#This Row],[Shelter NFI New]]-tblPiNHistorical[[#This Row],[Shelter NFI Old]])/tblPiNHistorical[[#This Row],[Shelter NFI Old]], 1), "")</f>
        <v>5.0999999999999996</v>
      </c>
      <c r="BA431" s="31">
        <f>IFERROR(ROUND((tblPiNHistorical[[#This Row],[WASH New]]-tblPiNHistorical[[#This Row],[WASH Old]])/tblPiNHistorical[[#This Row],[WASH Old]], 1), "")</f>
        <v>-1</v>
      </c>
    </row>
    <row r="432" spans="1:53" ht="38.25" x14ac:dyDescent="0.25">
      <c r="A432"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Host CommunitySD11055</v>
      </c>
      <c r="B432" s="134" t="s">
        <v>161</v>
      </c>
      <c r="C432" s="124" t="s">
        <v>128</v>
      </c>
      <c r="D432" s="124" t="s">
        <v>428</v>
      </c>
      <c r="E432" s="59" t="s">
        <v>429</v>
      </c>
      <c r="F432" s="54"/>
      <c r="G432" s="29"/>
      <c r="H432" s="53">
        <v>690</v>
      </c>
      <c r="I432" s="53" t="s">
        <v>87</v>
      </c>
      <c r="J432" s="34">
        <v>0</v>
      </c>
      <c r="K432" s="116">
        <v>267.51299999999998</v>
      </c>
      <c r="L432" s="114">
        <v>690</v>
      </c>
      <c r="M432" s="114">
        <v>690</v>
      </c>
      <c r="N432" s="114">
        <v>113</v>
      </c>
      <c r="O432" s="114">
        <v>75.90000000000002</v>
      </c>
      <c r="P432" s="114">
        <v>76</v>
      </c>
      <c r="Q432" s="114">
        <v>0</v>
      </c>
      <c r="R432" s="114">
        <v>0</v>
      </c>
      <c r="S432" s="114">
        <v>0</v>
      </c>
      <c r="T432" s="196">
        <v>690</v>
      </c>
      <c r="U432" s="52">
        <f>IFERROR(INDEX(tblPiNAnalysis[[Site Management ]], MATCH(tblPiNHistorical[[#This Row],[ID]], tblPiNAnalysis[ID], 0)), "")</f>
        <v>0</v>
      </c>
      <c r="V432" s="52">
        <f>IFERROR(INDEX(tblPiNAnalysis[Education], MATCH(tblPiNHistorical[[#This Row],[ID]], tblPiNAnalysis[ID], 0)), "")</f>
        <v>0</v>
      </c>
      <c r="W432" s="28">
        <f>IFERROR(INDEX(tblPiNAnalysis[Food Security and Livlihoods], MATCH(tblPiNHistorical[[#This Row],[ID]], tblPiNAnalysis[ID], 0)), "")</f>
        <v>0</v>
      </c>
      <c r="X432" s="28">
        <f>IFERROR(INDEX(tblPiNAnalysis[[Health ]], MATCH(tblPiNHistorical[[#This Row],[ID]], tblPiNAnalysis[ID], 0)), "")</f>
        <v>0</v>
      </c>
      <c r="Y432" s="28">
        <f>IFERROR(INDEX(tblPiNAnalysis[Nutrition], MATCH(tblPiNHistorical[[#This Row],[ID]], tblPiNAnalysis[ID], 0)), "")</f>
        <v>0</v>
      </c>
      <c r="Z432" s="28">
        <f>IFERROR(INDEX(tblPiNAnalysis[Protection], MATCH(tblPiNHistorical[[#This Row],[ID]], tblPiNAnalysis[ID], 0)), "")</f>
        <v>0</v>
      </c>
      <c r="AA432" s="28">
        <f>IFERROR(INDEX(tblPiNAnalysis[CP], MATCH(tblPiNHistorical[[#This Row],[ID]], tblPiNAnalysis[ID], 0)), "")</f>
        <v>0</v>
      </c>
      <c r="AB432" s="83">
        <f>IFERROR(INDEX(tblPiNAnalysis[GBV], MATCH(tblPiNHistorical[[#This Row],[ID]], tblPiNAnalysis[ID], 0)), "")</f>
        <v>0</v>
      </c>
      <c r="AC432" s="28">
        <f>IFERROR(INDEX(tblPiNAnalysis[Mine Action], MATCH(tblPiNHistorical[[#This Row],[ID]], tblPiNAnalysis[ID], 0)), "")</f>
        <v>0</v>
      </c>
      <c r="AD432" s="83">
        <f>IFERROR(INDEX(tblPiNAnalysis[[Shelter NFI ]], MATCH(tblPiNHistorical[[#This Row],[ID]], tblPiNAnalysis[ID], 0)), "")</f>
        <v>727</v>
      </c>
      <c r="AE432" s="28">
        <f>IFERROR(INDEX(tblPiNAnalysis[WASH], MATCH(tblPiNHistorical[[#This Row],[ID]], tblPiNAnalysis[ID], 0)), "")</f>
        <v>0</v>
      </c>
      <c r="AF432"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432" s="136" t="str">
        <f>IF(OR(tblPiNHistorical[[#This Row],[Education Old]]="", tblPiNHistorical[[#This Row],[Education Old]]=0, tblPiNHistorical[[#This Row],[Education New]]="", tblPiNHistorical[[#This Row],[Education New]]=0), "", tblPiNHistorical[[#This Row],[Education New]]-tblPiNHistorical[[#This Row],[Education Old]])</f>
        <v/>
      </c>
      <c r="AH432"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432" s="137" t="str">
        <f>IF(OR(tblPiNHistorical[[#This Row],[Health Old]]="", tblPiNHistorical[[#This Row],[Health Old]]=0, tblPiNHistorical[[#This Row],[Health New]]="", tblPiNHistorical[[#This Row],[Health New]]=0), "", tblPiNHistorical[[#This Row],[Health New]]-tblPiNHistorical[[#This Row],[Health Old]])</f>
        <v/>
      </c>
      <c r="AJ432" s="136" t="str">
        <f>IF(OR(tblPiNHistorical[[#This Row],[Nutrition Old]]="", tblPiNHistorical[[#This Row],[Nutrition Old]]=0, tblPiNHistorical[[#This Row],[Nutrition New]]="", tblPiNHistorical[[#This Row],[Nutrition New]]=0), "", tblPiNHistorical[[#This Row],[Nutrition New]]-tblPiNHistorical[[#This Row],[Nutrition Old]])</f>
        <v/>
      </c>
      <c r="AK432" s="136" t="str">
        <f>IF(OR(tblPiNHistorical[[#This Row],[Protection Old]]="", tblPiNHistorical[[#This Row],[Protection Old]]=0, tblPiNHistorical[[#This Row],[Protection New]]="", tblPiNHistorical[[#This Row],[Protection New]]=0), "", tblPiNHistorical[[#This Row],[Protection New]]-tblPiNHistorical[[#This Row],[Protection Old]])</f>
        <v/>
      </c>
      <c r="AL432" s="136" t="str">
        <f>IF(OR(tblPiNHistorical[[#This Row],[CP Old ]]="", tblPiNHistorical[[#This Row],[CP Old ]]=0, tblPiNHistorical[[#This Row],[CP New]]="", tblPiNHistorical[[#This Row],[CP New]]=0), "", tblPiNHistorical[[#This Row],[CP New]]-tblPiNHistorical[[#This Row],[CP Old ]])</f>
        <v/>
      </c>
      <c r="AM432" s="83" t="str">
        <f>IF(OR(tblPiNHistorical[[#This Row],[GBV Old]]="", tblPiNHistorical[[#This Row],[GBV Old]]=0, tblPiNHistorical[[#This Row],[GBV New]]="", tblPiNHistorical[[#This Row],[GBV New]]=0), "", tblPiNHistorical[[#This Row],[GBV New]]-tblPiNHistorical[[#This Row],[GBV Old]])</f>
        <v/>
      </c>
      <c r="AN432" s="83" t="str">
        <f>IF(OR(tblPiNHistorical[[#This Row],[Mine Action Old]]="", tblPiNHistorical[[#This Row],[Mine Action Old]]=0, tblPiNHistorical[[#This Row],[Mine Action New]]="", tblPiNHistorical[[#This Row],[Mine Action New]]=0), "", tblPiNHistorical[[#This Row],[Mine Action New]]-tblPiNHistorical[[#This Row],[Mine Action Old]])</f>
        <v/>
      </c>
      <c r="AO432" s="136" t="str">
        <f>IF(OR(tblPiNHistorical[[#This Row],[Shelter NFI Old]]="", tblPiNHistorical[[#This Row],[Shelter NFI Old]]=0, tblPiNHistorical[[#This Row],[Shelter NFI New]]="", tblPiNHistorical[[#This Row],[Shelter NFI New]]=0), "", tblPiNHistorical[[#This Row],[Shelter NFI New]]-tblPiNHistorical[[#This Row],[Shelter NFI Old]])</f>
        <v/>
      </c>
      <c r="AP432" s="138" t="str">
        <f>IF(OR(tblPiNHistorical[[#This Row],[WASH Old]]="", tblPiNHistorical[[#This Row],[WASH Old]]=0, tblPiNHistorical[[#This Row],[WASH New]]="", tblPiNHistorical[[#This Row],[WASH New]]=0), "", tblPiNHistorical[[#This Row],[WASH New]]-tblPiNHistorical[[#This Row],[WASH Old]])</f>
        <v/>
      </c>
      <c r="AQ432" s="139" t="str">
        <f>IFERROR(ROUND((tblPiNHistorical[[#This Row],[Site Management - New]] - tblPiNHistorical[[#This Row],[Site Management - Old]])/tblPiNHistorical[[#This Row],[Site Management - Old]], 1), "")</f>
        <v/>
      </c>
      <c r="AR432" s="140">
        <f>IFERROR(ROUND((tblPiNHistorical[[#This Row],[Education New]]-tblPiNHistorical[[#This Row],[Education Old]])/tblPiNHistorical[[#This Row],[Education Old]], 1), "")</f>
        <v>-1</v>
      </c>
      <c r="AS432" s="141">
        <f>IFERROR(ROUND((tblPiNHistorical[[#This Row],[Food Security and Livlihoods New]]-tblPiNHistorical[[#This Row],[Food Security and Livlihoods Old]])/tblPiNHistorical[[#This Row],[Food Security and Livlihoods Old]], 1), "")</f>
        <v>-1</v>
      </c>
      <c r="AT432" s="142">
        <f>IFERROR(ROUND((tblPiNHistorical[[#This Row],[Health New]]-tblPiNHistorical[[#This Row],[Health Old]])/tblPiNHistorical[[#This Row],[Health Old]], 1), "")</f>
        <v>-1</v>
      </c>
      <c r="AU432" s="140">
        <f>IFERROR(ROUND((tblPiNHistorical[[#This Row],[Nutrition New]]-tblPiNHistorical[[#This Row],[Nutrition Old]])/tblPiNHistorical[[#This Row],[Nutrition Old]], 1), "")</f>
        <v>-1</v>
      </c>
      <c r="AV432" s="140">
        <f>IFERROR(ROUND((tblPiNHistorical[[#This Row],[Protection New]]-tblPiNHistorical[[#This Row],[Protection Old]])/tblPiNHistorical[[#This Row],[Protection Old]], 1), "")</f>
        <v>-1</v>
      </c>
      <c r="AW432" s="84">
        <f>IFERROR(ROUND((tblPiNHistorical[[#This Row],[CP New]]-tblPiNHistorical[[#This Row],[CP Old ]])/tblPiNHistorical[[#This Row],[CP Old ]], 1), "")</f>
        <v>-1</v>
      </c>
      <c r="AX432" s="84" t="str">
        <f>IFERROR(ROUND((tblPiNHistorical[[#This Row],[GBV New]]-tblPiNHistorical[[#This Row],[GBV Old]])/tblPiNHistorical[[#This Row],[GBV Old]], 1), "")</f>
        <v/>
      </c>
      <c r="AY432" s="84" t="str">
        <f>IFERROR(ROUND((tblPiNHistorical[[#This Row],[Mine Action New]]-tblPiNHistorical[[#This Row],[Mine Action Old]])/tblPiNHistorical[[#This Row],[Mine Action Old]], 1), "")</f>
        <v/>
      </c>
      <c r="AZ432" s="140" t="str">
        <f>IFERROR(ROUND((tblPiNHistorical[[#This Row],[Shelter NFI New]]-tblPiNHistorical[[#This Row],[Shelter NFI Old]])/tblPiNHistorical[[#This Row],[Shelter NFI Old]], 1), "")</f>
        <v/>
      </c>
      <c r="BA432" s="31">
        <f>IFERROR(ROUND((tblPiNHistorical[[#This Row],[WASH New]]-tblPiNHistorical[[#This Row],[WASH Old]])/tblPiNHistorical[[#This Row],[WASH Old]], 1), "")</f>
        <v>-1</v>
      </c>
    </row>
    <row r="433" spans="1:53" ht="38.25" x14ac:dyDescent="0.25">
      <c r="A433"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Host CommunitySD11054</v>
      </c>
      <c r="B433" s="134" t="s">
        <v>161</v>
      </c>
      <c r="C433" s="124" t="s">
        <v>128</v>
      </c>
      <c r="D433" s="124" t="s">
        <v>426</v>
      </c>
      <c r="E433" s="59" t="s">
        <v>427</v>
      </c>
      <c r="F433" s="54"/>
      <c r="G433" s="29"/>
      <c r="H433" s="53">
        <v>0</v>
      </c>
      <c r="I433" s="53" t="s">
        <v>87</v>
      </c>
      <c r="J433" s="34">
        <v>0</v>
      </c>
      <c r="K433" s="116">
        <v>0</v>
      </c>
      <c r="L433" s="114">
        <v>0</v>
      </c>
      <c r="M433" s="114">
        <v>0</v>
      </c>
      <c r="N433" s="114">
        <v>0</v>
      </c>
      <c r="O433" s="114">
        <v>0</v>
      </c>
      <c r="P433" s="114">
        <v>0</v>
      </c>
      <c r="Q433" s="114">
        <v>0</v>
      </c>
      <c r="R433" s="114">
        <v>0</v>
      </c>
      <c r="S433" s="114">
        <v>0</v>
      </c>
      <c r="T433" s="196">
        <v>0</v>
      </c>
      <c r="U433" s="52">
        <f>IFERROR(INDEX(tblPiNAnalysis[[Site Management ]], MATCH(tblPiNHistorical[[#This Row],[ID]], tblPiNAnalysis[ID], 0)), "")</f>
        <v>0</v>
      </c>
      <c r="V433" s="52">
        <f>IFERROR(INDEX(tblPiNAnalysis[Education], MATCH(tblPiNHistorical[[#This Row],[ID]], tblPiNAnalysis[ID], 0)), "")</f>
        <v>0</v>
      </c>
      <c r="W433" s="28">
        <f>IFERROR(INDEX(tblPiNAnalysis[Food Security and Livlihoods], MATCH(tblPiNHistorical[[#This Row],[ID]], tblPiNAnalysis[ID], 0)), "")</f>
        <v>0</v>
      </c>
      <c r="X433" s="28">
        <f>IFERROR(INDEX(tblPiNAnalysis[[Health ]], MATCH(tblPiNHistorical[[#This Row],[ID]], tblPiNAnalysis[ID], 0)), "")</f>
        <v>0</v>
      </c>
      <c r="Y433" s="28">
        <f>IFERROR(INDEX(tblPiNAnalysis[Nutrition], MATCH(tblPiNHistorical[[#This Row],[ID]], tblPiNAnalysis[ID], 0)), "")</f>
        <v>0</v>
      </c>
      <c r="Z433" s="28">
        <f>IFERROR(INDEX(tblPiNAnalysis[Protection], MATCH(tblPiNHistorical[[#This Row],[ID]], tblPiNAnalysis[ID], 0)), "")</f>
        <v>0</v>
      </c>
      <c r="AA433" s="28">
        <f>IFERROR(INDEX(tblPiNAnalysis[CP], MATCH(tblPiNHistorical[[#This Row],[ID]], tblPiNAnalysis[ID], 0)), "")</f>
        <v>0</v>
      </c>
      <c r="AB433" s="83">
        <f>IFERROR(INDEX(tblPiNAnalysis[GBV], MATCH(tblPiNHistorical[[#This Row],[ID]], tblPiNAnalysis[ID], 0)), "")</f>
        <v>0</v>
      </c>
      <c r="AC433" s="28">
        <f>IFERROR(INDEX(tblPiNAnalysis[Mine Action], MATCH(tblPiNHistorical[[#This Row],[ID]], tblPiNAnalysis[ID], 0)), "")</f>
        <v>0</v>
      </c>
      <c r="AD433" s="83">
        <f>IFERROR(INDEX(tblPiNAnalysis[[Shelter NFI ]], MATCH(tblPiNHistorical[[#This Row],[ID]], tblPiNAnalysis[ID], 0)), "")</f>
        <v>18</v>
      </c>
      <c r="AE433" s="28">
        <f>IFERROR(INDEX(tblPiNAnalysis[WASH], MATCH(tblPiNHistorical[[#This Row],[ID]], tblPiNAnalysis[ID], 0)), "")</f>
        <v>0</v>
      </c>
      <c r="AF433"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433" s="136" t="str">
        <f>IF(OR(tblPiNHistorical[[#This Row],[Education Old]]="", tblPiNHistorical[[#This Row],[Education Old]]=0, tblPiNHistorical[[#This Row],[Education New]]="", tblPiNHistorical[[#This Row],[Education New]]=0), "", tblPiNHistorical[[#This Row],[Education New]]-tblPiNHistorical[[#This Row],[Education Old]])</f>
        <v/>
      </c>
      <c r="AH433"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433" s="137" t="str">
        <f>IF(OR(tblPiNHistorical[[#This Row],[Health Old]]="", tblPiNHistorical[[#This Row],[Health Old]]=0, tblPiNHistorical[[#This Row],[Health New]]="", tblPiNHistorical[[#This Row],[Health New]]=0), "", tblPiNHistorical[[#This Row],[Health New]]-tblPiNHistorical[[#This Row],[Health Old]])</f>
        <v/>
      </c>
      <c r="AJ433" s="136" t="str">
        <f>IF(OR(tblPiNHistorical[[#This Row],[Nutrition Old]]="", tblPiNHistorical[[#This Row],[Nutrition Old]]=0, tblPiNHistorical[[#This Row],[Nutrition New]]="", tblPiNHistorical[[#This Row],[Nutrition New]]=0), "", tblPiNHistorical[[#This Row],[Nutrition New]]-tblPiNHistorical[[#This Row],[Nutrition Old]])</f>
        <v/>
      </c>
      <c r="AK433" s="136" t="str">
        <f>IF(OR(tblPiNHistorical[[#This Row],[Protection Old]]="", tblPiNHistorical[[#This Row],[Protection Old]]=0, tblPiNHistorical[[#This Row],[Protection New]]="", tblPiNHistorical[[#This Row],[Protection New]]=0), "", tblPiNHistorical[[#This Row],[Protection New]]-tblPiNHistorical[[#This Row],[Protection Old]])</f>
        <v/>
      </c>
      <c r="AL433" s="136" t="str">
        <f>IF(OR(tblPiNHistorical[[#This Row],[CP Old ]]="", tblPiNHistorical[[#This Row],[CP Old ]]=0, tblPiNHistorical[[#This Row],[CP New]]="", tblPiNHistorical[[#This Row],[CP New]]=0), "", tblPiNHistorical[[#This Row],[CP New]]-tblPiNHistorical[[#This Row],[CP Old ]])</f>
        <v/>
      </c>
      <c r="AM433" s="83" t="str">
        <f>IF(OR(tblPiNHistorical[[#This Row],[GBV Old]]="", tblPiNHistorical[[#This Row],[GBV Old]]=0, tblPiNHistorical[[#This Row],[GBV New]]="", tblPiNHistorical[[#This Row],[GBV New]]=0), "", tblPiNHistorical[[#This Row],[GBV New]]-tblPiNHistorical[[#This Row],[GBV Old]])</f>
        <v/>
      </c>
      <c r="AN433" s="83" t="str">
        <f>IF(OR(tblPiNHistorical[[#This Row],[Mine Action Old]]="", tblPiNHistorical[[#This Row],[Mine Action Old]]=0, tblPiNHistorical[[#This Row],[Mine Action New]]="", tblPiNHistorical[[#This Row],[Mine Action New]]=0), "", tblPiNHistorical[[#This Row],[Mine Action New]]-tblPiNHistorical[[#This Row],[Mine Action Old]])</f>
        <v/>
      </c>
      <c r="AO433" s="136" t="str">
        <f>IF(OR(tblPiNHistorical[[#This Row],[Shelter NFI Old]]="", tblPiNHistorical[[#This Row],[Shelter NFI Old]]=0, tblPiNHistorical[[#This Row],[Shelter NFI New]]="", tblPiNHistorical[[#This Row],[Shelter NFI New]]=0), "", tblPiNHistorical[[#This Row],[Shelter NFI New]]-tblPiNHistorical[[#This Row],[Shelter NFI Old]])</f>
        <v/>
      </c>
      <c r="AP433" s="138" t="str">
        <f>IF(OR(tblPiNHistorical[[#This Row],[WASH Old]]="", tblPiNHistorical[[#This Row],[WASH Old]]=0, tblPiNHistorical[[#This Row],[WASH New]]="", tblPiNHistorical[[#This Row],[WASH New]]=0), "", tblPiNHistorical[[#This Row],[WASH New]]-tblPiNHistorical[[#This Row],[WASH Old]])</f>
        <v/>
      </c>
      <c r="AQ433" s="139" t="str">
        <f>IFERROR(ROUND((tblPiNHistorical[[#This Row],[Site Management - New]] - tblPiNHistorical[[#This Row],[Site Management - Old]])/tblPiNHistorical[[#This Row],[Site Management - Old]], 1), "")</f>
        <v/>
      </c>
      <c r="AR433" s="140" t="str">
        <f>IFERROR(ROUND((tblPiNHistorical[[#This Row],[Education New]]-tblPiNHistorical[[#This Row],[Education Old]])/tblPiNHistorical[[#This Row],[Education Old]], 1), "")</f>
        <v/>
      </c>
      <c r="AS433" s="141" t="str">
        <f>IFERROR(ROUND((tblPiNHistorical[[#This Row],[Food Security and Livlihoods New]]-tblPiNHistorical[[#This Row],[Food Security and Livlihoods Old]])/tblPiNHistorical[[#This Row],[Food Security and Livlihoods Old]], 1), "")</f>
        <v/>
      </c>
      <c r="AT433" s="142" t="str">
        <f>IFERROR(ROUND((tblPiNHistorical[[#This Row],[Health New]]-tblPiNHistorical[[#This Row],[Health Old]])/tblPiNHistorical[[#This Row],[Health Old]], 1), "")</f>
        <v/>
      </c>
      <c r="AU433" s="140" t="str">
        <f>IFERROR(ROUND((tblPiNHistorical[[#This Row],[Nutrition New]]-tblPiNHistorical[[#This Row],[Nutrition Old]])/tblPiNHistorical[[#This Row],[Nutrition Old]], 1), "")</f>
        <v/>
      </c>
      <c r="AV433" s="140" t="str">
        <f>IFERROR(ROUND((tblPiNHistorical[[#This Row],[Protection New]]-tblPiNHistorical[[#This Row],[Protection Old]])/tblPiNHistorical[[#This Row],[Protection Old]], 1), "")</f>
        <v/>
      </c>
      <c r="AW433" s="84" t="str">
        <f>IFERROR(ROUND((tblPiNHistorical[[#This Row],[CP New]]-tblPiNHistorical[[#This Row],[CP Old ]])/tblPiNHistorical[[#This Row],[CP Old ]], 1), "")</f>
        <v/>
      </c>
      <c r="AX433" s="84" t="str">
        <f>IFERROR(ROUND((tblPiNHistorical[[#This Row],[GBV New]]-tblPiNHistorical[[#This Row],[GBV Old]])/tblPiNHistorical[[#This Row],[GBV Old]], 1), "")</f>
        <v/>
      </c>
      <c r="AY433" s="84" t="str">
        <f>IFERROR(ROUND((tblPiNHistorical[[#This Row],[Mine Action New]]-tblPiNHistorical[[#This Row],[Mine Action Old]])/tblPiNHistorical[[#This Row],[Mine Action Old]], 1), "")</f>
        <v/>
      </c>
      <c r="AZ433" s="140" t="str">
        <f>IFERROR(ROUND((tblPiNHistorical[[#This Row],[Shelter NFI New]]-tblPiNHistorical[[#This Row],[Shelter NFI Old]])/tblPiNHistorical[[#This Row],[Shelter NFI Old]], 1), "")</f>
        <v/>
      </c>
      <c r="BA433" s="31" t="str">
        <f>IFERROR(ROUND((tblPiNHistorical[[#This Row],[WASH New]]-tblPiNHistorical[[#This Row],[WASH Old]])/tblPiNHistorical[[#This Row],[WASH Old]], 1), "")</f>
        <v/>
      </c>
    </row>
    <row r="434" spans="1:53" ht="38.25" x14ac:dyDescent="0.25">
      <c r="A434"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Host CommunitySD11058</v>
      </c>
      <c r="B434" s="134" t="s">
        <v>161</v>
      </c>
      <c r="C434" s="124" t="s">
        <v>128</v>
      </c>
      <c r="D434" s="124" t="s">
        <v>434</v>
      </c>
      <c r="E434" s="59" t="s">
        <v>435</v>
      </c>
      <c r="F434" s="54"/>
      <c r="G434" s="29"/>
      <c r="H434" s="53">
        <v>0</v>
      </c>
      <c r="I434" s="53" t="s">
        <v>87</v>
      </c>
      <c r="J434" s="34">
        <v>0</v>
      </c>
      <c r="K434" s="116">
        <v>0</v>
      </c>
      <c r="L434" s="114">
        <v>0</v>
      </c>
      <c r="M434" s="114">
        <v>0</v>
      </c>
      <c r="N434" s="114">
        <v>0</v>
      </c>
      <c r="O434" s="114">
        <v>0</v>
      </c>
      <c r="P434" s="114">
        <v>0</v>
      </c>
      <c r="Q434" s="114">
        <v>0</v>
      </c>
      <c r="R434" s="114">
        <v>0</v>
      </c>
      <c r="S434" s="114">
        <v>0</v>
      </c>
      <c r="T434" s="196">
        <v>0</v>
      </c>
      <c r="U434" s="52">
        <f>IFERROR(INDEX(tblPiNAnalysis[[Site Management ]], MATCH(tblPiNHistorical[[#This Row],[ID]], tblPiNAnalysis[ID], 0)), "")</f>
        <v>0</v>
      </c>
      <c r="V434" s="52">
        <f>IFERROR(INDEX(tblPiNAnalysis[Education], MATCH(tblPiNHistorical[[#This Row],[ID]], tblPiNAnalysis[ID], 0)), "")</f>
        <v>0</v>
      </c>
      <c r="W434" s="28">
        <f>IFERROR(INDEX(tblPiNAnalysis[Food Security and Livlihoods], MATCH(tblPiNHistorical[[#This Row],[ID]], tblPiNAnalysis[ID], 0)), "")</f>
        <v>0</v>
      </c>
      <c r="X434" s="28">
        <f>IFERROR(INDEX(tblPiNAnalysis[[Health ]], MATCH(tblPiNHistorical[[#This Row],[ID]], tblPiNAnalysis[ID], 0)), "")</f>
        <v>0</v>
      </c>
      <c r="Y434" s="28">
        <f>IFERROR(INDEX(tblPiNAnalysis[Nutrition], MATCH(tblPiNHistorical[[#This Row],[ID]], tblPiNAnalysis[ID], 0)), "")</f>
        <v>0</v>
      </c>
      <c r="Z434" s="28">
        <f>IFERROR(INDEX(tblPiNAnalysis[Protection], MATCH(tblPiNHistorical[[#This Row],[ID]], tblPiNAnalysis[ID], 0)), "")</f>
        <v>0</v>
      </c>
      <c r="AA434" s="28">
        <f>IFERROR(INDEX(tblPiNAnalysis[CP], MATCH(tblPiNHistorical[[#This Row],[ID]], tblPiNAnalysis[ID], 0)), "")</f>
        <v>0</v>
      </c>
      <c r="AB434" s="83">
        <f>IFERROR(INDEX(tblPiNAnalysis[GBV], MATCH(tblPiNHistorical[[#This Row],[ID]], tblPiNAnalysis[ID], 0)), "")</f>
        <v>0</v>
      </c>
      <c r="AC434" s="28">
        <f>IFERROR(INDEX(tblPiNAnalysis[Mine Action], MATCH(tblPiNHistorical[[#This Row],[ID]], tblPiNAnalysis[ID], 0)), "")</f>
        <v>0</v>
      </c>
      <c r="AD434" s="83">
        <f>IFERROR(INDEX(tblPiNAnalysis[[Shelter NFI ]], MATCH(tblPiNHistorical[[#This Row],[ID]], tblPiNAnalysis[ID], 0)), "")</f>
        <v>374</v>
      </c>
      <c r="AE434" s="28">
        <f>IFERROR(INDEX(tblPiNAnalysis[WASH], MATCH(tblPiNHistorical[[#This Row],[ID]], tblPiNAnalysis[ID], 0)), "")</f>
        <v>0</v>
      </c>
      <c r="AF434"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434" s="136" t="str">
        <f>IF(OR(tblPiNHistorical[[#This Row],[Education Old]]="", tblPiNHistorical[[#This Row],[Education Old]]=0, tblPiNHistorical[[#This Row],[Education New]]="", tblPiNHistorical[[#This Row],[Education New]]=0), "", tblPiNHistorical[[#This Row],[Education New]]-tblPiNHistorical[[#This Row],[Education Old]])</f>
        <v/>
      </c>
      <c r="AH434"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434" s="137" t="str">
        <f>IF(OR(tblPiNHistorical[[#This Row],[Health Old]]="", tblPiNHistorical[[#This Row],[Health Old]]=0, tblPiNHistorical[[#This Row],[Health New]]="", tblPiNHistorical[[#This Row],[Health New]]=0), "", tblPiNHistorical[[#This Row],[Health New]]-tblPiNHistorical[[#This Row],[Health Old]])</f>
        <v/>
      </c>
      <c r="AJ434" s="136" t="str">
        <f>IF(OR(tblPiNHistorical[[#This Row],[Nutrition Old]]="", tblPiNHistorical[[#This Row],[Nutrition Old]]=0, tblPiNHistorical[[#This Row],[Nutrition New]]="", tblPiNHistorical[[#This Row],[Nutrition New]]=0), "", tblPiNHistorical[[#This Row],[Nutrition New]]-tblPiNHistorical[[#This Row],[Nutrition Old]])</f>
        <v/>
      </c>
      <c r="AK434" s="136" t="str">
        <f>IF(OR(tblPiNHistorical[[#This Row],[Protection Old]]="", tblPiNHistorical[[#This Row],[Protection Old]]=0, tblPiNHistorical[[#This Row],[Protection New]]="", tblPiNHistorical[[#This Row],[Protection New]]=0), "", tblPiNHistorical[[#This Row],[Protection New]]-tblPiNHistorical[[#This Row],[Protection Old]])</f>
        <v/>
      </c>
      <c r="AL434" s="136" t="str">
        <f>IF(OR(tblPiNHistorical[[#This Row],[CP Old ]]="", tblPiNHistorical[[#This Row],[CP Old ]]=0, tblPiNHistorical[[#This Row],[CP New]]="", tblPiNHistorical[[#This Row],[CP New]]=0), "", tblPiNHistorical[[#This Row],[CP New]]-tblPiNHistorical[[#This Row],[CP Old ]])</f>
        <v/>
      </c>
      <c r="AM434" s="83" t="str">
        <f>IF(OR(tblPiNHistorical[[#This Row],[GBV Old]]="", tblPiNHistorical[[#This Row],[GBV Old]]=0, tblPiNHistorical[[#This Row],[GBV New]]="", tblPiNHistorical[[#This Row],[GBV New]]=0), "", tblPiNHistorical[[#This Row],[GBV New]]-tblPiNHistorical[[#This Row],[GBV Old]])</f>
        <v/>
      </c>
      <c r="AN434" s="83" t="str">
        <f>IF(OR(tblPiNHistorical[[#This Row],[Mine Action Old]]="", tblPiNHistorical[[#This Row],[Mine Action Old]]=0, tblPiNHistorical[[#This Row],[Mine Action New]]="", tblPiNHistorical[[#This Row],[Mine Action New]]=0), "", tblPiNHistorical[[#This Row],[Mine Action New]]-tblPiNHistorical[[#This Row],[Mine Action Old]])</f>
        <v/>
      </c>
      <c r="AO434" s="136" t="str">
        <f>IF(OR(tblPiNHistorical[[#This Row],[Shelter NFI Old]]="", tblPiNHistorical[[#This Row],[Shelter NFI Old]]=0, tblPiNHistorical[[#This Row],[Shelter NFI New]]="", tblPiNHistorical[[#This Row],[Shelter NFI New]]=0), "", tblPiNHistorical[[#This Row],[Shelter NFI New]]-tblPiNHistorical[[#This Row],[Shelter NFI Old]])</f>
        <v/>
      </c>
      <c r="AP434" s="138" t="str">
        <f>IF(OR(tblPiNHistorical[[#This Row],[WASH Old]]="", tblPiNHistorical[[#This Row],[WASH Old]]=0, tblPiNHistorical[[#This Row],[WASH New]]="", tblPiNHistorical[[#This Row],[WASH New]]=0), "", tblPiNHistorical[[#This Row],[WASH New]]-tblPiNHistorical[[#This Row],[WASH Old]])</f>
        <v/>
      </c>
      <c r="AQ434" s="139" t="str">
        <f>IFERROR(ROUND((tblPiNHistorical[[#This Row],[Site Management - New]] - tblPiNHistorical[[#This Row],[Site Management - Old]])/tblPiNHistorical[[#This Row],[Site Management - Old]], 1), "")</f>
        <v/>
      </c>
      <c r="AR434" s="140" t="str">
        <f>IFERROR(ROUND((tblPiNHistorical[[#This Row],[Education New]]-tblPiNHistorical[[#This Row],[Education Old]])/tblPiNHistorical[[#This Row],[Education Old]], 1), "")</f>
        <v/>
      </c>
      <c r="AS434" s="141" t="str">
        <f>IFERROR(ROUND((tblPiNHistorical[[#This Row],[Food Security and Livlihoods New]]-tblPiNHistorical[[#This Row],[Food Security and Livlihoods Old]])/tblPiNHistorical[[#This Row],[Food Security and Livlihoods Old]], 1), "")</f>
        <v/>
      </c>
      <c r="AT434" s="142" t="str">
        <f>IFERROR(ROUND((tblPiNHistorical[[#This Row],[Health New]]-tblPiNHistorical[[#This Row],[Health Old]])/tblPiNHistorical[[#This Row],[Health Old]], 1), "")</f>
        <v/>
      </c>
      <c r="AU434" s="140" t="str">
        <f>IFERROR(ROUND((tblPiNHistorical[[#This Row],[Nutrition New]]-tblPiNHistorical[[#This Row],[Nutrition Old]])/tblPiNHistorical[[#This Row],[Nutrition Old]], 1), "")</f>
        <v/>
      </c>
      <c r="AV434" s="140" t="str">
        <f>IFERROR(ROUND((tblPiNHistorical[[#This Row],[Protection New]]-tblPiNHistorical[[#This Row],[Protection Old]])/tblPiNHistorical[[#This Row],[Protection Old]], 1), "")</f>
        <v/>
      </c>
      <c r="AW434" s="84" t="str">
        <f>IFERROR(ROUND((tblPiNHistorical[[#This Row],[CP New]]-tblPiNHistorical[[#This Row],[CP Old ]])/tblPiNHistorical[[#This Row],[CP Old ]], 1), "")</f>
        <v/>
      </c>
      <c r="AX434" s="84" t="str">
        <f>IFERROR(ROUND((tblPiNHistorical[[#This Row],[GBV New]]-tblPiNHistorical[[#This Row],[GBV Old]])/tblPiNHistorical[[#This Row],[GBV Old]], 1), "")</f>
        <v/>
      </c>
      <c r="AY434" s="84" t="str">
        <f>IFERROR(ROUND((tblPiNHistorical[[#This Row],[Mine Action New]]-tblPiNHistorical[[#This Row],[Mine Action Old]])/tblPiNHistorical[[#This Row],[Mine Action Old]], 1), "")</f>
        <v/>
      </c>
      <c r="AZ434" s="140" t="str">
        <f>IFERROR(ROUND((tblPiNHistorical[[#This Row],[Shelter NFI New]]-tblPiNHistorical[[#This Row],[Shelter NFI Old]])/tblPiNHistorical[[#This Row],[Shelter NFI Old]], 1), "")</f>
        <v/>
      </c>
      <c r="BA434" s="31" t="str">
        <f>IFERROR(ROUND((tblPiNHistorical[[#This Row],[WASH New]]-tblPiNHistorical[[#This Row],[WASH Old]])/tblPiNHistorical[[#This Row],[WASH Old]], 1), "")</f>
        <v/>
      </c>
    </row>
    <row r="435" spans="1:53" ht="38.25" x14ac:dyDescent="0.25">
      <c r="A435"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Host CommunitySD11056</v>
      </c>
      <c r="B435" s="134" t="s">
        <v>161</v>
      </c>
      <c r="C435" s="124" t="s">
        <v>128</v>
      </c>
      <c r="D435" s="124" t="s">
        <v>430</v>
      </c>
      <c r="E435" s="59" t="s">
        <v>431</v>
      </c>
      <c r="F435" s="54"/>
      <c r="G435" s="29"/>
      <c r="H435" s="53">
        <v>28823</v>
      </c>
      <c r="I435" s="53" t="s">
        <v>87</v>
      </c>
      <c r="J435" s="34">
        <v>0</v>
      </c>
      <c r="K435" s="116">
        <v>0</v>
      </c>
      <c r="L435" s="114">
        <v>28823</v>
      </c>
      <c r="M435" s="114">
        <v>28823</v>
      </c>
      <c r="N435" s="114">
        <v>2573</v>
      </c>
      <c r="O435" s="114">
        <v>7606</v>
      </c>
      <c r="P435" s="114">
        <v>3171</v>
      </c>
      <c r="Q435" s="114">
        <v>7606</v>
      </c>
      <c r="R435" s="114">
        <v>0</v>
      </c>
      <c r="S435" s="114">
        <v>0</v>
      </c>
      <c r="T435" s="196">
        <v>24831.014500000005</v>
      </c>
      <c r="U435" s="52">
        <f>IFERROR(INDEX(tblPiNAnalysis[[Site Management ]], MATCH(tblPiNHistorical[[#This Row],[ID]], tblPiNAnalysis[ID], 0)), "")</f>
        <v>0</v>
      </c>
      <c r="V435" s="52">
        <f>IFERROR(INDEX(tblPiNAnalysis[Education], MATCH(tblPiNHistorical[[#This Row],[ID]], tblPiNAnalysis[ID], 0)), "")</f>
        <v>0</v>
      </c>
      <c r="W435" s="28">
        <f>IFERROR(INDEX(tblPiNAnalysis[Food Security and Livlihoods], MATCH(tblPiNHistorical[[#This Row],[ID]], tblPiNAnalysis[ID], 0)), "")</f>
        <v>0</v>
      </c>
      <c r="X435" s="28">
        <f>IFERROR(INDEX(tblPiNAnalysis[[Health ]], MATCH(tblPiNHistorical[[#This Row],[ID]], tblPiNAnalysis[ID], 0)), "")</f>
        <v>0</v>
      </c>
      <c r="Y435" s="28">
        <f>IFERROR(INDEX(tblPiNAnalysis[Nutrition], MATCH(tblPiNHistorical[[#This Row],[ID]], tblPiNAnalysis[ID], 0)), "")</f>
        <v>0</v>
      </c>
      <c r="Z435" s="28">
        <f>IFERROR(INDEX(tblPiNAnalysis[Protection], MATCH(tblPiNHistorical[[#This Row],[ID]], tblPiNAnalysis[ID], 0)), "")</f>
        <v>0</v>
      </c>
      <c r="AA435" s="28">
        <f>IFERROR(INDEX(tblPiNAnalysis[CP], MATCH(tblPiNHistorical[[#This Row],[ID]], tblPiNAnalysis[ID], 0)), "")</f>
        <v>0</v>
      </c>
      <c r="AB435" s="83">
        <f>IFERROR(INDEX(tblPiNAnalysis[GBV], MATCH(tblPiNHistorical[[#This Row],[ID]], tblPiNAnalysis[ID], 0)), "")</f>
        <v>0</v>
      </c>
      <c r="AC435" s="28">
        <f>IFERROR(INDEX(tblPiNAnalysis[Mine Action], MATCH(tblPiNHistorical[[#This Row],[ID]], tblPiNAnalysis[ID], 0)), "")</f>
        <v>0</v>
      </c>
      <c r="AD435" s="83">
        <f>IFERROR(INDEX(tblPiNAnalysis[[Shelter NFI ]], MATCH(tblPiNHistorical[[#This Row],[ID]], tblPiNAnalysis[ID], 0)), "")</f>
        <v>6248</v>
      </c>
      <c r="AE435" s="28">
        <f>IFERROR(INDEX(tblPiNAnalysis[WASH], MATCH(tblPiNHistorical[[#This Row],[ID]], tblPiNAnalysis[ID], 0)), "")</f>
        <v>0</v>
      </c>
      <c r="AF435"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435" s="136" t="str">
        <f>IF(OR(tblPiNHistorical[[#This Row],[Education Old]]="", tblPiNHistorical[[#This Row],[Education Old]]=0, tblPiNHistorical[[#This Row],[Education New]]="", tblPiNHistorical[[#This Row],[Education New]]=0), "", tblPiNHistorical[[#This Row],[Education New]]-tblPiNHistorical[[#This Row],[Education Old]])</f>
        <v/>
      </c>
      <c r="AH435"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435" s="137" t="str">
        <f>IF(OR(tblPiNHistorical[[#This Row],[Health Old]]="", tblPiNHistorical[[#This Row],[Health Old]]=0, tblPiNHistorical[[#This Row],[Health New]]="", tblPiNHistorical[[#This Row],[Health New]]=0), "", tblPiNHistorical[[#This Row],[Health New]]-tblPiNHistorical[[#This Row],[Health Old]])</f>
        <v/>
      </c>
      <c r="AJ435" s="136" t="str">
        <f>IF(OR(tblPiNHistorical[[#This Row],[Nutrition Old]]="", tblPiNHistorical[[#This Row],[Nutrition Old]]=0, tblPiNHistorical[[#This Row],[Nutrition New]]="", tblPiNHistorical[[#This Row],[Nutrition New]]=0), "", tblPiNHistorical[[#This Row],[Nutrition New]]-tblPiNHistorical[[#This Row],[Nutrition Old]])</f>
        <v/>
      </c>
      <c r="AK435" s="136" t="str">
        <f>IF(OR(tblPiNHistorical[[#This Row],[Protection Old]]="", tblPiNHistorical[[#This Row],[Protection Old]]=0, tblPiNHistorical[[#This Row],[Protection New]]="", tblPiNHistorical[[#This Row],[Protection New]]=0), "", tblPiNHistorical[[#This Row],[Protection New]]-tblPiNHistorical[[#This Row],[Protection Old]])</f>
        <v/>
      </c>
      <c r="AL435" s="136" t="str">
        <f>IF(OR(tblPiNHistorical[[#This Row],[CP Old ]]="", tblPiNHistorical[[#This Row],[CP Old ]]=0, tblPiNHistorical[[#This Row],[CP New]]="", tblPiNHistorical[[#This Row],[CP New]]=0), "", tblPiNHistorical[[#This Row],[CP New]]-tblPiNHistorical[[#This Row],[CP Old ]])</f>
        <v/>
      </c>
      <c r="AM435" s="83" t="str">
        <f>IF(OR(tblPiNHistorical[[#This Row],[GBV Old]]="", tblPiNHistorical[[#This Row],[GBV Old]]=0, tblPiNHistorical[[#This Row],[GBV New]]="", tblPiNHistorical[[#This Row],[GBV New]]=0), "", tblPiNHistorical[[#This Row],[GBV New]]-tblPiNHistorical[[#This Row],[GBV Old]])</f>
        <v/>
      </c>
      <c r="AN435" s="83" t="str">
        <f>IF(OR(tblPiNHistorical[[#This Row],[Mine Action Old]]="", tblPiNHistorical[[#This Row],[Mine Action Old]]=0, tblPiNHistorical[[#This Row],[Mine Action New]]="", tblPiNHistorical[[#This Row],[Mine Action New]]=0), "", tblPiNHistorical[[#This Row],[Mine Action New]]-tblPiNHistorical[[#This Row],[Mine Action Old]])</f>
        <v/>
      </c>
      <c r="AO435" s="136" t="str">
        <f>IF(OR(tblPiNHistorical[[#This Row],[Shelter NFI Old]]="", tblPiNHistorical[[#This Row],[Shelter NFI Old]]=0, tblPiNHistorical[[#This Row],[Shelter NFI New]]="", tblPiNHistorical[[#This Row],[Shelter NFI New]]=0), "", tblPiNHistorical[[#This Row],[Shelter NFI New]]-tblPiNHistorical[[#This Row],[Shelter NFI Old]])</f>
        <v/>
      </c>
      <c r="AP435" s="138" t="str">
        <f>IF(OR(tblPiNHistorical[[#This Row],[WASH Old]]="", tblPiNHistorical[[#This Row],[WASH Old]]=0, tblPiNHistorical[[#This Row],[WASH New]]="", tblPiNHistorical[[#This Row],[WASH New]]=0), "", tblPiNHistorical[[#This Row],[WASH New]]-tblPiNHistorical[[#This Row],[WASH Old]])</f>
        <v/>
      </c>
      <c r="AQ435" s="139" t="str">
        <f>IFERROR(ROUND((tblPiNHistorical[[#This Row],[Site Management - New]] - tblPiNHistorical[[#This Row],[Site Management - Old]])/tblPiNHistorical[[#This Row],[Site Management - Old]], 1), "")</f>
        <v/>
      </c>
      <c r="AR435" s="140" t="str">
        <f>IFERROR(ROUND((tblPiNHistorical[[#This Row],[Education New]]-tblPiNHistorical[[#This Row],[Education Old]])/tblPiNHistorical[[#This Row],[Education Old]], 1), "")</f>
        <v/>
      </c>
      <c r="AS435" s="141">
        <f>IFERROR(ROUND((tblPiNHistorical[[#This Row],[Food Security and Livlihoods New]]-tblPiNHistorical[[#This Row],[Food Security and Livlihoods Old]])/tblPiNHistorical[[#This Row],[Food Security and Livlihoods Old]], 1), "")</f>
        <v>-1</v>
      </c>
      <c r="AT435" s="142">
        <f>IFERROR(ROUND((tblPiNHistorical[[#This Row],[Health New]]-tblPiNHistorical[[#This Row],[Health Old]])/tblPiNHistorical[[#This Row],[Health Old]], 1), "")</f>
        <v>-1</v>
      </c>
      <c r="AU435" s="140">
        <f>IFERROR(ROUND((tblPiNHistorical[[#This Row],[Nutrition New]]-tblPiNHistorical[[#This Row],[Nutrition Old]])/tblPiNHistorical[[#This Row],[Nutrition Old]], 1), "")</f>
        <v>-1</v>
      </c>
      <c r="AV435" s="140">
        <f>IFERROR(ROUND((tblPiNHistorical[[#This Row],[Protection New]]-tblPiNHistorical[[#This Row],[Protection Old]])/tblPiNHistorical[[#This Row],[Protection Old]], 1), "")</f>
        <v>-1</v>
      </c>
      <c r="AW435" s="84">
        <f>IFERROR(ROUND((tblPiNHistorical[[#This Row],[CP New]]-tblPiNHistorical[[#This Row],[CP Old ]])/tblPiNHistorical[[#This Row],[CP Old ]], 1), "")</f>
        <v>-1</v>
      </c>
      <c r="AX435" s="84">
        <f>IFERROR(ROUND((tblPiNHistorical[[#This Row],[GBV New]]-tblPiNHistorical[[#This Row],[GBV Old]])/tblPiNHistorical[[#This Row],[GBV Old]], 1), "")</f>
        <v>-1</v>
      </c>
      <c r="AY435" s="84" t="str">
        <f>IFERROR(ROUND((tblPiNHistorical[[#This Row],[Mine Action New]]-tblPiNHistorical[[#This Row],[Mine Action Old]])/tblPiNHistorical[[#This Row],[Mine Action Old]], 1), "")</f>
        <v/>
      </c>
      <c r="AZ435" s="140" t="str">
        <f>IFERROR(ROUND((tblPiNHistorical[[#This Row],[Shelter NFI New]]-tblPiNHistorical[[#This Row],[Shelter NFI Old]])/tblPiNHistorical[[#This Row],[Shelter NFI Old]], 1), "")</f>
        <v/>
      </c>
      <c r="BA435" s="31">
        <f>IFERROR(ROUND((tblPiNHistorical[[#This Row],[WASH New]]-tblPiNHistorical[[#This Row],[WASH Old]])/tblPiNHistorical[[#This Row],[WASH Old]], 1), "")</f>
        <v>-1</v>
      </c>
    </row>
    <row r="436" spans="1:53" ht="38.25" x14ac:dyDescent="0.25">
      <c r="A436"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Host CommunitySD11060</v>
      </c>
      <c r="B436" s="134" t="s">
        <v>161</v>
      </c>
      <c r="C436" s="124" t="s">
        <v>128</v>
      </c>
      <c r="D436" s="124" t="s">
        <v>438</v>
      </c>
      <c r="E436" s="59" t="s">
        <v>439</v>
      </c>
      <c r="F436" s="54"/>
      <c r="G436" s="29"/>
      <c r="H436" s="53">
        <v>18506</v>
      </c>
      <c r="I436" s="53" t="s">
        <v>87</v>
      </c>
      <c r="J436" s="34">
        <v>0</v>
      </c>
      <c r="K436" s="116">
        <v>0</v>
      </c>
      <c r="L436" s="114">
        <v>18506</v>
      </c>
      <c r="M436" s="114">
        <v>18506</v>
      </c>
      <c r="N436" s="114">
        <v>710</v>
      </c>
      <c r="O436" s="114">
        <v>4884</v>
      </c>
      <c r="P436" s="114">
        <v>2036</v>
      </c>
      <c r="Q436" s="114">
        <v>4884</v>
      </c>
      <c r="R436" s="114">
        <v>0</v>
      </c>
      <c r="S436" s="114">
        <v>0</v>
      </c>
      <c r="T436" s="196">
        <v>14249.62</v>
      </c>
      <c r="U436" s="52">
        <f>IFERROR(INDEX(tblPiNAnalysis[[Site Management ]], MATCH(tblPiNHistorical[[#This Row],[ID]], tblPiNAnalysis[ID], 0)), "")</f>
        <v>0</v>
      </c>
      <c r="V436" s="52">
        <f>IFERROR(INDEX(tblPiNAnalysis[Education], MATCH(tblPiNHistorical[[#This Row],[ID]], tblPiNAnalysis[ID], 0)), "")</f>
        <v>0</v>
      </c>
      <c r="W436" s="28">
        <f>IFERROR(INDEX(tblPiNAnalysis[Food Security and Livlihoods], MATCH(tblPiNHistorical[[#This Row],[ID]], tblPiNAnalysis[ID], 0)), "")</f>
        <v>0</v>
      </c>
      <c r="X436" s="28">
        <f>IFERROR(INDEX(tblPiNAnalysis[[Health ]], MATCH(tblPiNHistorical[[#This Row],[ID]], tblPiNAnalysis[ID], 0)), "")</f>
        <v>0</v>
      </c>
      <c r="Y436" s="28">
        <f>IFERROR(INDEX(tblPiNAnalysis[Nutrition], MATCH(tblPiNHistorical[[#This Row],[ID]], tblPiNAnalysis[ID], 0)), "")</f>
        <v>0</v>
      </c>
      <c r="Z436" s="28">
        <f>IFERROR(INDEX(tblPiNAnalysis[Protection], MATCH(tblPiNHistorical[[#This Row],[ID]], tblPiNAnalysis[ID], 0)), "")</f>
        <v>0</v>
      </c>
      <c r="AA436" s="28">
        <f>IFERROR(INDEX(tblPiNAnalysis[CP], MATCH(tblPiNHistorical[[#This Row],[ID]], tblPiNAnalysis[ID], 0)), "")</f>
        <v>0</v>
      </c>
      <c r="AB436" s="83">
        <f>IFERROR(INDEX(tblPiNAnalysis[GBV], MATCH(tblPiNHistorical[[#This Row],[ID]], tblPiNAnalysis[ID], 0)), "")</f>
        <v>0</v>
      </c>
      <c r="AC436" s="28">
        <f>IFERROR(INDEX(tblPiNAnalysis[Mine Action], MATCH(tblPiNHistorical[[#This Row],[ID]], tblPiNAnalysis[ID], 0)), "")</f>
        <v>0</v>
      </c>
      <c r="AD436" s="83">
        <f>IFERROR(INDEX(tblPiNAnalysis[[Shelter NFI ]], MATCH(tblPiNHistorical[[#This Row],[ID]], tblPiNAnalysis[ID], 0)), "")</f>
        <v>3781</v>
      </c>
      <c r="AE436" s="28">
        <f>IFERROR(INDEX(tblPiNAnalysis[WASH], MATCH(tblPiNHistorical[[#This Row],[ID]], tblPiNAnalysis[ID], 0)), "")</f>
        <v>0</v>
      </c>
      <c r="AF436"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436" s="136" t="str">
        <f>IF(OR(tblPiNHistorical[[#This Row],[Education Old]]="", tblPiNHistorical[[#This Row],[Education Old]]=0, tblPiNHistorical[[#This Row],[Education New]]="", tblPiNHistorical[[#This Row],[Education New]]=0), "", tblPiNHistorical[[#This Row],[Education New]]-tblPiNHistorical[[#This Row],[Education Old]])</f>
        <v/>
      </c>
      <c r="AH436"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436" s="137" t="str">
        <f>IF(OR(tblPiNHistorical[[#This Row],[Health Old]]="", tblPiNHistorical[[#This Row],[Health Old]]=0, tblPiNHistorical[[#This Row],[Health New]]="", tblPiNHistorical[[#This Row],[Health New]]=0), "", tblPiNHistorical[[#This Row],[Health New]]-tblPiNHistorical[[#This Row],[Health Old]])</f>
        <v/>
      </c>
      <c r="AJ436" s="136" t="str">
        <f>IF(OR(tblPiNHistorical[[#This Row],[Nutrition Old]]="", tblPiNHistorical[[#This Row],[Nutrition Old]]=0, tblPiNHistorical[[#This Row],[Nutrition New]]="", tblPiNHistorical[[#This Row],[Nutrition New]]=0), "", tblPiNHistorical[[#This Row],[Nutrition New]]-tblPiNHistorical[[#This Row],[Nutrition Old]])</f>
        <v/>
      </c>
      <c r="AK436" s="136" t="str">
        <f>IF(OR(tblPiNHistorical[[#This Row],[Protection Old]]="", tblPiNHistorical[[#This Row],[Protection Old]]=0, tblPiNHistorical[[#This Row],[Protection New]]="", tblPiNHistorical[[#This Row],[Protection New]]=0), "", tblPiNHistorical[[#This Row],[Protection New]]-tblPiNHistorical[[#This Row],[Protection Old]])</f>
        <v/>
      </c>
      <c r="AL436" s="136" t="str">
        <f>IF(OR(tblPiNHistorical[[#This Row],[CP Old ]]="", tblPiNHistorical[[#This Row],[CP Old ]]=0, tblPiNHistorical[[#This Row],[CP New]]="", tblPiNHistorical[[#This Row],[CP New]]=0), "", tblPiNHistorical[[#This Row],[CP New]]-tblPiNHistorical[[#This Row],[CP Old ]])</f>
        <v/>
      </c>
      <c r="AM436" s="83" t="str">
        <f>IF(OR(tblPiNHistorical[[#This Row],[GBV Old]]="", tblPiNHistorical[[#This Row],[GBV Old]]=0, tblPiNHistorical[[#This Row],[GBV New]]="", tblPiNHistorical[[#This Row],[GBV New]]=0), "", tblPiNHistorical[[#This Row],[GBV New]]-tblPiNHistorical[[#This Row],[GBV Old]])</f>
        <v/>
      </c>
      <c r="AN436" s="83" t="str">
        <f>IF(OR(tblPiNHistorical[[#This Row],[Mine Action Old]]="", tblPiNHistorical[[#This Row],[Mine Action Old]]=0, tblPiNHistorical[[#This Row],[Mine Action New]]="", tblPiNHistorical[[#This Row],[Mine Action New]]=0), "", tblPiNHistorical[[#This Row],[Mine Action New]]-tblPiNHistorical[[#This Row],[Mine Action Old]])</f>
        <v/>
      </c>
      <c r="AO436" s="136" t="str">
        <f>IF(OR(tblPiNHistorical[[#This Row],[Shelter NFI Old]]="", tblPiNHistorical[[#This Row],[Shelter NFI Old]]=0, tblPiNHistorical[[#This Row],[Shelter NFI New]]="", tblPiNHistorical[[#This Row],[Shelter NFI New]]=0), "", tblPiNHistorical[[#This Row],[Shelter NFI New]]-tblPiNHistorical[[#This Row],[Shelter NFI Old]])</f>
        <v/>
      </c>
      <c r="AP436" s="138" t="str">
        <f>IF(OR(tblPiNHistorical[[#This Row],[WASH Old]]="", tblPiNHistorical[[#This Row],[WASH Old]]=0, tblPiNHistorical[[#This Row],[WASH New]]="", tblPiNHistorical[[#This Row],[WASH New]]=0), "", tblPiNHistorical[[#This Row],[WASH New]]-tblPiNHistorical[[#This Row],[WASH Old]])</f>
        <v/>
      </c>
      <c r="AQ436" s="139" t="str">
        <f>IFERROR(ROUND((tblPiNHistorical[[#This Row],[Site Management - New]] - tblPiNHistorical[[#This Row],[Site Management - Old]])/tblPiNHistorical[[#This Row],[Site Management - Old]], 1), "")</f>
        <v/>
      </c>
      <c r="AR436" s="140" t="str">
        <f>IFERROR(ROUND((tblPiNHistorical[[#This Row],[Education New]]-tblPiNHistorical[[#This Row],[Education Old]])/tblPiNHistorical[[#This Row],[Education Old]], 1), "")</f>
        <v/>
      </c>
      <c r="AS436" s="141">
        <f>IFERROR(ROUND((tblPiNHistorical[[#This Row],[Food Security and Livlihoods New]]-tblPiNHistorical[[#This Row],[Food Security and Livlihoods Old]])/tblPiNHistorical[[#This Row],[Food Security and Livlihoods Old]], 1), "")</f>
        <v>-1</v>
      </c>
      <c r="AT436" s="142">
        <f>IFERROR(ROUND((tblPiNHistorical[[#This Row],[Health New]]-tblPiNHistorical[[#This Row],[Health Old]])/tblPiNHistorical[[#This Row],[Health Old]], 1), "")</f>
        <v>-1</v>
      </c>
      <c r="AU436" s="140">
        <f>IFERROR(ROUND((tblPiNHistorical[[#This Row],[Nutrition New]]-tblPiNHistorical[[#This Row],[Nutrition Old]])/tblPiNHistorical[[#This Row],[Nutrition Old]], 1), "")</f>
        <v>-1</v>
      </c>
      <c r="AV436" s="140">
        <f>IFERROR(ROUND((tblPiNHistorical[[#This Row],[Protection New]]-tblPiNHistorical[[#This Row],[Protection Old]])/tblPiNHistorical[[#This Row],[Protection Old]], 1), "")</f>
        <v>-1</v>
      </c>
      <c r="AW436" s="84">
        <f>IFERROR(ROUND((tblPiNHistorical[[#This Row],[CP New]]-tblPiNHistorical[[#This Row],[CP Old ]])/tblPiNHistorical[[#This Row],[CP Old ]], 1), "")</f>
        <v>-1</v>
      </c>
      <c r="AX436" s="84">
        <f>IFERROR(ROUND((tblPiNHistorical[[#This Row],[GBV New]]-tblPiNHistorical[[#This Row],[GBV Old]])/tblPiNHistorical[[#This Row],[GBV Old]], 1), "")</f>
        <v>-1</v>
      </c>
      <c r="AY436" s="84" t="str">
        <f>IFERROR(ROUND((tblPiNHistorical[[#This Row],[Mine Action New]]-tblPiNHistorical[[#This Row],[Mine Action Old]])/tblPiNHistorical[[#This Row],[Mine Action Old]], 1), "")</f>
        <v/>
      </c>
      <c r="AZ436" s="140" t="str">
        <f>IFERROR(ROUND((tblPiNHistorical[[#This Row],[Shelter NFI New]]-tblPiNHistorical[[#This Row],[Shelter NFI Old]])/tblPiNHistorical[[#This Row],[Shelter NFI Old]], 1), "")</f>
        <v/>
      </c>
      <c r="BA436" s="31">
        <f>IFERROR(ROUND((tblPiNHistorical[[#This Row],[WASH New]]-tblPiNHistorical[[#This Row],[WASH Old]])/tblPiNHistorical[[#This Row],[WASH Old]], 1), "")</f>
        <v>-1</v>
      </c>
    </row>
    <row r="437" spans="1:53" ht="38.25" x14ac:dyDescent="0.25">
      <c r="A437"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Host CommunitySD11062</v>
      </c>
      <c r="B437" s="134" t="s">
        <v>161</v>
      </c>
      <c r="C437" s="124" t="s">
        <v>128</v>
      </c>
      <c r="D437" s="124" t="s">
        <v>442</v>
      </c>
      <c r="E437" s="59" t="s">
        <v>443</v>
      </c>
      <c r="F437" s="54"/>
      <c r="G437" s="29"/>
      <c r="H437" s="53">
        <v>2391</v>
      </c>
      <c r="I437" s="53" t="s">
        <v>87</v>
      </c>
      <c r="J437" s="34">
        <v>0</v>
      </c>
      <c r="K437" s="116">
        <v>926.99069999999995</v>
      </c>
      <c r="L437" s="114">
        <v>2391</v>
      </c>
      <c r="M437" s="114">
        <v>2391</v>
      </c>
      <c r="N437" s="114">
        <v>241</v>
      </c>
      <c r="O437" s="114">
        <v>631</v>
      </c>
      <c r="P437" s="114">
        <v>263</v>
      </c>
      <c r="Q437" s="114">
        <v>631</v>
      </c>
      <c r="R437" s="114">
        <v>0</v>
      </c>
      <c r="S437" s="114">
        <v>0</v>
      </c>
      <c r="T437" s="196">
        <v>2370.9155999999998</v>
      </c>
      <c r="U437" s="52">
        <f>IFERROR(INDEX(tblPiNAnalysis[[Site Management ]], MATCH(tblPiNHistorical[[#This Row],[ID]], tblPiNAnalysis[ID], 0)), "")</f>
        <v>0</v>
      </c>
      <c r="V437" s="52">
        <f>IFERROR(INDEX(tblPiNAnalysis[Education], MATCH(tblPiNHistorical[[#This Row],[ID]], tblPiNAnalysis[ID], 0)), "")</f>
        <v>0</v>
      </c>
      <c r="W437" s="28">
        <f>IFERROR(INDEX(tblPiNAnalysis[Food Security and Livlihoods], MATCH(tblPiNHistorical[[#This Row],[ID]], tblPiNAnalysis[ID], 0)), "")</f>
        <v>0</v>
      </c>
      <c r="X437" s="28">
        <f>IFERROR(INDEX(tblPiNAnalysis[[Health ]], MATCH(tblPiNHistorical[[#This Row],[ID]], tblPiNAnalysis[ID], 0)), "")</f>
        <v>0</v>
      </c>
      <c r="Y437" s="28">
        <f>IFERROR(INDEX(tblPiNAnalysis[Nutrition], MATCH(tblPiNHistorical[[#This Row],[ID]], tblPiNAnalysis[ID], 0)), "")</f>
        <v>0</v>
      </c>
      <c r="Z437" s="28">
        <f>IFERROR(INDEX(tblPiNAnalysis[Protection], MATCH(tblPiNHistorical[[#This Row],[ID]], tblPiNAnalysis[ID], 0)), "")</f>
        <v>0</v>
      </c>
      <c r="AA437" s="28">
        <f>IFERROR(INDEX(tblPiNAnalysis[CP], MATCH(tblPiNHistorical[[#This Row],[ID]], tblPiNAnalysis[ID], 0)), "")</f>
        <v>0</v>
      </c>
      <c r="AB437" s="83">
        <f>IFERROR(INDEX(tblPiNAnalysis[GBV], MATCH(tblPiNHistorical[[#This Row],[ID]], tblPiNAnalysis[ID], 0)), "")</f>
        <v>0</v>
      </c>
      <c r="AC437" s="28">
        <f>IFERROR(INDEX(tblPiNAnalysis[Mine Action], MATCH(tblPiNHistorical[[#This Row],[ID]], tblPiNAnalysis[ID], 0)), "")</f>
        <v>0</v>
      </c>
      <c r="AD437" s="83">
        <f>IFERROR(INDEX(tblPiNAnalysis[[Shelter NFI ]], MATCH(tblPiNHistorical[[#This Row],[ID]], tblPiNAnalysis[ID], 0)), "")</f>
        <v>3506</v>
      </c>
      <c r="AE437" s="28">
        <f>IFERROR(INDEX(tblPiNAnalysis[WASH], MATCH(tblPiNHistorical[[#This Row],[ID]], tblPiNAnalysis[ID], 0)), "")</f>
        <v>0</v>
      </c>
      <c r="AF437"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437" s="136" t="str">
        <f>IF(OR(tblPiNHistorical[[#This Row],[Education Old]]="", tblPiNHistorical[[#This Row],[Education Old]]=0, tblPiNHistorical[[#This Row],[Education New]]="", tblPiNHistorical[[#This Row],[Education New]]=0), "", tblPiNHistorical[[#This Row],[Education New]]-tblPiNHistorical[[#This Row],[Education Old]])</f>
        <v/>
      </c>
      <c r="AH437"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437" s="137" t="str">
        <f>IF(OR(tblPiNHistorical[[#This Row],[Health Old]]="", tblPiNHistorical[[#This Row],[Health Old]]=0, tblPiNHistorical[[#This Row],[Health New]]="", tblPiNHistorical[[#This Row],[Health New]]=0), "", tblPiNHistorical[[#This Row],[Health New]]-tblPiNHistorical[[#This Row],[Health Old]])</f>
        <v/>
      </c>
      <c r="AJ437" s="136" t="str">
        <f>IF(OR(tblPiNHistorical[[#This Row],[Nutrition Old]]="", tblPiNHistorical[[#This Row],[Nutrition Old]]=0, tblPiNHistorical[[#This Row],[Nutrition New]]="", tblPiNHistorical[[#This Row],[Nutrition New]]=0), "", tblPiNHistorical[[#This Row],[Nutrition New]]-tblPiNHistorical[[#This Row],[Nutrition Old]])</f>
        <v/>
      </c>
      <c r="AK437" s="136" t="str">
        <f>IF(OR(tblPiNHistorical[[#This Row],[Protection Old]]="", tblPiNHistorical[[#This Row],[Protection Old]]=0, tblPiNHistorical[[#This Row],[Protection New]]="", tblPiNHistorical[[#This Row],[Protection New]]=0), "", tblPiNHistorical[[#This Row],[Protection New]]-tblPiNHistorical[[#This Row],[Protection Old]])</f>
        <v/>
      </c>
      <c r="AL437" s="136" t="str">
        <f>IF(OR(tblPiNHistorical[[#This Row],[CP Old ]]="", tblPiNHistorical[[#This Row],[CP Old ]]=0, tblPiNHistorical[[#This Row],[CP New]]="", tblPiNHistorical[[#This Row],[CP New]]=0), "", tblPiNHistorical[[#This Row],[CP New]]-tblPiNHistorical[[#This Row],[CP Old ]])</f>
        <v/>
      </c>
      <c r="AM437" s="83" t="str">
        <f>IF(OR(tblPiNHistorical[[#This Row],[GBV Old]]="", tblPiNHistorical[[#This Row],[GBV Old]]=0, tblPiNHistorical[[#This Row],[GBV New]]="", tblPiNHistorical[[#This Row],[GBV New]]=0), "", tblPiNHistorical[[#This Row],[GBV New]]-tblPiNHistorical[[#This Row],[GBV Old]])</f>
        <v/>
      </c>
      <c r="AN437" s="83" t="str">
        <f>IF(OR(tblPiNHistorical[[#This Row],[Mine Action Old]]="", tblPiNHistorical[[#This Row],[Mine Action Old]]=0, tblPiNHistorical[[#This Row],[Mine Action New]]="", tblPiNHistorical[[#This Row],[Mine Action New]]=0), "", tblPiNHistorical[[#This Row],[Mine Action New]]-tblPiNHistorical[[#This Row],[Mine Action Old]])</f>
        <v/>
      </c>
      <c r="AO437" s="136" t="str">
        <f>IF(OR(tblPiNHistorical[[#This Row],[Shelter NFI Old]]="", tblPiNHistorical[[#This Row],[Shelter NFI Old]]=0, tblPiNHistorical[[#This Row],[Shelter NFI New]]="", tblPiNHistorical[[#This Row],[Shelter NFI New]]=0), "", tblPiNHistorical[[#This Row],[Shelter NFI New]]-tblPiNHistorical[[#This Row],[Shelter NFI Old]])</f>
        <v/>
      </c>
      <c r="AP437" s="138" t="str">
        <f>IF(OR(tblPiNHistorical[[#This Row],[WASH Old]]="", tblPiNHistorical[[#This Row],[WASH Old]]=0, tblPiNHistorical[[#This Row],[WASH New]]="", tblPiNHistorical[[#This Row],[WASH New]]=0), "", tblPiNHistorical[[#This Row],[WASH New]]-tblPiNHistorical[[#This Row],[WASH Old]])</f>
        <v/>
      </c>
      <c r="AQ437" s="139" t="str">
        <f>IFERROR(ROUND((tblPiNHistorical[[#This Row],[Site Management - New]] - tblPiNHistorical[[#This Row],[Site Management - Old]])/tblPiNHistorical[[#This Row],[Site Management - Old]], 1), "")</f>
        <v/>
      </c>
      <c r="AR437" s="140">
        <f>IFERROR(ROUND((tblPiNHistorical[[#This Row],[Education New]]-tblPiNHistorical[[#This Row],[Education Old]])/tblPiNHistorical[[#This Row],[Education Old]], 1), "")</f>
        <v>-1</v>
      </c>
      <c r="AS437" s="141">
        <f>IFERROR(ROUND((tblPiNHistorical[[#This Row],[Food Security and Livlihoods New]]-tblPiNHistorical[[#This Row],[Food Security and Livlihoods Old]])/tblPiNHistorical[[#This Row],[Food Security and Livlihoods Old]], 1), "")</f>
        <v>-1</v>
      </c>
      <c r="AT437" s="142">
        <f>IFERROR(ROUND((tblPiNHistorical[[#This Row],[Health New]]-tblPiNHistorical[[#This Row],[Health Old]])/tblPiNHistorical[[#This Row],[Health Old]], 1), "")</f>
        <v>-1</v>
      </c>
      <c r="AU437" s="140">
        <f>IFERROR(ROUND((tblPiNHistorical[[#This Row],[Nutrition New]]-tblPiNHistorical[[#This Row],[Nutrition Old]])/tblPiNHistorical[[#This Row],[Nutrition Old]], 1), "")</f>
        <v>-1</v>
      </c>
      <c r="AV437" s="140">
        <f>IFERROR(ROUND((tblPiNHistorical[[#This Row],[Protection New]]-tblPiNHistorical[[#This Row],[Protection Old]])/tblPiNHistorical[[#This Row],[Protection Old]], 1), "")</f>
        <v>-1</v>
      </c>
      <c r="AW437" s="84">
        <f>IFERROR(ROUND((tblPiNHistorical[[#This Row],[CP New]]-tblPiNHistorical[[#This Row],[CP Old ]])/tblPiNHistorical[[#This Row],[CP Old ]], 1), "")</f>
        <v>-1</v>
      </c>
      <c r="AX437" s="84">
        <f>IFERROR(ROUND((tblPiNHistorical[[#This Row],[GBV New]]-tblPiNHistorical[[#This Row],[GBV Old]])/tblPiNHistorical[[#This Row],[GBV Old]], 1), "")</f>
        <v>-1</v>
      </c>
      <c r="AY437" s="84" t="str">
        <f>IFERROR(ROUND((tblPiNHistorical[[#This Row],[Mine Action New]]-tblPiNHistorical[[#This Row],[Mine Action Old]])/tblPiNHistorical[[#This Row],[Mine Action Old]], 1), "")</f>
        <v/>
      </c>
      <c r="AZ437" s="140" t="str">
        <f>IFERROR(ROUND((tblPiNHistorical[[#This Row],[Shelter NFI New]]-tblPiNHistorical[[#This Row],[Shelter NFI Old]])/tblPiNHistorical[[#This Row],[Shelter NFI Old]], 1), "")</f>
        <v/>
      </c>
      <c r="BA437" s="31">
        <f>IFERROR(ROUND((tblPiNHistorical[[#This Row],[WASH New]]-tblPiNHistorical[[#This Row],[WASH Old]])/tblPiNHistorical[[#This Row],[WASH Old]], 1), "")</f>
        <v>-1</v>
      </c>
    </row>
    <row r="438" spans="1:53" ht="38.25" x14ac:dyDescent="0.25">
      <c r="A438"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Host CommunitySD11057</v>
      </c>
      <c r="B438" s="134" t="s">
        <v>161</v>
      </c>
      <c r="C438" s="124" t="s">
        <v>128</v>
      </c>
      <c r="D438" s="124" t="s">
        <v>432</v>
      </c>
      <c r="E438" s="59" t="s">
        <v>433</v>
      </c>
      <c r="F438" s="54"/>
      <c r="G438" s="29"/>
      <c r="H438" s="53">
        <v>3415</v>
      </c>
      <c r="I438" s="53" t="s">
        <v>87</v>
      </c>
      <c r="J438" s="34">
        <v>0</v>
      </c>
      <c r="K438" s="116">
        <v>1323.9955</v>
      </c>
      <c r="L438" s="114">
        <v>3415</v>
      </c>
      <c r="M438" s="114">
        <v>3415</v>
      </c>
      <c r="N438" s="114">
        <v>243</v>
      </c>
      <c r="O438" s="114">
        <v>902</v>
      </c>
      <c r="P438" s="114">
        <v>376</v>
      </c>
      <c r="Q438" s="114">
        <v>902</v>
      </c>
      <c r="R438" s="114">
        <v>0</v>
      </c>
      <c r="S438" s="114">
        <v>683</v>
      </c>
      <c r="T438" s="196">
        <v>3235.7125000000001</v>
      </c>
      <c r="U438" s="52">
        <f>IFERROR(INDEX(tblPiNAnalysis[[Site Management ]], MATCH(tblPiNHistorical[[#This Row],[ID]], tblPiNAnalysis[ID], 0)), "")</f>
        <v>0</v>
      </c>
      <c r="V438" s="52">
        <f>IFERROR(INDEX(tblPiNAnalysis[Education], MATCH(tblPiNHistorical[[#This Row],[ID]], tblPiNAnalysis[ID], 0)), "")</f>
        <v>0</v>
      </c>
      <c r="W438" s="28">
        <f>IFERROR(INDEX(tblPiNAnalysis[Food Security and Livlihoods], MATCH(tblPiNHistorical[[#This Row],[ID]], tblPiNAnalysis[ID], 0)), "")</f>
        <v>0</v>
      </c>
      <c r="X438" s="28">
        <f>IFERROR(INDEX(tblPiNAnalysis[[Health ]], MATCH(tblPiNHistorical[[#This Row],[ID]], tblPiNAnalysis[ID], 0)), "")</f>
        <v>0</v>
      </c>
      <c r="Y438" s="28">
        <f>IFERROR(INDEX(tblPiNAnalysis[Nutrition], MATCH(tblPiNHistorical[[#This Row],[ID]], tblPiNAnalysis[ID], 0)), "")</f>
        <v>0</v>
      </c>
      <c r="Z438" s="28">
        <f>IFERROR(INDEX(tblPiNAnalysis[Protection], MATCH(tblPiNHistorical[[#This Row],[ID]], tblPiNAnalysis[ID], 0)), "")</f>
        <v>0</v>
      </c>
      <c r="AA438" s="28">
        <f>IFERROR(INDEX(tblPiNAnalysis[CP], MATCH(tblPiNHistorical[[#This Row],[ID]], tblPiNAnalysis[ID], 0)), "")</f>
        <v>0</v>
      </c>
      <c r="AB438" s="83">
        <f>IFERROR(INDEX(tblPiNAnalysis[GBV], MATCH(tblPiNHistorical[[#This Row],[ID]], tblPiNAnalysis[ID], 0)), "")</f>
        <v>0</v>
      </c>
      <c r="AC438" s="28">
        <f>IFERROR(INDEX(tblPiNAnalysis[Mine Action], MATCH(tblPiNHistorical[[#This Row],[ID]], tblPiNAnalysis[ID], 0)), "")</f>
        <v>0</v>
      </c>
      <c r="AD438" s="83">
        <f>IFERROR(INDEX(tblPiNAnalysis[[Shelter NFI ]], MATCH(tblPiNHistorical[[#This Row],[ID]], tblPiNAnalysis[ID], 0)), "")</f>
        <v>871</v>
      </c>
      <c r="AE438" s="28">
        <f>IFERROR(INDEX(tblPiNAnalysis[WASH], MATCH(tblPiNHistorical[[#This Row],[ID]], tblPiNAnalysis[ID], 0)), "")</f>
        <v>0</v>
      </c>
      <c r="AF438"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438" s="136" t="str">
        <f>IF(OR(tblPiNHistorical[[#This Row],[Education Old]]="", tblPiNHistorical[[#This Row],[Education Old]]=0, tblPiNHistorical[[#This Row],[Education New]]="", tblPiNHistorical[[#This Row],[Education New]]=0), "", tblPiNHistorical[[#This Row],[Education New]]-tblPiNHistorical[[#This Row],[Education Old]])</f>
        <v/>
      </c>
      <c r="AH438"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438" s="137" t="str">
        <f>IF(OR(tblPiNHistorical[[#This Row],[Health Old]]="", tblPiNHistorical[[#This Row],[Health Old]]=0, tblPiNHistorical[[#This Row],[Health New]]="", tblPiNHistorical[[#This Row],[Health New]]=0), "", tblPiNHistorical[[#This Row],[Health New]]-tblPiNHistorical[[#This Row],[Health Old]])</f>
        <v/>
      </c>
      <c r="AJ438" s="136" t="str">
        <f>IF(OR(tblPiNHistorical[[#This Row],[Nutrition Old]]="", tblPiNHistorical[[#This Row],[Nutrition Old]]=0, tblPiNHistorical[[#This Row],[Nutrition New]]="", tblPiNHistorical[[#This Row],[Nutrition New]]=0), "", tblPiNHistorical[[#This Row],[Nutrition New]]-tblPiNHistorical[[#This Row],[Nutrition Old]])</f>
        <v/>
      </c>
      <c r="AK438" s="136" t="str">
        <f>IF(OR(tblPiNHistorical[[#This Row],[Protection Old]]="", tblPiNHistorical[[#This Row],[Protection Old]]=0, tblPiNHistorical[[#This Row],[Protection New]]="", tblPiNHistorical[[#This Row],[Protection New]]=0), "", tblPiNHistorical[[#This Row],[Protection New]]-tblPiNHistorical[[#This Row],[Protection Old]])</f>
        <v/>
      </c>
      <c r="AL438" s="136" t="str">
        <f>IF(OR(tblPiNHistorical[[#This Row],[CP Old ]]="", tblPiNHistorical[[#This Row],[CP Old ]]=0, tblPiNHistorical[[#This Row],[CP New]]="", tblPiNHistorical[[#This Row],[CP New]]=0), "", tblPiNHistorical[[#This Row],[CP New]]-tblPiNHistorical[[#This Row],[CP Old ]])</f>
        <v/>
      </c>
      <c r="AM438" s="83" t="str">
        <f>IF(OR(tblPiNHistorical[[#This Row],[GBV Old]]="", tblPiNHistorical[[#This Row],[GBV Old]]=0, tblPiNHistorical[[#This Row],[GBV New]]="", tblPiNHistorical[[#This Row],[GBV New]]=0), "", tblPiNHistorical[[#This Row],[GBV New]]-tblPiNHistorical[[#This Row],[GBV Old]])</f>
        <v/>
      </c>
      <c r="AN438" s="83" t="str">
        <f>IF(OR(tblPiNHistorical[[#This Row],[Mine Action Old]]="", tblPiNHistorical[[#This Row],[Mine Action Old]]=0, tblPiNHistorical[[#This Row],[Mine Action New]]="", tblPiNHistorical[[#This Row],[Mine Action New]]=0), "", tblPiNHistorical[[#This Row],[Mine Action New]]-tblPiNHistorical[[#This Row],[Mine Action Old]])</f>
        <v/>
      </c>
      <c r="AO438" s="136">
        <f>IF(OR(tblPiNHistorical[[#This Row],[Shelter NFI Old]]="", tblPiNHistorical[[#This Row],[Shelter NFI Old]]=0, tblPiNHistorical[[#This Row],[Shelter NFI New]]="", tblPiNHistorical[[#This Row],[Shelter NFI New]]=0), "", tblPiNHistorical[[#This Row],[Shelter NFI New]]-tblPiNHistorical[[#This Row],[Shelter NFI Old]])</f>
        <v>188</v>
      </c>
      <c r="AP438" s="138" t="str">
        <f>IF(OR(tblPiNHistorical[[#This Row],[WASH Old]]="", tblPiNHistorical[[#This Row],[WASH Old]]=0, tblPiNHistorical[[#This Row],[WASH New]]="", tblPiNHistorical[[#This Row],[WASH New]]=0), "", tblPiNHistorical[[#This Row],[WASH New]]-tblPiNHistorical[[#This Row],[WASH Old]])</f>
        <v/>
      </c>
      <c r="AQ438" s="139" t="str">
        <f>IFERROR(ROUND((tblPiNHistorical[[#This Row],[Site Management - New]] - tblPiNHistorical[[#This Row],[Site Management - Old]])/tblPiNHistorical[[#This Row],[Site Management - Old]], 1), "")</f>
        <v/>
      </c>
      <c r="AR438" s="140">
        <f>IFERROR(ROUND((tblPiNHistorical[[#This Row],[Education New]]-tblPiNHistorical[[#This Row],[Education Old]])/tblPiNHistorical[[#This Row],[Education Old]], 1), "")</f>
        <v>-1</v>
      </c>
      <c r="AS438" s="141">
        <f>IFERROR(ROUND((tblPiNHistorical[[#This Row],[Food Security and Livlihoods New]]-tblPiNHistorical[[#This Row],[Food Security and Livlihoods Old]])/tblPiNHistorical[[#This Row],[Food Security and Livlihoods Old]], 1), "")</f>
        <v>-1</v>
      </c>
      <c r="AT438" s="142">
        <f>IFERROR(ROUND((tblPiNHistorical[[#This Row],[Health New]]-tblPiNHistorical[[#This Row],[Health Old]])/tblPiNHistorical[[#This Row],[Health Old]], 1), "")</f>
        <v>-1</v>
      </c>
      <c r="AU438" s="140">
        <f>IFERROR(ROUND((tblPiNHistorical[[#This Row],[Nutrition New]]-tblPiNHistorical[[#This Row],[Nutrition Old]])/tblPiNHistorical[[#This Row],[Nutrition Old]], 1), "")</f>
        <v>-1</v>
      </c>
      <c r="AV438" s="140">
        <f>IFERROR(ROUND((tblPiNHistorical[[#This Row],[Protection New]]-tblPiNHistorical[[#This Row],[Protection Old]])/tblPiNHistorical[[#This Row],[Protection Old]], 1), "")</f>
        <v>-1</v>
      </c>
      <c r="AW438" s="84">
        <f>IFERROR(ROUND((tblPiNHistorical[[#This Row],[CP New]]-tblPiNHistorical[[#This Row],[CP Old ]])/tblPiNHistorical[[#This Row],[CP Old ]], 1), "")</f>
        <v>-1</v>
      </c>
      <c r="AX438" s="84">
        <f>IFERROR(ROUND((tblPiNHistorical[[#This Row],[GBV New]]-tblPiNHistorical[[#This Row],[GBV Old]])/tblPiNHistorical[[#This Row],[GBV Old]], 1), "")</f>
        <v>-1</v>
      </c>
      <c r="AY438" s="84" t="str">
        <f>IFERROR(ROUND((tblPiNHistorical[[#This Row],[Mine Action New]]-tblPiNHistorical[[#This Row],[Mine Action Old]])/tblPiNHistorical[[#This Row],[Mine Action Old]], 1), "")</f>
        <v/>
      </c>
      <c r="AZ438" s="140">
        <f>IFERROR(ROUND((tblPiNHistorical[[#This Row],[Shelter NFI New]]-tblPiNHistorical[[#This Row],[Shelter NFI Old]])/tblPiNHistorical[[#This Row],[Shelter NFI Old]], 1), "")</f>
        <v>0.3</v>
      </c>
      <c r="BA438" s="31">
        <f>IFERROR(ROUND((tblPiNHistorical[[#This Row],[WASH New]]-tblPiNHistorical[[#This Row],[WASH Old]])/tblPiNHistorical[[#This Row],[WASH Old]], 1), "")</f>
        <v>-1</v>
      </c>
    </row>
    <row r="439" spans="1:53" ht="38.25" x14ac:dyDescent="0.25">
      <c r="A439"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Host CommunitySD11059</v>
      </c>
      <c r="B439" s="134" t="s">
        <v>161</v>
      </c>
      <c r="C439" s="124" t="s">
        <v>128</v>
      </c>
      <c r="D439" s="124" t="s">
        <v>436</v>
      </c>
      <c r="E439" s="59" t="s">
        <v>437</v>
      </c>
      <c r="F439" s="54"/>
      <c r="G439" s="29"/>
      <c r="H439" s="53">
        <v>1855</v>
      </c>
      <c r="I439" s="53" t="s">
        <v>87</v>
      </c>
      <c r="J439" s="34">
        <v>0</v>
      </c>
      <c r="K439" s="116">
        <v>719.18349999999998</v>
      </c>
      <c r="L439" s="114">
        <v>1855</v>
      </c>
      <c r="M439" s="114">
        <v>1855</v>
      </c>
      <c r="N439" s="114">
        <v>231</v>
      </c>
      <c r="O439" s="114">
        <v>204.05000000000004</v>
      </c>
      <c r="P439" s="114">
        <v>204</v>
      </c>
      <c r="Q439" s="114">
        <v>0</v>
      </c>
      <c r="R439" s="114">
        <v>0</v>
      </c>
      <c r="S439" s="114">
        <v>371</v>
      </c>
      <c r="T439" s="196">
        <v>1565.991</v>
      </c>
      <c r="U439" s="52">
        <f>IFERROR(INDEX(tblPiNAnalysis[[Site Management ]], MATCH(tblPiNHistorical[[#This Row],[ID]], tblPiNAnalysis[ID], 0)), "")</f>
        <v>0</v>
      </c>
      <c r="V439" s="52">
        <f>IFERROR(INDEX(tblPiNAnalysis[Education], MATCH(tblPiNHistorical[[#This Row],[ID]], tblPiNAnalysis[ID], 0)), "")</f>
        <v>0</v>
      </c>
      <c r="W439" s="28">
        <f>IFERROR(INDEX(tblPiNAnalysis[Food Security and Livlihoods], MATCH(tblPiNHistorical[[#This Row],[ID]], tblPiNAnalysis[ID], 0)), "")</f>
        <v>0</v>
      </c>
      <c r="X439" s="28">
        <f>IFERROR(INDEX(tblPiNAnalysis[[Health ]], MATCH(tblPiNHistorical[[#This Row],[ID]], tblPiNAnalysis[ID], 0)), "")</f>
        <v>0</v>
      </c>
      <c r="Y439" s="28">
        <f>IFERROR(INDEX(tblPiNAnalysis[Nutrition], MATCH(tblPiNHistorical[[#This Row],[ID]], tblPiNAnalysis[ID], 0)), "")</f>
        <v>0</v>
      </c>
      <c r="Z439" s="28">
        <f>IFERROR(INDEX(tblPiNAnalysis[Protection], MATCH(tblPiNHistorical[[#This Row],[ID]], tblPiNAnalysis[ID], 0)), "")</f>
        <v>0</v>
      </c>
      <c r="AA439" s="28">
        <f>IFERROR(INDEX(tblPiNAnalysis[CP], MATCH(tblPiNHistorical[[#This Row],[ID]], tblPiNAnalysis[ID], 0)), "")</f>
        <v>0</v>
      </c>
      <c r="AB439" s="83">
        <f>IFERROR(INDEX(tblPiNAnalysis[GBV], MATCH(tblPiNHistorical[[#This Row],[ID]], tblPiNAnalysis[ID], 0)), "")</f>
        <v>0</v>
      </c>
      <c r="AC439" s="28">
        <f>IFERROR(INDEX(tblPiNAnalysis[Mine Action], MATCH(tblPiNHistorical[[#This Row],[ID]], tblPiNAnalysis[ID], 0)), "")</f>
        <v>0</v>
      </c>
      <c r="AD439" s="83">
        <f>IFERROR(INDEX(tblPiNAnalysis[[Shelter NFI ]], MATCH(tblPiNHistorical[[#This Row],[ID]], tblPiNAnalysis[ID], 0)), "")</f>
        <v>2167</v>
      </c>
      <c r="AE439" s="28">
        <f>IFERROR(INDEX(tblPiNAnalysis[WASH], MATCH(tblPiNHistorical[[#This Row],[ID]], tblPiNAnalysis[ID], 0)), "")</f>
        <v>0</v>
      </c>
      <c r="AF439"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439" s="136" t="str">
        <f>IF(OR(tblPiNHistorical[[#This Row],[Education Old]]="", tblPiNHistorical[[#This Row],[Education Old]]=0, tblPiNHistorical[[#This Row],[Education New]]="", tblPiNHistorical[[#This Row],[Education New]]=0), "", tblPiNHistorical[[#This Row],[Education New]]-tblPiNHistorical[[#This Row],[Education Old]])</f>
        <v/>
      </c>
      <c r="AH439"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439" s="137" t="str">
        <f>IF(OR(tblPiNHistorical[[#This Row],[Health Old]]="", tblPiNHistorical[[#This Row],[Health Old]]=0, tblPiNHistorical[[#This Row],[Health New]]="", tblPiNHistorical[[#This Row],[Health New]]=0), "", tblPiNHistorical[[#This Row],[Health New]]-tblPiNHistorical[[#This Row],[Health Old]])</f>
        <v/>
      </c>
      <c r="AJ439" s="136" t="str">
        <f>IF(OR(tblPiNHistorical[[#This Row],[Nutrition Old]]="", tblPiNHistorical[[#This Row],[Nutrition Old]]=0, tblPiNHistorical[[#This Row],[Nutrition New]]="", tblPiNHistorical[[#This Row],[Nutrition New]]=0), "", tblPiNHistorical[[#This Row],[Nutrition New]]-tblPiNHistorical[[#This Row],[Nutrition Old]])</f>
        <v/>
      </c>
      <c r="AK439" s="136" t="str">
        <f>IF(OR(tblPiNHistorical[[#This Row],[Protection Old]]="", tblPiNHistorical[[#This Row],[Protection Old]]=0, tblPiNHistorical[[#This Row],[Protection New]]="", tblPiNHistorical[[#This Row],[Protection New]]=0), "", tblPiNHistorical[[#This Row],[Protection New]]-tblPiNHistorical[[#This Row],[Protection Old]])</f>
        <v/>
      </c>
      <c r="AL439" s="136" t="str">
        <f>IF(OR(tblPiNHistorical[[#This Row],[CP Old ]]="", tblPiNHistorical[[#This Row],[CP Old ]]=0, tblPiNHistorical[[#This Row],[CP New]]="", tblPiNHistorical[[#This Row],[CP New]]=0), "", tblPiNHistorical[[#This Row],[CP New]]-tblPiNHistorical[[#This Row],[CP Old ]])</f>
        <v/>
      </c>
      <c r="AM439" s="83" t="str">
        <f>IF(OR(tblPiNHistorical[[#This Row],[GBV Old]]="", tblPiNHistorical[[#This Row],[GBV Old]]=0, tblPiNHistorical[[#This Row],[GBV New]]="", tblPiNHistorical[[#This Row],[GBV New]]=0), "", tblPiNHistorical[[#This Row],[GBV New]]-tblPiNHistorical[[#This Row],[GBV Old]])</f>
        <v/>
      </c>
      <c r="AN439" s="83" t="str">
        <f>IF(OR(tblPiNHistorical[[#This Row],[Mine Action Old]]="", tblPiNHistorical[[#This Row],[Mine Action Old]]=0, tblPiNHistorical[[#This Row],[Mine Action New]]="", tblPiNHistorical[[#This Row],[Mine Action New]]=0), "", tblPiNHistorical[[#This Row],[Mine Action New]]-tblPiNHistorical[[#This Row],[Mine Action Old]])</f>
        <v/>
      </c>
      <c r="AO439" s="136">
        <f>IF(OR(tblPiNHistorical[[#This Row],[Shelter NFI Old]]="", tblPiNHistorical[[#This Row],[Shelter NFI Old]]=0, tblPiNHistorical[[#This Row],[Shelter NFI New]]="", tblPiNHistorical[[#This Row],[Shelter NFI New]]=0), "", tblPiNHistorical[[#This Row],[Shelter NFI New]]-tblPiNHistorical[[#This Row],[Shelter NFI Old]])</f>
        <v>1796</v>
      </c>
      <c r="AP439" s="138" t="str">
        <f>IF(OR(tblPiNHistorical[[#This Row],[WASH Old]]="", tblPiNHistorical[[#This Row],[WASH Old]]=0, tblPiNHistorical[[#This Row],[WASH New]]="", tblPiNHistorical[[#This Row],[WASH New]]=0), "", tblPiNHistorical[[#This Row],[WASH New]]-tblPiNHistorical[[#This Row],[WASH Old]])</f>
        <v/>
      </c>
      <c r="AQ439" s="139" t="str">
        <f>IFERROR(ROUND((tblPiNHistorical[[#This Row],[Site Management - New]] - tblPiNHistorical[[#This Row],[Site Management - Old]])/tblPiNHistorical[[#This Row],[Site Management - Old]], 1), "")</f>
        <v/>
      </c>
      <c r="AR439" s="140">
        <f>IFERROR(ROUND((tblPiNHistorical[[#This Row],[Education New]]-tblPiNHistorical[[#This Row],[Education Old]])/tblPiNHistorical[[#This Row],[Education Old]], 1), "")</f>
        <v>-1</v>
      </c>
      <c r="AS439" s="141">
        <f>IFERROR(ROUND((tblPiNHistorical[[#This Row],[Food Security and Livlihoods New]]-tblPiNHistorical[[#This Row],[Food Security and Livlihoods Old]])/tblPiNHistorical[[#This Row],[Food Security and Livlihoods Old]], 1), "")</f>
        <v>-1</v>
      </c>
      <c r="AT439" s="142">
        <f>IFERROR(ROUND((tblPiNHistorical[[#This Row],[Health New]]-tblPiNHistorical[[#This Row],[Health Old]])/tblPiNHistorical[[#This Row],[Health Old]], 1), "")</f>
        <v>-1</v>
      </c>
      <c r="AU439" s="140">
        <f>IFERROR(ROUND((tblPiNHistorical[[#This Row],[Nutrition New]]-tblPiNHistorical[[#This Row],[Nutrition Old]])/tblPiNHistorical[[#This Row],[Nutrition Old]], 1), "")</f>
        <v>-1</v>
      </c>
      <c r="AV439" s="140">
        <f>IFERROR(ROUND((tblPiNHistorical[[#This Row],[Protection New]]-tblPiNHistorical[[#This Row],[Protection Old]])/tblPiNHistorical[[#This Row],[Protection Old]], 1), "")</f>
        <v>-1</v>
      </c>
      <c r="AW439" s="84">
        <f>IFERROR(ROUND((tblPiNHistorical[[#This Row],[CP New]]-tblPiNHistorical[[#This Row],[CP Old ]])/tblPiNHistorical[[#This Row],[CP Old ]], 1), "")</f>
        <v>-1</v>
      </c>
      <c r="AX439" s="84" t="str">
        <f>IFERROR(ROUND((tblPiNHistorical[[#This Row],[GBV New]]-tblPiNHistorical[[#This Row],[GBV Old]])/tblPiNHistorical[[#This Row],[GBV Old]], 1), "")</f>
        <v/>
      </c>
      <c r="AY439" s="84" t="str">
        <f>IFERROR(ROUND((tblPiNHistorical[[#This Row],[Mine Action New]]-tblPiNHistorical[[#This Row],[Mine Action Old]])/tblPiNHistorical[[#This Row],[Mine Action Old]], 1), "")</f>
        <v/>
      </c>
      <c r="AZ439" s="140">
        <f>IFERROR(ROUND((tblPiNHistorical[[#This Row],[Shelter NFI New]]-tblPiNHistorical[[#This Row],[Shelter NFI Old]])/tblPiNHistorical[[#This Row],[Shelter NFI Old]], 1), "")</f>
        <v>4.8</v>
      </c>
      <c r="BA439" s="31">
        <f>IFERROR(ROUND((tblPiNHistorical[[#This Row],[WASH New]]-tblPiNHistorical[[#This Row],[WASH Old]])/tblPiNHistorical[[#This Row],[WASH Old]], 1), "")</f>
        <v>-1</v>
      </c>
    </row>
    <row r="440" spans="1:53" ht="38.25" x14ac:dyDescent="0.25">
      <c r="A440"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Host CommunitySD11061</v>
      </c>
      <c r="B440" s="134" t="s">
        <v>161</v>
      </c>
      <c r="C440" s="124" t="s">
        <v>128</v>
      </c>
      <c r="D440" s="124" t="s">
        <v>440</v>
      </c>
      <c r="E440" s="59" t="s">
        <v>441</v>
      </c>
      <c r="F440" s="54"/>
      <c r="G440" s="29"/>
      <c r="H440" s="53">
        <v>73508</v>
      </c>
      <c r="I440" s="53" t="s">
        <v>87</v>
      </c>
      <c r="J440" s="34">
        <v>0</v>
      </c>
      <c r="K440" s="116">
        <v>28499.051599999999</v>
      </c>
      <c r="L440" s="114">
        <v>73508</v>
      </c>
      <c r="M440" s="114">
        <v>73508</v>
      </c>
      <c r="N440" s="114">
        <v>6318</v>
      </c>
      <c r="O440" s="114">
        <v>8085.880000000001</v>
      </c>
      <c r="P440" s="114">
        <v>8086</v>
      </c>
      <c r="Q440" s="114">
        <v>0</v>
      </c>
      <c r="R440" s="114">
        <v>0</v>
      </c>
      <c r="S440" s="114">
        <v>0</v>
      </c>
      <c r="T440" s="196">
        <v>46435.003599999996</v>
      </c>
      <c r="U440" s="52">
        <f>IFERROR(INDEX(tblPiNAnalysis[[Site Management ]], MATCH(tblPiNHistorical[[#This Row],[ID]], tblPiNAnalysis[ID], 0)), "")</f>
        <v>0</v>
      </c>
      <c r="V440" s="52">
        <f>IFERROR(INDEX(tblPiNAnalysis[Education], MATCH(tblPiNHistorical[[#This Row],[ID]], tblPiNAnalysis[ID], 0)), "")</f>
        <v>0</v>
      </c>
      <c r="W440" s="28">
        <f>IFERROR(INDEX(tblPiNAnalysis[Food Security and Livlihoods], MATCH(tblPiNHistorical[[#This Row],[ID]], tblPiNAnalysis[ID], 0)), "")</f>
        <v>0</v>
      </c>
      <c r="X440" s="28">
        <f>IFERROR(INDEX(tblPiNAnalysis[[Health ]], MATCH(tblPiNHistorical[[#This Row],[ID]], tblPiNAnalysis[ID], 0)), "")</f>
        <v>0</v>
      </c>
      <c r="Y440" s="28">
        <f>IFERROR(INDEX(tblPiNAnalysis[Nutrition], MATCH(tblPiNHistorical[[#This Row],[ID]], tblPiNAnalysis[ID], 0)), "")</f>
        <v>0</v>
      </c>
      <c r="Z440" s="28">
        <f>IFERROR(INDEX(tblPiNAnalysis[Protection], MATCH(tblPiNHistorical[[#This Row],[ID]], tblPiNAnalysis[ID], 0)), "")</f>
        <v>0</v>
      </c>
      <c r="AA440" s="28">
        <f>IFERROR(INDEX(tblPiNAnalysis[CP], MATCH(tblPiNHistorical[[#This Row],[ID]], tblPiNAnalysis[ID], 0)), "")</f>
        <v>0</v>
      </c>
      <c r="AB440" s="83">
        <f>IFERROR(INDEX(tblPiNAnalysis[GBV], MATCH(tblPiNHistorical[[#This Row],[ID]], tblPiNAnalysis[ID], 0)), "")</f>
        <v>0</v>
      </c>
      <c r="AC440" s="28">
        <f>IFERROR(INDEX(tblPiNAnalysis[Mine Action], MATCH(tblPiNHistorical[[#This Row],[ID]], tblPiNAnalysis[ID], 0)), "")</f>
        <v>0</v>
      </c>
      <c r="AD440" s="83">
        <f>IFERROR(INDEX(tblPiNAnalysis[[Shelter NFI ]], MATCH(tblPiNHistorical[[#This Row],[ID]], tblPiNAnalysis[ID], 0)), "")</f>
        <v>8555</v>
      </c>
      <c r="AE440" s="28">
        <f>IFERROR(INDEX(tblPiNAnalysis[WASH], MATCH(tblPiNHistorical[[#This Row],[ID]], tblPiNAnalysis[ID], 0)), "")</f>
        <v>0</v>
      </c>
      <c r="AF440"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440" s="136" t="str">
        <f>IF(OR(tblPiNHistorical[[#This Row],[Education Old]]="", tblPiNHistorical[[#This Row],[Education Old]]=0, tblPiNHistorical[[#This Row],[Education New]]="", tblPiNHistorical[[#This Row],[Education New]]=0), "", tblPiNHistorical[[#This Row],[Education New]]-tblPiNHistorical[[#This Row],[Education Old]])</f>
        <v/>
      </c>
      <c r="AH440"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440" s="137" t="str">
        <f>IF(OR(tblPiNHistorical[[#This Row],[Health Old]]="", tblPiNHistorical[[#This Row],[Health Old]]=0, tblPiNHistorical[[#This Row],[Health New]]="", tblPiNHistorical[[#This Row],[Health New]]=0), "", tblPiNHistorical[[#This Row],[Health New]]-tblPiNHistorical[[#This Row],[Health Old]])</f>
        <v/>
      </c>
      <c r="AJ440" s="136" t="str">
        <f>IF(OR(tblPiNHistorical[[#This Row],[Nutrition Old]]="", tblPiNHistorical[[#This Row],[Nutrition Old]]=0, tblPiNHistorical[[#This Row],[Nutrition New]]="", tblPiNHistorical[[#This Row],[Nutrition New]]=0), "", tblPiNHistorical[[#This Row],[Nutrition New]]-tblPiNHistorical[[#This Row],[Nutrition Old]])</f>
        <v/>
      </c>
      <c r="AK440" s="136" t="str">
        <f>IF(OR(tblPiNHistorical[[#This Row],[Protection Old]]="", tblPiNHistorical[[#This Row],[Protection Old]]=0, tblPiNHistorical[[#This Row],[Protection New]]="", tblPiNHistorical[[#This Row],[Protection New]]=0), "", tblPiNHistorical[[#This Row],[Protection New]]-tblPiNHistorical[[#This Row],[Protection Old]])</f>
        <v/>
      </c>
      <c r="AL440" s="136" t="str">
        <f>IF(OR(tblPiNHistorical[[#This Row],[CP Old ]]="", tblPiNHistorical[[#This Row],[CP Old ]]=0, tblPiNHistorical[[#This Row],[CP New]]="", tblPiNHistorical[[#This Row],[CP New]]=0), "", tblPiNHistorical[[#This Row],[CP New]]-tblPiNHistorical[[#This Row],[CP Old ]])</f>
        <v/>
      </c>
      <c r="AM440" s="83" t="str">
        <f>IF(OR(tblPiNHistorical[[#This Row],[GBV Old]]="", tblPiNHistorical[[#This Row],[GBV Old]]=0, tblPiNHistorical[[#This Row],[GBV New]]="", tblPiNHistorical[[#This Row],[GBV New]]=0), "", tblPiNHistorical[[#This Row],[GBV New]]-tblPiNHistorical[[#This Row],[GBV Old]])</f>
        <v/>
      </c>
      <c r="AN440" s="83" t="str">
        <f>IF(OR(tblPiNHistorical[[#This Row],[Mine Action Old]]="", tblPiNHistorical[[#This Row],[Mine Action Old]]=0, tblPiNHistorical[[#This Row],[Mine Action New]]="", tblPiNHistorical[[#This Row],[Mine Action New]]=0), "", tblPiNHistorical[[#This Row],[Mine Action New]]-tblPiNHistorical[[#This Row],[Mine Action Old]])</f>
        <v/>
      </c>
      <c r="AO440" s="136" t="str">
        <f>IF(OR(tblPiNHistorical[[#This Row],[Shelter NFI Old]]="", tblPiNHistorical[[#This Row],[Shelter NFI Old]]=0, tblPiNHistorical[[#This Row],[Shelter NFI New]]="", tblPiNHistorical[[#This Row],[Shelter NFI New]]=0), "", tblPiNHistorical[[#This Row],[Shelter NFI New]]-tblPiNHistorical[[#This Row],[Shelter NFI Old]])</f>
        <v/>
      </c>
      <c r="AP440" s="138" t="str">
        <f>IF(OR(tblPiNHistorical[[#This Row],[WASH Old]]="", tblPiNHistorical[[#This Row],[WASH Old]]=0, tblPiNHistorical[[#This Row],[WASH New]]="", tblPiNHistorical[[#This Row],[WASH New]]=0), "", tblPiNHistorical[[#This Row],[WASH New]]-tblPiNHistorical[[#This Row],[WASH Old]])</f>
        <v/>
      </c>
      <c r="AQ440" s="139" t="str">
        <f>IFERROR(ROUND((tblPiNHistorical[[#This Row],[Site Management - New]] - tblPiNHistorical[[#This Row],[Site Management - Old]])/tblPiNHistorical[[#This Row],[Site Management - Old]], 1), "")</f>
        <v/>
      </c>
      <c r="AR440" s="140">
        <f>IFERROR(ROUND((tblPiNHistorical[[#This Row],[Education New]]-tblPiNHistorical[[#This Row],[Education Old]])/tblPiNHistorical[[#This Row],[Education Old]], 1), "")</f>
        <v>-1</v>
      </c>
      <c r="AS440" s="141">
        <f>IFERROR(ROUND((tblPiNHistorical[[#This Row],[Food Security and Livlihoods New]]-tblPiNHistorical[[#This Row],[Food Security and Livlihoods Old]])/tblPiNHistorical[[#This Row],[Food Security and Livlihoods Old]], 1), "")</f>
        <v>-1</v>
      </c>
      <c r="AT440" s="142">
        <f>IFERROR(ROUND((tblPiNHistorical[[#This Row],[Health New]]-tblPiNHistorical[[#This Row],[Health Old]])/tblPiNHistorical[[#This Row],[Health Old]], 1), "")</f>
        <v>-1</v>
      </c>
      <c r="AU440" s="140">
        <f>IFERROR(ROUND((tblPiNHistorical[[#This Row],[Nutrition New]]-tblPiNHistorical[[#This Row],[Nutrition Old]])/tblPiNHistorical[[#This Row],[Nutrition Old]], 1), "")</f>
        <v>-1</v>
      </c>
      <c r="AV440" s="140">
        <f>IFERROR(ROUND((tblPiNHistorical[[#This Row],[Protection New]]-tblPiNHistorical[[#This Row],[Protection Old]])/tblPiNHistorical[[#This Row],[Protection Old]], 1), "")</f>
        <v>-1</v>
      </c>
      <c r="AW440" s="84">
        <f>IFERROR(ROUND((tblPiNHistorical[[#This Row],[CP New]]-tblPiNHistorical[[#This Row],[CP Old ]])/tblPiNHistorical[[#This Row],[CP Old ]], 1), "")</f>
        <v>-1</v>
      </c>
      <c r="AX440" s="84" t="str">
        <f>IFERROR(ROUND((tblPiNHistorical[[#This Row],[GBV New]]-tblPiNHistorical[[#This Row],[GBV Old]])/tblPiNHistorical[[#This Row],[GBV Old]], 1), "")</f>
        <v/>
      </c>
      <c r="AY440" s="84" t="str">
        <f>IFERROR(ROUND((tblPiNHistorical[[#This Row],[Mine Action New]]-tblPiNHistorical[[#This Row],[Mine Action Old]])/tblPiNHistorical[[#This Row],[Mine Action Old]], 1), "")</f>
        <v/>
      </c>
      <c r="AZ440" s="140" t="str">
        <f>IFERROR(ROUND((tblPiNHistorical[[#This Row],[Shelter NFI New]]-tblPiNHistorical[[#This Row],[Shelter NFI Old]])/tblPiNHistorical[[#This Row],[Shelter NFI Old]], 1), "")</f>
        <v/>
      </c>
      <c r="BA440" s="31">
        <f>IFERROR(ROUND((tblPiNHistorical[[#This Row],[WASH New]]-tblPiNHistorical[[#This Row],[WASH Old]])/tblPiNHistorical[[#This Row],[WASH Old]], 1), "")</f>
        <v>-1</v>
      </c>
    </row>
    <row r="441" spans="1:53" ht="38.25" x14ac:dyDescent="0.25">
      <c r="A441"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Host CommunitySD01003</v>
      </c>
      <c r="B441" s="134" t="s">
        <v>164</v>
      </c>
      <c r="C441" s="124" t="s">
        <v>118</v>
      </c>
      <c r="D441" s="124" t="s">
        <v>327</v>
      </c>
      <c r="E441" s="59" t="s">
        <v>328</v>
      </c>
      <c r="F441" s="54"/>
      <c r="G441" s="29"/>
      <c r="H441" s="53">
        <v>9967</v>
      </c>
      <c r="I441" s="53" t="s">
        <v>87</v>
      </c>
      <c r="J441" s="34">
        <v>0</v>
      </c>
      <c r="K441" s="116">
        <v>3864.2058999999999</v>
      </c>
      <c r="L441" s="114">
        <v>9967</v>
      </c>
      <c r="M441" s="114">
        <v>9967</v>
      </c>
      <c r="N441" s="114">
        <v>1048</v>
      </c>
      <c r="O441" s="114">
        <v>4983.5</v>
      </c>
      <c r="P441" s="114">
        <v>1096</v>
      </c>
      <c r="Q441" s="114">
        <v>3419</v>
      </c>
      <c r="R441" s="114">
        <v>4983.5</v>
      </c>
      <c r="S441" s="114">
        <v>1993</v>
      </c>
      <c r="T441" s="196">
        <v>6356.9525999999996</v>
      </c>
      <c r="U441" s="52">
        <f>IFERROR(INDEX(tblPiNAnalysis[[Site Management ]], MATCH(tblPiNHistorical[[#This Row],[ID]], tblPiNAnalysis[ID], 0)), "")</f>
        <v>0</v>
      </c>
      <c r="V441" s="52">
        <f>IFERROR(INDEX(tblPiNAnalysis[Education], MATCH(tblPiNHistorical[[#This Row],[ID]], tblPiNAnalysis[ID], 0)), "")</f>
        <v>0</v>
      </c>
      <c r="W441" s="28">
        <f>IFERROR(INDEX(tblPiNAnalysis[Food Security and Livlihoods], MATCH(tblPiNHistorical[[#This Row],[ID]], tblPiNAnalysis[ID], 0)), "")</f>
        <v>0</v>
      </c>
      <c r="X441" s="28">
        <f>IFERROR(INDEX(tblPiNAnalysis[[Health ]], MATCH(tblPiNHistorical[[#This Row],[ID]], tblPiNAnalysis[ID], 0)), "")</f>
        <v>0</v>
      </c>
      <c r="Y441" s="28">
        <f>IFERROR(INDEX(tblPiNAnalysis[Nutrition], MATCH(tblPiNHistorical[[#This Row],[ID]], tblPiNAnalysis[ID], 0)), "")</f>
        <v>0</v>
      </c>
      <c r="Z441" s="28">
        <f>IFERROR(INDEX(tblPiNAnalysis[Protection], MATCH(tblPiNHistorical[[#This Row],[ID]], tblPiNAnalysis[ID], 0)), "")</f>
        <v>0</v>
      </c>
      <c r="AA441" s="28">
        <f>IFERROR(INDEX(tblPiNAnalysis[CP], MATCH(tblPiNHistorical[[#This Row],[ID]], tblPiNAnalysis[ID], 0)), "")</f>
        <v>0</v>
      </c>
      <c r="AB441" s="83">
        <f>IFERROR(INDEX(tblPiNAnalysis[GBV], MATCH(tblPiNHistorical[[#This Row],[ID]], tblPiNAnalysis[ID], 0)), "")</f>
        <v>0</v>
      </c>
      <c r="AC441" s="28">
        <f>IFERROR(INDEX(tblPiNAnalysis[Mine Action], MATCH(tblPiNHistorical[[#This Row],[ID]], tblPiNAnalysis[ID], 0)), "")</f>
        <v>0</v>
      </c>
      <c r="AD441" s="83">
        <f>IFERROR(INDEX(tblPiNAnalysis[[Shelter NFI ]], MATCH(tblPiNHistorical[[#This Row],[ID]], tblPiNAnalysis[ID], 0)), "")</f>
        <v>5507</v>
      </c>
      <c r="AE441" s="28">
        <f>IFERROR(INDEX(tblPiNAnalysis[WASH], MATCH(tblPiNHistorical[[#This Row],[ID]], tblPiNAnalysis[ID], 0)), "")</f>
        <v>0</v>
      </c>
      <c r="AF441"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441" s="136" t="str">
        <f>IF(OR(tblPiNHistorical[[#This Row],[Education Old]]="", tblPiNHistorical[[#This Row],[Education Old]]=0, tblPiNHistorical[[#This Row],[Education New]]="", tblPiNHistorical[[#This Row],[Education New]]=0), "", tblPiNHistorical[[#This Row],[Education New]]-tblPiNHistorical[[#This Row],[Education Old]])</f>
        <v/>
      </c>
      <c r="AH441"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441" s="137" t="str">
        <f>IF(OR(tblPiNHistorical[[#This Row],[Health Old]]="", tblPiNHistorical[[#This Row],[Health Old]]=0, tblPiNHistorical[[#This Row],[Health New]]="", tblPiNHistorical[[#This Row],[Health New]]=0), "", tblPiNHistorical[[#This Row],[Health New]]-tblPiNHistorical[[#This Row],[Health Old]])</f>
        <v/>
      </c>
      <c r="AJ441" s="136" t="str">
        <f>IF(OR(tblPiNHistorical[[#This Row],[Nutrition Old]]="", tblPiNHistorical[[#This Row],[Nutrition Old]]=0, tblPiNHistorical[[#This Row],[Nutrition New]]="", tblPiNHistorical[[#This Row],[Nutrition New]]=0), "", tblPiNHistorical[[#This Row],[Nutrition New]]-tblPiNHistorical[[#This Row],[Nutrition Old]])</f>
        <v/>
      </c>
      <c r="AK441" s="136" t="str">
        <f>IF(OR(tblPiNHistorical[[#This Row],[Protection Old]]="", tblPiNHistorical[[#This Row],[Protection Old]]=0, tblPiNHistorical[[#This Row],[Protection New]]="", tblPiNHistorical[[#This Row],[Protection New]]=0), "", tblPiNHistorical[[#This Row],[Protection New]]-tblPiNHistorical[[#This Row],[Protection Old]])</f>
        <v/>
      </c>
      <c r="AL441" s="136" t="str">
        <f>IF(OR(tblPiNHistorical[[#This Row],[CP Old ]]="", tblPiNHistorical[[#This Row],[CP Old ]]=0, tblPiNHistorical[[#This Row],[CP New]]="", tblPiNHistorical[[#This Row],[CP New]]=0), "", tblPiNHistorical[[#This Row],[CP New]]-tblPiNHistorical[[#This Row],[CP Old ]])</f>
        <v/>
      </c>
      <c r="AM441" s="83" t="str">
        <f>IF(OR(tblPiNHistorical[[#This Row],[GBV Old]]="", tblPiNHistorical[[#This Row],[GBV Old]]=0, tblPiNHistorical[[#This Row],[GBV New]]="", tblPiNHistorical[[#This Row],[GBV New]]=0), "", tblPiNHistorical[[#This Row],[GBV New]]-tblPiNHistorical[[#This Row],[GBV Old]])</f>
        <v/>
      </c>
      <c r="AN441" s="83" t="str">
        <f>IF(OR(tblPiNHistorical[[#This Row],[Mine Action Old]]="", tblPiNHistorical[[#This Row],[Mine Action Old]]=0, tblPiNHistorical[[#This Row],[Mine Action New]]="", tblPiNHistorical[[#This Row],[Mine Action New]]=0), "", tblPiNHistorical[[#This Row],[Mine Action New]]-tblPiNHistorical[[#This Row],[Mine Action Old]])</f>
        <v/>
      </c>
      <c r="AO441" s="136">
        <f>IF(OR(tblPiNHistorical[[#This Row],[Shelter NFI Old]]="", tblPiNHistorical[[#This Row],[Shelter NFI Old]]=0, tblPiNHistorical[[#This Row],[Shelter NFI New]]="", tblPiNHistorical[[#This Row],[Shelter NFI New]]=0), "", tblPiNHistorical[[#This Row],[Shelter NFI New]]-tblPiNHistorical[[#This Row],[Shelter NFI Old]])</f>
        <v>3514</v>
      </c>
      <c r="AP441" s="138" t="str">
        <f>IF(OR(tblPiNHistorical[[#This Row],[WASH Old]]="", tblPiNHistorical[[#This Row],[WASH Old]]=0, tblPiNHistorical[[#This Row],[WASH New]]="", tblPiNHistorical[[#This Row],[WASH New]]=0), "", tblPiNHistorical[[#This Row],[WASH New]]-tblPiNHistorical[[#This Row],[WASH Old]])</f>
        <v/>
      </c>
      <c r="AQ441" s="139" t="str">
        <f>IFERROR(ROUND((tblPiNHistorical[[#This Row],[Site Management - New]] - tblPiNHistorical[[#This Row],[Site Management - Old]])/tblPiNHistorical[[#This Row],[Site Management - Old]], 1), "")</f>
        <v/>
      </c>
      <c r="AR441" s="140">
        <f>IFERROR(ROUND((tblPiNHistorical[[#This Row],[Education New]]-tblPiNHistorical[[#This Row],[Education Old]])/tblPiNHistorical[[#This Row],[Education Old]], 1), "")</f>
        <v>-1</v>
      </c>
      <c r="AS441" s="141">
        <f>IFERROR(ROUND((tblPiNHistorical[[#This Row],[Food Security and Livlihoods New]]-tblPiNHistorical[[#This Row],[Food Security and Livlihoods Old]])/tblPiNHistorical[[#This Row],[Food Security and Livlihoods Old]], 1), "")</f>
        <v>-1</v>
      </c>
      <c r="AT441" s="142">
        <f>IFERROR(ROUND((tblPiNHistorical[[#This Row],[Health New]]-tblPiNHistorical[[#This Row],[Health Old]])/tblPiNHistorical[[#This Row],[Health Old]], 1), "")</f>
        <v>-1</v>
      </c>
      <c r="AU441" s="140">
        <f>IFERROR(ROUND((tblPiNHistorical[[#This Row],[Nutrition New]]-tblPiNHistorical[[#This Row],[Nutrition Old]])/tblPiNHistorical[[#This Row],[Nutrition Old]], 1), "")</f>
        <v>-1</v>
      </c>
      <c r="AV441" s="140">
        <f>IFERROR(ROUND((tblPiNHistorical[[#This Row],[Protection New]]-tblPiNHistorical[[#This Row],[Protection Old]])/tblPiNHistorical[[#This Row],[Protection Old]], 1), "")</f>
        <v>-1</v>
      </c>
      <c r="AW441" s="84">
        <f>IFERROR(ROUND((tblPiNHistorical[[#This Row],[CP New]]-tblPiNHistorical[[#This Row],[CP Old ]])/tblPiNHistorical[[#This Row],[CP Old ]], 1), "")</f>
        <v>-1</v>
      </c>
      <c r="AX441" s="84">
        <f>IFERROR(ROUND((tblPiNHistorical[[#This Row],[GBV New]]-tblPiNHistorical[[#This Row],[GBV Old]])/tblPiNHistorical[[#This Row],[GBV Old]], 1), "")</f>
        <v>-1</v>
      </c>
      <c r="AY441" s="84">
        <f>IFERROR(ROUND((tblPiNHistorical[[#This Row],[Mine Action New]]-tblPiNHistorical[[#This Row],[Mine Action Old]])/tblPiNHistorical[[#This Row],[Mine Action Old]], 1), "")</f>
        <v>-1</v>
      </c>
      <c r="AZ441" s="140">
        <f>IFERROR(ROUND((tblPiNHistorical[[#This Row],[Shelter NFI New]]-tblPiNHistorical[[#This Row],[Shelter NFI Old]])/tblPiNHistorical[[#This Row],[Shelter NFI Old]], 1), "")</f>
        <v>1.8</v>
      </c>
      <c r="BA441" s="31">
        <f>IFERROR(ROUND((tblPiNHistorical[[#This Row],[WASH New]]-tblPiNHistorical[[#This Row],[WASH Old]])/tblPiNHistorical[[#This Row],[WASH Old]], 1), "")</f>
        <v>-1</v>
      </c>
    </row>
    <row r="442" spans="1:53" ht="38.25" x14ac:dyDescent="0.25">
      <c r="A442"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Host CommunitySD01001</v>
      </c>
      <c r="B442" s="134" t="s">
        <v>164</v>
      </c>
      <c r="C442" s="124" t="s">
        <v>118</v>
      </c>
      <c r="D442" s="124" t="s">
        <v>323</v>
      </c>
      <c r="E442" s="59" t="s">
        <v>324</v>
      </c>
      <c r="F442" s="54"/>
      <c r="G442" s="29"/>
      <c r="H442" s="53">
        <v>22064</v>
      </c>
      <c r="I442" s="53" t="s">
        <v>87</v>
      </c>
      <c r="J442" s="34">
        <v>0</v>
      </c>
      <c r="K442" s="116">
        <v>8554.2127999999993</v>
      </c>
      <c r="L442" s="114">
        <v>20064</v>
      </c>
      <c r="M442" s="114">
        <v>22064</v>
      </c>
      <c r="N442" s="114">
        <v>2277</v>
      </c>
      <c r="O442" s="114">
        <v>11032</v>
      </c>
      <c r="P442" s="114">
        <v>2427</v>
      </c>
      <c r="Q442" s="114">
        <v>7569</v>
      </c>
      <c r="R442" s="114">
        <v>11032</v>
      </c>
      <c r="S442" s="114">
        <v>4413</v>
      </c>
      <c r="T442" s="196">
        <v>14988.075200000001</v>
      </c>
      <c r="U442" s="52">
        <f>IFERROR(INDEX(tblPiNAnalysis[[Site Management ]], MATCH(tblPiNHistorical[[#This Row],[ID]], tblPiNAnalysis[ID], 0)), "")</f>
        <v>0</v>
      </c>
      <c r="V442" s="52">
        <f>IFERROR(INDEX(tblPiNAnalysis[Education], MATCH(tblPiNHistorical[[#This Row],[ID]], tblPiNAnalysis[ID], 0)), "")</f>
        <v>0</v>
      </c>
      <c r="W442" s="28">
        <f>IFERROR(INDEX(tblPiNAnalysis[Food Security and Livlihoods], MATCH(tblPiNHistorical[[#This Row],[ID]], tblPiNAnalysis[ID], 0)), "")</f>
        <v>0</v>
      </c>
      <c r="X442" s="28">
        <f>IFERROR(INDEX(tblPiNAnalysis[[Health ]], MATCH(tblPiNHistorical[[#This Row],[ID]], tblPiNAnalysis[ID], 0)), "")</f>
        <v>0</v>
      </c>
      <c r="Y442" s="28">
        <f>IFERROR(INDEX(tblPiNAnalysis[Nutrition], MATCH(tblPiNHistorical[[#This Row],[ID]], tblPiNAnalysis[ID], 0)), "")</f>
        <v>0</v>
      </c>
      <c r="Z442" s="28">
        <f>IFERROR(INDEX(tblPiNAnalysis[Protection], MATCH(tblPiNHistorical[[#This Row],[ID]], tblPiNAnalysis[ID], 0)), "")</f>
        <v>0</v>
      </c>
      <c r="AA442" s="28">
        <f>IFERROR(INDEX(tblPiNAnalysis[CP], MATCH(tblPiNHistorical[[#This Row],[ID]], tblPiNAnalysis[ID], 0)), "")</f>
        <v>0</v>
      </c>
      <c r="AB442" s="83">
        <f>IFERROR(INDEX(tblPiNAnalysis[GBV], MATCH(tblPiNHistorical[[#This Row],[ID]], tblPiNAnalysis[ID], 0)), "")</f>
        <v>0</v>
      </c>
      <c r="AC442" s="28">
        <f>IFERROR(INDEX(tblPiNAnalysis[Mine Action], MATCH(tblPiNHistorical[[#This Row],[ID]], tblPiNAnalysis[ID], 0)), "")</f>
        <v>0</v>
      </c>
      <c r="AD442" s="83">
        <f>IFERROR(INDEX(tblPiNAnalysis[[Shelter NFI ]], MATCH(tblPiNHistorical[[#This Row],[ID]], tblPiNAnalysis[ID], 0)), "")</f>
        <v>1448</v>
      </c>
      <c r="AE442" s="28">
        <f>IFERROR(INDEX(tblPiNAnalysis[WASH], MATCH(tblPiNHistorical[[#This Row],[ID]], tblPiNAnalysis[ID], 0)), "")</f>
        <v>0</v>
      </c>
      <c r="AF442"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442" s="136" t="str">
        <f>IF(OR(tblPiNHistorical[[#This Row],[Education Old]]="", tblPiNHistorical[[#This Row],[Education Old]]=0, tblPiNHistorical[[#This Row],[Education New]]="", tblPiNHistorical[[#This Row],[Education New]]=0), "", tblPiNHistorical[[#This Row],[Education New]]-tblPiNHistorical[[#This Row],[Education Old]])</f>
        <v/>
      </c>
      <c r="AH442"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442" s="137" t="str">
        <f>IF(OR(tblPiNHistorical[[#This Row],[Health Old]]="", tblPiNHistorical[[#This Row],[Health Old]]=0, tblPiNHistorical[[#This Row],[Health New]]="", tblPiNHistorical[[#This Row],[Health New]]=0), "", tblPiNHistorical[[#This Row],[Health New]]-tblPiNHistorical[[#This Row],[Health Old]])</f>
        <v/>
      </c>
      <c r="AJ442" s="136" t="str">
        <f>IF(OR(tblPiNHistorical[[#This Row],[Nutrition Old]]="", tblPiNHistorical[[#This Row],[Nutrition Old]]=0, tblPiNHistorical[[#This Row],[Nutrition New]]="", tblPiNHistorical[[#This Row],[Nutrition New]]=0), "", tblPiNHistorical[[#This Row],[Nutrition New]]-tblPiNHistorical[[#This Row],[Nutrition Old]])</f>
        <v/>
      </c>
      <c r="AK442" s="136" t="str">
        <f>IF(OR(tblPiNHistorical[[#This Row],[Protection Old]]="", tblPiNHistorical[[#This Row],[Protection Old]]=0, tblPiNHistorical[[#This Row],[Protection New]]="", tblPiNHistorical[[#This Row],[Protection New]]=0), "", tblPiNHistorical[[#This Row],[Protection New]]-tblPiNHistorical[[#This Row],[Protection Old]])</f>
        <v/>
      </c>
      <c r="AL442" s="136" t="str">
        <f>IF(OR(tblPiNHistorical[[#This Row],[CP Old ]]="", tblPiNHistorical[[#This Row],[CP Old ]]=0, tblPiNHistorical[[#This Row],[CP New]]="", tblPiNHistorical[[#This Row],[CP New]]=0), "", tblPiNHistorical[[#This Row],[CP New]]-tblPiNHistorical[[#This Row],[CP Old ]])</f>
        <v/>
      </c>
      <c r="AM442" s="83" t="str">
        <f>IF(OR(tblPiNHistorical[[#This Row],[GBV Old]]="", tblPiNHistorical[[#This Row],[GBV Old]]=0, tblPiNHistorical[[#This Row],[GBV New]]="", tblPiNHistorical[[#This Row],[GBV New]]=0), "", tblPiNHistorical[[#This Row],[GBV New]]-tblPiNHistorical[[#This Row],[GBV Old]])</f>
        <v/>
      </c>
      <c r="AN442" s="83" t="str">
        <f>IF(OR(tblPiNHistorical[[#This Row],[Mine Action Old]]="", tblPiNHistorical[[#This Row],[Mine Action Old]]=0, tblPiNHistorical[[#This Row],[Mine Action New]]="", tblPiNHistorical[[#This Row],[Mine Action New]]=0), "", tblPiNHistorical[[#This Row],[Mine Action New]]-tblPiNHistorical[[#This Row],[Mine Action Old]])</f>
        <v/>
      </c>
      <c r="AO442" s="136">
        <f>IF(OR(tblPiNHistorical[[#This Row],[Shelter NFI Old]]="", tblPiNHistorical[[#This Row],[Shelter NFI Old]]=0, tblPiNHistorical[[#This Row],[Shelter NFI New]]="", tblPiNHistorical[[#This Row],[Shelter NFI New]]=0), "", tblPiNHistorical[[#This Row],[Shelter NFI New]]-tblPiNHistorical[[#This Row],[Shelter NFI Old]])</f>
        <v>-2965</v>
      </c>
      <c r="AP442" s="138" t="str">
        <f>IF(OR(tblPiNHistorical[[#This Row],[WASH Old]]="", tblPiNHistorical[[#This Row],[WASH Old]]=0, tblPiNHistorical[[#This Row],[WASH New]]="", tblPiNHistorical[[#This Row],[WASH New]]=0), "", tblPiNHistorical[[#This Row],[WASH New]]-tblPiNHistorical[[#This Row],[WASH Old]])</f>
        <v/>
      </c>
      <c r="AQ442" s="139" t="str">
        <f>IFERROR(ROUND((tblPiNHistorical[[#This Row],[Site Management - New]] - tblPiNHistorical[[#This Row],[Site Management - Old]])/tblPiNHistorical[[#This Row],[Site Management - Old]], 1), "")</f>
        <v/>
      </c>
      <c r="AR442" s="140">
        <f>IFERROR(ROUND((tblPiNHistorical[[#This Row],[Education New]]-tblPiNHistorical[[#This Row],[Education Old]])/tblPiNHistorical[[#This Row],[Education Old]], 1), "")</f>
        <v>-1</v>
      </c>
      <c r="AS442" s="141">
        <f>IFERROR(ROUND((tblPiNHistorical[[#This Row],[Food Security and Livlihoods New]]-tblPiNHistorical[[#This Row],[Food Security and Livlihoods Old]])/tblPiNHistorical[[#This Row],[Food Security and Livlihoods Old]], 1), "")</f>
        <v>-1</v>
      </c>
      <c r="AT442" s="142">
        <f>IFERROR(ROUND((tblPiNHistorical[[#This Row],[Health New]]-tblPiNHistorical[[#This Row],[Health Old]])/tblPiNHistorical[[#This Row],[Health Old]], 1), "")</f>
        <v>-1</v>
      </c>
      <c r="AU442" s="140">
        <f>IFERROR(ROUND((tblPiNHistorical[[#This Row],[Nutrition New]]-tblPiNHistorical[[#This Row],[Nutrition Old]])/tblPiNHistorical[[#This Row],[Nutrition Old]], 1), "")</f>
        <v>-1</v>
      </c>
      <c r="AV442" s="140">
        <f>IFERROR(ROUND((tblPiNHistorical[[#This Row],[Protection New]]-tblPiNHistorical[[#This Row],[Protection Old]])/tblPiNHistorical[[#This Row],[Protection Old]], 1), "")</f>
        <v>-1</v>
      </c>
      <c r="AW442" s="84">
        <f>IFERROR(ROUND((tblPiNHistorical[[#This Row],[CP New]]-tblPiNHistorical[[#This Row],[CP Old ]])/tblPiNHistorical[[#This Row],[CP Old ]], 1), "")</f>
        <v>-1</v>
      </c>
      <c r="AX442" s="84">
        <f>IFERROR(ROUND((tblPiNHistorical[[#This Row],[GBV New]]-tblPiNHistorical[[#This Row],[GBV Old]])/tblPiNHistorical[[#This Row],[GBV Old]], 1), "")</f>
        <v>-1</v>
      </c>
      <c r="AY442" s="84">
        <f>IFERROR(ROUND((tblPiNHistorical[[#This Row],[Mine Action New]]-tblPiNHistorical[[#This Row],[Mine Action Old]])/tblPiNHistorical[[#This Row],[Mine Action Old]], 1), "")</f>
        <v>-1</v>
      </c>
      <c r="AZ442" s="140">
        <f>IFERROR(ROUND((tblPiNHistorical[[#This Row],[Shelter NFI New]]-tblPiNHistorical[[#This Row],[Shelter NFI Old]])/tblPiNHistorical[[#This Row],[Shelter NFI Old]], 1), "")</f>
        <v>-0.7</v>
      </c>
      <c r="BA442" s="31">
        <f>IFERROR(ROUND((tblPiNHistorical[[#This Row],[WASH New]]-tblPiNHistorical[[#This Row],[WASH Old]])/tblPiNHistorical[[#This Row],[WASH Old]], 1), "")</f>
        <v>-1</v>
      </c>
    </row>
    <row r="443" spans="1:53" ht="38.25" x14ac:dyDescent="0.25">
      <c r="A443"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Host CommunitySD01005</v>
      </c>
      <c r="B443" s="134" t="s">
        <v>164</v>
      </c>
      <c r="C443" s="124" t="s">
        <v>118</v>
      </c>
      <c r="D443" s="124" t="s">
        <v>331</v>
      </c>
      <c r="E443" s="59" t="s">
        <v>332</v>
      </c>
      <c r="F443" s="54"/>
      <c r="G443" s="29"/>
      <c r="H443" s="53">
        <v>10477</v>
      </c>
      <c r="I443" s="53" t="s">
        <v>87</v>
      </c>
      <c r="J443" s="34">
        <v>0</v>
      </c>
      <c r="K443" s="116">
        <v>4061.9328999999998</v>
      </c>
      <c r="L443" s="114">
        <v>10477</v>
      </c>
      <c r="M443" s="114">
        <v>10477</v>
      </c>
      <c r="N443" s="114">
        <v>439</v>
      </c>
      <c r="O443" s="114">
        <v>5238.5</v>
      </c>
      <c r="P443" s="114">
        <v>1152</v>
      </c>
      <c r="Q443" s="114">
        <v>3318</v>
      </c>
      <c r="R443" s="114">
        <v>5238.5</v>
      </c>
      <c r="S443" s="114">
        <v>2095</v>
      </c>
      <c r="T443" s="196">
        <v>4717.7931000000008</v>
      </c>
      <c r="U443" s="52">
        <f>IFERROR(INDEX(tblPiNAnalysis[[Site Management ]], MATCH(tblPiNHistorical[[#This Row],[ID]], tblPiNAnalysis[ID], 0)), "")</f>
        <v>0</v>
      </c>
      <c r="V443" s="52">
        <f>IFERROR(INDEX(tblPiNAnalysis[Education], MATCH(tblPiNHistorical[[#This Row],[ID]], tblPiNAnalysis[ID], 0)), "")</f>
        <v>0</v>
      </c>
      <c r="W443" s="28">
        <f>IFERROR(INDEX(tblPiNAnalysis[Food Security and Livlihoods], MATCH(tblPiNHistorical[[#This Row],[ID]], tblPiNAnalysis[ID], 0)), "")</f>
        <v>0</v>
      </c>
      <c r="X443" s="28">
        <f>IFERROR(INDEX(tblPiNAnalysis[[Health ]], MATCH(tblPiNHistorical[[#This Row],[ID]], tblPiNAnalysis[ID], 0)), "")</f>
        <v>0</v>
      </c>
      <c r="Y443" s="28">
        <f>IFERROR(INDEX(tblPiNAnalysis[Nutrition], MATCH(tblPiNHistorical[[#This Row],[ID]], tblPiNAnalysis[ID], 0)), "")</f>
        <v>0</v>
      </c>
      <c r="Z443" s="28">
        <f>IFERROR(INDEX(tblPiNAnalysis[Protection], MATCH(tblPiNHistorical[[#This Row],[ID]], tblPiNAnalysis[ID], 0)), "")</f>
        <v>0</v>
      </c>
      <c r="AA443" s="28">
        <f>IFERROR(INDEX(tblPiNAnalysis[CP], MATCH(tblPiNHistorical[[#This Row],[ID]], tblPiNAnalysis[ID], 0)), "")</f>
        <v>0</v>
      </c>
      <c r="AB443" s="83">
        <f>IFERROR(INDEX(tblPiNAnalysis[GBV], MATCH(tblPiNHistorical[[#This Row],[ID]], tblPiNAnalysis[ID], 0)), "")</f>
        <v>0</v>
      </c>
      <c r="AC443" s="28">
        <f>IFERROR(INDEX(tblPiNAnalysis[Mine Action], MATCH(tblPiNHistorical[[#This Row],[ID]], tblPiNAnalysis[ID], 0)), "")</f>
        <v>0</v>
      </c>
      <c r="AD443" s="83">
        <f>IFERROR(INDEX(tblPiNAnalysis[[Shelter NFI ]], MATCH(tblPiNHistorical[[#This Row],[ID]], tblPiNAnalysis[ID], 0)), "")</f>
        <v>2940</v>
      </c>
      <c r="AE443" s="28">
        <f>IFERROR(INDEX(tblPiNAnalysis[WASH], MATCH(tblPiNHistorical[[#This Row],[ID]], tblPiNAnalysis[ID], 0)), "")</f>
        <v>0</v>
      </c>
      <c r="AF443"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443" s="136" t="str">
        <f>IF(OR(tblPiNHistorical[[#This Row],[Education Old]]="", tblPiNHistorical[[#This Row],[Education Old]]=0, tblPiNHistorical[[#This Row],[Education New]]="", tblPiNHistorical[[#This Row],[Education New]]=0), "", tblPiNHistorical[[#This Row],[Education New]]-tblPiNHistorical[[#This Row],[Education Old]])</f>
        <v/>
      </c>
      <c r="AH443"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443" s="137" t="str">
        <f>IF(OR(tblPiNHistorical[[#This Row],[Health Old]]="", tblPiNHistorical[[#This Row],[Health Old]]=0, tblPiNHistorical[[#This Row],[Health New]]="", tblPiNHistorical[[#This Row],[Health New]]=0), "", tblPiNHistorical[[#This Row],[Health New]]-tblPiNHistorical[[#This Row],[Health Old]])</f>
        <v/>
      </c>
      <c r="AJ443" s="136" t="str">
        <f>IF(OR(tblPiNHistorical[[#This Row],[Nutrition Old]]="", tblPiNHistorical[[#This Row],[Nutrition Old]]=0, tblPiNHistorical[[#This Row],[Nutrition New]]="", tblPiNHistorical[[#This Row],[Nutrition New]]=0), "", tblPiNHistorical[[#This Row],[Nutrition New]]-tblPiNHistorical[[#This Row],[Nutrition Old]])</f>
        <v/>
      </c>
      <c r="AK443" s="136" t="str">
        <f>IF(OR(tblPiNHistorical[[#This Row],[Protection Old]]="", tblPiNHistorical[[#This Row],[Protection Old]]=0, tblPiNHistorical[[#This Row],[Protection New]]="", tblPiNHistorical[[#This Row],[Protection New]]=0), "", tblPiNHistorical[[#This Row],[Protection New]]-tblPiNHistorical[[#This Row],[Protection Old]])</f>
        <v/>
      </c>
      <c r="AL443" s="136" t="str">
        <f>IF(OR(tblPiNHistorical[[#This Row],[CP Old ]]="", tblPiNHistorical[[#This Row],[CP Old ]]=0, tblPiNHistorical[[#This Row],[CP New]]="", tblPiNHistorical[[#This Row],[CP New]]=0), "", tblPiNHistorical[[#This Row],[CP New]]-tblPiNHistorical[[#This Row],[CP Old ]])</f>
        <v/>
      </c>
      <c r="AM443" s="83" t="str">
        <f>IF(OR(tblPiNHistorical[[#This Row],[GBV Old]]="", tblPiNHistorical[[#This Row],[GBV Old]]=0, tblPiNHistorical[[#This Row],[GBV New]]="", tblPiNHistorical[[#This Row],[GBV New]]=0), "", tblPiNHistorical[[#This Row],[GBV New]]-tblPiNHistorical[[#This Row],[GBV Old]])</f>
        <v/>
      </c>
      <c r="AN443" s="83" t="str">
        <f>IF(OR(tblPiNHistorical[[#This Row],[Mine Action Old]]="", tblPiNHistorical[[#This Row],[Mine Action Old]]=0, tblPiNHistorical[[#This Row],[Mine Action New]]="", tblPiNHistorical[[#This Row],[Mine Action New]]=0), "", tblPiNHistorical[[#This Row],[Mine Action New]]-tblPiNHistorical[[#This Row],[Mine Action Old]])</f>
        <v/>
      </c>
      <c r="AO443" s="136">
        <f>IF(OR(tblPiNHistorical[[#This Row],[Shelter NFI Old]]="", tblPiNHistorical[[#This Row],[Shelter NFI Old]]=0, tblPiNHistorical[[#This Row],[Shelter NFI New]]="", tblPiNHistorical[[#This Row],[Shelter NFI New]]=0), "", tblPiNHistorical[[#This Row],[Shelter NFI New]]-tblPiNHistorical[[#This Row],[Shelter NFI Old]])</f>
        <v>845</v>
      </c>
      <c r="AP443" s="138" t="str">
        <f>IF(OR(tblPiNHistorical[[#This Row],[WASH Old]]="", tblPiNHistorical[[#This Row],[WASH Old]]=0, tblPiNHistorical[[#This Row],[WASH New]]="", tblPiNHistorical[[#This Row],[WASH New]]=0), "", tblPiNHistorical[[#This Row],[WASH New]]-tblPiNHistorical[[#This Row],[WASH Old]])</f>
        <v/>
      </c>
      <c r="AQ443" s="139" t="str">
        <f>IFERROR(ROUND((tblPiNHistorical[[#This Row],[Site Management - New]] - tblPiNHistorical[[#This Row],[Site Management - Old]])/tblPiNHistorical[[#This Row],[Site Management - Old]], 1), "")</f>
        <v/>
      </c>
      <c r="AR443" s="140">
        <f>IFERROR(ROUND((tblPiNHistorical[[#This Row],[Education New]]-tblPiNHistorical[[#This Row],[Education Old]])/tblPiNHistorical[[#This Row],[Education Old]], 1), "")</f>
        <v>-1</v>
      </c>
      <c r="AS443" s="141">
        <f>IFERROR(ROUND((tblPiNHistorical[[#This Row],[Food Security and Livlihoods New]]-tblPiNHistorical[[#This Row],[Food Security and Livlihoods Old]])/tblPiNHistorical[[#This Row],[Food Security and Livlihoods Old]], 1), "")</f>
        <v>-1</v>
      </c>
      <c r="AT443" s="142">
        <f>IFERROR(ROUND((tblPiNHistorical[[#This Row],[Health New]]-tblPiNHistorical[[#This Row],[Health Old]])/tblPiNHistorical[[#This Row],[Health Old]], 1), "")</f>
        <v>-1</v>
      </c>
      <c r="AU443" s="140">
        <f>IFERROR(ROUND((tblPiNHistorical[[#This Row],[Nutrition New]]-tblPiNHistorical[[#This Row],[Nutrition Old]])/tblPiNHistorical[[#This Row],[Nutrition Old]], 1), "")</f>
        <v>-1</v>
      </c>
      <c r="AV443" s="140">
        <f>IFERROR(ROUND((tblPiNHistorical[[#This Row],[Protection New]]-tblPiNHistorical[[#This Row],[Protection Old]])/tblPiNHistorical[[#This Row],[Protection Old]], 1), "")</f>
        <v>-1</v>
      </c>
      <c r="AW443" s="84">
        <f>IFERROR(ROUND((tblPiNHistorical[[#This Row],[CP New]]-tblPiNHistorical[[#This Row],[CP Old ]])/tblPiNHistorical[[#This Row],[CP Old ]], 1), "")</f>
        <v>-1</v>
      </c>
      <c r="AX443" s="84">
        <f>IFERROR(ROUND((tblPiNHistorical[[#This Row],[GBV New]]-tblPiNHistorical[[#This Row],[GBV Old]])/tblPiNHistorical[[#This Row],[GBV Old]], 1), "")</f>
        <v>-1</v>
      </c>
      <c r="AY443" s="84">
        <f>IFERROR(ROUND((tblPiNHistorical[[#This Row],[Mine Action New]]-tblPiNHistorical[[#This Row],[Mine Action Old]])/tblPiNHistorical[[#This Row],[Mine Action Old]], 1), "")</f>
        <v>-1</v>
      </c>
      <c r="AZ443" s="140">
        <f>IFERROR(ROUND((tblPiNHistorical[[#This Row],[Shelter NFI New]]-tblPiNHistorical[[#This Row],[Shelter NFI Old]])/tblPiNHistorical[[#This Row],[Shelter NFI Old]], 1), "")</f>
        <v>0.4</v>
      </c>
      <c r="BA443" s="31">
        <f>IFERROR(ROUND((tblPiNHistorical[[#This Row],[WASH New]]-tblPiNHistorical[[#This Row],[WASH Old]])/tblPiNHistorical[[#This Row],[WASH Old]], 1), "")</f>
        <v>-1</v>
      </c>
    </row>
    <row r="444" spans="1:53" ht="38.25" x14ac:dyDescent="0.25">
      <c r="A444"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Host CommunitySD01007</v>
      </c>
      <c r="B444" s="134" t="s">
        <v>164</v>
      </c>
      <c r="C444" s="124" t="s">
        <v>118</v>
      </c>
      <c r="D444" s="124" t="s">
        <v>164</v>
      </c>
      <c r="E444" s="59" t="s">
        <v>335</v>
      </c>
      <c r="F444" s="54"/>
      <c r="G444" s="29"/>
      <c r="H444" s="53">
        <v>20760</v>
      </c>
      <c r="I444" s="53" t="s">
        <v>87</v>
      </c>
      <c r="J444" s="34">
        <v>0</v>
      </c>
      <c r="K444" s="116">
        <v>8048.652</v>
      </c>
      <c r="L444" s="114">
        <v>18760</v>
      </c>
      <c r="M444" s="114">
        <v>20760</v>
      </c>
      <c r="N444" s="114">
        <v>1444</v>
      </c>
      <c r="O444" s="114">
        <v>10380</v>
      </c>
      <c r="P444" s="114">
        <v>2284</v>
      </c>
      <c r="Q444" s="114">
        <v>7121</v>
      </c>
      <c r="R444" s="114">
        <v>10380</v>
      </c>
      <c r="S444" s="114">
        <v>4152</v>
      </c>
      <c r="T444" s="196">
        <v>7290.9119999999984</v>
      </c>
      <c r="U444" s="52">
        <f>IFERROR(INDEX(tblPiNAnalysis[[Site Management ]], MATCH(tblPiNHistorical[[#This Row],[ID]], tblPiNAnalysis[ID], 0)), "")</f>
        <v>0</v>
      </c>
      <c r="V444" s="52">
        <f>IFERROR(INDEX(tblPiNAnalysis[Education], MATCH(tblPiNHistorical[[#This Row],[ID]], tblPiNAnalysis[ID], 0)), "")</f>
        <v>0</v>
      </c>
      <c r="W444" s="28">
        <f>IFERROR(INDEX(tblPiNAnalysis[Food Security and Livlihoods], MATCH(tblPiNHistorical[[#This Row],[ID]], tblPiNAnalysis[ID], 0)), "")</f>
        <v>0</v>
      </c>
      <c r="X444" s="28">
        <f>IFERROR(INDEX(tblPiNAnalysis[[Health ]], MATCH(tblPiNHistorical[[#This Row],[ID]], tblPiNAnalysis[ID], 0)), "")</f>
        <v>0</v>
      </c>
      <c r="Y444" s="28">
        <f>IFERROR(INDEX(tblPiNAnalysis[Nutrition], MATCH(tblPiNHistorical[[#This Row],[ID]], tblPiNAnalysis[ID], 0)), "")</f>
        <v>0</v>
      </c>
      <c r="Z444" s="28">
        <f>IFERROR(INDEX(tblPiNAnalysis[Protection], MATCH(tblPiNHistorical[[#This Row],[ID]], tblPiNAnalysis[ID], 0)), "")</f>
        <v>0</v>
      </c>
      <c r="AA444" s="28">
        <f>IFERROR(INDEX(tblPiNAnalysis[CP], MATCH(tblPiNHistorical[[#This Row],[ID]], tblPiNAnalysis[ID], 0)), "")</f>
        <v>0</v>
      </c>
      <c r="AB444" s="83">
        <f>IFERROR(INDEX(tblPiNAnalysis[GBV], MATCH(tblPiNHistorical[[#This Row],[ID]], tblPiNAnalysis[ID], 0)), "")</f>
        <v>0</v>
      </c>
      <c r="AC444" s="28">
        <f>IFERROR(INDEX(tblPiNAnalysis[Mine Action], MATCH(tblPiNHistorical[[#This Row],[ID]], tblPiNAnalysis[ID], 0)), "")</f>
        <v>0</v>
      </c>
      <c r="AD444" s="83">
        <f>IFERROR(INDEX(tblPiNAnalysis[[Shelter NFI ]], MATCH(tblPiNHistorical[[#This Row],[ID]], tblPiNAnalysis[ID], 0)), "")</f>
        <v>3160</v>
      </c>
      <c r="AE444" s="28">
        <f>IFERROR(INDEX(tblPiNAnalysis[WASH], MATCH(tblPiNHistorical[[#This Row],[ID]], tblPiNAnalysis[ID], 0)), "")</f>
        <v>0</v>
      </c>
      <c r="AF444"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444" s="136" t="str">
        <f>IF(OR(tblPiNHistorical[[#This Row],[Education Old]]="", tblPiNHistorical[[#This Row],[Education Old]]=0, tblPiNHistorical[[#This Row],[Education New]]="", tblPiNHistorical[[#This Row],[Education New]]=0), "", tblPiNHistorical[[#This Row],[Education New]]-tblPiNHistorical[[#This Row],[Education Old]])</f>
        <v/>
      </c>
      <c r="AH444"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444" s="137" t="str">
        <f>IF(OR(tblPiNHistorical[[#This Row],[Health Old]]="", tblPiNHistorical[[#This Row],[Health Old]]=0, tblPiNHistorical[[#This Row],[Health New]]="", tblPiNHistorical[[#This Row],[Health New]]=0), "", tblPiNHistorical[[#This Row],[Health New]]-tblPiNHistorical[[#This Row],[Health Old]])</f>
        <v/>
      </c>
      <c r="AJ444" s="136" t="str">
        <f>IF(OR(tblPiNHistorical[[#This Row],[Nutrition Old]]="", tblPiNHistorical[[#This Row],[Nutrition Old]]=0, tblPiNHistorical[[#This Row],[Nutrition New]]="", tblPiNHistorical[[#This Row],[Nutrition New]]=0), "", tblPiNHistorical[[#This Row],[Nutrition New]]-tblPiNHistorical[[#This Row],[Nutrition Old]])</f>
        <v/>
      </c>
      <c r="AK444" s="136" t="str">
        <f>IF(OR(tblPiNHistorical[[#This Row],[Protection Old]]="", tblPiNHistorical[[#This Row],[Protection Old]]=0, tblPiNHistorical[[#This Row],[Protection New]]="", tblPiNHistorical[[#This Row],[Protection New]]=0), "", tblPiNHistorical[[#This Row],[Protection New]]-tblPiNHistorical[[#This Row],[Protection Old]])</f>
        <v/>
      </c>
      <c r="AL444" s="136" t="str">
        <f>IF(OR(tblPiNHistorical[[#This Row],[CP Old ]]="", tblPiNHistorical[[#This Row],[CP Old ]]=0, tblPiNHistorical[[#This Row],[CP New]]="", tblPiNHistorical[[#This Row],[CP New]]=0), "", tblPiNHistorical[[#This Row],[CP New]]-tblPiNHistorical[[#This Row],[CP Old ]])</f>
        <v/>
      </c>
      <c r="AM444" s="83" t="str">
        <f>IF(OR(tblPiNHistorical[[#This Row],[GBV Old]]="", tblPiNHistorical[[#This Row],[GBV Old]]=0, tblPiNHistorical[[#This Row],[GBV New]]="", tblPiNHistorical[[#This Row],[GBV New]]=0), "", tblPiNHistorical[[#This Row],[GBV New]]-tblPiNHistorical[[#This Row],[GBV Old]])</f>
        <v/>
      </c>
      <c r="AN444" s="83" t="str">
        <f>IF(OR(tblPiNHistorical[[#This Row],[Mine Action Old]]="", tblPiNHistorical[[#This Row],[Mine Action Old]]=0, tblPiNHistorical[[#This Row],[Mine Action New]]="", tblPiNHistorical[[#This Row],[Mine Action New]]=0), "", tblPiNHistorical[[#This Row],[Mine Action New]]-tblPiNHistorical[[#This Row],[Mine Action Old]])</f>
        <v/>
      </c>
      <c r="AO444" s="136">
        <f>IF(OR(tblPiNHistorical[[#This Row],[Shelter NFI Old]]="", tblPiNHistorical[[#This Row],[Shelter NFI Old]]=0, tblPiNHistorical[[#This Row],[Shelter NFI New]]="", tblPiNHistorical[[#This Row],[Shelter NFI New]]=0), "", tblPiNHistorical[[#This Row],[Shelter NFI New]]-tblPiNHistorical[[#This Row],[Shelter NFI Old]])</f>
        <v>-992</v>
      </c>
      <c r="AP444" s="138" t="str">
        <f>IF(OR(tblPiNHistorical[[#This Row],[WASH Old]]="", tblPiNHistorical[[#This Row],[WASH Old]]=0, tblPiNHistorical[[#This Row],[WASH New]]="", tblPiNHistorical[[#This Row],[WASH New]]=0), "", tblPiNHistorical[[#This Row],[WASH New]]-tblPiNHistorical[[#This Row],[WASH Old]])</f>
        <v/>
      </c>
      <c r="AQ444" s="139" t="str">
        <f>IFERROR(ROUND((tblPiNHistorical[[#This Row],[Site Management - New]] - tblPiNHistorical[[#This Row],[Site Management - Old]])/tblPiNHistorical[[#This Row],[Site Management - Old]], 1), "")</f>
        <v/>
      </c>
      <c r="AR444" s="140">
        <f>IFERROR(ROUND((tblPiNHistorical[[#This Row],[Education New]]-tblPiNHistorical[[#This Row],[Education Old]])/tblPiNHistorical[[#This Row],[Education Old]], 1), "")</f>
        <v>-1</v>
      </c>
      <c r="AS444" s="141">
        <f>IFERROR(ROUND((tblPiNHistorical[[#This Row],[Food Security and Livlihoods New]]-tblPiNHistorical[[#This Row],[Food Security and Livlihoods Old]])/tblPiNHistorical[[#This Row],[Food Security and Livlihoods Old]], 1), "")</f>
        <v>-1</v>
      </c>
      <c r="AT444" s="142">
        <f>IFERROR(ROUND((tblPiNHistorical[[#This Row],[Health New]]-tblPiNHistorical[[#This Row],[Health Old]])/tblPiNHistorical[[#This Row],[Health Old]], 1), "")</f>
        <v>-1</v>
      </c>
      <c r="AU444" s="140">
        <f>IFERROR(ROUND((tblPiNHistorical[[#This Row],[Nutrition New]]-tblPiNHistorical[[#This Row],[Nutrition Old]])/tblPiNHistorical[[#This Row],[Nutrition Old]], 1), "")</f>
        <v>-1</v>
      </c>
      <c r="AV444" s="140">
        <f>IFERROR(ROUND((tblPiNHistorical[[#This Row],[Protection New]]-tblPiNHistorical[[#This Row],[Protection Old]])/tblPiNHistorical[[#This Row],[Protection Old]], 1), "")</f>
        <v>-1</v>
      </c>
      <c r="AW444" s="84">
        <f>IFERROR(ROUND((tblPiNHistorical[[#This Row],[CP New]]-tblPiNHistorical[[#This Row],[CP Old ]])/tblPiNHistorical[[#This Row],[CP Old ]], 1), "")</f>
        <v>-1</v>
      </c>
      <c r="AX444" s="84">
        <f>IFERROR(ROUND((tblPiNHistorical[[#This Row],[GBV New]]-tblPiNHistorical[[#This Row],[GBV Old]])/tblPiNHistorical[[#This Row],[GBV Old]], 1), "")</f>
        <v>-1</v>
      </c>
      <c r="AY444" s="84">
        <f>IFERROR(ROUND((tblPiNHistorical[[#This Row],[Mine Action New]]-tblPiNHistorical[[#This Row],[Mine Action Old]])/tblPiNHistorical[[#This Row],[Mine Action Old]], 1), "")</f>
        <v>-1</v>
      </c>
      <c r="AZ444" s="140">
        <f>IFERROR(ROUND((tblPiNHistorical[[#This Row],[Shelter NFI New]]-tblPiNHistorical[[#This Row],[Shelter NFI Old]])/tblPiNHistorical[[#This Row],[Shelter NFI Old]], 1), "")</f>
        <v>-0.2</v>
      </c>
      <c r="BA444" s="31">
        <f>IFERROR(ROUND((tblPiNHistorical[[#This Row],[WASH New]]-tblPiNHistorical[[#This Row],[WASH Old]])/tblPiNHistorical[[#This Row],[WASH Old]], 1), "")</f>
        <v>-1</v>
      </c>
    </row>
    <row r="445" spans="1:53" ht="38.25" x14ac:dyDescent="0.25">
      <c r="A445"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Host CommunitySD01004</v>
      </c>
      <c r="B445" s="134" t="s">
        <v>164</v>
      </c>
      <c r="C445" s="124" t="s">
        <v>118</v>
      </c>
      <c r="D445" s="124" t="s">
        <v>329</v>
      </c>
      <c r="E445" s="59" t="s">
        <v>330</v>
      </c>
      <c r="F445" s="54"/>
      <c r="G445" s="29"/>
      <c r="H445" s="53">
        <v>22780</v>
      </c>
      <c r="I445" s="53" t="s">
        <v>87</v>
      </c>
      <c r="J445" s="34">
        <v>0</v>
      </c>
      <c r="K445" s="116">
        <v>8831.8060000000005</v>
      </c>
      <c r="L445" s="114">
        <v>22780</v>
      </c>
      <c r="M445" s="114">
        <v>22780</v>
      </c>
      <c r="N445" s="114">
        <v>1151</v>
      </c>
      <c r="O445" s="114">
        <v>11390</v>
      </c>
      <c r="P445" s="114">
        <v>2506</v>
      </c>
      <c r="Q445" s="114">
        <v>7214</v>
      </c>
      <c r="R445" s="114">
        <v>11390</v>
      </c>
      <c r="S445" s="114">
        <v>4556</v>
      </c>
      <c r="T445" s="196">
        <v>9615.4379999999983</v>
      </c>
      <c r="U445" s="52">
        <f>IFERROR(INDEX(tblPiNAnalysis[[Site Management ]], MATCH(tblPiNHistorical[[#This Row],[ID]], tblPiNAnalysis[ID], 0)), "")</f>
        <v>0</v>
      </c>
      <c r="V445" s="52">
        <f>IFERROR(INDEX(tblPiNAnalysis[Education], MATCH(tblPiNHistorical[[#This Row],[ID]], tblPiNAnalysis[ID], 0)), "")</f>
        <v>0</v>
      </c>
      <c r="W445" s="28">
        <f>IFERROR(INDEX(tblPiNAnalysis[Food Security and Livlihoods], MATCH(tblPiNHistorical[[#This Row],[ID]], tblPiNAnalysis[ID], 0)), "")</f>
        <v>0</v>
      </c>
      <c r="X445" s="28">
        <f>IFERROR(INDEX(tblPiNAnalysis[[Health ]], MATCH(tblPiNHistorical[[#This Row],[ID]], tblPiNAnalysis[ID], 0)), "")</f>
        <v>0</v>
      </c>
      <c r="Y445" s="28">
        <f>IFERROR(INDEX(tblPiNAnalysis[Nutrition], MATCH(tblPiNHistorical[[#This Row],[ID]], tblPiNAnalysis[ID], 0)), "")</f>
        <v>0</v>
      </c>
      <c r="Z445" s="28">
        <f>IFERROR(INDEX(tblPiNAnalysis[Protection], MATCH(tblPiNHistorical[[#This Row],[ID]], tblPiNAnalysis[ID], 0)), "")</f>
        <v>0</v>
      </c>
      <c r="AA445" s="28">
        <f>IFERROR(INDEX(tblPiNAnalysis[CP], MATCH(tblPiNHistorical[[#This Row],[ID]], tblPiNAnalysis[ID], 0)), "")</f>
        <v>0</v>
      </c>
      <c r="AB445" s="83">
        <f>IFERROR(INDEX(tblPiNAnalysis[GBV], MATCH(tblPiNHistorical[[#This Row],[ID]], tblPiNAnalysis[ID], 0)), "")</f>
        <v>0</v>
      </c>
      <c r="AC445" s="28">
        <f>IFERROR(INDEX(tblPiNAnalysis[Mine Action], MATCH(tblPiNHistorical[[#This Row],[ID]], tblPiNAnalysis[ID], 0)), "")</f>
        <v>0</v>
      </c>
      <c r="AD445" s="83">
        <f>IFERROR(INDEX(tblPiNAnalysis[[Shelter NFI ]], MATCH(tblPiNHistorical[[#This Row],[ID]], tblPiNAnalysis[ID], 0)), "")</f>
        <v>5413</v>
      </c>
      <c r="AE445" s="28">
        <f>IFERROR(INDEX(tblPiNAnalysis[WASH], MATCH(tblPiNHistorical[[#This Row],[ID]], tblPiNAnalysis[ID], 0)), "")</f>
        <v>0</v>
      </c>
      <c r="AF445"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445" s="136" t="str">
        <f>IF(OR(tblPiNHistorical[[#This Row],[Education Old]]="", tblPiNHistorical[[#This Row],[Education Old]]=0, tblPiNHistorical[[#This Row],[Education New]]="", tblPiNHistorical[[#This Row],[Education New]]=0), "", tblPiNHistorical[[#This Row],[Education New]]-tblPiNHistorical[[#This Row],[Education Old]])</f>
        <v/>
      </c>
      <c r="AH445"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445" s="137" t="str">
        <f>IF(OR(tblPiNHistorical[[#This Row],[Health Old]]="", tblPiNHistorical[[#This Row],[Health Old]]=0, tblPiNHistorical[[#This Row],[Health New]]="", tblPiNHistorical[[#This Row],[Health New]]=0), "", tblPiNHistorical[[#This Row],[Health New]]-tblPiNHistorical[[#This Row],[Health Old]])</f>
        <v/>
      </c>
      <c r="AJ445" s="136" t="str">
        <f>IF(OR(tblPiNHistorical[[#This Row],[Nutrition Old]]="", tblPiNHistorical[[#This Row],[Nutrition Old]]=0, tblPiNHistorical[[#This Row],[Nutrition New]]="", tblPiNHistorical[[#This Row],[Nutrition New]]=0), "", tblPiNHistorical[[#This Row],[Nutrition New]]-tblPiNHistorical[[#This Row],[Nutrition Old]])</f>
        <v/>
      </c>
      <c r="AK445" s="136" t="str">
        <f>IF(OR(tblPiNHistorical[[#This Row],[Protection Old]]="", tblPiNHistorical[[#This Row],[Protection Old]]=0, tblPiNHistorical[[#This Row],[Protection New]]="", tblPiNHistorical[[#This Row],[Protection New]]=0), "", tblPiNHistorical[[#This Row],[Protection New]]-tblPiNHistorical[[#This Row],[Protection Old]])</f>
        <v/>
      </c>
      <c r="AL445" s="136" t="str">
        <f>IF(OR(tblPiNHistorical[[#This Row],[CP Old ]]="", tblPiNHistorical[[#This Row],[CP Old ]]=0, tblPiNHistorical[[#This Row],[CP New]]="", tblPiNHistorical[[#This Row],[CP New]]=0), "", tblPiNHistorical[[#This Row],[CP New]]-tblPiNHistorical[[#This Row],[CP Old ]])</f>
        <v/>
      </c>
      <c r="AM445" s="83" t="str">
        <f>IF(OR(tblPiNHistorical[[#This Row],[GBV Old]]="", tblPiNHistorical[[#This Row],[GBV Old]]=0, tblPiNHistorical[[#This Row],[GBV New]]="", tblPiNHistorical[[#This Row],[GBV New]]=0), "", tblPiNHistorical[[#This Row],[GBV New]]-tblPiNHistorical[[#This Row],[GBV Old]])</f>
        <v/>
      </c>
      <c r="AN445" s="83" t="str">
        <f>IF(OR(tblPiNHistorical[[#This Row],[Mine Action Old]]="", tblPiNHistorical[[#This Row],[Mine Action Old]]=0, tblPiNHistorical[[#This Row],[Mine Action New]]="", tblPiNHistorical[[#This Row],[Mine Action New]]=0), "", tblPiNHistorical[[#This Row],[Mine Action New]]-tblPiNHistorical[[#This Row],[Mine Action Old]])</f>
        <v/>
      </c>
      <c r="AO445" s="136">
        <f>IF(OR(tblPiNHistorical[[#This Row],[Shelter NFI Old]]="", tblPiNHistorical[[#This Row],[Shelter NFI Old]]=0, tblPiNHistorical[[#This Row],[Shelter NFI New]]="", tblPiNHistorical[[#This Row],[Shelter NFI New]]=0), "", tblPiNHistorical[[#This Row],[Shelter NFI New]]-tblPiNHistorical[[#This Row],[Shelter NFI Old]])</f>
        <v>857</v>
      </c>
      <c r="AP445" s="138" t="str">
        <f>IF(OR(tblPiNHistorical[[#This Row],[WASH Old]]="", tblPiNHistorical[[#This Row],[WASH Old]]=0, tblPiNHistorical[[#This Row],[WASH New]]="", tblPiNHistorical[[#This Row],[WASH New]]=0), "", tblPiNHistorical[[#This Row],[WASH New]]-tblPiNHistorical[[#This Row],[WASH Old]])</f>
        <v/>
      </c>
      <c r="AQ445" s="139" t="str">
        <f>IFERROR(ROUND((tblPiNHistorical[[#This Row],[Site Management - New]] - tblPiNHistorical[[#This Row],[Site Management - Old]])/tblPiNHistorical[[#This Row],[Site Management - Old]], 1), "")</f>
        <v/>
      </c>
      <c r="AR445" s="140">
        <f>IFERROR(ROUND((tblPiNHistorical[[#This Row],[Education New]]-tblPiNHistorical[[#This Row],[Education Old]])/tblPiNHistorical[[#This Row],[Education Old]], 1), "")</f>
        <v>-1</v>
      </c>
      <c r="AS445" s="141">
        <f>IFERROR(ROUND((tblPiNHistorical[[#This Row],[Food Security and Livlihoods New]]-tblPiNHistorical[[#This Row],[Food Security and Livlihoods Old]])/tblPiNHistorical[[#This Row],[Food Security and Livlihoods Old]], 1), "")</f>
        <v>-1</v>
      </c>
      <c r="AT445" s="142">
        <f>IFERROR(ROUND((tblPiNHistorical[[#This Row],[Health New]]-tblPiNHistorical[[#This Row],[Health Old]])/tblPiNHistorical[[#This Row],[Health Old]], 1), "")</f>
        <v>-1</v>
      </c>
      <c r="AU445" s="140">
        <f>IFERROR(ROUND((tblPiNHistorical[[#This Row],[Nutrition New]]-tblPiNHistorical[[#This Row],[Nutrition Old]])/tblPiNHistorical[[#This Row],[Nutrition Old]], 1), "")</f>
        <v>-1</v>
      </c>
      <c r="AV445" s="140">
        <f>IFERROR(ROUND((tblPiNHistorical[[#This Row],[Protection New]]-tblPiNHistorical[[#This Row],[Protection Old]])/tblPiNHistorical[[#This Row],[Protection Old]], 1), "")</f>
        <v>-1</v>
      </c>
      <c r="AW445" s="84">
        <f>IFERROR(ROUND((tblPiNHistorical[[#This Row],[CP New]]-tblPiNHistorical[[#This Row],[CP Old ]])/tblPiNHistorical[[#This Row],[CP Old ]], 1), "")</f>
        <v>-1</v>
      </c>
      <c r="AX445" s="84">
        <f>IFERROR(ROUND((tblPiNHistorical[[#This Row],[GBV New]]-tblPiNHistorical[[#This Row],[GBV Old]])/tblPiNHistorical[[#This Row],[GBV Old]], 1), "")</f>
        <v>-1</v>
      </c>
      <c r="AY445" s="84">
        <f>IFERROR(ROUND((tblPiNHistorical[[#This Row],[Mine Action New]]-tblPiNHistorical[[#This Row],[Mine Action Old]])/tblPiNHistorical[[#This Row],[Mine Action Old]], 1), "")</f>
        <v>-1</v>
      </c>
      <c r="AZ445" s="140">
        <f>IFERROR(ROUND((tblPiNHistorical[[#This Row],[Shelter NFI New]]-tblPiNHistorical[[#This Row],[Shelter NFI Old]])/tblPiNHistorical[[#This Row],[Shelter NFI Old]], 1), "")</f>
        <v>0.2</v>
      </c>
      <c r="BA445" s="31">
        <f>IFERROR(ROUND((tblPiNHistorical[[#This Row],[WASH New]]-tblPiNHistorical[[#This Row],[WASH Old]])/tblPiNHistorical[[#This Row],[WASH Old]], 1), "")</f>
        <v>-1</v>
      </c>
    </row>
    <row r="446" spans="1:53" ht="38.25" x14ac:dyDescent="0.25">
      <c r="A446"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Host CommunitySD01002</v>
      </c>
      <c r="B446" s="134" t="s">
        <v>164</v>
      </c>
      <c r="C446" s="124" t="s">
        <v>118</v>
      </c>
      <c r="D446" s="124" t="s">
        <v>325</v>
      </c>
      <c r="E446" s="59" t="s">
        <v>326</v>
      </c>
      <c r="F446" s="54"/>
      <c r="G446" s="29"/>
      <c r="H446" s="53">
        <v>11185</v>
      </c>
      <c r="I446" s="53" t="s">
        <v>87</v>
      </c>
      <c r="J446" s="34">
        <v>0</v>
      </c>
      <c r="K446" s="116">
        <v>4336.4245000000001</v>
      </c>
      <c r="L446" s="114">
        <v>11185</v>
      </c>
      <c r="M446" s="114">
        <v>11185</v>
      </c>
      <c r="N446" s="114">
        <v>1073</v>
      </c>
      <c r="O446" s="114">
        <v>5592.5</v>
      </c>
      <c r="P446" s="114">
        <v>1230</v>
      </c>
      <c r="Q446" s="114">
        <v>3837</v>
      </c>
      <c r="R446" s="114">
        <v>5592.5</v>
      </c>
      <c r="S446" s="114">
        <v>2237</v>
      </c>
      <c r="T446" s="196">
        <v>5374.3924999999999</v>
      </c>
      <c r="U446" s="52">
        <f>IFERROR(INDEX(tblPiNAnalysis[[Site Management ]], MATCH(tblPiNHistorical[[#This Row],[ID]], tblPiNAnalysis[ID], 0)), "")</f>
        <v>0</v>
      </c>
      <c r="V446" s="52">
        <f>IFERROR(INDEX(tblPiNAnalysis[Education], MATCH(tblPiNHistorical[[#This Row],[ID]], tblPiNAnalysis[ID], 0)), "")</f>
        <v>0</v>
      </c>
      <c r="W446" s="28">
        <f>IFERROR(INDEX(tblPiNAnalysis[Food Security and Livlihoods], MATCH(tblPiNHistorical[[#This Row],[ID]], tblPiNAnalysis[ID], 0)), "")</f>
        <v>0</v>
      </c>
      <c r="X446" s="28">
        <f>IFERROR(INDEX(tblPiNAnalysis[[Health ]], MATCH(tblPiNHistorical[[#This Row],[ID]], tblPiNAnalysis[ID], 0)), "")</f>
        <v>0</v>
      </c>
      <c r="Y446" s="28">
        <f>IFERROR(INDEX(tblPiNAnalysis[Nutrition], MATCH(tblPiNHistorical[[#This Row],[ID]], tblPiNAnalysis[ID], 0)), "")</f>
        <v>0</v>
      </c>
      <c r="Z446" s="28">
        <f>IFERROR(INDEX(tblPiNAnalysis[Protection], MATCH(tblPiNHistorical[[#This Row],[ID]], tblPiNAnalysis[ID], 0)), "")</f>
        <v>0</v>
      </c>
      <c r="AA446" s="28">
        <f>IFERROR(INDEX(tblPiNAnalysis[CP], MATCH(tblPiNHistorical[[#This Row],[ID]], tblPiNAnalysis[ID], 0)), "")</f>
        <v>0</v>
      </c>
      <c r="AB446" s="83">
        <f>IFERROR(INDEX(tblPiNAnalysis[GBV], MATCH(tblPiNHistorical[[#This Row],[ID]], tblPiNAnalysis[ID], 0)), "")</f>
        <v>0</v>
      </c>
      <c r="AC446" s="28">
        <f>IFERROR(INDEX(tblPiNAnalysis[Mine Action], MATCH(tblPiNHistorical[[#This Row],[ID]], tblPiNAnalysis[ID], 0)), "")</f>
        <v>0</v>
      </c>
      <c r="AD446" s="83">
        <f>IFERROR(INDEX(tblPiNAnalysis[[Shelter NFI ]], MATCH(tblPiNHistorical[[#This Row],[ID]], tblPiNAnalysis[ID], 0)), "")</f>
        <v>3024</v>
      </c>
      <c r="AE446" s="28">
        <f>IFERROR(INDEX(tblPiNAnalysis[WASH], MATCH(tblPiNHistorical[[#This Row],[ID]], tblPiNAnalysis[ID], 0)), "")</f>
        <v>0</v>
      </c>
      <c r="AF446"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446" s="136" t="str">
        <f>IF(OR(tblPiNHistorical[[#This Row],[Education Old]]="", tblPiNHistorical[[#This Row],[Education Old]]=0, tblPiNHistorical[[#This Row],[Education New]]="", tblPiNHistorical[[#This Row],[Education New]]=0), "", tblPiNHistorical[[#This Row],[Education New]]-tblPiNHistorical[[#This Row],[Education Old]])</f>
        <v/>
      </c>
      <c r="AH446"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446" s="137" t="str">
        <f>IF(OR(tblPiNHistorical[[#This Row],[Health Old]]="", tblPiNHistorical[[#This Row],[Health Old]]=0, tblPiNHistorical[[#This Row],[Health New]]="", tblPiNHistorical[[#This Row],[Health New]]=0), "", tblPiNHistorical[[#This Row],[Health New]]-tblPiNHistorical[[#This Row],[Health Old]])</f>
        <v/>
      </c>
      <c r="AJ446" s="136" t="str">
        <f>IF(OR(tblPiNHistorical[[#This Row],[Nutrition Old]]="", tblPiNHistorical[[#This Row],[Nutrition Old]]=0, tblPiNHistorical[[#This Row],[Nutrition New]]="", tblPiNHistorical[[#This Row],[Nutrition New]]=0), "", tblPiNHistorical[[#This Row],[Nutrition New]]-tblPiNHistorical[[#This Row],[Nutrition Old]])</f>
        <v/>
      </c>
      <c r="AK446" s="136" t="str">
        <f>IF(OR(tblPiNHistorical[[#This Row],[Protection Old]]="", tblPiNHistorical[[#This Row],[Protection Old]]=0, tblPiNHistorical[[#This Row],[Protection New]]="", tblPiNHistorical[[#This Row],[Protection New]]=0), "", tblPiNHistorical[[#This Row],[Protection New]]-tblPiNHistorical[[#This Row],[Protection Old]])</f>
        <v/>
      </c>
      <c r="AL446" s="136" t="str">
        <f>IF(OR(tblPiNHistorical[[#This Row],[CP Old ]]="", tblPiNHistorical[[#This Row],[CP Old ]]=0, tblPiNHistorical[[#This Row],[CP New]]="", tblPiNHistorical[[#This Row],[CP New]]=0), "", tblPiNHistorical[[#This Row],[CP New]]-tblPiNHistorical[[#This Row],[CP Old ]])</f>
        <v/>
      </c>
      <c r="AM446" s="83" t="str">
        <f>IF(OR(tblPiNHistorical[[#This Row],[GBV Old]]="", tblPiNHistorical[[#This Row],[GBV Old]]=0, tblPiNHistorical[[#This Row],[GBV New]]="", tblPiNHistorical[[#This Row],[GBV New]]=0), "", tblPiNHistorical[[#This Row],[GBV New]]-tblPiNHistorical[[#This Row],[GBV Old]])</f>
        <v/>
      </c>
      <c r="AN446" s="83" t="str">
        <f>IF(OR(tblPiNHistorical[[#This Row],[Mine Action Old]]="", tblPiNHistorical[[#This Row],[Mine Action Old]]=0, tblPiNHistorical[[#This Row],[Mine Action New]]="", tblPiNHistorical[[#This Row],[Mine Action New]]=0), "", tblPiNHistorical[[#This Row],[Mine Action New]]-tblPiNHistorical[[#This Row],[Mine Action Old]])</f>
        <v/>
      </c>
      <c r="AO446" s="136">
        <f>IF(OR(tblPiNHistorical[[#This Row],[Shelter NFI Old]]="", tblPiNHistorical[[#This Row],[Shelter NFI Old]]=0, tblPiNHistorical[[#This Row],[Shelter NFI New]]="", tblPiNHistorical[[#This Row],[Shelter NFI New]]=0), "", tblPiNHistorical[[#This Row],[Shelter NFI New]]-tblPiNHistorical[[#This Row],[Shelter NFI Old]])</f>
        <v>787</v>
      </c>
      <c r="AP446" s="138" t="str">
        <f>IF(OR(tblPiNHistorical[[#This Row],[WASH Old]]="", tblPiNHistorical[[#This Row],[WASH Old]]=0, tblPiNHistorical[[#This Row],[WASH New]]="", tblPiNHistorical[[#This Row],[WASH New]]=0), "", tblPiNHistorical[[#This Row],[WASH New]]-tblPiNHistorical[[#This Row],[WASH Old]])</f>
        <v/>
      </c>
      <c r="AQ446" s="139" t="str">
        <f>IFERROR(ROUND((tblPiNHistorical[[#This Row],[Site Management - New]] - tblPiNHistorical[[#This Row],[Site Management - Old]])/tblPiNHistorical[[#This Row],[Site Management - Old]], 1), "")</f>
        <v/>
      </c>
      <c r="AR446" s="140">
        <f>IFERROR(ROUND((tblPiNHistorical[[#This Row],[Education New]]-tblPiNHistorical[[#This Row],[Education Old]])/tblPiNHistorical[[#This Row],[Education Old]], 1), "")</f>
        <v>-1</v>
      </c>
      <c r="AS446" s="141">
        <f>IFERROR(ROUND((tblPiNHistorical[[#This Row],[Food Security and Livlihoods New]]-tblPiNHistorical[[#This Row],[Food Security and Livlihoods Old]])/tblPiNHistorical[[#This Row],[Food Security and Livlihoods Old]], 1), "")</f>
        <v>-1</v>
      </c>
      <c r="AT446" s="142">
        <f>IFERROR(ROUND((tblPiNHistorical[[#This Row],[Health New]]-tblPiNHistorical[[#This Row],[Health Old]])/tblPiNHistorical[[#This Row],[Health Old]], 1), "")</f>
        <v>-1</v>
      </c>
      <c r="AU446" s="140">
        <f>IFERROR(ROUND((tblPiNHistorical[[#This Row],[Nutrition New]]-tblPiNHistorical[[#This Row],[Nutrition Old]])/tblPiNHistorical[[#This Row],[Nutrition Old]], 1), "")</f>
        <v>-1</v>
      </c>
      <c r="AV446" s="140">
        <f>IFERROR(ROUND((tblPiNHistorical[[#This Row],[Protection New]]-tblPiNHistorical[[#This Row],[Protection Old]])/tblPiNHistorical[[#This Row],[Protection Old]], 1), "")</f>
        <v>-1</v>
      </c>
      <c r="AW446" s="84">
        <f>IFERROR(ROUND((tblPiNHistorical[[#This Row],[CP New]]-tblPiNHistorical[[#This Row],[CP Old ]])/tblPiNHistorical[[#This Row],[CP Old ]], 1), "")</f>
        <v>-1</v>
      </c>
      <c r="AX446" s="84">
        <f>IFERROR(ROUND((tblPiNHistorical[[#This Row],[GBV New]]-tblPiNHistorical[[#This Row],[GBV Old]])/tblPiNHistorical[[#This Row],[GBV Old]], 1), "")</f>
        <v>-1</v>
      </c>
      <c r="AY446" s="84">
        <f>IFERROR(ROUND((tblPiNHistorical[[#This Row],[Mine Action New]]-tblPiNHistorical[[#This Row],[Mine Action Old]])/tblPiNHistorical[[#This Row],[Mine Action Old]], 1), "")</f>
        <v>-1</v>
      </c>
      <c r="AZ446" s="140">
        <f>IFERROR(ROUND((tblPiNHistorical[[#This Row],[Shelter NFI New]]-tblPiNHistorical[[#This Row],[Shelter NFI Old]])/tblPiNHistorical[[#This Row],[Shelter NFI Old]], 1), "")</f>
        <v>0.4</v>
      </c>
      <c r="BA446" s="31">
        <f>IFERROR(ROUND((tblPiNHistorical[[#This Row],[WASH New]]-tblPiNHistorical[[#This Row],[WASH Old]])/tblPiNHistorical[[#This Row],[WASH Old]], 1), "")</f>
        <v>-1</v>
      </c>
    </row>
    <row r="447" spans="1:53" ht="38.25" x14ac:dyDescent="0.25">
      <c r="A447"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Host CommunitySD01006</v>
      </c>
      <c r="B447" s="134" t="s">
        <v>164</v>
      </c>
      <c r="C447" s="124" t="s">
        <v>118</v>
      </c>
      <c r="D447" s="124" t="s">
        <v>333</v>
      </c>
      <c r="E447" s="59" t="s">
        <v>334</v>
      </c>
      <c r="F447" s="54"/>
      <c r="G447" s="29"/>
      <c r="H447" s="53">
        <v>9936</v>
      </c>
      <c r="I447" s="53" t="s">
        <v>87</v>
      </c>
      <c r="J447" s="34">
        <v>0</v>
      </c>
      <c r="K447" s="116">
        <v>3852.1871999999998</v>
      </c>
      <c r="L447" s="114">
        <v>9936</v>
      </c>
      <c r="M447" s="114">
        <v>9936</v>
      </c>
      <c r="N447" s="114">
        <v>903</v>
      </c>
      <c r="O447" s="114">
        <v>4968</v>
      </c>
      <c r="P447" s="114">
        <v>1093</v>
      </c>
      <c r="Q447" s="114">
        <v>3407</v>
      </c>
      <c r="R447" s="114">
        <v>4968</v>
      </c>
      <c r="S447" s="114">
        <v>1987</v>
      </c>
      <c r="T447" s="196">
        <v>4598.3808000000008</v>
      </c>
      <c r="U447" s="52">
        <f>IFERROR(INDEX(tblPiNAnalysis[[Site Management ]], MATCH(tblPiNHistorical[[#This Row],[ID]], tblPiNAnalysis[ID], 0)), "")</f>
        <v>0</v>
      </c>
      <c r="V447" s="52">
        <f>IFERROR(INDEX(tblPiNAnalysis[Education], MATCH(tblPiNHistorical[[#This Row],[ID]], tblPiNAnalysis[ID], 0)), "")</f>
        <v>0</v>
      </c>
      <c r="W447" s="28">
        <f>IFERROR(INDEX(tblPiNAnalysis[Food Security and Livlihoods], MATCH(tblPiNHistorical[[#This Row],[ID]], tblPiNAnalysis[ID], 0)), "")</f>
        <v>0</v>
      </c>
      <c r="X447" s="28">
        <f>IFERROR(INDEX(tblPiNAnalysis[[Health ]], MATCH(tblPiNHistorical[[#This Row],[ID]], tblPiNAnalysis[ID], 0)), "")</f>
        <v>0</v>
      </c>
      <c r="Y447" s="28">
        <f>IFERROR(INDEX(tblPiNAnalysis[Nutrition], MATCH(tblPiNHistorical[[#This Row],[ID]], tblPiNAnalysis[ID], 0)), "")</f>
        <v>0</v>
      </c>
      <c r="Z447" s="28">
        <f>IFERROR(INDEX(tblPiNAnalysis[Protection], MATCH(tblPiNHistorical[[#This Row],[ID]], tblPiNAnalysis[ID], 0)), "")</f>
        <v>0</v>
      </c>
      <c r="AA447" s="28">
        <f>IFERROR(INDEX(tblPiNAnalysis[CP], MATCH(tblPiNHistorical[[#This Row],[ID]], tblPiNAnalysis[ID], 0)), "")</f>
        <v>0</v>
      </c>
      <c r="AB447" s="83">
        <f>IFERROR(INDEX(tblPiNAnalysis[GBV], MATCH(tblPiNHistorical[[#This Row],[ID]], tblPiNAnalysis[ID], 0)), "")</f>
        <v>0</v>
      </c>
      <c r="AC447" s="28">
        <f>IFERROR(INDEX(tblPiNAnalysis[Mine Action], MATCH(tblPiNHistorical[[#This Row],[ID]], tblPiNAnalysis[ID], 0)), "")</f>
        <v>0</v>
      </c>
      <c r="AD447" s="83">
        <f>IFERROR(INDEX(tblPiNAnalysis[[Shelter NFI ]], MATCH(tblPiNHistorical[[#This Row],[ID]], tblPiNAnalysis[ID], 0)), "")</f>
        <v>3247</v>
      </c>
      <c r="AE447" s="28">
        <f>IFERROR(INDEX(tblPiNAnalysis[WASH], MATCH(tblPiNHistorical[[#This Row],[ID]], tblPiNAnalysis[ID], 0)), "")</f>
        <v>0</v>
      </c>
      <c r="AF447"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447" s="136" t="str">
        <f>IF(OR(tblPiNHistorical[[#This Row],[Education Old]]="", tblPiNHistorical[[#This Row],[Education Old]]=0, tblPiNHistorical[[#This Row],[Education New]]="", tblPiNHistorical[[#This Row],[Education New]]=0), "", tblPiNHistorical[[#This Row],[Education New]]-tblPiNHistorical[[#This Row],[Education Old]])</f>
        <v/>
      </c>
      <c r="AH447"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447" s="137" t="str">
        <f>IF(OR(tblPiNHistorical[[#This Row],[Health Old]]="", tblPiNHistorical[[#This Row],[Health Old]]=0, tblPiNHistorical[[#This Row],[Health New]]="", tblPiNHistorical[[#This Row],[Health New]]=0), "", tblPiNHistorical[[#This Row],[Health New]]-tblPiNHistorical[[#This Row],[Health Old]])</f>
        <v/>
      </c>
      <c r="AJ447" s="136" t="str">
        <f>IF(OR(tblPiNHistorical[[#This Row],[Nutrition Old]]="", tblPiNHistorical[[#This Row],[Nutrition Old]]=0, tblPiNHistorical[[#This Row],[Nutrition New]]="", tblPiNHistorical[[#This Row],[Nutrition New]]=0), "", tblPiNHistorical[[#This Row],[Nutrition New]]-tblPiNHistorical[[#This Row],[Nutrition Old]])</f>
        <v/>
      </c>
      <c r="AK447" s="136" t="str">
        <f>IF(OR(tblPiNHistorical[[#This Row],[Protection Old]]="", tblPiNHistorical[[#This Row],[Protection Old]]=0, tblPiNHistorical[[#This Row],[Protection New]]="", tblPiNHistorical[[#This Row],[Protection New]]=0), "", tblPiNHistorical[[#This Row],[Protection New]]-tblPiNHistorical[[#This Row],[Protection Old]])</f>
        <v/>
      </c>
      <c r="AL447" s="136" t="str">
        <f>IF(OR(tblPiNHistorical[[#This Row],[CP Old ]]="", tblPiNHistorical[[#This Row],[CP Old ]]=0, tblPiNHistorical[[#This Row],[CP New]]="", tblPiNHistorical[[#This Row],[CP New]]=0), "", tblPiNHistorical[[#This Row],[CP New]]-tblPiNHistorical[[#This Row],[CP Old ]])</f>
        <v/>
      </c>
      <c r="AM447" s="83" t="str">
        <f>IF(OR(tblPiNHistorical[[#This Row],[GBV Old]]="", tblPiNHistorical[[#This Row],[GBV Old]]=0, tblPiNHistorical[[#This Row],[GBV New]]="", tblPiNHistorical[[#This Row],[GBV New]]=0), "", tblPiNHistorical[[#This Row],[GBV New]]-tblPiNHistorical[[#This Row],[GBV Old]])</f>
        <v/>
      </c>
      <c r="AN447" s="83" t="str">
        <f>IF(OR(tblPiNHistorical[[#This Row],[Mine Action Old]]="", tblPiNHistorical[[#This Row],[Mine Action Old]]=0, tblPiNHistorical[[#This Row],[Mine Action New]]="", tblPiNHistorical[[#This Row],[Mine Action New]]=0), "", tblPiNHistorical[[#This Row],[Mine Action New]]-tblPiNHistorical[[#This Row],[Mine Action Old]])</f>
        <v/>
      </c>
      <c r="AO447" s="136">
        <f>IF(OR(tblPiNHistorical[[#This Row],[Shelter NFI Old]]="", tblPiNHistorical[[#This Row],[Shelter NFI Old]]=0, tblPiNHistorical[[#This Row],[Shelter NFI New]]="", tblPiNHistorical[[#This Row],[Shelter NFI New]]=0), "", tblPiNHistorical[[#This Row],[Shelter NFI New]]-tblPiNHistorical[[#This Row],[Shelter NFI Old]])</f>
        <v>1260</v>
      </c>
      <c r="AP447" s="138" t="str">
        <f>IF(OR(tblPiNHistorical[[#This Row],[WASH Old]]="", tblPiNHistorical[[#This Row],[WASH Old]]=0, tblPiNHistorical[[#This Row],[WASH New]]="", tblPiNHistorical[[#This Row],[WASH New]]=0), "", tblPiNHistorical[[#This Row],[WASH New]]-tblPiNHistorical[[#This Row],[WASH Old]])</f>
        <v/>
      </c>
      <c r="AQ447" s="139" t="str">
        <f>IFERROR(ROUND((tblPiNHistorical[[#This Row],[Site Management - New]] - tblPiNHistorical[[#This Row],[Site Management - Old]])/tblPiNHistorical[[#This Row],[Site Management - Old]], 1), "")</f>
        <v/>
      </c>
      <c r="AR447" s="140">
        <f>IFERROR(ROUND((tblPiNHistorical[[#This Row],[Education New]]-tblPiNHistorical[[#This Row],[Education Old]])/tblPiNHistorical[[#This Row],[Education Old]], 1), "")</f>
        <v>-1</v>
      </c>
      <c r="AS447" s="141">
        <f>IFERROR(ROUND((tblPiNHistorical[[#This Row],[Food Security and Livlihoods New]]-tblPiNHistorical[[#This Row],[Food Security and Livlihoods Old]])/tblPiNHistorical[[#This Row],[Food Security and Livlihoods Old]], 1), "")</f>
        <v>-1</v>
      </c>
      <c r="AT447" s="142">
        <f>IFERROR(ROUND((tblPiNHistorical[[#This Row],[Health New]]-tblPiNHistorical[[#This Row],[Health Old]])/tblPiNHistorical[[#This Row],[Health Old]], 1), "")</f>
        <v>-1</v>
      </c>
      <c r="AU447" s="140">
        <f>IFERROR(ROUND((tblPiNHistorical[[#This Row],[Nutrition New]]-tblPiNHistorical[[#This Row],[Nutrition Old]])/tblPiNHistorical[[#This Row],[Nutrition Old]], 1), "")</f>
        <v>-1</v>
      </c>
      <c r="AV447" s="140">
        <f>IFERROR(ROUND((tblPiNHistorical[[#This Row],[Protection New]]-tblPiNHistorical[[#This Row],[Protection Old]])/tblPiNHistorical[[#This Row],[Protection Old]], 1), "")</f>
        <v>-1</v>
      </c>
      <c r="AW447" s="84">
        <f>IFERROR(ROUND((tblPiNHistorical[[#This Row],[CP New]]-tblPiNHistorical[[#This Row],[CP Old ]])/tblPiNHistorical[[#This Row],[CP Old ]], 1), "")</f>
        <v>-1</v>
      </c>
      <c r="AX447" s="84">
        <f>IFERROR(ROUND((tblPiNHistorical[[#This Row],[GBV New]]-tblPiNHistorical[[#This Row],[GBV Old]])/tblPiNHistorical[[#This Row],[GBV Old]], 1), "")</f>
        <v>-1</v>
      </c>
      <c r="AY447" s="84">
        <f>IFERROR(ROUND((tblPiNHistorical[[#This Row],[Mine Action New]]-tblPiNHistorical[[#This Row],[Mine Action Old]])/tblPiNHistorical[[#This Row],[Mine Action Old]], 1), "")</f>
        <v>-1</v>
      </c>
      <c r="AZ447" s="140">
        <f>IFERROR(ROUND((tblPiNHistorical[[#This Row],[Shelter NFI New]]-tblPiNHistorical[[#This Row],[Shelter NFI Old]])/tblPiNHistorical[[#This Row],[Shelter NFI Old]], 1), "")</f>
        <v>0.6</v>
      </c>
      <c r="BA447" s="31">
        <f>IFERROR(ROUND((tblPiNHistorical[[#This Row],[WASH New]]-tblPiNHistorical[[#This Row],[WASH Old]])/tblPiNHistorical[[#This Row],[WASH Old]], 1), "")</f>
        <v>-1</v>
      </c>
    </row>
    <row r="448" spans="1:53" ht="38.25" x14ac:dyDescent="0.25">
      <c r="A448"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Host CommunitySD02114</v>
      </c>
      <c r="B448" s="134" t="s">
        <v>167</v>
      </c>
      <c r="C448" s="124" t="s">
        <v>119</v>
      </c>
      <c r="D448" s="124" t="s">
        <v>199</v>
      </c>
      <c r="E448" s="59" t="s">
        <v>198</v>
      </c>
      <c r="F448" s="54"/>
      <c r="G448" s="29"/>
      <c r="H448" s="53">
        <v>304635</v>
      </c>
      <c r="I448" s="53" t="s">
        <v>87</v>
      </c>
      <c r="J448" s="34">
        <v>0</v>
      </c>
      <c r="K448" s="116">
        <v>118106.9895</v>
      </c>
      <c r="L448" s="114">
        <v>212235</v>
      </c>
      <c r="M448" s="114">
        <v>304635</v>
      </c>
      <c r="N448" s="114">
        <v>50597</v>
      </c>
      <c r="O448" s="114">
        <v>152317.5</v>
      </c>
      <c r="P448" s="114">
        <v>33510</v>
      </c>
      <c r="Q448" s="114">
        <v>104500</v>
      </c>
      <c r="R448" s="114">
        <v>152317.5</v>
      </c>
      <c r="S448" s="114">
        <v>91391</v>
      </c>
      <c r="T448" s="196">
        <v>173520.09600000002</v>
      </c>
      <c r="U448" s="52">
        <f>IFERROR(INDEX(tblPiNAnalysis[[Site Management ]], MATCH(tblPiNHistorical[[#This Row],[ID]], tblPiNAnalysis[ID], 0)), "")</f>
        <v>0</v>
      </c>
      <c r="V448" s="52">
        <f>IFERROR(INDEX(tblPiNAnalysis[Education], MATCH(tblPiNHistorical[[#This Row],[ID]], tblPiNAnalysis[ID], 0)), "")</f>
        <v>0</v>
      </c>
      <c r="W448" s="28">
        <f>IFERROR(INDEX(tblPiNAnalysis[Food Security and Livlihoods], MATCH(tblPiNHistorical[[#This Row],[ID]], tblPiNAnalysis[ID], 0)), "")</f>
        <v>0</v>
      </c>
      <c r="X448" s="28">
        <f>IFERROR(INDEX(tblPiNAnalysis[[Health ]], MATCH(tblPiNHistorical[[#This Row],[ID]], tblPiNAnalysis[ID], 0)), "")</f>
        <v>0</v>
      </c>
      <c r="Y448" s="28">
        <f>IFERROR(INDEX(tblPiNAnalysis[Nutrition], MATCH(tblPiNHistorical[[#This Row],[ID]], tblPiNAnalysis[ID], 0)), "")</f>
        <v>0</v>
      </c>
      <c r="Z448" s="28">
        <f>IFERROR(INDEX(tblPiNAnalysis[Protection], MATCH(tblPiNHistorical[[#This Row],[ID]], tblPiNAnalysis[ID], 0)), "")</f>
        <v>0</v>
      </c>
      <c r="AA448" s="28">
        <f>IFERROR(INDEX(tblPiNAnalysis[CP], MATCH(tblPiNHistorical[[#This Row],[ID]], tblPiNAnalysis[ID], 0)), "")</f>
        <v>0</v>
      </c>
      <c r="AB448" s="83">
        <f>IFERROR(INDEX(tblPiNAnalysis[GBV], MATCH(tblPiNHistorical[[#This Row],[ID]], tblPiNAnalysis[ID], 0)), "")</f>
        <v>0</v>
      </c>
      <c r="AC448" s="28">
        <f>IFERROR(INDEX(tblPiNAnalysis[Mine Action], MATCH(tblPiNHistorical[[#This Row],[ID]], tblPiNAnalysis[ID], 0)), "")</f>
        <v>0</v>
      </c>
      <c r="AD448" s="83">
        <f>IFERROR(INDEX(tblPiNAnalysis[[Shelter NFI ]], MATCH(tblPiNHistorical[[#This Row],[ID]], tblPiNAnalysis[ID], 0)), "")</f>
        <v>79157</v>
      </c>
      <c r="AE448" s="28">
        <f>IFERROR(INDEX(tblPiNAnalysis[WASH], MATCH(tblPiNHistorical[[#This Row],[ID]], tblPiNAnalysis[ID], 0)), "")</f>
        <v>0</v>
      </c>
      <c r="AF448"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448" s="136" t="str">
        <f>IF(OR(tblPiNHistorical[[#This Row],[Education Old]]="", tblPiNHistorical[[#This Row],[Education Old]]=0, tblPiNHistorical[[#This Row],[Education New]]="", tblPiNHistorical[[#This Row],[Education New]]=0), "", tblPiNHistorical[[#This Row],[Education New]]-tblPiNHistorical[[#This Row],[Education Old]])</f>
        <v/>
      </c>
      <c r="AH448"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448" s="137" t="str">
        <f>IF(OR(tblPiNHistorical[[#This Row],[Health Old]]="", tblPiNHistorical[[#This Row],[Health Old]]=0, tblPiNHistorical[[#This Row],[Health New]]="", tblPiNHistorical[[#This Row],[Health New]]=0), "", tblPiNHistorical[[#This Row],[Health New]]-tblPiNHistorical[[#This Row],[Health Old]])</f>
        <v/>
      </c>
      <c r="AJ448" s="136" t="str">
        <f>IF(OR(tblPiNHistorical[[#This Row],[Nutrition Old]]="", tblPiNHistorical[[#This Row],[Nutrition Old]]=0, tblPiNHistorical[[#This Row],[Nutrition New]]="", tblPiNHistorical[[#This Row],[Nutrition New]]=0), "", tblPiNHistorical[[#This Row],[Nutrition New]]-tblPiNHistorical[[#This Row],[Nutrition Old]])</f>
        <v/>
      </c>
      <c r="AK448" s="136" t="str">
        <f>IF(OR(tblPiNHistorical[[#This Row],[Protection Old]]="", tblPiNHistorical[[#This Row],[Protection Old]]=0, tblPiNHistorical[[#This Row],[Protection New]]="", tblPiNHistorical[[#This Row],[Protection New]]=0), "", tblPiNHistorical[[#This Row],[Protection New]]-tblPiNHistorical[[#This Row],[Protection Old]])</f>
        <v/>
      </c>
      <c r="AL448" s="136" t="str">
        <f>IF(OR(tblPiNHistorical[[#This Row],[CP Old ]]="", tblPiNHistorical[[#This Row],[CP Old ]]=0, tblPiNHistorical[[#This Row],[CP New]]="", tblPiNHistorical[[#This Row],[CP New]]=0), "", tblPiNHistorical[[#This Row],[CP New]]-tblPiNHistorical[[#This Row],[CP Old ]])</f>
        <v/>
      </c>
      <c r="AM448" s="83" t="str">
        <f>IF(OR(tblPiNHistorical[[#This Row],[GBV Old]]="", tblPiNHistorical[[#This Row],[GBV Old]]=0, tblPiNHistorical[[#This Row],[GBV New]]="", tblPiNHistorical[[#This Row],[GBV New]]=0), "", tblPiNHistorical[[#This Row],[GBV New]]-tblPiNHistorical[[#This Row],[GBV Old]])</f>
        <v/>
      </c>
      <c r="AN448" s="83" t="str">
        <f>IF(OR(tblPiNHistorical[[#This Row],[Mine Action Old]]="", tblPiNHistorical[[#This Row],[Mine Action Old]]=0, tblPiNHistorical[[#This Row],[Mine Action New]]="", tblPiNHistorical[[#This Row],[Mine Action New]]=0), "", tblPiNHistorical[[#This Row],[Mine Action New]]-tblPiNHistorical[[#This Row],[Mine Action Old]])</f>
        <v/>
      </c>
      <c r="AO448" s="136">
        <f>IF(OR(tblPiNHistorical[[#This Row],[Shelter NFI Old]]="", tblPiNHistorical[[#This Row],[Shelter NFI Old]]=0, tblPiNHistorical[[#This Row],[Shelter NFI New]]="", tblPiNHistorical[[#This Row],[Shelter NFI New]]=0), "", tblPiNHistorical[[#This Row],[Shelter NFI New]]-tblPiNHistorical[[#This Row],[Shelter NFI Old]])</f>
        <v>-12234</v>
      </c>
      <c r="AP448" s="138" t="str">
        <f>IF(OR(tblPiNHistorical[[#This Row],[WASH Old]]="", tblPiNHistorical[[#This Row],[WASH Old]]=0, tblPiNHistorical[[#This Row],[WASH New]]="", tblPiNHistorical[[#This Row],[WASH New]]=0), "", tblPiNHistorical[[#This Row],[WASH New]]-tblPiNHistorical[[#This Row],[WASH Old]])</f>
        <v/>
      </c>
      <c r="AQ448" s="139" t="str">
        <f>IFERROR(ROUND((tblPiNHistorical[[#This Row],[Site Management - New]] - tblPiNHistorical[[#This Row],[Site Management - Old]])/tblPiNHistorical[[#This Row],[Site Management - Old]], 1), "")</f>
        <v/>
      </c>
      <c r="AR448" s="140">
        <f>IFERROR(ROUND((tblPiNHistorical[[#This Row],[Education New]]-tblPiNHistorical[[#This Row],[Education Old]])/tblPiNHistorical[[#This Row],[Education Old]], 1), "")</f>
        <v>-1</v>
      </c>
      <c r="AS448" s="141">
        <f>IFERROR(ROUND((tblPiNHistorical[[#This Row],[Food Security and Livlihoods New]]-tblPiNHistorical[[#This Row],[Food Security and Livlihoods Old]])/tblPiNHistorical[[#This Row],[Food Security and Livlihoods Old]], 1), "")</f>
        <v>-1</v>
      </c>
      <c r="AT448" s="142">
        <f>IFERROR(ROUND((tblPiNHistorical[[#This Row],[Health New]]-tblPiNHistorical[[#This Row],[Health Old]])/tblPiNHistorical[[#This Row],[Health Old]], 1), "")</f>
        <v>-1</v>
      </c>
      <c r="AU448" s="140">
        <f>IFERROR(ROUND((tblPiNHistorical[[#This Row],[Nutrition New]]-tblPiNHistorical[[#This Row],[Nutrition Old]])/tblPiNHistorical[[#This Row],[Nutrition Old]], 1), "")</f>
        <v>-1</v>
      </c>
      <c r="AV448" s="140">
        <f>IFERROR(ROUND((tblPiNHistorical[[#This Row],[Protection New]]-tblPiNHistorical[[#This Row],[Protection Old]])/tblPiNHistorical[[#This Row],[Protection Old]], 1), "")</f>
        <v>-1</v>
      </c>
      <c r="AW448" s="84">
        <f>IFERROR(ROUND((tblPiNHistorical[[#This Row],[CP New]]-tblPiNHistorical[[#This Row],[CP Old ]])/tblPiNHistorical[[#This Row],[CP Old ]], 1), "")</f>
        <v>-1</v>
      </c>
      <c r="AX448" s="84">
        <f>IFERROR(ROUND((tblPiNHistorical[[#This Row],[GBV New]]-tblPiNHistorical[[#This Row],[GBV Old]])/tblPiNHistorical[[#This Row],[GBV Old]], 1), "")</f>
        <v>-1</v>
      </c>
      <c r="AY448" s="84">
        <f>IFERROR(ROUND((tblPiNHistorical[[#This Row],[Mine Action New]]-tblPiNHistorical[[#This Row],[Mine Action Old]])/tblPiNHistorical[[#This Row],[Mine Action Old]], 1), "")</f>
        <v>-1</v>
      </c>
      <c r="AZ448" s="140">
        <f>IFERROR(ROUND((tblPiNHistorical[[#This Row],[Shelter NFI New]]-tblPiNHistorical[[#This Row],[Shelter NFI Old]])/tblPiNHistorical[[#This Row],[Shelter NFI Old]], 1), "")</f>
        <v>-0.1</v>
      </c>
      <c r="BA448" s="31">
        <f>IFERROR(ROUND((tblPiNHistorical[[#This Row],[WASH New]]-tblPiNHistorical[[#This Row],[WASH Old]])/tblPiNHistorical[[#This Row],[WASH Old]], 1), "")</f>
        <v>-1</v>
      </c>
    </row>
    <row r="449" spans="1:53" ht="38.25" x14ac:dyDescent="0.25">
      <c r="A449"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Host CommunitySD02116</v>
      </c>
      <c r="B449" s="134" t="s">
        <v>167</v>
      </c>
      <c r="C449" s="124" t="s">
        <v>119</v>
      </c>
      <c r="D449" s="124" t="s">
        <v>201</v>
      </c>
      <c r="E449" s="59" t="s">
        <v>200</v>
      </c>
      <c r="F449" s="54"/>
      <c r="G449" s="29"/>
      <c r="H449" s="53">
        <v>1750</v>
      </c>
      <c r="I449" s="53" t="s">
        <v>87</v>
      </c>
      <c r="J449" s="34">
        <v>0</v>
      </c>
      <c r="K449" s="116">
        <v>678.47500000000002</v>
      </c>
      <c r="L449" s="114">
        <v>1750</v>
      </c>
      <c r="M449" s="114">
        <v>1750</v>
      </c>
      <c r="N449" s="114">
        <v>271</v>
      </c>
      <c r="O449" s="114">
        <v>554</v>
      </c>
      <c r="P449" s="114">
        <v>193</v>
      </c>
      <c r="Q449" s="114">
        <v>554</v>
      </c>
      <c r="R449" s="114">
        <v>0</v>
      </c>
      <c r="S449" s="114">
        <v>0</v>
      </c>
      <c r="T449" s="196">
        <v>915.77499999999998</v>
      </c>
      <c r="U449" s="52">
        <f>IFERROR(INDEX(tblPiNAnalysis[[Site Management ]], MATCH(tblPiNHistorical[[#This Row],[ID]], tblPiNAnalysis[ID], 0)), "")</f>
        <v>0</v>
      </c>
      <c r="V449" s="52">
        <f>IFERROR(INDEX(tblPiNAnalysis[Education], MATCH(tblPiNHistorical[[#This Row],[ID]], tblPiNAnalysis[ID], 0)), "")</f>
        <v>0</v>
      </c>
      <c r="W449" s="28">
        <f>IFERROR(INDEX(tblPiNAnalysis[Food Security and Livlihoods], MATCH(tblPiNHistorical[[#This Row],[ID]], tblPiNAnalysis[ID], 0)), "")</f>
        <v>0</v>
      </c>
      <c r="X449" s="28">
        <f>IFERROR(INDEX(tblPiNAnalysis[[Health ]], MATCH(tblPiNHistorical[[#This Row],[ID]], tblPiNAnalysis[ID], 0)), "")</f>
        <v>0</v>
      </c>
      <c r="Y449" s="28">
        <f>IFERROR(INDEX(tblPiNAnalysis[Nutrition], MATCH(tblPiNHistorical[[#This Row],[ID]], tblPiNAnalysis[ID], 0)), "")</f>
        <v>0</v>
      </c>
      <c r="Z449" s="28">
        <f>IFERROR(INDEX(tblPiNAnalysis[Protection], MATCH(tblPiNHistorical[[#This Row],[ID]], tblPiNAnalysis[ID], 0)), "")</f>
        <v>0</v>
      </c>
      <c r="AA449" s="28">
        <f>IFERROR(INDEX(tblPiNAnalysis[CP], MATCH(tblPiNHistorical[[#This Row],[ID]], tblPiNAnalysis[ID], 0)), "")</f>
        <v>0</v>
      </c>
      <c r="AB449" s="83">
        <f>IFERROR(INDEX(tblPiNAnalysis[GBV], MATCH(tblPiNHistorical[[#This Row],[ID]], tblPiNAnalysis[ID], 0)), "")</f>
        <v>0</v>
      </c>
      <c r="AC449" s="28">
        <f>IFERROR(INDEX(tblPiNAnalysis[Mine Action], MATCH(tblPiNHistorical[[#This Row],[ID]], tblPiNAnalysis[ID], 0)), "")</f>
        <v>0</v>
      </c>
      <c r="AD449" s="83">
        <f>IFERROR(INDEX(tblPiNAnalysis[[Shelter NFI ]], MATCH(tblPiNHistorical[[#This Row],[ID]], tblPiNAnalysis[ID], 0)), "")</f>
        <v>9077</v>
      </c>
      <c r="AE449" s="28">
        <f>IFERROR(INDEX(tblPiNAnalysis[WASH], MATCH(tblPiNHistorical[[#This Row],[ID]], tblPiNAnalysis[ID], 0)), "")</f>
        <v>0</v>
      </c>
      <c r="AF449"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449" s="136" t="str">
        <f>IF(OR(tblPiNHistorical[[#This Row],[Education Old]]="", tblPiNHistorical[[#This Row],[Education Old]]=0, tblPiNHistorical[[#This Row],[Education New]]="", tblPiNHistorical[[#This Row],[Education New]]=0), "", tblPiNHistorical[[#This Row],[Education New]]-tblPiNHistorical[[#This Row],[Education Old]])</f>
        <v/>
      </c>
      <c r="AH449"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449" s="137" t="str">
        <f>IF(OR(tblPiNHistorical[[#This Row],[Health Old]]="", tblPiNHistorical[[#This Row],[Health Old]]=0, tblPiNHistorical[[#This Row],[Health New]]="", tblPiNHistorical[[#This Row],[Health New]]=0), "", tblPiNHistorical[[#This Row],[Health New]]-tblPiNHistorical[[#This Row],[Health Old]])</f>
        <v/>
      </c>
      <c r="AJ449" s="136" t="str">
        <f>IF(OR(tblPiNHistorical[[#This Row],[Nutrition Old]]="", tblPiNHistorical[[#This Row],[Nutrition Old]]=0, tblPiNHistorical[[#This Row],[Nutrition New]]="", tblPiNHistorical[[#This Row],[Nutrition New]]=0), "", tblPiNHistorical[[#This Row],[Nutrition New]]-tblPiNHistorical[[#This Row],[Nutrition Old]])</f>
        <v/>
      </c>
      <c r="AK449" s="136" t="str">
        <f>IF(OR(tblPiNHistorical[[#This Row],[Protection Old]]="", tblPiNHistorical[[#This Row],[Protection Old]]=0, tblPiNHistorical[[#This Row],[Protection New]]="", tblPiNHistorical[[#This Row],[Protection New]]=0), "", tblPiNHistorical[[#This Row],[Protection New]]-tblPiNHistorical[[#This Row],[Protection Old]])</f>
        <v/>
      </c>
      <c r="AL449" s="136" t="str">
        <f>IF(OR(tblPiNHistorical[[#This Row],[CP Old ]]="", tblPiNHistorical[[#This Row],[CP Old ]]=0, tblPiNHistorical[[#This Row],[CP New]]="", tblPiNHistorical[[#This Row],[CP New]]=0), "", tblPiNHistorical[[#This Row],[CP New]]-tblPiNHistorical[[#This Row],[CP Old ]])</f>
        <v/>
      </c>
      <c r="AM449" s="83" t="str">
        <f>IF(OR(tblPiNHistorical[[#This Row],[GBV Old]]="", tblPiNHistorical[[#This Row],[GBV Old]]=0, tblPiNHistorical[[#This Row],[GBV New]]="", tblPiNHistorical[[#This Row],[GBV New]]=0), "", tblPiNHistorical[[#This Row],[GBV New]]-tblPiNHistorical[[#This Row],[GBV Old]])</f>
        <v/>
      </c>
      <c r="AN449" s="83" t="str">
        <f>IF(OR(tblPiNHistorical[[#This Row],[Mine Action Old]]="", tblPiNHistorical[[#This Row],[Mine Action Old]]=0, tblPiNHistorical[[#This Row],[Mine Action New]]="", tblPiNHistorical[[#This Row],[Mine Action New]]=0), "", tblPiNHistorical[[#This Row],[Mine Action New]]-tblPiNHistorical[[#This Row],[Mine Action Old]])</f>
        <v/>
      </c>
      <c r="AO449" s="136" t="str">
        <f>IF(OR(tblPiNHistorical[[#This Row],[Shelter NFI Old]]="", tblPiNHistorical[[#This Row],[Shelter NFI Old]]=0, tblPiNHistorical[[#This Row],[Shelter NFI New]]="", tblPiNHistorical[[#This Row],[Shelter NFI New]]=0), "", tblPiNHistorical[[#This Row],[Shelter NFI New]]-tblPiNHistorical[[#This Row],[Shelter NFI Old]])</f>
        <v/>
      </c>
      <c r="AP449" s="138" t="str">
        <f>IF(OR(tblPiNHistorical[[#This Row],[WASH Old]]="", tblPiNHistorical[[#This Row],[WASH Old]]=0, tblPiNHistorical[[#This Row],[WASH New]]="", tblPiNHistorical[[#This Row],[WASH New]]=0), "", tblPiNHistorical[[#This Row],[WASH New]]-tblPiNHistorical[[#This Row],[WASH Old]])</f>
        <v/>
      </c>
      <c r="AQ449" s="139" t="str">
        <f>IFERROR(ROUND((tblPiNHistorical[[#This Row],[Site Management - New]] - tblPiNHistorical[[#This Row],[Site Management - Old]])/tblPiNHistorical[[#This Row],[Site Management - Old]], 1), "")</f>
        <v/>
      </c>
      <c r="AR449" s="140">
        <f>IFERROR(ROUND((tblPiNHistorical[[#This Row],[Education New]]-tblPiNHistorical[[#This Row],[Education Old]])/tblPiNHistorical[[#This Row],[Education Old]], 1), "")</f>
        <v>-1</v>
      </c>
      <c r="AS449" s="141">
        <f>IFERROR(ROUND((tblPiNHistorical[[#This Row],[Food Security and Livlihoods New]]-tblPiNHistorical[[#This Row],[Food Security and Livlihoods Old]])/tblPiNHistorical[[#This Row],[Food Security and Livlihoods Old]], 1), "")</f>
        <v>-1</v>
      </c>
      <c r="AT449" s="142">
        <f>IFERROR(ROUND((tblPiNHistorical[[#This Row],[Health New]]-tblPiNHistorical[[#This Row],[Health Old]])/tblPiNHistorical[[#This Row],[Health Old]], 1), "")</f>
        <v>-1</v>
      </c>
      <c r="AU449" s="140">
        <f>IFERROR(ROUND((tblPiNHistorical[[#This Row],[Nutrition New]]-tblPiNHistorical[[#This Row],[Nutrition Old]])/tblPiNHistorical[[#This Row],[Nutrition Old]], 1), "")</f>
        <v>-1</v>
      </c>
      <c r="AV449" s="140">
        <f>IFERROR(ROUND((tblPiNHistorical[[#This Row],[Protection New]]-tblPiNHistorical[[#This Row],[Protection Old]])/tblPiNHistorical[[#This Row],[Protection Old]], 1), "")</f>
        <v>-1</v>
      </c>
      <c r="AW449" s="84">
        <f>IFERROR(ROUND((tblPiNHistorical[[#This Row],[CP New]]-tblPiNHistorical[[#This Row],[CP Old ]])/tblPiNHistorical[[#This Row],[CP Old ]], 1), "")</f>
        <v>-1</v>
      </c>
      <c r="AX449" s="84">
        <f>IFERROR(ROUND((tblPiNHistorical[[#This Row],[GBV New]]-tblPiNHistorical[[#This Row],[GBV Old]])/tblPiNHistorical[[#This Row],[GBV Old]], 1), "")</f>
        <v>-1</v>
      </c>
      <c r="AY449" s="84" t="str">
        <f>IFERROR(ROUND((tblPiNHistorical[[#This Row],[Mine Action New]]-tblPiNHistorical[[#This Row],[Mine Action Old]])/tblPiNHistorical[[#This Row],[Mine Action Old]], 1), "")</f>
        <v/>
      </c>
      <c r="AZ449" s="140" t="str">
        <f>IFERROR(ROUND((tblPiNHistorical[[#This Row],[Shelter NFI New]]-tblPiNHistorical[[#This Row],[Shelter NFI Old]])/tblPiNHistorical[[#This Row],[Shelter NFI Old]], 1), "")</f>
        <v/>
      </c>
      <c r="BA449" s="31">
        <f>IFERROR(ROUND((tblPiNHistorical[[#This Row],[WASH New]]-tblPiNHistorical[[#This Row],[WASH Old]])/tblPiNHistorical[[#This Row],[WASH Old]], 1), "")</f>
        <v>-1</v>
      </c>
    </row>
    <row r="450" spans="1:53" ht="38.25" x14ac:dyDescent="0.25">
      <c r="A450"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Host CommunitySD02169</v>
      </c>
      <c r="B450" s="134" t="s">
        <v>167</v>
      </c>
      <c r="C450" s="124" t="s">
        <v>119</v>
      </c>
      <c r="D450" s="124" t="s">
        <v>225</v>
      </c>
      <c r="E450" s="59" t="s">
        <v>224</v>
      </c>
      <c r="F450" s="54"/>
      <c r="G450" s="29"/>
      <c r="H450" s="53">
        <v>32704</v>
      </c>
      <c r="I450" s="53" t="s">
        <v>87</v>
      </c>
      <c r="J450" s="34">
        <v>0</v>
      </c>
      <c r="K450" s="116">
        <v>12679.3408</v>
      </c>
      <c r="L450" s="114">
        <v>13081.6</v>
      </c>
      <c r="M450" s="114">
        <v>32704</v>
      </c>
      <c r="N450" s="114">
        <v>4040</v>
      </c>
      <c r="O450" s="114">
        <v>10354</v>
      </c>
      <c r="P450" s="114">
        <v>3597</v>
      </c>
      <c r="Q450" s="114">
        <v>10354</v>
      </c>
      <c r="R450" s="114">
        <v>3270.4</v>
      </c>
      <c r="S450" s="114">
        <v>0</v>
      </c>
      <c r="T450" s="196">
        <v>14550.009599999999</v>
      </c>
      <c r="U450" s="52">
        <f>IFERROR(INDEX(tblPiNAnalysis[[Site Management ]], MATCH(tblPiNHistorical[[#This Row],[ID]], tblPiNAnalysis[ID], 0)), "")</f>
        <v>0</v>
      </c>
      <c r="V450" s="52">
        <f>IFERROR(INDEX(tblPiNAnalysis[Education], MATCH(tblPiNHistorical[[#This Row],[ID]], tblPiNAnalysis[ID], 0)), "")</f>
        <v>0</v>
      </c>
      <c r="W450" s="28">
        <f>IFERROR(INDEX(tblPiNAnalysis[Food Security and Livlihoods], MATCH(tblPiNHistorical[[#This Row],[ID]], tblPiNAnalysis[ID], 0)), "")</f>
        <v>0</v>
      </c>
      <c r="X450" s="28">
        <f>IFERROR(INDEX(tblPiNAnalysis[[Health ]], MATCH(tblPiNHistorical[[#This Row],[ID]], tblPiNAnalysis[ID], 0)), "")</f>
        <v>0</v>
      </c>
      <c r="Y450" s="28">
        <f>IFERROR(INDEX(tblPiNAnalysis[Nutrition], MATCH(tblPiNHistorical[[#This Row],[ID]], tblPiNAnalysis[ID], 0)), "")</f>
        <v>0</v>
      </c>
      <c r="Z450" s="28">
        <f>IFERROR(INDEX(tblPiNAnalysis[Protection], MATCH(tblPiNHistorical[[#This Row],[ID]], tblPiNAnalysis[ID], 0)), "")</f>
        <v>0</v>
      </c>
      <c r="AA450" s="28">
        <f>IFERROR(INDEX(tblPiNAnalysis[CP], MATCH(tblPiNHistorical[[#This Row],[ID]], tblPiNAnalysis[ID], 0)), "")</f>
        <v>0</v>
      </c>
      <c r="AB450" s="83">
        <f>IFERROR(INDEX(tblPiNAnalysis[GBV], MATCH(tblPiNHistorical[[#This Row],[ID]], tblPiNAnalysis[ID], 0)), "")</f>
        <v>0</v>
      </c>
      <c r="AC450" s="28">
        <f>IFERROR(INDEX(tblPiNAnalysis[Mine Action], MATCH(tblPiNHistorical[[#This Row],[ID]], tblPiNAnalysis[ID], 0)), "")</f>
        <v>0</v>
      </c>
      <c r="AD450" s="83">
        <f>IFERROR(INDEX(tblPiNAnalysis[[Shelter NFI ]], MATCH(tblPiNHistorical[[#This Row],[ID]], tblPiNAnalysis[ID], 0)), "")</f>
        <v>20237</v>
      </c>
      <c r="AE450" s="28">
        <f>IFERROR(INDEX(tblPiNAnalysis[WASH], MATCH(tblPiNHistorical[[#This Row],[ID]], tblPiNAnalysis[ID], 0)), "")</f>
        <v>0</v>
      </c>
      <c r="AF450"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450" s="136" t="str">
        <f>IF(OR(tblPiNHistorical[[#This Row],[Education Old]]="", tblPiNHistorical[[#This Row],[Education Old]]=0, tblPiNHistorical[[#This Row],[Education New]]="", tblPiNHistorical[[#This Row],[Education New]]=0), "", tblPiNHistorical[[#This Row],[Education New]]-tblPiNHistorical[[#This Row],[Education Old]])</f>
        <v/>
      </c>
      <c r="AH450"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450" s="137" t="str">
        <f>IF(OR(tblPiNHistorical[[#This Row],[Health Old]]="", tblPiNHistorical[[#This Row],[Health Old]]=0, tblPiNHistorical[[#This Row],[Health New]]="", tblPiNHistorical[[#This Row],[Health New]]=0), "", tblPiNHistorical[[#This Row],[Health New]]-tblPiNHistorical[[#This Row],[Health Old]])</f>
        <v/>
      </c>
      <c r="AJ450" s="136" t="str">
        <f>IF(OR(tblPiNHistorical[[#This Row],[Nutrition Old]]="", tblPiNHistorical[[#This Row],[Nutrition Old]]=0, tblPiNHistorical[[#This Row],[Nutrition New]]="", tblPiNHistorical[[#This Row],[Nutrition New]]=0), "", tblPiNHistorical[[#This Row],[Nutrition New]]-tblPiNHistorical[[#This Row],[Nutrition Old]])</f>
        <v/>
      </c>
      <c r="AK450" s="136" t="str">
        <f>IF(OR(tblPiNHistorical[[#This Row],[Protection Old]]="", tblPiNHistorical[[#This Row],[Protection Old]]=0, tblPiNHistorical[[#This Row],[Protection New]]="", tblPiNHistorical[[#This Row],[Protection New]]=0), "", tblPiNHistorical[[#This Row],[Protection New]]-tblPiNHistorical[[#This Row],[Protection Old]])</f>
        <v/>
      </c>
      <c r="AL450" s="136" t="str">
        <f>IF(OR(tblPiNHistorical[[#This Row],[CP Old ]]="", tblPiNHistorical[[#This Row],[CP Old ]]=0, tblPiNHistorical[[#This Row],[CP New]]="", tblPiNHistorical[[#This Row],[CP New]]=0), "", tblPiNHistorical[[#This Row],[CP New]]-tblPiNHistorical[[#This Row],[CP Old ]])</f>
        <v/>
      </c>
      <c r="AM450" s="83" t="str">
        <f>IF(OR(tblPiNHistorical[[#This Row],[GBV Old]]="", tblPiNHistorical[[#This Row],[GBV Old]]=0, tblPiNHistorical[[#This Row],[GBV New]]="", tblPiNHistorical[[#This Row],[GBV New]]=0), "", tblPiNHistorical[[#This Row],[GBV New]]-tblPiNHistorical[[#This Row],[GBV Old]])</f>
        <v/>
      </c>
      <c r="AN450" s="83" t="str">
        <f>IF(OR(tblPiNHistorical[[#This Row],[Mine Action Old]]="", tblPiNHistorical[[#This Row],[Mine Action Old]]=0, tblPiNHistorical[[#This Row],[Mine Action New]]="", tblPiNHistorical[[#This Row],[Mine Action New]]=0), "", tblPiNHistorical[[#This Row],[Mine Action New]]-tblPiNHistorical[[#This Row],[Mine Action Old]])</f>
        <v/>
      </c>
      <c r="AO450" s="136" t="str">
        <f>IF(OR(tblPiNHistorical[[#This Row],[Shelter NFI Old]]="", tblPiNHistorical[[#This Row],[Shelter NFI Old]]=0, tblPiNHistorical[[#This Row],[Shelter NFI New]]="", tblPiNHistorical[[#This Row],[Shelter NFI New]]=0), "", tblPiNHistorical[[#This Row],[Shelter NFI New]]-tblPiNHistorical[[#This Row],[Shelter NFI Old]])</f>
        <v/>
      </c>
      <c r="AP450" s="138" t="str">
        <f>IF(OR(tblPiNHistorical[[#This Row],[WASH Old]]="", tblPiNHistorical[[#This Row],[WASH Old]]=0, tblPiNHistorical[[#This Row],[WASH New]]="", tblPiNHistorical[[#This Row],[WASH New]]=0), "", tblPiNHistorical[[#This Row],[WASH New]]-tblPiNHistorical[[#This Row],[WASH Old]])</f>
        <v/>
      </c>
      <c r="AQ450" s="139" t="str">
        <f>IFERROR(ROUND((tblPiNHistorical[[#This Row],[Site Management - New]] - tblPiNHistorical[[#This Row],[Site Management - Old]])/tblPiNHistorical[[#This Row],[Site Management - Old]], 1), "")</f>
        <v/>
      </c>
      <c r="AR450" s="140">
        <f>IFERROR(ROUND((tblPiNHistorical[[#This Row],[Education New]]-tblPiNHistorical[[#This Row],[Education Old]])/tblPiNHistorical[[#This Row],[Education Old]], 1), "")</f>
        <v>-1</v>
      </c>
      <c r="AS450" s="141">
        <f>IFERROR(ROUND((tblPiNHistorical[[#This Row],[Food Security and Livlihoods New]]-tblPiNHistorical[[#This Row],[Food Security and Livlihoods Old]])/tblPiNHistorical[[#This Row],[Food Security and Livlihoods Old]], 1), "")</f>
        <v>-1</v>
      </c>
      <c r="AT450" s="142">
        <f>IFERROR(ROUND((tblPiNHistorical[[#This Row],[Health New]]-tblPiNHistorical[[#This Row],[Health Old]])/tblPiNHistorical[[#This Row],[Health Old]], 1), "")</f>
        <v>-1</v>
      </c>
      <c r="AU450" s="140">
        <f>IFERROR(ROUND((tblPiNHistorical[[#This Row],[Nutrition New]]-tblPiNHistorical[[#This Row],[Nutrition Old]])/tblPiNHistorical[[#This Row],[Nutrition Old]], 1), "")</f>
        <v>-1</v>
      </c>
      <c r="AV450" s="140">
        <f>IFERROR(ROUND((tblPiNHistorical[[#This Row],[Protection New]]-tblPiNHistorical[[#This Row],[Protection Old]])/tblPiNHistorical[[#This Row],[Protection Old]], 1), "")</f>
        <v>-1</v>
      </c>
      <c r="AW450" s="84">
        <f>IFERROR(ROUND((tblPiNHistorical[[#This Row],[CP New]]-tblPiNHistorical[[#This Row],[CP Old ]])/tblPiNHistorical[[#This Row],[CP Old ]], 1), "")</f>
        <v>-1</v>
      </c>
      <c r="AX450" s="84">
        <f>IFERROR(ROUND((tblPiNHistorical[[#This Row],[GBV New]]-tblPiNHistorical[[#This Row],[GBV Old]])/tblPiNHistorical[[#This Row],[GBV Old]], 1), "")</f>
        <v>-1</v>
      </c>
      <c r="AY450" s="84">
        <f>IFERROR(ROUND((tblPiNHistorical[[#This Row],[Mine Action New]]-tblPiNHistorical[[#This Row],[Mine Action Old]])/tblPiNHistorical[[#This Row],[Mine Action Old]], 1), "")</f>
        <v>-1</v>
      </c>
      <c r="AZ450" s="140" t="str">
        <f>IFERROR(ROUND((tblPiNHistorical[[#This Row],[Shelter NFI New]]-tblPiNHistorical[[#This Row],[Shelter NFI Old]])/tblPiNHistorical[[#This Row],[Shelter NFI Old]], 1), "")</f>
        <v/>
      </c>
      <c r="BA450" s="31">
        <f>IFERROR(ROUND((tblPiNHistorical[[#This Row],[WASH New]]-tblPiNHistorical[[#This Row],[WASH Old]])/tblPiNHistorical[[#This Row],[WASH Old]], 1), "")</f>
        <v>-1</v>
      </c>
    </row>
    <row r="451" spans="1:53" ht="38.25" x14ac:dyDescent="0.25">
      <c r="A451"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Host CommunitySD02117</v>
      </c>
      <c r="B451" s="134" t="s">
        <v>167</v>
      </c>
      <c r="C451" s="124" t="s">
        <v>119</v>
      </c>
      <c r="D451" s="124" t="s">
        <v>203</v>
      </c>
      <c r="E451" s="59" t="s">
        <v>202</v>
      </c>
      <c r="F451" s="54"/>
      <c r="G451" s="29"/>
      <c r="H451" s="53">
        <v>3990</v>
      </c>
      <c r="I451" s="53" t="s">
        <v>87</v>
      </c>
      <c r="J451" s="34">
        <v>0</v>
      </c>
      <c r="K451" s="116">
        <v>1546.923</v>
      </c>
      <c r="L451" s="114">
        <v>3990</v>
      </c>
      <c r="M451" s="114">
        <v>3990</v>
      </c>
      <c r="N451" s="114">
        <v>583</v>
      </c>
      <c r="O451" s="114">
        <v>1264</v>
      </c>
      <c r="P451" s="114">
        <v>439</v>
      </c>
      <c r="Q451" s="114">
        <v>1264</v>
      </c>
      <c r="R451" s="114">
        <v>0</v>
      </c>
      <c r="S451" s="114">
        <v>798</v>
      </c>
      <c r="T451" s="196">
        <v>1229.3190000000002</v>
      </c>
      <c r="U451" s="52">
        <f>IFERROR(INDEX(tblPiNAnalysis[[Site Management ]], MATCH(tblPiNHistorical[[#This Row],[ID]], tblPiNAnalysis[ID], 0)), "")</f>
        <v>0</v>
      </c>
      <c r="V451" s="52">
        <f>IFERROR(INDEX(tblPiNAnalysis[Education], MATCH(tblPiNHistorical[[#This Row],[ID]], tblPiNAnalysis[ID], 0)), "")</f>
        <v>0</v>
      </c>
      <c r="W451" s="28">
        <f>IFERROR(INDEX(tblPiNAnalysis[Food Security and Livlihoods], MATCH(tblPiNHistorical[[#This Row],[ID]], tblPiNAnalysis[ID], 0)), "")</f>
        <v>0</v>
      </c>
      <c r="X451" s="28">
        <f>IFERROR(INDEX(tblPiNAnalysis[[Health ]], MATCH(tblPiNHistorical[[#This Row],[ID]], tblPiNAnalysis[ID], 0)), "")</f>
        <v>0</v>
      </c>
      <c r="Y451" s="28">
        <f>IFERROR(INDEX(tblPiNAnalysis[Nutrition], MATCH(tblPiNHistorical[[#This Row],[ID]], tblPiNAnalysis[ID], 0)), "")</f>
        <v>0</v>
      </c>
      <c r="Z451" s="28">
        <f>IFERROR(INDEX(tblPiNAnalysis[Protection], MATCH(tblPiNHistorical[[#This Row],[ID]], tblPiNAnalysis[ID], 0)), "")</f>
        <v>0</v>
      </c>
      <c r="AA451" s="28">
        <f>IFERROR(INDEX(tblPiNAnalysis[CP], MATCH(tblPiNHistorical[[#This Row],[ID]], tblPiNAnalysis[ID], 0)), "")</f>
        <v>0</v>
      </c>
      <c r="AB451" s="83">
        <f>IFERROR(INDEX(tblPiNAnalysis[GBV], MATCH(tblPiNHistorical[[#This Row],[ID]], tblPiNAnalysis[ID], 0)), "")</f>
        <v>0</v>
      </c>
      <c r="AC451" s="28">
        <f>IFERROR(INDEX(tblPiNAnalysis[Mine Action], MATCH(tblPiNHistorical[[#This Row],[ID]], tblPiNAnalysis[ID], 0)), "")</f>
        <v>0</v>
      </c>
      <c r="AD451" s="83">
        <f>IFERROR(INDEX(tblPiNAnalysis[[Shelter NFI ]], MATCH(tblPiNHistorical[[#This Row],[ID]], tblPiNAnalysis[ID], 0)), "")</f>
        <v>1246</v>
      </c>
      <c r="AE451" s="28">
        <f>IFERROR(INDEX(tblPiNAnalysis[WASH], MATCH(tblPiNHistorical[[#This Row],[ID]], tblPiNAnalysis[ID], 0)), "")</f>
        <v>0</v>
      </c>
      <c r="AF451"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451" s="136" t="str">
        <f>IF(OR(tblPiNHistorical[[#This Row],[Education Old]]="", tblPiNHistorical[[#This Row],[Education Old]]=0, tblPiNHistorical[[#This Row],[Education New]]="", tblPiNHistorical[[#This Row],[Education New]]=0), "", tblPiNHistorical[[#This Row],[Education New]]-tblPiNHistorical[[#This Row],[Education Old]])</f>
        <v/>
      </c>
      <c r="AH451"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451" s="137" t="str">
        <f>IF(OR(tblPiNHistorical[[#This Row],[Health Old]]="", tblPiNHistorical[[#This Row],[Health Old]]=0, tblPiNHistorical[[#This Row],[Health New]]="", tblPiNHistorical[[#This Row],[Health New]]=0), "", tblPiNHistorical[[#This Row],[Health New]]-tblPiNHistorical[[#This Row],[Health Old]])</f>
        <v/>
      </c>
      <c r="AJ451" s="136" t="str">
        <f>IF(OR(tblPiNHistorical[[#This Row],[Nutrition Old]]="", tblPiNHistorical[[#This Row],[Nutrition Old]]=0, tblPiNHistorical[[#This Row],[Nutrition New]]="", tblPiNHistorical[[#This Row],[Nutrition New]]=0), "", tblPiNHistorical[[#This Row],[Nutrition New]]-tblPiNHistorical[[#This Row],[Nutrition Old]])</f>
        <v/>
      </c>
      <c r="AK451" s="136" t="str">
        <f>IF(OR(tblPiNHistorical[[#This Row],[Protection Old]]="", tblPiNHistorical[[#This Row],[Protection Old]]=0, tblPiNHistorical[[#This Row],[Protection New]]="", tblPiNHistorical[[#This Row],[Protection New]]=0), "", tblPiNHistorical[[#This Row],[Protection New]]-tblPiNHistorical[[#This Row],[Protection Old]])</f>
        <v/>
      </c>
      <c r="AL451" s="136" t="str">
        <f>IF(OR(tblPiNHistorical[[#This Row],[CP Old ]]="", tblPiNHistorical[[#This Row],[CP Old ]]=0, tblPiNHistorical[[#This Row],[CP New]]="", tblPiNHistorical[[#This Row],[CP New]]=0), "", tblPiNHistorical[[#This Row],[CP New]]-tblPiNHistorical[[#This Row],[CP Old ]])</f>
        <v/>
      </c>
      <c r="AM451" s="83" t="str">
        <f>IF(OR(tblPiNHistorical[[#This Row],[GBV Old]]="", tblPiNHistorical[[#This Row],[GBV Old]]=0, tblPiNHistorical[[#This Row],[GBV New]]="", tblPiNHistorical[[#This Row],[GBV New]]=0), "", tblPiNHistorical[[#This Row],[GBV New]]-tblPiNHistorical[[#This Row],[GBV Old]])</f>
        <v/>
      </c>
      <c r="AN451" s="83" t="str">
        <f>IF(OR(tblPiNHistorical[[#This Row],[Mine Action Old]]="", tblPiNHistorical[[#This Row],[Mine Action Old]]=0, tblPiNHistorical[[#This Row],[Mine Action New]]="", tblPiNHistorical[[#This Row],[Mine Action New]]=0), "", tblPiNHistorical[[#This Row],[Mine Action New]]-tblPiNHistorical[[#This Row],[Mine Action Old]])</f>
        <v/>
      </c>
      <c r="AO451" s="136">
        <f>IF(OR(tblPiNHistorical[[#This Row],[Shelter NFI Old]]="", tblPiNHistorical[[#This Row],[Shelter NFI Old]]=0, tblPiNHistorical[[#This Row],[Shelter NFI New]]="", tblPiNHistorical[[#This Row],[Shelter NFI New]]=0), "", tblPiNHistorical[[#This Row],[Shelter NFI New]]-tblPiNHistorical[[#This Row],[Shelter NFI Old]])</f>
        <v>448</v>
      </c>
      <c r="AP451" s="138" t="str">
        <f>IF(OR(tblPiNHistorical[[#This Row],[WASH Old]]="", tblPiNHistorical[[#This Row],[WASH Old]]=0, tblPiNHistorical[[#This Row],[WASH New]]="", tblPiNHistorical[[#This Row],[WASH New]]=0), "", tblPiNHistorical[[#This Row],[WASH New]]-tblPiNHistorical[[#This Row],[WASH Old]])</f>
        <v/>
      </c>
      <c r="AQ451" s="139" t="str">
        <f>IFERROR(ROUND((tblPiNHistorical[[#This Row],[Site Management - New]] - tblPiNHistorical[[#This Row],[Site Management - Old]])/tblPiNHistorical[[#This Row],[Site Management - Old]], 1), "")</f>
        <v/>
      </c>
      <c r="AR451" s="140">
        <f>IFERROR(ROUND((tblPiNHistorical[[#This Row],[Education New]]-tblPiNHistorical[[#This Row],[Education Old]])/tblPiNHistorical[[#This Row],[Education Old]], 1), "")</f>
        <v>-1</v>
      </c>
      <c r="AS451" s="141">
        <f>IFERROR(ROUND((tblPiNHistorical[[#This Row],[Food Security and Livlihoods New]]-tblPiNHistorical[[#This Row],[Food Security and Livlihoods Old]])/tblPiNHistorical[[#This Row],[Food Security and Livlihoods Old]], 1), "")</f>
        <v>-1</v>
      </c>
      <c r="AT451" s="142">
        <f>IFERROR(ROUND((tblPiNHistorical[[#This Row],[Health New]]-tblPiNHistorical[[#This Row],[Health Old]])/tblPiNHistorical[[#This Row],[Health Old]], 1), "")</f>
        <v>-1</v>
      </c>
      <c r="AU451" s="140">
        <f>IFERROR(ROUND((tblPiNHistorical[[#This Row],[Nutrition New]]-tblPiNHistorical[[#This Row],[Nutrition Old]])/tblPiNHistorical[[#This Row],[Nutrition Old]], 1), "")</f>
        <v>-1</v>
      </c>
      <c r="AV451" s="140">
        <f>IFERROR(ROUND((tblPiNHistorical[[#This Row],[Protection New]]-tblPiNHistorical[[#This Row],[Protection Old]])/tblPiNHistorical[[#This Row],[Protection Old]], 1), "")</f>
        <v>-1</v>
      </c>
      <c r="AW451" s="84">
        <f>IFERROR(ROUND((tblPiNHistorical[[#This Row],[CP New]]-tblPiNHistorical[[#This Row],[CP Old ]])/tblPiNHistorical[[#This Row],[CP Old ]], 1), "")</f>
        <v>-1</v>
      </c>
      <c r="AX451" s="84">
        <f>IFERROR(ROUND((tblPiNHistorical[[#This Row],[GBV New]]-tblPiNHistorical[[#This Row],[GBV Old]])/tblPiNHistorical[[#This Row],[GBV Old]], 1), "")</f>
        <v>-1</v>
      </c>
      <c r="AY451" s="84" t="str">
        <f>IFERROR(ROUND((tblPiNHistorical[[#This Row],[Mine Action New]]-tblPiNHistorical[[#This Row],[Mine Action Old]])/tblPiNHistorical[[#This Row],[Mine Action Old]], 1), "")</f>
        <v/>
      </c>
      <c r="AZ451" s="140">
        <f>IFERROR(ROUND((tblPiNHistorical[[#This Row],[Shelter NFI New]]-tblPiNHistorical[[#This Row],[Shelter NFI Old]])/tblPiNHistorical[[#This Row],[Shelter NFI Old]], 1), "")</f>
        <v>0.6</v>
      </c>
      <c r="BA451" s="31">
        <f>IFERROR(ROUND((tblPiNHistorical[[#This Row],[WASH New]]-tblPiNHistorical[[#This Row],[WASH Old]])/tblPiNHistorical[[#This Row],[WASH Old]], 1), "")</f>
        <v>-1</v>
      </c>
    </row>
    <row r="452" spans="1:53" ht="38.25" x14ac:dyDescent="0.25">
      <c r="A452"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Host CommunitySD02118</v>
      </c>
      <c r="B452" s="134" t="s">
        <v>167</v>
      </c>
      <c r="C452" s="124" t="s">
        <v>119</v>
      </c>
      <c r="D452" s="124" t="s">
        <v>205</v>
      </c>
      <c r="E452" s="59" t="s">
        <v>204</v>
      </c>
      <c r="F452" s="54"/>
      <c r="G452" s="29"/>
      <c r="H452" s="53">
        <v>11546</v>
      </c>
      <c r="I452" s="53" t="s">
        <v>87</v>
      </c>
      <c r="J452" s="34">
        <v>0</v>
      </c>
      <c r="K452" s="116">
        <v>4476.3841999999995</v>
      </c>
      <c r="L452" s="114">
        <v>4041.1</v>
      </c>
      <c r="M452" s="114">
        <v>11546</v>
      </c>
      <c r="N452" s="114">
        <v>1537</v>
      </c>
      <c r="O452" s="114">
        <v>3656</v>
      </c>
      <c r="P452" s="114">
        <v>1270</v>
      </c>
      <c r="Q452" s="114">
        <v>3656</v>
      </c>
      <c r="R452" s="114">
        <v>1731.8999999999999</v>
      </c>
      <c r="S452" s="114">
        <v>2309</v>
      </c>
      <c r="T452" s="196">
        <v>10505.705399999999</v>
      </c>
      <c r="U452" s="52">
        <f>IFERROR(INDEX(tblPiNAnalysis[[Site Management ]], MATCH(tblPiNHistorical[[#This Row],[ID]], tblPiNAnalysis[ID], 0)), "")</f>
        <v>0</v>
      </c>
      <c r="V452" s="52">
        <f>IFERROR(INDEX(tblPiNAnalysis[Education], MATCH(tblPiNHistorical[[#This Row],[ID]], tblPiNAnalysis[ID], 0)), "")</f>
        <v>0</v>
      </c>
      <c r="W452" s="28">
        <f>IFERROR(INDEX(tblPiNAnalysis[Food Security and Livlihoods], MATCH(tblPiNHistorical[[#This Row],[ID]], tblPiNAnalysis[ID], 0)), "")</f>
        <v>0</v>
      </c>
      <c r="X452" s="28">
        <f>IFERROR(INDEX(tblPiNAnalysis[[Health ]], MATCH(tblPiNHistorical[[#This Row],[ID]], tblPiNAnalysis[ID], 0)), "")</f>
        <v>0</v>
      </c>
      <c r="Y452" s="28">
        <f>IFERROR(INDEX(tblPiNAnalysis[Nutrition], MATCH(tblPiNHistorical[[#This Row],[ID]], tblPiNAnalysis[ID], 0)), "")</f>
        <v>0</v>
      </c>
      <c r="Z452" s="28">
        <f>IFERROR(INDEX(tblPiNAnalysis[Protection], MATCH(tblPiNHistorical[[#This Row],[ID]], tblPiNAnalysis[ID], 0)), "")</f>
        <v>0</v>
      </c>
      <c r="AA452" s="28">
        <f>IFERROR(INDEX(tblPiNAnalysis[CP], MATCH(tblPiNHistorical[[#This Row],[ID]], tblPiNAnalysis[ID], 0)), "")</f>
        <v>0</v>
      </c>
      <c r="AB452" s="83">
        <f>IFERROR(INDEX(tblPiNAnalysis[GBV], MATCH(tblPiNHistorical[[#This Row],[ID]], tblPiNAnalysis[ID], 0)), "")</f>
        <v>0</v>
      </c>
      <c r="AC452" s="28">
        <f>IFERROR(INDEX(tblPiNAnalysis[Mine Action], MATCH(tblPiNHistorical[[#This Row],[ID]], tblPiNAnalysis[ID], 0)), "")</f>
        <v>0</v>
      </c>
      <c r="AD452" s="83">
        <f>IFERROR(INDEX(tblPiNAnalysis[[Shelter NFI ]], MATCH(tblPiNHistorical[[#This Row],[ID]], tblPiNAnalysis[ID], 0)), "")</f>
        <v>9042</v>
      </c>
      <c r="AE452" s="28">
        <f>IFERROR(INDEX(tblPiNAnalysis[WASH], MATCH(tblPiNHistorical[[#This Row],[ID]], tblPiNAnalysis[ID], 0)), "")</f>
        <v>0</v>
      </c>
      <c r="AF452"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452" s="136" t="str">
        <f>IF(OR(tblPiNHistorical[[#This Row],[Education Old]]="", tblPiNHistorical[[#This Row],[Education Old]]=0, tblPiNHistorical[[#This Row],[Education New]]="", tblPiNHistorical[[#This Row],[Education New]]=0), "", tblPiNHistorical[[#This Row],[Education New]]-tblPiNHistorical[[#This Row],[Education Old]])</f>
        <v/>
      </c>
      <c r="AH452"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452" s="137" t="str">
        <f>IF(OR(tblPiNHistorical[[#This Row],[Health Old]]="", tblPiNHistorical[[#This Row],[Health Old]]=0, tblPiNHistorical[[#This Row],[Health New]]="", tblPiNHistorical[[#This Row],[Health New]]=0), "", tblPiNHistorical[[#This Row],[Health New]]-tblPiNHistorical[[#This Row],[Health Old]])</f>
        <v/>
      </c>
      <c r="AJ452" s="136" t="str">
        <f>IF(OR(tblPiNHistorical[[#This Row],[Nutrition Old]]="", tblPiNHistorical[[#This Row],[Nutrition Old]]=0, tblPiNHistorical[[#This Row],[Nutrition New]]="", tblPiNHistorical[[#This Row],[Nutrition New]]=0), "", tblPiNHistorical[[#This Row],[Nutrition New]]-tblPiNHistorical[[#This Row],[Nutrition Old]])</f>
        <v/>
      </c>
      <c r="AK452" s="136" t="str">
        <f>IF(OR(tblPiNHistorical[[#This Row],[Protection Old]]="", tblPiNHistorical[[#This Row],[Protection Old]]=0, tblPiNHistorical[[#This Row],[Protection New]]="", tblPiNHistorical[[#This Row],[Protection New]]=0), "", tblPiNHistorical[[#This Row],[Protection New]]-tblPiNHistorical[[#This Row],[Protection Old]])</f>
        <v/>
      </c>
      <c r="AL452" s="136" t="str">
        <f>IF(OR(tblPiNHistorical[[#This Row],[CP Old ]]="", tblPiNHistorical[[#This Row],[CP Old ]]=0, tblPiNHistorical[[#This Row],[CP New]]="", tblPiNHistorical[[#This Row],[CP New]]=0), "", tblPiNHistorical[[#This Row],[CP New]]-tblPiNHistorical[[#This Row],[CP Old ]])</f>
        <v/>
      </c>
      <c r="AM452" s="83" t="str">
        <f>IF(OR(tblPiNHistorical[[#This Row],[GBV Old]]="", tblPiNHistorical[[#This Row],[GBV Old]]=0, tblPiNHistorical[[#This Row],[GBV New]]="", tblPiNHistorical[[#This Row],[GBV New]]=0), "", tblPiNHistorical[[#This Row],[GBV New]]-tblPiNHistorical[[#This Row],[GBV Old]])</f>
        <v/>
      </c>
      <c r="AN452" s="83" t="str">
        <f>IF(OR(tblPiNHistorical[[#This Row],[Mine Action Old]]="", tblPiNHistorical[[#This Row],[Mine Action Old]]=0, tblPiNHistorical[[#This Row],[Mine Action New]]="", tblPiNHistorical[[#This Row],[Mine Action New]]=0), "", tblPiNHistorical[[#This Row],[Mine Action New]]-tblPiNHistorical[[#This Row],[Mine Action Old]])</f>
        <v/>
      </c>
      <c r="AO452" s="136">
        <f>IF(OR(tblPiNHistorical[[#This Row],[Shelter NFI Old]]="", tblPiNHistorical[[#This Row],[Shelter NFI Old]]=0, tblPiNHistorical[[#This Row],[Shelter NFI New]]="", tblPiNHistorical[[#This Row],[Shelter NFI New]]=0), "", tblPiNHistorical[[#This Row],[Shelter NFI New]]-tblPiNHistorical[[#This Row],[Shelter NFI Old]])</f>
        <v>6733</v>
      </c>
      <c r="AP452" s="138" t="str">
        <f>IF(OR(tblPiNHistorical[[#This Row],[WASH Old]]="", tblPiNHistorical[[#This Row],[WASH Old]]=0, tblPiNHistorical[[#This Row],[WASH New]]="", tblPiNHistorical[[#This Row],[WASH New]]=0), "", tblPiNHistorical[[#This Row],[WASH New]]-tblPiNHistorical[[#This Row],[WASH Old]])</f>
        <v/>
      </c>
      <c r="AQ452" s="139" t="str">
        <f>IFERROR(ROUND((tblPiNHistorical[[#This Row],[Site Management - New]] - tblPiNHistorical[[#This Row],[Site Management - Old]])/tblPiNHistorical[[#This Row],[Site Management - Old]], 1), "")</f>
        <v/>
      </c>
      <c r="AR452" s="140">
        <f>IFERROR(ROUND((tblPiNHistorical[[#This Row],[Education New]]-tblPiNHistorical[[#This Row],[Education Old]])/tblPiNHistorical[[#This Row],[Education Old]], 1), "")</f>
        <v>-1</v>
      </c>
      <c r="AS452" s="141">
        <f>IFERROR(ROUND((tblPiNHistorical[[#This Row],[Food Security and Livlihoods New]]-tblPiNHistorical[[#This Row],[Food Security and Livlihoods Old]])/tblPiNHistorical[[#This Row],[Food Security and Livlihoods Old]], 1), "")</f>
        <v>-1</v>
      </c>
      <c r="AT452" s="142">
        <f>IFERROR(ROUND((tblPiNHistorical[[#This Row],[Health New]]-tblPiNHistorical[[#This Row],[Health Old]])/tblPiNHistorical[[#This Row],[Health Old]], 1), "")</f>
        <v>-1</v>
      </c>
      <c r="AU452" s="140">
        <f>IFERROR(ROUND((tblPiNHistorical[[#This Row],[Nutrition New]]-tblPiNHistorical[[#This Row],[Nutrition Old]])/tblPiNHistorical[[#This Row],[Nutrition Old]], 1), "")</f>
        <v>-1</v>
      </c>
      <c r="AV452" s="140">
        <f>IFERROR(ROUND((tblPiNHistorical[[#This Row],[Protection New]]-tblPiNHistorical[[#This Row],[Protection Old]])/tblPiNHistorical[[#This Row],[Protection Old]], 1), "")</f>
        <v>-1</v>
      </c>
      <c r="AW452" s="84">
        <f>IFERROR(ROUND((tblPiNHistorical[[#This Row],[CP New]]-tblPiNHistorical[[#This Row],[CP Old ]])/tblPiNHistorical[[#This Row],[CP Old ]], 1), "")</f>
        <v>-1</v>
      </c>
      <c r="AX452" s="84">
        <f>IFERROR(ROUND((tblPiNHistorical[[#This Row],[GBV New]]-tblPiNHistorical[[#This Row],[GBV Old]])/tblPiNHistorical[[#This Row],[GBV Old]], 1), "")</f>
        <v>-1</v>
      </c>
      <c r="AY452" s="84">
        <f>IFERROR(ROUND((tblPiNHistorical[[#This Row],[Mine Action New]]-tblPiNHistorical[[#This Row],[Mine Action Old]])/tblPiNHistorical[[#This Row],[Mine Action Old]], 1), "")</f>
        <v>-1</v>
      </c>
      <c r="AZ452" s="140">
        <f>IFERROR(ROUND((tblPiNHistorical[[#This Row],[Shelter NFI New]]-tblPiNHistorical[[#This Row],[Shelter NFI Old]])/tblPiNHistorical[[#This Row],[Shelter NFI Old]], 1), "")</f>
        <v>2.9</v>
      </c>
      <c r="BA452" s="31">
        <f>IFERROR(ROUND((tblPiNHistorical[[#This Row],[WASH New]]-tblPiNHistorical[[#This Row],[WASH Old]])/tblPiNHistorical[[#This Row],[WASH Old]], 1), "")</f>
        <v>-1</v>
      </c>
    </row>
    <row r="453" spans="1:53" ht="38.25" x14ac:dyDescent="0.25">
      <c r="A453"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Host CommunitySD02119</v>
      </c>
      <c r="B453" s="134" t="s">
        <v>167</v>
      </c>
      <c r="C453" s="124" t="s">
        <v>119</v>
      </c>
      <c r="D453" s="124" t="s">
        <v>207</v>
      </c>
      <c r="E453" s="59" t="s">
        <v>206</v>
      </c>
      <c r="F453" s="54"/>
      <c r="G453" s="29"/>
      <c r="H453" s="53">
        <v>350</v>
      </c>
      <c r="I453" s="53" t="s">
        <v>87</v>
      </c>
      <c r="J453" s="34">
        <v>0</v>
      </c>
      <c r="K453" s="116">
        <v>135.69499999999999</v>
      </c>
      <c r="L453" s="114">
        <v>350</v>
      </c>
      <c r="M453" s="114">
        <v>350</v>
      </c>
      <c r="N453" s="114">
        <v>50</v>
      </c>
      <c r="O453" s="114">
        <v>110</v>
      </c>
      <c r="P453" s="114">
        <v>39</v>
      </c>
      <c r="Q453" s="114">
        <v>110</v>
      </c>
      <c r="R453" s="114">
        <v>0</v>
      </c>
      <c r="S453" s="114">
        <v>70</v>
      </c>
      <c r="T453" s="196">
        <v>74.724999999999966</v>
      </c>
      <c r="U453" s="52">
        <f>IFERROR(INDEX(tblPiNAnalysis[[Site Management ]], MATCH(tblPiNHistorical[[#This Row],[ID]], tblPiNAnalysis[ID], 0)), "")</f>
        <v>0</v>
      </c>
      <c r="V453" s="52">
        <f>IFERROR(INDEX(tblPiNAnalysis[Education], MATCH(tblPiNHistorical[[#This Row],[ID]], tblPiNAnalysis[ID], 0)), "")</f>
        <v>0</v>
      </c>
      <c r="W453" s="28">
        <f>IFERROR(INDEX(tblPiNAnalysis[Food Security and Livlihoods], MATCH(tblPiNHistorical[[#This Row],[ID]], tblPiNAnalysis[ID], 0)), "")</f>
        <v>0</v>
      </c>
      <c r="X453" s="28">
        <f>IFERROR(INDEX(tblPiNAnalysis[[Health ]], MATCH(tblPiNHistorical[[#This Row],[ID]], tblPiNAnalysis[ID], 0)), "")</f>
        <v>0</v>
      </c>
      <c r="Y453" s="28">
        <f>IFERROR(INDEX(tblPiNAnalysis[Nutrition], MATCH(tblPiNHistorical[[#This Row],[ID]], tblPiNAnalysis[ID], 0)), "")</f>
        <v>0</v>
      </c>
      <c r="Z453" s="28">
        <f>IFERROR(INDEX(tblPiNAnalysis[Protection], MATCH(tblPiNHistorical[[#This Row],[ID]], tblPiNAnalysis[ID], 0)), "")</f>
        <v>0</v>
      </c>
      <c r="AA453" s="28">
        <f>IFERROR(INDEX(tblPiNAnalysis[CP], MATCH(tblPiNHistorical[[#This Row],[ID]], tblPiNAnalysis[ID], 0)), "")</f>
        <v>0</v>
      </c>
      <c r="AB453" s="83">
        <f>IFERROR(INDEX(tblPiNAnalysis[GBV], MATCH(tblPiNHistorical[[#This Row],[ID]], tblPiNAnalysis[ID], 0)), "")</f>
        <v>0</v>
      </c>
      <c r="AC453" s="28">
        <f>IFERROR(INDEX(tblPiNAnalysis[Mine Action], MATCH(tblPiNHistorical[[#This Row],[ID]], tblPiNAnalysis[ID], 0)), "")</f>
        <v>0</v>
      </c>
      <c r="AD453" s="83">
        <f>IFERROR(INDEX(tblPiNAnalysis[[Shelter NFI ]], MATCH(tblPiNHistorical[[#This Row],[ID]], tblPiNAnalysis[ID], 0)), "")</f>
        <v>700</v>
      </c>
      <c r="AE453" s="28">
        <f>IFERROR(INDEX(tblPiNAnalysis[WASH], MATCH(tblPiNHistorical[[#This Row],[ID]], tblPiNAnalysis[ID], 0)), "")</f>
        <v>0</v>
      </c>
      <c r="AF453"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453" s="136" t="str">
        <f>IF(OR(tblPiNHistorical[[#This Row],[Education Old]]="", tblPiNHistorical[[#This Row],[Education Old]]=0, tblPiNHistorical[[#This Row],[Education New]]="", tblPiNHistorical[[#This Row],[Education New]]=0), "", tblPiNHistorical[[#This Row],[Education New]]-tblPiNHistorical[[#This Row],[Education Old]])</f>
        <v/>
      </c>
      <c r="AH453"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453" s="137" t="str">
        <f>IF(OR(tblPiNHistorical[[#This Row],[Health Old]]="", tblPiNHistorical[[#This Row],[Health Old]]=0, tblPiNHistorical[[#This Row],[Health New]]="", tblPiNHistorical[[#This Row],[Health New]]=0), "", tblPiNHistorical[[#This Row],[Health New]]-tblPiNHistorical[[#This Row],[Health Old]])</f>
        <v/>
      </c>
      <c r="AJ453" s="136" t="str">
        <f>IF(OR(tblPiNHistorical[[#This Row],[Nutrition Old]]="", tblPiNHistorical[[#This Row],[Nutrition Old]]=0, tblPiNHistorical[[#This Row],[Nutrition New]]="", tblPiNHistorical[[#This Row],[Nutrition New]]=0), "", tblPiNHistorical[[#This Row],[Nutrition New]]-tblPiNHistorical[[#This Row],[Nutrition Old]])</f>
        <v/>
      </c>
      <c r="AK453" s="136" t="str">
        <f>IF(OR(tblPiNHistorical[[#This Row],[Protection Old]]="", tblPiNHistorical[[#This Row],[Protection Old]]=0, tblPiNHistorical[[#This Row],[Protection New]]="", tblPiNHistorical[[#This Row],[Protection New]]=0), "", tblPiNHistorical[[#This Row],[Protection New]]-tblPiNHistorical[[#This Row],[Protection Old]])</f>
        <v/>
      </c>
      <c r="AL453" s="136" t="str">
        <f>IF(OR(tblPiNHistorical[[#This Row],[CP Old ]]="", tblPiNHistorical[[#This Row],[CP Old ]]=0, tblPiNHistorical[[#This Row],[CP New]]="", tblPiNHistorical[[#This Row],[CP New]]=0), "", tblPiNHistorical[[#This Row],[CP New]]-tblPiNHistorical[[#This Row],[CP Old ]])</f>
        <v/>
      </c>
      <c r="AM453" s="83" t="str">
        <f>IF(OR(tblPiNHistorical[[#This Row],[GBV Old]]="", tblPiNHistorical[[#This Row],[GBV Old]]=0, tblPiNHistorical[[#This Row],[GBV New]]="", tblPiNHistorical[[#This Row],[GBV New]]=0), "", tblPiNHistorical[[#This Row],[GBV New]]-tblPiNHistorical[[#This Row],[GBV Old]])</f>
        <v/>
      </c>
      <c r="AN453" s="83" t="str">
        <f>IF(OR(tblPiNHistorical[[#This Row],[Mine Action Old]]="", tblPiNHistorical[[#This Row],[Mine Action Old]]=0, tblPiNHistorical[[#This Row],[Mine Action New]]="", tblPiNHistorical[[#This Row],[Mine Action New]]=0), "", tblPiNHistorical[[#This Row],[Mine Action New]]-tblPiNHistorical[[#This Row],[Mine Action Old]])</f>
        <v/>
      </c>
      <c r="AO453" s="136">
        <f>IF(OR(tblPiNHistorical[[#This Row],[Shelter NFI Old]]="", tblPiNHistorical[[#This Row],[Shelter NFI Old]]=0, tblPiNHistorical[[#This Row],[Shelter NFI New]]="", tblPiNHistorical[[#This Row],[Shelter NFI New]]=0), "", tblPiNHistorical[[#This Row],[Shelter NFI New]]-tblPiNHistorical[[#This Row],[Shelter NFI Old]])</f>
        <v>630</v>
      </c>
      <c r="AP453" s="138" t="str">
        <f>IF(OR(tblPiNHistorical[[#This Row],[WASH Old]]="", tblPiNHistorical[[#This Row],[WASH Old]]=0, tblPiNHistorical[[#This Row],[WASH New]]="", tblPiNHistorical[[#This Row],[WASH New]]=0), "", tblPiNHistorical[[#This Row],[WASH New]]-tblPiNHistorical[[#This Row],[WASH Old]])</f>
        <v/>
      </c>
      <c r="AQ453" s="139" t="str">
        <f>IFERROR(ROUND((tblPiNHistorical[[#This Row],[Site Management - New]] - tblPiNHistorical[[#This Row],[Site Management - Old]])/tblPiNHistorical[[#This Row],[Site Management - Old]], 1), "")</f>
        <v/>
      </c>
      <c r="AR453" s="140">
        <f>IFERROR(ROUND((tblPiNHistorical[[#This Row],[Education New]]-tblPiNHistorical[[#This Row],[Education Old]])/tblPiNHistorical[[#This Row],[Education Old]], 1), "")</f>
        <v>-1</v>
      </c>
      <c r="AS453" s="141">
        <f>IFERROR(ROUND((tblPiNHistorical[[#This Row],[Food Security and Livlihoods New]]-tblPiNHistorical[[#This Row],[Food Security and Livlihoods Old]])/tblPiNHistorical[[#This Row],[Food Security and Livlihoods Old]], 1), "")</f>
        <v>-1</v>
      </c>
      <c r="AT453" s="142">
        <f>IFERROR(ROUND((tblPiNHistorical[[#This Row],[Health New]]-tblPiNHistorical[[#This Row],[Health Old]])/tblPiNHistorical[[#This Row],[Health Old]], 1), "")</f>
        <v>-1</v>
      </c>
      <c r="AU453" s="140">
        <f>IFERROR(ROUND((tblPiNHistorical[[#This Row],[Nutrition New]]-tblPiNHistorical[[#This Row],[Nutrition Old]])/tblPiNHistorical[[#This Row],[Nutrition Old]], 1), "")</f>
        <v>-1</v>
      </c>
      <c r="AV453" s="140">
        <f>IFERROR(ROUND((tblPiNHistorical[[#This Row],[Protection New]]-tblPiNHistorical[[#This Row],[Protection Old]])/tblPiNHistorical[[#This Row],[Protection Old]], 1), "")</f>
        <v>-1</v>
      </c>
      <c r="AW453" s="84">
        <f>IFERROR(ROUND((tblPiNHistorical[[#This Row],[CP New]]-tblPiNHistorical[[#This Row],[CP Old ]])/tblPiNHistorical[[#This Row],[CP Old ]], 1), "")</f>
        <v>-1</v>
      </c>
      <c r="AX453" s="84">
        <f>IFERROR(ROUND((tblPiNHistorical[[#This Row],[GBV New]]-tblPiNHistorical[[#This Row],[GBV Old]])/tblPiNHistorical[[#This Row],[GBV Old]], 1), "")</f>
        <v>-1</v>
      </c>
      <c r="AY453" s="84" t="str">
        <f>IFERROR(ROUND((tblPiNHistorical[[#This Row],[Mine Action New]]-tblPiNHistorical[[#This Row],[Mine Action Old]])/tblPiNHistorical[[#This Row],[Mine Action Old]], 1), "")</f>
        <v/>
      </c>
      <c r="AZ453" s="140">
        <f>IFERROR(ROUND((tblPiNHistorical[[#This Row],[Shelter NFI New]]-tblPiNHistorical[[#This Row],[Shelter NFI Old]])/tblPiNHistorical[[#This Row],[Shelter NFI Old]], 1), "")</f>
        <v>9</v>
      </c>
      <c r="BA453" s="31">
        <f>IFERROR(ROUND((tblPiNHistorical[[#This Row],[WASH New]]-tblPiNHistorical[[#This Row],[WASH Old]])/tblPiNHistorical[[#This Row],[WASH Old]], 1), "")</f>
        <v>-1</v>
      </c>
    </row>
    <row r="454" spans="1:53" ht="38.25" x14ac:dyDescent="0.25">
      <c r="A454"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Host CommunitySD02171</v>
      </c>
      <c r="B454" s="134" t="s">
        <v>167</v>
      </c>
      <c r="C454" s="124" t="s">
        <v>119</v>
      </c>
      <c r="D454" s="124" t="s">
        <v>229</v>
      </c>
      <c r="E454" s="59" t="s">
        <v>228</v>
      </c>
      <c r="F454" s="54"/>
      <c r="G454" s="29"/>
      <c r="H454" s="53">
        <v>4815</v>
      </c>
      <c r="I454" s="53" t="s">
        <v>87</v>
      </c>
      <c r="J454" s="34">
        <v>0</v>
      </c>
      <c r="K454" s="116">
        <v>1866.7755</v>
      </c>
      <c r="L454" s="114">
        <v>4815</v>
      </c>
      <c r="M454" s="114">
        <v>4815</v>
      </c>
      <c r="N454" s="114">
        <v>654</v>
      </c>
      <c r="O454" s="114">
        <v>1524</v>
      </c>
      <c r="P454" s="114">
        <v>530</v>
      </c>
      <c r="Q454" s="114">
        <v>1524</v>
      </c>
      <c r="R454" s="114">
        <v>481.5</v>
      </c>
      <c r="S454" s="114">
        <v>0</v>
      </c>
      <c r="T454" s="196">
        <v>4815</v>
      </c>
      <c r="U454" s="52">
        <f>IFERROR(INDEX(tblPiNAnalysis[[Site Management ]], MATCH(tblPiNHistorical[[#This Row],[ID]], tblPiNAnalysis[ID], 0)), "")</f>
        <v>0</v>
      </c>
      <c r="V454" s="52">
        <f>IFERROR(INDEX(tblPiNAnalysis[Education], MATCH(tblPiNHistorical[[#This Row],[ID]], tblPiNAnalysis[ID], 0)), "")</f>
        <v>0</v>
      </c>
      <c r="W454" s="28">
        <f>IFERROR(INDEX(tblPiNAnalysis[Food Security and Livlihoods], MATCH(tblPiNHistorical[[#This Row],[ID]], tblPiNAnalysis[ID], 0)), "")</f>
        <v>0</v>
      </c>
      <c r="X454" s="28">
        <f>IFERROR(INDEX(tblPiNAnalysis[[Health ]], MATCH(tblPiNHistorical[[#This Row],[ID]], tblPiNAnalysis[ID], 0)), "")</f>
        <v>0</v>
      </c>
      <c r="Y454" s="28">
        <f>IFERROR(INDEX(tblPiNAnalysis[Nutrition], MATCH(tblPiNHistorical[[#This Row],[ID]], tblPiNAnalysis[ID], 0)), "")</f>
        <v>0</v>
      </c>
      <c r="Z454" s="28">
        <f>IFERROR(INDEX(tblPiNAnalysis[Protection], MATCH(tblPiNHistorical[[#This Row],[ID]], tblPiNAnalysis[ID], 0)), "")</f>
        <v>0</v>
      </c>
      <c r="AA454" s="28">
        <f>IFERROR(INDEX(tblPiNAnalysis[CP], MATCH(tblPiNHistorical[[#This Row],[ID]], tblPiNAnalysis[ID], 0)), "")</f>
        <v>0</v>
      </c>
      <c r="AB454" s="83">
        <f>IFERROR(INDEX(tblPiNAnalysis[GBV], MATCH(tblPiNHistorical[[#This Row],[ID]], tblPiNAnalysis[ID], 0)), "")</f>
        <v>0</v>
      </c>
      <c r="AC454" s="28">
        <f>IFERROR(INDEX(tblPiNAnalysis[Mine Action], MATCH(tblPiNHistorical[[#This Row],[ID]], tblPiNAnalysis[ID], 0)), "")</f>
        <v>0</v>
      </c>
      <c r="AD454" s="83">
        <f>IFERROR(INDEX(tblPiNAnalysis[[Shelter NFI ]], MATCH(tblPiNHistorical[[#This Row],[ID]], tblPiNAnalysis[ID], 0)), "")</f>
        <v>4559</v>
      </c>
      <c r="AE454" s="28">
        <f>IFERROR(INDEX(tblPiNAnalysis[WASH], MATCH(tblPiNHistorical[[#This Row],[ID]], tblPiNAnalysis[ID], 0)), "")</f>
        <v>0</v>
      </c>
      <c r="AF454"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454" s="136" t="str">
        <f>IF(OR(tblPiNHistorical[[#This Row],[Education Old]]="", tblPiNHistorical[[#This Row],[Education Old]]=0, tblPiNHistorical[[#This Row],[Education New]]="", tblPiNHistorical[[#This Row],[Education New]]=0), "", tblPiNHistorical[[#This Row],[Education New]]-tblPiNHistorical[[#This Row],[Education Old]])</f>
        <v/>
      </c>
      <c r="AH454"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454" s="137" t="str">
        <f>IF(OR(tblPiNHistorical[[#This Row],[Health Old]]="", tblPiNHistorical[[#This Row],[Health Old]]=0, tblPiNHistorical[[#This Row],[Health New]]="", tblPiNHistorical[[#This Row],[Health New]]=0), "", tblPiNHistorical[[#This Row],[Health New]]-tblPiNHistorical[[#This Row],[Health Old]])</f>
        <v/>
      </c>
      <c r="AJ454" s="136" t="str">
        <f>IF(OR(tblPiNHistorical[[#This Row],[Nutrition Old]]="", tblPiNHistorical[[#This Row],[Nutrition Old]]=0, tblPiNHistorical[[#This Row],[Nutrition New]]="", tblPiNHistorical[[#This Row],[Nutrition New]]=0), "", tblPiNHistorical[[#This Row],[Nutrition New]]-tblPiNHistorical[[#This Row],[Nutrition Old]])</f>
        <v/>
      </c>
      <c r="AK454" s="136" t="str">
        <f>IF(OR(tblPiNHistorical[[#This Row],[Protection Old]]="", tblPiNHistorical[[#This Row],[Protection Old]]=0, tblPiNHistorical[[#This Row],[Protection New]]="", tblPiNHistorical[[#This Row],[Protection New]]=0), "", tblPiNHistorical[[#This Row],[Protection New]]-tblPiNHistorical[[#This Row],[Protection Old]])</f>
        <v/>
      </c>
      <c r="AL454" s="136" t="str">
        <f>IF(OR(tblPiNHistorical[[#This Row],[CP Old ]]="", tblPiNHistorical[[#This Row],[CP Old ]]=0, tblPiNHistorical[[#This Row],[CP New]]="", tblPiNHistorical[[#This Row],[CP New]]=0), "", tblPiNHistorical[[#This Row],[CP New]]-tblPiNHistorical[[#This Row],[CP Old ]])</f>
        <v/>
      </c>
      <c r="AM454" s="83" t="str">
        <f>IF(OR(tblPiNHistorical[[#This Row],[GBV Old]]="", tblPiNHistorical[[#This Row],[GBV Old]]=0, tblPiNHistorical[[#This Row],[GBV New]]="", tblPiNHistorical[[#This Row],[GBV New]]=0), "", tblPiNHistorical[[#This Row],[GBV New]]-tblPiNHistorical[[#This Row],[GBV Old]])</f>
        <v/>
      </c>
      <c r="AN454" s="83" t="str">
        <f>IF(OR(tblPiNHistorical[[#This Row],[Mine Action Old]]="", tblPiNHistorical[[#This Row],[Mine Action Old]]=0, tblPiNHistorical[[#This Row],[Mine Action New]]="", tblPiNHistorical[[#This Row],[Mine Action New]]=0), "", tblPiNHistorical[[#This Row],[Mine Action New]]-tblPiNHistorical[[#This Row],[Mine Action Old]])</f>
        <v/>
      </c>
      <c r="AO454" s="136" t="str">
        <f>IF(OR(tblPiNHistorical[[#This Row],[Shelter NFI Old]]="", tblPiNHistorical[[#This Row],[Shelter NFI Old]]=0, tblPiNHistorical[[#This Row],[Shelter NFI New]]="", tblPiNHistorical[[#This Row],[Shelter NFI New]]=0), "", tblPiNHistorical[[#This Row],[Shelter NFI New]]-tblPiNHistorical[[#This Row],[Shelter NFI Old]])</f>
        <v/>
      </c>
      <c r="AP454" s="138" t="str">
        <f>IF(OR(tblPiNHistorical[[#This Row],[WASH Old]]="", tblPiNHistorical[[#This Row],[WASH Old]]=0, tblPiNHistorical[[#This Row],[WASH New]]="", tblPiNHistorical[[#This Row],[WASH New]]=0), "", tblPiNHistorical[[#This Row],[WASH New]]-tblPiNHistorical[[#This Row],[WASH Old]])</f>
        <v/>
      </c>
      <c r="AQ454" s="139" t="str">
        <f>IFERROR(ROUND((tblPiNHistorical[[#This Row],[Site Management - New]] - tblPiNHistorical[[#This Row],[Site Management - Old]])/tblPiNHistorical[[#This Row],[Site Management - Old]], 1), "")</f>
        <v/>
      </c>
      <c r="AR454" s="140">
        <f>IFERROR(ROUND((tblPiNHistorical[[#This Row],[Education New]]-tblPiNHistorical[[#This Row],[Education Old]])/tblPiNHistorical[[#This Row],[Education Old]], 1), "")</f>
        <v>-1</v>
      </c>
      <c r="AS454" s="141">
        <f>IFERROR(ROUND((tblPiNHistorical[[#This Row],[Food Security and Livlihoods New]]-tblPiNHistorical[[#This Row],[Food Security and Livlihoods Old]])/tblPiNHistorical[[#This Row],[Food Security and Livlihoods Old]], 1), "")</f>
        <v>-1</v>
      </c>
      <c r="AT454" s="142">
        <f>IFERROR(ROUND((tblPiNHistorical[[#This Row],[Health New]]-tblPiNHistorical[[#This Row],[Health Old]])/tblPiNHistorical[[#This Row],[Health Old]], 1), "")</f>
        <v>-1</v>
      </c>
      <c r="AU454" s="140">
        <f>IFERROR(ROUND((tblPiNHistorical[[#This Row],[Nutrition New]]-tblPiNHistorical[[#This Row],[Nutrition Old]])/tblPiNHistorical[[#This Row],[Nutrition Old]], 1), "")</f>
        <v>-1</v>
      </c>
      <c r="AV454" s="140">
        <f>IFERROR(ROUND((tblPiNHistorical[[#This Row],[Protection New]]-tblPiNHistorical[[#This Row],[Protection Old]])/tblPiNHistorical[[#This Row],[Protection Old]], 1), "")</f>
        <v>-1</v>
      </c>
      <c r="AW454" s="84">
        <f>IFERROR(ROUND((tblPiNHistorical[[#This Row],[CP New]]-tblPiNHistorical[[#This Row],[CP Old ]])/tblPiNHistorical[[#This Row],[CP Old ]], 1), "")</f>
        <v>-1</v>
      </c>
      <c r="AX454" s="84">
        <f>IFERROR(ROUND((tblPiNHistorical[[#This Row],[GBV New]]-tblPiNHistorical[[#This Row],[GBV Old]])/tblPiNHistorical[[#This Row],[GBV Old]], 1), "")</f>
        <v>-1</v>
      </c>
      <c r="AY454" s="84">
        <f>IFERROR(ROUND((tblPiNHistorical[[#This Row],[Mine Action New]]-tblPiNHistorical[[#This Row],[Mine Action Old]])/tblPiNHistorical[[#This Row],[Mine Action Old]], 1), "")</f>
        <v>-1</v>
      </c>
      <c r="AZ454" s="140" t="str">
        <f>IFERROR(ROUND((tblPiNHistorical[[#This Row],[Shelter NFI New]]-tblPiNHistorical[[#This Row],[Shelter NFI Old]])/tblPiNHistorical[[#This Row],[Shelter NFI Old]], 1), "")</f>
        <v/>
      </c>
      <c r="BA454" s="31">
        <f>IFERROR(ROUND((tblPiNHistorical[[#This Row],[WASH New]]-tblPiNHistorical[[#This Row],[WASH Old]])/tblPiNHistorical[[#This Row],[WASH Old]], 1), "")</f>
        <v>-1</v>
      </c>
    </row>
    <row r="455" spans="1:53" ht="38.25" x14ac:dyDescent="0.25">
      <c r="A455"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Host CommunitySD02113</v>
      </c>
      <c r="B455" s="134" t="s">
        <v>167</v>
      </c>
      <c r="C455" s="124" t="s">
        <v>119</v>
      </c>
      <c r="D455" s="124" t="s">
        <v>196</v>
      </c>
      <c r="E455" s="59" t="s">
        <v>195</v>
      </c>
      <c r="F455" s="54"/>
      <c r="G455" s="29"/>
      <c r="H455" s="53">
        <v>55166</v>
      </c>
      <c r="I455" s="53" t="s">
        <v>87</v>
      </c>
      <c r="J455" s="34">
        <v>0</v>
      </c>
      <c r="K455" s="116">
        <v>21387.858199999999</v>
      </c>
      <c r="L455" s="114">
        <v>20066.400000000001</v>
      </c>
      <c r="M455" s="114">
        <v>55166</v>
      </c>
      <c r="N455" s="114">
        <v>7698</v>
      </c>
      <c r="O455" s="114">
        <v>17467</v>
      </c>
      <c r="P455" s="114">
        <v>6068</v>
      </c>
      <c r="Q455" s="114">
        <v>17467</v>
      </c>
      <c r="R455" s="114">
        <v>8274.9</v>
      </c>
      <c r="S455" s="114">
        <v>11033</v>
      </c>
      <c r="T455" s="196">
        <v>33618.160399999993</v>
      </c>
      <c r="U455" s="52">
        <f>IFERROR(INDEX(tblPiNAnalysis[[Site Management ]], MATCH(tblPiNHistorical[[#This Row],[ID]], tblPiNAnalysis[ID], 0)), "")</f>
        <v>0</v>
      </c>
      <c r="V455" s="52">
        <f>IFERROR(INDEX(tblPiNAnalysis[Education], MATCH(tblPiNHistorical[[#This Row],[ID]], tblPiNAnalysis[ID], 0)), "")</f>
        <v>0</v>
      </c>
      <c r="W455" s="28">
        <f>IFERROR(INDEX(tblPiNAnalysis[Food Security and Livlihoods], MATCH(tblPiNHistorical[[#This Row],[ID]], tblPiNAnalysis[ID], 0)), "")</f>
        <v>0</v>
      </c>
      <c r="X455" s="28">
        <f>IFERROR(INDEX(tblPiNAnalysis[[Health ]], MATCH(tblPiNHistorical[[#This Row],[ID]], tblPiNAnalysis[ID], 0)), "")</f>
        <v>0</v>
      </c>
      <c r="Y455" s="28">
        <f>IFERROR(INDEX(tblPiNAnalysis[Nutrition], MATCH(tblPiNHistorical[[#This Row],[ID]], tblPiNAnalysis[ID], 0)), "")</f>
        <v>0</v>
      </c>
      <c r="Z455" s="28">
        <f>IFERROR(INDEX(tblPiNAnalysis[Protection], MATCH(tblPiNHistorical[[#This Row],[ID]], tblPiNAnalysis[ID], 0)), "")</f>
        <v>0</v>
      </c>
      <c r="AA455" s="28">
        <f>IFERROR(INDEX(tblPiNAnalysis[CP], MATCH(tblPiNHistorical[[#This Row],[ID]], tblPiNAnalysis[ID], 0)), "")</f>
        <v>0</v>
      </c>
      <c r="AB455" s="83">
        <f>IFERROR(INDEX(tblPiNAnalysis[GBV], MATCH(tblPiNHistorical[[#This Row],[ID]], tblPiNAnalysis[ID], 0)), "")</f>
        <v>0</v>
      </c>
      <c r="AC455" s="28">
        <f>IFERROR(INDEX(tblPiNAnalysis[Mine Action], MATCH(tblPiNHistorical[[#This Row],[ID]], tblPiNAnalysis[ID], 0)), "")</f>
        <v>0</v>
      </c>
      <c r="AD455" s="83">
        <f>IFERROR(INDEX(tblPiNAnalysis[[Shelter NFI ]], MATCH(tblPiNHistorical[[#This Row],[ID]], tblPiNAnalysis[ID], 0)), "")</f>
        <v>19904</v>
      </c>
      <c r="AE455" s="28">
        <f>IFERROR(INDEX(tblPiNAnalysis[WASH], MATCH(tblPiNHistorical[[#This Row],[ID]], tblPiNAnalysis[ID], 0)), "")</f>
        <v>0</v>
      </c>
      <c r="AF455"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455" s="136" t="str">
        <f>IF(OR(tblPiNHistorical[[#This Row],[Education Old]]="", tblPiNHistorical[[#This Row],[Education Old]]=0, tblPiNHistorical[[#This Row],[Education New]]="", tblPiNHistorical[[#This Row],[Education New]]=0), "", tblPiNHistorical[[#This Row],[Education New]]-tblPiNHistorical[[#This Row],[Education Old]])</f>
        <v/>
      </c>
      <c r="AH455"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455" s="137" t="str">
        <f>IF(OR(tblPiNHistorical[[#This Row],[Health Old]]="", tblPiNHistorical[[#This Row],[Health Old]]=0, tblPiNHistorical[[#This Row],[Health New]]="", tblPiNHistorical[[#This Row],[Health New]]=0), "", tblPiNHistorical[[#This Row],[Health New]]-tblPiNHistorical[[#This Row],[Health Old]])</f>
        <v/>
      </c>
      <c r="AJ455" s="136" t="str">
        <f>IF(OR(tblPiNHistorical[[#This Row],[Nutrition Old]]="", tblPiNHistorical[[#This Row],[Nutrition Old]]=0, tblPiNHistorical[[#This Row],[Nutrition New]]="", tblPiNHistorical[[#This Row],[Nutrition New]]=0), "", tblPiNHistorical[[#This Row],[Nutrition New]]-tblPiNHistorical[[#This Row],[Nutrition Old]])</f>
        <v/>
      </c>
      <c r="AK455" s="136" t="str">
        <f>IF(OR(tblPiNHistorical[[#This Row],[Protection Old]]="", tblPiNHistorical[[#This Row],[Protection Old]]=0, tblPiNHistorical[[#This Row],[Protection New]]="", tblPiNHistorical[[#This Row],[Protection New]]=0), "", tblPiNHistorical[[#This Row],[Protection New]]-tblPiNHistorical[[#This Row],[Protection Old]])</f>
        <v/>
      </c>
      <c r="AL455" s="136" t="str">
        <f>IF(OR(tblPiNHistorical[[#This Row],[CP Old ]]="", tblPiNHistorical[[#This Row],[CP Old ]]=0, tblPiNHistorical[[#This Row],[CP New]]="", tblPiNHistorical[[#This Row],[CP New]]=0), "", tblPiNHistorical[[#This Row],[CP New]]-tblPiNHistorical[[#This Row],[CP Old ]])</f>
        <v/>
      </c>
      <c r="AM455" s="83" t="str">
        <f>IF(OR(tblPiNHistorical[[#This Row],[GBV Old]]="", tblPiNHistorical[[#This Row],[GBV Old]]=0, tblPiNHistorical[[#This Row],[GBV New]]="", tblPiNHistorical[[#This Row],[GBV New]]=0), "", tblPiNHistorical[[#This Row],[GBV New]]-tblPiNHistorical[[#This Row],[GBV Old]])</f>
        <v/>
      </c>
      <c r="AN455" s="83" t="str">
        <f>IF(OR(tblPiNHistorical[[#This Row],[Mine Action Old]]="", tblPiNHistorical[[#This Row],[Mine Action Old]]=0, tblPiNHistorical[[#This Row],[Mine Action New]]="", tblPiNHistorical[[#This Row],[Mine Action New]]=0), "", tblPiNHistorical[[#This Row],[Mine Action New]]-tblPiNHistorical[[#This Row],[Mine Action Old]])</f>
        <v/>
      </c>
      <c r="AO455" s="136">
        <f>IF(OR(tblPiNHistorical[[#This Row],[Shelter NFI Old]]="", tblPiNHistorical[[#This Row],[Shelter NFI Old]]=0, tblPiNHistorical[[#This Row],[Shelter NFI New]]="", tblPiNHistorical[[#This Row],[Shelter NFI New]]=0), "", tblPiNHistorical[[#This Row],[Shelter NFI New]]-tblPiNHistorical[[#This Row],[Shelter NFI Old]])</f>
        <v>8871</v>
      </c>
      <c r="AP455" s="138" t="str">
        <f>IF(OR(tblPiNHistorical[[#This Row],[WASH Old]]="", tblPiNHistorical[[#This Row],[WASH Old]]=0, tblPiNHistorical[[#This Row],[WASH New]]="", tblPiNHistorical[[#This Row],[WASH New]]=0), "", tblPiNHistorical[[#This Row],[WASH New]]-tblPiNHistorical[[#This Row],[WASH Old]])</f>
        <v/>
      </c>
      <c r="AQ455" s="139" t="str">
        <f>IFERROR(ROUND((tblPiNHistorical[[#This Row],[Site Management - New]] - tblPiNHistorical[[#This Row],[Site Management - Old]])/tblPiNHistorical[[#This Row],[Site Management - Old]], 1), "")</f>
        <v/>
      </c>
      <c r="AR455" s="140">
        <f>IFERROR(ROUND((tblPiNHistorical[[#This Row],[Education New]]-tblPiNHistorical[[#This Row],[Education Old]])/tblPiNHistorical[[#This Row],[Education Old]], 1), "")</f>
        <v>-1</v>
      </c>
      <c r="AS455" s="141">
        <f>IFERROR(ROUND((tblPiNHistorical[[#This Row],[Food Security and Livlihoods New]]-tblPiNHistorical[[#This Row],[Food Security and Livlihoods Old]])/tblPiNHistorical[[#This Row],[Food Security and Livlihoods Old]], 1), "")</f>
        <v>-1</v>
      </c>
      <c r="AT455" s="142">
        <f>IFERROR(ROUND((tblPiNHistorical[[#This Row],[Health New]]-tblPiNHistorical[[#This Row],[Health Old]])/tblPiNHistorical[[#This Row],[Health Old]], 1), "")</f>
        <v>-1</v>
      </c>
      <c r="AU455" s="140">
        <f>IFERROR(ROUND((tblPiNHistorical[[#This Row],[Nutrition New]]-tblPiNHistorical[[#This Row],[Nutrition Old]])/tblPiNHistorical[[#This Row],[Nutrition Old]], 1), "")</f>
        <v>-1</v>
      </c>
      <c r="AV455" s="140">
        <f>IFERROR(ROUND((tblPiNHistorical[[#This Row],[Protection New]]-tblPiNHistorical[[#This Row],[Protection Old]])/tblPiNHistorical[[#This Row],[Protection Old]], 1), "")</f>
        <v>-1</v>
      </c>
      <c r="AW455" s="84">
        <f>IFERROR(ROUND((tblPiNHistorical[[#This Row],[CP New]]-tblPiNHistorical[[#This Row],[CP Old ]])/tblPiNHistorical[[#This Row],[CP Old ]], 1), "")</f>
        <v>-1</v>
      </c>
      <c r="AX455" s="84">
        <f>IFERROR(ROUND((tblPiNHistorical[[#This Row],[GBV New]]-tblPiNHistorical[[#This Row],[GBV Old]])/tblPiNHistorical[[#This Row],[GBV Old]], 1), "")</f>
        <v>-1</v>
      </c>
      <c r="AY455" s="84">
        <f>IFERROR(ROUND((tblPiNHistorical[[#This Row],[Mine Action New]]-tblPiNHistorical[[#This Row],[Mine Action Old]])/tblPiNHistorical[[#This Row],[Mine Action Old]], 1), "")</f>
        <v>-1</v>
      </c>
      <c r="AZ455" s="140">
        <f>IFERROR(ROUND((tblPiNHistorical[[#This Row],[Shelter NFI New]]-tblPiNHistorical[[#This Row],[Shelter NFI Old]])/tblPiNHistorical[[#This Row],[Shelter NFI Old]], 1), "")</f>
        <v>0.8</v>
      </c>
      <c r="BA455" s="31">
        <f>IFERROR(ROUND((tblPiNHistorical[[#This Row],[WASH New]]-tblPiNHistorical[[#This Row],[WASH Old]])/tblPiNHistorical[[#This Row],[WASH Old]], 1), "")</f>
        <v>-1</v>
      </c>
    </row>
    <row r="456" spans="1:53" ht="38.25" x14ac:dyDescent="0.25">
      <c r="A456"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Host CommunitySD02124</v>
      </c>
      <c r="B456" s="134" t="s">
        <v>167</v>
      </c>
      <c r="C456" s="124" t="s">
        <v>119</v>
      </c>
      <c r="D456" s="124" t="s">
        <v>211</v>
      </c>
      <c r="E456" s="59" t="s">
        <v>210</v>
      </c>
      <c r="F456" s="54"/>
      <c r="G456" s="29"/>
      <c r="H456" s="53">
        <v>32047</v>
      </c>
      <c r="I456" s="53" t="s">
        <v>87</v>
      </c>
      <c r="J456" s="34">
        <v>0</v>
      </c>
      <c r="K456" s="116">
        <v>12424.6219</v>
      </c>
      <c r="L456" s="114">
        <v>32047</v>
      </c>
      <c r="M456" s="114">
        <v>32047</v>
      </c>
      <c r="N456" s="114">
        <v>3692</v>
      </c>
      <c r="O456" s="114">
        <v>10147</v>
      </c>
      <c r="P456" s="114">
        <v>3525</v>
      </c>
      <c r="Q456" s="114">
        <v>10147</v>
      </c>
      <c r="R456" s="114">
        <v>3204.7000000000003</v>
      </c>
      <c r="S456" s="114">
        <v>6409</v>
      </c>
      <c r="T456" s="196">
        <v>25038.321099999997</v>
      </c>
      <c r="U456" s="52">
        <f>IFERROR(INDEX(tblPiNAnalysis[[Site Management ]], MATCH(tblPiNHistorical[[#This Row],[ID]], tblPiNAnalysis[ID], 0)), "")</f>
        <v>0</v>
      </c>
      <c r="V456" s="52">
        <f>IFERROR(INDEX(tblPiNAnalysis[Education], MATCH(tblPiNHistorical[[#This Row],[ID]], tblPiNAnalysis[ID], 0)), "")</f>
        <v>0</v>
      </c>
      <c r="W456" s="28">
        <f>IFERROR(INDEX(tblPiNAnalysis[Food Security and Livlihoods], MATCH(tblPiNHistorical[[#This Row],[ID]], tblPiNAnalysis[ID], 0)), "")</f>
        <v>0</v>
      </c>
      <c r="X456" s="28">
        <f>IFERROR(INDEX(tblPiNAnalysis[[Health ]], MATCH(tblPiNHistorical[[#This Row],[ID]], tblPiNAnalysis[ID], 0)), "")</f>
        <v>0</v>
      </c>
      <c r="Y456" s="28">
        <f>IFERROR(INDEX(tblPiNAnalysis[Nutrition], MATCH(tblPiNHistorical[[#This Row],[ID]], tblPiNAnalysis[ID], 0)), "")</f>
        <v>0</v>
      </c>
      <c r="Z456" s="28">
        <f>IFERROR(INDEX(tblPiNAnalysis[Protection], MATCH(tblPiNHistorical[[#This Row],[ID]], tblPiNAnalysis[ID], 0)), "")</f>
        <v>0</v>
      </c>
      <c r="AA456" s="28">
        <f>IFERROR(INDEX(tblPiNAnalysis[CP], MATCH(tblPiNHistorical[[#This Row],[ID]], tblPiNAnalysis[ID], 0)), "")</f>
        <v>0</v>
      </c>
      <c r="AB456" s="83">
        <f>IFERROR(INDEX(tblPiNAnalysis[GBV], MATCH(tblPiNHistorical[[#This Row],[ID]], tblPiNAnalysis[ID], 0)), "")</f>
        <v>0</v>
      </c>
      <c r="AC456" s="28">
        <f>IFERROR(INDEX(tblPiNAnalysis[Mine Action], MATCH(tblPiNHistorical[[#This Row],[ID]], tblPiNAnalysis[ID], 0)), "")</f>
        <v>0</v>
      </c>
      <c r="AD456" s="83">
        <f>IFERROR(INDEX(tblPiNAnalysis[[Shelter NFI ]], MATCH(tblPiNHistorical[[#This Row],[ID]], tblPiNAnalysis[ID], 0)), "")</f>
        <v>61047</v>
      </c>
      <c r="AE456" s="28">
        <f>IFERROR(INDEX(tblPiNAnalysis[WASH], MATCH(tblPiNHistorical[[#This Row],[ID]], tblPiNAnalysis[ID], 0)), "")</f>
        <v>0</v>
      </c>
      <c r="AF456"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456" s="136" t="str">
        <f>IF(OR(tblPiNHistorical[[#This Row],[Education Old]]="", tblPiNHistorical[[#This Row],[Education Old]]=0, tblPiNHistorical[[#This Row],[Education New]]="", tblPiNHistorical[[#This Row],[Education New]]=0), "", tblPiNHistorical[[#This Row],[Education New]]-tblPiNHistorical[[#This Row],[Education Old]])</f>
        <v/>
      </c>
      <c r="AH456"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456" s="137" t="str">
        <f>IF(OR(tblPiNHistorical[[#This Row],[Health Old]]="", tblPiNHistorical[[#This Row],[Health Old]]=0, tblPiNHistorical[[#This Row],[Health New]]="", tblPiNHistorical[[#This Row],[Health New]]=0), "", tblPiNHistorical[[#This Row],[Health New]]-tblPiNHistorical[[#This Row],[Health Old]])</f>
        <v/>
      </c>
      <c r="AJ456" s="136" t="str">
        <f>IF(OR(tblPiNHistorical[[#This Row],[Nutrition Old]]="", tblPiNHistorical[[#This Row],[Nutrition Old]]=0, tblPiNHistorical[[#This Row],[Nutrition New]]="", tblPiNHistorical[[#This Row],[Nutrition New]]=0), "", tblPiNHistorical[[#This Row],[Nutrition New]]-tblPiNHistorical[[#This Row],[Nutrition Old]])</f>
        <v/>
      </c>
      <c r="AK456" s="136" t="str">
        <f>IF(OR(tblPiNHistorical[[#This Row],[Protection Old]]="", tblPiNHistorical[[#This Row],[Protection Old]]=0, tblPiNHistorical[[#This Row],[Protection New]]="", tblPiNHistorical[[#This Row],[Protection New]]=0), "", tblPiNHistorical[[#This Row],[Protection New]]-tblPiNHistorical[[#This Row],[Protection Old]])</f>
        <v/>
      </c>
      <c r="AL456" s="136" t="str">
        <f>IF(OR(tblPiNHistorical[[#This Row],[CP Old ]]="", tblPiNHistorical[[#This Row],[CP Old ]]=0, tblPiNHistorical[[#This Row],[CP New]]="", tblPiNHistorical[[#This Row],[CP New]]=0), "", tblPiNHistorical[[#This Row],[CP New]]-tblPiNHistorical[[#This Row],[CP Old ]])</f>
        <v/>
      </c>
      <c r="AM456" s="83" t="str">
        <f>IF(OR(tblPiNHistorical[[#This Row],[GBV Old]]="", tblPiNHistorical[[#This Row],[GBV Old]]=0, tblPiNHistorical[[#This Row],[GBV New]]="", tblPiNHistorical[[#This Row],[GBV New]]=0), "", tblPiNHistorical[[#This Row],[GBV New]]-tblPiNHistorical[[#This Row],[GBV Old]])</f>
        <v/>
      </c>
      <c r="AN456" s="83" t="str">
        <f>IF(OR(tblPiNHistorical[[#This Row],[Mine Action Old]]="", tblPiNHistorical[[#This Row],[Mine Action Old]]=0, tblPiNHistorical[[#This Row],[Mine Action New]]="", tblPiNHistorical[[#This Row],[Mine Action New]]=0), "", tblPiNHistorical[[#This Row],[Mine Action New]]-tblPiNHistorical[[#This Row],[Mine Action Old]])</f>
        <v/>
      </c>
      <c r="AO456" s="136">
        <f>IF(OR(tblPiNHistorical[[#This Row],[Shelter NFI Old]]="", tblPiNHistorical[[#This Row],[Shelter NFI Old]]=0, tblPiNHistorical[[#This Row],[Shelter NFI New]]="", tblPiNHistorical[[#This Row],[Shelter NFI New]]=0), "", tblPiNHistorical[[#This Row],[Shelter NFI New]]-tblPiNHistorical[[#This Row],[Shelter NFI Old]])</f>
        <v>54638</v>
      </c>
      <c r="AP456" s="138" t="str">
        <f>IF(OR(tblPiNHistorical[[#This Row],[WASH Old]]="", tblPiNHistorical[[#This Row],[WASH Old]]=0, tblPiNHistorical[[#This Row],[WASH New]]="", tblPiNHistorical[[#This Row],[WASH New]]=0), "", tblPiNHistorical[[#This Row],[WASH New]]-tblPiNHistorical[[#This Row],[WASH Old]])</f>
        <v/>
      </c>
      <c r="AQ456" s="139" t="str">
        <f>IFERROR(ROUND((tblPiNHistorical[[#This Row],[Site Management - New]] - tblPiNHistorical[[#This Row],[Site Management - Old]])/tblPiNHistorical[[#This Row],[Site Management - Old]], 1), "")</f>
        <v/>
      </c>
      <c r="AR456" s="140">
        <f>IFERROR(ROUND((tblPiNHistorical[[#This Row],[Education New]]-tblPiNHistorical[[#This Row],[Education Old]])/tblPiNHistorical[[#This Row],[Education Old]], 1), "")</f>
        <v>-1</v>
      </c>
      <c r="AS456" s="141">
        <f>IFERROR(ROUND((tblPiNHistorical[[#This Row],[Food Security and Livlihoods New]]-tblPiNHistorical[[#This Row],[Food Security and Livlihoods Old]])/tblPiNHistorical[[#This Row],[Food Security and Livlihoods Old]], 1), "")</f>
        <v>-1</v>
      </c>
      <c r="AT456" s="142">
        <f>IFERROR(ROUND((tblPiNHistorical[[#This Row],[Health New]]-tblPiNHistorical[[#This Row],[Health Old]])/tblPiNHistorical[[#This Row],[Health Old]], 1), "")</f>
        <v>-1</v>
      </c>
      <c r="AU456" s="140">
        <f>IFERROR(ROUND((tblPiNHistorical[[#This Row],[Nutrition New]]-tblPiNHistorical[[#This Row],[Nutrition Old]])/tblPiNHistorical[[#This Row],[Nutrition Old]], 1), "")</f>
        <v>-1</v>
      </c>
      <c r="AV456" s="140">
        <f>IFERROR(ROUND((tblPiNHistorical[[#This Row],[Protection New]]-tblPiNHistorical[[#This Row],[Protection Old]])/tblPiNHistorical[[#This Row],[Protection Old]], 1), "")</f>
        <v>-1</v>
      </c>
      <c r="AW456" s="84">
        <f>IFERROR(ROUND((tblPiNHistorical[[#This Row],[CP New]]-tblPiNHistorical[[#This Row],[CP Old ]])/tblPiNHistorical[[#This Row],[CP Old ]], 1), "")</f>
        <v>-1</v>
      </c>
      <c r="AX456" s="84">
        <f>IFERROR(ROUND((tblPiNHistorical[[#This Row],[GBV New]]-tblPiNHistorical[[#This Row],[GBV Old]])/tblPiNHistorical[[#This Row],[GBV Old]], 1), "")</f>
        <v>-1</v>
      </c>
      <c r="AY456" s="84">
        <f>IFERROR(ROUND((tblPiNHistorical[[#This Row],[Mine Action New]]-tblPiNHistorical[[#This Row],[Mine Action Old]])/tblPiNHistorical[[#This Row],[Mine Action Old]], 1), "")</f>
        <v>-1</v>
      </c>
      <c r="AZ456" s="140">
        <f>IFERROR(ROUND((tblPiNHistorical[[#This Row],[Shelter NFI New]]-tblPiNHistorical[[#This Row],[Shelter NFI Old]])/tblPiNHistorical[[#This Row],[Shelter NFI Old]], 1), "")</f>
        <v>8.5</v>
      </c>
      <c r="BA456" s="31">
        <f>IFERROR(ROUND((tblPiNHistorical[[#This Row],[WASH New]]-tblPiNHistorical[[#This Row],[WASH Old]])/tblPiNHistorical[[#This Row],[WASH Old]], 1), "")</f>
        <v>-1</v>
      </c>
    </row>
    <row r="457" spans="1:53" ht="38.25" x14ac:dyDescent="0.25">
      <c r="A457"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Host CommunitySD02126</v>
      </c>
      <c r="B457" s="134" t="s">
        <v>167</v>
      </c>
      <c r="C457" s="124" t="s">
        <v>119</v>
      </c>
      <c r="D457" s="124" t="s">
        <v>213</v>
      </c>
      <c r="E457" s="59" t="s">
        <v>212</v>
      </c>
      <c r="F457" s="54"/>
      <c r="G457" s="29"/>
      <c r="H457" s="53">
        <v>7818</v>
      </c>
      <c r="I457" s="53" t="s">
        <v>87</v>
      </c>
      <c r="J457" s="34">
        <v>0</v>
      </c>
      <c r="K457" s="116">
        <v>3031.0385999999999</v>
      </c>
      <c r="L457" s="114">
        <v>7818</v>
      </c>
      <c r="M457" s="114">
        <v>7818</v>
      </c>
      <c r="N457" s="114">
        <v>1108</v>
      </c>
      <c r="O457" s="114">
        <v>2475</v>
      </c>
      <c r="P457" s="114">
        <v>860</v>
      </c>
      <c r="Q457" s="114">
        <v>2475</v>
      </c>
      <c r="R457" s="114">
        <v>0</v>
      </c>
      <c r="S457" s="114">
        <v>1564</v>
      </c>
      <c r="T457" s="196">
        <v>5070.7548000000006</v>
      </c>
      <c r="U457" s="52">
        <f>IFERROR(INDEX(tblPiNAnalysis[[Site Management ]], MATCH(tblPiNHistorical[[#This Row],[ID]], tblPiNAnalysis[ID], 0)), "")</f>
        <v>0</v>
      </c>
      <c r="V457" s="52">
        <f>IFERROR(INDEX(tblPiNAnalysis[Education], MATCH(tblPiNHistorical[[#This Row],[ID]], tblPiNAnalysis[ID], 0)), "")</f>
        <v>0</v>
      </c>
      <c r="W457" s="28">
        <f>IFERROR(INDEX(tblPiNAnalysis[Food Security and Livlihoods], MATCH(tblPiNHistorical[[#This Row],[ID]], tblPiNAnalysis[ID], 0)), "")</f>
        <v>0</v>
      </c>
      <c r="X457" s="28">
        <f>IFERROR(INDEX(tblPiNAnalysis[[Health ]], MATCH(tblPiNHistorical[[#This Row],[ID]], tblPiNAnalysis[ID], 0)), "")</f>
        <v>0</v>
      </c>
      <c r="Y457" s="28">
        <f>IFERROR(INDEX(tblPiNAnalysis[Nutrition], MATCH(tblPiNHistorical[[#This Row],[ID]], tblPiNAnalysis[ID], 0)), "")</f>
        <v>0</v>
      </c>
      <c r="Z457" s="28">
        <f>IFERROR(INDEX(tblPiNAnalysis[Protection], MATCH(tblPiNHistorical[[#This Row],[ID]], tblPiNAnalysis[ID], 0)), "")</f>
        <v>0</v>
      </c>
      <c r="AA457" s="28">
        <f>IFERROR(INDEX(tblPiNAnalysis[CP], MATCH(tblPiNHistorical[[#This Row],[ID]], tblPiNAnalysis[ID], 0)), "")</f>
        <v>0</v>
      </c>
      <c r="AB457" s="83">
        <f>IFERROR(INDEX(tblPiNAnalysis[GBV], MATCH(tblPiNHistorical[[#This Row],[ID]], tblPiNAnalysis[ID], 0)), "")</f>
        <v>0</v>
      </c>
      <c r="AC457" s="28">
        <f>IFERROR(INDEX(tblPiNAnalysis[Mine Action], MATCH(tblPiNHistorical[[#This Row],[ID]], tblPiNAnalysis[ID], 0)), "")</f>
        <v>0</v>
      </c>
      <c r="AD457" s="83">
        <f>IFERROR(INDEX(tblPiNAnalysis[[Shelter NFI ]], MATCH(tblPiNHistorical[[#This Row],[ID]], tblPiNAnalysis[ID], 0)), "")</f>
        <v>3734</v>
      </c>
      <c r="AE457" s="28">
        <f>IFERROR(INDEX(tblPiNAnalysis[WASH], MATCH(tblPiNHistorical[[#This Row],[ID]], tblPiNAnalysis[ID], 0)), "")</f>
        <v>0</v>
      </c>
      <c r="AF457"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457" s="136" t="str">
        <f>IF(OR(tblPiNHistorical[[#This Row],[Education Old]]="", tblPiNHistorical[[#This Row],[Education Old]]=0, tblPiNHistorical[[#This Row],[Education New]]="", tblPiNHistorical[[#This Row],[Education New]]=0), "", tblPiNHistorical[[#This Row],[Education New]]-tblPiNHistorical[[#This Row],[Education Old]])</f>
        <v/>
      </c>
      <c r="AH457"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457" s="137" t="str">
        <f>IF(OR(tblPiNHistorical[[#This Row],[Health Old]]="", tblPiNHistorical[[#This Row],[Health Old]]=0, tblPiNHistorical[[#This Row],[Health New]]="", tblPiNHistorical[[#This Row],[Health New]]=0), "", tblPiNHistorical[[#This Row],[Health New]]-tblPiNHistorical[[#This Row],[Health Old]])</f>
        <v/>
      </c>
      <c r="AJ457" s="136" t="str">
        <f>IF(OR(tblPiNHistorical[[#This Row],[Nutrition Old]]="", tblPiNHistorical[[#This Row],[Nutrition Old]]=0, tblPiNHistorical[[#This Row],[Nutrition New]]="", tblPiNHistorical[[#This Row],[Nutrition New]]=0), "", tblPiNHistorical[[#This Row],[Nutrition New]]-tblPiNHistorical[[#This Row],[Nutrition Old]])</f>
        <v/>
      </c>
      <c r="AK457" s="136" t="str">
        <f>IF(OR(tblPiNHistorical[[#This Row],[Protection Old]]="", tblPiNHistorical[[#This Row],[Protection Old]]=0, tblPiNHistorical[[#This Row],[Protection New]]="", tblPiNHistorical[[#This Row],[Protection New]]=0), "", tblPiNHistorical[[#This Row],[Protection New]]-tblPiNHistorical[[#This Row],[Protection Old]])</f>
        <v/>
      </c>
      <c r="AL457" s="136" t="str">
        <f>IF(OR(tblPiNHistorical[[#This Row],[CP Old ]]="", tblPiNHistorical[[#This Row],[CP Old ]]=0, tblPiNHistorical[[#This Row],[CP New]]="", tblPiNHistorical[[#This Row],[CP New]]=0), "", tblPiNHistorical[[#This Row],[CP New]]-tblPiNHistorical[[#This Row],[CP Old ]])</f>
        <v/>
      </c>
      <c r="AM457" s="83" t="str">
        <f>IF(OR(tblPiNHistorical[[#This Row],[GBV Old]]="", tblPiNHistorical[[#This Row],[GBV Old]]=0, tblPiNHistorical[[#This Row],[GBV New]]="", tblPiNHistorical[[#This Row],[GBV New]]=0), "", tblPiNHistorical[[#This Row],[GBV New]]-tblPiNHistorical[[#This Row],[GBV Old]])</f>
        <v/>
      </c>
      <c r="AN457" s="83" t="str">
        <f>IF(OR(tblPiNHistorical[[#This Row],[Mine Action Old]]="", tblPiNHistorical[[#This Row],[Mine Action Old]]=0, tblPiNHistorical[[#This Row],[Mine Action New]]="", tblPiNHistorical[[#This Row],[Mine Action New]]=0), "", tblPiNHistorical[[#This Row],[Mine Action New]]-tblPiNHistorical[[#This Row],[Mine Action Old]])</f>
        <v/>
      </c>
      <c r="AO457" s="136">
        <f>IF(OR(tblPiNHistorical[[#This Row],[Shelter NFI Old]]="", tblPiNHistorical[[#This Row],[Shelter NFI Old]]=0, tblPiNHistorical[[#This Row],[Shelter NFI New]]="", tblPiNHistorical[[#This Row],[Shelter NFI New]]=0), "", tblPiNHistorical[[#This Row],[Shelter NFI New]]-tblPiNHistorical[[#This Row],[Shelter NFI Old]])</f>
        <v>2170</v>
      </c>
      <c r="AP457" s="138" t="str">
        <f>IF(OR(tblPiNHistorical[[#This Row],[WASH Old]]="", tblPiNHistorical[[#This Row],[WASH Old]]=0, tblPiNHistorical[[#This Row],[WASH New]]="", tblPiNHistorical[[#This Row],[WASH New]]=0), "", tblPiNHistorical[[#This Row],[WASH New]]-tblPiNHistorical[[#This Row],[WASH Old]])</f>
        <v/>
      </c>
      <c r="AQ457" s="139" t="str">
        <f>IFERROR(ROUND((tblPiNHistorical[[#This Row],[Site Management - New]] - tblPiNHistorical[[#This Row],[Site Management - Old]])/tblPiNHistorical[[#This Row],[Site Management - Old]], 1), "")</f>
        <v/>
      </c>
      <c r="AR457" s="140">
        <f>IFERROR(ROUND((tblPiNHistorical[[#This Row],[Education New]]-tblPiNHistorical[[#This Row],[Education Old]])/tblPiNHistorical[[#This Row],[Education Old]], 1), "")</f>
        <v>-1</v>
      </c>
      <c r="AS457" s="141">
        <f>IFERROR(ROUND((tblPiNHistorical[[#This Row],[Food Security and Livlihoods New]]-tblPiNHistorical[[#This Row],[Food Security and Livlihoods Old]])/tblPiNHistorical[[#This Row],[Food Security and Livlihoods Old]], 1), "")</f>
        <v>-1</v>
      </c>
      <c r="AT457" s="142">
        <f>IFERROR(ROUND((tblPiNHistorical[[#This Row],[Health New]]-tblPiNHistorical[[#This Row],[Health Old]])/tblPiNHistorical[[#This Row],[Health Old]], 1), "")</f>
        <v>-1</v>
      </c>
      <c r="AU457" s="140">
        <f>IFERROR(ROUND((tblPiNHistorical[[#This Row],[Nutrition New]]-tblPiNHistorical[[#This Row],[Nutrition Old]])/tblPiNHistorical[[#This Row],[Nutrition Old]], 1), "")</f>
        <v>-1</v>
      </c>
      <c r="AV457" s="140">
        <f>IFERROR(ROUND((tblPiNHistorical[[#This Row],[Protection New]]-tblPiNHistorical[[#This Row],[Protection Old]])/tblPiNHistorical[[#This Row],[Protection Old]], 1), "")</f>
        <v>-1</v>
      </c>
      <c r="AW457" s="84">
        <f>IFERROR(ROUND((tblPiNHistorical[[#This Row],[CP New]]-tblPiNHistorical[[#This Row],[CP Old ]])/tblPiNHistorical[[#This Row],[CP Old ]], 1), "")</f>
        <v>-1</v>
      </c>
      <c r="AX457" s="84">
        <f>IFERROR(ROUND((tblPiNHistorical[[#This Row],[GBV New]]-tblPiNHistorical[[#This Row],[GBV Old]])/tblPiNHistorical[[#This Row],[GBV Old]], 1), "")</f>
        <v>-1</v>
      </c>
      <c r="AY457" s="84" t="str">
        <f>IFERROR(ROUND((tblPiNHistorical[[#This Row],[Mine Action New]]-tblPiNHistorical[[#This Row],[Mine Action Old]])/tblPiNHistorical[[#This Row],[Mine Action Old]], 1), "")</f>
        <v/>
      </c>
      <c r="AZ457" s="140">
        <f>IFERROR(ROUND((tblPiNHistorical[[#This Row],[Shelter NFI New]]-tblPiNHistorical[[#This Row],[Shelter NFI Old]])/tblPiNHistorical[[#This Row],[Shelter NFI Old]], 1), "")</f>
        <v>1.4</v>
      </c>
      <c r="BA457" s="31">
        <f>IFERROR(ROUND((tblPiNHistorical[[#This Row],[WASH New]]-tblPiNHistorical[[#This Row],[WASH Old]])/tblPiNHistorical[[#This Row],[WASH Old]], 1), "")</f>
        <v>-1</v>
      </c>
    </row>
    <row r="458" spans="1:53" ht="38.25" x14ac:dyDescent="0.25">
      <c r="A458"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Host CommunitySD02168</v>
      </c>
      <c r="B458" s="134" t="s">
        <v>167</v>
      </c>
      <c r="C458" s="124" t="s">
        <v>119</v>
      </c>
      <c r="D458" s="124" t="s">
        <v>223</v>
      </c>
      <c r="E458" s="59" t="s">
        <v>222</v>
      </c>
      <c r="F458" s="54"/>
      <c r="G458" s="29"/>
      <c r="H458" s="53">
        <v>255</v>
      </c>
      <c r="I458" s="53" t="s">
        <v>87</v>
      </c>
      <c r="J458" s="34">
        <v>0</v>
      </c>
      <c r="K458" s="116">
        <v>98.863500000000002</v>
      </c>
      <c r="L458" s="114">
        <v>255</v>
      </c>
      <c r="M458" s="114">
        <v>255</v>
      </c>
      <c r="N458" s="114">
        <v>42</v>
      </c>
      <c r="O458" s="114">
        <v>80</v>
      </c>
      <c r="P458" s="114">
        <v>28</v>
      </c>
      <c r="Q458" s="114">
        <v>80</v>
      </c>
      <c r="R458" s="114">
        <v>25.5</v>
      </c>
      <c r="S458" s="114">
        <v>0</v>
      </c>
      <c r="T458" s="196">
        <v>234.03899999999999</v>
      </c>
      <c r="U458" s="52">
        <f>IFERROR(INDEX(tblPiNAnalysis[[Site Management ]], MATCH(tblPiNHistorical[[#This Row],[ID]], tblPiNAnalysis[ID], 0)), "")</f>
        <v>0</v>
      </c>
      <c r="V458" s="52">
        <f>IFERROR(INDEX(tblPiNAnalysis[Education], MATCH(tblPiNHistorical[[#This Row],[ID]], tblPiNAnalysis[ID], 0)), "")</f>
        <v>0</v>
      </c>
      <c r="W458" s="28">
        <f>IFERROR(INDEX(tblPiNAnalysis[Food Security and Livlihoods], MATCH(tblPiNHistorical[[#This Row],[ID]], tblPiNAnalysis[ID], 0)), "")</f>
        <v>0</v>
      </c>
      <c r="X458" s="28">
        <f>IFERROR(INDEX(tblPiNAnalysis[[Health ]], MATCH(tblPiNHistorical[[#This Row],[ID]], tblPiNAnalysis[ID], 0)), "")</f>
        <v>0</v>
      </c>
      <c r="Y458" s="28">
        <f>IFERROR(INDEX(tblPiNAnalysis[Nutrition], MATCH(tblPiNHistorical[[#This Row],[ID]], tblPiNAnalysis[ID], 0)), "")</f>
        <v>0</v>
      </c>
      <c r="Z458" s="28">
        <f>IFERROR(INDEX(tblPiNAnalysis[Protection], MATCH(tblPiNHistorical[[#This Row],[ID]], tblPiNAnalysis[ID], 0)), "")</f>
        <v>0</v>
      </c>
      <c r="AA458" s="28">
        <f>IFERROR(INDEX(tblPiNAnalysis[CP], MATCH(tblPiNHistorical[[#This Row],[ID]], tblPiNAnalysis[ID], 0)), "")</f>
        <v>0</v>
      </c>
      <c r="AB458" s="83">
        <f>IFERROR(INDEX(tblPiNAnalysis[GBV], MATCH(tblPiNHistorical[[#This Row],[ID]], tblPiNAnalysis[ID], 0)), "")</f>
        <v>0</v>
      </c>
      <c r="AC458" s="28">
        <f>IFERROR(INDEX(tblPiNAnalysis[Mine Action], MATCH(tblPiNHistorical[[#This Row],[ID]], tblPiNAnalysis[ID], 0)), "")</f>
        <v>0</v>
      </c>
      <c r="AD458" s="83">
        <f>IFERROR(INDEX(tblPiNAnalysis[[Shelter NFI ]], MATCH(tblPiNHistorical[[#This Row],[ID]], tblPiNAnalysis[ID], 0)), "")</f>
        <v>436</v>
      </c>
      <c r="AE458" s="28">
        <f>IFERROR(INDEX(tblPiNAnalysis[WASH], MATCH(tblPiNHistorical[[#This Row],[ID]], tblPiNAnalysis[ID], 0)), "")</f>
        <v>0</v>
      </c>
      <c r="AF458"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458" s="136" t="str">
        <f>IF(OR(tblPiNHistorical[[#This Row],[Education Old]]="", tblPiNHistorical[[#This Row],[Education Old]]=0, tblPiNHistorical[[#This Row],[Education New]]="", tblPiNHistorical[[#This Row],[Education New]]=0), "", tblPiNHistorical[[#This Row],[Education New]]-tblPiNHistorical[[#This Row],[Education Old]])</f>
        <v/>
      </c>
      <c r="AH458"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458" s="137" t="str">
        <f>IF(OR(tblPiNHistorical[[#This Row],[Health Old]]="", tblPiNHistorical[[#This Row],[Health Old]]=0, tblPiNHistorical[[#This Row],[Health New]]="", tblPiNHistorical[[#This Row],[Health New]]=0), "", tblPiNHistorical[[#This Row],[Health New]]-tblPiNHistorical[[#This Row],[Health Old]])</f>
        <v/>
      </c>
      <c r="AJ458" s="136" t="str">
        <f>IF(OR(tblPiNHistorical[[#This Row],[Nutrition Old]]="", tblPiNHistorical[[#This Row],[Nutrition Old]]=0, tblPiNHistorical[[#This Row],[Nutrition New]]="", tblPiNHistorical[[#This Row],[Nutrition New]]=0), "", tblPiNHistorical[[#This Row],[Nutrition New]]-tblPiNHistorical[[#This Row],[Nutrition Old]])</f>
        <v/>
      </c>
      <c r="AK458" s="136" t="str">
        <f>IF(OR(tblPiNHistorical[[#This Row],[Protection Old]]="", tblPiNHistorical[[#This Row],[Protection Old]]=0, tblPiNHistorical[[#This Row],[Protection New]]="", tblPiNHistorical[[#This Row],[Protection New]]=0), "", tblPiNHistorical[[#This Row],[Protection New]]-tblPiNHistorical[[#This Row],[Protection Old]])</f>
        <v/>
      </c>
      <c r="AL458" s="136" t="str">
        <f>IF(OR(tblPiNHistorical[[#This Row],[CP Old ]]="", tblPiNHistorical[[#This Row],[CP Old ]]=0, tblPiNHistorical[[#This Row],[CP New]]="", tblPiNHistorical[[#This Row],[CP New]]=0), "", tblPiNHistorical[[#This Row],[CP New]]-tblPiNHistorical[[#This Row],[CP Old ]])</f>
        <v/>
      </c>
      <c r="AM458" s="83" t="str">
        <f>IF(OR(tblPiNHistorical[[#This Row],[GBV Old]]="", tblPiNHistorical[[#This Row],[GBV Old]]=0, tblPiNHistorical[[#This Row],[GBV New]]="", tblPiNHistorical[[#This Row],[GBV New]]=0), "", tblPiNHistorical[[#This Row],[GBV New]]-tblPiNHistorical[[#This Row],[GBV Old]])</f>
        <v/>
      </c>
      <c r="AN458" s="83" t="str">
        <f>IF(OR(tblPiNHistorical[[#This Row],[Mine Action Old]]="", tblPiNHistorical[[#This Row],[Mine Action Old]]=0, tblPiNHistorical[[#This Row],[Mine Action New]]="", tblPiNHistorical[[#This Row],[Mine Action New]]=0), "", tblPiNHistorical[[#This Row],[Mine Action New]]-tblPiNHistorical[[#This Row],[Mine Action Old]])</f>
        <v/>
      </c>
      <c r="AO458" s="136" t="str">
        <f>IF(OR(tblPiNHistorical[[#This Row],[Shelter NFI Old]]="", tblPiNHistorical[[#This Row],[Shelter NFI Old]]=0, tblPiNHistorical[[#This Row],[Shelter NFI New]]="", tblPiNHistorical[[#This Row],[Shelter NFI New]]=0), "", tblPiNHistorical[[#This Row],[Shelter NFI New]]-tblPiNHistorical[[#This Row],[Shelter NFI Old]])</f>
        <v/>
      </c>
      <c r="AP458" s="138" t="str">
        <f>IF(OR(tblPiNHistorical[[#This Row],[WASH Old]]="", tblPiNHistorical[[#This Row],[WASH Old]]=0, tblPiNHistorical[[#This Row],[WASH New]]="", tblPiNHistorical[[#This Row],[WASH New]]=0), "", tblPiNHistorical[[#This Row],[WASH New]]-tblPiNHistorical[[#This Row],[WASH Old]])</f>
        <v/>
      </c>
      <c r="AQ458" s="139" t="str">
        <f>IFERROR(ROUND((tblPiNHistorical[[#This Row],[Site Management - New]] - tblPiNHistorical[[#This Row],[Site Management - Old]])/tblPiNHistorical[[#This Row],[Site Management - Old]], 1), "")</f>
        <v/>
      </c>
      <c r="AR458" s="140">
        <f>IFERROR(ROUND((tblPiNHistorical[[#This Row],[Education New]]-tblPiNHistorical[[#This Row],[Education Old]])/tblPiNHistorical[[#This Row],[Education Old]], 1), "")</f>
        <v>-1</v>
      </c>
      <c r="AS458" s="141">
        <f>IFERROR(ROUND((tblPiNHistorical[[#This Row],[Food Security and Livlihoods New]]-tblPiNHistorical[[#This Row],[Food Security and Livlihoods Old]])/tblPiNHistorical[[#This Row],[Food Security and Livlihoods Old]], 1), "")</f>
        <v>-1</v>
      </c>
      <c r="AT458" s="142">
        <f>IFERROR(ROUND((tblPiNHistorical[[#This Row],[Health New]]-tblPiNHistorical[[#This Row],[Health Old]])/tblPiNHistorical[[#This Row],[Health Old]], 1), "")</f>
        <v>-1</v>
      </c>
      <c r="AU458" s="140">
        <f>IFERROR(ROUND((tblPiNHistorical[[#This Row],[Nutrition New]]-tblPiNHistorical[[#This Row],[Nutrition Old]])/tblPiNHistorical[[#This Row],[Nutrition Old]], 1), "")</f>
        <v>-1</v>
      </c>
      <c r="AV458" s="140">
        <f>IFERROR(ROUND((tblPiNHistorical[[#This Row],[Protection New]]-tblPiNHistorical[[#This Row],[Protection Old]])/tblPiNHistorical[[#This Row],[Protection Old]], 1), "")</f>
        <v>-1</v>
      </c>
      <c r="AW458" s="84">
        <f>IFERROR(ROUND((tblPiNHistorical[[#This Row],[CP New]]-tblPiNHistorical[[#This Row],[CP Old ]])/tblPiNHistorical[[#This Row],[CP Old ]], 1), "")</f>
        <v>-1</v>
      </c>
      <c r="AX458" s="84">
        <f>IFERROR(ROUND((tblPiNHistorical[[#This Row],[GBV New]]-tblPiNHistorical[[#This Row],[GBV Old]])/tblPiNHistorical[[#This Row],[GBV Old]], 1), "")</f>
        <v>-1</v>
      </c>
      <c r="AY458" s="84">
        <f>IFERROR(ROUND((tblPiNHistorical[[#This Row],[Mine Action New]]-tblPiNHistorical[[#This Row],[Mine Action Old]])/tblPiNHistorical[[#This Row],[Mine Action Old]], 1), "")</f>
        <v>-1</v>
      </c>
      <c r="AZ458" s="140" t="str">
        <f>IFERROR(ROUND((tblPiNHistorical[[#This Row],[Shelter NFI New]]-tblPiNHistorical[[#This Row],[Shelter NFI Old]])/tblPiNHistorical[[#This Row],[Shelter NFI Old]], 1), "")</f>
        <v/>
      </c>
      <c r="BA458" s="31">
        <f>IFERROR(ROUND((tblPiNHistorical[[#This Row],[WASH New]]-tblPiNHistorical[[#This Row],[WASH Old]])/tblPiNHistorical[[#This Row],[WASH Old]], 1), "")</f>
        <v>-1</v>
      </c>
    </row>
    <row r="459" spans="1:53" ht="38.25" x14ac:dyDescent="0.25">
      <c r="A459"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Host CommunitySD02128</v>
      </c>
      <c r="B459" s="134" t="s">
        <v>167</v>
      </c>
      <c r="C459" s="124" t="s">
        <v>119</v>
      </c>
      <c r="D459" s="124" t="s">
        <v>215</v>
      </c>
      <c r="E459" s="59" t="s">
        <v>214</v>
      </c>
      <c r="F459" s="54"/>
      <c r="G459" s="29"/>
      <c r="H459" s="53">
        <v>13945.800000000003</v>
      </c>
      <c r="I459" s="53" t="s">
        <v>87</v>
      </c>
      <c r="J459" s="34">
        <v>0</v>
      </c>
      <c r="K459" s="116">
        <v>5406.7866600000007</v>
      </c>
      <c r="L459" s="114">
        <v>13946</v>
      </c>
      <c r="M459" s="114">
        <v>13945.800000000003</v>
      </c>
      <c r="N459" s="114">
        <v>2038</v>
      </c>
      <c r="O459" s="114">
        <v>4785</v>
      </c>
      <c r="P459" s="114">
        <v>1534</v>
      </c>
      <c r="Q459" s="114">
        <v>4785</v>
      </c>
      <c r="R459" s="114">
        <v>2091.8700000000003</v>
      </c>
      <c r="S459" s="114">
        <v>2789</v>
      </c>
      <c r="T459" s="196">
        <v>8486.0193000000017</v>
      </c>
      <c r="U459" s="52">
        <f>IFERROR(INDEX(tblPiNAnalysis[[Site Management ]], MATCH(tblPiNHistorical[[#This Row],[ID]], tblPiNAnalysis[ID], 0)), "")</f>
        <v>0</v>
      </c>
      <c r="V459" s="52">
        <f>IFERROR(INDEX(tblPiNAnalysis[Education], MATCH(tblPiNHistorical[[#This Row],[ID]], tblPiNAnalysis[ID], 0)), "")</f>
        <v>0</v>
      </c>
      <c r="W459" s="28">
        <f>IFERROR(INDEX(tblPiNAnalysis[Food Security and Livlihoods], MATCH(tblPiNHistorical[[#This Row],[ID]], tblPiNAnalysis[ID], 0)), "")</f>
        <v>0</v>
      </c>
      <c r="X459" s="28">
        <f>IFERROR(INDEX(tblPiNAnalysis[[Health ]], MATCH(tblPiNHistorical[[#This Row],[ID]], tblPiNAnalysis[ID], 0)), "")</f>
        <v>0</v>
      </c>
      <c r="Y459" s="28">
        <f>IFERROR(INDEX(tblPiNAnalysis[Nutrition], MATCH(tblPiNHistorical[[#This Row],[ID]], tblPiNAnalysis[ID], 0)), "")</f>
        <v>0</v>
      </c>
      <c r="Z459" s="28">
        <f>IFERROR(INDEX(tblPiNAnalysis[Protection], MATCH(tblPiNHistorical[[#This Row],[ID]], tblPiNAnalysis[ID], 0)), "")</f>
        <v>0</v>
      </c>
      <c r="AA459" s="28">
        <f>IFERROR(INDEX(tblPiNAnalysis[CP], MATCH(tblPiNHistorical[[#This Row],[ID]], tblPiNAnalysis[ID], 0)), "")</f>
        <v>0</v>
      </c>
      <c r="AB459" s="83">
        <f>IFERROR(INDEX(tblPiNAnalysis[GBV], MATCH(tblPiNHistorical[[#This Row],[ID]], tblPiNAnalysis[ID], 0)), "")</f>
        <v>0</v>
      </c>
      <c r="AC459" s="28">
        <f>IFERROR(INDEX(tblPiNAnalysis[Mine Action], MATCH(tblPiNHistorical[[#This Row],[ID]], tblPiNAnalysis[ID], 0)), "")</f>
        <v>0</v>
      </c>
      <c r="AD459" s="83">
        <f>IFERROR(INDEX(tblPiNAnalysis[[Shelter NFI ]], MATCH(tblPiNHistorical[[#This Row],[ID]], tblPiNAnalysis[ID], 0)), "")</f>
        <v>109172</v>
      </c>
      <c r="AE459" s="28">
        <f>IFERROR(INDEX(tblPiNAnalysis[WASH], MATCH(tblPiNHistorical[[#This Row],[ID]], tblPiNAnalysis[ID], 0)), "")</f>
        <v>0</v>
      </c>
      <c r="AF459"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459" s="136" t="str">
        <f>IF(OR(tblPiNHistorical[[#This Row],[Education Old]]="", tblPiNHistorical[[#This Row],[Education Old]]=0, tblPiNHistorical[[#This Row],[Education New]]="", tblPiNHistorical[[#This Row],[Education New]]=0), "", tblPiNHistorical[[#This Row],[Education New]]-tblPiNHistorical[[#This Row],[Education Old]])</f>
        <v/>
      </c>
      <c r="AH459"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459" s="137" t="str">
        <f>IF(OR(tblPiNHistorical[[#This Row],[Health Old]]="", tblPiNHistorical[[#This Row],[Health Old]]=0, tblPiNHistorical[[#This Row],[Health New]]="", tblPiNHistorical[[#This Row],[Health New]]=0), "", tblPiNHistorical[[#This Row],[Health New]]-tblPiNHistorical[[#This Row],[Health Old]])</f>
        <v/>
      </c>
      <c r="AJ459" s="136" t="str">
        <f>IF(OR(tblPiNHistorical[[#This Row],[Nutrition Old]]="", tblPiNHistorical[[#This Row],[Nutrition Old]]=0, tblPiNHistorical[[#This Row],[Nutrition New]]="", tblPiNHistorical[[#This Row],[Nutrition New]]=0), "", tblPiNHistorical[[#This Row],[Nutrition New]]-tblPiNHistorical[[#This Row],[Nutrition Old]])</f>
        <v/>
      </c>
      <c r="AK459" s="136" t="str">
        <f>IF(OR(tblPiNHistorical[[#This Row],[Protection Old]]="", tblPiNHistorical[[#This Row],[Protection Old]]=0, tblPiNHistorical[[#This Row],[Protection New]]="", tblPiNHistorical[[#This Row],[Protection New]]=0), "", tblPiNHistorical[[#This Row],[Protection New]]-tblPiNHistorical[[#This Row],[Protection Old]])</f>
        <v/>
      </c>
      <c r="AL459" s="136" t="str">
        <f>IF(OR(tblPiNHistorical[[#This Row],[CP Old ]]="", tblPiNHistorical[[#This Row],[CP Old ]]=0, tblPiNHistorical[[#This Row],[CP New]]="", tblPiNHistorical[[#This Row],[CP New]]=0), "", tblPiNHistorical[[#This Row],[CP New]]-tblPiNHistorical[[#This Row],[CP Old ]])</f>
        <v/>
      </c>
      <c r="AM459" s="83" t="str">
        <f>IF(OR(tblPiNHistorical[[#This Row],[GBV Old]]="", tblPiNHistorical[[#This Row],[GBV Old]]=0, tblPiNHistorical[[#This Row],[GBV New]]="", tblPiNHistorical[[#This Row],[GBV New]]=0), "", tblPiNHistorical[[#This Row],[GBV New]]-tblPiNHistorical[[#This Row],[GBV Old]])</f>
        <v/>
      </c>
      <c r="AN459" s="83" t="str">
        <f>IF(OR(tblPiNHistorical[[#This Row],[Mine Action Old]]="", tblPiNHistorical[[#This Row],[Mine Action Old]]=0, tblPiNHistorical[[#This Row],[Mine Action New]]="", tblPiNHistorical[[#This Row],[Mine Action New]]=0), "", tblPiNHistorical[[#This Row],[Mine Action New]]-tblPiNHistorical[[#This Row],[Mine Action Old]])</f>
        <v/>
      </c>
      <c r="AO459" s="136">
        <f>IF(OR(tblPiNHistorical[[#This Row],[Shelter NFI Old]]="", tblPiNHistorical[[#This Row],[Shelter NFI Old]]=0, tblPiNHistorical[[#This Row],[Shelter NFI New]]="", tblPiNHistorical[[#This Row],[Shelter NFI New]]=0), "", tblPiNHistorical[[#This Row],[Shelter NFI New]]-tblPiNHistorical[[#This Row],[Shelter NFI Old]])</f>
        <v>106383</v>
      </c>
      <c r="AP459" s="138" t="str">
        <f>IF(OR(tblPiNHistorical[[#This Row],[WASH Old]]="", tblPiNHistorical[[#This Row],[WASH Old]]=0, tblPiNHistorical[[#This Row],[WASH New]]="", tblPiNHistorical[[#This Row],[WASH New]]=0), "", tblPiNHistorical[[#This Row],[WASH New]]-tblPiNHistorical[[#This Row],[WASH Old]])</f>
        <v/>
      </c>
      <c r="AQ459" s="139" t="str">
        <f>IFERROR(ROUND((tblPiNHistorical[[#This Row],[Site Management - New]] - tblPiNHistorical[[#This Row],[Site Management - Old]])/tblPiNHistorical[[#This Row],[Site Management - Old]], 1), "")</f>
        <v/>
      </c>
      <c r="AR459" s="140">
        <f>IFERROR(ROUND((tblPiNHistorical[[#This Row],[Education New]]-tblPiNHistorical[[#This Row],[Education Old]])/tblPiNHistorical[[#This Row],[Education Old]], 1), "")</f>
        <v>-1</v>
      </c>
      <c r="AS459" s="141">
        <f>IFERROR(ROUND((tblPiNHistorical[[#This Row],[Food Security and Livlihoods New]]-tblPiNHistorical[[#This Row],[Food Security and Livlihoods Old]])/tblPiNHistorical[[#This Row],[Food Security and Livlihoods Old]], 1), "")</f>
        <v>-1</v>
      </c>
      <c r="AT459" s="142">
        <f>IFERROR(ROUND((tblPiNHistorical[[#This Row],[Health New]]-tblPiNHistorical[[#This Row],[Health Old]])/tblPiNHistorical[[#This Row],[Health Old]], 1), "")</f>
        <v>-1</v>
      </c>
      <c r="AU459" s="140">
        <f>IFERROR(ROUND((tblPiNHistorical[[#This Row],[Nutrition New]]-tblPiNHistorical[[#This Row],[Nutrition Old]])/tblPiNHistorical[[#This Row],[Nutrition Old]], 1), "")</f>
        <v>-1</v>
      </c>
      <c r="AV459" s="140">
        <f>IFERROR(ROUND((tblPiNHistorical[[#This Row],[Protection New]]-tblPiNHistorical[[#This Row],[Protection Old]])/tblPiNHistorical[[#This Row],[Protection Old]], 1), "")</f>
        <v>-1</v>
      </c>
      <c r="AW459" s="84">
        <f>IFERROR(ROUND((tblPiNHistorical[[#This Row],[CP New]]-tblPiNHistorical[[#This Row],[CP Old ]])/tblPiNHistorical[[#This Row],[CP Old ]], 1), "")</f>
        <v>-1</v>
      </c>
      <c r="AX459" s="84">
        <f>IFERROR(ROUND((tblPiNHistorical[[#This Row],[GBV New]]-tblPiNHistorical[[#This Row],[GBV Old]])/tblPiNHistorical[[#This Row],[GBV Old]], 1), "")</f>
        <v>-1</v>
      </c>
      <c r="AY459" s="84">
        <f>IFERROR(ROUND((tblPiNHistorical[[#This Row],[Mine Action New]]-tblPiNHistorical[[#This Row],[Mine Action Old]])/tblPiNHistorical[[#This Row],[Mine Action Old]], 1), "")</f>
        <v>-1</v>
      </c>
      <c r="AZ459" s="140">
        <f>IFERROR(ROUND((tblPiNHistorical[[#This Row],[Shelter NFI New]]-tblPiNHistorical[[#This Row],[Shelter NFI Old]])/tblPiNHistorical[[#This Row],[Shelter NFI Old]], 1), "")</f>
        <v>38.1</v>
      </c>
      <c r="BA459" s="31">
        <f>IFERROR(ROUND((tblPiNHistorical[[#This Row],[WASH New]]-tblPiNHistorical[[#This Row],[WASH Old]])/tblPiNHistorical[[#This Row],[WASH Old]], 1), "")</f>
        <v>-1</v>
      </c>
    </row>
    <row r="460" spans="1:53" ht="38.25" x14ac:dyDescent="0.25">
      <c r="A460"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Host CommunitySD02129</v>
      </c>
      <c r="B460" s="134" t="s">
        <v>167</v>
      </c>
      <c r="C460" s="124" t="s">
        <v>119</v>
      </c>
      <c r="D460" s="124" t="s">
        <v>217</v>
      </c>
      <c r="E460" s="59" t="s">
        <v>216</v>
      </c>
      <c r="F460" s="54"/>
      <c r="G460" s="29"/>
      <c r="H460" s="53">
        <v>21554</v>
      </c>
      <c r="I460" s="53" t="s">
        <v>87</v>
      </c>
      <c r="J460" s="34">
        <v>0</v>
      </c>
      <c r="K460" s="116">
        <v>8356.4858000000004</v>
      </c>
      <c r="L460" s="114">
        <v>21554</v>
      </c>
      <c r="M460" s="114">
        <v>21554</v>
      </c>
      <c r="N460" s="114">
        <v>3713</v>
      </c>
      <c r="O460" s="114">
        <v>8621.6</v>
      </c>
      <c r="P460" s="114">
        <v>2371</v>
      </c>
      <c r="Q460" s="114">
        <v>6826</v>
      </c>
      <c r="R460" s="114">
        <v>8621.6</v>
      </c>
      <c r="S460" s="114">
        <v>4311</v>
      </c>
      <c r="T460" s="196">
        <v>15984.446400000001</v>
      </c>
      <c r="U460" s="52">
        <f>IFERROR(INDEX(tblPiNAnalysis[[Site Management ]], MATCH(tblPiNHistorical[[#This Row],[ID]], tblPiNAnalysis[ID], 0)), "")</f>
        <v>0</v>
      </c>
      <c r="V460" s="52">
        <f>IFERROR(INDEX(tblPiNAnalysis[Education], MATCH(tblPiNHistorical[[#This Row],[ID]], tblPiNAnalysis[ID], 0)), "")</f>
        <v>0</v>
      </c>
      <c r="W460" s="28">
        <f>IFERROR(INDEX(tblPiNAnalysis[Food Security and Livlihoods], MATCH(tblPiNHistorical[[#This Row],[ID]], tblPiNAnalysis[ID], 0)), "")</f>
        <v>0</v>
      </c>
      <c r="X460" s="28">
        <f>IFERROR(INDEX(tblPiNAnalysis[[Health ]], MATCH(tblPiNHistorical[[#This Row],[ID]], tblPiNAnalysis[ID], 0)), "")</f>
        <v>0</v>
      </c>
      <c r="Y460" s="28">
        <f>IFERROR(INDEX(tblPiNAnalysis[Nutrition], MATCH(tblPiNHistorical[[#This Row],[ID]], tblPiNAnalysis[ID], 0)), "")</f>
        <v>0</v>
      </c>
      <c r="Z460" s="28">
        <f>IFERROR(INDEX(tblPiNAnalysis[Protection], MATCH(tblPiNHistorical[[#This Row],[ID]], tblPiNAnalysis[ID], 0)), "")</f>
        <v>0</v>
      </c>
      <c r="AA460" s="28">
        <f>IFERROR(INDEX(tblPiNAnalysis[CP], MATCH(tblPiNHistorical[[#This Row],[ID]], tblPiNAnalysis[ID], 0)), "")</f>
        <v>0</v>
      </c>
      <c r="AB460" s="83">
        <f>IFERROR(INDEX(tblPiNAnalysis[GBV], MATCH(tblPiNHistorical[[#This Row],[ID]], tblPiNAnalysis[ID], 0)), "")</f>
        <v>0</v>
      </c>
      <c r="AC460" s="28">
        <f>IFERROR(INDEX(tblPiNAnalysis[Mine Action], MATCH(tblPiNHistorical[[#This Row],[ID]], tblPiNAnalysis[ID], 0)), "")</f>
        <v>0</v>
      </c>
      <c r="AD460" s="83">
        <f>IFERROR(INDEX(tblPiNAnalysis[[Shelter NFI ]], MATCH(tblPiNHistorical[[#This Row],[ID]], tblPiNAnalysis[ID], 0)), "")</f>
        <v>23827</v>
      </c>
      <c r="AE460" s="28">
        <f>IFERROR(INDEX(tblPiNAnalysis[WASH], MATCH(tblPiNHistorical[[#This Row],[ID]], tblPiNAnalysis[ID], 0)), "")</f>
        <v>0</v>
      </c>
      <c r="AF460"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460" s="136" t="str">
        <f>IF(OR(tblPiNHistorical[[#This Row],[Education Old]]="", tblPiNHistorical[[#This Row],[Education Old]]=0, tblPiNHistorical[[#This Row],[Education New]]="", tblPiNHistorical[[#This Row],[Education New]]=0), "", tblPiNHistorical[[#This Row],[Education New]]-tblPiNHistorical[[#This Row],[Education Old]])</f>
        <v/>
      </c>
      <c r="AH460"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460" s="137" t="str">
        <f>IF(OR(tblPiNHistorical[[#This Row],[Health Old]]="", tblPiNHistorical[[#This Row],[Health Old]]=0, tblPiNHistorical[[#This Row],[Health New]]="", tblPiNHistorical[[#This Row],[Health New]]=0), "", tblPiNHistorical[[#This Row],[Health New]]-tblPiNHistorical[[#This Row],[Health Old]])</f>
        <v/>
      </c>
      <c r="AJ460" s="136" t="str">
        <f>IF(OR(tblPiNHistorical[[#This Row],[Nutrition Old]]="", tblPiNHistorical[[#This Row],[Nutrition Old]]=0, tblPiNHistorical[[#This Row],[Nutrition New]]="", tblPiNHistorical[[#This Row],[Nutrition New]]=0), "", tblPiNHistorical[[#This Row],[Nutrition New]]-tblPiNHistorical[[#This Row],[Nutrition Old]])</f>
        <v/>
      </c>
      <c r="AK460" s="136" t="str">
        <f>IF(OR(tblPiNHistorical[[#This Row],[Protection Old]]="", tblPiNHistorical[[#This Row],[Protection Old]]=0, tblPiNHistorical[[#This Row],[Protection New]]="", tblPiNHistorical[[#This Row],[Protection New]]=0), "", tblPiNHistorical[[#This Row],[Protection New]]-tblPiNHistorical[[#This Row],[Protection Old]])</f>
        <v/>
      </c>
      <c r="AL460" s="136" t="str">
        <f>IF(OR(tblPiNHistorical[[#This Row],[CP Old ]]="", tblPiNHistorical[[#This Row],[CP Old ]]=0, tblPiNHistorical[[#This Row],[CP New]]="", tblPiNHistorical[[#This Row],[CP New]]=0), "", tblPiNHistorical[[#This Row],[CP New]]-tblPiNHistorical[[#This Row],[CP Old ]])</f>
        <v/>
      </c>
      <c r="AM460" s="83" t="str">
        <f>IF(OR(tblPiNHistorical[[#This Row],[GBV Old]]="", tblPiNHistorical[[#This Row],[GBV Old]]=0, tblPiNHistorical[[#This Row],[GBV New]]="", tblPiNHistorical[[#This Row],[GBV New]]=0), "", tblPiNHistorical[[#This Row],[GBV New]]-tblPiNHistorical[[#This Row],[GBV Old]])</f>
        <v/>
      </c>
      <c r="AN460" s="83" t="str">
        <f>IF(OR(tblPiNHistorical[[#This Row],[Mine Action Old]]="", tblPiNHistorical[[#This Row],[Mine Action Old]]=0, tblPiNHistorical[[#This Row],[Mine Action New]]="", tblPiNHistorical[[#This Row],[Mine Action New]]=0), "", tblPiNHistorical[[#This Row],[Mine Action New]]-tblPiNHistorical[[#This Row],[Mine Action Old]])</f>
        <v/>
      </c>
      <c r="AO460" s="136">
        <f>IF(OR(tblPiNHistorical[[#This Row],[Shelter NFI Old]]="", tblPiNHistorical[[#This Row],[Shelter NFI Old]]=0, tblPiNHistorical[[#This Row],[Shelter NFI New]]="", tblPiNHistorical[[#This Row],[Shelter NFI New]]=0), "", tblPiNHistorical[[#This Row],[Shelter NFI New]]-tblPiNHistorical[[#This Row],[Shelter NFI Old]])</f>
        <v>19516</v>
      </c>
      <c r="AP460" s="138" t="str">
        <f>IF(OR(tblPiNHistorical[[#This Row],[WASH Old]]="", tblPiNHistorical[[#This Row],[WASH Old]]=0, tblPiNHistorical[[#This Row],[WASH New]]="", tblPiNHistorical[[#This Row],[WASH New]]=0), "", tblPiNHistorical[[#This Row],[WASH New]]-tblPiNHistorical[[#This Row],[WASH Old]])</f>
        <v/>
      </c>
      <c r="AQ460" s="139" t="str">
        <f>IFERROR(ROUND((tblPiNHistorical[[#This Row],[Site Management - New]] - tblPiNHistorical[[#This Row],[Site Management - Old]])/tblPiNHistorical[[#This Row],[Site Management - Old]], 1), "")</f>
        <v/>
      </c>
      <c r="AR460" s="140">
        <f>IFERROR(ROUND((tblPiNHistorical[[#This Row],[Education New]]-tblPiNHistorical[[#This Row],[Education Old]])/tblPiNHistorical[[#This Row],[Education Old]], 1), "")</f>
        <v>-1</v>
      </c>
      <c r="AS460" s="141">
        <f>IFERROR(ROUND((tblPiNHistorical[[#This Row],[Food Security and Livlihoods New]]-tblPiNHistorical[[#This Row],[Food Security and Livlihoods Old]])/tblPiNHistorical[[#This Row],[Food Security and Livlihoods Old]], 1), "")</f>
        <v>-1</v>
      </c>
      <c r="AT460" s="142">
        <f>IFERROR(ROUND((tblPiNHistorical[[#This Row],[Health New]]-tblPiNHistorical[[#This Row],[Health Old]])/tblPiNHistorical[[#This Row],[Health Old]], 1), "")</f>
        <v>-1</v>
      </c>
      <c r="AU460" s="140">
        <f>IFERROR(ROUND((tblPiNHistorical[[#This Row],[Nutrition New]]-tblPiNHistorical[[#This Row],[Nutrition Old]])/tblPiNHistorical[[#This Row],[Nutrition Old]], 1), "")</f>
        <v>-1</v>
      </c>
      <c r="AV460" s="140">
        <f>IFERROR(ROUND((tblPiNHistorical[[#This Row],[Protection New]]-tblPiNHistorical[[#This Row],[Protection Old]])/tblPiNHistorical[[#This Row],[Protection Old]], 1), "")</f>
        <v>-1</v>
      </c>
      <c r="AW460" s="84">
        <f>IFERROR(ROUND((tblPiNHistorical[[#This Row],[CP New]]-tblPiNHistorical[[#This Row],[CP Old ]])/tblPiNHistorical[[#This Row],[CP Old ]], 1), "")</f>
        <v>-1</v>
      </c>
      <c r="AX460" s="84">
        <f>IFERROR(ROUND((tblPiNHistorical[[#This Row],[GBV New]]-tblPiNHistorical[[#This Row],[GBV Old]])/tblPiNHistorical[[#This Row],[GBV Old]], 1), "")</f>
        <v>-1</v>
      </c>
      <c r="AY460" s="84">
        <f>IFERROR(ROUND((tblPiNHistorical[[#This Row],[Mine Action New]]-tblPiNHistorical[[#This Row],[Mine Action Old]])/tblPiNHistorical[[#This Row],[Mine Action Old]], 1), "")</f>
        <v>-1</v>
      </c>
      <c r="AZ460" s="140">
        <f>IFERROR(ROUND((tblPiNHistorical[[#This Row],[Shelter NFI New]]-tblPiNHistorical[[#This Row],[Shelter NFI Old]])/tblPiNHistorical[[#This Row],[Shelter NFI Old]], 1), "")</f>
        <v>4.5</v>
      </c>
      <c r="BA460" s="31">
        <f>IFERROR(ROUND((tblPiNHistorical[[#This Row],[WASH New]]-tblPiNHistorical[[#This Row],[WASH Old]])/tblPiNHistorical[[#This Row],[WASH Old]], 1), "")</f>
        <v>-1</v>
      </c>
    </row>
    <row r="461" spans="1:53" ht="38.25" x14ac:dyDescent="0.25">
      <c r="A461"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Host CommunitySD02133</v>
      </c>
      <c r="B461" s="134" t="s">
        <v>167</v>
      </c>
      <c r="C461" s="124" t="s">
        <v>119</v>
      </c>
      <c r="D461" s="124" t="s">
        <v>219</v>
      </c>
      <c r="E461" s="59" t="s">
        <v>218</v>
      </c>
      <c r="F461" s="54"/>
      <c r="G461" s="29"/>
      <c r="H461" s="53">
        <v>78644</v>
      </c>
      <c r="I461" s="53" t="s">
        <v>87</v>
      </c>
      <c r="J461" s="34">
        <v>0</v>
      </c>
      <c r="K461" s="116">
        <v>30490.2788</v>
      </c>
      <c r="L461" s="114">
        <v>24525.4</v>
      </c>
      <c r="M461" s="114">
        <v>78644</v>
      </c>
      <c r="N461" s="114">
        <v>9980</v>
      </c>
      <c r="O461" s="114">
        <v>24902</v>
      </c>
      <c r="P461" s="114">
        <v>8651</v>
      </c>
      <c r="Q461" s="114">
        <v>24902</v>
      </c>
      <c r="R461" s="114">
        <v>7864.4000000000005</v>
      </c>
      <c r="S461" s="114">
        <v>15729</v>
      </c>
      <c r="T461" s="196">
        <v>60406.456399999988</v>
      </c>
      <c r="U461" s="52">
        <f>IFERROR(INDEX(tblPiNAnalysis[[Site Management ]], MATCH(tblPiNHistorical[[#This Row],[ID]], tblPiNAnalysis[ID], 0)), "")</f>
        <v>0</v>
      </c>
      <c r="V461" s="52">
        <f>IFERROR(INDEX(tblPiNAnalysis[Education], MATCH(tblPiNHistorical[[#This Row],[ID]], tblPiNAnalysis[ID], 0)), "")</f>
        <v>0</v>
      </c>
      <c r="W461" s="28">
        <f>IFERROR(INDEX(tblPiNAnalysis[Food Security and Livlihoods], MATCH(tblPiNHistorical[[#This Row],[ID]], tblPiNAnalysis[ID], 0)), "")</f>
        <v>0</v>
      </c>
      <c r="X461" s="28">
        <f>IFERROR(INDEX(tblPiNAnalysis[[Health ]], MATCH(tblPiNHistorical[[#This Row],[ID]], tblPiNAnalysis[ID], 0)), "")</f>
        <v>0</v>
      </c>
      <c r="Y461" s="28">
        <f>IFERROR(INDEX(tblPiNAnalysis[Nutrition], MATCH(tblPiNHistorical[[#This Row],[ID]], tblPiNAnalysis[ID], 0)), "")</f>
        <v>0</v>
      </c>
      <c r="Z461" s="28">
        <f>IFERROR(INDEX(tblPiNAnalysis[Protection], MATCH(tblPiNHistorical[[#This Row],[ID]], tblPiNAnalysis[ID], 0)), "")</f>
        <v>0</v>
      </c>
      <c r="AA461" s="28">
        <f>IFERROR(INDEX(tblPiNAnalysis[CP], MATCH(tblPiNHistorical[[#This Row],[ID]], tblPiNAnalysis[ID], 0)), "")</f>
        <v>0</v>
      </c>
      <c r="AB461" s="83">
        <f>IFERROR(INDEX(tblPiNAnalysis[GBV], MATCH(tblPiNHistorical[[#This Row],[ID]], tblPiNAnalysis[ID], 0)), "")</f>
        <v>0</v>
      </c>
      <c r="AC461" s="28">
        <f>IFERROR(INDEX(tblPiNAnalysis[Mine Action], MATCH(tblPiNHistorical[[#This Row],[ID]], tblPiNAnalysis[ID], 0)), "")</f>
        <v>0</v>
      </c>
      <c r="AD461" s="83">
        <f>IFERROR(INDEX(tblPiNAnalysis[[Shelter NFI ]], MATCH(tblPiNHistorical[[#This Row],[ID]], tblPiNAnalysis[ID], 0)), "")</f>
        <v>52519</v>
      </c>
      <c r="AE461" s="28">
        <f>IFERROR(INDEX(tblPiNAnalysis[WASH], MATCH(tblPiNHistorical[[#This Row],[ID]], tblPiNAnalysis[ID], 0)), "")</f>
        <v>0</v>
      </c>
      <c r="AF461"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461" s="136" t="str">
        <f>IF(OR(tblPiNHistorical[[#This Row],[Education Old]]="", tblPiNHistorical[[#This Row],[Education Old]]=0, tblPiNHistorical[[#This Row],[Education New]]="", tblPiNHistorical[[#This Row],[Education New]]=0), "", tblPiNHistorical[[#This Row],[Education New]]-tblPiNHistorical[[#This Row],[Education Old]])</f>
        <v/>
      </c>
      <c r="AH461"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461" s="137" t="str">
        <f>IF(OR(tblPiNHistorical[[#This Row],[Health Old]]="", tblPiNHistorical[[#This Row],[Health Old]]=0, tblPiNHistorical[[#This Row],[Health New]]="", tblPiNHistorical[[#This Row],[Health New]]=0), "", tblPiNHistorical[[#This Row],[Health New]]-tblPiNHistorical[[#This Row],[Health Old]])</f>
        <v/>
      </c>
      <c r="AJ461" s="136" t="str">
        <f>IF(OR(tblPiNHistorical[[#This Row],[Nutrition Old]]="", tblPiNHistorical[[#This Row],[Nutrition Old]]=0, tblPiNHistorical[[#This Row],[Nutrition New]]="", tblPiNHistorical[[#This Row],[Nutrition New]]=0), "", tblPiNHistorical[[#This Row],[Nutrition New]]-tblPiNHistorical[[#This Row],[Nutrition Old]])</f>
        <v/>
      </c>
      <c r="AK461" s="136" t="str">
        <f>IF(OR(tblPiNHistorical[[#This Row],[Protection Old]]="", tblPiNHistorical[[#This Row],[Protection Old]]=0, tblPiNHistorical[[#This Row],[Protection New]]="", tblPiNHistorical[[#This Row],[Protection New]]=0), "", tblPiNHistorical[[#This Row],[Protection New]]-tblPiNHistorical[[#This Row],[Protection Old]])</f>
        <v/>
      </c>
      <c r="AL461" s="136" t="str">
        <f>IF(OR(tblPiNHistorical[[#This Row],[CP Old ]]="", tblPiNHistorical[[#This Row],[CP Old ]]=0, tblPiNHistorical[[#This Row],[CP New]]="", tblPiNHistorical[[#This Row],[CP New]]=0), "", tblPiNHistorical[[#This Row],[CP New]]-tblPiNHistorical[[#This Row],[CP Old ]])</f>
        <v/>
      </c>
      <c r="AM461" s="83" t="str">
        <f>IF(OR(tblPiNHistorical[[#This Row],[GBV Old]]="", tblPiNHistorical[[#This Row],[GBV Old]]=0, tblPiNHistorical[[#This Row],[GBV New]]="", tblPiNHistorical[[#This Row],[GBV New]]=0), "", tblPiNHistorical[[#This Row],[GBV New]]-tblPiNHistorical[[#This Row],[GBV Old]])</f>
        <v/>
      </c>
      <c r="AN461" s="83" t="str">
        <f>IF(OR(tblPiNHistorical[[#This Row],[Mine Action Old]]="", tblPiNHistorical[[#This Row],[Mine Action Old]]=0, tblPiNHistorical[[#This Row],[Mine Action New]]="", tblPiNHistorical[[#This Row],[Mine Action New]]=0), "", tblPiNHistorical[[#This Row],[Mine Action New]]-tblPiNHistorical[[#This Row],[Mine Action Old]])</f>
        <v/>
      </c>
      <c r="AO461" s="136">
        <f>IF(OR(tblPiNHistorical[[#This Row],[Shelter NFI Old]]="", tblPiNHistorical[[#This Row],[Shelter NFI Old]]=0, tblPiNHistorical[[#This Row],[Shelter NFI New]]="", tblPiNHistorical[[#This Row],[Shelter NFI New]]=0), "", tblPiNHistorical[[#This Row],[Shelter NFI New]]-tblPiNHistorical[[#This Row],[Shelter NFI Old]])</f>
        <v>36790</v>
      </c>
      <c r="AP461" s="138" t="str">
        <f>IF(OR(tblPiNHistorical[[#This Row],[WASH Old]]="", tblPiNHistorical[[#This Row],[WASH Old]]=0, tblPiNHistorical[[#This Row],[WASH New]]="", tblPiNHistorical[[#This Row],[WASH New]]=0), "", tblPiNHistorical[[#This Row],[WASH New]]-tblPiNHistorical[[#This Row],[WASH Old]])</f>
        <v/>
      </c>
      <c r="AQ461" s="139" t="str">
        <f>IFERROR(ROUND((tblPiNHistorical[[#This Row],[Site Management - New]] - tblPiNHistorical[[#This Row],[Site Management - Old]])/tblPiNHistorical[[#This Row],[Site Management - Old]], 1), "")</f>
        <v/>
      </c>
      <c r="AR461" s="140">
        <f>IFERROR(ROUND((tblPiNHistorical[[#This Row],[Education New]]-tblPiNHistorical[[#This Row],[Education Old]])/tblPiNHistorical[[#This Row],[Education Old]], 1), "")</f>
        <v>-1</v>
      </c>
      <c r="AS461" s="141">
        <f>IFERROR(ROUND((tblPiNHistorical[[#This Row],[Food Security and Livlihoods New]]-tblPiNHistorical[[#This Row],[Food Security and Livlihoods Old]])/tblPiNHistorical[[#This Row],[Food Security and Livlihoods Old]], 1), "")</f>
        <v>-1</v>
      </c>
      <c r="AT461" s="142">
        <f>IFERROR(ROUND((tblPiNHistorical[[#This Row],[Health New]]-tblPiNHistorical[[#This Row],[Health Old]])/tblPiNHistorical[[#This Row],[Health Old]], 1), "")</f>
        <v>-1</v>
      </c>
      <c r="AU461" s="140">
        <f>IFERROR(ROUND((tblPiNHistorical[[#This Row],[Nutrition New]]-tblPiNHistorical[[#This Row],[Nutrition Old]])/tblPiNHistorical[[#This Row],[Nutrition Old]], 1), "")</f>
        <v>-1</v>
      </c>
      <c r="AV461" s="140">
        <f>IFERROR(ROUND((tblPiNHistorical[[#This Row],[Protection New]]-tblPiNHistorical[[#This Row],[Protection Old]])/tblPiNHistorical[[#This Row],[Protection Old]], 1), "")</f>
        <v>-1</v>
      </c>
      <c r="AW461" s="84">
        <f>IFERROR(ROUND((tblPiNHistorical[[#This Row],[CP New]]-tblPiNHistorical[[#This Row],[CP Old ]])/tblPiNHistorical[[#This Row],[CP Old ]], 1), "")</f>
        <v>-1</v>
      </c>
      <c r="AX461" s="84">
        <f>IFERROR(ROUND((tblPiNHistorical[[#This Row],[GBV New]]-tblPiNHistorical[[#This Row],[GBV Old]])/tblPiNHistorical[[#This Row],[GBV Old]], 1), "")</f>
        <v>-1</v>
      </c>
      <c r="AY461" s="84">
        <f>IFERROR(ROUND((tblPiNHistorical[[#This Row],[Mine Action New]]-tblPiNHistorical[[#This Row],[Mine Action Old]])/tblPiNHistorical[[#This Row],[Mine Action Old]], 1), "")</f>
        <v>-1</v>
      </c>
      <c r="AZ461" s="140">
        <f>IFERROR(ROUND((tblPiNHistorical[[#This Row],[Shelter NFI New]]-tblPiNHistorical[[#This Row],[Shelter NFI Old]])/tblPiNHistorical[[#This Row],[Shelter NFI Old]], 1), "")</f>
        <v>2.2999999999999998</v>
      </c>
      <c r="BA461" s="31">
        <f>IFERROR(ROUND((tblPiNHistorical[[#This Row],[WASH New]]-tblPiNHistorical[[#This Row],[WASH Old]])/tblPiNHistorical[[#This Row],[WASH Old]], 1), "")</f>
        <v>-1</v>
      </c>
    </row>
    <row r="462" spans="1:53" ht="38.25" x14ac:dyDescent="0.25">
      <c r="A462"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Host CommunitySD02170</v>
      </c>
      <c r="B462" s="134" t="s">
        <v>167</v>
      </c>
      <c r="C462" s="124" t="s">
        <v>119</v>
      </c>
      <c r="D462" s="124" t="s">
        <v>227</v>
      </c>
      <c r="E462" s="59" t="s">
        <v>226</v>
      </c>
      <c r="F462" s="54"/>
      <c r="G462" s="29"/>
      <c r="H462" s="53">
        <v>3885.1999999999971</v>
      </c>
      <c r="I462" s="53" t="s">
        <v>87</v>
      </c>
      <c r="J462" s="34">
        <v>0</v>
      </c>
      <c r="K462" s="116">
        <v>1506.2920399999989</v>
      </c>
      <c r="L462" s="114">
        <v>3885</v>
      </c>
      <c r="M462" s="114">
        <v>3885</v>
      </c>
      <c r="N462" s="114">
        <v>285</v>
      </c>
      <c r="O462" s="114">
        <v>1230</v>
      </c>
      <c r="P462" s="114">
        <v>427</v>
      </c>
      <c r="Q462" s="114">
        <v>1230</v>
      </c>
      <c r="R462" s="114">
        <v>388.51999999999975</v>
      </c>
      <c r="S462" s="114">
        <v>1166</v>
      </c>
      <c r="T462" s="196">
        <v>3260.0713199999977</v>
      </c>
      <c r="U462" s="52">
        <f>IFERROR(INDEX(tblPiNAnalysis[[Site Management ]], MATCH(tblPiNHistorical[[#This Row],[ID]], tblPiNAnalysis[ID], 0)), "")</f>
        <v>0</v>
      </c>
      <c r="V462" s="52">
        <f>IFERROR(INDEX(tblPiNAnalysis[Education], MATCH(tblPiNHistorical[[#This Row],[ID]], tblPiNAnalysis[ID], 0)), "")</f>
        <v>0</v>
      </c>
      <c r="W462" s="28">
        <f>IFERROR(INDEX(tblPiNAnalysis[Food Security and Livlihoods], MATCH(tblPiNHistorical[[#This Row],[ID]], tblPiNAnalysis[ID], 0)), "")</f>
        <v>0</v>
      </c>
      <c r="X462" s="28">
        <f>IFERROR(INDEX(tblPiNAnalysis[[Health ]], MATCH(tblPiNHistorical[[#This Row],[ID]], tblPiNAnalysis[ID], 0)), "")</f>
        <v>0</v>
      </c>
      <c r="Y462" s="28">
        <f>IFERROR(INDEX(tblPiNAnalysis[Nutrition], MATCH(tblPiNHistorical[[#This Row],[ID]], tblPiNAnalysis[ID], 0)), "")</f>
        <v>0</v>
      </c>
      <c r="Z462" s="28">
        <f>IFERROR(INDEX(tblPiNAnalysis[Protection], MATCH(tblPiNHistorical[[#This Row],[ID]], tblPiNAnalysis[ID], 0)), "")</f>
        <v>0</v>
      </c>
      <c r="AA462" s="28">
        <f>IFERROR(INDEX(tblPiNAnalysis[CP], MATCH(tblPiNHistorical[[#This Row],[ID]], tblPiNAnalysis[ID], 0)), "")</f>
        <v>0</v>
      </c>
      <c r="AB462" s="83">
        <f>IFERROR(INDEX(tblPiNAnalysis[GBV], MATCH(tblPiNHistorical[[#This Row],[ID]], tblPiNAnalysis[ID], 0)), "")</f>
        <v>0</v>
      </c>
      <c r="AC462" s="28">
        <f>IFERROR(INDEX(tblPiNAnalysis[Mine Action], MATCH(tblPiNHistorical[[#This Row],[ID]], tblPiNAnalysis[ID], 0)), "")</f>
        <v>0</v>
      </c>
      <c r="AD462" s="83">
        <f>IFERROR(INDEX(tblPiNAnalysis[[Shelter NFI ]], MATCH(tblPiNHistorical[[#This Row],[ID]], tblPiNAnalysis[ID], 0)), "")</f>
        <v>0</v>
      </c>
      <c r="AE462" s="28">
        <f>IFERROR(INDEX(tblPiNAnalysis[WASH], MATCH(tblPiNHistorical[[#This Row],[ID]], tblPiNAnalysis[ID], 0)), "")</f>
        <v>0</v>
      </c>
      <c r="AF462"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462" s="136" t="str">
        <f>IF(OR(tblPiNHistorical[[#This Row],[Education Old]]="", tblPiNHistorical[[#This Row],[Education Old]]=0, tblPiNHistorical[[#This Row],[Education New]]="", tblPiNHistorical[[#This Row],[Education New]]=0), "", tblPiNHistorical[[#This Row],[Education New]]-tblPiNHistorical[[#This Row],[Education Old]])</f>
        <v/>
      </c>
      <c r="AH462"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462" s="137" t="str">
        <f>IF(OR(tblPiNHistorical[[#This Row],[Health Old]]="", tblPiNHistorical[[#This Row],[Health Old]]=0, tblPiNHistorical[[#This Row],[Health New]]="", tblPiNHistorical[[#This Row],[Health New]]=0), "", tblPiNHistorical[[#This Row],[Health New]]-tblPiNHistorical[[#This Row],[Health Old]])</f>
        <v/>
      </c>
      <c r="AJ462" s="136" t="str">
        <f>IF(OR(tblPiNHistorical[[#This Row],[Nutrition Old]]="", tblPiNHistorical[[#This Row],[Nutrition Old]]=0, tblPiNHistorical[[#This Row],[Nutrition New]]="", tblPiNHistorical[[#This Row],[Nutrition New]]=0), "", tblPiNHistorical[[#This Row],[Nutrition New]]-tblPiNHistorical[[#This Row],[Nutrition Old]])</f>
        <v/>
      </c>
      <c r="AK462" s="136" t="str">
        <f>IF(OR(tblPiNHistorical[[#This Row],[Protection Old]]="", tblPiNHistorical[[#This Row],[Protection Old]]=0, tblPiNHistorical[[#This Row],[Protection New]]="", tblPiNHistorical[[#This Row],[Protection New]]=0), "", tblPiNHistorical[[#This Row],[Protection New]]-tblPiNHistorical[[#This Row],[Protection Old]])</f>
        <v/>
      </c>
      <c r="AL462" s="136" t="str">
        <f>IF(OR(tblPiNHistorical[[#This Row],[CP Old ]]="", tblPiNHistorical[[#This Row],[CP Old ]]=0, tblPiNHistorical[[#This Row],[CP New]]="", tblPiNHistorical[[#This Row],[CP New]]=0), "", tblPiNHistorical[[#This Row],[CP New]]-tblPiNHistorical[[#This Row],[CP Old ]])</f>
        <v/>
      </c>
      <c r="AM462" s="83" t="str">
        <f>IF(OR(tblPiNHistorical[[#This Row],[GBV Old]]="", tblPiNHistorical[[#This Row],[GBV Old]]=0, tblPiNHistorical[[#This Row],[GBV New]]="", tblPiNHistorical[[#This Row],[GBV New]]=0), "", tblPiNHistorical[[#This Row],[GBV New]]-tblPiNHistorical[[#This Row],[GBV Old]])</f>
        <v/>
      </c>
      <c r="AN462" s="83" t="str">
        <f>IF(OR(tblPiNHistorical[[#This Row],[Mine Action Old]]="", tblPiNHistorical[[#This Row],[Mine Action Old]]=0, tblPiNHistorical[[#This Row],[Mine Action New]]="", tblPiNHistorical[[#This Row],[Mine Action New]]=0), "", tblPiNHistorical[[#This Row],[Mine Action New]]-tblPiNHistorical[[#This Row],[Mine Action Old]])</f>
        <v/>
      </c>
      <c r="AO462" s="136" t="str">
        <f>IF(OR(tblPiNHistorical[[#This Row],[Shelter NFI Old]]="", tblPiNHistorical[[#This Row],[Shelter NFI Old]]=0, tblPiNHistorical[[#This Row],[Shelter NFI New]]="", tblPiNHistorical[[#This Row],[Shelter NFI New]]=0), "", tblPiNHistorical[[#This Row],[Shelter NFI New]]-tblPiNHistorical[[#This Row],[Shelter NFI Old]])</f>
        <v/>
      </c>
      <c r="AP462" s="138" t="str">
        <f>IF(OR(tblPiNHistorical[[#This Row],[WASH Old]]="", tblPiNHistorical[[#This Row],[WASH Old]]=0, tblPiNHistorical[[#This Row],[WASH New]]="", tblPiNHistorical[[#This Row],[WASH New]]=0), "", tblPiNHistorical[[#This Row],[WASH New]]-tblPiNHistorical[[#This Row],[WASH Old]])</f>
        <v/>
      </c>
      <c r="AQ462" s="139" t="str">
        <f>IFERROR(ROUND((tblPiNHistorical[[#This Row],[Site Management - New]] - tblPiNHistorical[[#This Row],[Site Management - Old]])/tblPiNHistorical[[#This Row],[Site Management - Old]], 1), "")</f>
        <v/>
      </c>
      <c r="AR462" s="140">
        <f>IFERROR(ROUND((tblPiNHistorical[[#This Row],[Education New]]-tblPiNHistorical[[#This Row],[Education Old]])/tblPiNHistorical[[#This Row],[Education Old]], 1), "")</f>
        <v>-1</v>
      </c>
      <c r="AS462" s="141">
        <f>IFERROR(ROUND((tblPiNHistorical[[#This Row],[Food Security and Livlihoods New]]-tblPiNHistorical[[#This Row],[Food Security and Livlihoods Old]])/tblPiNHistorical[[#This Row],[Food Security and Livlihoods Old]], 1), "")</f>
        <v>-1</v>
      </c>
      <c r="AT462" s="142">
        <f>IFERROR(ROUND((tblPiNHistorical[[#This Row],[Health New]]-tblPiNHistorical[[#This Row],[Health Old]])/tblPiNHistorical[[#This Row],[Health Old]], 1), "")</f>
        <v>-1</v>
      </c>
      <c r="AU462" s="140">
        <f>IFERROR(ROUND((tblPiNHistorical[[#This Row],[Nutrition New]]-tblPiNHistorical[[#This Row],[Nutrition Old]])/tblPiNHistorical[[#This Row],[Nutrition Old]], 1), "")</f>
        <v>-1</v>
      </c>
      <c r="AV462" s="140">
        <f>IFERROR(ROUND((tblPiNHistorical[[#This Row],[Protection New]]-tblPiNHistorical[[#This Row],[Protection Old]])/tblPiNHistorical[[#This Row],[Protection Old]], 1), "")</f>
        <v>-1</v>
      </c>
      <c r="AW462" s="84">
        <f>IFERROR(ROUND((tblPiNHistorical[[#This Row],[CP New]]-tblPiNHistorical[[#This Row],[CP Old ]])/tblPiNHistorical[[#This Row],[CP Old ]], 1), "")</f>
        <v>-1</v>
      </c>
      <c r="AX462" s="84">
        <f>IFERROR(ROUND((tblPiNHistorical[[#This Row],[GBV New]]-tblPiNHistorical[[#This Row],[GBV Old]])/tblPiNHistorical[[#This Row],[GBV Old]], 1), "")</f>
        <v>-1</v>
      </c>
      <c r="AY462" s="84">
        <f>IFERROR(ROUND((tblPiNHistorical[[#This Row],[Mine Action New]]-tblPiNHistorical[[#This Row],[Mine Action Old]])/tblPiNHistorical[[#This Row],[Mine Action Old]], 1), "")</f>
        <v>-1</v>
      </c>
      <c r="AZ462" s="140">
        <f>IFERROR(ROUND((tblPiNHistorical[[#This Row],[Shelter NFI New]]-tblPiNHistorical[[#This Row],[Shelter NFI Old]])/tblPiNHistorical[[#This Row],[Shelter NFI Old]], 1), "")</f>
        <v>-1</v>
      </c>
      <c r="BA462" s="31">
        <f>IFERROR(ROUND((tblPiNHistorical[[#This Row],[WASH New]]-tblPiNHistorical[[#This Row],[WASH Old]])/tblPiNHistorical[[#This Row],[WASH Old]], 1), "")</f>
        <v>-1</v>
      </c>
    </row>
    <row r="463" spans="1:53" ht="38.25" x14ac:dyDescent="0.25">
      <c r="A463"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Host CommunitySD02120</v>
      </c>
      <c r="B463" s="134" t="s">
        <v>167</v>
      </c>
      <c r="C463" s="124" t="s">
        <v>119</v>
      </c>
      <c r="D463" s="124" t="s">
        <v>209</v>
      </c>
      <c r="E463" s="59" t="s">
        <v>208</v>
      </c>
      <c r="F463" s="54"/>
      <c r="G463" s="29"/>
      <c r="H463" s="53">
        <v>827</v>
      </c>
      <c r="I463" s="53" t="s">
        <v>87</v>
      </c>
      <c r="J463" s="34">
        <v>0</v>
      </c>
      <c r="K463" s="116">
        <v>320.62790000000001</v>
      </c>
      <c r="L463" s="114">
        <v>827</v>
      </c>
      <c r="M463" s="114">
        <v>827</v>
      </c>
      <c r="N463" s="114">
        <v>58</v>
      </c>
      <c r="O463" s="114">
        <v>262</v>
      </c>
      <c r="P463" s="114">
        <v>91</v>
      </c>
      <c r="Q463" s="114">
        <v>262</v>
      </c>
      <c r="R463" s="114">
        <v>124.05</v>
      </c>
      <c r="S463" s="114">
        <v>0</v>
      </c>
      <c r="T463" s="196">
        <v>812.36210000000005</v>
      </c>
      <c r="U463" s="52">
        <f>IFERROR(INDEX(tblPiNAnalysis[[Site Management ]], MATCH(tblPiNHistorical[[#This Row],[ID]], tblPiNAnalysis[ID], 0)), "")</f>
        <v>0</v>
      </c>
      <c r="V463" s="52">
        <f>IFERROR(INDEX(tblPiNAnalysis[Education], MATCH(tblPiNHistorical[[#This Row],[ID]], tblPiNAnalysis[ID], 0)), "")</f>
        <v>0</v>
      </c>
      <c r="W463" s="28">
        <f>IFERROR(INDEX(tblPiNAnalysis[Food Security and Livlihoods], MATCH(tblPiNHistorical[[#This Row],[ID]], tblPiNAnalysis[ID], 0)), "")</f>
        <v>0</v>
      </c>
      <c r="X463" s="28">
        <f>IFERROR(INDEX(tblPiNAnalysis[[Health ]], MATCH(tblPiNHistorical[[#This Row],[ID]], tblPiNAnalysis[ID], 0)), "")</f>
        <v>0</v>
      </c>
      <c r="Y463" s="28">
        <f>IFERROR(INDEX(tblPiNAnalysis[Nutrition], MATCH(tblPiNHistorical[[#This Row],[ID]], tblPiNAnalysis[ID], 0)), "")</f>
        <v>0</v>
      </c>
      <c r="Z463" s="28">
        <f>IFERROR(INDEX(tblPiNAnalysis[Protection], MATCH(tblPiNHistorical[[#This Row],[ID]], tblPiNAnalysis[ID], 0)), "")</f>
        <v>0</v>
      </c>
      <c r="AA463" s="28">
        <f>IFERROR(INDEX(tblPiNAnalysis[CP], MATCH(tblPiNHistorical[[#This Row],[ID]], tblPiNAnalysis[ID], 0)), "")</f>
        <v>0</v>
      </c>
      <c r="AB463" s="83">
        <f>IFERROR(INDEX(tblPiNAnalysis[GBV], MATCH(tblPiNHistorical[[#This Row],[ID]], tblPiNAnalysis[ID], 0)), "")</f>
        <v>0</v>
      </c>
      <c r="AC463" s="28">
        <f>IFERROR(INDEX(tblPiNAnalysis[Mine Action], MATCH(tblPiNHistorical[[#This Row],[ID]], tblPiNAnalysis[ID], 0)), "")</f>
        <v>0</v>
      </c>
      <c r="AD463" s="83">
        <f>IFERROR(INDEX(tblPiNAnalysis[[Shelter NFI ]], MATCH(tblPiNHistorical[[#This Row],[ID]], tblPiNAnalysis[ID], 0)), "")</f>
        <v>231</v>
      </c>
      <c r="AE463" s="28">
        <f>IFERROR(INDEX(tblPiNAnalysis[WASH], MATCH(tblPiNHistorical[[#This Row],[ID]], tblPiNAnalysis[ID], 0)), "")</f>
        <v>0</v>
      </c>
      <c r="AF463"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463" s="136" t="str">
        <f>IF(OR(tblPiNHistorical[[#This Row],[Education Old]]="", tblPiNHistorical[[#This Row],[Education Old]]=0, tblPiNHistorical[[#This Row],[Education New]]="", tblPiNHistorical[[#This Row],[Education New]]=0), "", tblPiNHistorical[[#This Row],[Education New]]-tblPiNHistorical[[#This Row],[Education Old]])</f>
        <v/>
      </c>
      <c r="AH463"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463" s="137" t="str">
        <f>IF(OR(tblPiNHistorical[[#This Row],[Health Old]]="", tblPiNHistorical[[#This Row],[Health Old]]=0, tblPiNHistorical[[#This Row],[Health New]]="", tblPiNHistorical[[#This Row],[Health New]]=0), "", tblPiNHistorical[[#This Row],[Health New]]-tblPiNHistorical[[#This Row],[Health Old]])</f>
        <v/>
      </c>
      <c r="AJ463" s="136" t="str">
        <f>IF(OR(tblPiNHistorical[[#This Row],[Nutrition Old]]="", tblPiNHistorical[[#This Row],[Nutrition Old]]=0, tblPiNHistorical[[#This Row],[Nutrition New]]="", tblPiNHistorical[[#This Row],[Nutrition New]]=0), "", tblPiNHistorical[[#This Row],[Nutrition New]]-tblPiNHistorical[[#This Row],[Nutrition Old]])</f>
        <v/>
      </c>
      <c r="AK463" s="136" t="str">
        <f>IF(OR(tblPiNHistorical[[#This Row],[Protection Old]]="", tblPiNHistorical[[#This Row],[Protection Old]]=0, tblPiNHistorical[[#This Row],[Protection New]]="", tblPiNHistorical[[#This Row],[Protection New]]=0), "", tblPiNHistorical[[#This Row],[Protection New]]-tblPiNHistorical[[#This Row],[Protection Old]])</f>
        <v/>
      </c>
      <c r="AL463" s="136" t="str">
        <f>IF(OR(tblPiNHistorical[[#This Row],[CP Old ]]="", tblPiNHistorical[[#This Row],[CP Old ]]=0, tblPiNHistorical[[#This Row],[CP New]]="", tblPiNHistorical[[#This Row],[CP New]]=0), "", tblPiNHistorical[[#This Row],[CP New]]-tblPiNHistorical[[#This Row],[CP Old ]])</f>
        <v/>
      </c>
      <c r="AM463" s="83" t="str">
        <f>IF(OR(tblPiNHistorical[[#This Row],[GBV Old]]="", tblPiNHistorical[[#This Row],[GBV Old]]=0, tblPiNHistorical[[#This Row],[GBV New]]="", tblPiNHistorical[[#This Row],[GBV New]]=0), "", tblPiNHistorical[[#This Row],[GBV New]]-tblPiNHistorical[[#This Row],[GBV Old]])</f>
        <v/>
      </c>
      <c r="AN463" s="83" t="str">
        <f>IF(OR(tblPiNHistorical[[#This Row],[Mine Action Old]]="", tblPiNHistorical[[#This Row],[Mine Action Old]]=0, tblPiNHistorical[[#This Row],[Mine Action New]]="", tblPiNHistorical[[#This Row],[Mine Action New]]=0), "", tblPiNHistorical[[#This Row],[Mine Action New]]-tblPiNHistorical[[#This Row],[Mine Action Old]])</f>
        <v/>
      </c>
      <c r="AO463" s="136" t="str">
        <f>IF(OR(tblPiNHistorical[[#This Row],[Shelter NFI Old]]="", tblPiNHistorical[[#This Row],[Shelter NFI Old]]=0, tblPiNHistorical[[#This Row],[Shelter NFI New]]="", tblPiNHistorical[[#This Row],[Shelter NFI New]]=0), "", tblPiNHistorical[[#This Row],[Shelter NFI New]]-tblPiNHistorical[[#This Row],[Shelter NFI Old]])</f>
        <v/>
      </c>
      <c r="AP463" s="138" t="str">
        <f>IF(OR(tblPiNHistorical[[#This Row],[WASH Old]]="", tblPiNHistorical[[#This Row],[WASH Old]]=0, tblPiNHistorical[[#This Row],[WASH New]]="", tblPiNHistorical[[#This Row],[WASH New]]=0), "", tblPiNHistorical[[#This Row],[WASH New]]-tblPiNHistorical[[#This Row],[WASH Old]])</f>
        <v/>
      </c>
      <c r="AQ463" s="139" t="str">
        <f>IFERROR(ROUND((tblPiNHistorical[[#This Row],[Site Management - New]] - tblPiNHistorical[[#This Row],[Site Management - Old]])/tblPiNHistorical[[#This Row],[Site Management - Old]], 1), "")</f>
        <v/>
      </c>
      <c r="AR463" s="140">
        <f>IFERROR(ROUND((tblPiNHistorical[[#This Row],[Education New]]-tblPiNHistorical[[#This Row],[Education Old]])/tblPiNHistorical[[#This Row],[Education Old]], 1), "")</f>
        <v>-1</v>
      </c>
      <c r="AS463" s="141">
        <f>IFERROR(ROUND((tblPiNHistorical[[#This Row],[Food Security and Livlihoods New]]-tblPiNHistorical[[#This Row],[Food Security and Livlihoods Old]])/tblPiNHistorical[[#This Row],[Food Security and Livlihoods Old]], 1), "")</f>
        <v>-1</v>
      </c>
      <c r="AT463" s="142">
        <f>IFERROR(ROUND((tblPiNHistorical[[#This Row],[Health New]]-tblPiNHistorical[[#This Row],[Health Old]])/tblPiNHistorical[[#This Row],[Health Old]], 1), "")</f>
        <v>-1</v>
      </c>
      <c r="AU463" s="140">
        <f>IFERROR(ROUND((tblPiNHistorical[[#This Row],[Nutrition New]]-tblPiNHistorical[[#This Row],[Nutrition Old]])/tblPiNHistorical[[#This Row],[Nutrition Old]], 1), "")</f>
        <v>-1</v>
      </c>
      <c r="AV463" s="140">
        <f>IFERROR(ROUND((tblPiNHistorical[[#This Row],[Protection New]]-tblPiNHistorical[[#This Row],[Protection Old]])/tblPiNHistorical[[#This Row],[Protection Old]], 1), "")</f>
        <v>-1</v>
      </c>
      <c r="AW463" s="84">
        <f>IFERROR(ROUND((tblPiNHistorical[[#This Row],[CP New]]-tblPiNHistorical[[#This Row],[CP Old ]])/tblPiNHistorical[[#This Row],[CP Old ]], 1), "")</f>
        <v>-1</v>
      </c>
      <c r="AX463" s="84">
        <f>IFERROR(ROUND((tblPiNHistorical[[#This Row],[GBV New]]-tblPiNHistorical[[#This Row],[GBV Old]])/tblPiNHistorical[[#This Row],[GBV Old]], 1), "")</f>
        <v>-1</v>
      </c>
      <c r="AY463" s="84">
        <f>IFERROR(ROUND((tblPiNHistorical[[#This Row],[Mine Action New]]-tblPiNHistorical[[#This Row],[Mine Action Old]])/tblPiNHistorical[[#This Row],[Mine Action Old]], 1), "")</f>
        <v>-1</v>
      </c>
      <c r="AZ463" s="140" t="str">
        <f>IFERROR(ROUND((tblPiNHistorical[[#This Row],[Shelter NFI New]]-tblPiNHistorical[[#This Row],[Shelter NFI Old]])/tblPiNHistorical[[#This Row],[Shelter NFI Old]], 1), "")</f>
        <v/>
      </c>
      <c r="BA463" s="31">
        <f>IFERROR(ROUND((tblPiNHistorical[[#This Row],[WASH New]]-tblPiNHistorical[[#This Row],[WASH Old]])/tblPiNHistorical[[#This Row],[WASH Old]], 1), "")</f>
        <v>-1</v>
      </c>
    </row>
    <row r="464" spans="1:53" ht="38.25" x14ac:dyDescent="0.25">
      <c r="A464"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Host CommunitySD02136</v>
      </c>
      <c r="B464" s="134" t="s">
        <v>167</v>
      </c>
      <c r="C464" s="124" t="s">
        <v>119</v>
      </c>
      <c r="D464" s="124" t="s">
        <v>221</v>
      </c>
      <c r="E464" s="59" t="s">
        <v>220</v>
      </c>
      <c r="F464" s="54"/>
      <c r="G464" s="29"/>
      <c r="H464" s="53">
        <v>750</v>
      </c>
      <c r="I464" s="53" t="s">
        <v>87</v>
      </c>
      <c r="J464" s="34">
        <v>0</v>
      </c>
      <c r="K464" s="116">
        <v>290.77499999999998</v>
      </c>
      <c r="L464" s="114">
        <v>750</v>
      </c>
      <c r="M464" s="114">
        <v>750</v>
      </c>
      <c r="N464" s="114">
        <v>117</v>
      </c>
      <c r="O464" s="114">
        <v>237</v>
      </c>
      <c r="P464" s="114">
        <v>83</v>
      </c>
      <c r="Q464" s="114">
        <v>237</v>
      </c>
      <c r="R464" s="114">
        <v>75</v>
      </c>
      <c r="S464" s="114">
        <v>0</v>
      </c>
      <c r="T464" s="196">
        <v>595.72500000000002</v>
      </c>
      <c r="U464" s="52">
        <f>IFERROR(INDEX(tblPiNAnalysis[[Site Management ]], MATCH(tblPiNHistorical[[#This Row],[ID]], tblPiNAnalysis[ID], 0)), "")</f>
        <v>0</v>
      </c>
      <c r="V464" s="52">
        <f>IFERROR(INDEX(tblPiNAnalysis[Education], MATCH(tblPiNHistorical[[#This Row],[ID]], tblPiNAnalysis[ID], 0)), "")</f>
        <v>0</v>
      </c>
      <c r="W464" s="28">
        <f>IFERROR(INDEX(tblPiNAnalysis[Food Security and Livlihoods], MATCH(tblPiNHistorical[[#This Row],[ID]], tblPiNAnalysis[ID], 0)), "")</f>
        <v>0</v>
      </c>
      <c r="X464" s="28">
        <f>IFERROR(INDEX(tblPiNAnalysis[[Health ]], MATCH(tblPiNHistorical[[#This Row],[ID]], tblPiNAnalysis[ID], 0)), "")</f>
        <v>0</v>
      </c>
      <c r="Y464" s="28">
        <f>IFERROR(INDEX(tblPiNAnalysis[Nutrition], MATCH(tblPiNHistorical[[#This Row],[ID]], tblPiNAnalysis[ID], 0)), "")</f>
        <v>0</v>
      </c>
      <c r="Z464" s="28">
        <f>IFERROR(INDEX(tblPiNAnalysis[Protection], MATCH(tblPiNHistorical[[#This Row],[ID]], tblPiNAnalysis[ID], 0)), "")</f>
        <v>0</v>
      </c>
      <c r="AA464" s="28">
        <f>IFERROR(INDEX(tblPiNAnalysis[CP], MATCH(tblPiNHistorical[[#This Row],[ID]], tblPiNAnalysis[ID], 0)), "")</f>
        <v>0</v>
      </c>
      <c r="AB464" s="83">
        <f>IFERROR(INDEX(tblPiNAnalysis[GBV], MATCH(tblPiNHistorical[[#This Row],[ID]], tblPiNAnalysis[ID], 0)), "")</f>
        <v>0</v>
      </c>
      <c r="AC464" s="28">
        <f>IFERROR(INDEX(tblPiNAnalysis[Mine Action], MATCH(tblPiNHistorical[[#This Row],[ID]], tblPiNAnalysis[ID], 0)), "")</f>
        <v>0</v>
      </c>
      <c r="AD464" s="83">
        <f>IFERROR(INDEX(tblPiNAnalysis[[Shelter NFI ]], MATCH(tblPiNHistorical[[#This Row],[ID]], tblPiNAnalysis[ID], 0)), "")</f>
        <v>19288</v>
      </c>
      <c r="AE464" s="28">
        <f>IFERROR(INDEX(tblPiNAnalysis[WASH], MATCH(tblPiNHistorical[[#This Row],[ID]], tblPiNAnalysis[ID], 0)), "")</f>
        <v>0</v>
      </c>
      <c r="AF464"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464" s="136" t="str">
        <f>IF(OR(tblPiNHistorical[[#This Row],[Education Old]]="", tblPiNHistorical[[#This Row],[Education Old]]=0, tblPiNHistorical[[#This Row],[Education New]]="", tblPiNHistorical[[#This Row],[Education New]]=0), "", tblPiNHistorical[[#This Row],[Education New]]-tblPiNHistorical[[#This Row],[Education Old]])</f>
        <v/>
      </c>
      <c r="AH464"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464" s="137" t="str">
        <f>IF(OR(tblPiNHistorical[[#This Row],[Health Old]]="", tblPiNHistorical[[#This Row],[Health Old]]=0, tblPiNHistorical[[#This Row],[Health New]]="", tblPiNHistorical[[#This Row],[Health New]]=0), "", tblPiNHistorical[[#This Row],[Health New]]-tblPiNHistorical[[#This Row],[Health Old]])</f>
        <v/>
      </c>
      <c r="AJ464" s="136" t="str">
        <f>IF(OR(tblPiNHistorical[[#This Row],[Nutrition Old]]="", tblPiNHistorical[[#This Row],[Nutrition Old]]=0, tblPiNHistorical[[#This Row],[Nutrition New]]="", tblPiNHistorical[[#This Row],[Nutrition New]]=0), "", tblPiNHistorical[[#This Row],[Nutrition New]]-tblPiNHistorical[[#This Row],[Nutrition Old]])</f>
        <v/>
      </c>
      <c r="AK464" s="136" t="str">
        <f>IF(OR(tblPiNHistorical[[#This Row],[Protection Old]]="", tblPiNHistorical[[#This Row],[Protection Old]]=0, tblPiNHistorical[[#This Row],[Protection New]]="", tblPiNHistorical[[#This Row],[Protection New]]=0), "", tblPiNHistorical[[#This Row],[Protection New]]-tblPiNHistorical[[#This Row],[Protection Old]])</f>
        <v/>
      </c>
      <c r="AL464" s="136" t="str">
        <f>IF(OR(tblPiNHistorical[[#This Row],[CP Old ]]="", tblPiNHistorical[[#This Row],[CP Old ]]=0, tblPiNHistorical[[#This Row],[CP New]]="", tblPiNHistorical[[#This Row],[CP New]]=0), "", tblPiNHistorical[[#This Row],[CP New]]-tblPiNHistorical[[#This Row],[CP Old ]])</f>
        <v/>
      </c>
      <c r="AM464" s="83" t="str">
        <f>IF(OR(tblPiNHistorical[[#This Row],[GBV Old]]="", tblPiNHistorical[[#This Row],[GBV Old]]=0, tblPiNHistorical[[#This Row],[GBV New]]="", tblPiNHistorical[[#This Row],[GBV New]]=0), "", tblPiNHistorical[[#This Row],[GBV New]]-tblPiNHistorical[[#This Row],[GBV Old]])</f>
        <v/>
      </c>
      <c r="AN464" s="83" t="str">
        <f>IF(OR(tblPiNHistorical[[#This Row],[Mine Action Old]]="", tblPiNHistorical[[#This Row],[Mine Action Old]]=0, tblPiNHistorical[[#This Row],[Mine Action New]]="", tblPiNHistorical[[#This Row],[Mine Action New]]=0), "", tblPiNHistorical[[#This Row],[Mine Action New]]-tblPiNHistorical[[#This Row],[Mine Action Old]])</f>
        <v/>
      </c>
      <c r="AO464" s="136" t="str">
        <f>IF(OR(tblPiNHistorical[[#This Row],[Shelter NFI Old]]="", tblPiNHistorical[[#This Row],[Shelter NFI Old]]=0, tblPiNHistorical[[#This Row],[Shelter NFI New]]="", tblPiNHistorical[[#This Row],[Shelter NFI New]]=0), "", tblPiNHistorical[[#This Row],[Shelter NFI New]]-tblPiNHistorical[[#This Row],[Shelter NFI Old]])</f>
        <v/>
      </c>
      <c r="AP464" s="138" t="str">
        <f>IF(OR(tblPiNHistorical[[#This Row],[WASH Old]]="", tblPiNHistorical[[#This Row],[WASH Old]]=0, tblPiNHistorical[[#This Row],[WASH New]]="", tblPiNHistorical[[#This Row],[WASH New]]=0), "", tblPiNHistorical[[#This Row],[WASH New]]-tblPiNHistorical[[#This Row],[WASH Old]])</f>
        <v/>
      </c>
      <c r="AQ464" s="139" t="str">
        <f>IFERROR(ROUND((tblPiNHistorical[[#This Row],[Site Management - New]] - tblPiNHistorical[[#This Row],[Site Management - Old]])/tblPiNHistorical[[#This Row],[Site Management - Old]], 1), "")</f>
        <v/>
      </c>
      <c r="AR464" s="140">
        <f>IFERROR(ROUND((tblPiNHistorical[[#This Row],[Education New]]-tblPiNHistorical[[#This Row],[Education Old]])/tblPiNHistorical[[#This Row],[Education Old]], 1), "")</f>
        <v>-1</v>
      </c>
      <c r="AS464" s="141">
        <f>IFERROR(ROUND((tblPiNHistorical[[#This Row],[Food Security and Livlihoods New]]-tblPiNHistorical[[#This Row],[Food Security and Livlihoods Old]])/tblPiNHistorical[[#This Row],[Food Security and Livlihoods Old]], 1), "")</f>
        <v>-1</v>
      </c>
      <c r="AT464" s="142">
        <f>IFERROR(ROUND((tblPiNHistorical[[#This Row],[Health New]]-tblPiNHistorical[[#This Row],[Health Old]])/tblPiNHistorical[[#This Row],[Health Old]], 1), "")</f>
        <v>-1</v>
      </c>
      <c r="AU464" s="140">
        <f>IFERROR(ROUND((tblPiNHistorical[[#This Row],[Nutrition New]]-tblPiNHistorical[[#This Row],[Nutrition Old]])/tblPiNHistorical[[#This Row],[Nutrition Old]], 1), "")</f>
        <v>-1</v>
      </c>
      <c r="AV464" s="140">
        <f>IFERROR(ROUND((tblPiNHistorical[[#This Row],[Protection New]]-tblPiNHistorical[[#This Row],[Protection Old]])/tblPiNHistorical[[#This Row],[Protection Old]], 1), "")</f>
        <v>-1</v>
      </c>
      <c r="AW464" s="84">
        <f>IFERROR(ROUND((tblPiNHistorical[[#This Row],[CP New]]-tblPiNHistorical[[#This Row],[CP Old ]])/tblPiNHistorical[[#This Row],[CP Old ]], 1), "")</f>
        <v>-1</v>
      </c>
      <c r="AX464" s="84">
        <f>IFERROR(ROUND((tblPiNHistorical[[#This Row],[GBV New]]-tblPiNHistorical[[#This Row],[GBV Old]])/tblPiNHistorical[[#This Row],[GBV Old]], 1), "")</f>
        <v>-1</v>
      </c>
      <c r="AY464" s="84">
        <f>IFERROR(ROUND((tblPiNHistorical[[#This Row],[Mine Action New]]-tblPiNHistorical[[#This Row],[Mine Action Old]])/tblPiNHistorical[[#This Row],[Mine Action Old]], 1), "")</f>
        <v>-1</v>
      </c>
      <c r="AZ464" s="140" t="str">
        <f>IFERROR(ROUND((tblPiNHistorical[[#This Row],[Shelter NFI New]]-tblPiNHistorical[[#This Row],[Shelter NFI Old]])/tblPiNHistorical[[#This Row],[Shelter NFI Old]], 1), "")</f>
        <v/>
      </c>
      <c r="BA464" s="31">
        <f>IFERROR(ROUND((tblPiNHistorical[[#This Row],[WASH New]]-tblPiNHistorical[[#This Row],[WASH Old]])/tblPiNHistorical[[#This Row],[WASH Old]], 1), "")</f>
        <v>-1</v>
      </c>
    </row>
    <row r="465" spans="1:53" ht="38.25" x14ac:dyDescent="0.25">
      <c r="A465"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Host CommunitySDTEMP</v>
      </c>
      <c r="B465" s="134" t="s">
        <v>167</v>
      </c>
      <c r="C465" s="124" t="s">
        <v>119</v>
      </c>
      <c r="D465" s="124" t="s">
        <v>231</v>
      </c>
      <c r="E465" s="59" t="s">
        <v>230</v>
      </c>
      <c r="F465" s="54"/>
      <c r="G465" s="29"/>
      <c r="H465" s="53">
        <v>0</v>
      </c>
      <c r="I465" s="53" t="s">
        <v>87</v>
      </c>
      <c r="J465" s="34">
        <v>0</v>
      </c>
      <c r="K465" s="116">
        <v>0</v>
      </c>
      <c r="L465" s="114">
        <v>0</v>
      </c>
      <c r="M465" s="114">
        <v>0</v>
      </c>
      <c r="N465" s="114">
        <v>0</v>
      </c>
      <c r="O465" s="114">
        <v>0</v>
      </c>
      <c r="P465" s="114">
        <v>0</v>
      </c>
      <c r="Q465" s="114">
        <v>0</v>
      </c>
      <c r="R465" s="114">
        <v>0</v>
      </c>
      <c r="S465" s="114">
        <v>0</v>
      </c>
      <c r="T465" s="196">
        <v>0</v>
      </c>
      <c r="U465" s="52" t="str">
        <f>IFERROR(INDEX(tblPiNAnalysis[[Site Management ]], MATCH(tblPiNHistorical[[#This Row],[ID]], tblPiNAnalysis[ID], 0)), "")</f>
        <v/>
      </c>
      <c r="V465" s="52" t="str">
        <f>IFERROR(INDEX(tblPiNAnalysis[Education], MATCH(tblPiNHistorical[[#This Row],[ID]], tblPiNAnalysis[ID], 0)), "")</f>
        <v/>
      </c>
      <c r="W465" s="28" t="str">
        <f>IFERROR(INDEX(tblPiNAnalysis[Food Security and Livlihoods], MATCH(tblPiNHistorical[[#This Row],[ID]], tblPiNAnalysis[ID], 0)), "")</f>
        <v/>
      </c>
      <c r="X465" s="28" t="str">
        <f>IFERROR(INDEX(tblPiNAnalysis[[Health ]], MATCH(tblPiNHistorical[[#This Row],[ID]], tblPiNAnalysis[ID], 0)), "")</f>
        <v/>
      </c>
      <c r="Y465" s="28" t="str">
        <f>IFERROR(INDEX(tblPiNAnalysis[Nutrition], MATCH(tblPiNHistorical[[#This Row],[ID]], tblPiNAnalysis[ID], 0)), "")</f>
        <v/>
      </c>
      <c r="Z465" s="28" t="str">
        <f>IFERROR(INDEX(tblPiNAnalysis[Protection], MATCH(tblPiNHistorical[[#This Row],[ID]], tblPiNAnalysis[ID], 0)), "")</f>
        <v/>
      </c>
      <c r="AA465" s="28" t="str">
        <f>IFERROR(INDEX(tblPiNAnalysis[CP], MATCH(tblPiNHistorical[[#This Row],[ID]], tblPiNAnalysis[ID], 0)), "")</f>
        <v/>
      </c>
      <c r="AB465" s="83" t="str">
        <f>IFERROR(INDEX(tblPiNAnalysis[GBV], MATCH(tblPiNHistorical[[#This Row],[ID]], tblPiNAnalysis[ID], 0)), "")</f>
        <v/>
      </c>
      <c r="AC465" s="28" t="str">
        <f>IFERROR(INDEX(tblPiNAnalysis[Mine Action], MATCH(tblPiNHistorical[[#This Row],[ID]], tblPiNAnalysis[ID], 0)), "")</f>
        <v/>
      </c>
      <c r="AD465" s="83" t="str">
        <f>IFERROR(INDEX(tblPiNAnalysis[[Shelter NFI ]], MATCH(tblPiNHistorical[[#This Row],[ID]], tblPiNAnalysis[ID], 0)), "")</f>
        <v/>
      </c>
      <c r="AE465" s="28" t="str">
        <f>IFERROR(INDEX(tblPiNAnalysis[WASH], MATCH(tblPiNHistorical[[#This Row],[ID]], tblPiNAnalysis[ID], 0)), "")</f>
        <v/>
      </c>
      <c r="AF465"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465" s="136" t="str">
        <f>IF(OR(tblPiNHistorical[[#This Row],[Education Old]]="", tblPiNHistorical[[#This Row],[Education Old]]=0, tblPiNHistorical[[#This Row],[Education New]]="", tblPiNHistorical[[#This Row],[Education New]]=0), "", tblPiNHistorical[[#This Row],[Education New]]-tblPiNHistorical[[#This Row],[Education Old]])</f>
        <v/>
      </c>
      <c r="AH465"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465" s="137" t="str">
        <f>IF(OR(tblPiNHistorical[[#This Row],[Health Old]]="", tblPiNHistorical[[#This Row],[Health Old]]=0, tblPiNHistorical[[#This Row],[Health New]]="", tblPiNHistorical[[#This Row],[Health New]]=0), "", tblPiNHistorical[[#This Row],[Health New]]-tblPiNHistorical[[#This Row],[Health Old]])</f>
        <v/>
      </c>
      <c r="AJ465" s="136" t="str">
        <f>IF(OR(tblPiNHistorical[[#This Row],[Nutrition Old]]="", tblPiNHistorical[[#This Row],[Nutrition Old]]=0, tblPiNHistorical[[#This Row],[Nutrition New]]="", tblPiNHistorical[[#This Row],[Nutrition New]]=0), "", tblPiNHistorical[[#This Row],[Nutrition New]]-tblPiNHistorical[[#This Row],[Nutrition Old]])</f>
        <v/>
      </c>
      <c r="AK465" s="136" t="str">
        <f>IF(OR(tblPiNHistorical[[#This Row],[Protection Old]]="", tblPiNHistorical[[#This Row],[Protection Old]]=0, tblPiNHistorical[[#This Row],[Protection New]]="", tblPiNHistorical[[#This Row],[Protection New]]=0), "", tblPiNHistorical[[#This Row],[Protection New]]-tblPiNHistorical[[#This Row],[Protection Old]])</f>
        <v/>
      </c>
      <c r="AL465" s="136" t="str">
        <f>IF(OR(tblPiNHistorical[[#This Row],[CP Old ]]="", tblPiNHistorical[[#This Row],[CP Old ]]=0, tblPiNHistorical[[#This Row],[CP New]]="", tblPiNHistorical[[#This Row],[CP New]]=0), "", tblPiNHistorical[[#This Row],[CP New]]-tblPiNHistorical[[#This Row],[CP Old ]])</f>
        <v/>
      </c>
      <c r="AM465" s="83" t="str">
        <f>IF(OR(tblPiNHistorical[[#This Row],[GBV Old]]="", tblPiNHistorical[[#This Row],[GBV Old]]=0, tblPiNHistorical[[#This Row],[GBV New]]="", tblPiNHistorical[[#This Row],[GBV New]]=0), "", tblPiNHistorical[[#This Row],[GBV New]]-tblPiNHistorical[[#This Row],[GBV Old]])</f>
        <v/>
      </c>
      <c r="AN465" s="83" t="str">
        <f>IF(OR(tblPiNHistorical[[#This Row],[Mine Action Old]]="", tblPiNHistorical[[#This Row],[Mine Action Old]]=0, tblPiNHistorical[[#This Row],[Mine Action New]]="", tblPiNHistorical[[#This Row],[Mine Action New]]=0), "", tblPiNHistorical[[#This Row],[Mine Action New]]-tblPiNHistorical[[#This Row],[Mine Action Old]])</f>
        <v/>
      </c>
      <c r="AO465" s="136" t="str">
        <f>IF(OR(tblPiNHistorical[[#This Row],[Shelter NFI Old]]="", tblPiNHistorical[[#This Row],[Shelter NFI Old]]=0, tblPiNHistorical[[#This Row],[Shelter NFI New]]="", tblPiNHistorical[[#This Row],[Shelter NFI New]]=0), "", tblPiNHistorical[[#This Row],[Shelter NFI New]]-tblPiNHistorical[[#This Row],[Shelter NFI Old]])</f>
        <v/>
      </c>
      <c r="AP465" s="138" t="str">
        <f>IF(OR(tblPiNHistorical[[#This Row],[WASH Old]]="", tblPiNHistorical[[#This Row],[WASH Old]]=0, tblPiNHistorical[[#This Row],[WASH New]]="", tblPiNHistorical[[#This Row],[WASH New]]=0), "", tblPiNHistorical[[#This Row],[WASH New]]-tblPiNHistorical[[#This Row],[WASH Old]])</f>
        <v/>
      </c>
      <c r="AQ465" s="139" t="str">
        <f>IFERROR(ROUND((tblPiNHistorical[[#This Row],[Site Management - New]] - tblPiNHistorical[[#This Row],[Site Management - Old]])/tblPiNHistorical[[#This Row],[Site Management - Old]], 1), "")</f>
        <v/>
      </c>
      <c r="AR465" s="140" t="str">
        <f>IFERROR(ROUND((tblPiNHistorical[[#This Row],[Education New]]-tblPiNHistorical[[#This Row],[Education Old]])/tblPiNHistorical[[#This Row],[Education Old]], 1), "")</f>
        <v/>
      </c>
      <c r="AS465" s="141" t="str">
        <f>IFERROR(ROUND((tblPiNHistorical[[#This Row],[Food Security and Livlihoods New]]-tblPiNHistorical[[#This Row],[Food Security and Livlihoods Old]])/tblPiNHistorical[[#This Row],[Food Security and Livlihoods Old]], 1), "")</f>
        <v/>
      </c>
      <c r="AT465" s="142" t="str">
        <f>IFERROR(ROUND((tblPiNHistorical[[#This Row],[Health New]]-tblPiNHistorical[[#This Row],[Health Old]])/tblPiNHistorical[[#This Row],[Health Old]], 1), "")</f>
        <v/>
      </c>
      <c r="AU465" s="140" t="str">
        <f>IFERROR(ROUND((tblPiNHistorical[[#This Row],[Nutrition New]]-tblPiNHistorical[[#This Row],[Nutrition Old]])/tblPiNHistorical[[#This Row],[Nutrition Old]], 1), "")</f>
        <v/>
      </c>
      <c r="AV465" s="140" t="str">
        <f>IFERROR(ROUND((tblPiNHistorical[[#This Row],[Protection New]]-tblPiNHistorical[[#This Row],[Protection Old]])/tblPiNHistorical[[#This Row],[Protection Old]], 1), "")</f>
        <v/>
      </c>
      <c r="AW465" s="84" t="str">
        <f>IFERROR(ROUND((tblPiNHistorical[[#This Row],[CP New]]-tblPiNHistorical[[#This Row],[CP Old ]])/tblPiNHistorical[[#This Row],[CP Old ]], 1), "")</f>
        <v/>
      </c>
      <c r="AX465" s="84" t="str">
        <f>IFERROR(ROUND((tblPiNHistorical[[#This Row],[GBV New]]-tblPiNHistorical[[#This Row],[GBV Old]])/tblPiNHistorical[[#This Row],[GBV Old]], 1), "")</f>
        <v/>
      </c>
      <c r="AY465" s="84" t="str">
        <f>IFERROR(ROUND((tblPiNHistorical[[#This Row],[Mine Action New]]-tblPiNHistorical[[#This Row],[Mine Action Old]])/tblPiNHistorical[[#This Row],[Mine Action Old]], 1), "")</f>
        <v/>
      </c>
      <c r="AZ465" s="140" t="str">
        <f>IFERROR(ROUND((tblPiNHistorical[[#This Row],[Shelter NFI New]]-tblPiNHistorical[[#This Row],[Shelter NFI Old]])/tblPiNHistorical[[#This Row],[Shelter NFI Old]], 1), "")</f>
        <v/>
      </c>
      <c r="BA465" s="31" t="str">
        <f>IFERROR(ROUND((tblPiNHistorical[[#This Row],[WASH New]]-tblPiNHistorical[[#This Row],[WASH Old]])/tblPiNHistorical[[#This Row],[WASH Old]], 1), "")</f>
        <v/>
      </c>
    </row>
    <row r="466" spans="1:53" ht="38.25" x14ac:dyDescent="0.25">
      <c r="A466"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Host CommunitySD13030</v>
      </c>
      <c r="B466" s="134" t="s">
        <v>170</v>
      </c>
      <c r="C466" s="124" t="s">
        <v>130</v>
      </c>
      <c r="D466" s="124" t="s">
        <v>466</v>
      </c>
      <c r="E466" s="59" t="s">
        <v>482</v>
      </c>
      <c r="F466" s="54"/>
      <c r="G466" s="29"/>
      <c r="H466" s="53">
        <v>31788</v>
      </c>
      <c r="I466" s="53" t="s">
        <v>87</v>
      </c>
      <c r="J466" s="34">
        <v>0</v>
      </c>
      <c r="K466" s="116">
        <v>12324.2076</v>
      </c>
      <c r="L466" s="114">
        <v>21442</v>
      </c>
      <c r="M466" s="114">
        <v>31788</v>
      </c>
      <c r="N466" s="114">
        <v>2632</v>
      </c>
      <c r="O466" s="114">
        <v>10066</v>
      </c>
      <c r="P466" s="114">
        <v>3497</v>
      </c>
      <c r="Q466" s="114">
        <v>10066</v>
      </c>
      <c r="R466" s="114">
        <v>3178.8</v>
      </c>
      <c r="S466" s="114">
        <v>6358</v>
      </c>
      <c r="T466" s="196">
        <v>25935.8292</v>
      </c>
      <c r="U466" s="52">
        <f>IFERROR(INDEX(tblPiNAnalysis[[Site Management ]], MATCH(tblPiNHistorical[[#This Row],[ID]], tblPiNAnalysis[ID], 0)), "")</f>
        <v>0</v>
      </c>
      <c r="V466" s="52">
        <f>IFERROR(INDEX(tblPiNAnalysis[Education], MATCH(tblPiNHistorical[[#This Row],[ID]], tblPiNAnalysis[ID], 0)), "")</f>
        <v>0</v>
      </c>
      <c r="W466" s="28">
        <f>IFERROR(INDEX(tblPiNAnalysis[Food Security and Livlihoods], MATCH(tblPiNHistorical[[#This Row],[ID]], tblPiNAnalysis[ID], 0)), "")</f>
        <v>0</v>
      </c>
      <c r="X466" s="28">
        <f>IFERROR(INDEX(tblPiNAnalysis[[Health ]], MATCH(tblPiNHistorical[[#This Row],[ID]], tblPiNAnalysis[ID], 0)), "")</f>
        <v>0</v>
      </c>
      <c r="Y466" s="28">
        <f>IFERROR(INDEX(tblPiNAnalysis[Nutrition], MATCH(tblPiNHistorical[[#This Row],[ID]], tblPiNAnalysis[ID], 0)), "")</f>
        <v>0</v>
      </c>
      <c r="Z466" s="28">
        <f>IFERROR(INDEX(tblPiNAnalysis[Protection], MATCH(tblPiNHistorical[[#This Row],[ID]], tblPiNAnalysis[ID], 0)), "")</f>
        <v>0</v>
      </c>
      <c r="AA466" s="28">
        <f>IFERROR(INDEX(tblPiNAnalysis[CP], MATCH(tblPiNHistorical[[#This Row],[ID]], tblPiNAnalysis[ID], 0)), "")</f>
        <v>0</v>
      </c>
      <c r="AB466" s="83">
        <f>IFERROR(INDEX(tblPiNAnalysis[GBV], MATCH(tblPiNHistorical[[#This Row],[ID]], tblPiNAnalysis[ID], 0)), "")</f>
        <v>0</v>
      </c>
      <c r="AC466" s="28">
        <f>IFERROR(INDEX(tblPiNAnalysis[Mine Action], MATCH(tblPiNHistorical[[#This Row],[ID]], tblPiNAnalysis[ID], 0)), "")</f>
        <v>0</v>
      </c>
      <c r="AD466" s="83">
        <f>IFERROR(INDEX(tblPiNAnalysis[[Shelter NFI ]], MATCH(tblPiNHistorical[[#This Row],[ID]], tblPiNAnalysis[ID], 0)), "")</f>
        <v>18156</v>
      </c>
      <c r="AE466" s="28">
        <f>IFERROR(INDEX(tblPiNAnalysis[WASH], MATCH(tblPiNHistorical[[#This Row],[ID]], tblPiNAnalysis[ID], 0)), "")</f>
        <v>0</v>
      </c>
      <c r="AF466"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466" s="136" t="str">
        <f>IF(OR(tblPiNHistorical[[#This Row],[Education Old]]="", tblPiNHistorical[[#This Row],[Education Old]]=0, tblPiNHistorical[[#This Row],[Education New]]="", tblPiNHistorical[[#This Row],[Education New]]=0), "", tblPiNHistorical[[#This Row],[Education New]]-tblPiNHistorical[[#This Row],[Education Old]])</f>
        <v/>
      </c>
      <c r="AH466"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466" s="137" t="str">
        <f>IF(OR(tblPiNHistorical[[#This Row],[Health Old]]="", tblPiNHistorical[[#This Row],[Health Old]]=0, tblPiNHistorical[[#This Row],[Health New]]="", tblPiNHistorical[[#This Row],[Health New]]=0), "", tblPiNHistorical[[#This Row],[Health New]]-tblPiNHistorical[[#This Row],[Health Old]])</f>
        <v/>
      </c>
      <c r="AJ466" s="136" t="str">
        <f>IF(OR(tblPiNHistorical[[#This Row],[Nutrition Old]]="", tblPiNHistorical[[#This Row],[Nutrition Old]]=0, tblPiNHistorical[[#This Row],[Nutrition New]]="", tblPiNHistorical[[#This Row],[Nutrition New]]=0), "", tblPiNHistorical[[#This Row],[Nutrition New]]-tblPiNHistorical[[#This Row],[Nutrition Old]])</f>
        <v/>
      </c>
      <c r="AK466" s="136" t="str">
        <f>IF(OR(tblPiNHistorical[[#This Row],[Protection Old]]="", tblPiNHistorical[[#This Row],[Protection Old]]=0, tblPiNHistorical[[#This Row],[Protection New]]="", tblPiNHistorical[[#This Row],[Protection New]]=0), "", tblPiNHistorical[[#This Row],[Protection New]]-tblPiNHistorical[[#This Row],[Protection Old]])</f>
        <v/>
      </c>
      <c r="AL466" s="136" t="str">
        <f>IF(OR(tblPiNHistorical[[#This Row],[CP Old ]]="", tblPiNHistorical[[#This Row],[CP Old ]]=0, tblPiNHistorical[[#This Row],[CP New]]="", tblPiNHistorical[[#This Row],[CP New]]=0), "", tblPiNHistorical[[#This Row],[CP New]]-tblPiNHistorical[[#This Row],[CP Old ]])</f>
        <v/>
      </c>
      <c r="AM466" s="83" t="str">
        <f>IF(OR(tblPiNHistorical[[#This Row],[GBV Old]]="", tblPiNHistorical[[#This Row],[GBV Old]]=0, tblPiNHistorical[[#This Row],[GBV New]]="", tblPiNHistorical[[#This Row],[GBV New]]=0), "", tblPiNHistorical[[#This Row],[GBV New]]-tblPiNHistorical[[#This Row],[GBV Old]])</f>
        <v/>
      </c>
      <c r="AN466" s="83" t="str">
        <f>IF(OR(tblPiNHistorical[[#This Row],[Mine Action Old]]="", tblPiNHistorical[[#This Row],[Mine Action Old]]=0, tblPiNHistorical[[#This Row],[Mine Action New]]="", tblPiNHistorical[[#This Row],[Mine Action New]]=0), "", tblPiNHistorical[[#This Row],[Mine Action New]]-tblPiNHistorical[[#This Row],[Mine Action Old]])</f>
        <v/>
      </c>
      <c r="AO466" s="136">
        <f>IF(OR(tblPiNHistorical[[#This Row],[Shelter NFI Old]]="", tblPiNHistorical[[#This Row],[Shelter NFI Old]]=0, tblPiNHistorical[[#This Row],[Shelter NFI New]]="", tblPiNHistorical[[#This Row],[Shelter NFI New]]=0), "", tblPiNHistorical[[#This Row],[Shelter NFI New]]-tblPiNHistorical[[#This Row],[Shelter NFI Old]])</f>
        <v>11798</v>
      </c>
      <c r="AP466" s="138" t="str">
        <f>IF(OR(tblPiNHistorical[[#This Row],[WASH Old]]="", tblPiNHistorical[[#This Row],[WASH Old]]=0, tblPiNHistorical[[#This Row],[WASH New]]="", tblPiNHistorical[[#This Row],[WASH New]]=0), "", tblPiNHistorical[[#This Row],[WASH New]]-tblPiNHistorical[[#This Row],[WASH Old]])</f>
        <v/>
      </c>
      <c r="AQ466" s="139" t="str">
        <f>IFERROR(ROUND((tblPiNHistorical[[#This Row],[Site Management - New]] - tblPiNHistorical[[#This Row],[Site Management - Old]])/tblPiNHistorical[[#This Row],[Site Management - Old]], 1), "")</f>
        <v/>
      </c>
      <c r="AR466" s="140">
        <f>IFERROR(ROUND((tblPiNHistorical[[#This Row],[Education New]]-tblPiNHistorical[[#This Row],[Education Old]])/tblPiNHistorical[[#This Row],[Education Old]], 1), "")</f>
        <v>-1</v>
      </c>
      <c r="AS466" s="141">
        <f>IFERROR(ROUND((tblPiNHistorical[[#This Row],[Food Security and Livlihoods New]]-tblPiNHistorical[[#This Row],[Food Security and Livlihoods Old]])/tblPiNHistorical[[#This Row],[Food Security and Livlihoods Old]], 1), "")</f>
        <v>-1</v>
      </c>
      <c r="AT466" s="142">
        <f>IFERROR(ROUND((tblPiNHistorical[[#This Row],[Health New]]-tblPiNHistorical[[#This Row],[Health Old]])/tblPiNHistorical[[#This Row],[Health Old]], 1), "")</f>
        <v>-1</v>
      </c>
      <c r="AU466" s="140">
        <f>IFERROR(ROUND((tblPiNHistorical[[#This Row],[Nutrition New]]-tblPiNHistorical[[#This Row],[Nutrition Old]])/tblPiNHistorical[[#This Row],[Nutrition Old]], 1), "")</f>
        <v>-1</v>
      </c>
      <c r="AV466" s="140">
        <f>IFERROR(ROUND((tblPiNHistorical[[#This Row],[Protection New]]-tblPiNHistorical[[#This Row],[Protection Old]])/tblPiNHistorical[[#This Row],[Protection Old]], 1), "")</f>
        <v>-1</v>
      </c>
      <c r="AW466" s="84">
        <f>IFERROR(ROUND((tblPiNHistorical[[#This Row],[CP New]]-tblPiNHistorical[[#This Row],[CP Old ]])/tblPiNHistorical[[#This Row],[CP Old ]], 1), "")</f>
        <v>-1</v>
      </c>
      <c r="AX466" s="84">
        <f>IFERROR(ROUND((tblPiNHistorical[[#This Row],[GBV New]]-tblPiNHistorical[[#This Row],[GBV Old]])/tblPiNHistorical[[#This Row],[GBV Old]], 1), "")</f>
        <v>-1</v>
      </c>
      <c r="AY466" s="84">
        <f>IFERROR(ROUND((tblPiNHistorical[[#This Row],[Mine Action New]]-tblPiNHistorical[[#This Row],[Mine Action Old]])/tblPiNHistorical[[#This Row],[Mine Action Old]], 1), "")</f>
        <v>-1</v>
      </c>
      <c r="AZ466" s="140">
        <f>IFERROR(ROUND((tblPiNHistorical[[#This Row],[Shelter NFI New]]-tblPiNHistorical[[#This Row],[Shelter NFI Old]])/tblPiNHistorical[[#This Row],[Shelter NFI Old]], 1), "")</f>
        <v>1.9</v>
      </c>
      <c r="BA466" s="31">
        <f>IFERROR(ROUND((tblPiNHistorical[[#This Row],[WASH New]]-tblPiNHistorical[[#This Row],[WASH Old]])/tblPiNHistorical[[#This Row],[WASH Old]], 1), "")</f>
        <v>-1</v>
      </c>
    </row>
    <row r="467" spans="1:53" ht="38.25" x14ac:dyDescent="0.25">
      <c r="A467"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Host CommunitySD13026</v>
      </c>
      <c r="B467" s="134" t="s">
        <v>170</v>
      </c>
      <c r="C467" s="124" t="s">
        <v>130</v>
      </c>
      <c r="D467" s="124" t="s">
        <v>474</v>
      </c>
      <c r="E467" s="59" t="s">
        <v>475</v>
      </c>
      <c r="F467" s="54"/>
      <c r="G467" s="29"/>
      <c r="H467" s="53">
        <v>7868</v>
      </c>
      <c r="I467" s="53" t="s">
        <v>87</v>
      </c>
      <c r="J467" s="34">
        <v>0</v>
      </c>
      <c r="K467" s="116">
        <v>0</v>
      </c>
      <c r="L467" s="114">
        <v>3757</v>
      </c>
      <c r="M467" s="114">
        <v>7868</v>
      </c>
      <c r="N467" s="114">
        <v>717</v>
      </c>
      <c r="O467" s="114">
        <v>2076</v>
      </c>
      <c r="P467" s="114">
        <v>865</v>
      </c>
      <c r="Q467" s="114">
        <v>2076</v>
      </c>
      <c r="R467" s="114">
        <v>0</v>
      </c>
      <c r="S467" s="114">
        <v>0</v>
      </c>
      <c r="T467" s="196">
        <v>6877.4187999999995</v>
      </c>
      <c r="U467" s="52">
        <f>IFERROR(INDEX(tblPiNAnalysis[[Site Management ]], MATCH(tblPiNHistorical[[#This Row],[ID]], tblPiNAnalysis[ID], 0)), "")</f>
        <v>0</v>
      </c>
      <c r="V467" s="52">
        <f>IFERROR(INDEX(tblPiNAnalysis[Education], MATCH(tblPiNHistorical[[#This Row],[ID]], tblPiNAnalysis[ID], 0)), "")</f>
        <v>0</v>
      </c>
      <c r="W467" s="28">
        <f>IFERROR(INDEX(tblPiNAnalysis[Food Security and Livlihoods], MATCH(tblPiNHistorical[[#This Row],[ID]], tblPiNAnalysis[ID], 0)), "")</f>
        <v>0</v>
      </c>
      <c r="X467" s="28">
        <f>IFERROR(INDEX(tblPiNAnalysis[[Health ]], MATCH(tblPiNHistorical[[#This Row],[ID]], tblPiNAnalysis[ID], 0)), "")</f>
        <v>0</v>
      </c>
      <c r="Y467" s="28">
        <f>IFERROR(INDEX(tblPiNAnalysis[Nutrition], MATCH(tblPiNHistorical[[#This Row],[ID]], tblPiNAnalysis[ID], 0)), "")</f>
        <v>0</v>
      </c>
      <c r="Z467" s="28">
        <f>IFERROR(INDEX(tblPiNAnalysis[Protection], MATCH(tblPiNHistorical[[#This Row],[ID]], tblPiNAnalysis[ID], 0)), "")</f>
        <v>0</v>
      </c>
      <c r="AA467" s="28">
        <f>IFERROR(INDEX(tblPiNAnalysis[CP], MATCH(tblPiNHistorical[[#This Row],[ID]], tblPiNAnalysis[ID], 0)), "")</f>
        <v>0</v>
      </c>
      <c r="AB467" s="83">
        <f>IFERROR(INDEX(tblPiNAnalysis[GBV], MATCH(tblPiNHistorical[[#This Row],[ID]], tblPiNAnalysis[ID], 0)), "")</f>
        <v>0</v>
      </c>
      <c r="AC467" s="28">
        <f>IFERROR(INDEX(tblPiNAnalysis[Mine Action], MATCH(tblPiNHistorical[[#This Row],[ID]], tblPiNAnalysis[ID], 0)), "")</f>
        <v>0</v>
      </c>
      <c r="AD467" s="83">
        <f>IFERROR(INDEX(tblPiNAnalysis[[Shelter NFI ]], MATCH(tblPiNHistorical[[#This Row],[ID]], tblPiNAnalysis[ID], 0)), "")</f>
        <v>15506</v>
      </c>
      <c r="AE467" s="28">
        <f>IFERROR(INDEX(tblPiNAnalysis[WASH], MATCH(tblPiNHistorical[[#This Row],[ID]], tblPiNAnalysis[ID], 0)), "")</f>
        <v>0</v>
      </c>
      <c r="AF467"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467" s="136" t="str">
        <f>IF(OR(tblPiNHistorical[[#This Row],[Education Old]]="", tblPiNHistorical[[#This Row],[Education Old]]=0, tblPiNHistorical[[#This Row],[Education New]]="", tblPiNHistorical[[#This Row],[Education New]]=0), "", tblPiNHistorical[[#This Row],[Education New]]-tblPiNHistorical[[#This Row],[Education Old]])</f>
        <v/>
      </c>
      <c r="AH467"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467" s="137" t="str">
        <f>IF(OR(tblPiNHistorical[[#This Row],[Health Old]]="", tblPiNHistorical[[#This Row],[Health Old]]=0, tblPiNHistorical[[#This Row],[Health New]]="", tblPiNHistorical[[#This Row],[Health New]]=0), "", tblPiNHistorical[[#This Row],[Health New]]-tblPiNHistorical[[#This Row],[Health Old]])</f>
        <v/>
      </c>
      <c r="AJ467" s="136" t="str">
        <f>IF(OR(tblPiNHistorical[[#This Row],[Nutrition Old]]="", tblPiNHistorical[[#This Row],[Nutrition Old]]=0, tblPiNHistorical[[#This Row],[Nutrition New]]="", tblPiNHistorical[[#This Row],[Nutrition New]]=0), "", tblPiNHistorical[[#This Row],[Nutrition New]]-tblPiNHistorical[[#This Row],[Nutrition Old]])</f>
        <v/>
      </c>
      <c r="AK467" s="136" t="str">
        <f>IF(OR(tblPiNHistorical[[#This Row],[Protection Old]]="", tblPiNHistorical[[#This Row],[Protection Old]]=0, tblPiNHistorical[[#This Row],[Protection New]]="", tblPiNHistorical[[#This Row],[Protection New]]=0), "", tblPiNHistorical[[#This Row],[Protection New]]-tblPiNHistorical[[#This Row],[Protection Old]])</f>
        <v/>
      </c>
      <c r="AL467" s="136" t="str">
        <f>IF(OR(tblPiNHistorical[[#This Row],[CP Old ]]="", tblPiNHistorical[[#This Row],[CP Old ]]=0, tblPiNHistorical[[#This Row],[CP New]]="", tblPiNHistorical[[#This Row],[CP New]]=0), "", tblPiNHistorical[[#This Row],[CP New]]-tblPiNHistorical[[#This Row],[CP Old ]])</f>
        <v/>
      </c>
      <c r="AM467" s="83" t="str">
        <f>IF(OR(tblPiNHistorical[[#This Row],[GBV Old]]="", tblPiNHistorical[[#This Row],[GBV Old]]=0, tblPiNHistorical[[#This Row],[GBV New]]="", tblPiNHistorical[[#This Row],[GBV New]]=0), "", tblPiNHistorical[[#This Row],[GBV New]]-tblPiNHistorical[[#This Row],[GBV Old]])</f>
        <v/>
      </c>
      <c r="AN467" s="83" t="str">
        <f>IF(OR(tblPiNHistorical[[#This Row],[Mine Action Old]]="", tblPiNHistorical[[#This Row],[Mine Action Old]]=0, tblPiNHistorical[[#This Row],[Mine Action New]]="", tblPiNHistorical[[#This Row],[Mine Action New]]=0), "", tblPiNHistorical[[#This Row],[Mine Action New]]-tblPiNHistorical[[#This Row],[Mine Action Old]])</f>
        <v/>
      </c>
      <c r="AO467" s="136" t="str">
        <f>IF(OR(tblPiNHistorical[[#This Row],[Shelter NFI Old]]="", tblPiNHistorical[[#This Row],[Shelter NFI Old]]=0, tblPiNHistorical[[#This Row],[Shelter NFI New]]="", tblPiNHistorical[[#This Row],[Shelter NFI New]]=0), "", tblPiNHistorical[[#This Row],[Shelter NFI New]]-tblPiNHistorical[[#This Row],[Shelter NFI Old]])</f>
        <v/>
      </c>
      <c r="AP467" s="138" t="str">
        <f>IF(OR(tblPiNHistorical[[#This Row],[WASH Old]]="", tblPiNHistorical[[#This Row],[WASH Old]]=0, tblPiNHistorical[[#This Row],[WASH New]]="", tblPiNHistorical[[#This Row],[WASH New]]=0), "", tblPiNHistorical[[#This Row],[WASH New]]-tblPiNHistorical[[#This Row],[WASH Old]])</f>
        <v/>
      </c>
      <c r="AQ467" s="139" t="str">
        <f>IFERROR(ROUND((tblPiNHistorical[[#This Row],[Site Management - New]] - tblPiNHistorical[[#This Row],[Site Management - Old]])/tblPiNHistorical[[#This Row],[Site Management - Old]], 1), "")</f>
        <v/>
      </c>
      <c r="AR467" s="140" t="str">
        <f>IFERROR(ROUND((tblPiNHistorical[[#This Row],[Education New]]-tblPiNHistorical[[#This Row],[Education Old]])/tblPiNHistorical[[#This Row],[Education Old]], 1), "")</f>
        <v/>
      </c>
      <c r="AS467" s="141">
        <f>IFERROR(ROUND((tblPiNHistorical[[#This Row],[Food Security and Livlihoods New]]-tblPiNHistorical[[#This Row],[Food Security and Livlihoods Old]])/tblPiNHistorical[[#This Row],[Food Security and Livlihoods Old]], 1), "")</f>
        <v>-1</v>
      </c>
      <c r="AT467" s="142">
        <f>IFERROR(ROUND((tblPiNHistorical[[#This Row],[Health New]]-tblPiNHistorical[[#This Row],[Health Old]])/tblPiNHistorical[[#This Row],[Health Old]], 1), "")</f>
        <v>-1</v>
      </c>
      <c r="AU467" s="140">
        <f>IFERROR(ROUND((tblPiNHistorical[[#This Row],[Nutrition New]]-tblPiNHistorical[[#This Row],[Nutrition Old]])/tblPiNHistorical[[#This Row],[Nutrition Old]], 1), "")</f>
        <v>-1</v>
      </c>
      <c r="AV467" s="140">
        <f>IFERROR(ROUND((tblPiNHistorical[[#This Row],[Protection New]]-tblPiNHistorical[[#This Row],[Protection Old]])/tblPiNHistorical[[#This Row],[Protection Old]], 1), "")</f>
        <v>-1</v>
      </c>
      <c r="AW467" s="84">
        <f>IFERROR(ROUND((tblPiNHistorical[[#This Row],[CP New]]-tblPiNHistorical[[#This Row],[CP Old ]])/tblPiNHistorical[[#This Row],[CP Old ]], 1), "")</f>
        <v>-1</v>
      </c>
      <c r="AX467" s="84">
        <f>IFERROR(ROUND((tblPiNHistorical[[#This Row],[GBV New]]-tblPiNHistorical[[#This Row],[GBV Old]])/tblPiNHistorical[[#This Row],[GBV Old]], 1), "")</f>
        <v>-1</v>
      </c>
      <c r="AY467" s="84" t="str">
        <f>IFERROR(ROUND((tblPiNHistorical[[#This Row],[Mine Action New]]-tblPiNHistorical[[#This Row],[Mine Action Old]])/tblPiNHistorical[[#This Row],[Mine Action Old]], 1), "")</f>
        <v/>
      </c>
      <c r="AZ467" s="140" t="str">
        <f>IFERROR(ROUND((tblPiNHistorical[[#This Row],[Shelter NFI New]]-tblPiNHistorical[[#This Row],[Shelter NFI Old]])/tblPiNHistorical[[#This Row],[Shelter NFI Old]], 1), "")</f>
        <v/>
      </c>
      <c r="BA467" s="31">
        <f>IFERROR(ROUND((tblPiNHistorical[[#This Row],[WASH New]]-tblPiNHistorical[[#This Row],[WASH Old]])/tblPiNHistorical[[#This Row],[WASH Old]], 1), "")</f>
        <v>-1</v>
      </c>
    </row>
    <row r="468" spans="1:53" ht="38.25" x14ac:dyDescent="0.25">
      <c r="A468"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Host CommunitySD13027</v>
      </c>
      <c r="B468" s="134" t="s">
        <v>170</v>
      </c>
      <c r="C468" s="124" t="s">
        <v>130</v>
      </c>
      <c r="D468" s="124" t="s">
        <v>476</v>
      </c>
      <c r="E468" s="59" t="s">
        <v>477</v>
      </c>
      <c r="F468" s="54"/>
      <c r="G468" s="29"/>
      <c r="H468" s="53">
        <v>3518</v>
      </c>
      <c r="I468" s="53" t="s">
        <v>87</v>
      </c>
      <c r="J468" s="34">
        <v>0</v>
      </c>
      <c r="K468" s="116">
        <v>1363.9286</v>
      </c>
      <c r="L468" s="114">
        <v>3518</v>
      </c>
      <c r="M468" s="114">
        <v>3518</v>
      </c>
      <c r="N468" s="114">
        <v>301</v>
      </c>
      <c r="O468" s="114">
        <v>928</v>
      </c>
      <c r="P468" s="114">
        <v>387</v>
      </c>
      <c r="Q468" s="114">
        <v>928</v>
      </c>
      <c r="R468" s="114">
        <v>0</v>
      </c>
      <c r="S468" s="114">
        <v>704</v>
      </c>
      <c r="T468" s="196">
        <v>3062.4189999999999</v>
      </c>
      <c r="U468" s="52">
        <f>IFERROR(INDEX(tblPiNAnalysis[[Site Management ]], MATCH(tblPiNHistorical[[#This Row],[ID]], tblPiNAnalysis[ID], 0)), "")</f>
        <v>0</v>
      </c>
      <c r="V468" s="52">
        <f>IFERROR(INDEX(tblPiNAnalysis[Education], MATCH(tblPiNHistorical[[#This Row],[ID]], tblPiNAnalysis[ID], 0)), "")</f>
        <v>0</v>
      </c>
      <c r="W468" s="28">
        <f>IFERROR(INDEX(tblPiNAnalysis[Food Security and Livlihoods], MATCH(tblPiNHistorical[[#This Row],[ID]], tblPiNAnalysis[ID], 0)), "")</f>
        <v>0</v>
      </c>
      <c r="X468" s="28">
        <f>IFERROR(INDEX(tblPiNAnalysis[[Health ]], MATCH(tblPiNHistorical[[#This Row],[ID]], tblPiNAnalysis[ID], 0)), "")</f>
        <v>0</v>
      </c>
      <c r="Y468" s="28">
        <f>IFERROR(INDEX(tblPiNAnalysis[Nutrition], MATCH(tblPiNHistorical[[#This Row],[ID]], tblPiNAnalysis[ID], 0)), "")</f>
        <v>0</v>
      </c>
      <c r="Z468" s="28">
        <f>IFERROR(INDEX(tblPiNAnalysis[Protection], MATCH(tblPiNHistorical[[#This Row],[ID]], tblPiNAnalysis[ID], 0)), "")</f>
        <v>0</v>
      </c>
      <c r="AA468" s="28">
        <f>IFERROR(INDEX(tblPiNAnalysis[CP], MATCH(tblPiNHistorical[[#This Row],[ID]], tblPiNAnalysis[ID], 0)), "")</f>
        <v>0</v>
      </c>
      <c r="AB468" s="83">
        <f>IFERROR(INDEX(tblPiNAnalysis[GBV], MATCH(tblPiNHistorical[[#This Row],[ID]], tblPiNAnalysis[ID], 0)), "")</f>
        <v>0</v>
      </c>
      <c r="AC468" s="28">
        <f>IFERROR(INDEX(tblPiNAnalysis[Mine Action], MATCH(tblPiNHistorical[[#This Row],[ID]], tblPiNAnalysis[ID], 0)), "")</f>
        <v>0</v>
      </c>
      <c r="AD468" s="83">
        <f>IFERROR(INDEX(tblPiNAnalysis[[Shelter NFI ]], MATCH(tblPiNHistorical[[#This Row],[ID]], tblPiNAnalysis[ID], 0)), "")</f>
        <v>4540</v>
      </c>
      <c r="AE468" s="28">
        <f>IFERROR(INDEX(tblPiNAnalysis[WASH], MATCH(tblPiNHistorical[[#This Row],[ID]], tblPiNAnalysis[ID], 0)), "")</f>
        <v>0</v>
      </c>
      <c r="AF468"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468" s="136" t="str">
        <f>IF(OR(tblPiNHistorical[[#This Row],[Education Old]]="", tblPiNHistorical[[#This Row],[Education Old]]=0, tblPiNHistorical[[#This Row],[Education New]]="", tblPiNHistorical[[#This Row],[Education New]]=0), "", tblPiNHistorical[[#This Row],[Education New]]-tblPiNHistorical[[#This Row],[Education Old]])</f>
        <v/>
      </c>
      <c r="AH468"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468" s="137" t="str">
        <f>IF(OR(tblPiNHistorical[[#This Row],[Health Old]]="", tblPiNHistorical[[#This Row],[Health Old]]=0, tblPiNHistorical[[#This Row],[Health New]]="", tblPiNHistorical[[#This Row],[Health New]]=0), "", tblPiNHistorical[[#This Row],[Health New]]-tblPiNHistorical[[#This Row],[Health Old]])</f>
        <v/>
      </c>
      <c r="AJ468" s="136" t="str">
        <f>IF(OR(tblPiNHistorical[[#This Row],[Nutrition Old]]="", tblPiNHistorical[[#This Row],[Nutrition Old]]=0, tblPiNHistorical[[#This Row],[Nutrition New]]="", tblPiNHistorical[[#This Row],[Nutrition New]]=0), "", tblPiNHistorical[[#This Row],[Nutrition New]]-tblPiNHistorical[[#This Row],[Nutrition Old]])</f>
        <v/>
      </c>
      <c r="AK468" s="136" t="str">
        <f>IF(OR(tblPiNHistorical[[#This Row],[Protection Old]]="", tblPiNHistorical[[#This Row],[Protection Old]]=0, tblPiNHistorical[[#This Row],[Protection New]]="", tblPiNHistorical[[#This Row],[Protection New]]=0), "", tblPiNHistorical[[#This Row],[Protection New]]-tblPiNHistorical[[#This Row],[Protection Old]])</f>
        <v/>
      </c>
      <c r="AL468" s="136" t="str">
        <f>IF(OR(tblPiNHistorical[[#This Row],[CP Old ]]="", tblPiNHistorical[[#This Row],[CP Old ]]=0, tblPiNHistorical[[#This Row],[CP New]]="", tblPiNHistorical[[#This Row],[CP New]]=0), "", tblPiNHistorical[[#This Row],[CP New]]-tblPiNHistorical[[#This Row],[CP Old ]])</f>
        <v/>
      </c>
      <c r="AM468" s="83" t="str">
        <f>IF(OR(tblPiNHistorical[[#This Row],[GBV Old]]="", tblPiNHistorical[[#This Row],[GBV Old]]=0, tblPiNHistorical[[#This Row],[GBV New]]="", tblPiNHistorical[[#This Row],[GBV New]]=0), "", tblPiNHistorical[[#This Row],[GBV New]]-tblPiNHistorical[[#This Row],[GBV Old]])</f>
        <v/>
      </c>
      <c r="AN468" s="83" t="str">
        <f>IF(OR(tblPiNHistorical[[#This Row],[Mine Action Old]]="", tblPiNHistorical[[#This Row],[Mine Action Old]]=0, tblPiNHistorical[[#This Row],[Mine Action New]]="", tblPiNHistorical[[#This Row],[Mine Action New]]=0), "", tblPiNHistorical[[#This Row],[Mine Action New]]-tblPiNHistorical[[#This Row],[Mine Action Old]])</f>
        <v/>
      </c>
      <c r="AO468" s="136">
        <f>IF(OR(tblPiNHistorical[[#This Row],[Shelter NFI Old]]="", tblPiNHistorical[[#This Row],[Shelter NFI Old]]=0, tblPiNHistorical[[#This Row],[Shelter NFI New]]="", tblPiNHistorical[[#This Row],[Shelter NFI New]]=0), "", tblPiNHistorical[[#This Row],[Shelter NFI New]]-tblPiNHistorical[[#This Row],[Shelter NFI Old]])</f>
        <v>3836</v>
      </c>
      <c r="AP468" s="138" t="str">
        <f>IF(OR(tblPiNHistorical[[#This Row],[WASH Old]]="", tblPiNHistorical[[#This Row],[WASH Old]]=0, tblPiNHistorical[[#This Row],[WASH New]]="", tblPiNHistorical[[#This Row],[WASH New]]=0), "", tblPiNHistorical[[#This Row],[WASH New]]-tblPiNHistorical[[#This Row],[WASH Old]])</f>
        <v/>
      </c>
      <c r="AQ468" s="139" t="str">
        <f>IFERROR(ROUND((tblPiNHistorical[[#This Row],[Site Management - New]] - tblPiNHistorical[[#This Row],[Site Management - Old]])/tblPiNHistorical[[#This Row],[Site Management - Old]], 1), "")</f>
        <v/>
      </c>
      <c r="AR468" s="140">
        <f>IFERROR(ROUND((tblPiNHistorical[[#This Row],[Education New]]-tblPiNHistorical[[#This Row],[Education Old]])/tblPiNHistorical[[#This Row],[Education Old]], 1), "")</f>
        <v>-1</v>
      </c>
      <c r="AS468" s="141">
        <f>IFERROR(ROUND((tblPiNHistorical[[#This Row],[Food Security and Livlihoods New]]-tblPiNHistorical[[#This Row],[Food Security and Livlihoods Old]])/tblPiNHistorical[[#This Row],[Food Security and Livlihoods Old]], 1), "")</f>
        <v>-1</v>
      </c>
      <c r="AT468" s="142">
        <f>IFERROR(ROUND((tblPiNHistorical[[#This Row],[Health New]]-tblPiNHistorical[[#This Row],[Health Old]])/tblPiNHistorical[[#This Row],[Health Old]], 1), "")</f>
        <v>-1</v>
      </c>
      <c r="AU468" s="140">
        <f>IFERROR(ROUND((tblPiNHistorical[[#This Row],[Nutrition New]]-tblPiNHistorical[[#This Row],[Nutrition Old]])/tblPiNHistorical[[#This Row],[Nutrition Old]], 1), "")</f>
        <v>-1</v>
      </c>
      <c r="AV468" s="140">
        <f>IFERROR(ROUND((tblPiNHistorical[[#This Row],[Protection New]]-tblPiNHistorical[[#This Row],[Protection Old]])/tblPiNHistorical[[#This Row],[Protection Old]], 1), "")</f>
        <v>-1</v>
      </c>
      <c r="AW468" s="84">
        <f>IFERROR(ROUND((tblPiNHistorical[[#This Row],[CP New]]-tblPiNHistorical[[#This Row],[CP Old ]])/tblPiNHistorical[[#This Row],[CP Old ]], 1), "")</f>
        <v>-1</v>
      </c>
      <c r="AX468" s="84">
        <f>IFERROR(ROUND((tblPiNHistorical[[#This Row],[GBV New]]-tblPiNHistorical[[#This Row],[GBV Old]])/tblPiNHistorical[[#This Row],[GBV Old]], 1), "")</f>
        <v>-1</v>
      </c>
      <c r="AY468" s="84" t="str">
        <f>IFERROR(ROUND((tblPiNHistorical[[#This Row],[Mine Action New]]-tblPiNHistorical[[#This Row],[Mine Action Old]])/tblPiNHistorical[[#This Row],[Mine Action Old]], 1), "")</f>
        <v/>
      </c>
      <c r="AZ468" s="140">
        <f>IFERROR(ROUND((tblPiNHistorical[[#This Row],[Shelter NFI New]]-tblPiNHistorical[[#This Row],[Shelter NFI Old]])/tblPiNHistorical[[#This Row],[Shelter NFI Old]], 1), "")</f>
        <v>5.4</v>
      </c>
      <c r="BA468" s="31">
        <f>IFERROR(ROUND((tblPiNHistorical[[#This Row],[WASH New]]-tblPiNHistorical[[#This Row],[WASH Old]])/tblPiNHistorical[[#This Row],[WASH Old]], 1), "")</f>
        <v>-1</v>
      </c>
    </row>
    <row r="469" spans="1:53" ht="38.25" x14ac:dyDescent="0.25">
      <c r="A469"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Host CommunitySD13029</v>
      </c>
      <c r="B469" s="134" t="s">
        <v>170</v>
      </c>
      <c r="C469" s="124" t="s">
        <v>130</v>
      </c>
      <c r="D469" s="124" t="s">
        <v>480</v>
      </c>
      <c r="E469" s="59" t="s">
        <v>481</v>
      </c>
      <c r="F469" s="54"/>
      <c r="G469" s="29"/>
      <c r="H469" s="53">
        <v>5613</v>
      </c>
      <c r="I469" s="53" t="s">
        <v>87</v>
      </c>
      <c r="J469" s="34">
        <v>0</v>
      </c>
      <c r="K469" s="116">
        <v>0</v>
      </c>
      <c r="L469" s="114">
        <v>3757</v>
      </c>
      <c r="M469" s="114">
        <v>5613</v>
      </c>
      <c r="N469" s="114">
        <v>721</v>
      </c>
      <c r="O469" s="114">
        <v>1482</v>
      </c>
      <c r="P469" s="114">
        <v>617</v>
      </c>
      <c r="Q469" s="114">
        <v>1482</v>
      </c>
      <c r="R469" s="114">
        <v>0</v>
      </c>
      <c r="S469" s="114">
        <v>1123</v>
      </c>
      <c r="T469" s="196">
        <v>3860.6214</v>
      </c>
      <c r="U469" s="52">
        <f>IFERROR(INDEX(tblPiNAnalysis[[Site Management ]], MATCH(tblPiNHistorical[[#This Row],[ID]], tblPiNAnalysis[ID], 0)), "")</f>
        <v>0</v>
      </c>
      <c r="V469" s="52">
        <f>IFERROR(INDEX(tblPiNAnalysis[Education], MATCH(tblPiNHistorical[[#This Row],[ID]], tblPiNAnalysis[ID], 0)), "")</f>
        <v>0</v>
      </c>
      <c r="W469" s="28">
        <f>IFERROR(INDEX(tblPiNAnalysis[Food Security and Livlihoods], MATCH(tblPiNHistorical[[#This Row],[ID]], tblPiNAnalysis[ID], 0)), "")</f>
        <v>0</v>
      </c>
      <c r="X469" s="28">
        <f>IFERROR(INDEX(tblPiNAnalysis[[Health ]], MATCH(tblPiNHistorical[[#This Row],[ID]], tblPiNAnalysis[ID], 0)), "")</f>
        <v>0</v>
      </c>
      <c r="Y469" s="28">
        <f>IFERROR(INDEX(tblPiNAnalysis[Nutrition], MATCH(tblPiNHistorical[[#This Row],[ID]], tblPiNAnalysis[ID], 0)), "")</f>
        <v>0</v>
      </c>
      <c r="Z469" s="28">
        <f>IFERROR(INDEX(tblPiNAnalysis[Protection], MATCH(tblPiNHistorical[[#This Row],[ID]], tblPiNAnalysis[ID], 0)), "")</f>
        <v>0</v>
      </c>
      <c r="AA469" s="28">
        <f>IFERROR(INDEX(tblPiNAnalysis[CP], MATCH(tblPiNHistorical[[#This Row],[ID]], tblPiNAnalysis[ID], 0)), "")</f>
        <v>0</v>
      </c>
      <c r="AB469" s="83">
        <f>IFERROR(INDEX(tblPiNAnalysis[GBV], MATCH(tblPiNHistorical[[#This Row],[ID]], tblPiNAnalysis[ID], 0)), "")</f>
        <v>0</v>
      </c>
      <c r="AC469" s="28">
        <f>IFERROR(INDEX(tblPiNAnalysis[Mine Action], MATCH(tblPiNHistorical[[#This Row],[ID]], tblPiNAnalysis[ID], 0)), "")</f>
        <v>0</v>
      </c>
      <c r="AD469" s="83">
        <f>IFERROR(INDEX(tblPiNAnalysis[[Shelter NFI ]], MATCH(tblPiNHistorical[[#This Row],[ID]], tblPiNAnalysis[ID], 0)), "")</f>
        <v>2489</v>
      </c>
      <c r="AE469" s="28">
        <f>IFERROR(INDEX(tblPiNAnalysis[WASH], MATCH(tblPiNHistorical[[#This Row],[ID]], tblPiNAnalysis[ID], 0)), "")</f>
        <v>0</v>
      </c>
      <c r="AF469"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469" s="136" t="str">
        <f>IF(OR(tblPiNHistorical[[#This Row],[Education Old]]="", tblPiNHistorical[[#This Row],[Education Old]]=0, tblPiNHistorical[[#This Row],[Education New]]="", tblPiNHistorical[[#This Row],[Education New]]=0), "", tblPiNHistorical[[#This Row],[Education New]]-tblPiNHistorical[[#This Row],[Education Old]])</f>
        <v/>
      </c>
      <c r="AH469"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469" s="137" t="str">
        <f>IF(OR(tblPiNHistorical[[#This Row],[Health Old]]="", tblPiNHistorical[[#This Row],[Health Old]]=0, tblPiNHistorical[[#This Row],[Health New]]="", tblPiNHistorical[[#This Row],[Health New]]=0), "", tblPiNHistorical[[#This Row],[Health New]]-tblPiNHistorical[[#This Row],[Health Old]])</f>
        <v/>
      </c>
      <c r="AJ469" s="136" t="str">
        <f>IF(OR(tblPiNHistorical[[#This Row],[Nutrition Old]]="", tblPiNHistorical[[#This Row],[Nutrition Old]]=0, tblPiNHistorical[[#This Row],[Nutrition New]]="", tblPiNHistorical[[#This Row],[Nutrition New]]=0), "", tblPiNHistorical[[#This Row],[Nutrition New]]-tblPiNHistorical[[#This Row],[Nutrition Old]])</f>
        <v/>
      </c>
      <c r="AK469" s="136" t="str">
        <f>IF(OR(tblPiNHistorical[[#This Row],[Protection Old]]="", tblPiNHistorical[[#This Row],[Protection Old]]=0, tblPiNHistorical[[#This Row],[Protection New]]="", tblPiNHistorical[[#This Row],[Protection New]]=0), "", tblPiNHistorical[[#This Row],[Protection New]]-tblPiNHistorical[[#This Row],[Protection Old]])</f>
        <v/>
      </c>
      <c r="AL469" s="136" t="str">
        <f>IF(OR(tblPiNHistorical[[#This Row],[CP Old ]]="", tblPiNHistorical[[#This Row],[CP Old ]]=0, tblPiNHistorical[[#This Row],[CP New]]="", tblPiNHistorical[[#This Row],[CP New]]=0), "", tblPiNHistorical[[#This Row],[CP New]]-tblPiNHistorical[[#This Row],[CP Old ]])</f>
        <v/>
      </c>
      <c r="AM469" s="83" t="str">
        <f>IF(OR(tblPiNHistorical[[#This Row],[GBV Old]]="", tblPiNHistorical[[#This Row],[GBV Old]]=0, tblPiNHistorical[[#This Row],[GBV New]]="", tblPiNHistorical[[#This Row],[GBV New]]=0), "", tblPiNHistorical[[#This Row],[GBV New]]-tblPiNHistorical[[#This Row],[GBV Old]])</f>
        <v/>
      </c>
      <c r="AN469" s="83" t="str">
        <f>IF(OR(tblPiNHistorical[[#This Row],[Mine Action Old]]="", tblPiNHistorical[[#This Row],[Mine Action Old]]=0, tblPiNHistorical[[#This Row],[Mine Action New]]="", tblPiNHistorical[[#This Row],[Mine Action New]]=0), "", tblPiNHistorical[[#This Row],[Mine Action New]]-tblPiNHistorical[[#This Row],[Mine Action Old]])</f>
        <v/>
      </c>
      <c r="AO469" s="136">
        <f>IF(OR(tblPiNHistorical[[#This Row],[Shelter NFI Old]]="", tblPiNHistorical[[#This Row],[Shelter NFI Old]]=0, tblPiNHistorical[[#This Row],[Shelter NFI New]]="", tblPiNHistorical[[#This Row],[Shelter NFI New]]=0), "", tblPiNHistorical[[#This Row],[Shelter NFI New]]-tblPiNHistorical[[#This Row],[Shelter NFI Old]])</f>
        <v>1366</v>
      </c>
      <c r="AP469" s="138" t="str">
        <f>IF(OR(tblPiNHistorical[[#This Row],[WASH Old]]="", tblPiNHistorical[[#This Row],[WASH Old]]=0, tblPiNHistorical[[#This Row],[WASH New]]="", tblPiNHistorical[[#This Row],[WASH New]]=0), "", tblPiNHistorical[[#This Row],[WASH New]]-tblPiNHistorical[[#This Row],[WASH Old]])</f>
        <v/>
      </c>
      <c r="AQ469" s="139" t="str">
        <f>IFERROR(ROUND((tblPiNHistorical[[#This Row],[Site Management - New]] - tblPiNHistorical[[#This Row],[Site Management - Old]])/tblPiNHistorical[[#This Row],[Site Management - Old]], 1), "")</f>
        <v/>
      </c>
      <c r="AR469" s="140" t="str">
        <f>IFERROR(ROUND((tblPiNHistorical[[#This Row],[Education New]]-tblPiNHistorical[[#This Row],[Education Old]])/tblPiNHistorical[[#This Row],[Education Old]], 1), "")</f>
        <v/>
      </c>
      <c r="AS469" s="141">
        <f>IFERROR(ROUND((tblPiNHistorical[[#This Row],[Food Security and Livlihoods New]]-tblPiNHistorical[[#This Row],[Food Security and Livlihoods Old]])/tblPiNHistorical[[#This Row],[Food Security and Livlihoods Old]], 1), "")</f>
        <v>-1</v>
      </c>
      <c r="AT469" s="142">
        <f>IFERROR(ROUND((tblPiNHistorical[[#This Row],[Health New]]-tblPiNHistorical[[#This Row],[Health Old]])/tblPiNHistorical[[#This Row],[Health Old]], 1), "")</f>
        <v>-1</v>
      </c>
      <c r="AU469" s="140">
        <f>IFERROR(ROUND((tblPiNHistorical[[#This Row],[Nutrition New]]-tblPiNHistorical[[#This Row],[Nutrition Old]])/tblPiNHistorical[[#This Row],[Nutrition Old]], 1), "")</f>
        <v>-1</v>
      </c>
      <c r="AV469" s="140">
        <f>IFERROR(ROUND((tblPiNHistorical[[#This Row],[Protection New]]-tblPiNHistorical[[#This Row],[Protection Old]])/tblPiNHistorical[[#This Row],[Protection Old]], 1), "")</f>
        <v>-1</v>
      </c>
      <c r="AW469" s="84">
        <f>IFERROR(ROUND((tblPiNHistorical[[#This Row],[CP New]]-tblPiNHistorical[[#This Row],[CP Old ]])/tblPiNHistorical[[#This Row],[CP Old ]], 1), "")</f>
        <v>-1</v>
      </c>
      <c r="AX469" s="84">
        <f>IFERROR(ROUND((tblPiNHistorical[[#This Row],[GBV New]]-tblPiNHistorical[[#This Row],[GBV Old]])/tblPiNHistorical[[#This Row],[GBV Old]], 1), "")</f>
        <v>-1</v>
      </c>
      <c r="AY469" s="84" t="str">
        <f>IFERROR(ROUND((tblPiNHistorical[[#This Row],[Mine Action New]]-tblPiNHistorical[[#This Row],[Mine Action Old]])/tblPiNHistorical[[#This Row],[Mine Action Old]], 1), "")</f>
        <v/>
      </c>
      <c r="AZ469" s="140">
        <f>IFERROR(ROUND((tblPiNHistorical[[#This Row],[Shelter NFI New]]-tblPiNHistorical[[#This Row],[Shelter NFI Old]])/tblPiNHistorical[[#This Row],[Shelter NFI Old]], 1), "")</f>
        <v>1.2</v>
      </c>
      <c r="BA469" s="31">
        <f>IFERROR(ROUND((tblPiNHistorical[[#This Row],[WASH New]]-tblPiNHistorical[[#This Row],[WASH Old]])/tblPiNHistorical[[#This Row],[WASH Old]], 1), "")</f>
        <v>-1</v>
      </c>
    </row>
    <row r="470" spans="1:53" ht="38.25" x14ac:dyDescent="0.25">
      <c r="A470"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Host CommunitySD13024</v>
      </c>
      <c r="B470" s="134" t="s">
        <v>170</v>
      </c>
      <c r="C470" s="124" t="s">
        <v>130</v>
      </c>
      <c r="D470" s="124" t="s">
        <v>470</v>
      </c>
      <c r="E470" s="59" t="s">
        <v>471</v>
      </c>
      <c r="F470" s="54"/>
      <c r="G470" s="29"/>
      <c r="H470" s="53">
        <v>30729.200000000001</v>
      </c>
      <c r="I470" s="53" t="s">
        <v>87</v>
      </c>
      <c r="J470" s="34">
        <v>0</v>
      </c>
      <c r="K470" s="116">
        <v>11913.71084</v>
      </c>
      <c r="L470" s="114">
        <v>30729</v>
      </c>
      <c r="M470" s="114">
        <v>30729</v>
      </c>
      <c r="N470" s="114">
        <v>3013</v>
      </c>
      <c r="O470" s="114">
        <v>10542</v>
      </c>
      <c r="P470" s="114">
        <v>3380</v>
      </c>
      <c r="Q470" s="114">
        <v>10542</v>
      </c>
      <c r="R470" s="114">
        <v>3072.92</v>
      </c>
      <c r="S470" s="114">
        <v>6146</v>
      </c>
      <c r="T470" s="196">
        <v>16513.872080000001</v>
      </c>
      <c r="U470" s="52">
        <f>IFERROR(INDEX(tblPiNAnalysis[[Site Management ]], MATCH(tblPiNHistorical[[#This Row],[ID]], tblPiNAnalysis[ID], 0)), "")</f>
        <v>0</v>
      </c>
      <c r="V470" s="52">
        <f>IFERROR(INDEX(tblPiNAnalysis[Education], MATCH(tblPiNHistorical[[#This Row],[ID]], tblPiNAnalysis[ID], 0)), "")</f>
        <v>0</v>
      </c>
      <c r="W470" s="28">
        <f>IFERROR(INDEX(tblPiNAnalysis[Food Security and Livlihoods], MATCH(tblPiNHistorical[[#This Row],[ID]], tblPiNAnalysis[ID], 0)), "")</f>
        <v>0</v>
      </c>
      <c r="X470" s="28">
        <f>IFERROR(INDEX(tblPiNAnalysis[[Health ]], MATCH(tblPiNHistorical[[#This Row],[ID]], tblPiNAnalysis[ID], 0)), "")</f>
        <v>0</v>
      </c>
      <c r="Y470" s="28">
        <f>IFERROR(INDEX(tblPiNAnalysis[Nutrition], MATCH(tblPiNHistorical[[#This Row],[ID]], tblPiNAnalysis[ID], 0)), "")</f>
        <v>0</v>
      </c>
      <c r="Z470" s="28">
        <f>IFERROR(INDEX(tblPiNAnalysis[Protection], MATCH(tblPiNHistorical[[#This Row],[ID]], tblPiNAnalysis[ID], 0)), "")</f>
        <v>0</v>
      </c>
      <c r="AA470" s="28">
        <f>IFERROR(INDEX(tblPiNAnalysis[CP], MATCH(tblPiNHistorical[[#This Row],[ID]], tblPiNAnalysis[ID], 0)), "")</f>
        <v>0</v>
      </c>
      <c r="AB470" s="83">
        <f>IFERROR(INDEX(tblPiNAnalysis[GBV], MATCH(tblPiNHistorical[[#This Row],[ID]], tblPiNAnalysis[ID], 0)), "")</f>
        <v>0</v>
      </c>
      <c r="AC470" s="28">
        <f>IFERROR(INDEX(tblPiNAnalysis[Mine Action], MATCH(tblPiNHistorical[[#This Row],[ID]], tblPiNAnalysis[ID], 0)), "")</f>
        <v>0</v>
      </c>
      <c r="AD470" s="83">
        <f>IFERROR(INDEX(tblPiNAnalysis[[Shelter NFI ]], MATCH(tblPiNHistorical[[#This Row],[ID]], tblPiNAnalysis[ID], 0)), "")</f>
        <v>25947</v>
      </c>
      <c r="AE470" s="28">
        <f>IFERROR(INDEX(tblPiNAnalysis[WASH], MATCH(tblPiNHistorical[[#This Row],[ID]], tblPiNAnalysis[ID], 0)), "")</f>
        <v>0</v>
      </c>
      <c r="AF470"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470" s="136" t="str">
        <f>IF(OR(tblPiNHistorical[[#This Row],[Education Old]]="", tblPiNHistorical[[#This Row],[Education Old]]=0, tblPiNHistorical[[#This Row],[Education New]]="", tblPiNHistorical[[#This Row],[Education New]]=0), "", tblPiNHistorical[[#This Row],[Education New]]-tblPiNHistorical[[#This Row],[Education Old]])</f>
        <v/>
      </c>
      <c r="AH470"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470" s="137" t="str">
        <f>IF(OR(tblPiNHistorical[[#This Row],[Health Old]]="", tblPiNHistorical[[#This Row],[Health Old]]=0, tblPiNHistorical[[#This Row],[Health New]]="", tblPiNHistorical[[#This Row],[Health New]]=0), "", tblPiNHistorical[[#This Row],[Health New]]-tblPiNHistorical[[#This Row],[Health Old]])</f>
        <v/>
      </c>
      <c r="AJ470" s="136" t="str">
        <f>IF(OR(tblPiNHistorical[[#This Row],[Nutrition Old]]="", tblPiNHistorical[[#This Row],[Nutrition Old]]=0, tblPiNHistorical[[#This Row],[Nutrition New]]="", tblPiNHistorical[[#This Row],[Nutrition New]]=0), "", tblPiNHistorical[[#This Row],[Nutrition New]]-tblPiNHistorical[[#This Row],[Nutrition Old]])</f>
        <v/>
      </c>
      <c r="AK470" s="136" t="str">
        <f>IF(OR(tblPiNHistorical[[#This Row],[Protection Old]]="", tblPiNHistorical[[#This Row],[Protection Old]]=0, tblPiNHistorical[[#This Row],[Protection New]]="", tblPiNHistorical[[#This Row],[Protection New]]=0), "", tblPiNHistorical[[#This Row],[Protection New]]-tblPiNHistorical[[#This Row],[Protection Old]])</f>
        <v/>
      </c>
      <c r="AL470" s="136" t="str">
        <f>IF(OR(tblPiNHistorical[[#This Row],[CP Old ]]="", tblPiNHistorical[[#This Row],[CP Old ]]=0, tblPiNHistorical[[#This Row],[CP New]]="", tblPiNHistorical[[#This Row],[CP New]]=0), "", tblPiNHistorical[[#This Row],[CP New]]-tblPiNHistorical[[#This Row],[CP Old ]])</f>
        <v/>
      </c>
      <c r="AM470" s="83" t="str">
        <f>IF(OR(tblPiNHistorical[[#This Row],[GBV Old]]="", tblPiNHistorical[[#This Row],[GBV Old]]=0, tblPiNHistorical[[#This Row],[GBV New]]="", tblPiNHistorical[[#This Row],[GBV New]]=0), "", tblPiNHistorical[[#This Row],[GBV New]]-tblPiNHistorical[[#This Row],[GBV Old]])</f>
        <v/>
      </c>
      <c r="AN470" s="83" t="str">
        <f>IF(OR(tblPiNHistorical[[#This Row],[Mine Action Old]]="", tblPiNHistorical[[#This Row],[Mine Action Old]]=0, tblPiNHistorical[[#This Row],[Mine Action New]]="", tblPiNHistorical[[#This Row],[Mine Action New]]=0), "", tblPiNHistorical[[#This Row],[Mine Action New]]-tblPiNHistorical[[#This Row],[Mine Action Old]])</f>
        <v/>
      </c>
      <c r="AO470" s="136">
        <f>IF(OR(tblPiNHistorical[[#This Row],[Shelter NFI Old]]="", tblPiNHistorical[[#This Row],[Shelter NFI Old]]=0, tblPiNHistorical[[#This Row],[Shelter NFI New]]="", tblPiNHistorical[[#This Row],[Shelter NFI New]]=0), "", tblPiNHistorical[[#This Row],[Shelter NFI New]]-tblPiNHistorical[[#This Row],[Shelter NFI Old]])</f>
        <v>19801</v>
      </c>
      <c r="AP470" s="138" t="str">
        <f>IF(OR(tblPiNHistorical[[#This Row],[WASH Old]]="", tblPiNHistorical[[#This Row],[WASH Old]]=0, tblPiNHistorical[[#This Row],[WASH New]]="", tblPiNHistorical[[#This Row],[WASH New]]=0), "", tblPiNHistorical[[#This Row],[WASH New]]-tblPiNHistorical[[#This Row],[WASH Old]])</f>
        <v/>
      </c>
      <c r="AQ470" s="139" t="str">
        <f>IFERROR(ROUND((tblPiNHistorical[[#This Row],[Site Management - New]] - tblPiNHistorical[[#This Row],[Site Management - Old]])/tblPiNHistorical[[#This Row],[Site Management - Old]], 1), "")</f>
        <v/>
      </c>
      <c r="AR470" s="140">
        <f>IFERROR(ROUND((tblPiNHistorical[[#This Row],[Education New]]-tblPiNHistorical[[#This Row],[Education Old]])/tblPiNHistorical[[#This Row],[Education Old]], 1), "")</f>
        <v>-1</v>
      </c>
      <c r="AS470" s="141">
        <f>IFERROR(ROUND((tblPiNHistorical[[#This Row],[Food Security and Livlihoods New]]-tblPiNHistorical[[#This Row],[Food Security and Livlihoods Old]])/tblPiNHistorical[[#This Row],[Food Security and Livlihoods Old]], 1), "")</f>
        <v>-1</v>
      </c>
      <c r="AT470" s="142">
        <f>IFERROR(ROUND((tblPiNHistorical[[#This Row],[Health New]]-tblPiNHistorical[[#This Row],[Health Old]])/tblPiNHistorical[[#This Row],[Health Old]], 1), "")</f>
        <v>-1</v>
      </c>
      <c r="AU470" s="140">
        <f>IFERROR(ROUND((tblPiNHistorical[[#This Row],[Nutrition New]]-tblPiNHistorical[[#This Row],[Nutrition Old]])/tblPiNHistorical[[#This Row],[Nutrition Old]], 1), "")</f>
        <v>-1</v>
      </c>
      <c r="AV470" s="140">
        <f>IFERROR(ROUND((tblPiNHistorical[[#This Row],[Protection New]]-tblPiNHistorical[[#This Row],[Protection Old]])/tblPiNHistorical[[#This Row],[Protection Old]], 1), "")</f>
        <v>-1</v>
      </c>
      <c r="AW470" s="84">
        <f>IFERROR(ROUND((tblPiNHistorical[[#This Row],[CP New]]-tblPiNHistorical[[#This Row],[CP Old ]])/tblPiNHistorical[[#This Row],[CP Old ]], 1), "")</f>
        <v>-1</v>
      </c>
      <c r="AX470" s="84">
        <f>IFERROR(ROUND((tblPiNHistorical[[#This Row],[GBV New]]-tblPiNHistorical[[#This Row],[GBV Old]])/tblPiNHistorical[[#This Row],[GBV Old]], 1), "")</f>
        <v>-1</v>
      </c>
      <c r="AY470" s="84">
        <f>IFERROR(ROUND((tblPiNHistorical[[#This Row],[Mine Action New]]-tblPiNHistorical[[#This Row],[Mine Action Old]])/tblPiNHistorical[[#This Row],[Mine Action Old]], 1), "")</f>
        <v>-1</v>
      </c>
      <c r="AZ470" s="140">
        <f>IFERROR(ROUND((tblPiNHistorical[[#This Row],[Shelter NFI New]]-tblPiNHistorical[[#This Row],[Shelter NFI Old]])/tblPiNHistorical[[#This Row],[Shelter NFI Old]], 1), "")</f>
        <v>3.2</v>
      </c>
      <c r="BA470" s="31">
        <f>IFERROR(ROUND((tblPiNHistorical[[#This Row],[WASH New]]-tblPiNHistorical[[#This Row],[WASH Old]])/tblPiNHistorical[[#This Row],[WASH Old]], 1), "")</f>
        <v>-1</v>
      </c>
    </row>
    <row r="471" spans="1:53" ht="38.25" x14ac:dyDescent="0.25">
      <c r="A471"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Host CommunitySD13025</v>
      </c>
      <c r="B471" s="134" t="s">
        <v>170</v>
      </c>
      <c r="C471" s="124" t="s">
        <v>130</v>
      </c>
      <c r="D471" s="124" t="s">
        <v>472</v>
      </c>
      <c r="E471" s="59" t="s">
        <v>473</v>
      </c>
      <c r="F471" s="54"/>
      <c r="G471" s="29"/>
      <c r="H471" s="53">
        <v>3630</v>
      </c>
      <c r="I471" s="53" t="s">
        <v>87</v>
      </c>
      <c r="J471" s="34">
        <v>0</v>
      </c>
      <c r="K471" s="116">
        <v>1407.3509999999999</v>
      </c>
      <c r="L471" s="114">
        <v>3630</v>
      </c>
      <c r="M471" s="114">
        <v>3630</v>
      </c>
      <c r="N471" s="114">
        <v>294</v>
      </c>
      <c r="O471" s="114">
        <v>958</v>
      </c>
      <c r="P471" s="114">
        <v>399</v>
      </c>
      <c r="Q471" s="114">
        <v>958</v>
      </c>
      <c r="R471" s="114">
        <v>0</v>
      </c>
      <c r="S471" s="114">
        <v>726</v>
      </c>
      <c r="T471" s="196">
        <v>3452.8560000000002</v>
      </c>
      <c r="U471" s="52">
        <f>IFERROR(INDEX(tblPiNAnalysis[[Site Management ]], MATCH(tblPiNHistorical[[#This Row],[ID]], tblPiNAnalysis[ID], 0)), "")</f>
        <v>0</v>
      </c>
      <c r="V471" s="52">
        <f>IFERROR(INDEX(tblPiNAnalysis[Education], MATCH(tblPiNHistorical[[#This Row],[ID]], tblPiNAnalysis[ID], 0)), "")</f>
        <v>0</v>
      </c>
      <c r="W471" s="28">
        <f>IFERROR(INDEX(tblPiNAnalysis[Food Security and Livlihoods], MATCH(tblPiNHistorical[[#This Row],[ID]], tblPiNAnalysis[ID], 0)), "")</f>
        <v>0</v>
      </c>
      <c r="X471" s="28">
        <f>IFERROR(INDEX(tblPiNAnalysis[[Health ]], MATCH(tblPiNHistorical[[#This Row],[ID]], tblPiNAnalysis[ID], 0)), "")</f>
        <v>0</v>
      </c>
      <c r="Y471" s="28">
        <f>IFERROR(INDEX(tblPiNAnalysis[Nutrition], MATCH(tblPiNHistorical[[#This Row],[ID]], tblPiNAnalysis[ID], 0)), "")</f>
        <v>0</v>
      </c>
      <c r="Z471" s="28">
        <f>IFERROR(INDEX(tblPiNAnalysis[Protection], MATCH(tblPiNHistorical[[#This Row],[ID]], tblPiNAnalysis[ID], 0)), "")</f>
        <v>0</v>
      </c>
      <c r="AA471" s="28">
        <f>IFERROR(INDEX(tblPiNAnalysis[CP], MATCH(tblPiNHistorical[[#This Row],[ID]], tblPiNAnalysis[ID], 0)), "")</f>
        <v>0</v>
      </c>
      <c r="AB471" s="83">
        <f>IFERROR(INDEX(tblPiNAnalysis[GBV], MATCH(tblPiNHistorical[[#This Row],[ID]], tblPiNAnalysis[ID], 0)), "")</f>
        <v>0</v>
      </c>
      <c r="AC471" s="28">
        <f>IFERROR(INDEX(tblPiNAnalysis[Mine Action], MATCH(tblPiNHistorical[[#This Row],[ID]], tblPiNAnalysis[ID], 0)), "")</f>
        <v>0</v>
      </c>
      <c r="AD471" s="83">
        <f>IFERROR(INDEX(tblPiNAnalysis[[Shelter NFI ]], MATCH(tblPiNHistorical[[#This Row],[ID]], tblPiNAnalysis[ID], 0)), "")</f>
        <v>1615</v>
      </c>
      <c r="AE471" s="28">
        <f>IFERROR(INDEX(tblPiNAnalysis[WASH], MATCH(tblPiNHistorical[[#This Row],[ID]], tblPiNAnalysis[ID], 0)), "")</f>
        <v>0</v>
      </c>
      <c r="AF471"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471" s="136" t="str">
        <f>IF(OR(tblPiNHistorical[[#This Row],[Education Old]]="", tblPiNHistorical[[#This Row],[Education Old]]=0, tblPiNHistorical[[#This Row],[Education New]]="", tblPiNHistorical[[#This Row],[Education New]]=0), "", tblPiNHistorical[[#This Row],[Education New]]-tblPiNHistorical[[#This Row],[Education Old]])</f>
        <v/>
      </c>
      <c r="AH471"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471" s="137" t="str">
        <f>IF(OR(tblPiNHistorical[[#This Row],[Health Old]]="", tblPiNHistorical[[#This Row],[Health Old]]=0, tblPiNHistorical[[#This Row],[Health New]]="", tblPiNHistorical[[#This Row],[Health New]]=0), "", tblPiNHistorical[[#This Row],[Health New]]-tblPiNHistorical[[#This Row],[Health Old]])</f>
        <v/>
      </c>
      <c r="AJ471" s="136" t="str">
        <f>IF(OR(tblPiNHistorical[[#This Row],[Nutrition Old]]="", tblPiNHistorical[[#This Row],[Nutrition Old]]=0, tblPiNHistorical[[#This Row],[Nutrition New]]="", tblPiNHistorical[[#This Row],[Nutrition New]]=0), "", tblPiNHistorical[[#This Row],[Nutrition New]]-tblPiNHistorical[[#This Row],[Nutrition Old]])</f>
        <v/>
      </c>
      <c r="AK471" s="136" t="str">
        <f>IF(OR(tblPiNHistorical[[#This Row],[Protection Old]]="", tblPiNHistorical[[#This Row],[Protection Old]]=0, tblPiNHistorical[[#This Row],[Protection New]]="", tblPiNHistorical[[#This Row],[Protection New]]=0), "", tblPiNHistorical[[#This Row],[Protection New]]-tblPiNHistorical[[#This Row],[Protection Old]])</f>
        <v/>
      </c>
      <c r="AL471" s="136" t="str">
        <f>IF(OR(tblPiNHistorical[[#This Row],[CP Old ]]="", tblPiNHistorical[[#This Row],[CP Old ]]=0, tblPiNHistorical[[#This Row],[CP New]]="", tblPiNHistorical[[#This Row],[CP New]]=0), "", tblPiNHistorical[[#This Row],[CP New]]-tblPiNHistorical[[#This Row],[CP Old ]])</f>
        <v/>
      </c>
      <c r="AM471" s="83" t="str">
        <f>IF(OR(tblPiNHistorical[[#This Row],[GBV Old]]="", tblPiNHistorical[[#This Row],[GBV Old]]=0, tblPiNHistorical[[#This Row],[GBV New]]="", tblPiNHistorical[[#This Row],[GBV New]]=0), "", tblPiNHistorical[[#This Row],[GBV New]]-tblPiNHistorical[[#This Row],[GBV Old]])</f>
        <v/>
      </c>
      <c r="AN471" s="83" t="str">
        <f>IF(OR(tblPiNHistorical[[#This Row],[Mine Action Old]]="", tblPiNHistorical[[#This Row],[Mine Action Old]]=0, tblPiNHistorical[[#This Row],[Mine Action New]]="", tblPiNHistorical[[#This Row],[Mine Action New]]=0), "", tblPiNHistorical[[#This Row],[Mine Action New]]-tblPiNHistorical[[#This Row],[Mine Action Old]])</f>
        <v/>
      </c>
      <c r="AO471" s="136">
        <f>IF(OR(tblPiNHistorical[[#This Row],[Shelter NFI Old]]="", tblPiNHistorical[[#This Row],[Shelter NFI Old]]=0, tblPiNHistorical[[#This Row],[Shelter NFI New]]="", tblPiNHistorical[[#This Row],[Shelter NFI New]]=0), "", tblPiNHistorical[[#This Row],[Shelter NFI New]]-tblPiNHistorical[[#This Row],[Shelter NFI Old]])</f>
        <v>889</v>
      </c>
      <c r="AP471" s="138" t="str">
        <f>IF(OR(tblPiNHistorical[[#This Row],[WASH Old]]="", tblPiNHistorical[[#This Row],[WASH Old]]=0, tblPiNHistorical[[#This Row],[WASH New]]="", tblPiNHistorical[[#This Row],[WASH New]]=0), "", tblPiNHistorical[[#This Row],[WASH New]]-tblPiNHistorical[[#This Row],[WASH Old]])</f>
        <v/>
      </c>
      <c r="AQ471" s="139" t="str">
        <f>IFERROR(ROUND((tblPiNHistorical[[#This Row],[Site Management - New]] - tblPiNHistorical[[#This Row],[Site Management - Old]])/tblPiNHistorical[[#This Row],[Site Management - Old]], 1), "")</f>
        <v/>
      </c>
      <c r="AR471" s="140">
        <f>IFERROR(ROUND((tblPiNHistorical[[#This Row],[Education New]]-tblPiNHistorical[[#This Row],[Education Old]])/tblPiNHistorical[[#This Row],[Education Old]], 1), "")</f>
        <v>-1</v>
      </c>
      <c r="AS471" s="141">
        <f>IFERROR(ROUND((tblPiNHistorical[[#This Row],[Food Security and Livlihoods New]]-tblPiNHistorical[[#This Row],[Food Security and Livlihoods Old]])/tblPiNHistorical[[#This Row],[Food Security and Livlihoods Old]], 1), "")</f>
        <v>-1</v>
      </c>
      <c r="AT471" s="142">
        <f>IFERROR(ROUND((tblPiNHistorical[[#This Row],[Health New]]-tblPiNHistorical[[#This Row],[Health Old]])/tblPiNHistorical[[#This Row],[Health Old]], 1), "")</f>
        <v>-1</v>
      </c>
      <c r="AU471" s="140">
        <f>IFERROR(ROUND((tblPiNHistorical[[#This Row],[Nutrition New]]-tblPiNHistorical[[#This Row],[Nutrition Old]])/tblPiNHistorical[[#This Row],[Nutrition Old]], 1), "")</f>
        <v>-1</v>
      </c>
      <c r="AV471" s="140">
        <f>IFERROR(ROUND((tblPiNHistorical[[#This Row],[Protection New]]-tblPiNHistorical[[#This Row],[Protection Old]])/tblPiNHistorical[[#This Row],[Protection Old]], 1), "")</f>
        <v>-1</v>
      </c>
      <c r="AW471" s="84">
        <f>IFERROR(ROUND((tblPiNHistorical[[#This Row],[CP New]]-tblPiNHistorical[[#This Row],[CP Old ]])/tblPiNHistorical[[#This Row],[CP Old ]], 1), "")</f>
        <v>-1</v>
      </c>
      <c r="AX471" s="84">
        <f>IFERROR(ROUND((tblPiNHistorical[[#This Row],[GBV New]]-tblPiNHistorical[[#This Row],[GBV Old]])/tblPiNHistorical[[#This Row],[GBV Old]], 1), "")</f>
        <v>-1</v>
      </c>
      <c r="AY471" s="84" t="str">
        <f>IFERROR(ROUND((tblPiNHistorical[[#This Row],[Mine Action New]]-tblPiNHistorical[[#This Row],[Mine Action Old]])/tblPiNHistorical[[#This Row],[Mine Action Old]], 1), "")</f>
        <v/>
      </c>
      <c r="AZ471" s="140">
        <f>IFERROR(ROUND((tblPiNHistorical[[#This Row],[Shelter NFI New]]-tblPiNHistorical[[#This Row],[Shelter NFI Old]])/tblPiNHistorical[[#This Row],[Shelter NFI Old]], 1), "")</f>
        <v>1.2</v>
      </c>
      <c r="BA471" s="31">
        <f>IFERROR(ROUND((tblPiNHistorical[[#This Row],[WASH New]]-tblPiNHistorical[[#This Row],[WASH Old]])/tblPiNHistorical[[#This Row],[WASH Old]], 1), "")</f>
        <v>-1</v>
      </c>
    </row>
    <row r="472" spans="1:53" ht="38.25" x14ac:dyDescent="0.25">
      <c r="A472"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Host CommunitySD13028</v>
      </c>
      <c r="B472" s="134" t="s">
        <v>170</v>
      </c>
      <c r="C472" s="124" t="s">
        <v>130</v>
      </c>
      <c r="D472" s="124" t="s">
        <v>478</v>
      </c>
      <c r="E472" s="59" t="s">
        <v>479</v>
      </c>
      <c r="F472" s="54"/>
      <c r="G472" s="29"/>
      <c r="H472" s="53">
        <v>7955</v>
      </c>
      <c r="I472" s="53" t="s">
        <v>87</v>
      </c>
      <c r="J472" s="34">
        <v>0</v>
      </c>
      <c r="K472" s="116">
        <v>0</v>
      </c>
      <c r="L472" s="114">
        <v>7955</v>
      </c>
      <c r="M472" s="114">
        <v>7955</v>
      </c>
      <c r="N472" s="114">
        <v>810</v>
      </c>
      <c r="O472" s="114">
        <v>2099</v>
      </c>
      <c r="P472" s="114">
        <v>875</v>
      </c>
      <c r="Q472" s="114">
        <v>2099</v>
      </c>
      <c r="R472" s="114">
        <v>0</v>
      </c>
      <c r="S472" s="114">
        <v>0</v>
      </c>
      <c r="T472" s="196">
        <v>7312.2359999999999</v>
      </c>
      <c r="U472" s="52">
        <f>IFERROR(INDEX(tblPiNAnalysis[[Site Management ]], MATCH(tblPiNHistorical[[#This Row],[ID]], tblPiNAnalysis[ID], 0)), "")</f>
        <v>0</v>
      </c>
      <c r="V472" s="52">
        <f>IFERROR(INDEX(tblPiNAnalysis[Education], MATCH(tblPiNHistorical[[#This Row],[ID]], tblPiNAnalysis[ID], 0)), "")</f>
        <v>0</v>
      </c>
      <c r="W472" s="28">
        <f>IFERROR(INDEX(tblPiNAnalysis[Food Security and Livlihoods], MATCH(tblPiNHistorical[[#This Row],[ID]], tblPiNAnalysis[ID], 0)), "")</f>
        <v>0</v>
      </c>
      <c r="X472" s="28">
        <f>IFERROR(INDEX(tblPiNAnalysis[[Health ]], MATCH(tblPiNHistorical[[#This Row],[ID]], tblPiNAnalysis[ID], 0)), "")</f>
        <v>0</v>
      </c>
      <c r="Y472" s="28">
        <f>IFERROR(INDEX(tblPiNAnalysis[Nutrition], MATCH(tblPiNHistorical[[#This Row],[ID]], tblPiNAnalysis[ID], 0)), "")</f>
        <v>0</v>
      </c>
      <c r="Z472" s="28">
        <f>IFERROR(INDEX(tblPiNAnalysis[Protection], MATCH(tblPiNHistorical[[#This Row],[ID]], tblPiNAnalysis[ID], 0)), "")</f>
        <v>0</v>
      </c>
      <c r="AA472" s="28">
        <f>IFERROR(INDEX(tblPiNAnalysis[CP], MATCH(tblPiNHistorical[[#This Row],[ID]], tblPiNAnalysis[ID], 0)), "")</f>
        <v>0</v>
      </c>
      <c r="AB472" s="83">
        <f>IFERROR(INDEX(tblPiNAnalysis[GBV], MATCH(tblPiNHistorical[[#This Row],[ID]], tblPiNAnalysis[ID], 0)), "")</f>
        <v>0</v>
      </c>
      <c r="AC472" s="28">
        <f>IFERROR(INDEX(tblPiNAnalysis[Mine Action], MATCH(tblPiNHistorical[[#This Row],[ID]], tblPiNAnalysis[ID], 0)), "")</f>
        <v>0</v>
      </c>
      <c r="AD472" s="83">
        <f>IFERROR(INDEX(tblPiNAnalysis[[Shelter NFI ]], MATCH(tblPiNHistorical[[#This Row],[ID]], tblPiNAnalysis[ID], 0)), "")</f>
        <v>4374</v>
      </c>
      <c r="AE472" s="28">
        <f>IFERROR(INDEX(tblPiNAnalysis[WASH], MATCH(tblPiNHistorical[[#This Row],[ID]], tblPiNAnalysis[ID], 0)), "")</f>
        <v>0</v>
      </c>
      <c r="AF472"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472" s="136" t="str">
        <f>IF(OR(tblPiNHistorical[[#This Row],[Education Old]]="", tblPiNHistorical[[#This Row],[Education Old]]=0, tblPiNHistorical[[#This Row],[Education New]]="", tblPiNHistorical[[#This Row],[Education New]]=0), "", tblPiNHistorical[[#This Row],[Education New]]-tblPiNHistorical[[#This Row],[Education Old]])</f>
        <v/>
      </c>
      <c r="AH472"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472" s="137" t="str">
        <f>IF(OR(tblPiNHistorical[[#This Row],[Health Old]]="", tblPiNHistorical[[#This Row],[Health Old]]=0, tblPiNHistorical[[#This Row],[Health New]]="", tblPiNHistorical[[#This Row],[Health New]]=0), "", tblPiNHistorical[[#This Row],[Health New]]-tblPiNHistorical[[#This Row],[Health Old]])</f>
        <v/>
      </c>
      <c r="AJ472" s="136" t="str">
        <f>IF(OR(tblPiNHistorical[[#This Row],[Nutrition Old]]="", tblPiNHistorical[[#This Row],[Nutrition Old]]=0, tblPiNHistorical[[#This Row],[Nutrition New]]="", tblPiNHistorical[[#This Row],[Nutrition New]]=0), "", tblPiNHistorical[[#This Row],[Nutrition New]]-tblPiNHistorical[[#This Row],[Nutrition Old]])</f>
        <v/>
      </c>
      <c r="AK472" s="136" t="str">
        <f>IF(OR(tblPiNHistorical[[#This Row],[Protection Old]]="", tblPiNHistorical[[#This Row],[Protection Old]]=0, tblPiNHistorical[[#This Row],[Protection New]]="", tblPiNHistorical[[#This Row],[Protection New]]=0), "", tblPiNHistorical[[#This Row],[Protection New]]-tblPiNHistorical[[#This Row],[Protection Old]])</f>
        <v/>
      </c>
      <c r="AL472" s="136" t="str">
        <f>IF(OR(tblPiNHistorical[[#This Row],[CP Old ]]="", tblPiNHistorical[[#This Row],[CP Old ]]=0, tblPiNHistorical[[#This Row],[CP New]]="", tblPiNHistorical[[#This Row],[CP New]]=0), "", tblPiNHistorical[[#This Row],[CP New]]-tblPiNHistorical[[#This Row],[CP Old ]])</f>
        <v/>
      </c>
      <c r="AM472" s="83" t="str">
        <f>IF(OR(tblPiNHistorical[[#This Row],[GBV Old]]="", tblPiNHistorical[[#This Row],[GBV Old]]=0, tblPiNHistorical[[#This Row],[GBV New]]="", tblPiNHistorical[[#This Row],[GBV New]]=0), "", tblPiNHistorical[[#This Row],[GBV New]]-tblPiNHistorical[[#This Row],[GBV Old]])</f>
        <v/>
      </c>
      <c r="AN472" s="83" t="str">
        <f>IF(OR(tblPiNHistorical[[#This Row],[Mine Action Old]]="", tblPiNHistorical[[#This Row],[Mine Action Old]]=0, tblPiNHistorical[[#This Row],[Mine Action New]]="", tblPiNHistorical[[#This Row],[Mine Action New]]=0), "", tblPiNHistorical[[#This Row],[Mine Action New]]-tblPiNHistorical[[#This Row],[Mine Action Old]])</f>
        <v/>
      </c>
      <c r="AO472" s="136" t="str">
        <f>IF(OR(tblPiNHistorical[[#This Row],[Shelter NFI Old]]="", tblPiNHistorical[[#This Row],[Shelter NFI Old]]=0, tblPiNHistorical[[#This Row],[Shelter NFI New]]="", tblPiNHistorical[[#This Row],[Shelter NFI New]]=0), "", tblPiNHistorical[[#This Row],[Shelter NFI New]]-tblPiNHistorical[[#This Row],[Shelter NFI Old]])</f>
        <v/>
      </c>
      <c r="AP472" s="138" t="str">
        <f>IF(OR(tblPiNHistorical[[#This Row],[WASH Old]]="", tblPiNHistorical[[#This Row],[WASH Old]]=0, tblPiNHistorical[[#This Row],[WASH New]]="", tblPiNHistorical[[#This Row],[WASH New]]=0), "", tblPiNHistorical[[#This Row],[WASH New]]-tblPiNHistorical[[#This Row],[WASH Old]])</f>
        <v/>
      </c>
      <c r="AQ472" s="139" t="str">
        <f>IFERROR(ROUND((tblPiNHistorical[[#This Row],[Site Management - New]] - tblPiNHistorical[[#This Row],[Site Management - Old]])/tblPiNHistorical[[#This Row],[Site Management - Old]], 1), "")</f>
        <v/>
      </c>
      <c r="AR472" s="140" t="str">
        <f>IFERROR(ROUND((tblPiNHistorical[[#This Row],[Education New]]-tblPiNHistorical[[#This Row],[Education Old]])/tblPiNHistorical[[#This Row],[Education Old]], 1), "")</f>
        <v/>
      </c>
      <c r="AS472" s="141">
        <f>IFERROR(ROUND((tblPiNHistorical[[#This Row],[Food Security and Livlihoods New]]-tblPiNHistorical[[#This Row],[Food Security and Livlihoods Old]])/tblPiNHistorical[[#This Row],[Food Security and Livlihoods Old]], 1), "")</f>
        <v>-1</v>
      </c>
      <c r="AT472" s="142">
        <f>IFERROR(ROUND((tblPiNHistorical[[#This Row],[Health New]]-tblPiNHistorical[[#This Row],[Health Old]])/tblPiNHistorical[[#This Row],[Health Old]], 1), "")</f>
        <v>-1</v>
      </c>
      <c r="AU472" s="140">
        <f>IFERROR(ROUND((tblPiNHistorical[[#This Row],[Nutrition New]]-tblPiNHistorical[[#This Row],[Nutrition Old]])/tblPiNHistorical[[#This Row],[Nutrition Old]], 1), "")</f>
        <v>-1</v>
      </c>
      <c r="AV472" s="140">
        <f>IFERROR(ROUND((tblPiNHistorical[[#This Row],[Protection New]]-tblPiNHistorical[[#This Row],[Protection Old]])/tblPiNHistorical[[#This Row],[Protection Old]], 1), "")</f>
        <v>-1</v>
      </c>
      <c r="AW472" s="84">
        <f>IFERROR(ROUND((tblPiNHistorical[[#This Row],[CP New]]-tblPiNHistorical[[#This Row],[CP Old ]])/tblPiNHistorical[[#This Row],[CP Old ]], 1), "")</f>
        <v>-1</v>
      </c>
      <c r="AX472" s="84">
        <f>IFERROR(ROUND((tblPiNHistorical[[#This Row],[GBV New]]-tblPiNHistorical[[#This Row],[GBV Old]])/tblPiNHistorical[[#This Row],[GBV Old]], 1), "")</f>
        <v>-1</v>
      </c>
      <c r="AY472" s="84" t="str">
        <f>IFERROR(ROUND((tblPiNHistorical[[#This Row],[Mine Action New]]-tblPiNHistorical[[#This Row],[Mine Action Old]])/tblPiNHistorical[[#This Row],[Mine Action Old]], 1), "")</f>
        <v/>
      </c>
      <c r="AZ472" s="140" t="str">
        <f>IFERROR(ROUND((tblPiNHistorical[[#This Row],[Shelter NFI New]]-tblPiNHistorical[[#This Row],[Shelter NFI Old]])/tblPiNHistorical[[#This Row],[Shelter NFI Old]], 1), "")</f>
        <v/>
      </c>
      <c r="BA472" s="31">
        <f>IFERROR(ROUND((tblPiNHistorical[[#This Row],[WASH New]]-tblPiNHistorical[[#This Row],[WASH Old]])/tblPiNHistorical[[#This Row],[WASH Old]], 1), "")</f>
        <v>-1</v>
      </c>
    </row>
    <row r="473" spans="1:53" ht="38.25" x14ac:dyDescent="0.25">
      <c r="A473"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Host CommunitySD13023</v>
      </c>
      <c r="B473" s="134" t="s">
        <v>170</v>
      </c>
      <c r="C473" s="124" t="s">
        <v>130</v>
      </c>
      <c r="D473" s="124" t="s">
        <v>468</v>
      </c>
      <c r="E473" s="59" t="s">
        <v>469</v>
      </c>
      <c r="F473" s="54"/>
      <c r="G473" s="29"/>
      <c r="H473" s="53">
        <v>32604</v>
      </c>
      <c r="I473" s="53" t="s">
        <v>87</v>
      </c>
      <c r="J473" s="34">
        <v>0</v>
      </c>
      <c r="K473" s="116">
        <v>12640.5708</v>
      </c>
      <c r="L473" s="114">
        <v>32604</v>
      </c>
      <c r="M473" s="114">
        <v>32604</v>
      </c>
      <c r="N473" s="114">
        <v>2647</v>
      </c>
      <c r="O473" s="114">
        <v>11184</v>
      </c>
      <c r="P473" s="114">
        <v>3586</v>
      </c>
      <c r="Q473" s="114">
        <v>11184</v>
      </c>
      <c r="R473" s="114">
        <v>3260.4</v>
      </c>
      <c r="S473" s="114">
        <v>6521</v>
      </c>
      <c r="T473" s="196">
        <v>27684.056399999998</v>
      </c>
      <c r="U473" s="52">
        <f>IFERROR(INDEX(tblPiNAnalysis[[Site Management ]], MATCH(tblPiNHistorical[[#This Row],[ID]], tblPiNAnalysis[ID], 0)), "")</f>
        <v>0</v>
      </c>
      <c r="V473" s="52">
        <f>IFERROR(INDEX(tblPiNAnalysis[Education], MATCH(tblPiNHistorical[[#This Row],[ID]], tblPiNAnalysis[ID], 0)), "")</f>
        <v>0</v>
      </c>
      <c r="W473" s="28">
        <f>IFERROR(INDEX(tblPiNAnalysis[Food Security and Livlihoods], MATCH(tblPiNHistorical[[#This Row],[ID]], tblPiNAnalysis[ID], 0)), "")</f>
        <v>0</v>
      </c>
      <c r="X473" s="28">
        <f>IFERROR(INDEX(tblPiNAnalysis[[Health ]], MATCH(tblPiNHistorical[[#This Row],[ID]], tblPiNAnalysis[ID], 0)), "")</f>
        <v>0</v>
      </c>
      <c r="Y473" s="28">
        <f>IFERROR(INDEX(tblPiNAnalysis[Nutrition], MATCH(tblPiNHistorical[[#This Row],[ID]], tblPiNAnalysis[ID], 0)), "")</f>
        <v>0</v>
      </c>
      <c r="Z473" s="28">
        <f>IFERROR(INDEX(tblPiNAnalysis[Protection], MATCH(tblPiNHistorical[[#This Row],[ID]], tblPiNAnalysis[ID], 0)), "")</f>
        <v>0</v>
      </c>
      <c r="AA473" s="28">
        <f>IFERROR(INDEX(tblPiNAnalysis[CP], MATCH(tblPiNHistorical[[#This Row],[ID]], tblPiNAnalysis[ID], 0)), "")</f>
        <v>0</v>
      </c>
      <c r="AB473" s="83">
        <f>IFERROR(INDEX(tblPiNAnalysis[GBV], MATCH(tblPiNHistorical[[#This Row],[ID]], tblPiNAnalysis[ID], 0)), "")</f>
        <v>0</v>
      </c>
      <c r="AC473" s="28">
        <f>IFERROR(INDEX(tblPiNAnalysis[Mine Action], MATCH(tblPiNHistorical[[#This Row],[ID]], tblPiNAnalysis[ID], 0)), "")</f>
        <v>0</v>
      </c>
      <c r="AD473" s="83">
        <f>IFERROR(INDEX(tblPiNAnalysis[[Shelter NFI ]], MATCH(tblPiNHistorical[[#This Row],[ID]], tblPiNAnalysis[ID], 0)), "")</f>
        <v>22586</v>
      </c>
      <c r="AE473" s="28">
        <f>IFERROR(INDEX(tblPiNAnalysis[WASH], MATCH(tblPiNHistorical[[#This Row],[ID]], tblPiNAnalysis[ID], 0)), "")</f>
        <v>0</v>
      </c>
      <c r="AF473"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473" s="136" t="str">
        <f>IF(OR(tblPiNHistorical[[#This Row],[Education Old]]="", tblPiNHistorical[[#This Row],[Education Old]]=0, tblPiNHistorical[[#This Row],[Education New]]="", tblPiNHistorical[[#This Row],[Education New]]=0), "", tblPiNHistorical[[#This Row],[Education New]]-tblPiNHistorical[[#This Row],[Education Old]])</f>
        <v/>
      </c>
      <c r="AH473"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473" s="137" t="str">
        <f>IF(OR(tblPiNHistorical[[#This Row],[Health Old]]="", tblPiNHistorical[[#This Row],[Health Old]]=0, tblPiNHistorical[[#This Row],[Health New]]="", tblPiNHistorical[[#This Row],[Health New]]=0), "", tblPiNHistorical[[#This Row],[Health New]]-tblPiNHistorical[[#This Row],[Health Old]])</f>
        <v/>
      </c>
      <c r="AJ473" s="136" t="str">
        <f>IF(OR(tblPiNHistorical[[#This Row],[Nutrition Old]]="", tblPiNHistorical[[#This Row],[Nutrition Old]]=0, tblPiNHistorical[[#This Row],[Nutrition New]]="", tblPiNHistorical[[#This Row],[Nutrition New]]=0), "", tblPiNHistorical[[#This Row],[Nutrition New]]-tblPiNHistorical[[#This Row],[Nutrition Old]])</f>
        <v/>
      </c>
      <c r="AK473" s="136" t="str">
        <f>IF(OR(tblPiNHistorical[[#This Row],[Protection Old]]="", tblPiNHistorical[[#This Row],[Protection Old]]=0, tblPiNHistorical[[#This Row],[Protection New]]="", tblPiNHistorical[[#This Row],[Protection New]]=0), "", tblPiNHistorical[[#This Row],[Protection New]]-tblPiNHistorical[[#This Row],[Protection Old]])</f>
        <v/>
      </c>
      <c r="AL473" s="136" t="str">
        <f>IF(OR(tblPiNHistorical[[#This Row],[CP Old ]]="", tblPiNHistorical[[#This Row],[CP Old ]]=0, tblPiNHistorical[[#This Row],[CP New]]="", tblPiNHistorical[[#This Row],[CP New]]=0), "", tblPiNHistorical[[#This Row],[CP New]]-tblPiNHistorical[[#This Row],[CP Old ]])</f>
        <v/>
      </c>
      <c r="AM473" s="83" t="str">
        <f>IF(OR(tblPiNHistorical[[#This Row],[GBV Old]]="", tblPiNHistorical[[#This Row],[GBV Old]]=0, tblPiNHistorical[[#This Row],[GBV New]]="", tblPiNHistorical[[#This Row],[GBV New]]=0), "", tblPiNHistorical[[#This Row],[GBV New]]-tblPiNHistorical[[#This Row],[GBV Old]])</f>
        <v/>
      </c>
      <c r="AN473" s="83" t="str">
        <f>IF(OR(tblPiNHistorical[[#This Row],[Mine Action Old]]="", tblPiNHistorical[[#This Row],[Mine Action Old]]=0, tblPiNHistorical[[#This Row],[Mine Action New]]="", tblPiNHistorical[[#This Row],[Mine Action New]]=0), "", tblPiNHistorical[[#This Row],[Mine Action New]]-tblPiNHistorical[[#This Row],[Mine Action Old]])</f>
        <v/>
      </c>
      <c r="AO473" s="136">
        <f>IF(OR(tblPiNHistorical[[#This Row],[Shelter NFI Old]]="", tblPiNHistorical[[#This Row],[Shelter NFI Old]]=0, tblPiNHistorical[[#This Row],[Shelter NFI New]]="", tblPiNHistorical[[#This Row],[Shelter NFI New]]=0), "", tblPiNHistorical[[#This Row],[Shelter NFI New]]-tblPiNHistorical[[#This Row],[Shelter NFI Old]])</f>
        <v>16065</v>
      </c>
      <c r="AP473" s="138" t="str">
        <f>IF(OR(tblPiNHistorical[[#This Row],[WASH Old]]="", tblPiNHistorical[[#This Row],[WASH Old]]=0, tblPiNHistorical[[#This Row],[WASH New]]="", tblPiNHistorical[[#This Row],[WASH New]]=0), "", tblPiNHistorical[[#This Row],[WASH New]]-tblPiNHistorical[[#This Row],[WASH Old]])</f>
        <v/>
      </c>
      <c r="AQ473" s="139" t="str">
        <f>IFERROR(ROUND((tblPiNHistorical[[#This Row],[Site Management - New]] - tblPiNHistorical[[#This Row],[Site Management - Old]])/tblPiNHistorical[[#This Row],[Site Management - Old]], 1), "")</f>
        <v/>
      </c>
      <c r="AR473" s="140">
        <f>IFERROR(ROUND((tblPiNHistorical[[#This Row],[Education New]]-tblPiNHistorical[[#This Row],[Education Old]])/tblPiNHistorical[[#This Row],[Education Old]], 1), "")</f>
        <v>-1</v>
      </c>
      <c r="AS473" s="141">
        <f>IFERROR(ROUND((tblPiNHistorical[[#This Row],[Food Security and Livlihoods New]]-tblPiNHistorical[[#This Row],[Food Security and Livlihoods Old]])/tblPiNHistorical[[#This Row],[Food Security and Livlihoods Old]], 1), "")</f>
        <v>-1</v>
      </c>
      <c r="AT473" s="142">
        <f>IFERROR(ROUND((tblPiNHistorical[[#This Row],[Health New]]-tblPiNHistorical[[#This Row],[Health Old]])/tblPiNHistorical[[#This Row],[Health Old]], 1), "")</f>
        <v>-1</v>
      </c>
      <c r="AU473" s="140">
        <f>IFERROR(ROUND((tblPiNHistorical[[#This Row],[Nutrition New]]-tblPiNHistorical[[#This Row],[Nutrition Old]])/tblPiNHistorical[[#This Row],[Nutrition Old]], 1), "")</f>
        <v>-1</v>
      </c>
      <c r="AV473" s="140">
        <f>IFERROR(ROUND((tblPiNHistorical[[#This Row],[Protection New]]-tblPiNHistorical[[#This Row],[Protection Old]])/tblPiNHistorical[[#This Row],[Protection Old]], 1), "")</f>
        <v>-1</v>
      </c>
      <c r="AW473" s="84">
        <f>IFERROR(ROUND((tblPiNHistorical[[#This Row],[CP New]]-tblPiNHistorical[[#This Row],[CP Old ]])/tblPiNHistorical[[#This Row],[CP Old ]], 1), "")</f>
        <v>-1</v>
      </c>
      <c r="AX473" s="84">
        <f>IFERROR(ROUND((tblPiNHistorical[[#This Row],[GBV New]]-tblPiNHistorical[[#This Row],[GBV Old]])/tblPiNHistorical[[#This Row],[GBV Old]], 1), "")</f>
        <v>-1</v>
      </c>
      <c r="AY473" s="84">
        <f>IFERROR(ROUND((tblPiNHistorical[[#This Row],[Mine Action New]]-tblPiNHistorical[[#This Row],[Mine Action Old]])/tblPiNHistorical[[#This Row],[Mine Action Old]], 1), "")</f>
        <v>-1</v>
      </c>
      <c r="AZ473" s="140">
        <f>IFERROR(ROUND((tblPiNHistorical[[#This Row],[Shelter NFI New]]-tblPiNHistorical[[#This Row],[Shelter NFI Old]])/tblPiNHistorical[[#This Row],[Shelter NFI Old]], 1), "")</f>
        <v>2.5</v>
      </c>
      <c r="BA473" s="31">
        <f>IFERROR(ROUND((tblPiNHistorical[[#This Row],[WASH New]]-tblPiNHistorical[[#This Row],[WASH Old]])/tblPiNHistorical[[#This Row],[WASH Old]], 1), "")</f>
        <v>-1</v>
      </c>
    </row>
    <row r="474" spans="1:53" ht="38.25" x14ac:dyDescent="0.25">
      <c r="A474"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Host CommunitySD17019</v>
      </c>
      <c r="B474" s="134" t="s">
        <v>173</v>
      </c>
      <c r="C474" s="124" t="s">
        <v>134</v>
      </c>
      <c r="D474" s="124" t="s">
        <v>536</v>
      </c>
      <c r="E474" s="59" t="s">
        <v>537</v>
      </c>
      <c r="F474" s="54"/>
      <c r="G474" s="29"/>
      <c r="H474" s="53">
        <v>69820</v>
      </c>
      <c r="I474" s="53" t="s">
        <v>87</v>
      </c>
      <c r="J474" s="34">
        <v>0</v>
      </c>
      <c r="K474" s="116">
        <v>27069.214</v>
      </c>
      <c r="L474" s="114">
        <v>66820</v>
      </c>
      <c r="M474" s="114">
        <v>69820</v>
      </c>
      <c r="N474" s="114">
        <v>5603</v>
      </c>
      <c r="O474" s="114">
        <v>22109</v>
      </c>
      <c r="P474" s="114">
        <v>7680</v>
      </c>
      <c r="Q474" s="114">
        <v>22109</v>
      </c>
      <c r="R474" s="114">
        <v>0</v>
      </c>
      <c r="S474" s="114">
        <v>20946</v>
      </c>
      <c r="T474" s="196">
        <v>15793.284000000005</v>
      </c>
      <c r="U474" s="52">
        <f>IFERROR(INDEX(tblPiNAnalysis[[Site Management ]], MATCH(tblPiNHistorical[[#This Row],[ID]], tblPiNAnalysis[ID], 0)), "")</f>
        <v>0</v>
      </c>
      <c r="V474" s="52">
        <f>IFERROR(INDEX(tblPiNAnalysis[Education], MATCH(tblPiNHistorical[[#This Row],[ID]], tblPiNAnalysis[ID], 0)), "")</f>
        <v>0</v>
      </c>
      <c r="W474" s="28">
        <f>IFERROR(INDEX(tblPiNAnalysis[Food Security and Livlihoods], MATCH(tblPiNHistorical[[#This Row],[ID]], tblPiNAnalysis[ID], 0)), "")</f>
        <v>0</v>
      </c>
      <c r="X474" s="28">
        <f>IFERROR(INDEX(tblPiNAnalysis[[Health ]], MATCH(tblPiNHistorical[[#This Row],[ID]], tblPiNAnalysis[ID], 0)), "")</f>
        <v>0</v>
      </c>
      <c r="Y474" s="28">
        <f>IFERROR(INDEX(tblPiNAnalysis[Nutrition], MATCH(tblPiNHistorical[[#This Row],[ID]], tblPiNAnalysis[ID], 0)), "")</f>
        <v>0</v>
      </c>
      <c r="Z474" s="28">
        <f>IFERROR(INDEX(tblPiNAnalysis[Protection], MATCH(tblPiNHistorical[[#This Row],[ID]], tblPiNAnalysis[ID], 0)), "")</f>
        <v>0</v>
      </c>
      <c r="AA474" s="28">
        <f>IFERROR(INDEX(tblPiNAnalysis[CP], MATCH(tblPiNHistorical[[#This Row],[ID]], tblPiNAnalysis[ID], 0)), "")</f>
        <v>0</v>
      </c>
      <c r="AB474" s="83">
        <f>IFERROR(INDEX(tblPiNAnalysis[GBV], MATCH(tblPiNHistorical[[#This Row],[ID]], tblPiNAnalysis[ID], 0)), "")</f>
        <v>0</v>
      </c>
      <c r="AC474" s="28">
        <f>IFERROR(INDEX(tblPiNAnalysis[Mine Action], MATCH(tblPiNHistorical[[#This Row],[ID]], tblPiNAnalysis[ID], 0)), "")</f>
        <v>0</v>
      </c>
      <c r="AD474" s="83">
        <f>IFERROR(INDEX(tblPiNAnalysis[[Shelter NFI ]], MATCH(tblPiNHistorical[[#This Row],[ID]], tblPiNAnalysis[ID], 0)), "")</f>
        <v>17937</v>
      </c>
      <c r="AE474" s="28">
        <f>IFERROR(INDEX(tblPiNAnalysis[WASH], MATCH(tblPiNHistorical[[#This Row],[ID]], tblPiNAnalysis[ID], 0)), "")</f>
        <v>0</v>
      </c>
      <c r="AF474"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474" s="136" t="str">
        <f>IF(OR(tblPiNHistorical[[#This Row],[Education Old]]="", tblPiNHistorical[[#This Row],[Education Old]]=0, tblPiNHistorical[[#This Row],[Education New]]="", tblPiNHistorical[[#This Row],[Education New]]=0), "", tblPiNHistorical[[#This Row],[Education New]]-tblPiNHistorical[[#This Row],[Education Old]])</f>
        <v/>
      </c>
      <c r="AH474"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474" s="137" t="str">
        <f>IF(OR(tblPiNHistorical[[#This Row],[Health Old]]="", tblPiNHistorical[[#This Row],[Health Old]]=0, tblPiNHistorical[[#This Row],[Health New]]="", tblPiNHistorical[[#This Row],[Health New]]=0), "", tblPiNHistorical[[#This Row],[Health New]]-tblPiNHistorical[[#This Row],[Health Old]])</f>
        <v/>
      </c>
      <c r="AJ474" s="136" t="str">
        <f>IF(OR(tblPiNHistorical[[#This Row],[Nutrition Old]]="", tblPiNHistorical[[#This Row],[Nutrition Old]]=0, tblPiNHistorical[[#This Row],[Nutrition New]]="", tblPiNHistorical[[#This Row],[Nutrition New]]=0), "", tblPiNHistorical[[#This Row],[Nutrition New]]-tblPiNHistorical[[#This Row],[Nutrition Old]])</f>
        <v/>
      </c>
      <c r="AK474" s="136" t="str">
        <f>IF(OR(tblPiNHistorical[[#This Row],[Protection Old]]="", tblPiNHistorical[[#This Row],[Protection Old]]=0, tblPiNHistorical[[#This Row],[Protection New]]="", tblPiNHistorical[[#This Row],[Protection New]]=0), "", tblPiNHistorical[[#This Row],[Protection New]]-tblPiNHistorical[[#This Row],[Protection Old]])</f>
        <v/>
      </c>
      <c r="AL474" s="136" t="str">
        <f>IF(OR(tblPiNHistorical[[#This Row],[CP Old ]]="", tblPiNHistorical[[#This Row],[CP Old ]]=0, tblPiNHistorical[[#This Row],[CP New]]="", tblPiNHistorical[[#This Row],[CP New]]=0), "", tblPiNHistorical[[#This Row],[CP New]]-tblPiNHistorical[[#This Row],[CP Old ]])</f>
        <v/>
      </c>
      <c r="AM474" s="83" t="str">
        <f>IF(OR(tblPiNHistorical[[#This Row],[GBV Old]]="", tblPiNHistorical[[#This Row],[GBV Old]]=0, tblPiNHistorical[[#This Row],[GBV New]]="", tblPiNHistorical[[#This Row],[GBV New]]=0), "", tblPiNHistorical[[#This Row],[GBV New]]-tblPiNHistorical[[#This Row],[GBV Old]])</f>
        <v/>
      </c>
      <c r="AN474" s="83" t="str">
        <f>IF(OR(tblPiNHistorical[[#This Row],[Mine Action Old]]="", tblPiNHistorical[[#This Row],[Mine Action Old]]=0, tblPiNHistorical[[#This Row],[Mine Action New]]="", tblPiNHistorical[[#This Row],[Mine Action New]]=0), "", tblPiNHistorical[[#This Row],[Mine Action New]]-tblPiNHistorical[[#This Row],[Mine Action Old]])</f>
        <v/>
      </c>
      <c r="AO474" s="136">
        <f>IF(OR(tblPiNHistorical[[#This Row],[Shelter NFI Old]]="", tblPiNHistorical[[#This Row],[Shelter NFI Old]]=0, tblPiNHistorical[[#This Row],[Shelter NFI New]]="", tblPiNHistorical[[#This Row],[Shelter NFI New]]=0), "", tblPiNHistorical[[#This Row],[Shelter NFI New]]-tblPiNHistorical[[#This Row],[Shelter NFI Old]])</f>
        <v>-3009</v>
      </c>
      <c r="AP474" s="138" t="str">
        <f>IF(OR(tblPiNHistorical[[#This Row],[WASH Old]]="", tblPiNHistorical[[#This Row],[WASH Old]]=0, tblPiNHistorical[[#This Row],[WASH New]]="", tblPiNHistorical[[#This Row],[WASH New]]=0), "", tblPiNHistorical[[#This Row],[WASH New]]-tblPiNHistorical[[#This Row],[WASH Old]])</f>
        <v/>
      </c>
      <c r="AQ474" s="139" t="str">
        <f>IFERROR(ROUND((tblPiNHistorical[[#This Row],[Site Management - New]] - tblPiNHistorical[[#This Row],[Site Management - Old]])/tblPiNHistorical[[#This Row],[Site Management - Old]], 1), "")</f>
        <v/>
      </c>
      <c r="AR474" s="140">
        <f>IFERROR(ROUND((tblPiNHistorical[[#This Row],[Education New]]-tblPiNHistorical[[#This Row],[Education Old]])/tblPiNHistorical[[#This Row],[Education Old]], 1), "")</f>
        <v>-1</v>
      </c>
      <c r="AS474" s="141">
        <f>IFERROR(ROUND((tblPiNHistorical[[#This Row],[Food Security and Livlihoods New]]-tblPiNHistorical[[#This Row],[Food Security and Livlihoods Old]])/tblPiNHistorical[[#This Row],[Food Security and Livlihoods Old]], 1), "")</f>
        <v>-1</v>
      </c>
      <c r="AT474" s="142">
        <f>IFERROR(ROUND((tblPiNHistorical[[#This Row],[Health New]]-tblPiNHistorical[[#This Row],[Health Old]])/tblPiNHistorical[[#This Row],[Health Old]], 1), "")</f>
        <v>-1</v>
      </c>
      <c r="AU474" s="140">
        <f>IFERROR(ROUND((tblPiNHistorical[[#This Row],[Nutrition New]]-tblPiNHistorical[[#This Row],[Nutrition Old]])/tblPiNHistorical[[#This Row],[Nutrition Old]], 1), "")</f>
        <v>-1</v>
      </c>
      <c r="AV474" s="140">
        <f>IFERROR(ROUND((tblPiNHistorical[[#This Row],[Protection New]]-tblPiNHistorical[[#This Row],[Protection Old]])/tblPiNHistorical[[#This Row],[Protection Old]], 1), "")</f>
        <v>-1</v>
      </c>
      <c r="AW474" s="84">
        <f>IFERROR(ROUND((tblPiNHistorical[[#This Row],[CP New]]-tblPiNHistorical[[#This Row],[CP Old ]])/tblPiNHistorical[[#This Row],[CP Old ]], 1), "")</f>
        <v>-1</v>
      </c>
      <c r="AX474" s="84">
        <f>IFERROR(ROUND((tblPiNHistorical[[#This Row],[GBV New]]-tblPiNHistorical[[#This Row],[GBV Old]])/tblPiNHistorical[[#This Row],[GBV Old]], 1), "")</f>
        <v>-1</v>
      </c>
      <c r="AY474" s="84" t="str">
        <f>IFERROR(ROUND((tblPiNHistorical[[#This Row],[Mine Action New]]-tblPiNHistorical[[#This Row],[Mine Action Old]])/tblPiNHistorical[[#This Row],[Mine Action Old]], 1), "")</f>
        <v/>
      </c>
      <c r="AZ474" s="140">
        <f>IFERROR(ROUND((tblPiNHistorical[[#This Row],[Shelter NFI New]]-tblPiNHistorical[[#This Row],[Shelter NFI Old]])/tblPiNHistorical[[#This Row],[Shelter NFI Old]], 1), "")</f>
        <v>-0.1</v>
      </c>
      <c r="BA474" s="31">
        <f>IFERROR(ROUND((tblPiNHistorical[[#This Row],[WASH New]]-tblPiNHistorical[[#This Row],[WASH Old]])/tblPiNHistorical[[#This Row],[WASH Old]], 1), "")</f>
        <v>-1</v>
      </c>
    </row>
    <row r="475" spans="1:53" ht="38.25" x14ac:dyDescent="0.25">
      <c r="A475"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Host CommunitySD17016</v>
      </c>
      <c r="B475" s="134" t="s">
        <v>173</v>
      </c>
      <c r="C475" s="124" t="s">
        <v>134</v>
      </c>
      <c r="D475" s="124" t="s">
        <v>530</v>
      </c>
      <c r="E475" s="59" t="s">
        <v>531</v>
      </c>
      <c r="F475" s="54"/>
      <c r="G475" s="29"/>
      <c r="H475" s="53">
        <v>44302</v>
      </c>
      <c r="I475" s="53" t="s">
        <v>87</v>
      </c>
      <c r="J475" s="34">
        <v>0</v>
      </c>
      <c r="K475" s="116">
        <v>17175.885399999999</v>
      </c>
      <c r="L475" s="114">
        <v>8860.4</v>
      </c>
      <c r="M475" s="114">
        <v>44302</v>
      </c>
      <c r="N475" s="114">
        <v>3727</v>
      </c>
      <c r="O475" s="114">
        <v>14028</v>
      </c>
      <c r="P475" s="114">
        <v>4873</v>
      </c>
      <c r="Q475" s="114">
        <v>14028</v>
      </c>
      <c r="R475" s="114">
        <v>0</v>
      </c>
      <c r="S475" s="114">
        <v>8860</v>
      </c>
      <c r="T475" s="196">
        <v>11252.708000000004</v>
      </c>
      <c r="U475" s="52">
        <f>IFERROR(INDEX(tblPiNAnalysis[[Site Management ]], MATCH(tblPiNHistorical[[#This Row],[ID]], tblPiNAnalysis[ID], 0)), "")</f>
        <v>0</v>
      </c>
      <c r="V475" s="52">
        <f>IFERROR(INDEX(tblPiNAnalysis[Education], MATCH(tblPiNHistorical[[#This Row],[ID]], tblPiNAnalysis[ID], 0)), "")</f>
        <v>0</v>
      </c>
      <c r="W475" s="28">
        <f>IFERROR(INDEX(tblPiNAnalysis[Food Security and Livlihoods], MATCH(tblPiNHistorical[[#This Row],[ID]], tblPiNAnalysis[ID], 0)), "")</f>
        <v>0</v>
      </c>
      <c r="X475" s="28">
        <f>IFERROR(INDEX(tblPiNAnalysis[[Health ]], MATCH(tblPiNHistorical[[#This Row],[ID]], tblPiNAnalysis[ID], 0)), "")</f>
        <v>0</v>
      </c>
      <c r="Y475" s="28">
        <f>IFERROR(INDEX(tblPiNAnalysis[Nutrition], MATCH(tblPiNHistorical[[#This Row],[ID]], tblPiNAnalysis[ID], 0)), "")</f>
        <v>0</v>
      </c>
      <c r="Z475" s="28">
        <f>IFERROR(INDEX(tblPiNAnalysis[Protection], MATCH(tblPiNHistorical[[#This Row],[ID]], tblPiNAnalysis[ID], 0)), "")</f>
        <v>0</v>
      </c>
      <c r="AA475" s="28">
        <f>IFERROR(INDEX(tblPiNAnalysis[CP], MATCH(tblPiNHistorical[[#This Row],[ID]], tblPiNAnalysis[ID], 0)), "")</f>
        <v>0</v>
      </c>
      <c r="AB475" s="83">
        <f>IFERROR(INDEX(tblPiNAnalysis[GBV], MATCH(tblPiNHistorical[[#This Row],[ID]], tblPiNAnalysis[ID], 0)), "")</f>
        <v>0</v>
      </c>
      <c r="AC475" s="28">
        <f>IFERROR(INDEX(tblPiNAnalysis[Mine Action], MATCH(tblPiNHistorical[[#This Row],[ID]], tblPiNAnalysis[ID], 0)), "")</f>
        <v>0</v>
      </c>
      <c r="AD475" s="83">
        <f>IFERROR(INDEX(tblPiNAnalysis[[Shelter NFI ]], MATCH(tblPiNHistorical[[#This Row],[ID]], tblPiNAnalysis[ID], 0)), "")</f>
        <v>14739</v>
      </c>
      <c r="AE475" s="28">
        <f>IFERROR(INDEX(tblPiNAnalysis[WASH], MATCH(tblPiNHistorical[[#This Row],[ID]], tblPiNAnalysis[ID], 0)), "")</f>
        <v>0</v>
      </c>
      <c r="AF475"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475" s="136" t="str">
        <f>IF(OR(tblPiNHistorical[[#This Row],[Education Old]]="", tblPiNHistorical[[#This Row],[Education Old]]=0, tblPiNHistorical[[#This Row],[Education New]]="", tblPiNHistorical[[#This Row],[Education New]]=0), "", tblPiNHistorical[[#This Row],[Education New]]-tblPiNHistorical[[#This Row],[Education Old]])</f>
        <v/>
      </c>
      <c r="AH475"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475" s="137" t="str">
        <f>IF(OR(tblPiNHistorical[[#This Row],[Health Old]]="", tblPiNHistorical[[#This Row],[Health Old]]=0, tblPiNHistorical[[#This Row],[Health New]]="", tblPiNHistorical[[#This Row],[Health New]]=0), "", tblPiNHistorical[[#This Row],[Health New]]-tblPiNHistorical[[#This Row],[Health Old]])</f>
        <v/>
      </c>
      <c r="AJ475" s="136" t="str">
        <f>IF(OR(tblPiNHistorical[[#This Row],[Nutrition Old]]="", tblPiNHistorical[[#This Row],[Nutrition Old]]=0, tblPiNHistorical[[#This Row],[Nutrition New]]="", tblPiNHistorical[[#This Row],[Nutrition New]]=0), "", tblPiNHistorical[[#This Row],[Nutrition New]]-tblPiNHistorical[[#This Row],[Nutrition Old]])</f>
        <v/>
      </c>
      <c r="AK475" s="136" t="str">
        <f>IF(OR(tblPiNHistorical[[#This Row],[Protection Old]]="", tblPiNHistorical[[#This Row],[Protection Old]]=0, tblPiNHistorical[[#This Row],[Protection New]]="", tblPiNHistorical[[#This Row],[Protection New]]=0), "", tblPiNHistorical[[#This Row],[Protection New]]-tblPiNHistorical[[#This Row],[Protection Old]])</f>
        <v/>
      </c>
      <c r="AL475" s="136" t="str">
        <f>IF(OR(tblPiNHistorical[[#This Row],[CP Old ]]="", tblPiNHistorical[[#This Row],[CP Old ]]=0, tblPiNHistorical[[#This Row],[CP New]]="", tblPiNHistorical[[#This Row],[CP New]]=0), "", tblPiNHistorical[[#This Row],[CP New]]-tblPiNHistorical[[#This Row],[CP Old ]])</f>
        <v/>
      </c>
      <c r="AM475" s="83" t="str">
        <f>IF(OR(tblPiNHistorical[[#This Row],[GBV Old]]="", tblPiNHistorical[[#This Row],[GBV Old]]=0, tblPiNHistorical[[#This Row],[GBV New]]="", tblPiNHistorical[[#This Row],[GBV New]]=0), "", tblPiNHistorical[[#This Row],[GBV New]]-tblPiNHistorical[[#This Row],[GBV Old]])</f>
        <v/>
      </c>
      <c r="AN475" s="83" t="str">
        <f>IF(OR(tblPiNHistorical[[#This Row],[Mine Action Old]]="", tblPiNHistorical[[#This Row],[Mine Action Old]]=0, tblPiNHistorical[[#This Row],[Mine Action New]]="", tblPiNHistorical[[#This Row],[Mine Action New]]=0), "", tblPiNHistorical[[#This Row],[Mine Action New]]-tblPiNHistorical[[#This Row],[Mine Action Old]])</f>
        <v/>
      </c>
      <c r="AO475" s="136">
        <f>IF(OR(tblPiNHistorical[[#This Row],[Shelter NFI Old]]="", tblPiNHistorical[[#This Row],[Shelter NFI Old]]=0, tblPiNHistorical[[#This Row],[Shelter NFI New]]="", tblPiNHistorical[[#This Row],[Shelter NFI New]]=0), "", tblPiNHistorical[[#This Row],[Shelter NFI New]]-tblPiNHistorical[[#This Row],[Shelter NFI Old]])</f>
        <v>5879</v>
      </c>
      <c r="AP475" s="138" t="str">
        <f>IF(OR(tblPiNHistorical[[#This Row],[WASH Old]]="", tblPiNHistorical[[#This Row],[WASH Old]]=0, tblPiNHistorical[[#This Row],[WASH New]]="", tblPiNHistorical[[#This Row],[WASH New]]=0), "", tblPiNHistorical[[#This Row],[WASH New]]-tblPiNHistorical[[#This Row],[WASH Old]])</f>
        <v/>
      </c>
      <c r="AQ475" s="139" t="str">
        <f>IFERROR(ROUND((tblPiNHistorical[[#This Row],[Site Management - New]] - tblPiNHistorical[[#This Row],[Site Management - Old]])/tblPiNHistorical[[#This Row],[Site Management - Old]], 1), "")</f>
        <v/>
      </c>
      <c r="AR475" s="140">
        <f>IFERROR(ROUND((tblPiNHistorical[[#This Row],[Education New]]-tblPiNHistorical[[#This Row],[Education Old]])/tblPiNHistorical[[#This Row],[Education Old]], 1), "")</f>
        <v>-1</v>
      </c>
      <c r="AS475" s="141">
        <f>IFERROR(ROUND((tblPiNHistorical[[#This Row],[Food Security and Livlihoods New]]-tblPiNHistorical[[#This Row],[Food Security and Livlihoods Old]])/tblPiNHistorical[[#This Row],[Food Security and Livlihoods Old]], 1), "")</f>
        <v>-1</v>
      </c>
      <c r="AT475" s="142">
        <f>IFERROR(ROUND((tblPiNHistorical[[#This Row],[Health New]]-tblPiNHistorical[[#This Row],[Health Old]])/tblPiNHistorical[[#This Row],[Health Old]], 1), "")</f>
        <v>-1</v>
      </c>
      <c r="AU475" s="140">
        <f>IFERROR(ROUND((tblPiNHistorical[[#This Row],[Nutrition New]]-tblPiNHistorical[[#This Row],[Nutrition Old]])/tblPiNHistorical[[#This Row],[Nutrition Old]], 1), "")</f>
        <v>-1</v>
      </c>
      <c r="AV475" s="140">
        <f>IFERROR(ROUND((tblPiNHistorical[[#This Row],[Protection New]]-tblPiNHistorical[[#This Row],[Protection Old]])/tblPiNHistorical[[#This Row],[Protection Old]], 1), "")</f>
        <v>-1</v>
      </c>
      <c r="AW475" s="84">
        <f>IFERROR(ROUND((tblPiNHistorical[[#This Row],[CP New]]-tblPiNHistorical[[#This Row],[CP Old ]])/tblPiNHistorical[[#This Row],[CP Old ]], 1), "")</f>
        <v>-1</v>
      </c>
      <c r="AX475" s="84">
        <f>IFERROR(ROUND((tblPiNHistorical[[#This Row],[GBV New]]-tblPiNHistorical[[#This Row],[GBV Old]])/tblPiNHistorical[[#This Row],[GBV Old]], 1), "")</f>
        <v>-1</v>
      </c>
      <c r="AY475" s="84" t="str">
        <f>IFERROR(ROUND((tblPiNHistorical[[#This Row],[Mine Action New]]-tblPiNHistorical[[#This Row],[Mine Action Old]])/tblPiNHistorical[[#This Row],[Mine Action Old]], 1), "")</f>
        <v/>
      </c>
      <c r="AZ475" s="140">
        <f>IFERROR(ROUND((tblPiNHistorical[[#This Row],[Shelter NFI New]]-tblPiNHistorical[[#This Row],[Shelter NFI Old]])/tblPiNHistorical[[#This Row],[Shelter NFI Old]], 1), "")</f>
        <v>0.7</v>
      </c>
      <c r="BA475" s="31">
        <f>IFERROR(ROUND((tblPiNHistorical[[#This Row],[WASH New]]-tblPiNHistorical[[#This Row],[WASH Old]])/tblPiNHistorical[[#This Row],[WASH Old]], 1), "")</f>
        <v>-1</v>
      </c>
    </row>
    <row r="476" spans="1:53" ht="38.25" x14ac:dyDescent="0.25">
      <c r="A476"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Host CommunitySD17018</v>
      </c>
      <c r="B476" s="134" t="s">
        <v>173</v>
      </c>
      <c r="C476" s="124" t="s">
        <v>134</v>
      </c>
      <c r="D476" s="124" t="s">
        <v>534</v>
      </c>
      <c r="E476" s="59" t="s">
        <v>535</v>
      </c>
      <c r="F476" s="54"/>
      <c r="G476" s="29"/>
      <c r="H476" s="53">
        <v>40310</v>
      </c>
      <c r="I476" s="53" t="s">
        <v>87</v>
      </c>
      <c r="J476" s="34">
        <v>0</v>
      </c>
      <c r="K476" s="116">
        <v>15628.187</v>
      </c>
      <c r="L476" s="114">
        <v>8062</v>
      </c>
      <c r="M476" s="114">
        <v>40310</v>
      </c>
      <c r="N476" s="114">
        <v>3291</v>
      </c>
      <c r="O476" s="114">
        <v>12764</v>
      </c>
      <c r="P476" s="114">
        <v>4434</v>
      </c>
      <c r="Q476" s="114">
        <v>12764</v>
      </c>
      <c r="R476" s="114">
        <v>0</v>
      </c>
      <c r="S476" s="114">
        <v>8062</v>
      </c>
      <c r="T476" s="196">
        <v>12701.681000000002</v>
      </c>
      <c r="U476" s="52">
        <f>IFERROR(INDEX(tblPiNAnalysis[[Site Management ]], MATCH(tblPiNHistorical[[#This Row],[ID]], tblPiNAnalysis[ID], 0)), "")</f>
        <v>0</v>
      </c>
      <c r="V476" s="52">
        <f>IFERROR(INDEX(tblPiNAnalysis[Education], MATCH(tblPiNHistorical[[#This Row],[ID]], tblPiNAnalysis[ID], 0)), "")</f>
        <v>0</v>
      </c>
      <c r="W476" s="28">
        <f>IFERROR(INDEX(tblPiNAnalysis[Food Security and Livlihoods], MATCH(tblPiNHistorical[[#This Row],[ID]], tblPiNAnalysis[ID], 0)), "")</f>
        <v>0</v>
      </c>
      <c r="X476" s="28">
        <f>IFERROR(INDEX(tblPiNAnalysis[[Health ]], MATCH(tblPiNHistorical[[#This Row],[ID]], tblPiNAnalysis[ID], 0)), "")</f>
        <v>0</v>
      </c>
      <c r="Y476" s="28">
        <f>IFERROR(INDEX(tblPiNAnalysis[Nutrition], MATCH(tblPiNHistorical[[#This Row],[ID]], tblPiNAnalysis[ID], 0)), "")</f>
        <v>0</v>
      </c>
      <c r="Z476" s="28">
        <f>IFERROR(INDEX(tblPiNAnalysis[Protection], MATCH(tblPiNHistorical[[#This Row],[ID]], tblPiNAnalysis[ID], 0)), "")</f>
        <v>0</v>
      </c>
      <c r="AA476" s="28">
        <f>IFERROR(INDEX(tblPiNAnalysis[CP], MATCH(tblPiNHistorical[[#This Row],[ID]], tblPiNAnalysis[ID], 0)), "")</f>
        <v>0</v>
      </c>
      <c r="AB476" s="83">
        <f>IFERROR(INDEX(tblPiNAnalysis[GBV], MATCH(tblPiNHistorical[[#This Row],[ID]], tblPiNAnalysis[ID], 0)), "")</f>
        <v>0</v>
      </c>
      <c r="AC476" s="28">
        <f>IFERROR(INDEX(tblPiNAnalysis[Mine Action], MATCH(tblPiNHistorical[[#This Row],[ID]], tblPiNAnalysis[ID], 0)), "")</f>
        <v>0</v>
      </c>
      <c r="AD476" s="83">
        <f>IFERROR(INDEX(tblPiNAnalysis[[Shelter NFI ]], MATCH(tblPiNHistorical[[#This Row],[ID]], tblPiNAnalysis[ID], 0)), "")</f>
        <v>14741</v>
      </c>
      <c r="AE476" s="28">
        <f>IFERROR(INDEX(tblPiNAnalysis[WASH], MATCH(tblPiNHistorical[[#This Row],[ID]], tblPiNAnalysis[ID], 0)), "")</f>
        <v>0</v>
      </c>
      <c r="AF476"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476" s="136" t="str">
        <f>IF(OR(tblPiNHistorical[[#This Row],[Education Old]]="", tblPiNHistorical[[#This Row],[Education Old]]=0, tblPiNHistorical[[#This Row],[Education New]]="", tblPiNHistorical[[#This Row],[Education New]]=0), "", tblPiNHistorical[[#This Row],[Education New]]-tblPiNHistorical[[#This Row],[Education Old]])</f>
        <v/>
      </c>
      <c r="AH476"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476" s="137" t="str">
        <f>IF(OR(tblPiNHistorical[[#This Row],[Health Old]]="", tblPiNHistorical[[#This Row],[Health Old]]=0, tblPiNHistorical[[#This Row],[Health New]]="", tblPiNHistorical[[#This Row],[Health New]]=0), "", tblPiNHistorical[[#This Row],[Health New]]-tblPiNHistorical[[#This Row],[Health Old]])</f>
        <v/>
      </c>
      <c r="AJ476" s="136" t="str">
        <f>IF(OR(tblPiNHistorical[[#This Row],[Nutrition Old]]="", tblPiNHistorical[[#This Row],[Nutrition Old]]=0, tblPiNHistorical[[#This Row],[Nutrition New]]="", tblPiNHistorical[[#This Row],[Nutrition New]]=0), "", tblPiNHistorical[[#This Row],[Nutrition New]]-tblPiNHistorical[[#This Row],[Nutrition Old]])</f>
        <v/>
      </c>
      <c r="AK476" s="136" t="str">
        <f>IF(OR(tblPiNHistorical[[#This Row],[Protection Old]]="", tblPiNHistorical[[#This Row],[Protection Old]]=0, tblPiNHistorical[[#This Row],[Protection New]]="", tblPiNHistorical[[#This Row],[Protection New]]=0), "", tblPiNHistorical[[#This Row],[Protection New]]-tblPiNHistorical[[#This Row],[Protection Old]])</f>
        <v/>
      </c>
      <c r="AL476" s="136" t="str">
        <f>IF(OR(tblPiNHistorical[[#This Row],[CP Old ]]="", tblPiNHistorical[[#This Row],[CP Old ]]=0, tblPiNHistorical[[#This Row],[CP New]]="", tblPiNHistorical[[#This Row],[CP New]]=0), "", tblPiNHistorical[[#This Row],[CP New]]-tblPiNHistorical[[#This Row],[CP Old ]])</f>
        <v/>
      </c>
      <c r="AM476" s="83" t="str">
        <f>IF(OR(tblPiNHistorical[[#This Row],[GBV Old]]="", tblPiNHistorical[[#This Row],[GBV Old]]=0, tblPiNHistorical[[#This Row],[GBV New]]="", tblPiNHistorical[[#This Row],[GBV New]]=0), "", tblPiNHistorical[[#This Row],[GBV New]]-tblPiNHistorical[[#This Row],[GBV Old]])</f>
        <v/>
      </c>
      <c r="AN476" s="83" t="str">
        <f>IF(OR(tblPiNHistorical[[#This Row],[Mine Action Old]]="", tblPiNHistorical[[#This Row],[Mine Action Old]]=0, tblPiNHistorical[[#This Row],[Mine Action New]]="", tblPiNHistorical[[#This Row],[Mine Action New]]=0), "", tblPiNHistorical[[#This Row],[Mine Action New]]-tblPiNHistorical[[#This Row],[Mine Action Old]])</f>
        <v/>
      </c>
      <c r="AO476" s="136">
        <f>IF(OR(tblPiNHistorical[[#This Row],[Shelter NFI Old]]="", tblPiNHistorical[[#This Row],[Shelter NFI Old]]=0, tblPiNHistorical[[#This Row],[Shelter NFI New]]="", tblPiNHistorical[[#This Row],[Shelter NFI New]]=0), "", tblPiNHistorical[[#This Row],[Shelter NFI New]]-tblPiNHistorical[[#This Row],[Shelter NFI Old]])</f>
        <v>6679</v>
      </c>
      <c r="AP476" s="138" t="str">
        <f>IF(OR(tblPiNHistorical[[#This Row],[WASH Old]]="", tblPiNHistorical[[#This Row],[WASH Old]]=0, tblPiNHistorical[[#This Row],[WASH New]]="", tblPiNHistorical[[#This Row],[WASH New]]=0), "", tblPiNHistorical[[#This Row],[WASH New]]-tblPiNHistorical[[#This Row],[WASH Old]])</f>
        <v/>
      </c>
      <c r="AQ476" s="139" t="str">
        <f>IFERROR(ROUND((tblPiNHistorical[[#This Row],[Site Management - New]] - tblPiNHistorical[[#This Row],[Site Management - Old]])/tblPiNHistorical[[#This Row],[Site Management - Old]], 1), "")</f>
        <v/>
      </c>
      <c r="AR476" s="140">
        <f>IFERROR(ROUND((tblPiNHistorical[[#This Row],[Education New]]-tblPiNHistorical[[#This Row],[Education Old]])/tblPiNHistorical[[#This Row],[Education Old]], 1), "")</f>
        <v>-1</v>
      </c>
      <c r="AS476" s="141">
        <f>IFERROR(ROUND((tblPiNHistorical[[#This Row],[Food Security and Livlihoods New]]-tblPiNHistorical[[#This Row],[Food Security and Livlihoods Old]])/tblPiNHistorical[[#This Row],[Food Security and Livlihoods Old]], 1), "")</f>
        <v>-1</v>
      </c>
      <c r="AT476" s="142">
        <f>IFERROR(ROUND((tblPiNHistorical[[#This Row],[Health New]]-tblPiNHistorical[[#This Row],[Health Old]])/tblPiNHistorical[[#This Row],[Health Old]], 1), "")</f>
        <v>-1</v>
      </c>
      <c r="AU476" s="140">
        <f>IFERROR(ROUND((tblPiNHistorical[[#This Row],[Nutrition New]]-tblPiNHistorical[[#This Row],[Nutrition Old]])/tblPiNHistorical[[#This Row],[Nutrition Old]], 1), "")</f>
        <v>-1</v>
      </c>
      <c r="AV476" s="140">
        <f>IFERROR(ROUND((tblPiNHistorical[[#This Row],[Protection New]]-tblPiNHistorical[[#This Row],[Protection Old]])/tblPiNHistorical[[#This Row],[Protection Old]], 1), "")</f>
        <v>-1</v>
      </c>
      <c r="AW476" s="84">
        <f>IFERROR(ROUND((tblPiNHistorical[[#This Row],[CP New]]-tblPiNHistorical[[#This Row],[CP Old ]])/tblPiNHistorical[[#This Row],[CP Old ]], 1), "")</f>
        <v>-1</v>
      </c>
      <c r="AX476" s="84">
        <f>IFERROR(ROUND((tblPiNHistorical[[#This Row],[GBV New]]-tblPiNHistorical[[#This Row],[GBV Old]])/tblPiNHistorical[[#This Row],[GBV Old]], 1), "")</f>
        <v>-1</v>
      </c>
      <c r="AY476" s="84" t="str">
        <f>IFERROR(ROUND((tblPiNHistorical[[#This Row],[Mine Action New]]-tblPiNHistorical[[#This Row],[Mine Action Old]])/tblPiNHistorical[[#This Row],[Mine Action Old]], 1), "")</f>
        <v/>
      </c>
      <c r="AZ476" s="140">
        <f>IFERROR(ROUND((tblPiNHistorical[[#This Row],[Shelter NFI New]]-tblPiNHistorical[[#This Row],[Shelter NFI Old]])/tblPiNHistorical[[#This Row],[Shelter NFI Old]], 1), "")</f>
        <v>0.8</v>
      </c>
      <c r="BA476" s="31">
        <f>IFERROR(ROUND((tblPiNHistorical[[#This Row],[WASH New]]-tblPiNHistorical[[#This Row],[WASH Old]])/tblPiNHistorical[[#This Row],[WASH Old]], 1), "")</f>
        <v>-1</v>
      </c>
    </row>
    <row r="477" spans="1:53" ht="38.25" x14ac:dyDescent="0.25">
      <c r="A477"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Host CommunitySD17015</v>
      </c>
      <c r="B477" s="134" t="s">
        <v>173</v>
      </c>
      <c r="C477" s="124" t="s">
        <v>134</v>
      </c>
      <c r="D477" s="124" t="s">
        <v>528</v>
      </c>
      <c r="E477" s="59" t="s">
        <v>529</v>
      </c>
      <c r="F477" s="54"/>
      <c r="G477" s="29"/>
      <c r="H477" s="53">
        <v>44760</v>
      </c>
      <c r="I477" s="53" t="s">
        <v>87</v>
      </c>
      <c r="J477" s="34">
        <v>0</v>
      </c>
      <c r="K477" s="116">
        <v>17353.452000000001</v>
      </c>
      <c r="L477" s="114">
        <v>21945</v>
      </c>
      <c r="M477" s="114">
        <v>44760</v>
      </c>
      <c r="N477" s="114">
        <v>4635</v>
      </c>
      <c r="O477" s="114">
        <v>14173</v>
      </c>
      <c r="P477" s="114">
        <v>4924</v>
      </c>
      <c r="Q477" s="114">
        <v>14173</v>
      </c>
      <c r="R477" s="114">
        <v>0</v>
      </c>
      <c r="S477" s="114">
        <v>8952</v>
      </c>
      <c r="T477" s="196">
        <v>13052.015999999998</v>
      </c>
      <c r="U477" s="52">
        <f>IFERROR(INDEX(tblPiNAnalysis[[Site Management ]], MATCH(tblPiNHistorical[[#This Row],[ID]], tblPiNAnalysis[ID], 0)), "")</f>
        <v>0</v>
      </c>
      <c r="V477" s="52">
        <f>IFERROR(INDEX(tblPiNAnalysis[Education], MATCH(tblPiNHistorical[[#This Row],[ID]], tblPiNAnalysis[ID], 0)), "")</f>
        <v>0</v>
      </c>
      <c r="W477" s="28">
        <f>IFERROR(INDEX(tblPiNAnalysis[Food Security and Livlihoods], MATCH(tblPiNHistorical[[#This Row],[ID]], tblPiNAnalysis[ID], 0)), "")</f>
        <v>0</v>
      </c>
      <c r="X477" s="28">
        <f>IFERROR(INDEX(tblPiNAnalysis[[Health ]], MATCH(tblPiNHistorical[[#This Row],[ID]], tblPiNAnalysis[ID], 0)), "")</f>
        <v>0</v>
      </c>
      <c r="Y477" s="28">
        <f>IFERROR(INDEX(tblPiNAnalysis[Nutrition], MATCH(tblPiNHistorical[[#This Row],[ID]], tblPiNAnalysis[ID], 0)), "")</f>
        <v>0</v>
      </c>
      <c r="Z477" s="28">
        <f>IFERROR(INDEX(tblPiNAnalysis[Protection], MATCH(tblPiNHistorical[[#This Row],[ID]], tblPiNAnalysis[ID], 0)), "")</f>
        <v>0</v>
      </c>
      <c r="AA477" s="28">
        <f>IFERROR(INDEX(tblPiNAnalysis[CP], MATCH(tblPiNHistorical[[#This Row],[ID]], tblPiNAnalysis[ID], 0)), "")</f>
        <v>0</v>
      </c>
      <c r="AB477" s="83">
        <f>IFERROR(INDEX(tblPiNAnalysis[GBV], MATCH(tblPiNHistorical[[#This Row],[ID]], tblPiNAnalysis[ID], 0)), "")</f>
        <v>0</v>
      </c>
      <c r="AC477" s="28">
        <f>IFERROR(INDEX(tblPiNAnalysis[Mine Action], MATCH(tblPiNHistorical[[#This Row],[ID]], tblPiNAnalysis[ID], 0)), "")</f>
        <v>0</v>
      </c>
      <c r="AD477" s="83">
        <f>IFERROR(INDEX(tblPiNAnalysis[[Shelter NFI ]], MATCH(tblPiNHistorical[[#This Row],[ID]], tblPiNAnalysis[ID], 0)), "")</f>
        <v>17498</v>
      </c>
      <c r="AE477" s="28">
        <f>IFERROR(INDEX(tblPiNAnalysis[WASH], MATCH(tblPiNHistorical[[#This Row],[ID]], tblPiNAnalysis[ID], 0)), "")</f>
        <v>0</v>
      </c>
      <c r="AF477"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477" s="136" t="str">
        <f>IF(OR(tblPiNHistorical[[#This Row],[Education Old]]="", tblPiNHistorical[[#This Row],[Education Old]]=0, tblPiNHistorical[[#This Row],[Education New]]="", tblPiNHistorical[[#This Row],[Education New]]=0), "", tblPiNHistorical[[#This Row],[Education New]]-tblPiNHistorical[[#This Row],[Education Old]])</f>
        <v/>
      </c>
      <c r="AH477"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477" s="137" t="str">
        <f>IF(OR(tblPiNHistorical[[#This Row],[Health Old]]="", tblPiNHistorical[[#This Row],[Health Old]]=0, tblPiNHistorical[[#This Row],[Health New]]="", tblPiNHistorical[[#This Row],[Health New]]=0), "", tblPiNHistorical[[#This Row],[Health New]]-tblPiNHistorical[[#This Row],[Health Old]])</f>
        <v/>
      </c>
      <c r="AJ477" s="136" t="str">
        <f>IF(OR(tblPiNHistorical[[#This Row],[Nutrition Old]]="", tblPiNHistorical[[#This Row],[Nutrition Old]]=0, tblPiNHistorical[[#This Row],[Nutrition New]]="", tblPiNHistorical[[#This Row],[Nutrition New]]=0), "", tblPiNHistorical[[#This Row],[Nutrition New]]-tblPiNHistorical[[#This Row],[Nutrition Old]])</f>
        <v/>
      </c>
      <c r="AK477" s="136" t="str">
        <f>IF(OR(tblPiNHistorical[[#This Row],[Protection Old]]="", tblPiNHistorical[[#This Row],[Protection Old]]=0, tblPiNHistorical[[#This Row],[Protection New]]="", tblPiNHistorical[[#This Row],[Protection New]]=0), "", tblPiNHistorical[[#This Row],[Protection New]]-tblPiNHistorical[[#This Row],[Protection Old]])</f>
        <v/>
      </c>
      <c r="AL477" s="136" t="str">
        <f>IF(OR(tblPiNHistorical[[#This Row],[CP Old ]]="", tblPiNHistorical[[#This Row],[CP Old ]]=0, tblPiNHistorical[[#This Row],[CP New]]="", tblPiNHistorical[[#This Row],[CP New]]=0), "", tblPiNHistorical[[#This Row],[CP New]]-tblPiNHistorical[[#This Row],[CP Old ]])</f>
        <v/>
      </c>
      <c r="AM477" s="83" t="str">
        <f>IF(OR(tblPiNHistorical[[#This Row],[GBV Old]]="", tblPiNHistorical[[#This Row],[GBV Old]]=0, tblPiNHistorical[[#This Row],[GBV New]]="", tblPiNHistorical[[#This Row],[GBV New]]=0), "", tblPiNHistorical[[#This Row],[GBV New]]-tblPiNHistorical[[#This Row],[GBV Old]])</f>
        <v/>
      </c>
      <c r="AN477" s="83" t="str">
        <f>IF(OR(tblPiNHistorical[[#This Row],[Mine Action Old]]="", tblPiNHistorical[[#This Row],[Mine Action Old]]=0, tblPiNHistorical[[#This Row],[Mine Action New]]="", tblPiNHistorical[[#This Row],[Mine Action New]]=0), "", tblPiNHistorical[[#This Row],[Mine Action New]]-tblPiNHistorical[[#This Row],[Mine Action Old]])</f>
        <v/>
      </c>
      <c r="AO477" s="136">
        <f>IF(OR(tblPiNHistorical[[#This Row],[Shelter NFI Old]]="", tblPiNHistorical[[#This Row],[Shelter NFI Old]]=0, tblPiNHistorical[[#This Row],[Shelter NFI New]]="", tblPiNHistorical[[#This Row],[Shelter NFI New]]=0), "", tblPiNHistorical[[#This Row],[Shelter NFI New]]-tblPiNHistorical[[#This Row],[Shelter NFI Old]])</f>
        <v>8546</v>
      </c>
      <c r="AP477" s="138" t="str">
        <f>IF(OR(tblPiNHistorical[[#This Row],[WASH Old]]="", tblPiNHistorical[[#This Row],[WASH Old]]=0, tblPiNHistorical[[#This Row],[WASH New]]="", tblPiNHistorical[[#This Row],[WASH New]]=0), "", tblPiNHistorical[[#This Row],[WASH New]]-tblPiNHistorical[[#This Row],[WASH Old]])</f>
        <v/>
      </c>
      <c r="AQ477" s="139" t="str">
        <f>IFERROR(ROUND((tblPiNHistorical[[#This Row],[Site Management - New]] - tblPiNHistorical[[#This Row],[Site Management - Old]])/tblPiNHistorical[[#This Row],[Site Management - Old]], 1), "")</f>
        <v/>
      </c>
      <c r="AR477" s="140">
        <f>IFERROR(ROUND((tblPiNHistorical[[#This Row],[Education New]]-tblPiNHistorical[[#This Row],[Education Old]])/tblPiNHistorical[[#This Row],[Education Old]], 1), "")</f>
        <v>-1</v>
      </c>
      <c r="AS477" s="141">
        <f>IFERROR(ROUND((tblPiNHistorical[[#This Row],[Food Security and Livlihoods New]]-tblPiNHistorical[[#This Row],[Food Security and Livlihoods Old]])/tblPiNHistorical[[#This Row],[Food Security and Livlihoods Old]], 1), "")</f>
        <v>-1</v>
      </c>
      <c r="AT477" s="142">
        <f>IFERROR(ROUND((tblPiNHistorical[[#This Row],[Health New]]-tblPiNHistorical[[#This Row],[Health Old]])/tblPiNHistorical[[#This Row],[Health Old]], 1), "")</f>
        <v>-1</v>
      </c>
      <c r="AU477" s="140">
        <f>IFERROR(ROUND((tblPiNHistorical[[#This Row],[Nutrition New]]-tblPiNHistorical[[#This Row],[Nutrition Old]])/tblPiNHistorical[[#This Row],[Nutrition Old]], 1), "")</f>
        <v>-1</v>
      </c>
      <c r="AV477" s="140">
        <f>IFERROR(ROUND((tblPiNHistorical[[#This Row],[Protection New]]-tblPiNHistorical[[#This Row],[Protection Old]])/tblPiNHistorical[[#This Row],[Protection Old]], 1), "")</f>
        <v>-1</v>
      </c>
      <c r="AW477" s="84">
        <f>IFERROR(ROUND((tblPiNHistorical[[#This Row],[CP New]]-tblPiNHistorical[[#This Row],[CP Old ]])/tblPiNHistorical[[#This Row],[CP Old ]], 1), "")</f>
        <v>-1</v>
      </c>
      <c r="AX477" s="84">
        <f>IFERROR(ROUND((tblPiNHistorical[[#This Row],[GBV New]]-tblPiNHistorical[[#This Row],[GBV Old]])/tblPiNHistorical[[#This Row],[GBV Old]], 1), "")</f>
        <v>-1</v>
      </c>
      <c r="AY477" s="84" t="str">
        <f>IFERROR(ROUND((tblPiNHistorical[[#This Row],[Mine Action New]]-tblPiNHistorical[[#This Row],[Mine Action Old]])/tblPiNHistorical[[#This Row],[Mine Action Old]], 1), "")</f>
        <v/>
      </c>
      <c r="AZ477" s="140">
        <f>IFERROR(ROUND((tblPiNHistorical[[#This Row],[Shelter NFI New]]-tblPiNHistorical[[#This Row],[Shelter NFI Old]])/tblPiNHistorical[[#This Row],[Shelter NFI Old]], 1), "")</f>
        <v>1</v>
      </c>
      <c r="BA477" s="31">
        <f>IFERROR(ROUND((tblPiNHistorical[[#This Row],[WASH New]]-tblPiNHistorical[[#This Row],[WASH Old]])/tblPiNHistorical[[#This Row],[WASH Old]], 1), "")</f>
        <v>-1</v>
      </c>
    </row>
    <row r="478" spans="1:53" ht="38.25" x14ac:dyDescent="0.25">
      <c r="A478"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Host CommunitySD17017</v>
      </c>
      <c r="B478" s="134" t="s">
        <v>173</v>
      </c>
      <c r="C478" s="124" t="s">
        <v>134</v>
      </c>
      <c r="D478" s="124" t="s">
        <v>532</v>
      </c>
      <c r="E478" s="59" t="s">
        <v>533</v>
      </c>
      <c r="F478" s="54"/>
      <c r="G478" s="29"/>
      <c r="H478" s="53">
        <v>50932</v>
      </c>
      <c r="I478" s="53" t="s">
        <v>87</v>
      </c>
      <c r="J478" s="34">
        <v>0</v>
      </c>
      <c r="K478" s="116">
        <v>19746.3364</v>
      </c>
      <c r="L478" s="114">
        <v>50932</v>
      </c>
      <c r="M478" s="114">
        <v>50932</v>
      </c>
      <c r="N478" s="114">
        <v>23344</v>
      </c>
      <c r="O478" s="114">
        <v>16128</v>
      </c>
      <c r="P478" s="114">
        <v>5603</v>
      </c>
      <c r="Q478" s="114">
        <v>16128</v>
      </c>
      <c r="R478" s="114">
        <v>0</v>
      </c>
      <c r="S478" s="114">
        <v>15280</v>
      </c>
      <c r="T478" s="196">
        <v>21992.437600000005</v>
      </c>
      <c r="U478" s="52">
        <f>IFERROR(INDEX(tblPiNAnalysis[[Site Management ]], MATCH(tblPiNHistorical[[#This Row],[ID]], tblPiNAnalysis[ID], 0)), "")</f>
        <v>0</v>
      </c>
      <c r="V478" s="52">
        <f>IFERROR(INDEX(tblPiNAnalysis[Education], MATCH(tblPiNHistorical[[#This Row],[ID]], tblPiNAnalysis[ID], 0)), "")</f>
        <v>0</v>
      </c>
      <c r="W478" s="28">
        <f>IFERROR(INDEX(tblPiNAnalysis[Food Security and Livlihoods], MATCH(tblPiNHistorical[[#This Row],[ID]], tblPiNAnalysis[ID], 0)), "")</f>
        <v>0</v>
      </c>
      <c r="X478" s="28">
        <f>IFERROR(INDEX(tblPiNAnalysis[[Health ]], MATCH(tblPiNHistorical[[#This Row],[ID]], tblPiNAnalysis[ID], 0)), "")</f>
        <v>0</v>
      </c>
      <c r="Y478" s="28">
        <f>IFERROR(INDEX(tblPiNAnalysis[Nutrition], MATCH(tblPiNHistorical[[#This Row],[ID]], tblPiNAnalysis[ID], 0)), "")</f>
        <v>0</v>
      </c>
      <c r="Z478" s="28">
        <f>IFERROR(INDEX(tblPiNAnalysis[Protection], MATCH(tblPiNHistorical[[#This Row],[ID]], tblPiNAnalysis[ID], 0)), "")</f>
        <v>0</v>
      </c>
      <c r="AA478" s="28">
        <f>IFERROR(INDEX(tblPiNAnalysis[CP], MATCH(tblPiNHistorical[[#This Row],[ID]], tblPiNAnalysis[ID], 0)), "")</f>
        <v>0</v>
      </c>
      <c r="AB478" s="83">
        <f>IFERROR(INDEX(tblPiNAnalysis[GBV], MATCH(tblPiNHistorical[[#This Row],[ID]], tblPiNAnalysis[ID], 0)), "")</f>
        <v>0</v>
      </c>
      <c r="AC478" s="28">
        <f>IFERROR(INDEX(tblPiNAnalysis[Mine Action], MATCH(tblPiNHistorical[[#This Row],[ID]], tblPiNAnalysis[ID], 0)), "")</f>
        <v>0</v>
      </c>
      <c r="AD478" s="83">
        <f>IFERROR(INDEX(tblPiNAnalysis[[Shelter NFI ]], MATCH(tblPiNHistorical[[#This Row],[ID]], tblPiNAnalysis[ID], 0)), "")</f>
        <v>31128</v>
      </c>
      <c r="AE478" s="28">
        <f>IFERROR(INDEX(tblPiNAnalysis[WASH], MATCH(tblPiNHistorical[[#This Row],[ID]], tblPiNAnalysis[ID], 0)), "")</f>
        <v>0</v>
      </c>
      <c r="AF478"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478" s="136" t="str">
        <f>IF(OR(tblPiNHistorical[[#This Row],[Education Old]]="", tblPiNHistorical[[#This Row],[Education Old]]=0, tblPiNHistorical[[#This Row],[Education New]]="", tblPiNHistorical[[#This Row],[Education New]]=0), "", tblPiNHistorical[[#This Row],[Education New]]-tblPiNHistorical[[#This Row],[Education Old]])</f>
        <v/>
      </c>
      <c r="AH478"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478" s="137" t="str">
        <f>IF(OR(tblPiNHistorical[[#This Row],[Health Old]]="", tblPiNHistorical[[#This Row],[Health Old]]=0, tblPiNHistorical[[#This Row],[Health New]]="", tblPiNHistorical[[#This Row],[Health New]]=0), "", tblPiNHistorical[[#This Row],[Health New]]-tblPiNHistorical[[#This Row],[Health Old]])</f>
        <v/>
      </c>
      <c r="AJ478" s="136" t="str">
        <f>IF(OR(tblPiNHistorical[[#This Row],[Nutrition Old]]="", tblPiNHistorical[[#This Row],[Nutrition Old]]=0, tblPiNHistorical[[#This Row],[Nutrition New]]="", tblPiNHistorical[[#This Row],[Nutrition New]]=0), "", tblPiNHistorical[[#This Row],[Nutrition New]]-tblPiNHistorical[[#This Row],[Nutrition Old]])</f>
        <v/>
      </c>
      <c r="AK478" s="136" t="str">
        <f>IF(OR(tblPiNHistorical[[#This Row],[Protection Old]]="", tblPiNHistorical[[#This Row],[Protection Old]]=0, tblPiNHistorical[[#This Row],[Protection New]]="", tblPiNHistorical[[#This Row],[Protection New]]=0), "", tblPiNHistorical[[#This Row],[Protection New]]-tblPiNHistorical[[#This Row],[Protection Old]])</f>
        <v/>
      </c>
      <c r="AL478" s="136" t="str">
        <f>IF(OR(tblPiNHistorical[[#This Row],[CP Old ]]="", tblPiNHistorical[[#This Row],[CP Old ]]=0, tblPiNHistorical[[#This Row],[CP New]]="", tblPiNHistorical[[#This Row],[CP New]]=0), "", tblPiNHistorical[[#This Row],[CP New]]-tblPiNHistorical[[#This Row],[CP Old ]])</f>
        <v/>
      </c>
      <c r="AM478" s="83" t="str">
        <f>IF(OR(tblPiNHistorical[[#This Row],[GBV Old]]="", tblPiNHistorical[[#This Row],[GBV Old]]=0, tblPiNHistorical[[#This Row],[GBV New]]="", tblPiNHistorical[[#This Row],[GBV New]]=0), "", tblPiNHistorical[[#This Row],[GBV New]]-tblPiNHistorical[[#This Row],[GBV Old]])</f>
        <v/>
      </c>
      <c r="AN478" s="83" t="str">
        <f>IF(OR(tblPiNHistorical[[#This Row],[Mine Action Old]]="", tblPiNHistorical[[#This Row],[Mine Action Old]]=0, tblPiNHistorical[[#This Row],[Mine Action New]]="", tblPiNHistorical[[#This Row],[Mine Action New]]=0), "", tblPiNHistorical[[#This Row],[Mine Action New]]-tblPiNHistorical[[#This Row],[Mine Action Old]])</f>
        <v/>
      </c>
      <c r="AO478" s="136">
        <f>IF(OR(tblPiNHistorical[[#This Row],[Shelter NFI Old]]="", tblPiNHistorical[[#This Row],[Shelter NFI Old]]=0, tblPiNHistorical[[#This Row],[Shelter NFI New]]="", tblPiNHistorical[[#This Row],[Shelter NFI New]]=0), "", tblPiNHistorical[[#This Row],[Shelter NFI New]]-tblPiNHistorical[[#This Row],[Shelter NFI Old]])</f>
        <v>15848</v>
      </c>
      <c r="AP478" s="138" t="str">
        <f>IF(OR(tblPiNHistorical[[#This Row],[WASH Old]]="", tblPiNHistorical[[#This Row],[WASH Old]]=0, tblPiNHistorical[[#This Row],[WASH New]]="", tblPiNHistorical[[#This Row],[WASH New]]=0), "", tblPiNHistorical[[#This Row],[WASH New]]-tblPiNHistorical[[#This Row],[WASH Old]])</f>
        <v/>
      </c>
      <c r="AQ478" s="139" t="str">
        <f>IFERROR(ROUND((tblPiNHistorical[[#This Row],[Site Management - New]] - tblPiNHistorical[[#This Row],[Site Management - Old]])/tblPiNHistorical[[#This Row],[Site Management - Old]], 1), "")</f>
        <v/>
      </c>
      <c r="AR478" s="140">
        <f>IFERROR(ROUND((tblPiNHistorical[[#This Row],[Education New]]-tblPiNHistorical[[#This Row],[Education Old]])/tblPiNHistorical[[#This Row],[Education Old]], 1), "")</f>
        <v>-1</v>
      </c>
      <c r="AS478" s="141">
        <f>IFERROR(ROUND((tblPiNHistorical[[#This Row],[Food Security and Livlihoods New]]-tblPiNHistorical[[#This Row],[Food Security and Livlihoods Old]])/tblPiNHistorical[[#This Row],[Food Security and Livlihoods Old]], 1), "")</f>
        <v>-1</v>
      </c>
      <c r="AT478" s="142">
        <f>IFERROR(ROUND((tblPiNHistorical[[#This Row],[Health New]]-tblPiNHistorical[[#This Row],[Health Old]])/tblPiNHistorical[[#This Row],[Health Old]], 1), "")</f>
        <v>-1</v>
      </c>
      <c r="AU478" s="140">
        <f>IFERROR(ROUND((tblPiNHistorical[[#This Row],[Nutrition New]]-tblPiNHistorical[[#This Row],[Nutrition Old]])/tblPiNHistorical[[#This Row],[Nutrition Old]], 1), "")</f>
        <v>-1</v>
      </c>
      <c r="AV478" s="140">
        <f>IFERROR(ROUND((tblPiNHistorical[[#This Row],[Protection New]]-tblPiNHistorical[[#This Row],[Protection Old]])/tblPiNHistorical[[#This Row],[Protection Old]], 1), "")</f>
        <v>-1</v>
      </c>
      <c r="AW478" s="84">
        <f>IFERROR(ROUND((tblPiNHistorical[[#This Row],[CP New]]-tblPiNHistorical[[#This Row],[CP Old ]])/tblPiNHistorical[[#This Row],[CP Old ]], 1), "")</f>
        <v>-1</v>
      </c>
      <c r="AX478" s="84">
        <f>IFERROR(ROUND((tblPiNHistorical[[#This Row],[GBV New]]-tblPiNHistorical[[#This Row],[GBV Old]])/tblPiNHistorical[[#This Row],[GBV Old]], 1), "")</f>
        <v>-1</v>
      </c>
      <c r="AY478" s="84" t="str">
        <f>IFERROR(ROUND((tblPiNHistorical[[#This Row],[Mine Action New]]-tblPiNHistorical[[#This Row],[Mine Action Old]])/tblPiNHistorical[[#This Row],[Mine Action Old]], 1), "")</f>
        <v/>
      </c>
      <c r="AZ478" s="140">
        <f>IFERROR(ROUND((tblPiNHistorical[[#This Row],[Shelter NFI New]]-tblPiNHistorical[[#This Row],[Shelter NFI Old]])/tblPiNHistorical[[#This Row],[Shelter NFI Old]], 1), "")</f>
        <v>1</v>
      </c>
      <c r="BA478" s="31">
        <f>IFERROR(ROUND((tblPiNHistorical[[#This Row],[WASH New]]-tblPiNHistorical[[#This Row],[WASH Old]])/tblPiNHistorical[[#This Row],[WASH Old]], 1), "")</f>
        <v>-1</v>
      </c>
    </row>
    <row r="479" spans="1:53" ht="38.25" x14ac:dyDescent="0.25">
      <c r="A479"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Host CommunitySD17014</v>
      </c>
      <c r="B479" s="134" t="s">
        <v>173</v>
      </c>
      <c r="C479" s="124" t="s">
        <v>134</v>
      </c>
      <c r="D479" s="124" t="s">
        <v>526</v>
      </c>
      <c r="E479" s="59" t="s">
        <v>527</v>
      </c>
      <c r="F479" s="54"/>
      <c r="G479" s="29"/>
      <c r="H479" s="53">
        <v>22635</v>
      </c>
      <c r="I479" s="53" t="s">
        <v>87</v>
      </c>
      <c r="J479" s="34">
        <v>0</v>
      </c>
      <c r="K479" s="116">
        <v>8775.5895</v>
      </c>
      <c r="L479" s="114">
        <v>22635</v>
      </c>
      <c r="M479" s="114">
        <v>22635</v>
      </c>
      <c r="N479" s="114">
        <v>957</v>
      </c>
      <c r="O479" s="114">
        <v>7166</v>
      </c>
      <c r="P479" s="114">
        <v>2490</v>
      </c>
      <c r="Q479" s="114">
        <v>7166</v>
      </c>
      <c r="R479" s="114">
        <v>0</v>
      </c>
      <c r="S479" s="114">
        <v>4527</v>
      </c>
      <c r="T479" s="196">
        <v>10649.7675</v>
      </c>
      <c r="U479" s="52">
        <f>IFERROR(INDEX(tblPiNAnalysis[[Site Management ]], MATCH(tblPiNHistorical[[#This Row],[ID]], tblPiNAnalysis[ID], 0)), "")</f>
        <v>0</v>
      </c>
      <c r="V479" s="52">
        <f>IFERROR(INDEX(tblPiNAnalysis[Education], MATCH(tblPiNHistorical[[#This Row],[ID]], tblPiNAnalysis[ID], 0)), "")</f>
        <v>0</v>
      </c>
      <c r="W479" s="28">
        <f>IFERROR(INDEX(tblPiNAnalysis[Food Security and Livlihoods], MATCH(tblPiNHistorical[[#This Row],[ID]], tblPiNAnalysis[ID], 0)), "")</f>
        <v>0</v>
      </c>
      <c r="X479" s="28">
        <f>IFERROR(INDEX(tblPiNAnalysis[[Health ]], MATCH(tblPiNHistorical[[#This Row],[ID]], tblPiNAnalysis[ID], 0)), "")</f>
        <v>0</v>
      </c>
      <c r="Y479" s="28">
        <f>IFERROR(INDEX(tblPiNAnalysis[Nutrition], MATCH(tblPiNHistorical[[#This Row],[ID]], tblPiNAnalysis[ID], 0)), "")</f>
        <v>0</v>
      </c>
      <c r="Z479" s="28">
        <f>IFERROR(INDEX(tblPiNAnalysis[Protection], MATCH(tblPiNHistorical[[#This Row],[ID]], tblPiNAnalysis[ID], 0)), "")</f>
        <v>0</v>
      </c>
      <c r="AA479" s="28">
        <f>IFERROR(INDEX(tblPiNAnalysis[CP], MATCH(tblPiNHistorical[[#This Row],[ID]], tblPiNAnalysis[ID], 0)), "")</f>
        <v>0</v>
      </c>
      <c r="AB479" s="83">
        <f>IFERROR(INDEX(tblPiNAnalysis[GBV], MATCH(tblPiNHistorical[[#This Row],[ID]], tblPiNAnalysis[ID], 0)), "")</f>
        <v>0</v>
      </c>
      <c r="AC479" s="28">
        <f>IFERROR(INDEX(tblPiNAnalysis[Mine Action], MATCH(tblPiNHistorical[[#This Row],[ID]], tblPiNAnalysis[ID], 0)), "")</f>
        <v>0</v>
      </c>
      <c r="AD479" s="83">
        <f>IFERROR(INDEX(tblPiNAnalysis[[Shelter NFI ]], MATCH(tblPiNHistorical[[#This Row],[ID]], tblPiNAnalysis[ID], 0)), "")</f>
        <v>12026</v>
      </c>
      <c r="AE479" s="28">
        <f>IFERROR(INDEX(tblPiNAnalysis[WASH], MATCH(tblPiNHistorical[[#This Row],[ID]], tblPiNAnalysis[ID], 0)), "")</f>
        <v>0</v>
      </c>
      <c r="AF479"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479" s="136" t="str">
        <f>IF(OR(tblPiNHistorical[[#This Row],[Education Old]]="", tblPiNHistorical[[#This Row],[Education Old]]=0, tblPiNHistorical[[#This Row],[Education New]]="", tblPiNHistorical[[#This Row],[Education New]]=0), "", tblPiNHistorical[[#This Row],[Education New]]-tblPiNHistorical[[#This Row],[Education Old]])</f>
        <v/>
      </c>
      <c r="AH479"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479" s="137" t="str">
        <f>IF(OR(tblPiNHistorical[[#This Row],[Health Old]]="", tblPiNHistorical[[#This Row],[Health Old]]=0, tblPiNHistorical[[#This Row],[Health New]]="", tblPiNHistorical[[#This Row],[Health New]]=0), "", tblPiNHistorical[[#This Row],[Health New]]-tblPiNHistorical[[#This Row],[Health Old]])</f>
        <v/>
      </c>
      <c r="AJ479" s="136" t="str">
        <f>IF(OR(tblPiNHistorical[[#This Row],[Nutrition Old]]="", tblPiNHistorical[[#This Row],[Nutrition Old]]=0, tblPiNHistorical[[#This Row],[Nutrition New]]="", tblPiNHistorical[[#This Row],[Nutrition New]]=0), "", tblPiNHistorical[[#This Row],[Nutrition New]]-tblPiNHistorical[[#This Row],[Nutrition Old]])</f>
        <v/>
      </c>
      <c r="AK479" s="136" t="str">
        <f>IF(OR(tblPiNHistorical[[#This Row],[Protection Old]]="", tblPiNHistorical[[#This Row],[Protection Old]]=0, tblPiNHistorical[[#This Row],[Protection New]]="", tblPiNHistorical[[#This Row],[Protection New]]=0), "", tblPiNHistorical[[#This Row],[Protection New]]-tblPiNHistorical[[#This Row],[Protection Old]])</f>
        <v/>
      </c>
      <c r="AL479" s="136" t="str">
        <f>IF(OR(tblPiNHistorical[[#This Row],[CP Old ]]="", tblPiNHistorical[[#This Row],[CP Old ]]=0, tblPiNHistorical[[#This Row],[CP New]]="", tblPiNHistorical[[#This Row],[CP New]]=0), "", tblPiNHistorical[[#This Row],[CP New]]-tblPiNHistorical[[#This Row],[CP Old ]])</f>
        <v/>
      </c>
      <c r="AM479" s="83" t="str">
        <f>IF(OR(tblPiNHistorical[[#This Row],[GBV Old]]="", tblPiNHistorical[[#This Row],[GBV Old]]=0, tblPiNHistorical[[#This Row],[GBV New]]="", tblPiNHistorical[[#This Row],[GBV New]]=0), "", tblPiNHistorical[[#This Row],[GBV New]]-tblPiNHistorical[[#This Row],[GBV Old]])</f>
        <v/>
      </c>
      <c r="AN479" s="83" t="str">
        <f>IF(OR(tblPiNHistorical[[#This Row],[Mine Action Old]]="", tblPiNHistorical[[#This Row],[Mine Action Old]]=0, tblPiNHistorical[[#This Row],[Mine Action New]]="", tblPiNHistorical[[#This Row],[Mine Action New]]=0), "", tblPiNHistorical[[#This Row],[Mine Action New]]-tblPiNHistorical[[#This Row],[Mine Action Old]])</f>
        <v/>
      </c>
      <c r="AO479" s="136">
        <f>IF(OR(tblPiNHistorical[[#This Row],[Shelter NFI Old]]="", tblPiNHistorical[[#This Row],[Shelter NFI Old]]=0, tblPiNHistorical[[#This Row],[Shelter NFI New]]="", tblPiNHistorical[[#This Row],[Shelter NFI New]]=0), "", tblPiNHistorical[[#This Row],[Shelter NFI New]]-tblPiNHistorical[[#This Row],[Shelter NFI Old]])</f>
        <v>7499</v>
      </c>
      <c r="AP479" s="138" t="str">
        <f>IF(OR(tblPiNHistorical[[#This Row],[WASH Old]]="", tblPiNHistorical[[#This Row],[WASH Old]]=0, tblPiNHistorical[[#This Row],[WASH New]]="", tblPiNHistorical[[#This Row],[WASH New]]=0), "", tblPiNHistorical[[#This Row],[WASH New]]-tblPiNHistorical[[#This Row],[WASH Old]])</f>
        <v/>
      </c>
      <c r="AQ479" s="139" t="str">
        <f>IFERROR(ROUND((tblPiNHistorical[[#This Row],[Site Management - New]] - tblPiNHistorical[[#This Row],[Site Management - Old]])/tblPiNHistorical[[#This Row],[Site Management - Old]], 1), "")</f>
        <v/>
      </c>
      <c r="AR479" s="140">
        <f>IFERROR(ROUND((tblPiNHistorical[[#This Row],[Education New]]-tblPiNHistorical[[#This Row],[Education Old]])/tblPiNHistorical[[#This Row],[Education Old]], 1), "")</f>
        <v>-1</v>
      </c>
      <c r="AS479" s="141">
        <f>IFERROR(ROUND((tblPiNHistorical[[#This Row],[Food Security and Livlihoods New]]-tblPiNHistorical[[#This Row],[Food Security and Livlihoods Old]])/tblPiNHistorical[[#This Row],[Food Security and Livlihoods Old]], 1), "")</f>
        <v>-1</v>
      </c>
      <c r="AT479" s="142">
        <f>IFERROR(ROUND((tblPiNHistorical[[#This Row],[Health New]]-tblPiNHistorical[[#This Row],[Health Old]])/tblPiNHistorical[[#This Row],[Health Old]], 1), "")</f>
        <v>-1</v>
      </c>
      <c r="AU479" s="140">
        <f>IFERROR(ROUND((tblPiNHistorical[[#This Row],[Nutrition New]]-tblPiNHistorical[[#This Row],[Nutrition Old]])/tblPiNHistorical[[#This Row],[Nutrition Old]], 1), "")</f>
        <v>-1</v>
      </c>
      <c r="AV479" s="140">
        <f>IFERROR(ROUND((tblPiNHistorical[[#This Row],[Protection New]]-tblPiNHistorical[[#This Row],[Protection Old]])/tblPiNHistorical[[#This Row],[Protection Old]], 1), "")</f>
        <v>-1</v>
      </c>
      <c r="AW479" s="84">
        <f>IFERROR(ROUND((tblPiNHistorical[[#This Row],[CP New]]-tblPiNHistorical[[#This Row],[CP Old ]])/tblPiNHistorical[[#This Row],[CP Old ]], 1), "")</f>
        <v>-1</v>
      </c>
      <c r="AX479" s="84">
        <f>IFERROR(ROUND((tblPiNHistorical[[#This Row],[GBV New]]-tblPiNHistorical[[#This Row],[GBV Old]])/tblPiNHistorical[[#This Row],[GBV Old]], 1), "")</f>
        <v>-1</v>
      </c>
      <c r="AY479" s="84" t="str">
        <f>IFERROR(ROUND((tblPiNHistorical[[#This Row],[Mine Action New]]-tblPiNHistorical[[#This Row],[Mine Action Old]])/tblPiNHistorical[[#This Row],[Mine Action Old]], 1), "")</f>
        <v/>
      </c>
      <c r="AZ479" s="140">
        <f>IFERROR(ROUND((tblPiNHistorical[[#This Row],[Shelter NFI New]]-tblPiNHistorical[[#This Row],[Shelter NFI Old]])/tblPiNHistorical[[#This Row],[Shelter NFI Old]], 1), "")</f>
        <v>1.7</v>
      </c>
      <c r="BA479" s="31">
        <f>IFERROR(ROUND((tblPiNHistorical[[#This Row],[WASH New]]-tblPiNHistorical[[#This Row],[WASH Old]])/tblPiNHistorical[[#This Row],[WASH Old]], 1), "")</f>
        <v>-1</v>
      </c>
    </row>
    <row r="480" spans="1:53" ht="38.25" x14ac:dyDescent="0.25">
      <c r="A480"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Host CommunitySD17020</v>
      </c>
      <c r="B480" s="134" t="s">
        <v>173</v>
      </c>
      <c r="C480" s="124" t="s">
        <v>134</v>
      </c>
      <c r="D480" s="124" t="s">
        <v>538</v>
      </c>
      <c r="E480" s="59" t="s">
        <v>539</v>
      </c>
      <c r="F480" s="54"/>
      <c r="G480" s="29"/>
      <c r="H480" s="53">
        <v>67487</v>
      </c>
      <c r="I480" s="53" t="s">
        <v>87</v>
      </c>
      <c r="J480" s="34">
        <v>0</v>
      </c>
      <c r="K480" s="116">
        <v>26164.709899999998</v>
      </c>
      <c r="L480" s="114">
        <v>62487</v>
      </c>
      <c r="M480" s="114">
        <v>67487</v>
      </c>
      <c r="N480" s="114">
        <v>5409</v>
      </c>
      <c r="O480" s="114">
        <v>21370</v>
      </c>
      <c r="P480" s="114">
        <v>7424</v>
      </c>
      <c r="Q480" s="114">
        <v>21370</v>
      </c>
      <c r="R480" s="114">
        <v>0</v>
      </c>
      <c r="S480" s="114">
        <v>20246</v>
      </c>
      <c r="T480" s="196">
        <v>29903.489700000002</v>
      </c>
      <c r="U480" s="52">
        <f>IFERROR(INDEX(tblPiNAnalysis[[Site Management ]], MATCH(tblPiNHistorical[[#This Row],[ID]], tblPiNAnalysis[ID], 0)), "")</f>
        <v>0</v>
      </c>
      <c r="V480" s="52">
        <f>IFERROR(INDEX(tblPiNAnalysis[Education], MATCH(tblPiNHistorical[[#This Row],[ID]], tblPiNAnalysis[ID], 0)), "")</f>
        <v>0</v>
      </c>
      <c r="W480" s="28">
        <f>IFERROR(INDEX(tblPiNAnalysis[Food Security and Livlihoods], MATCH(tblPiNHistorical[[#This Row],[ID]], tblPiNAnalysis[ID], 0)), "")</f>
        <v>0</v>
      </c>
      <c r="X480" s="28">
        <f>IFERROR(INDEX(tblPiNAnalysis[[Health ]], MATCH(tblPiNHistorical[[#This Row],[ID]], tblPiNAnalysis[ID], 0)), "")</f>
        <v>0</v>
      </c>
      <c r="Y480" s="28">
        <f>IFERROR(INDEX(tblPiNAnalysis[Nutrition], MATCH(tblPiNHistorical[[#This Row],[ID]], tblPiNAnalysis[ID], 0)), "")</f>
        <v>0</v>
      </c>
      <c r="Z480" s="28">
        <f>IFERROR(INDEX(tblPiNAnalysis[Protection], MATCH(tblPiNHistorical[[#This Row],[ID]], tblPiNAnalysis[ID], 0)), "")</f>
        <v>0</v>
      </c>
      <c r="AA480" s="28">
        <f>IFERROR(INDEX(tblPiNAnalysis[CP], MATCH(tblPiNHistorical[[#This Row],[ID]], tblPiNAnalysis[ID], 0)), "")</f>
        <v>0</v>
      </c>
      <c r="AB480" s="83">
        <f>IFERROR(INDEX(tblPiNAnalysis[GBV], MATCH(tblPiNHistorical[[#This Row],[ID]], tblPiNAnalysis[ID], 0)), "")</f>
        <v>0</v>
      </c>
      <c r="AC480" s="28">
        <f>IFERROR(INDEX(tblPiNAnalysis[Mine Action], MATCH(tblPiNHistorical[[#This Row],[ID]], tblPiNAnalysis[ID], 0)), "")</f>
        <v>0</v>
      </c>
      <c r="AD480" s="83">
        <f>IFERROR(INDEX(tblPiNAnalysis[[Shelter NFI ]], MATCH(tblPiNHistorical[[#This Row],[ID]], tblPiNAnalysis[ID], 0)), "")</f>
        <v>21214</v>
      </c>
      <c r="AE480" s="28">
        <f>IFERROR(INDEX(tblPiNAnalysis[WASH], MATCH(tblPiNHistorical[[#This Row],[ID]], tblPiNAnalysis[ID], 0)), "")</f>
        <v>0</v>
      </c>
      <c r="AF480"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480" s="136" t="str">
        <f>IF(OR(tblPiNHistorical[[#This Row],[Education Old]]="", tblPiNHistorical[[#This Row],[Education Old]]=0, tblPiNHistorical[[#This Row],[Education New]]="", tblPiNHistorical[[#This Row],[Education New]]=0), "", tblPiNHistorical[[#This Row],[Education New]]-tblPiNHistorical[[#This Row],[Education Old]])</f>
        <v/>
      </c>
      <c r="AH480"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480" s="137" t="str">
        <f>IF(OR(tblPiNHistorical[[#This Row],[Health Old]]="", tblPiNHistorical[[#This Row],[Health Old]]=0, tblPiNHistorical[[#This Row],[Health New]]="", tblPiNHistorical[[#This Row],[Health New]]=0), "", tblPiNHistorical[[#This Row],[Health New]]-tblPiNHistorical[[#This Row],[Health Old]])</f>
        <v/>
      </c>
      <c r="AJ480" s="136" t="str">
        <f>IF(OR(tblPiNHistorical[[#This Row],[Nutrition Old]]="", tblPiNHistorical[[#This Row],[Nutrition Old]]=0, tblPiNHistorical[[#This Row],[Nutrition New]]="", tblPiNHistorical[[#This Row],[Nutrition New]]=0), "", tblPiNHistorical[[#This Row],[Nutrition New]]-tblPiNHistorical[[#This Row],[Nutrition Old]])</f>
        <v/>
      </c>
      <c r="AK480" s="136" t="str">
        <f>IF(OR(tblPiNHistorical[[#This Row],[Protection Old]]="", tblPiNHistorical[[#This Row],[Protection Old]]=0, tblPiNHistorical[[#This Row],[Protection New]]="", tblPiNHistorical[[#This Row],[Protection New]]=0), "", tblPiNHistorical[[#This Row],[Protection New]]-tblPiNHistorical[[#This Row],[Protection Old]])</f>
        <v/>
      </c>
      <c r="AL480" s="136" t="str">
        <f>IF(OR(tblPiNHistorical[[#This Row],[CP Old ]]="", tblPiNHistorical[[#This Row],[CP Old ]]=0, tblPiNHistorical[[#This Row],[CP New]]="", tblPiNHistorical[[#This Row],[CP New]]=0), "", tblPiNHistorical[[#This Row],[CP New]]-tblPiNHistorical[[#This Row],[CP Old ]])</f>
        <v/>
      </c>
      <c r="AM480" s="83" t="str">
        <f>IF(OR(tblPiNHistorical[[#This Row],[GBV Old]]="", tblPiNHistorical[[#This Row],[GBV Old]]=0, tblPiNHistorical[[#This Row],[GBV New]]="", tblPiNHistorical[[#This Row],[GBV New]]=0), "", tblPiNHistorical[[#This Row],[GBV New]]-tblPiNHistorical[[#This Row],[GBV Old]])</f>
        <v/>
      </c>
      <c r="AN480" s="83" t="str">
        <f>IF(OR(tblPiNHistorical[[#This Row],[Mine Action Old]]="", tblPiNHistorical[[#This Row],[Mine Action Old]]=0, tblPiNHistorical[[#This Row],[Mine Action New]]="", tblPiNHistorical[[#This Row],[Mine Action New]]=0), "", tblPiNHistorical[[#This Row],[Mine Action New]]-tblPiNHistorical[[#This Row],[Mine Action Old]])</f>
        <v/>
      </c>
      <c r="AO480" s="136">
        <f>IF(OR(tblPiNHistorical[[#This Row],[Shelter NFI Old]]="", tblPiNHistorical[[#This Row],[Shelter NFI Old]]=0, tblPiNHistorical[[#This Row],[Shelter NFI New]]="", tblPiNHistorical[[#This Row],[Shelter NFI New]]=0), "", tblPiNHistorical[[#This Row],[Shelter NFI New]]-tblPiNHistorical[[#This Row],[Shelter NFI Old]])</f>
        <v>968</v>
      </c>
      <c r="AP480" s="138" t="str">
        <f>IF(OR(tblPiNHistorical[[#This Row],[WASH Old]]="", tblPiNHistorical[[#This Row],[WASH Old]]=0, tblPiNHistorical[[#This Row],[WASH New]]="", tblPiNHistorical[[#This Row],[WASH New]]=0), "", tblPiNHistorical[[#This Row],[WASH New]]-tblPiNHistorical[[#This Row],[WASH Old]])</f>
        <v/>
      </c>
      <c r="AQ480" s="139" t="str">
        <f>IFERROR(ROUND((tblPiNHistorical[[#This Row],[Site Management - New]] - tblPiNHistorical[[#This Row],[Site Management - Old]])/tblPiNHistorical[[#This Row],[Site Management - Old]], 1), "")</f>
        <v/>
      </c>
      <c r="AR480" s="140">
        <f>IFERROR(ROUND((tblPiNHistorical[[#This Row],[Education New]]-tblPiNHistorical[[#This Row],[Education Old]])/tblPiNHistorical[[#This Row],[Education Old]], 1), "")</f>
        <v>-1</v>
      </c>
      <c r="AS480" s="141">
        <f>IFERROR(ROUND((tblPiNHistorical[[#This Row],[Food Security and Livlihoods New]]-tblPiNHistorical[[#This Row],[Food Security and Livlihoods Old]])/tblPiNHistorical[[#This Row],[Food Security and Livlihoods Old]], 1), "")</f>
        <v>-1</v>
      </c>
      <c r="AT480" s="142">
        <f>IFERROR(ROUND((tblPiNHistorical[[#This Row],[Health New]]-tblPiNHistorical[[#This Row],[Health Old]])/tblPiNHistorical[[#This Row],[Health Old]], 1), "")</f>
        <v>-1</v>
      </c>
      <c r="AU480" s="140">
        <f>IFERROR(ROUND((tblPiNHistorical[[#This Row],[Nutrition New]]-tblPiNHistorical[[#This Row],[Nutrition Old]])/tblPiNHistorical[[#This Row],[Nutrition Old]], 1), "")</f>
        <v>-1</v>
      </c>
      <c r="AV480" s="140">
        <f>IFERROR(ROUND((tblPiNHistorical[[#This Row],[Protection New]]-tblPiNHistorical[[#This Row],[Protection Old]])/tblPiNHistorical[[#This Row],[Protection Old]], 1), "")</f>
        <v>-1</v>
      </c>
      <c r="AW480" s="84">
        <f>IFERROR(ROUND((tblPiNHistorical[[#This Row],[CP New]]-tblPiNHistorical[[#This Row],[CP Old ]])/tblPiNHistorical[[#This Row],[CP Old ]], 1), "")</f>
        <v>-1</v>
      </c>
      <c r="AX480" s="84">
        <f>IFERROR(ROUND((tblPiNHistorical[[#This Row],[GBV New]]-tblPiNHistorical[[#This Row],[GBV Old]])/tblPiNHistorical[[#This Row],[GBV Old]], 1), "")</f>
        <v>-1</v>
      </c>
      <c r="AY480" s="84" t="str">
        <f>IFERROR(ROUND((tblPiNHistorical[[#This Row],[Mine Action New]]-tblPiNHistorical[[#This Row],[Mine Action Old]])/tblPiNHistorical[[#This Row],[Mine Action Old]], 1), "")</f>
        <v/>
      </c>
      <c r="AZ480" s="140">
        <f>IFERROR(ROUND((tblPiNHistorical[[#This Row],[Shelter NFI New]]-tblPiNHistorical[[#This Row],[Shelter NFI Old]])/tblPiNHistorical[[#This Row],[Shelter NFI Old]], 1), "")</f>
        <v>0</v>
      </c>
      <c r="BA480" s="31">
        <f>IFERROR(ROUND((tblPiNHistorical[[#This Row],[WASH New]]-tblPiNHistorical[[#This Row],[WASH Old]])/tblPiNHistorical[[#This Row],[WASH Old]], 1), "")</f>
        <v>-1</v>
      </c>
    </row>
    <row r="481" spans="1:53" ht="38.25" x14ac:dyDescent="0.25">
      <c r="A481"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Host CommunitySD10072</v>
      </c>
      <c r="B481" s="134" t="s">
        <v>176</v>
      </c>
      <c r="C481" s="124" t="s">
        <v>127</v>
      </c>
      <c r="D481" s="124" t="s">
        <v>420</v>
      </c>
      <c r="E481" s="59" t="s">
        <v>421</v>
      </c>
      <c r="F481" s="54"/>
      <c r="G481" s="29"/>
      <c r="H481" s="53">
        <v>0</v>
      </c>
      <c r="I481" s="53" t="s">
        <v>87</v>
      </c>
      <c r="J481" s="34">
        <v>0</v>
      </c>
      <c r="K481" s="116">
        <v>0</v>
      </c>
      <c r="L481" s="114">
        <v>0</v>
      </c>
      <c r="M481" s="114">
        <v>0</v>
      </c>
      <c r="N481" s="114">
        <v>0</v>
      </c>
      <c r="O481" s="114">
        <v>0</v>
      </c>
      <c r="P481" s="114">
        <v>0</v>
      </c>
      <c r="Q481" s="114">
        <v>0</v>
      </c>
      <c r="R481" s="114">
        <v>0</v>
      </c>
      <c r="S481" s="114">
        <v>0</v>
      </c>
      <c r="T481" s="196">
        <v>0</v>
      </c>
      <c r="U481" s="52">
        <f>IFERROR(INDEX(tblPiNAnalysis[[Site Management ]], MATCH(tblPiNHistorical[[#This Row],[ID]], tblPiNAnalysis[ID], 0)), "")</f>
        <v>0</v>
      </c>
      <c r="V481" s="52">
        <f>IFERROR(INDEX(tblPiNAnalysis[Education], MATCH(tblPiNHistorical[[#This Row],[ID]], tblPiNAnalysis[ID], 0)), "")</f>
        <v>0</v>
      </c>
      <c r="W481" s="28">
        <f>IFERROR(INDEX(tblPiNAnalysis[Food Security and Livlihoods], MATCH(tblPiNHistorical[[#This Row],[ID]], tblPiNAnalysis[ID], 0)), "")</f>
        <v>0</v>
      </c>
      <c r="X481" s="28">
        <f>IFERROR(INDEX(tblPiNAnalysis[[Health ]], MATCH(tblPiNHistorical[[#This Row],[ID]], tblPiNAnalysis[ID], 0)), "")</f>
        <v>0</v>
      </c>
      <c r="Y481" s="28">
        <f>IFERROR(INDEX(tblPiNAnalysis[Nutrition], MATCH(tblPiNHistorical[[#This Row],[ID]], tblPiNAnalysis[ID], 0)), "")</f>
        <v>0</v>
      </c>
      <c r="Z481" s="28">
        <f>IFERROR(INDEX(tblPiNAnalysis[Protection], MATCH(tblPiNHistorical[[#This Row],[ID]], tblPiNAnalysis[ID], 0)), "")</f>
        <v>0</v>
      </c>
      <c r="AA481" s="28">
        <f>IFERROR(INDEX(tblPiNAnalysis[CP], MATCH(tblPiNHistorical[[#This Row],[ID]], tblPiNAnalysis[ID], 0)), "")</f>
        <v>0</v>
      </c>
      <c r="AB481" s="83">
        <f>IFERROR(INDEX(tblPiNAnalysis[GBV], MATCH(tblPiNHistorical[[#This Row],[ID]], tblPiNAnalysis[ID], 0)), "")</f>
        <v>0</v>
      </c>
      <c r="AC481" s="28">
        <f>IFERROR(INDEX(tblPiNAnalysis[Mine Action], MATCH(tblPiNHistorical[[#This Row],[ID]], tblPiNAnalysis[ID], 0)), "")</f>
        <v>0</v>
      </c>
      <c r="AD481" s="83">
        <f>IFERROR(INDEX(tblPiNAnalysis[[Shelter NFI ]], MATCH(tblPiNHistorical[[#This Row],[ID]], tblPiNAnalysis[ID], 0)), "")</f>
        <v>208</v>
      </c>
      <c r="AE481" s="28">
        <f>IFERROR(INDEX(tblPiNAnalysis[WASH], MATCH(tblPiNHistorical[[#This Row],[ID]], tblPiNAnalysis[ID], 0)), "")</f>
        <v>0</v>
      </c>
      <c r="AF481"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481" s="136" t="str">
        <f>IF(OR(tblPiNHistorical[[#This Row],[Education Old]]="", tblPiNHistorical[[#This Row],[Education Old]]=0, tblPiNHistorical[[#This Row],[Education New]]="", tblPiNHistorical[[#This Row],[Education New]]=0), "", tblPiNHistorical[[#This Row],[Education New]]-tblPiNHistorical[[#This Row],[Education Old]])</f>
        <v/>
      </c>
      <c r="AH481"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481" s="137" t="str">
        <f>IF(OR(tblPiNHistorical[[#This Row],[Health Old]]="", tblPiNHistorical[[#This Row],[Health Old]]=0, tblPiNHistorical[[#This Row],[Health New]]="", tblPiNHistorical[[#This Row],[Health New]]=0), "", tblPiNHistorical[[#This Row],[Health New]]-tblPiNHistorical[[#This Row],[Health Old]])</f>
        <v/>
      </c>
      <c r="AJ481" s="136" t="str">
        <f>IF(OR(tblPiNHistorical[[#This Row],[Nutrition Old]]="", tblPiNHistorical[[#This Row],[Nutrition Old]]=0, tblPiNHistorical[[#This Row],[Nutrition New]]="", tblPiNHistorical[[#This Row],[Nutrition New]]=0), "", tblPiNHistorical[[#This Row],[Nutrition New]]-tblPiNHistorical[[#This Row],[Nutrition Old]])</f>
        <v/>
      </c>
      <c r="AK481" s="136" t="str">
        <f>IF(OR(tblPiNHistorical[[#This Row],[Protection Old]]="", tblPiNHistorical[[#This Row],[Protection Old]]=0, tblPiNHistorical[[#This Row],[Protection New]]="", tblPiNHistorical[[#This Row],[Protection New]]=0), "", tblPiNHistorical[[#This Row],[Protection New]]-tblPiNHistorical[[#This Row],[Protection Old]])</f>
        <v/>
      </c>
      <c r="AL481" s="136" t="str">
        <f>IF(OR(tblPiNHistorical[[#This Row],[CP Old ]]="", tblPiNHistorical[[#This Row],[CP Old ]]=0, tblPiNHistorical[[#This Row],[CP New]]="", tblPiNHistorical[[#This Row],[CP New]]=0), "", tblPiNHistorical[[#This Row],[CP New]]-tblPiNHistorical[[#This Row],[CP Old ]])</f>
        <v/>
      </c>
      <c r="AM481" s="83" t="str">
        <f>IF(OR(tblPiNHistorical[[#This Row],[GBV Old]]="", tblPiNHistorical[[#This Row],[GBV Old]]=0, tblPiNHistorical[[#This Row],[GBV New]]="", tblPiNHistorical[[#This Row],[GBV New]]=0), "", tblPiNHistorical[[#This Row],[GBV New]]-tblPiNHistorical[[#This Row],[GBV Old]])</f>
        <v/>
      </c>
      <c r="AN481" s="83" t="str">
        <f>IF(OR(tblPiNHistorical[[#This Row],[Mine Action Old]]="", tblPiNHistorical[[#This Row],[Mine Action Old]]=0, tblPiNHistorical[[#This Row],[Mine Action New]]="", tblPiNHistorical[[#This Row],[Mine Action New]]=0), "", tblPiNHistorical[[#This Row],[Mine Action New]]-tblPiNHistorical[[#This Row],[Mine Action Old]])</f>
        <v/>
      </c>
      <c r="AO481" s="136" t="str">
        <f>IF(OR(tblPiNHistorical[[#This Row],[Shelter NFI Old]]="", tblPiNHistorical[[#This Row],[Shelter NFI Old]]=0, tblPiNHistorical[[#This Row],[Shelter NFI New]]="", tblPiNHistorical[[#This Row],[Shelter NFI New]]=0), "", tblPiNHistorical[[#This Row],[Shelter NFI New]]-tblPiNHistorical[[#This Row],[Shelter NFI Old]])</f>
        <v/>
      </c>
      <c r="AP481" s="138" t="str">
        <f>IF(OR(tblPiNHistorical[[#This Row],[WASH Old]]="", tblPiNHistorical[[#This Row],[WASH Old]]=0, tblPiNHistorical[[#This Row],[WASH New]]="", tblPiNHistorical[[#This Row],[WASH New]]=0), "", tblPiNHistorical[[#This Row],[WASH New]]-tblPiNHistorical[[#This Row],[WASH Old]])</f>
        <v/>
      </c>
      <c r="AQ481" s="139" t="str">
        <f>IFERROR(ROUND((tblPiNHistorical[[#This Row],[Site Management - New]] - tblPiNHistorical[[#This Row],[Site Management - Old]])/tblPiNHistorical[[#This Row],[Site Management - Old]], 1), "")</f>
        <v/>
      </c>
      <c r="AR481" s="140" t="str">
        <f>IFERROR(ROUND((tblPiNHistorical[[#This Row],[Education New]]-tblPiNHistorical[[#This Row],[Education Old]])/tblPiNHistorical[[#This Row],[Education Old]], 1), "")</f>
        <v/>
      </c>
      <c r="AS481" s="141" t="str">
        <f>IFERROR(ROUND((tblPiNHistorical[[#This Row],[Food Security and Livlihoods New]]-tblPiNHistorical[[#This Row],[Food Security and Livlihoods Old]])/tblPiNHistorical[[#This Row],[Food Security and Livlihoods Old]], 1), "")</f>
        <v/>
      </c>
      <c r="AT481" s="142" t="str">
        <f>IFERROR(ROUND((tblPiNHistorical[[#This Row],[Health New]]-tblPiNHistorical[[#This Row],[Health Old]])/tblPiNHistorical[[#This Row],[Health Old]], 1), "")</f>
        <v/>
      </c>
      <c r="AU481" s="140" t="str">
        <f>IFERROR(ROUND((tblPiNHistorical[[#This Row],[Nutrition New]]-tblPiNHistorical[[#This Row],[Nutrition Old]])/tblPiNHistorical[[#This Row],[Nutrition Old]], 1), "")</f>
        <v/>
      </c>
      <c r="AV481" s="140" t="str">
        <f>IFERROR(ROUND((tblPiNHistorical[[#This Row],[Protection New]]-tblPiNHistorical[[#This Row],[Protection Old]])/tblPiNHistorical[[#This Row],[Protection Old]], 1), "")</f>
        <v/>
      </c>
      <c r="AW481" s="84" t="str">
        <f>IFERROR(ROUND((tblPiNHistorical[[#This Row],[CP New]]-tblPiNHistorical[[#This Row],[CP Old ]])/tblPiNHistorical[[#This Row],[CP Old ]], 1), "")</f>
        <v/>
      </c>
      <c r="AX481" s="84" t="str">
        <f>IFERROR(ROUND((tblPiNHistorical[[#This Row],[GBV New]]-tblPiNHistorical[[#This Row],[GBV Old]])/tblPiNHistorical[[#This Row],[GBV Old]], 1), "")</f>
        <v/>
      </c>
      <c r="AY481" s="84" t="str">
        <f>IFERROR(ROUND((tblPiNHistorical[[#This Row],[Mine Action New]]-tblPiNHistorical[[#This Row],[Mine Action Old]])/tblPiNHistorical[[#This Row],[Mine Action Old]], 1), "")</f>
        <v/>
      </c>
      <c r="AZ481" s="140" t="str">
        <f>IFERROR(ROUND((tblPiNHistorical[[#This Row],[Shelter NFI New]]-tblPiNHistorical[[#This Row],[Shelter NFI Old]])/tblPiNHistorical[[#This Row],[Shelter NFI Old]], 1), "")</f>
        <v/>
      </c>
      <c r="BA481" s="31" t="str">
        <f>IFERROR(ROUND((tblPiNHistorical[[#This Row],[WASH New]]-tblPiNHistorical[[#This Row],[WASH Old]])/tblPiNHistorical[[#This Row],[WASH Old]], 1), "")</f>
        <v/>
      </c>
    </row>
    <row r="482" spans="1:53" ht="38.25" x14ac:dyDescent="0.25">
      <c r="A482"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Host CommunitySD10069</v>
      </c>
      <c r="B482" s="134" t="s">
        <v>176</v>
      </c>
      <c r="C482" s="124" t="s">
        <v>127</v>
      </c>
      <c r="D482" s="124" t="s">
        <v>414</v>
      </c>
      <c r="E482" s="59" t="s">
        <v>415</v>
      </c>
      <c r="F482" s="54"/>
      <c r="G482" s="29"/>
      <c r="H482" s="53">
        <v>0</v>
      </c>
      <c r="I482" s="53" t="s">
        <v>87</v>
      </c>
      <c r="J482" s="34">
        <v>0</v>
      </c>
      <c r="K482" s="116">
        <v>0</v>
      </c>
      <c r="L482" s="114">
        <v>0</v>
      </c>
      <c r="M482" s="114">
        <v>0</v>
      </c>
      <c r="N482" s="114">
        <v>0</v>
      </c>
      <c r="O482" s="114">
        <v>0</v>
      </c>
      <c r="P482" s="114">
        <v>0</v>
      </c>
      <c r="Q482" s="114">
        <v>0</v>
      </c>
      <c r="R482" s="114">
        <v>0</v>
      </c>
      <c r="S482" s="114">
        <v>0</v>
      </c>
      <c r="T482" s="196">
        <v>0</v>
      </c>
      <c r="U482" s="52">
        <f>IFERROR(INDEX(tblPiNAnalysis[[Site Management ]], MATCH(tblPiNHistorical[[#This Row],[ID]], tblPiNAnalysis[ID], 0)), "")</f>
        <v>0</v>
      </c>
      <c r="V482" s="52">
        <f>IFERROR(INDEX(tblPiNAnalysis[Education], MATCH(tblPiNHistorical[[#This Row],[ID]], tblPiNAnalysis[ID], 0)), "")</f>
        <v>0</v>
      </c>
      <c r="W482" s="28">
        <f>IFERROR(INDEX(tblPiNAnalysis[Food Security and Livlihoods], MATCH(tblPiNHistorical[[#This Row],[ID]], tblPiNAnalysis[ID], 0)), "")</f>
        <v>0</v>
      </c>
      <c r="X482" s="28">
        <f>IFERROR(INDEX(tblPiNAnalysis[[Health ]], MATCH(tblPiNHistorical[[#This Row],[ID]], tblPiNAnalysis[ID], 0)), "")</f>
        <v>0</v>
      </c>
      <c r="Y482" s="28">
        <f>IFERROR(INDEX(tblPiNAnalysis[Nutrition], MATCH(tblPiNHistorical[[#This Row],[ID]], tblPiNAnalysis[ID], 0)), "")</f>
        <v>0</v>
      </c>
      <c r="Z482" s="28">
        <f>IFERROR(INDEX(tblPiNAnalysis[Protection], MATCH(tblPiNHistorical[[#This Row],[ID]], tblPiNAnalysis[ID], 0)), "")</f>
        <v>0</v>
      </c>
      <c r="AA482" s="28">
        <f>IFERROR(INDEX(tblPiNAnalysis[CP], MATCH(tblPiNHistorical[[#This Row],[ID]], tblPiNAnalysis[ID], 0)), "")</f>
        <v>0</v>
      </c>
      <c r="AB482" s="83">
        <f>IFERROR(INDEX(tblPiNAnalysis[GBV], MATCH(tblPiNHistorical[[#This Row],[ID]], tblPiNAnalysis[ID], 0)), "")</f>
        <v>0</v>
      </c>
      <c r="AC482" s="28">
        <f>IFERROR(INDEX(tblPiNAnalysis[Mine Action], MATCH(tblPiNHistorical[[#This Row],[ID]], tblPiNAnalysis[ID], 0)), "")</f>
        <v>0</v>
      </c>
      <c r="AD482" s="83">
        <f>IFERROR(INDEX(tblPiNAnalysis[[Shelter NFI ]], MATCH(tblPiNHistorical[[#This Row],[ID]], tblPiNAnalysis[ID], 0)), "")</f>
        <v>196</v>
      </c>
      <c r="AE482" s="28">
        <f>IFERROR(INDEX(tblPiNAnalysis[WASH], MATCH(tblPiNHistorical[[#This Row],[ID]], tblPiNAnalysis[ID], 0)), "")</f>
        <v>0</v>
      </c>
      <c r="AF482"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482" s="136" t="str">
        <f>IF(OR(tblPiNHistorical[[#This Row],[Education Old]]="", tblPiNHistorical[[#This Row],[Education Old]]=0, tblPiNHistorical[[#This Row],[Education New]]="", tblPiNHistorical[[#This Row],[Education New]]=0), "", tblPiNHistorical[[#This Row],[Education New]]-tblPiNHistorical[[#This Row],[Education Old]])</f>
        <v/>
      </c>
      <c r="AH482"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482" s="137" t="str">
        <f>IF(OR(tblPiNHistorical[[#This Row],[Health Old]]="", tblPiNHistorical[[#This Row],[Health Old]]=0, tblPiNHistorical[[#This Row],[Health New]]="", tblPiNHistorical[[#This Row],[Health New]]=0), "", tblPiNHistorical[[#This Row],[Health New]]-tblPiNHistorical[[#This Row],[Health Old]])</f>
        <v/>
      </c>
      <c r="AJ482" s="136" t="str">
        <f>IF(OR(tblPiNHistorical[[#This Row],[Nutrition Old]]="", tblPiNHistorical[[#This Row],[Nutrition Old]]=0, tblPiNHistorical[[#This Row],[Nutrition New]]="", tblPiNHistorical[[#This Row],[Nutrition New]]=0), "", tblPiNHistorical[[#This Row],[Nutrition New]]-tblPiNHistorical[[#This Row],[Nutrition Old]])</f>
        <v/>
      </c>
      <c r="AK482" s="136" t="str">
        <f>IF(OR(tblPiNHistorical[[#This Row],[Protection Old]]="", tblPiNHistorical[[#This Row],[Protection Old]]=0, tblPiNHistorical[[#This Row],[Protection New]]="", tblPiNHistorical[[#This Row],[Protection New]]=0), "", tblPiNHistorical[[#This Row],[Protection New]]-tblPiNHistorical[[#This Row],[Protection Old]])</f>
        <v/>
      </c>
      <c r="AL482" s="136" t="str">
        <f>IF(OR(tblPiNHistorical[[#This Row],[CP Old ]]="", tblPiNHistorical[[#This Row],[CP Old ]]=0, tblPiNHistorical[[#This Row],[CP New]]="", tblPiNHistorical[[#This Row],[CP New]]=0), "", tblPiNHistorical[[#This Row],[CP New]]-tblPiNHistorical[[#This Row],[CP Old ]])</f>
        <v/>
      </c>
      <c r="AM482" s="83" t="str">
        <f>IF(OR(tblPiNHistorical[[#This Row],[GBV Old]]="", tblPiNHistorical[[#This Row],[GBV Old]]=0, tblPiNHistorical[[#This Row],[GBV New]]="", tblPiNHistorical[[#This Row],[GBV New]]=0), "", tblPiNHistorical[[#This Row],[GBV New]]-tblPiNHistorical[[#This Row],[GBV Old]])</f>
        <v/>
      </c>
      <c r="AN482" s="83" t="str">
        <f>IF(OR(tblPiNHistorical[[#This Row],[Mine Action Old]]="", tblPiNHistorical[[#This Row],[Mine Action Old]]=0, tblPiNHistorical[[#This Row],[Mine Action New]]="", tblPiNHistorical[[#This Row],[Mine Action New]]=0), "", tblPiNHistorical[[#This Row],[Mine Action New]]-tblPiNHistorical[[#This Row],[Mine Action Old]])</f>
        <v/>
      </c>
      <c r="AO482" s="136" t="str">
        <f>IF(OR(tblPiNHistorical[[#This Row],[Shelter NFI Old]]="", tblPiNHistorical[[#This Row],[Shelter NFI Old]]=0, tblPiNHistorical[[#This Row],[Shelter NFI New]]="", tblPiNHistorical[[#This Row],[Shelter NFI New]]=0), "", tblPiNHistorical[[#This Row],[Shelter NFI New]]-tblPiNHistorical[[#This Row],[Shelter NFI Old]])</f>
        <v/>
      </c>
      <c r="AP482" s="138" t="str">
        <f>IF(OR(tblPiNHistorical[[#This Row],[WASH Old]]="", tblPiNHistorical[[#This Row],[WASH Old]]=0, tblPiNHistorical[[#This Row],[WASH New]]="", tblPiNHistorical[[#This Row],[WASH New]]=0), "", tblPiNHistorical[[#This Row],[WASH New]]-tblPiNHistorical[[#This Row],[WASH Old]])</f>
        <v/>
      </c>
      <c r="AQ482" s="139" t="str">
        <f>IFERROR(ROUND((tblPiNHistorical[[#This Row],[Site Management - New]] - tblPiNHistorical[[#This Row],[Site Management - Old]])/tblPiNHistorical[[#This Row],[Site Management - Old]], 1), "")</f>
        <v/>
      </c>
      <c r="AR482" s="140" t="str">
        <f>IFERROR(ROUND((tblPiNHistorical[[#This Row],[Education New]]-tblPiNHistorical[[#This Row],[Education Old]])/tblPiNHistorical[[#This Row],[Education Old]], 1), "")</f>
        <v/>
      </c>
      <c r="AS482" s="141" t="str">
        <f>IFERROR(ROUND((tblPiNHistorical[[#This Row],[Food Security and Livlihoods New]]-tblPiNHistorical[[#This Row],[Food Security and Livlihoods Old]])/tblPiNHistorical[[#This Row],[Food Security and Livlihoods Old]], 1), "")</f>
        <v/>
      </c>
      <c r="AT482" s="142" t="str">
        <f>IFERROR(ROUND((tblPiNHistorical[[#This Row],[Health New]]-tblPiNHistorical[[#This Row],[Health Old]])/tblPiNHistorical[[#This Row],[Health Old]], 1), "")</f>
        <v/>
      </c>
      <c r="AU482" s="140" t="str">
        <f>IFERROR(ROUND((tblPiNHistorical[[#This Row],[Nutrition New]]-tblPiNHistorical[[#This Row],[Nutrition Old]])/tblPiNHistorical[[#This Row],[Nutrition Old]], 1), "")</f>
        <v/>
      </c>
      <c r="AV482" s="140" t="str">
        <f>IFERROR(ROUND((tblPiNHistorical[[#This Row],[Protection New]]-tblPiNHistorical[[#This Row],[Protection Old]])/tblPiNHistorical[[#This Row],[Protection Old]], 1), "")</f>
        <v/>
      </c>
      <c r="AW482" s="84" t="str">
        <f>IFERROR(ROUND((tblPiNHistorical[[#This Row],[CP New]]-tblPiNHistorical[[#This Row],[CP Old ]])/tblPiNHistorical[[#This Row],[CP Old ]], 1), "")</f>
        <v/>
      </c>
      <c r="AX482" s="84" t="str">
        <f>IFERROR(ROUND((tblPiNHistorical[[#This Row],[GBV New]]-tblPiNHistorical[[#This Row],[GBV Old]])/tblPiNHistorical[[#This Row],[GBV Old]], 1), "")</f>
        <v/>
      </c>
      <c r="AY482" s="84" t="str">
        <f>IFERROR(ROUND((tblPiNHistorical[[#This Row],[Mine Action New]]-tblPiNHistorical[[#This Row],[Mine Action Old]])/tblPiNHistorical[[#This Row],[Mine Action Old]], 1), "")</f>
        <v/>
      </c>
      <c r="AZ482" s="140" t="str">
        <f>IFERROR(ROUND((tblPiNHistorical[[#This Row],[Shelter NFI New]]-tblPiNHistorical[[#This Row],[Shelter NFI Old]])/tblPiNHistorical[[#This Row],[Shelter NFI Old]], 1), "")</f>
        <v/>
      </c>
      <c r="BA482" s="31" t="str">
        <f>IFERROR(ROUND((tblPiNHistorical[[#This Row],[WASH New]]-tblPiNHistorical[[#This Row],[WASH Old]])/tblPiNHistorical[[#This Row],[WASH Old]], 1), "")</f>
        <v/>
      </c>
    </row>
    <row r="483" spans="1:53" ht="38.25" x14ac:dyDescent="0.25">
      <c r="A483"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Host CommunitySD10063</v>
      </c>
      <c r="B483" s="134" t="s">
        <v>176</v>
      </c>
      <c r="C483" s="124" t="s">
        <v>127</v>
      </c>
      <c r="D483" s="124" t="s">
        <v>402</v>
      </c>
      <c r="E483" s="59" t="s">
        <v>403</v>
      </c>
      <c r="F483" s="54"/>
      <c r="G483" s="29"/>
      <c r="H483" s="53">
        <v>325</v>
      </c>
      <c r="I483" s="53" t="s">
        <v>87</v>
      </c>
      <c r="J483" s="34">
        <v>0</v>
      </c>
      <c r="K483" s="116">
        <v>126.0025</v>
      </c>
      <c r="L483" s="114">
        <v>325</v>
      </c>
      <c r="M483" s="114">
        <v>325</v>
      </c>
      <c r="N483" s="114">
        <v>56</v>
      </c>
      <c r="O483" s="114">
        <v>35.750000000000007</v>
      </c>
      <c r="P483" s="114">
        <v>36</v>
      </c>
      <c r="Q483" s="114">
        <v>0</v>
      </c>
      <c r="R483" s="114">
        <v>0</v>
      </c>
      <c r="S483" s="114">
        <v>0</v>
      </c>
      <c r="T483" s="196">
        <v>317.39500000000004</v>
      </c>
      <c r="U483" s="52">
        <f>IFERROR(INDEX(tblPiNAnalysis[[Site Management ]], MATCH(tblPiNHistorical[[#This Row],[ID]], tblPiNAnalysis[ID], 0)), "")</f>
        <v>0</v>
      </c>
      <c r="V483" s="52">
        <f>IFERROR(INDEX(tblPiNAnalysis[Education], MATCH(tblPiNHistorical[[#This Row],[ID]], tblPiNAnalysis[ID], 0)), "")</f>
        <v>0</v>
      </c>
      <c r="W483" s="28">
        <f>IFERROR(INDEX(tblPiNAnalysis[Food Security and Livlihoods], MATCH(tblPiNHistorical[[#This Row],[ID]], tblPiNAnalysis[ID], 0)), "")</f>
        <v>0</v>
      </c>
      <c r="X483" s="28">
        <f>IFERROR(INDEX(tblPiNAnalysis[[Health ]], MATCH(tblPiNHistorical[[#This Row],[ID]], tblPiNAnalysis[ID], 0)), "")</f>
        <v>0</v>
      </c>
      <c r="Y483" s="28">
        <f>IFERROR(INDEX(tblPiNAnalysis[Nutrition], MATCH(tblPiNHistorical[[#This Row],[ID]], tblPiNAnalysis[ID], 0)), "")</f>
        <v>0</v>
      </c>
      <c r="Z483" s="28">
        <f>IFERROR(INDEX(tblPiNAnalysis[Protection], MATCH(tblPiNHistorical[[#This Row],[ID]], tblPiNAnalysis[ID], 0)), "")</f>
        <v>0</v>
      </c>
      <c r="AA483" s="28">
        <f>IFERROR(INDEX(tblPiNAnalysis[CP], MATCH(tblPiNHistorical[[#This Row],[ID]], tblPiNAnalysis[ID], 0)), "")</f>
        <v>0</v>
      </c>
      <c r="AB483" s="83">
        <f>IFERROR(INDEX(tblPiNAnalysis[GBV], MATCH(tblPiNHistorical[[#This Row],[ID]], tblPiNAnalysis[ID], 0)), "")</f>
        <v>0</v>
      </c>
      <c r="AC483" s="28">
        <f>IFERROR(INDEX(tblPiNAnalysis[Mine Action], MATCH(tblPiNHistorical[[#This Row],[ID]], tblPiNAnalysis[ID], 0)), "")</f>
        <v>0</v>
      </c>
      <c r="AD483" s="83">
        <f>IFERROR(INDEX(tblPiNAnalysis[[Shelter NFI ]], MATCH(tblPiNHistorical[[#This Row],[ID]], tblPiNAnalysis[ID], 0)), "")</f>
        <v>777</v>
      </c>
      <c r="AE483" s="28">
        <f>IFERROR(INDEX(tblPiNAnalysis[WASH], MATCH(tblPiNHistorical[[#This Row],[ID]], tblPiNAnalysis[ID], 0)), "")</f>
        <v>0</v>
      </c>
      <c r="AF483"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483" s="136" t="str">
        <f>IF(OR(tblPiNHistorical[[#This Row],[Education Old]]="", tblPiNHistorical[[#This Row],[Education Old]]=0, tblPiNHistorical[[#This Row],[Education New]]="", tblPiNHistorical[[#This Row],[Education New]]=0), "", tblPiNHistorical[[#This Row],[Education New]]-tblPiNHistorical[[#This Row],[Education Old]])</f>
        <v/>
      </c>
      <c r="AH483"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483" s="137" t="str">
        <f>IF(OR(tblPiNHistorical[[#This Row],[Health Old]]="", tblPiNHistorical[[#This Row],[Health Old]]=0, tblPiNHistorical[[#This Row],[Health New]]="", tblPiNHistorical[[#This Row],[Health New]]=0), "", tblPiNHistorical[[#This Row],[Health New]]-tblPiNHistorical[[#This Row],[Health Old]])</f>
        <v/>
      </c>
      <c r="AJ483" s="136" t="str">
        <f>IF(OR(tblPiNHistorical[[#This Row],[Nutrition Old]]="", tblPiNHistorical[[#This Row],[Nutrition Old]]=0, tblPiNHistorical[[#This Row],[Nutrition New]]="", tblPiNHistorical[[#This Row],[Nutrition New]]=0), "", tblPiNHistorical[[#This Row],[Nutrition New]]-tblPiNHistorical[[#This Row],[Nutrition Old]])</f>
        <v/>
      </c>
      <c r="AK483" s="136" t="str">
        <f>IF(OR(tblPiNHistorical[[#This Row],[Protection Old]]="", tblPiNHistorical[[#This Row],[Protection Old]]=0, tblPiNHistorical[[#This Row],[Protection New]]="", tblPiNHistorical[[#This Row],[Protection New]]=0), "", tblPiNHistorical[[#This Row],[Protection New]]-tblPiNHistorical[[#This Row],[Protection Old]])</f>
        <v/>
      </c>
      <c r="AL483" s="136" t="str">
        <f>IF(OR(tblPiNHistorical[[#This Row],[CP Old ]]="", tblPiNHistorical[[#This Row],[CP Old ]]=0, tblPiNHistorical[[#This Row],[CP New]]="", tblPiNHistorical[[#This Row],[CP New]]=0), "", tblPiNHistorical[[#This Row],[CP New]]-tblPiNHistorical[[#This Row],[CP Old ]])</f>
        <v/>
      </c>
      <c r="AM483" s="83" t="str">
        <f>IF(OR(tblPiNHistorical[[#This Row],[GBV Old]]="", tblPiNHistorical[[#This Row],[GBV Old]]=0, tblPiNHistorical[[#This Row],[GBV New]]="", tblPiNHistorical[[#This Row],[GBV New]]=0), "", tblPiNHistorical[[#This Row],[GBV New]]-tblPiNHistorical[[#This Row],[GBV Old]])</f>
        <v/>
      </c>
      <c r="AN483" s="83" t="str">
        <f>IF(OR(tblPiNHistorical[[#This Row],[Mine Action Old]]="", tblPiNHistorical[[#This Row],[Mine Action Old]]=0, tblPiNHistorical[[#This Row],[Mine Action New]]="", tblPiNHistorical[[#This Row],[Mine Action New]]=0), "", tblPiNHistorical[[#This Row],[Mine Action New]]-tblPiNHistorical[[#This Row],[Mine Action Old]])</f>
        <v/>
      </c>
      <c r="AO483" s="136" t="str">
        <f>IF(OR(tblPiNHistorical[[#This Row],[Shelter NFI Old]]="", tblPiNHistorical[[#This Row],[Shelter NFI Old]]=0, tblPiNHistorical[[#This Row],[Shelter NFI New]]="", tblPiNHistorical[[#This Row],[Shelter NFI New]]=0), "", tblPiNHistorical[[#This Row],[Shelter NFI New]]-tblPiNHistorical[[#This Row],[Shelter NFI Old]])</f>
        <v/>
      </c>
      <c r="AP483" s="138" t="str">
        <f>IF(OR(tblPiNHistorical[[#This Row],[WASH Old]]="", tblPiNHistorical[[#This Row],[WASH Old]]=0, tblPiNHistorical[[#This Row],[WASH New]]="", tblPiNHistorical[[#This Row],[WASH New]]=0), "", tblPiNHistorical[[#This Row],[WASH New]]-tblPiNHistorical[[#This Row],[WASH Old]])</f>
        <v/>
      </c>
      <c r="AQ483" s="139" t="str">
        <f>IFERROR(ROUND((tblPiNHistorical[[#This Row],[Site Management - New]] - tblPiNHistorical[[#This Row],[Site Management - Old]])/tblPiNHistorical[[#This Row],[Site Management - Old]], 1), "")</f>
        <v/>
      </c>
      <c r="AR483" s="140">
        <f>IFERROR(ROUND((tblPiNHistorical[[#This Row],[Education New]]-tblPiNHistorical[[#This Row],[Education Old]])/tblPiNHistorical[[#This Row],[Education Old]], 1), "")</f>
        <v>-1</v>
      </c>
      <c r="AS483" s="141">
        <f>IFERROR(ROUND((tblPiNHistorical[[#This Row],[Food Security and Livlihoods New]]-tblPiNHistorical[[#This Row],[Food Security and Livlihoods Old]])/tblPiNHistorical[[#This Row],[Food Security and Livlihoods Old]], 1), "")</f>
        <v>-1</v>
      </c>
      <c r="AT483" s="142">
        <f>IFERROR(ROUND((tblPiNHistorical[[#This Row],[Health New]]-tblPiNHistorical[[#This Row],[Health Old]])/tblPiNHistorical[[#This Row],[Health Old]], 1), "")</f>
        <v>-1</v>
      </c>
      <c r="AU483" s="140">
        <f>IFERROR(ROUND((tblPiNHistorical[[#This Row],[Nutrition New]]-tblPiNHistorical[[#This Row],[Nutrition Old]])/tblPiNHistorical[[#This Row],[Nutrition Old]], 1), "")</f>
        <v>-1</v>
      </c>
      <c r="AV483" s="140">
        <f>IFERROR(ROUND((tblPiNHistorical[[#This Row],[Protection New]]-tblPiNHistorical[[#This Row],[Protection Old]])/tblPiNHistorical[[#This Row],[Protection Old]], 1), "")</f>
        <v>-1</v>
      </c>
      <c r="AW483" s="84">
        <f>IFERROR(ROUND((tblPiNHistorical[[#This Row],[CP New]]-tblPiNHistorical[[#This Row],[CP Old ]])/tblPiNHistorical[[#This Row],[CP Old ]], 1), "")</f>
        <v>-1</v>
      </c>
      <c r="AX483" s="84" t="str">
        <f>IFERROR(ROUND((tblPiNHistorical[[#This Row],[GBV New]]-tblPiNHistorical[[#This Row],[GBV Old]])/tblPiNHistorical[[#This Row],[GBV Old]], 1), "")</f>
        <v/>
      </c>
      <c r="AY483" s="84" t="str">
        <f>IFERROR(ROUND((tblPiNHistorical[[#This Row],[Mine Action New]]-tblPiNHistorical[[#This Row],[Mine Action Old]])/tblPiNHistorical[[#This Row],[Mine Action Old]], 1), "")</f>
        <v/>
      </c>
      <c r="AZ483" s="140" t="str">
        <f>IFERROR(ROUND((tblPiNHistorical[[#This Row],[Shelter NFI New]]-tblPiNHistorical[[#This Row],[Shelter NFI Old]])/tblPiNHistorical[[#This Row],[Shelter NFI Old]], 1), "")</f>
        <v/>
      </c>
      <c r="BA483" s="31">
        <f>IFERROR(ROUND((tblPiNHistorical[[#This Row],[WASH New]]-tblPiNHistorical[[#This Row],[WASH Old]])/tblPiNHistorical[[#This Row],[WASH Old]], 1), "")</f>
        <v>-1</v>
      </c>
    </row>
    <row r="484" spans="1:53" ht="38.25" x14ac:dyDescent="0.25">
      <c r="A484"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Host CommunitySD10066</v>
      </c>
      <c r="B484" s="134" t="s">
        <v>176</v>
      </c>
      <c r="C484" s="124" t="s">
        <v>127</v>
      </c>
      <c r="D484" s="124" t="s">
        <v>408</v>
      </c>
      <c r="E484" s="59" t="s">
        <v>409</v>
      </c>
      <c r="F484" s="54"/>
      <c r="G484" s="29"/>
      <c r="H484" s="53">
        <v>0</v>
      </c>
      <c r="I484" s="53" t="s">
        <v>87</v>
      </c>
      <c r="J484" s="34">
        <v>0</v>
      </c>
      <c r="K484" s="116">
        <v>0</v>
      </c>
      <c r="L484" s="114">
        <v>0</v>
      </c>
      <c r="M484" s="114">
        <v>0</v>
      </c>
      <c r="N484" s="114">
        <v>0</v>
      </c>
      <c r="O484" s="114">
        <v>0</v>
      </c>
      <c r="P484" s="114">
        <v>0</v>
      </c>
      <c r="Q484" s="114">
        <v>0</v>
      </c>
      <c r="R484" s="114">
        <v>0</v>
      </c>
      <c r="S484" s="114">
        <v>0</v>
      </c>
      <c r="T484" s="196">
        <v>0</v>
      </c>
      <c r="U484" s="52">
        <f>IFERROR(INDEX(tblPiNAnalysis[[Site Management ]], MATCH(tblPiNHistorical[[#This Row],[ID]], tblPiNAnalysis[ID], 0)), "")</f>
        <v>0</v>
      </c>
      <c r="V484" s="52">
        <f>IFERROR(INDEX(tblPiNAnalysis[Education], MATCH(tblPiNHistorical[[#This Row],[ID]], tblPiNAnalysis[ID], 0)), "")</f>
        <v>0</v>
      </c>
      <c r="W484" s="28">
        <f>IFERROR(INDEX(tblPiNAnalysis[Food Security and Livlihoods], MATCH(tblPiNHistorical[[#This Row],[ID]], tblPiNAnalysis[ID], 0)), "")</f>
        <v>0</v>
      </c>
      <c r="X484" s="28">
        <f>IFERROR(INDEX(tblPiNAnalysis[[Health ]], MATCH(tblPiNHistorical[[#This Row],[ID]], tblPiNAnalysis[ID], 0)), "")</f>
        <v>0</v>
      </c>
      <c r="Y484" s="28">
        <f>IFERROR(INDEX(tblPiNAnalysis[Nutrition], MATCH(tblPiNHistorical[[#This Row],[ID]], tblPiNAnalysis[ID], 0)), "")</f>
        <v>0</v>
      </c>
      <c r="Z484" s="28">
        <f>IFERROR(INDEX(tblPiNAnalysis[Protection], MATCH(tblPiNHistorical[[#This Row],[ID]], tblPiNAnalysis[ID], 0)), "")</f>
        <v>0</v>
      </c>
      <c r="AA484" s="28">
        <f>IFERROR(INDEX(tblPiNAnalysis[CP], MATCH(tblPiNHistorical[[#This Row],[ID]], tblPiNAnalysis[ID], 0)), "")</f>
        <v>0</v>
      </c>
      <c r="AB484" s="83">
        <f>IFERROR(INDEX(tblPiNAnalysis[GBV], MATCH(tblPiNHistorical[[#This Row],[ID]], tblPiNAnalysis[ID], 0)), "")</f>
        <v>0</v>
      </c>
      <c r="AC484" s="28">
        <f>IFERROR(INDEX(tblPiNAnalysis[Mine Action], MATCH(tblPiNHistorical[[#This Row],[ID]], tblPiNAnalysis[ID], 0)), "")</f>
        <v>0</v>
      </c>
      <c r="AD484" s="83">
        <f>IFERROR(INDEX(tblPiNAnalysis[[Shelter NFI ]], MATCH(tblPiNHistorical[[#This Row],[ID]], tblPiNAnalysis[ID], 0)), "")</f>
        <v>131</v>
      </c>
      <c r="AE484" s="28">
        <f>IFERROR(INDEX(tblPiNAnalysis[WASH], MATCH(tblPiNHistorical[[#This Row],[ID]], tblPiNAnalysis[ID], 0)), "")</f>
        <v>0</v>
      </c>
      <c r="AF484"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484" s="136" t="str">
        <f>IF(OR(tblPiNHistorical[[#This Row],[Education Old]]="", tblPiNHistorical[[#This Row],[Education Old]]=0, tblPiNHistorical[[#This Row],[Education New]]="", tblPiNHistorical[[#This Row],[Education New]]=0), "", tblPiNHistorical[[#This Row],[Education New]]-tblPiNHistorical[[#This Row],[Education Old]])</f>
        <v/>
      </c>
      <c r="AH484"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484" s="137" t="str">
        <f>IF(OR(tblPiNHistorical[[#This Row],[Health Old]]="", tblPiNHistorical[[#This Row],[Health Old]]=0, tblPiNHistorical[[#This Row],[Health New]]="", tblPiNHistorical[[#This Row],[Health New]]=0), "", tblPiNHistorical[[#This Row],[Health New]]-tblPiNHistorical[[#This Row],[Health Old]])</f>
        <v/>
      </c>
      <c r="AJ484" s="136" t="str">
        <f>IF(OR(tblPiNHistorical[[#This Row],[Nutrition Old]]="", tblPiNHistorical[[#This Row],[Nutrition Old]]=0, tblPiNHistorical[[#This Row],[Nutrition New]]="", tblPiNHistorical[[#This Row],[Nutrition New]]=0), "", tblPiNHistorical[[#This Row],[Nutrition New]]-tblPiNHistorical[[#This Row],[Nutrition Old]])</f>
        <v/>
      </c>
      <c r="AK484" s="136" t="str">
        <f>IF(OR(tblPiNHistorical[[#This Row],[Protection Old]]="", tblPiNHistorical[[#This Row],[Protection Old]]=0, tblPiNHistorical[[#This Row],[Protection New]]="", tblPiNHistorical[[#This Row],[Protection New]]=0), "", tblPiNHistorical[[#This Row],[Protection New]]-tblPiNHistorical[[#This Row],[Protection Old]])</f>
        <v/>
      </c>
      <c r="AL484" s="136" t="str">
        <f>IF(OR(tblPiNHistorical[[#This Row],[CP Old ]]="", tblPiNHistorical[[#This Row],[CP Old ]]=0, tblPiNHistorical[[#This Row],[CP New]]="", tblPiNHistorical[[#This Row],[CP New]]=0), "", tblPiNHistorical[[#This Row],[CP New]]-tblPiNHistorical[[#This Row],[CP Old ]])</f>
        <v/>
      </c>
      <c r="AM484" s="83" t="str">
        <f>IF(OR(tblPiNHistorical[[#This Row],[GBV Old]]="", tblPiNHistorical[[#This Row],[GBV Old]]=0, tblPiNHistorical[[#This Row],[GBV New]]="", tblPiNHistorical[[#This Row],[GBV New]]=0), "", tblPiNHistorical[[#This Row],[GBV New]]-tblPiNHistorical[[#This Row],[GBV Old]])</f>
        <v/>
      </c>
      <c r="AN484" s="83" t="str">
        <f>IF(OR(tblPiNHistorical[[#This Row],[Mine Action Old]]="", tblPiNHistorical[[#This Row],[Mine Action Old]]=0, tblPiNHistorical[[#This Row],[Mine Action New]]="", tblPiNHistorical[[#This Row],[Mine Action New]]=0), "", tblPiNHistorical[[#This Row],[Mine Action New]]-tblPiNHistorical[[#This Row],[Mine Action Old]])</f>
        <v/>
      </c>
      <c r="AO484" s="136" t="str">
        <f>IF(OR(tblPiNHistorical[[#This Row],[Shelter NFI Old]]="", tblPiNHistorical[[#This Row],[Shelter NFI Old]]=0, tblPiNHistorical[[#This Row],[Shelter NFI New]]="", tblPiNHistorical[[#This Row],[Shelter NFI New]]=0), "", tblPiNHistorical[[#This Row],[Shelter NFI New]]-tblPiNHistorical[[#This Row],[Shelter NFI Old]])</f>
        <v/>
      </c>
      <c r="AP484" s="138" t="str">
        <f>IF(OR(tblPiNHistorical[[#This Row],[WASH Old]]="", tblPiNHistorical[[#This Row],[WASH Old]]=0, tblPiNHistorical[[#This Row],[WASH New]]="", tblPiNHistorical[[#This Row],[WASH New]]=0), "", tblPiNHistorical[[#This Row],[WASH New]]-tblPiNHistorical[[#This Row],[WASH Old]])</f>
        <v/>
      </c>
      <c r="AQ484" s="139" t="str">
        <f>IFERROR(ROUND((tblPiNHistorical[[#This Row],[Site Management - New]] - tblPiNHistorical[[#This Row],[Site Management - Old]])/tblPiNHistorical[[#This Row],[Site Management - Old]], 1), "")</f>
        <v/>
      </c>
      <c r="AR484" s="140" t="str">
        <f>IFERROR(ROUND((tblPiNHistorical[[#This Row],[Education New]]-tblPiNHistorical[[#This Row],[Education Old]])/tblPiNHistorical[[#This Row],[Education Old]], 1), "")</f>
        <v/>
      </c>
      <c r="AS484" s="141" t="str">
        <f>IFERROR(ROUND((tblPiNHistorical[[#This Row],[Food Security and Livlihoods New]]-tblPiNHistorical[[#This Row],[Food Security and Livlihoods Old]])/tblPiNHistorical[[#This Row],[Food Security and Livlihoods Old]], 1), "")</f>
        <v/>
      </c>
      <c r="AT484" s="142" t="str">
        <f>IFERROR(ROUND((tblPiNHistorical[[#This Row],[Health New]]-tblPiNHistorical[[#This Row],[Health Old]])/tblPiNHistorical[[#This Row],[Health Old]], 1), "")</f>
        <v/>
      </c>
      <c r="AU484" s="140" t="str">
        <f>IFERROR(ROUND((tblPiNHistorical[[#This Row],[Nutrition New]]-tblPiNHistorical[[#This Row],[Nutrition Old]])/tblPiNHistorical[[#This Row],[Nutrition Old]], 1), "")</f>
        <v/>
      </c>
      <c r="AV484" s="140" t="str">
        <f>IFERROR(ROUND((tblPiNHistorical[[#This Row],[Protection New]]-tblPiNHistorical[[#This Row],[Protection Old]])/tblPiNHistorical[[#This Row],[Protection Old]], 1), "")</f>
        <v/>
      </c>
      <c r="AW484" s="84" t="str">
        <f>IFERROR(ROUND((tblPiNHistorical[[#This Row],[CP New]]-tblPiNHistorical[[#This Row],[CP Old ]])/tblPiNHistorical[[#This Row],[CP Old ]], 1), "")</f>
        <v/>
      </c>
      <c r="AX484" s="84" t="str">
        <f>IFERROR(ROUND((tblPiNHistorical[[#This Row],[GBV New]]-tblPiNHistorical[[#This Row],[GBV Old]])/tblPiNHistorical[[#This Row],[GBV Old]], 1), "")</f>
        <v/>
      </c>
      <c r="AY484" s="84" t="str">
        <f>IFERROR(ROUND((tblPiNHistorical[[#This Row],[Mine Action New]]-tblPiNHistorical[[#This Row],[Mine Action Old]])/tblPiNHistorical[[#This Row],[Mine Action Old]], 1), "")</f>
        <v/>
      </c>
      <c r="AZ484" s="140" t="str">
        <f>IFERROR(ROUND((tblPiNHistorical[[#This Row],[Shelter NFI New]]-tblPiNHistorical[[#This Row],[Shelter NFI Old]])/tblPiNHistorical[[#This Row],[Shelter NFI Old]], 1), "")</f>
        <v/>
      </c>
      <c r="BA484" s="31" t="str">
        <f>IFERROR(ROUND((tblPiNHistorical[[#This Row],[WASH New]]-tblPiNHistorical[[#This Row],[WASH Old]])/tblPiNHistorical[[#This Row],[WASH Old]], 1), "")</f>
        <v/>
      </c>
    </row>
    <row r="485" spans="1:53" ht="38.25" x14ac:dyDescent="0.25">
      <c r="A485"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Host CommunitySD10070</v>
      </c>
      <c r="B485" s="134" t="s">
        <v>176</v>
      </c>
      <c r="C485" s="124" t="s">
        <v>127</v>
      </c>
      <c r="D485" s="124" t="s">
        <v>416</v>
      </c>
      <c r="E485" s="59" t="s">
        <v>417</v>
      </c>
      <c r="F485" s="54"/>
      <c r="G485" s="29"/>
      <c r="H485" s="53">
        <v>2075</v>
      </c>
      <c r="I485" s="53" t="s">
        <v>87</v>
      </c>
      <c r="J485" s="34">
        <v>0</v>
      </c>
      <c r="K485" s="116">
        <v>0</v>
      </c>
      <c r="L485" s="114">
        <v>2075</v>
      </c>
      <c r="M485" s="114">
        <v>2075</v>
      </c>
      <c r="N485" s="114">
        <v>467</v>
      </c>
      <c r="O485" s="114">
        <v>547</v>
      </c>
      <c r="P485" s="114">
        <v>228</v>
      </c>
      <c r="Q485" s="114">
        <v>547</v>
      </c>
      <c r="R485" s="114">
        <v>0</v>
      </c>
      <c r="S485" s="114">
        <v>0</v>
      </c>
      <c r="T485" s="196">
        <v>2042.2149999999999</v>
      </c>
      <c r="U485" s="52">
        <f>IFERROR(INDEX(tblPiNAnalysis[[Site Management ]], MATCH(tblPiNHistorical[[#This Row],[ID]], tblPiNAnalysis[ID], 0)), "")</f>
        <v>0</v>
      </c>
      <c r="V485" s="52">
        <f>IFERROR(INDEX(tblPiNAnalysis[Education], MATCH(tblPiNHistorical[[#This Row],[ID]], tblPiNAnalysis[ID], 0)), "")</f>
        <v>0</v>
      </c>
      <c r="W485" s="28">
        <f>IFERROR(INDEX(tblPiNAnalysis[Food Security and Livlihoods], MATCH(tblPiNHistorical[[#This Row],[ID]], tblPiNAnalysis[ID], 0)), "")</f>
        <v>0</v>
      </c>
      <c r="X485" s="28">
        <f>IFERROR(INDEX(tblPiNAnalysis[[Health ]], MATCH(tblPiNHistorical[[#This Row],[ID]], tblPiNAnalysis[ID], 0)), "")</f>
        <v>0</v>
      </c>
      <c r="Y485" s="28">
        <f>IFERROR(INDEX(tblPiNAnalysis[Nutrition], MATCH(tblPiNHistorical[[#This Row],[ID]], tblPiNAnalysis[ID], 0)), "")</f>
        <v>0</v>
      </c>
      <c r="Z485" s="28">
        <f>IFERROR(INDEX(tblPiNAnalysis[Protection], MATCH(tblPiNHistorical[[#This Row],[ID]], tblPiNAnalysis[ID], 0)), "")</f>
        <v>0</v>
      </c>
      <c r="AA485" s="28">
        <f>IFERROR(INDEX(tblPiNAnalysis[CP], MATCH(tblPiNHistorical[[#This Row],[ID]], tblPiNAnalysis[ID], 0)), "")</f>
        <v>0</v>
      </c>
      <c r="AB485" s="83">
        <f>IFERROR(INDEX(tblPiNAnalysis[GBV], MATCH(tblPiNHistorical[[#This Row],[ID]], tblPiNAnalysis[ID], 0)), "")</f>
        <v>0</v>
      </c>
      <c r="AC485" s="28">
        <f>IFERROR(INDEX(tblPiNAnalysis[Mine Action], MATCH(tblPiNHistorical[[#This Row],[ID]], tblPiNAnalysis[ID], 0)), "")</f>
        <v>0</v>
      </c>
      <c r="AD485" s="83">
        <f>IFERROR(INDEX(tblPiNAnalysis[[Shelter NFI ]], MATCH(tblPiNHistorical[[#This Row],[ID]], tblPiNAnalysis[ID], 0)), "")</f>
        <v>1487</v>
      </c>
      <c r="AE485" s="28">
        <f>IFERROR(INDEX(tblPiNAnalysis[WASH], MATCH(tblPiNHistorical[[#This Row],[ID]], tblPiNAnalysis[ID], 0)), "")</f>
        <v>0</v>
      </c>
      <c r="AF485"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485" s="136" t="str">
        <f>IF(OR(tblPiNHistorical[[#This Row],[Education Old]]="", tblPiNHistorical[[#This Row],[Education Old]]=0, tblPiNHistorical[[#This Row],[Education New]]="", tblPiNHistorical[[#This Row],[Education New]]=0), "", tblPiNHistorical[[#This Row],[Education New]]-tblPiNHistorical[[#This Row],[Education Old]])</f>
        <v/>
      </c>
      <c r="AH485"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485" s="137" t="str">
        <f>IF(OR(tblPiNHistorical[[#This Row],[Health Old]]="", tblPiNHistorical[[#This Row],[Health Old]]=0, tblPiNHistorical[[#This Row],[Health New]]="", tblPiNHistorical[[#This Row],[Health New]]=0), "", tblPiNHistorical[[#This Row],[Health New]]-tblPiNHistorical[[#This Row],[Health Old]])</f>
        <v/>
      </c>
      <c r="AJ485" s="136" t="str">
        <f>IF(OR(tblPiNHistorical[[#This Row],[Nutrition Old]]="", tblPiNHistorical[[#This Row],[Nutrition Old]]=0, tblPiNHistorical[[#This Row],[Nutrition New]]="", tblPiNHistorical[[#This Row],[Nutrition New]]=0), "", tblPiNHistorical[[#This Row],[Nutrition New]]-tblPiNHistorical[[#This Row],[Nutrition Old]])</f>
        <v/>
      </c>
      <c r="AK485" s="136" t="str">
        <f>IF(OR(tblPiNHistorical[[#This Row],[Protection Old]]="", tblPiNHistorical[[#This Row],[Protection Old]]=0, tblPiNHistorical[[#This Row],[Protection New]]="", tblPiNHistorical[[#This Row],[Protection New]]=0), "", tblPiNHistorical[[#This Row],[Protection New]]-tblPiNHistorical[[#This Row],[Protection Old]])</f>
        <v/>
      </c>
      <c r="AL485" s="136" t="str">
        <f>IF(OR(tblPiNHistorical[[#This Row],[CP Old ]]="", tblPiNHistorical[[#This Row],[CP Old ]]=0, tblPiNHistorical[[#This Row],[CP New]]="", tblPiNHistorical[[#This Row],[CP New]]=0), "", tblPiNHistorical[[#This Row],[CP New]]-tblPiNHistorical[[#This Row],[CP Old ]])</f>
        <v/>
      </c>
      <c r="AM485" s="83" t="str">
        <f>IF(OR(tblPiNHistorical[[#This Row],[GBV Old]]="", tblPiNHistorical[[#This Row],[GBV Old]]=0, tblPiNHistorical[[#This Row],[GBV New]]="", tblPiNHistorical[[#This Row],[GBV New]]=0), "", tblPiNHistorical[[#This Row],[GBV New]]-tblPiNHistorical[[#This Row],[GBV Old]])</f>
        <v/>
      </c>
      <c r="AN485" s="83" t="str">
        <f>IF(OR(tblPiNHistorical[[#This Row],[Mine Action Old]]="", tblPiNHistorical[[#This Row],[Mine Action Old]]=0, tblPiNHistorical[[#This Row],[Mine Action New]]="", tblPiNHistorical[[#This Row],[Mine Action New]]=0), "", tblPiNHistorical[[#This Row],[Mine Action New]]-tblPiNHistorical[[#This Row],[Mine Action Old]])</f>
        <v/>
      </c>
      <c r="AO485" s="136" t="str">
        <f>IF(OR(tblPiNHistorical[[#This Row],[Shelter NFI Old]]="", tblPiNHistorical[[#This Row],[Shelter NFI Old]]=0, tblPiNHistorical[[#This Row],[Shelter NFI New]]="", tblPiNHistorical[[#This Row],[Shelter NFI New]]=0), "", tblPiNHistorical[[#This Row],[Shelter NFI New]]-tblPiNHistorical[[#This Row],[Shelter NFI Old]])</f>
        <v/>
      </c>
      <c r="AP485" s="138" t="str">
        <f>IF(OR(tblPiNHistorical[[#This Row],[WASH Old]]="", tblPiNHistorical[[#This Row],[WASH Old]]=0, tblPiNHistorical[[#This Row],[WASH New]]="", tblPiNHistorical[[#This Row],[WASH New]]=0), "", tblPiNHistorical[[#This Row],[WASH New]]-tblPiNHistorical[[#This Row],[WASH Old]])</f>
        <v/>
      </c>
      <c r="AQ485" s="139" t="str">
        <f>IFERROR(ROUND((tblPiNHistorical[[#This Row],[Site Management - New]] - tblPiNHistorical[[#This Row],[Site Management - Old]])/tblPiNHistorical[[#This Row],[Site Management - Old]], 1), "")</f>
        <v/>
      </c>
      <c r="AR485" s="140" t="str">
        <f>IFERROR(ROUND((tblPiNHistorical[[#This Row],[Education New]]-tblPiNHistorical[[#This Row],[Education Old]])/tblPiNHistorical[[#This Row],[Education Old]], 1), "")</f>
        <v/>
      </c>
      <c r="AS485" s="141">
        <f>IFERROR(ROUND((tblPiNHistorical[[#This Row],[Food Security and Livlihoods New]]-tblPiNHistorical[[#This Row],[Food Security and Livlihoods Old]])/tblPiNHistorical[[#This Row],[Food Security and Livlihoods Old]], 1), "")</f>
        <v>-1</v>
      </c>
      <c r="AT485" s="142">
        <f>IFERROR(ROUND((tblPiNHistorical[[#This Row],[Health New]]-tblPiNHistorical[[#This Row],[Health Old]])/tblPiNHistorical[[#This Row],[Health Old]], 1), "")</f>
        <v>-1</v>
      </c>
      <c r="AU485" s="140">
        <f>IFERROR(ROUND((tblPiNHistorical[[#This Row],[Nutrition New]]-tblPiNHistorical[[#This Row],[Nutrition Old]])/tblPiNHistorical[[#This Row],[Nutrition Old]], 1), "")</f>
        <v>-1</v>
      </c>
      <c r="AV485" s="140">
        <f>IFERROR(ROUND((tblPiNHistorical[[#This Row],[Protection New]]-tblPiNHistorical[[#This Row],[Protection Old]])/tblPiNHistorical[[#This Row],[Protection Old]], 1), "")</f>
        <v>-1</v>
      </c>
      <c r="AW485" s="84">
        <f>IFERROR(ROUND((tblPiNHistorical[[#This Row],[CP New]]-tblPiNHistorical[[#This Row],[CP Old ]])/tblPiNHistorical[[#This Row],[CP Old ]], 1), "")</f>
        <v>-1</v>
      </c>
      <c r="AX485" s="84">
        <f>IFERROR(ROUND((tblPiNHistorical[[#This Row],[GBV New]]-tblPiNHistorical[[#This Row],[GBV Old]])/tblPiNHistorical[[#This Row],[GBV Old]], 1), "")</f>
        <v>-1</v>
      </c>
      <c r="AY485" s="84" t="str">
        <f>IFERROR(ROUND((tblPiNHistorical[[#This Row],[Mine Action New]]-tblPiNHistorical[[#This Row],[Mine Action Old]])/tblPiNHistorical[[#This Row],[Mine Action Old]], 1), "")</f>
        <v/>
      </c>
      <c r="AZ485" s="140" t="str">
        <f>IFERROR(ROUND((tblPiNHistorical[[#This Row],[Shelter NFI New]]-tblPiNHistorical[[#This Row],[Shelter NFI Old]])/tblPiNHistorical[[#This Row],[Shelter NFI Old]], 1), "")</f>
        <v/>
      </c>
      <c r="BA485" s="31">
        <f>IFERROR(ROUND((tblPiNHistorical[[#This Row],[WASH New]]-tblPiNHistorical[[#This Row],[WASH Old]])/tblPiNHistorical[[#This Row],[WASH Old]], 1), "")</f>
        <v>-1</v>
      </c>
    </row>
    <row r="486" spans="1:53" ht="38.25" x14ac:dyDescent="0.25">
      <c r="A486"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Host CommunitySD10067</v>
      </c>
      <c r="B486" s="134" t="s">
        <v>176</v>
      </c>
      <c r="C486" s="124" t="s">
        <v>127</v>
      </c>
      <c r="D486" s="124" t="s">
        <v>410</v>
      </c>
      <c r="E486" s="59" t="s">
        <v>411</v>
      </c>
      <c r="F486" s="54"/>
      <c r="G486" s="29"/>
      <c r="H486" s="53">
        <v>100</v>
      </c>
      <c r="I486" s="53" t="s">
        <v>87</v>
      </c>
      <c r="J486" s="34">
        <v>0</v>
      </c>
      <c r="K486" s="116">
        <v>0</v>
      </c>
      <c r="L486" s="114">
        <v>100</v>
      </c>
      <c r="M486" s="114">
        <v>100</v>
      </c>
      <c r="N486" s="114">
        <v>16</v>
      </c>
      <c r="O486" s="114">
        <v>11.000000000000002</v>
      </c>
      <c r="P486" s="114">
        <v>11</v>
      </c>
      <c r="Q486" s="114">
        <v>0</v>
      </c>
      <c r="R486" s="114">
        <v>0</v>
      </c>
      <c r="S486" s="114">
        <v>0</v>
      </c>
      <c r="T486" s="196">
        <v>83.789999999999992</v>
      </c>
      <c r="U486" s="52">
        <f>IFERROR(INDEX(tblPiNAnalysis[[Site Management ]], MATCH(tblPiNHistorical[[#This Row],[ID]], tblPiNAnalysis[ID], 0)), "")</f>
        <v>0</v>
      </c>
      <c r="V486" s="52">
        <f>IFERROR(INDEX(tblPiNAnalysis[Education], MATCH(tblPiNHistorical[[#This Row],[ID]], tblPiNAnalysis[ID], 0)), "")</f>
        <v>0</v>
      </c>
      <c r="W486" s="28">
        <f>IFERROR(INDEX(tblPiNAnalysis[Food Security and Livlihoods], MATCH(tblPiNHistorical[[#This Row],[ID]], tblPiNAnalysis[ID], 0)), "")</f>
        <v>0</v>
      </c>
      <c r="X486" s="28">
        <f>IFERROR(INDEX(tblPiNAnalysis[[Health ]], MATCH(tblPiNHistorical[[#This Row],[ID]], tblPiNAnalysis[ID], 0)), "")</f>
        <v>0</v>
      </c>
      <c r="Y486" s="28">
        <f>IFERROR(INDEX(tblPiNAnalysis[Nutrition], MATCH(tblPiNHistorical[[#This Row],[ID]], tblPiNAnalysis[ID], 0)), "")</f>
        <v>0</v>
      </c>
      <c r="Z486" s="28">
        <f>IFERROR(INDEX(tblPiNAnalysis[Protection], MATCH(tblPiNHistorical[[#This Row],[ID]], tblPiNAnalysis[ID], 0)), "")</f>
        <v>0</v>
      </c>
      <c r="AA486" s="28">
        <f>IFERROR(INDEX(tblPiNAnalysis[CP], MATCH(tblPiNHistorical[[#This Row],[ID]], tblPiNAnalysis[ID], 0)), "")</f>
        <v>0</v>
      </c>
      <c r="AB486" s="83">
        <f>IFERROR(INDEX(tblPiNAnalysis[GBV], MATCH(tblPiNHistorical[[#This Row],[ID]], tblPiNAnalysis[ID], 0)), "")</f>
        <v>0</v>
      </c>
      <c r="AC486" s="28">
        <f>IFERROR(INDEX(tblPiNAnalysis[Mine Action], MATCH(tblPiNHistorical[[#This Row],[ID]], tblPiNAnalysis[ID], 0)), "")</f>
        <v>0</v>
      </c>
      <c r="AD486" s="83">
        <f>IFERROR(INDEX(tblPiNAnalysis[[Shelter NFI ]], MATCH(tblPiNHistorical[[#This Row],[ID]], tblPiNAnalysis[ID], 0)), "")</f>
        <v>222</v>
      </c>
      <c r="AE486" s="28">
        <f>IFERROR(INDEX(tblPiNAnalysis[WASH], MATCH(tblPiNHistorical[[#This Row],[ID]], tblPiNAnalysis[ID], 0)), "")</f>
        <v>0</v>
      </c>
      <c r="AF486"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486" s="136" t="str">
        <f>IF(OR(tblPiNHistorical[[#This Row],[Education Old]]="", tblPiNHistorical[[#This Row],[Education Old]]=0, tblPiNHistorical[[#This Row],[Education New]]="", tblPiNHistorical[[#This Row],[Education New]]=0), "", tblPiNHistorical[[#This Row],[Education New]]-tblPiNHistorical[[#This Row],[Education Old]])</f>
        <v/>
      </c>
      <c r="AH486"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486" s="137" t="str">
        <f>IF(OR(tblPiNHistorical[[#This Row],[Health Old]]="", tblPiNHistorical[[#This Row],[Health Old]]=0, tblPiNHistorical[[#This Row],[Health New]]="", tblPiNHistorical[[#This Row],[Health New]]=0), "", tblPiNHistorical[[#This Row],[Health New]]-tblPiNHistorical[[#This Row],[Health Old]])</f>
        <v/>
      </c>
      <c r="AJ486" s="136" t="str">
        <f>IF(OR(tblPiNHistorical[[#This Row],[Nutrition Old]]="", tblPiNHistorical[[#This Row],[Nutrition Old]]=0, tblPiNHistorical[[#This Row],[Nutrition New]]="", tblPiNHistorical[[#This Row],[Nutrition New]]=0), "", tblPiNHistorical[[#This Row],[Nutrition New]]-tblPiNHistorical[[#This Row],[Nutrition Old]])</f>
        <v/>
      </c>
      <c r="AK486" s="136" t="str">
        <f>IF(OR(tblPiNHistorical[[#This Row],[Protection Old]]="", tblPiNHistorical[[#This Row],[Protection Old]]=0, tblPiNHistorical[[#This Row],[Protection New]]="", tblPiNHistorical[[#This Row],[Protection New]]=0), "", tblPiNHistorical[[#This Row],[Protection New]]-tblPiNHistorical[[#This Row],[Protection Old]])</f>
        <v/>
      </c>
      <c r="AL486" s="136" t="str">
        <f>IF(OR(tblPiNHistorical[[#This Row],[CP Old ]]="", tblPiNHistorical[[#This Row],[CP Old ]]=0, tblPiNHistorical[[#This Row],[CP New]]="", tblPiNHistorical[[#This Row],[CP New]]=0), "", tblPiNHistorical[[#This Row],[CP New]]-tblPiNHistorical[[#This Row],[CP Old ]])</f>
        <v/>
      </c>
      <c r="AM486" s="83" t="str">
        <f>IF(OR(tblPiNHistorical[[#This Row],[GBV Old]]="", tblPiNHistorical[[#This Row],[GBV Old]]=0, tblPiNHistorical[[#This Row],[GBV New]]="", tblPiNHistorical[[#This Row],[GBV New]]=0), "", tblPiNHistorical[[#This Row],[GBV New]]-tblPiNHistorical[[#This Row],[GBV Old]])</f>
        <v/>
      </c>
      <c r="AN486" s="83" t="str">
        <f>IF(OR(tblPiNHistorical[[#This Row],[Mine Action Old]]="", tblPiNHistorical[[#This Row],[Mine Action Old]]=0, tblPiNHistorical[[#This Row],[Mine Action New]]="", tblPiNHistorical[[#This Row],[Mine Action New]]=0), "", tblPiNHistorical[[#This Row],[Mine Action New]]-tblPiNHistorical[[#This Row],[Mine Action Old]])</f>
        <v/>
      </c>
      <c r="AO486" s="136" t="str">
        <f>IF(OR(tblPiNHistorical[[#This Row],[Shelter NFI Old]]="", tblPiNHistorical[[#This Row],[Shelter NFI Old]]=0, tblPiNHistorical[[#This Row],[Shelter NFI New]]="", tblPiNHistorical[[#This Row],[Shelter NFI New]]=0), "", tblPiNHistorical[[#This Row],[Shelter NFI New]]-tblPiNHistorical[[#This Row],[Shelter NFI Old]])</f>
        <v/>
      </c>
      <c r="AP486" s="138" t="str">
        <f>IF(OR(tblPiNHistorical[[#This Row],[WASH Old]]="", tblPiNHistorical[[#This Row],[WASH Old]]=0, tblPiNHistorical[[#This Row],[WASH New]]="", tblPiNHistorical[[#This Row],[WASH New]]=0), "", tblPiNHistorical[[#This Row],[WASH New]]-tblPiNHistorical[[#This Row],[WASH Old]])</f>
        <v/>
      </c>
      <c r="AQ486" s="139" t="str">
        <f>IFERROR(ROUND((tblPiNHistorical[[#This Row],[Site Management - New]] - tblPiNHistorical[[#This Row],[Site Management - Old]])/tblPiNHistorical[[#This Row],[Site Management - Old]], 1), "")</f>
        <v/>
      </c>
      <c r="AR486" s="140" t="str">
        <f>IFERROR(ROUND((tblPiNHistorical[[#This Row],[Education New]]-tblPiNHistorical[[#This Row],[Education Old]])/tblPiNHistorical[[#This Row],[Education Old]], 1), "")</f>
        <v/>
      </c>
      <c r="AS486" s="141">
        <f>IFERROR(ROUND((tblPiNHistorical[[#This Row],[Food Security and Livlihoods New]]-tblPiNHistorical[[#This Row],[Food Security and Livlihoods Old]])/tblPiNHistorical[[#This Row],[Food Security and Livlihoods Old]], 1), "")</f>
        <v>-1</v>
      </c>
      <c r="AT486" s="142">
        <f>IFERROR(ROUND((tblPiNHistorical[[#This Row],[Health New]]-tblPiNHistorical[[#This Row],[Health Old]])/tblPiNHistorical[[#This Row],[Health Old]], 1), "")</f>
        <v>-1</v>
      </c>
      <c r="AU486" s="140">
        <f>IFERROR(ROUND((tblPiNHistorical[[#This Row],[Nutrition New]]-tblPiNHistorical[[#This Row],[Nutrition Old]])/tblPiNHistorical[[#This Row],[Nutrition Old]], 1), "")</f>
        <v>-1</v>
      </c>
      <c r="AV486" s="140">
        <f>IFERROR(ROUND((tblPiNHistorical[[#This Row],[Protection New]]-tblPiNHistorical[[#This Row],[Protection Old]])/tblPiNHistorical[[#This Row],[Protection Old]], 1), "")</f>
        <v>-1</v>
      </c>
      <c r="AW486" s="84">
        <f>IFERROR(ROUND((tblPiNHistorical[[#This Row],[CP New]]-tblPiNHistorical[[#This Row],[CP Old ]])/tblPiNHistorical[[#This Row],[CP Old ]], 1), "")</f>
        <v>-1</v>
      </c>
      <c r="AX486" s="84" t="str">
        <f>IFERROR(ROUND((tblPiNHistorical[[#This Row],[GBV New]]-tblPiNHistorical[[#This Row],[GBV Old]])/tblPiNHistorical[[#This Row],[GBV Old]], 1), "")</f>
        <v/>
      </c>
      <c r="AY486" s="84" t="str">
        <f>IFERROR(ROUND((tblPiNHistorical[[#This Row],[Mine Action New]]-tblPiNHistorical[[#This Row],[Mine Action Old]])/tblPiNHistorical[[#This Row],[Mine Action Old]], 1), "")</f>
        <v/>
      </c>
      <c r="AZ486" s="140" t="str">
        <f>IFERROR(ROUND((tblPiNHistorical[[#This Row],[Shelter NFI New]]-tblPiNHistorical[[#This Row],[Shelter NFI Old]])/tblPiNHistorical[[#This Row],[Shelter NFI Old]], 1), "")</f>
        <v/>
      </c>
      <c r="BA486" s="31">
        <f>IFERROR(ROUND((tblPiNHistorical[[#This Row],[WASH New]]-tblPiNHistorical[[#This Row],[WASH Old]])/tblPiNHistorical[[#This Row],[WASH Old]], 1), "")</f>
        <v>-1</v>
      </c>
    </row>
    <row r="487" spans="1:53" ht="38.25" x14ac:dyDescent="0.25">
      <c r="A487"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Host CommunitySD10064</v>
      </c>
      <c r="B487" s="134" t="s">
        <v>176</v>
      </c>
      <c r="C487" s="124" t="s">
        <v>127</v>
      </c>
      <c r="D487" s="124" t="s">
        <v>404</v>
      </c>
      <c r="E487" s="59" t="s">
        <v>405</v>
      </c>
      <c r="F487" s="54"/>
      <c r="G487" s="29"/>
      <c r="H487" s="53">
        <v>135706</v>
      </c>
      <c r="I487" s="53" t="s">
        <v>87</v>
      </c>
      <c r="J487" s="34">
        <v>0</v>
      </c>
      <c r="K487" s="116">
        <v>52613.216199999995</v>
      </c>
      <c r="L487" s="114">
        <v>20355.900000000001</v>
      </c>
      <c r="M487" s="114">
        <v>135706</v>
      </c>
      <c r="N487" s="114">
        <v>7884</v>
      </c>
      <c r="O487" s="114">
        <v>42971</v>
      </c>
      <c r="P487" s="114">
        <v>14928</v>
      </c>
      <c r="Q487" s="114">
        <v>42971</v>
      </c>
      <c r="R487" s="114">
        <v>0</v>
      </c>
      <c r="S487" s="114">
        <v>27141</v>
      </c>
      <c r="T487" s="196">
        <v>61189.835399999989</v>
      </c>
      <c r="U487" s="52">
        <f>IFERROR(INDEX(tblPiNAnalysis[[Site Management ]], MATCH(tblPiNHistorical[[#This Row],[ID]], tblPiNAnalysis[ID], 0)), "")</f>
        <v>0</v>
      </c>
      <c r="V487" s="52">
        <f>IFERROR(INDEX(tblPiNAnalysis[Education], MATCH(tblPiNHistorical[[#This Row],[ID]], tblPiNAnalysis[ID], 0)), "")</f>
        <v>0</v>
      </c>
      <c r="W487" s="28">
        <f>IFERROR(INDEX(tblPiNAnalysis[Food Security and Livlihoods], MATCH(tblPiNHistorical[[#This Row],[ID]], tblPiNAnalysis[ID], 0)), "")</f>
        <v>0</v>
      </c>
      <c r="X487" s="28">
        <f>IFERROR(INDEX(tblPiNAnalysis[[Health ]], MATCH(tblPiNHistorical[[#This Row],[ID]], tblPiNAnalysis[ID], 0)), "")</f>
        <v>0</v>
      </c>
      <c r="Y487" s="28">
        <f>IFERROR(INDEX(tblPiNAnalysis[Nutrition], MATCH(tblPiNHistorical[[#This Row],[ID]], tblPiNAnalysis[ID], 0)), "")</f>
        <v>0</v>
      </c>
      <c r="Z487" s="28">
        <f>IFERROR(INDEX(tblPiNAnalysis[Protection], MATCH(tblPiNHistorical[[#This Row],[ID]], tblPiNAnalysis[ID], 0)), "")</f>
        <v>0</v>
      </c>
      <c r="AA487" s="28">
        <f>IFERROR(INDEX(tblPiNAnalysis[CP], MATCH(tblPiNHistorical[[#This Row],[ID]], tblPiNAnalysis[ID], 0)), "")</f>
        <v>0</v>
      </c>
      <c r="AB487" s="83">
        <f>IFERROR(INDEX(tblPiNAnalysis[GBV], MATCH(tblPiNHistorical[[#This Row],[ID]], tblPiNAnalysis[ID], 0)), "")</f>
        <v>0</v>
      </c>
      <c r="AC487" s="28">
        <f>IFERROR(INDEX(tblPiNAnalysis[Mine Action], MATCH(tblPiNHistorical[[#This Row],[ID]], tblPiNAnalysis[ID], 0)), "")</f>
        <v>0</v>
      </c>
      <c r="AD487" s="83">
        <f>IFERROR(INDEX(tblPiNAnalysis[[Shelter NFI ]], MATCH(tblPiNHistorical[[#This Row],[ID]], tblPiNAnalysis[ID], 0)), "")</f>
        <v>164740</v>
      </c>
      <c r="AE487" s="28">
        <f>IFERROR(INDEX(tblPiNAnalysis[WASH], MATCH(tblPiNHistorical[[#This Row],[ID]], tblPiNAnalysis[ID], 0)), "")</f>
        <v>0</v>
      </c>
      <c r="AF487"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487" s="136" t="str">
        <f>IF(OR(tblPiNHistorical[[#This Row],[Education Old]]="", tblPiNHistorical[[#This Row],[Education Old]]=0, tblPiNHistorical[[#This Row],[Education New]]="", tblPiNHistorical[[#This Row],[Education New]]=0), "", tblPiNHistorical[[#This Row],[Education New]]-tblPiNHistorical[[#This Row],[Education Old]])</f>
        <v/>
      </c>
      <c r="AH487"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487" s="137" t="str">
        <f>IF(OR(tblPiNHistorical[[#This Row],[Health Old]]="", tblPiNHistorical[[#This Row],[Health Old]]=0, tblPiNHistorical[[#This Row],[Health New]]="", tblPiNHistorical[[#This Row],[Health New]]=0), "", tblPiNHistorical[[#This Row],[Health New]]-tblPiNHistorical[[#This Row],[Health Old]])</f>
        <v/>
      </c>
      <c r="AJ487" s="136" t="str">
        <f>IF(OR(tblPiNHistorical[[#This Row],[Nutrition Old]]="", tblPiNHistorical[[#This Row],[Nutrition Old]]=0, tblPiNHistorical[[#This Row],[Nutrition New]]="", tblPiNHistorical[[#This Row],[Nutrition New]]=0), "", tblPiNHistorical[[#This Row],[Nutrition New]]-tblPiNHistorical[[#This Row],[Nutrition Old]])</f>
        <v/>
      </c>
      <c r="AK487" s="136" t="str">
        <f>IF(OR(tblPiNHistorical[[#This Row],[Protection Old]]="", tblPiNHistorical[[#This Row],[Protection Old]]=0, tblPiNHistorical[[#This Row],[Protection New]]="", tblPiNHistorical[[#This Row],[Protection New]]=0), "", tblPiNHistorical[[#This Row],[Protection New]]-tblPiNHistorical[[#This Row],[Protection Old]])</f>
        <v/>
      </c>
      <c r="AL487" s="136" t="str">
        <f>IF(OR(tblPiNHistorical[[#This Row],[CP Old ]]="", tblPiNHistorical[[#This Row],[CP Old ]]=0, tblPiNHistorical[[#This Row],[CP New]]="", tblPiNHistorical[[#This Row],[CP New]]=0), "", tblPiNHistorical[[#This Row],[CP New]]-tblPiNHistorical[[#This Row],[CP Old ]])</f>
        <v/>
      </c>
      <c r="AM487" s="83" t="str">
        <f>IF(OR(tblPiNHistorical[[#This Row],[GBV Old]]="", tblPiNHistorical[[#This Row],[GBV Old]]=0, tblPiNHistorical[[#This Row],[GBV New]]="", tblPiNHistorical[[#This Row],[GBV New]]=0), "", tblPiNHistorical[[#This Row],[GBV New]]-tblPiNHistorical[[#This Row],[GBV Old]])</f>
        <v/>
      </c>
      <c r="AN487" s="83" t="str">
        <f>IF(OR(tblPiNHistorical[[#This Row],[Mine Action Old]]="", tblPiNHistorical[[#This Row],[Mine Action Old]]=0, tblPiNHistorical[[#This Row],[Mine Action New]]="", tblPiNHistorical[[#This Row],[Mine Action New]]=0), "", tblPiNHistorical[[#This Row],[Mine Action New]]-tblPiNHistorical[[#This Row],[Mine Action Old]])</f>
        <v/>
      </c>
      <c r="AO487" s="136">
        <f>IF(OR(tblPiNHistorical[[#This Row],[Shelter NFI Old]]="", tblPiNHistorical[[#This Row],[Shelter NFI Old]]=0, tblPiNHistorical[[#This Row],[Shelter NFI New]]="", tblPiNHistorical[[#This Row],[Shelter NFI New]]=0), "", tblPiNHistorical[[#This Row],[Shelter NFI New]]-tblPiNHistorical[[#This Row],[Shelter NFI Old]])</f>
        <v>137599</v>
      </c>
      <c r="AP487" s="138" t="str">
        <f>IF(OR(tblPiNHistorical[[#This Row],[WASH Old]]="", tblPiNHistorical[[#This Row],[WASH Old]]=0, tblPiNHistorical[[#This Row],[WASH New]]="", tblPiNHistorical[[#This Row],[WASH New]]=0), "", tblPiNHistorical[[#This Row],[WASH New]]-tblPiNHistorical[[#This Row],[WASH Old]])</f>
        <v/>
      </c>
      <c r="AQ487" s="139" t="str">
        <f>IFERROR(ROUND((tblPiNHistorical[[#This Row],[Site Management - New]] - tblPiNHistorical[[#This Row],[Site Management - Old]])/tblPiNHistorical[[#This Row],[Site Management - Old]], 1), "")</f>
        <v/>
      </c>
      <c r="AR487" s="140">
        <f>IFERROR(ROUND((tblPiNHistorical[[#This Row],[Education New]]-tblPiNHistorical[[#This Row],[Education Old]])/tblPiNHistorical[[#This Row],[Education Old]], 1), "")</f>
        <v>-1</v>
      </c>
      <c r="AS487" s="141">
        <f>IFERROR(ROUND((tblPiNHistorical[[#This Row],[Food Security and Livlihoods New]]-tblPiNHistorical[[#This Row],[Food Security and Livlihoods Old]])/tblPiNHistorical[[#This Row],[Food Security and Livlihoods Old]], 1), "")</f>
        <v>-1</v>
      </c>
      <c r="AT487" s="142">
        <f>IFERROR(ROUND((tblPiNHistorical[[#This Row],[Health New]]-tblPiNHistorical[[#This Row],[Health Old]])/tblPiNHistorical[[#This Row],[Health Old]], 1), "")</f>
        <v>-1</v>
      </c>
      <c r="AU487" s="140">
        <f>IFERROR(ROUND((tblPiNHistorical[[#This Row],[Nutrition New]]-tblPiNHistorical[[#This Row],[Nutrition Old]])/tblPiNHistorical[[#This Row],[Nutrition Old]], 1), "")</f>
        <v>-1</v>
      </c>
      <c r="AV487" s="140">
        <f>IFERROR(ROUND((tblPiNHistorical[[#This Row],[Protection New]]-tblPiNHistorical[[#This Row],[Protection Old]])/tblPiNHistorical[[#This Row],[Protection Old]], 1), "")</f>
        <v>-1</v>
      </c>
      <c r="AW487" s="84">
        <f>IFERROR(ROUND((tblPiNHistorical[[#This Row],[CP New]]-tblPiNHistorical[[#This Row],[CP Old ]])/tblPiNHistorical[[#This Row],[CP Old ]], 1), "")</f>
        <v>-1</v>
      </c>
      <c r="AX487" s="84">
        <f>IFERROR(ROUND((tblPiNHistorical[[#This Row],[GBV New]]-tblPiNHistorical[[#This Row],[GBV Old]])/tblPiNHistorical[[#This Row],[GBV Old]], 1), "")</f>
        <v>-1</v>
      </c>
      <c r="AY487" s="84" t="str">
        <f>IFERROR(ROUND((tblPiNHistorical[[#This Row],[Mine Action New]]-tblPiNHistorical[[#This Row],[Mine Action Old]])/tblPiNHistorical[[#This Row],[Mine Action Old]], 1), "")</f>
        <v/>
      </c>
      <c r="AZ487" s="140">
        <f>IFERROR(ROUND((tblPiNHistorical[[#This Row],[Shelter NFI New]]-tblPiNHistorical[[#This Row],[Shelter NFI Old]])/tblPiNHistorical[[#This Row],[Shelter NFI Old]], 1), "")</f>
        <v>5.0999999999999996</v>
      </c>
      <c r="BA487" s="31">
        <f>IFERROR(ROUND((tblPiNHistorical[[#This Row],[WASH New]]-tblPiNHistorical[[#This Row],[WASH Old]])/tblPiNHistorical[[#This Row],[WASH Old]], 1), "")</f>
        <v>-1</v>
      </c>
    </row>
    <row r="488" spans="1:53" ht="38.25" x14ac:dyDescent="0.25">
      <c r="A488"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Host CommunitySD10068</v>
      </c>
      <c r="B488" s="134" t="s">
        <v>176</v>
      </c>
      <c r="C488" s="124" t="s">
        <v>127</v>
      </c>
      <c r="D488" s="124" t="s">
        <v>412</v>
      </c>
      <c r="E488" s="59" t="s">
        <v>413</v>
      </c>
      <c r="F488" s="54"/>
      <c r="G488" s="29"/>
      <c r="H488" s="53">
        <v>2795</v>
      </c>
      <c r="I488" s="53" t="s">
        <v>87</v>
      </c>
      <c r="J488" s="34">
        <v>0</v>
      </c>
      <c r="K488" s="116">
        <v>0</v>
      </c>
      <c r="L488" s="114">
        <v>419.25</v>
      </c>
      <c r="M488" s="114">
        <v>2795</v>
      </c>
      <c r="N488" s="114">
        <v>2936</v>
      </c>
      <c r="O488" s="114">
        <v>307.45000000000005</v>
      </c>
      <c r="P488" s="114">
        <v>307</v>
      </c>
      <c r="Q488" s="114">
        <v>0</v>
      </c>
      <c r="R488" s="114">
        <v>0</v>
      </c>
      <c r="S488" s="114">
        <v>0</v>
      </c>
      <c r="T488" s="196">
        <v>2505.7175000000002</v>
      </c>
      <c r="U488" s="52">
        <f>IFERROR(INDEX(tblPiNAnalysis[[Site Management ]], MATCH(tblPiNHistorical[[#This Row],[ID]], tblPiNAnalysis[ID], 0)), "")</f>
        <v>0</v>
      </c>
      <c r="V488" s="52">
        <f>IFERROR(INDEX(tblPiNAnalysis[Education], MATCH(tblPiNHistorical[[#This Row],[ID]], tblPiNAnalysis[ID], 0)), "")</f>
        <v>0</v>
      </c>
      <c r="W488" s="28">
        <f>IFERROR(INDEX(tblPiNAnalysis[Food Security and Livlihoods], MATCH(tblPiNHistorical[[#This Row],[ID]], tblPiNAnalysis[ID], 0)), "")</f>
        <v>0</v>
      </c>
      <c r="X488" s="28">
        <f>IFERROR(INDEX(tblPiNAnalysis[[Health ]], MATCH(tblPiNHistorical[[#This Row],[ID]], tblPiNAnalysis[ID], 0)), "")</f>
        <v>0</v>
      </c>
      <c r="Y488" s="28">
        <f>IFERROR(INDEX(tblPiNAnalysis[Nutrition], MATCH(tblPiNHistorical[[#This Row],[ID]], tblPiNAnalysis[ID], 0)), "")</f>
        <v>0</v>
      </c>
      <c r="Z488" s="28">
        <f>IFERROR(INDEX(tblPiNAnalysis[Protection], MATCH(tblPiNHistorical[[#This Row],[ID]], tblPiNAnalysis[ID], 0)), "")</f>
        <v>0</v>
      </c>
      <c r="AA488" s="28">
        <f>IFERROR(INDEX(tblPiNAnalysis[CP], MATCH(tblPiNHistorical[[#This Row],[ID]], tblPiNAnalysis[ID], 0)), "")</f>
        <v>0</v>
      </c>
      <c r="AB488" s="83">
        <f>IFERROR(INDEX(tblPiNAnalysis[GBV], MATCH(tblPiNHistorical[[#This Row],[ID]], tblPiNAnalysis[ID], 0)), "")</f>
        <v>0</v>
      </c>
      <c r="AC488" s="28">
        <f>IFERROR(INDEX(tblPiNAnalysis[Mine Action], MATCH(tblPiNHistorical[[#This Row],[ID]], tblPiNAnalysis[ID], 0)), "")</f>
        <v>0</v>
      </c>
      <c r="AD488" s="83">
        <f>IFERROR(INDEX(tblPiNAnalysis[[Shelter NFI ]], MATCH(tblPiNHistorical[[#This Row],[ID]], tblPiNAnalysis[ID], 0)), "")</f>
        <v>1798</v>
      </c>
      <c r="AE488" s="28">
        <f>IFERROR(INDEX(tblPiNAnalysis[WASH], MATCH(tblPiNHistorical[[#This Row],[ID]], tblPiNAnalysis[ID], 0)), "")</f>
        <v>0</v>
      </c>
      <c r="AF488"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488" s="136" t="str">
        <f>IF(OR(tblPiNHistorical[[#This Row],[Education Old]]="", tblPiNHistorical[[#This Row],[Education Old]]=0, tblPiNHistorical[[#This Row],[Education New]]="", tblPiNHistorical[[#This Row],[Education New]]=0), "", tblPiNHistorical[[#This Row],[Education New]]-tblPiNHistorical[[#This Row],[Education Old]])</f>
        <v/>
      </c>
      <c r="AH488"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488" s="137" t="str">
        <f>IF(OR(tblPiNHistorical[[#This Row],[Health Old]]="", tblPiNHistorical[[#This Row],[Health Old]]=0, tblPiNHistorical[[#This Row],[Health New]]="", tblPiNHistorical[[#This Row],[Health New]]=0), "", tblPiNHistorical[[#This Row],[Health New]]-tblPiNHistorical[[#This Row],[Health Old]])</f>
        <v/>
      </c>
      <c r="AJ488" s="136" t="str">
        <f>IF(OR(tblPiNHistorical[[#This Row],[Nutrition Old]]="", tblPiNHistorical[[#This Row],[Nutrition Old]]=0, tblPiNHistorical[[#This Row],[Nutrition New]]="", tblPiNHistorical[[#This Row],[Nutrition New]]=0), "", tblPiNHistorical[[#This Row],[Nutrition New]]-tblPiNHistorical[[#This Row],[Nutrition Old]])</f>
        <v/>
      </c>
      <c r="AK488" s="136" t="str">
        <f>IF(OR(tblPiNHistorical[[#This Row],[Protection Old]]="", tblPiNHistorical[[#This Row],[Protection Old]]=0, tblPiNHistorical[[#This Row],[Protection New]]="", tblPiNHistorical[[#This Row],[Protection New]]=0), "", tblPiNHistorical[[#This Row],[Protection New]]-tblPiNHistorical[[#This Row],[Protection Old]])</f>
        <v/>
      </c>
      <c r="AL488" s="136" t="str">
        <f>IF(OR(tblPiNHistorical[[#This Row],[CP Old ]]="", tblPiNHistorical[[#This Row],[CP Old ]]=0, tblPiNHistorical[[#This Row],[CP New]]="", tblPiNHistorical[[#This Row],[CP New]]=0), "", tblPiNHistorical[[#This Row],[CP New]]-tblPiNHistorical[[#This Row],[CP Old ]])</f>
        <v/>
      </c>
      <c r="AM488" s="83" t="str">
        <f>IF(OR(tblPiNHistorical[[#This Row],[GBV Old]]="", tblPiNHistorical[[#This Row],[GBV Old]]=0, tblPiNHistorical[[#This Row],[GBV New]]="", tblPiNHistorical[[#This Row],[GBV New]]=0), "", tblPiNHistorical[[#This Row],[GBV New]]-tblPiNHistorical[[#This Row],[GBV Old]])</f>
        <v/>
      </c>
      <c r="AN488" s="83" t="str">
        <f>IF(OR(tblPiNHistorical[[#This Row],[Mine Action Old]]="", tblPiNHistorical[[#This Row],[Mine Action Old]]=0, tblPiNHistorical[[#This Row],[Mine Action New]]="", tblPiNHistorical[[#This Row],[Mine Action New]]=0), "", tblPiNHistorical[[#This Row],[Mine Action New]]-tblPiNHistorical[[#This Row],[Mine Action Old]])</f>
        <v/>
      </c>
      <c r="AO488" s="136" t="str">
        <f>IF(OR(tblPiNHistorical[[#This Row],[Shelter NFI Old]]="", tblPiNHistorical[[#This Row],[Shelter NFI Old]]=0, tblPiNHistorical[[#This Row],[Shelter NFI New]]="", tblPiNHistorical[[#This Row],[Shelter NFI New]]=0), "", tblPiNHistorical[[#This Row],[Shelter NFI New]]-tblPiNHistorical[[#This Row],[Shelter NFI Old]])</f>
        <v/>
      </c>
      <c r="AP488" s="138" t="str">
        <f>IF(OR(tblPiNHistorical[[#This Row],[WASH Old]]="", tblPiNHistorical[[#This Row],[WASH Old]]=0, tblPiNHistorical[[#This Row],[WASH New]]="", tblPiNHistorical[[#This Row],[WASH New]]=0), "", tblPiNHistorical[[#This Row],[WASH New]]-tblPiNHistorical[[#This Row],[WASH Old]])</f>
        <v/>
      </c>
      <c r="AQ488" s="139" t="str">
        <f>IFERROR(ROUND((tblPiNHistorical[[#This Row],[Site Management - New]] - tblPiNHistorical[[#This Row],[Site Management - Old]])/tblPiNHistorical[[#This Row],[Site Management - Old]], 1), "")</f>
        <v/>
      </c>
      <c r="AR488" s="140" t="str">
        <f>IFERROR(ROUND((tblPiNHistorical[[#This Row],[Education New]]-tblPiNHistorical[[#This Row],[Education Old]])/tblPiNHistorical[[#This Row],[Education Old]], 1), "")</f>
        <v/>
      </c>
      <c r="AS488" s="141">
        <f>IFERROR(ROUND((tblPiNHistorical[[#This Row],[Food Security and Livlihoods New]]-tblPiNHistorical[[#This Row],[Food Security and Livlihoods Old]])/tblPiNHistorical[[#This Row],[Food Security and Livlihoods Old]], 1), "")</f>
        <v>-1</v>
      </c>
      <c r="AT488" s="142">
        <f>IFERROR(ROUND((tblPiNHistorical[[#This Row],[Health New]]-tblPiNHistorical[[#This Row],[Health Old]])/tblPiNHistorical[[#This Row],[Health Old]], 1), "")</f>
        <v>-1</v>
      </c>
      <c r="AU488" s="140">
        <f>IFERROR(ROUND((tblPiNHistorical[[#This Row],[Nutrition New]]-tblPiNHistorical[[#This Row],[Nutrition Old]])/tblPiNHistorical[[#This Row],[Nutrition Old]], 1), "")</f>
        <v>-1</v>
      </c>
      <c r="AV488" s="140">
        <f>IFERROR(ROUND((tblPiNHistorical[[#This Row],[Protection New]]-tblPiNHistorical[[#This Row],[Protection Old]])/tblPiNHistorical[[#This Row],[Protection Old]], 1), "")</f>
        <v>-1</v>
      </c>
      <c r="AW488" s="84">
        <f>IFERROR(ROUND((tblPiNHistorical[[#This Row],[CP New]]-tblPiNHistorical[[#This Row],[CP Old ]])/tblPiNHistorical[[#This Row],[CP Old ]], 1), "")</f>
        <v>-1</v>
      </c>
      <c r="AX488" s="84" t="str">
        <f>IFERROR(ROUND((tblPiNHistorical[[#This Row],[GBV New]]-tblPiNHistorical[[#This Row],[GBV Old]])/tblPiNHistorical[[#This Row],[GBV Old]], 1), "")</f>
        <v/>
      </c>
      <c r="AY488" s="84" t="str">
        <f>IFERROR(ROUND((tblPiNHistorical[[#This Row],[Mine Action New]]-tblPiNHistorical[[#This Row],[Mine Action Old]])/tblPiNHistorical[[#This Row],[Mine Action Old]], 1), "")</f>
        <v/>
      </c>
      <c r="AZ488" s="140" t="str">
        <f>IFERROR(ROUND((tblPiNHistorical[[#This Row],[Shelter NFI New]]-tblPiNHistorical[[#This Row],[Shelter NFI Old]])/tblPiNHistorical[[#This Row],[Shelter NFI Old]], 1), "")</f>
        <v/>
      </c>
      <c r="BA488" s="31">
        <f>IFERROR(ROUND((tblPiNHistorical[[#This Row],[WASH New]]-tblPiNHistorical[[#This Row],[WASH Old]])/tblPiNHistorical[[#This Row],[WASH Old]], 1), "")</f>
        <v>-1</v>
      </c>
    </row>
    <row r="489" spans="1:53" ht="38.25" x14ac:dyDescent="0.25">
      <c r="A489"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Host CommunitySD10071</v>
      </c>
      <c r="B489" s="134" t="s">
        <v>176</v>
      </c>
      <c r="C489" s="124" t="s">
        <v>127</v>
      </c>
      <c r="D489" s="124" t="s">
        <v>418</v>
      </c>
      <c r="E489" s="59" t="s">
        <v>419</v>
      </c>
      <c r="F489" s="54"/>
      <c r="G489" s="29"/>
      <c r="H489" s="53">
        <v>2755</v>
      </c>
      <c r="I489" s="53" t="s">
        <v>87</v>
      </c>
      <c r="J489" s="34">
        <v>0</v>
      </c>
      <c r="K489" s="116">
        <v>0</v>
      </c>
      <c r="L489" s="114">
        <v>2755</v>
      </c>
      <c r="M489" s="114">
        <v>2755</v>
      </c>
      <c r="N489" s="114">
        <v>285</v>
      </c>
      <c r="O489" s="114">
        <v>727</v>
      </c>
      <c r="P489" s="114">
        <v>303</v>
      </c>
      <c r="Q489" s="114">
        <v>727</v>
      </c>
      <c r="R489" s="114">
        <v>0</v>
      </c>
      <c r="S489" s="114">
        <v>0</v>
      </c>
      <c r="T489" s="196">
        <v>2575.9250000000002</v>
      </c>
      <c r="U489" s="52">
        <f>IFERROR(INDEX(tblPiNAnalysis[[Site Management ]], MATCH(tblPiNHistorical[[#This Row],[ID]], tblPiNAnalysis[ID], 0)), "")</f>
        <v>0</v>
      </c>
      <c r="V489" s="52">
        <f>IFERROR(INDEX(tblPiNAnalysis[Education], MATCH(tblPiNHistorical[[#This Row],[ID]], tblPiNAnalysis[ID], 0)), "")</f>
        <v>0</v>
      </c>
      <c r="W489" s="28">
        <f>IFERROR(INDEX(tblPiNAnalysis[Food Security and Livlihoods], MATCH(tblPiNHistorical[[#This Row],[ID]], tblPiNAnalysis[ID], 0)), "")</f>
        <v>0</v>
      </c>
      <c r="X489" s="28">
        <f>IFERROR(INDEX(tblPiNAnalysis[[Health ]], MATCH(tblPiNHistorical[[#This Row],[ID]], tblPiNAnalysis[ID], 0)), "")</f>
        <v>0</v>
      </c>
      <c r="Y489" s="28">
        <f>IFERROR(INDEX(tblPiNAnalysis[Nutrition], MATCH(tblPiNHistorical[[#This Row],[ID]], tblPiNAnalysis[ID], 0)), "")</f>
        <v>0</v>
      </c>
      <c r="Z489" s="28">
        <f>IFERROR(INDEX(tblPiNAnalysis[Protection], MATCH(tblPiNHistorical[[#This Row],[ID]], tblPiNAnalysis[ID], 0)), "")</f>
        <v>0</v>
      </c>
      <c r="AA489" s="28">
        <f>IFERROR(INDEX(tblPiNAnalysis[CP], MATCH(tblPiNHistorical[[#This Row],[ID]], tblPiNAnalysis[ID], 0)), "")</f>
        <v>0</v>
      </c>
      <c r="AB489" s="83">
        <f>IFERROR(INDEX(tblPiNAnalysis[GBV], MATCH(tblPiNHistorical[[#This Row],[ID]], tblPiNAnalysis[ID], 0)), "")</f>
        <v>0</v>
      </c>
      <c r="AC489" s="28">
        <f>IFERROR(INDEX(tblPiNAnalysis[Mine Action], MATCH(tblPiNHistorical[[#This Row],[ID]], tblPiNAnalysis[ID], 0)), "")</f>
        <v>0</v>
      </c>
      <c r="AD489" s="83">
        <f>IFERROR(INDEX(tblPiNAnalysis[[Shelter NFI ]], MATCH(tblPiNHistorical[[#This Row],[ID]], tblPiNAnalysis[ID], 0)), "")</f>
        <v>2911</v>
      </c>
      <c r="AE489" s="28">
        <f>IFERROR(INDEX(tblPiNAnalysis[WASH], MATCH(tblPiNHistorical[[#This Row],[ID]], tblPiNAnalysis[ID], 0)), "")</f>
        <v>0</v>
      </c>
      <c r="AF489"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489" s="136" t="str">
        <f>IF(OR(tblPiNHistorical[[#This Row],[Education Old]]="", tblPiNHistorical[[#This Row],[Education Old]]=0, tblPiNHistorical[[#This Row],[Education New]]="", tblPiNHistorical[[#This Row],[Education New]]=0), "", tblPiNHistorical[[#This Row],[Education New]]-tblPiNHistorical[[#This Row],[Education Old]])</f>
        <v/>
      </c>
      <c r="AH489"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489" s="137" t="str">
        <f>IF(OR(tblPiNHistorical[[#This Row],[Health Old]]="", tblPiNHistorical[[#This Row],[Health Old]]=0, tblPiNHistorical[[#This Row],[Health New]]="", tblPiNHistorical[[#This Row],[Health New]]=0), "", tblPiNHistorical[[#This Row],[Health New]]-tblPiNHistorical[[#This Row],[Health Old]])</f>
        <v/>
      </c>
      <c r="AJ489" s="136" t="str">
        <f>IF(OR(tblPiNHistorical[[#This Row],[Nutrition Old]]="", tblPiNHistorical[[#This Row],[Nutrition Old]]=0, tblPiNHistorical[[#This Row],[Nutrition New]]="", tblPiNHistorical[[#This Row],[Nutrition New]]=0), "", tblPiNHistorical[[#This Row],[Nutrition New]]-tblPiNHistorical[[#This Row],[Nutrition Old]])</f>
        <v/>
      </c>
      <c r="AK489" s="136" t="str">
        <f>IF(OR(tblPiNHistorical[[#This Row],[Protection Old]]="", tblPiNHistorical[[#This Row],[Protection Old]]=0, tblPiNHistorical[[#This Row],[Protection New]]="", tblPiNHistorical[[#This Row],[Protection New]]=0), "", tblPiNHistorical[[#This Row],[Protection New]]-tblPiNHistorical[[#This Row],[Protection Old]])</f>
        <v/>
      </c>
      <c r="AL489" s="136" t="str">
        <f>IF(OR(tblPiNHistorical[[#This Row],[CP Old ]]="", tblPiNHistorical[[#This Row],[CP Old ]]=0, tblPiNHistorical[[#This Row],[CP New]]="", tblPiNHistorical[[#This Row],[CP New]]=0), "", tblPiNHistorical[[#This Row],[CP New]]-tblPiNHistorical[[#This Row],[CP Old ]])</f>
        <v/>
      </c>
      <c r="AM489" s="83" t="str">
        <f>IF(OR(tblPiNHistorical[[#This Row],[GBV Old]]="", tblPiNHistorical[[#This Row],[GBV Old]]=0, tblPiNHistorical[[#This Row],[GBV New]]="", tblPiNHistorical[[#This Row],[GBV New]]=0), "", tblPiNHistorical[[#This Row],[GBV New]]-tblPiNHistorical[[#This Row],[GBV Old]])</f>
        <v/>
      </c>
      <c r="AN489" s="83" t="str">
        <f>IF(OR(tblPiNHistorical[[#This Row],[Mine Action Old]]="", tblPiNHistorical[[#This Row],[Mine Action Old]]=0, tblPiNHistorical[[#This Row],[Mine Action New]]="", tblPiNHistorical[[#This Row],[Mine Action New]]=0), "", tblPiNHistorical[[#This Row],[Mine Action New]]-tblPiNHistorical[[#This Row],[Mine Action Old]])</f>
        <v/>
      </c>
      <c r="AO489" s="136" t="str">
        <f>IF(OR(tblPiNHistorical[[#This Row],[Shelter NFI Old]]="", tblPiNHistorical[[#This Row],[Shelter NFI Old]]=0, tblPiNHistorical[[#This Row],[Shelter NFI New]]="", tblPiNHistorical[[#This Row],[Shelter NFI New]]=0), "", tblPiNHistorical[[#This Row],[Shelter NFI New]]-tblPiNHistorical[[#This Row],[Shelter NFI Old]])</f>
        <v/>
      </c>
      <c r="AP489" s="138" t="str">
        <f>IF(OR(tblPiNHistorical[[#This Row],[WASH Old]]="", tblPiNHistorical[[#This Row],[WASH Old]]=0, tblPiNHistorical[[#This Row],[WASH New]]="", tblPiNHistorical[[#This Row],[WASH New]]=0), "", tblPiNHistorical[[#This Row],[WASH New]]-tblPiNHistorical[[#This Row],[WASH Old]])</f>
        <v/>
      </c>
      <c r="AQ489" s="139" t="str">
        <f>IFERROR(ROUND((tblPiNHistorical[[#This Row],[Site Management - New]] - tblPiNHistorical[[#This Row],[Site Management - Old]])/tblPiNHistorical[[#This Row],[Site Management - Old]], 1), "")</f>
        <v/>
      </c>
      <c r="AR489" s="140" t="str">
        <f>IFERROR(ROUND((tblPiNHistorical[[#This Row],[Education New]]-tblPiNHistorical[[#This Row],[Education Old]])/tblPiNHistorical[[#This Row],[Education Old]], 1), "")</f>
        <v/>
      </c>
      <c r="AS489" s="141">
        <f>IFERROR(ROUND((tblPiNHistorical[[#This Row],[Food Security and Livlihoods New]]-tblPiNHistorical[[#This Row],[Food Security and Livlihoods Old]])/tblPiNHistorical[[#This Row],[Food Security and Livlihoods Old]], 1), "")</f>
        <v>-1</v>
      </c>
      <c r="AT489" s="142">
        <f>IFERROR(ROUND((tblPiNHistorical[[#This Row],[Health New]]-tblPiNHistorical[[#This Row],[Health Old]])/tblPiNHistorical[[#This Row],[Health Old]], 1), "")</f>
        <v>-1</v>
      </c>
      <c r="AU489" s="140">
        <f>IFERROR(ROUND((tblPiNHistorical[[#This Row],[Nutrition New]]-tblPiNHistorical[[#This Row],[Nutrition Old]])/tblPiNHistorical[[#This Row],[Nutrition Old]], 1), "")</f>
        <v>-1</v>
      </c>
      <c r="AV489" s="140">
        <f>IFERROR(ROUND((tblPiNHistorical[[#This Row],[Protection New]]-tblPiNHistorical[[#This Row],[Protection Old]])/tblPiNHistorical[[#This Row],[Protection Old]], 1), "")</f>
        <v>-1</v>
      </c>
      <c r="AW489" s="84">
        <f>IFERROR(ROUND((tblPiNHistorical[[#This Row],[CP New]]-tblPiNHistorical[[#This Row],[CP Old ]])/tblPiNHistorical[[#This Row],[CP Old ]], 1), "")</f>
        <v>-1</v>
      </c>
      <c r="AX489" s="84">
        <f>IFERROR(ROUND((tblPiNHistorical[[#This Row],[GBV New]]-tblPiNHistorical[[#This Row],[GBV Old]])/tblPiNHistorical[[#This Row],[GBV Old]], 1), "")</f>
        <v>-1</v>
      </c>
      <c r="AY489" s="84" t="str">
        <f>IFERROR(ROUND((tblPiNHistorical[[#This Row],[Mine Action New]]-tblPiNHistorical[[#This Row],[Mine Action Old]])/tblPiNHistorical[[#This Row],[Mine Action Old]], 1), "")</f>
        <v/>
      </c>
      <c r="AZ489" s="140" t="str">
        <f>IFERROR(ROUND((tblPiNHistorical[[#This Row],[Shelter NFI New]]-tblPiNHistorical[[#This Row],[Shelter NFI Old]])/tblPiNHistorical[[#This Row],[Shelter NFI Old]], 1), "")</f>
        <v/>
      </c>
      <c r="BA489" s="31">
        <f>IFERROR(ROUND((tblPiNHistorical[[#This Row],[WASH New]]-tblPiNHistorical[[#This Row],[WASH Old]])/tblPiNHistorical[[#This Row],[WASH Old]], 1), "")</f>
        <v>-1</v>
      </c>
    </row>
    <row r="490" spans="1:53" ht="38.25" x14ac:dyDescent="0.25">
      <c r="A490"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Host CommunitySD10065</v>
      </c>
      <c r="B490" s="134" t="s">
        <v>176</v>
      </c>
      <c r="C490" s="124" t="s">
        <v>127</v>
      </c>
      <c r="D490" s="124" t="s">
        <v>406</v>
      </c>
      <c r="E490" s="59" t="s">
        <v>407</v>
      </c>
      <c r="F490" s="54"/>
      <c r="G490" s="29"/>
      <c r="H490" s="53">
        <v>2382</v>
      </c>
      <c r="I490" s="53" t="s">
        <v>87</v>
      </c>
      <c r="J490" s="34">
        <v>0</v>
      </c>
      <c r="K490" s="116">
        <v>0</v>
      </c>
      <c r="L490" s="114">
        <v>2382</v>
      </c>
      <c r="M490" s="114">
        <v>2382</v>
      </c>
      <c r="N490" s="114">
        <v>459</v>
      </c>
      <c r="O490" s="114">
        <v>262.02000000000004</v>
      </c>
      <c r="P490" s="114">
        <v>262</v>
      </c>
      <c r="Q490" s="114">
        <v>0</v>
      </c>
      <c r="R490" s="114">
        <v>0</v>
      </c>
      <c r="S490" s="114">
        <v>0</v>
      </c>
      <c r="T490" s="196">
        <v>2259.3269999999998</v>
      </c>
      <c r="U490" s="52">
        <f>IFERROR(INDEX(tblPiNAnalysis[[Site Management ]], MATCH(tblPiNHistorical[[#This Row],[ID]], tblPiNAnalysis[ID], 0)), "")</f>
        <v>0</v>
      </c>
      <c r="V490" s="52">
        <f>IFERROR(INDEX(tblPiNAnalysis[Education], MATCH(tblPiNHistorical[[#This Row],[ID]], tblPiNAnalysis[ID], 0)), "")</f>
        <v>0</v>
      </c>
      <c r="W490" s="28">
        <f>IFERROR(INDEX(tblPiNAnalysis[Food Security and Livlihoods], MATCH(tblPiNHistorical[[#This Row],[ID]], tblPiNAnalysis[ID], 0)), "")</f>
        <v>0</v>
      </c>
      <c r="X490" s="28">
        <f>IFERROR(INDEX(tblPiNAnalysis[[Health ]], MATCH(tblPiNHistorical[[#This Row],[ID]], tblPiNAnalysis[ID], 0)), "")</f>
        <v>0</v>
      </c>
      <c r="Y490" s="28">
        <f>IFERROR(INDEX(tblPiNAnalysis[Nutrition], MATCH(tblPiNHistorical[[#This Row],[ID]], tblPiNAnalysis[ID], 0)), "")</f>
        <v>0</v>
      </c>
      <c r="Z490" s="28">
        <f>IFERROR(INDEX(tblPiNAnalysis[Protection], MATCH(tblPiNHistorical[[#This Row],[ID]], tblPiNAnalysis[ID], 0)), "")</f>
        <v>0</v>
      </c>
      <c r="AA490" s="28">
        <f>IFERROR(INDEX(tblPiNAnalysis[CP], MATCH(tblPiNHistorical[[#This Row],[ID]], tblPiNAnalysis[ID], 0)), "")</f>
        <v>0</v>
      </c>
      <c r="AB490" s="83">
        <f>IFERROR(INDEX(tblPiNAnalysis[GBV], MATCH(tblPiNHistorical[[#This Row],[ID]], tblPiNAnalysis[ID], 0)), "")</f>
        <v>0</v>
      </c>
      <c r="AC490" s="28">
        <f>IFERROR(INDEX(tblPiNAnalysis[Mine Action], MATCH(tblPiNHistorical[[#This Row],[ID]], tblPiNAnalysis[ID], 0)), "")</f>
        <v>0</v>
      </c>
      <c r="AD490" s="83">
        <f>IFERROR(INDEX(tblPiNAnalysis[[Shelter NFI ]], MATCH(tblPiNHistorical[[#This Row],[ID]], tblPiNAnalysis[ID], 0)), "")</f>
        <v>1199</v>
      </c>
      <c r="AE490" s="28">
        <f>IFERROR(INDEX(tblPiNAnalysis[WASH], MATCH(tblPiNHistorical[[#This Row],[ID]], tblPiNAnalysis[ID], 0)), "")</f>
        <v>0</v>
      </c>
      <c r="AF490"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490" s="136" t="str">
        <f>IF(OR(tblPiNHistorical[[#This Row],[Education Old]]="", tblPiNHistorical[[#This Row],[Education Old]]=0, tblPiNHistorical[[#This Row],[Education New]]="", tblPiNHistorical[[#This Row],[Education New]]=0), "", tblPiNHistorical[[#This Row],[Education New]]-tblPiNHistorical[[#This Row],[Education Old]])</f>
        <v/>
      </c>
      <c r="AH490"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490" s="137" t="str">
        <f>IF(OR(tblPiNHistorical[[#This Row],[Health Old]]="", tblPiNHistorical[[#This Row],[Health Old]]=0, tblPiNHistorical[[#This Row],[Health New]]="", tblPiNHistorical[[#This Row],[Health New]]=0), "", tblPiNHistorical[[#This Row],[Health New]]-tblPiNHistorical[[#This Row],[Health Old]])</f>
        <v/>
      </c>
      <c r="AJ490" s="136" t="str">
        <f>IF(OR(tblPiNHistorical[[#This Row],[Nutrition Old]]="", tblPiNHistorical[[#This Row],[Nutrition Old]]=0, tblPiNHistorical[[#This Row],[Nutrition New]]="", tblPiNHistorical[[#This Row],[Nutrition New]]=0), "", tblPiNHistorical[[#This Row],[Nutrition New]]-tblPiNHistorical[[#This Row],[Nutrition Old]])</f>
        <v/>
      </c>
      <c r="AK490" s="136" t="str">
        <f>IF(OR(tblPiNHistorical[[#This Row],[Protection Old]]="", tblPiNHistorical[[#This Row],[Protection Old]]=0, tblPiNHistorical[[#This Row],[Protection New]]="", tblPiNHistorical[[#This Row],[Protection New]]=0), "", tblPiNHistorical[[#This Row],[Protection New]]-tblPiNHistorical[[#This Row],[Protection Old]])</f>
        <v/>
      </c>
      <c r="AL490" s="136" t="str">
        <f>IF(OR(tblPiNHistorical[[#This Row],[CP Old ]]="", tblPiNHistorical[[#This Row],[CP Old ]]=0, tblPiNHistorical[[#This Row],[CP New]]="", tblPiNHistorical[[#This Row],[CP New]]=0), "", tblPiNHistorical[[#This Row],[CP New]]-tblPiNHistorical[[#This Row],[CP Old ]])</f>
        <v/>
      </c>
      <c r="AM490" s="83" t="str">
        <f>IF(OR(tblPiNHistorical[[#This Row],[GBV Old]]="", tblPiNHistorical[[#This Row],[GBV Old]]=0, tblPiNHistorical[[#This Row],[GBV New]]="", tblPiNHistorical[[#This Row],[GBV New]]=0), "", tblPiNHistorical[[#This Row],[GBV New]]-tblPiNHistorical[[#This Row],[GBV Old]])</f>
        <v/>
      </c>
      <c r="AN490" s="83" t="str">
        <f>IF(OR(tblPiNHistorical[[#This Row],[Mine Action Old]]="", tblPiNHistorical[[#This Row],[Mine Action Old]]=0, tblPiNHistorical[[#This Row],[Mine Action New]]="", tblPiNHistorical[[#This Row],[Mine Action New]]=0), "", tblPiNHistorical[[#This Row],[Mine Action New]]-tblPiNHistorical[[#This Row],[Mine Action Old]])</f>
        <v/>
      </c>
      <c r="AO490" s="136" t="str">
        <f>IF(OR(tblPiNHistorical[[#This Row],[Shelter NFI Old]]="", tblPiNHistorical[[#This Row],[Shelter NFI Old]]=0, tblPiNHistorical[[#This Row],[Shelter NFI New]]="", tblPiNHistorical[[#This Row],[Shelter NFI New]]=0), "", tblPiNHistorical[[#This Row],[Shelter NFI New]]-tblPiNHistorical[[#This Row],[Shelter NFI Old]])</f>
        <v/>
      </c>
      <c r="AP490" s="138" t="str">
        <f>IF(OR(tblPiNHistorical[[#This Row],[WASH Old]]="", tblPiNHistorical[[#This Row],[WASH Old]]=0, tblPiNHistorical[[#This Row],[WASH New]]="", tblPiNHistorical[[#This Row],[WASH New]]=0), "", tblPiNHistorical[[#This Row],[WASH New]]-tblPiNHistorical[[#This Row],[WASH Old]])</f>
        <v/>
      </c>
      <c r="AQ490" s="139" t="str">
        <f>IFERROR(ROUND((tblPiNHistorical[[#This Row],[Site Management - New]] - tblPiNHistorical[[#This Row],[Site Management - Old]])/tblPiNHistorical[[#This Row],[Site Management - Old]], 1), "")</f>
        <v/>
      </c>
      <c r="AR490" s="140" t="str">
        <f>IFERROR(ROUND((tblPiNHistorical[[#This Row],[Education New]]-tblPiNHistorical[[#This Row],[Education Old]])/tblPiNHistorical[[#This Row],[Education Old]], 1), "")</f>
        <v/>
      </c>
      <c r="AS490" s="141">
        <f>IFERROR(ROUND((tblPiNHistorical[[#This Row],[Food Security and Livlihoods New]]-tblPiNHistorical[[#This Row],[Food Security and Livlihoods Old]])/tblPiNHistorical[[#This Row],[Food Security and Livlihoods Old]], 1), "")</f>
        <v>-1</v>
      </c>
      <c r="AT490" s="142">
        <f>IFERROR(ROUND((tblPiNHistorical[[#This Row],[Health New]]-tblPiNHistorical[[#This Row],[Health Old]])/tblPiNHistorical[[#This Row],[Health Old]], 1), "")</f>
        <v>-1</v>
      </c>
      <c r="AU490" s="140">
        <f>IFERROR(ROUND((tblPiNHistorical[[#This Row],[Nutrition New]]-tblPiNHistorical[[#This Row],[Nutrition Old]])/tblPiNHistorical[[#This Row],[Nutrition Old]], 1), "")</f>
        <v>-1</v>
      </c>
      <c r="AV490" s="140">
        <f>IFERROR(ROUND((tblPiNHistorical[[#This Row],[Protection New]]-tblPiNHistorical[[#This Row],[Protection Old]])/tblPiNHistorical[[#This Row],[Protection Old]], 1), "")</f>
        <v>-1</v>
      </c>
      <c r="AW490" s="84">
        <f>IFERROR(ROUND((tblPiNHistorical[[#This Row],[CP New]]-tblPiNHistorical[[#This Row],[CP Old ]])/tblPiNHistorical[[#This Row],[CP Old ]], 1), "")</f>
        <v>-1</v>
      </c>
      <c r="AX490" s="84" t="str">
        <f>IFERROR(ROUND((tblPiNHistorical[[#This Row],[GBV New]]-tblPiNHistorical[[#This Row],[GBV Old]])/tblPiNHistorical[[#This Row],[GBV Old]], 1), "")</f>
        <v/>
      </c>
      <c r="AY490" s="84" t="str">
        <f>IFERROR(ROUND((tblPiNHistorical[[#This Row],[Mine Action New]]-tblPiNHistorical[[#This Row],[Mine Action Old]])/tblPiNHistorical[[#This Row],[Mine Action Old]], 1), "")</f>
        <v/>
      </c>
      <c r="AZ490" s="140" t="str">
        <f>IFERROR(ROUND((tblPiNHistorical[[#This Row],[Shelter NFI New]]-tblPiNHistorical[[#This Row],[Shelter NFI Old]])/tblPiNHistorical[[#This Row],[Shelter NFI Old]], 1), "")</f>
        <v/>
      </c>
      <c r="BA490" s="31">
        <f>IFERROR(ROUND((tblPiNHistorical[[#This Row],[WASH New]]-tblPiNHistorical[[#This Row],[WASH Old]])/tblPiNHistorical[[#This Row],[WASH Old]], 1), "")</f>
        <v>-1</v>
      </c>
    </row>
    <row r="491" spans="1:53" ht="38.25" x14ac:dyDescent="0.25">
      <c r="A491"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Host CommunitySD16008</v>
      </c>
      <c r="B491" s="134" t="s">
        <v>179</v>
      </c>
      <c r="C491" s="124" t="s">
        <v>133</v>
      </c>
      <c r="D491" s="124" t="s">
        <v>512</v>
      </c>
      <c r="E491" s="59" t="s">
        <v>513</v>
      </c>
      <c r="F491" s="54"/>
      <c r="G491" s="29"/>
      <c r="H491" s="53">
        <v>28100</v>
      </c>
      <c r="I491" s="53" t="s">
        <v>87</v>
      </c>
      <c r="J491" s="34">
        <v>0</v>
      </c>
      <c r="K491" s="116">
        <v>0</v>
      </c>
      <c r="L491" s="114">
        <v>19416.7762</v>
      </c>
      <c r="M491" s="114">
        <v>28100</v>
      </c>
      <c r="N491" s="114">
        <v>5622</v>
      </c>
      <c r="O491" s="114">
        <v>8898</v>
      </c>
      <c r="P491" s="114">
        <v>3091</v>
      </c>
      <c r="Q491" s="114">
        <v>8898</v>
      </c>
      <c r="R491" s="114">
        <v>0</v>
      </c>
      <c r="S491" s="114">
        <v>5620</v>
      </c>
      <c r="T491" s="196">
        <v>26561.243999999995</v>
      </c>
      <c r="U491" s="52">
        <f>IFERROR(INDEX(tblPiNAnalysis[[Site Management ]], MATCH(tblPiNHistorical[[#This Row],[ID]], tblPiNAnalysis[ID], 0)), "")</f>
        <v>0</v>
      </c>
      <c r="V491" s="52">
        <f>IFERROR(INDEX(tblPiNAnalysis[Education], MATCH(tblPiNHistorical[[#This Row],[ID]], tblPiNAnalysis[ID], 0)), "")</f>
        <v>0</v>
      </c>
      <c r="W491" s="28">
        <f>IFERROR(INDEX(tblPiNAnalysis[Food Security and Livlihoods], MATCH(tblPiNHistorical[[#This Row],[ID]], tblPiNAnalysis[ID], 0)), "")</f>
        <v>0</v>
      </c>
      <c r="X491" s="28">
        <f>IFERROR(INDEX(tblPiNAnalysis[[Health ]], MATCH(tblPiNHistorical[[#This Row],[ID]], tblPiNAnalysis[ID], 0)), "")</f>
        <v>0</v>
      </c>
      <c r="Y491" s="28">
        <f>IFERROR(INDEX(tblPiNAnalysis[Nutrition], MATCH(tblPiNHistorical[[#This Row],[ID]], tblPiNAnalysis[ID], 0)), "")</f>
        <v>0</v>
      </c>
      <c r="Z491" s="28">
        <f>IFERROR(INDEX(tblPiNAnalysis[Protection], MATCH(tblPiNHistorical[[#This Row],[ID]], tblPiNAnalysis[ID], 0)), "")</f>
        <v>0</v>
      </c>
      <c r="AA491" s="28">
        <f>IFERROR(INDEX(tblPiNAnalysis[CP], MATCH(tblPiNHistorical[[#This Row],[ID]], tblPiNAnalysis[ID], 0)), "")</f>
        <v>0</v>
      </c>
      <c r="AB491" s="83">
        <f>IFERROR(INDEX(tblPiNAnalysis[GBV], MATCH(tblPiNHistorical[[#This Row],[ID]], tblPiNAnalysis[ID], 0)), "")</f>
        <v>0</v>
      </c>
      <c r="AC491" s="28">
        <f>IFERROR(INDEX(tblPiNAnalysis[Mine Action], MATCH(tblPiNHistorical[[#This Row],[ID]], tblPiNAnalysis[ID], 0)), "")</f>
        <v>0</v>
      </c>
      <c r="AD491" s="83">
        <f>IFERROR(INDEX(tblPiNAnalysis[[Shelter NFI ]], MATCH(tblPiNHistorical[[#This Row],[ID]], tblPiNAnalysis[ID], 0)), "")</f>
        <v>5719</v>
      </c>
      <c r="AE491" s="28">
        <f>IFERROR(INDEX(tblPiNAnalysis[WASH], MATCH(tblPiNHistorical[[#This Row],[ID]], tblPiNAnalysis[ID], 0)), "")</f>
        <v>0</v>
      </c>
      <c r="AF491"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491" s="136" t="str">
        <f>IF(OR(tblPiNHistorical[[#This Row],[Education Old]]="", tblPiNHistorical[[#This Row],[Education Old]]=0, tblPiNHistorical[[#This Row],[Education New]]="", tblPiNHistorical[[#This Row],[Education New]]=0), "", tblPiNHistorical[[#This Row],[Education New]]-tblPiNHistorical[[#This Row],[Education Old]])</f>
        <v/>
      </c>
      <c r="AH491"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491" s="137" t="str">
        <f>IF(OR(tblPiNHistorical[[#This Row],[Health Old]]="", tblPiNHistorical[[#This Row],[Health Old]]=0, tblPiNHistorical[[#This Row],[Health New]]="", tblPiNHistorical[[#This Row],[Health New]]=0), "", tblPiNHistorical[[#This Row],[Health New]]-tblPiNHistorical[[#This Row],[Health Old]])</f>
        <v/>
      </c>
      <c r="AJ491" s="136" t="str">
        <f>IF(OR(tblPiNHistorical[[#This Row],[Nutrition Old]]="", tblPiNHistorical[[#This Row],[Nutrition Old]]=0, tblPiNHistorical[[#This Row],[Nutrition New]]="", tblPiNHistorical[[#This Row],[Nutrition New]]=0), "", tblPiNHistorical[[#This Row],[Nutrition New]]-tblPiNHistorical[[#This Row],[Nutrition Old]])</f>
        <v/>
      </c>
      <c r="AK491" s="136" t="str">
        <f>IF(OR(tblPiNHistorical[[#This Row],[Protection Old]]="", tblPiNHistorical[[#This Row],[Protection Old]]=0, tblPiNHistorical[[#This Row],[Protection New]]="", tblPiNHistorical[[#This Row],[Protection New]]=0), "", tblPiNHistorical[[#This Row],[Protection New]]-tblPiNHistorical[[#This Row],[Protection Old]])</f>
        <v/>
      </c>
      <c r="AL491" s="136" t="str">
        <f>IF(OR(tblPiNHistorical[[#This Row],[CP Old ]]="", tblPiNHistorical[[#This Row],[CP Old ]]=0, tblPiNHistorical[[#This Row],[CP New]]="", tblPiNHistorical[[#This Row],[CP New]]=0), "", tblPiNHistorical[[#This Row],[CP New]]-tblPiNHistorical[[#This Row],[CP Old ]])</f>
        <v/>
      </c>
      <c r="AM491" s="83" t="str">
        <f>IF(OR(tblPiNHistorical[[#This Row],[GBV Old]]="", tblPiNHistorical[[#This Row],[GBV Old]]=0, tblPiNHistorical[[#This Row],[GBV New]]="", tblPiNHistorical[[#This Row],[GBV New]]=0), "", tblPiNHistorical[[#This Row],[GBV New]]-tblPiNHistorical[[#This Row],[GBV Old]])</f>
        <v/>
      </c>
      <c r="AN491" s="83" t="str">
        <f>IF(OR(tblPiNHistorical[[#This Row],[Mine Action Old]]="", tblPiNHistorical[[#This Row],[Mine Action Old]]=0, tblPiNHistorical[[#This Row],[Mine Action New]]="", tblPiNHistorical[[#This Row],[Mine Action New]]=0), "", tblPiNHistorical[[#This Row],[Mine Action New]]-tblPiNHistorical[[#This Row],[Mine Action Old]])</f>
        <v/>
      </c>
      <c r="AO491" s="136">
        <f>IF(OR(tblPiNHistorical[[#This Row],[Shelter NFI Old]]="", tblPiNHistorical[[#This Row],[Shelter NFI Old]]=0, tblPiNHistorical[[#This Row],[Shelter NFI New]]="", tblPiNHistorical[[#This Row],[Shelter NFI New]]=0), "", tblPiNHistorical[[#This Row],[Shelter NFI New]]-tblPiNHistorical[[#This Row],[Shelter NFI Old]])</f>
        <v>99</v>
      </c>
      <c r="AP491" s="138" t="str">
        <f>IF(OR(tblPiNHistorical[[#This Row],[WASH Old]]="", tblPiNHistorical[[#This Row],[WASH Old]]=0, tblPiNHistorical[[#This Row],[WASH New]]="", tblPiNHistorical[[#This Row],[WASH New]]=0), "", tblPiNHistorical[[#This Row],[WASH New]]-tblPiNHistorical[[#This Row],[WASH Old]])</f>
        <v/>
      </c>
      <c r="AQ491" s="139" t="str">
        <f>IFERROR(ROUND((tblPiNHistorical[[#This Row],[Site Management - New]] - tblPiNHistorical[[#This Row],[Site Management - Old]])/tblPiNHistorical[[#This Row],[Site Management - Old]], 1), "")</f>
        <v/>
      </c>
      <c r="AR491" s="140" t="str">
        <f>IFERROR(ROUND((tblPiNHistorical[[#This Row],[Education New]]-tblPiNHistorical[[#This Row],[Education Old]])/tblPiNHistorical[[#This Row],[Education Old]], 1), "")</f>
        <v/>
      </c>
      <c r="AS491" s="141">
        <f>IFERROR(ROUND((tblPiNHistorical[[#This Row],[Food Security and Livlihoods New]]-tblPiNHistorical[[#This Row],[Food Security and Livlihoods Old]])/tblPiNHistorical[[#This Row],[Food Security and Livlihoods Old]], 1), "")</f>
        <v>-1</v>
      </c>
      <c r="AT491" s="142">
        <f>IFERROR(ROUND((tblPiNHistorical[[#This Row],[Health New]]-tblPiNHistorical[[#This Row],[Health Old]])/tblPiNHistorical[[#This Row],[Health Old]], 1), "")</f>
        <v>-1</v>
      </c>
      <c r="AU491" s="140">
        <f>IFERROR(ROUND((tblPiNHistorical[[#This Row],[Nutrition New]]-tblPiNHistorical[[#This Row],[Nutrition Old]])/tblPiNHistorical[[#This Row],[Nutrition Old]], 1), "")</f>
        <v>-1</v>
      </c>
      <c r="AV491" s="140">
        <f>IFERROR(ROUND((tblPiNHistorical[[#This Row],[Protection New]]-tblPiNHistorical[[#This Row],[Protection Old]])/tblPiNHistorical[[#This Row],[Protection Old]], 1), "")</f>
        <v>-1</v>
      </c>
      <c r="AW491" s="84">
        <f>IFERROR(ROUND((tblPiNHistorical[[#This Row],[CP New]]-tblPiNHistorical[[#This Row],[CP Old ]])/tblPiNHistorical[[#This Row],[CP Old ]], 1), "")</f>
        <v>-1</v>
      </c>
      <c r="AX491" s="84">
        <f>IFERROR(ROUND((tblPiNHistorical[[#This Row],[GBV New]]-tblPiNHistorical[[#This Row],[GBV Old]])/tblPiNHistorical[[#This Row],[GBV Old]], 1), "")</f>
        <v>-1</v>
      </c>
      <c r="AY491" s="84" t="str">
        <f>IFERROR(ROUND((tblPiNHistorical[[#This Row],[Mine Action New]]-tblPiNHistorical[[#This Row],[Mine Action Old]])/tblPiNHistorical[[#This Row],[Mine Action Old]], 1), "")</f>
        <v/>
      </c>
      <c r="AZ491" s="140">
        <f>IFERROR(ROUND((tblPiNHistorical[[#This Row],[Shelter NFI New]]-tblPiNHistorical[[#This Row],[Shelter NFI Old]])/tblPiNHistorical[[#This Row],[Shelter NFI Old]], 1), "")</f>
        <v>0</v>
      </c>
      <c r="BA491" s="31">
        <f>IFERROR(ROUND((tblPiNHistorical[[#This Row],[WASH New]]-tblPiNHistorical[[#This Row],[WASH Old]])/tblPiNHistorical[[#This Row],[WASH Old]], 1), "")</f>
        <v>-1</v>
      </c>
    </row>
    <row r="492" spans="1:53" ht="38.25" x14ac:dyDescent="0.25">
      <c r="A492"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Host CommunitySD16011</v>
      </c>
      <c r="B492" s="134" t="s">
        <v>179</v>
      </c>
      <c r="C492" s="124" t="s">
        <v>133</v>
      </c>
      <c r="D492" s="124" t="s">
        <v>518</v>
      </c>
      <c r="E492" s="59" t="s">
        <v>519</v>
      </c>
      <c r="F492" s="54"/>
      <c r="G492" s="29"/>
      <c r="H492" s="53">
        <v>109903</v>
      </c>
      <c r="I492" s="53" t="s">
        <v>87</v>
      </c>
      <c r="J492" s="34">
        <v>0</v>
      </c>
      <c r="K492" s="116">
        <v>42609.393100000001</v>
      </c>
      <c r="L492" s="114">
        <v>19980.599999999999</v>
      </c>
      <c r="M492" s="114">
        <v>109903</v>
      </c>
      <c r="N492" s="114">
        <v>8438</v>
      </c>
      <c r="O492" s="114">
        <v>34801</v>
      </c>
      <c r="P492" s="114">
        <v>12089</v>
      </c>
      <c r="Q492" s="114">
        <v>34801</v>
      </c>
      <c r="R492" s="114">
        <v>0</v>
      </c>
      <c r="S492" s="114">
        <v>21981</v>
      </c>
      <c r="T492" s="196">
        <v>83640.579119999995</v>
      </c>
      <c r="U492" s="52">
        <f>IFERROR(INDEX(tblPiNAnalysis[[Site Management ]], MATCH(tblPiNHistorical[[#This Row],[ID]], tblPiNAnalysis[ID], 0)), "")</f>
        <v>0</v>
      </c>
      <c r="V492" s="52">
        <f>IFERROR(INDEX(tblPiNAnalysis[Education], MATCH(tblPiNHistorical[[#This Row],[ID]], tblPiNAnalysis[ID], 0)), "")</f>
        <v>0</v>
      </c>
      <c r="W492" s="28">
        <f>IFERROR(INDEX(tblPiNAnalysis[Food Security and Livlihoods], MATCH(tblPiNHistorical[[#This Row],[ID]], tblPiNAnalysis[ID], 0)), "")</f>
        <v>0</v>
      </c>
      <c r="X492" s="28">
        <f>IFERROR(INDEX(tblPiNAnalysis[[Health ]], MATCH(tblPiNHistorical[[#This Row],[ID]], tblPiNAnalysis[ID], 0)), "")</f>
        <v>0</v>
      </c>
      <c r="Y492" s="28">
        <f>IFERROR(INDEX(tblPiNAnalysis[Nutrition], MATCH(tblPiNHistorical[[#This Row],[ID]], tblPiNAnalysis[ID], 0)), "")</f>
        <v>0</v>
      </c>
      <c r="Z492" s="28">
        <f>IFERROR(INDEX(tblPiNAnalysis[Protection], MATCH(tblPiNHistorical[[#This Row],[ID]], tblPiNAnalysis[ID], 0)), "")</f>
        <v>0</v>
      </c>
      <c r="AA492" s="28">
        <f>IFERROR(INDEX(tblPiNAnalysis[CP], MATCH(tblPiNHistorical[[#This Row],[ID]], tblPiNAnalysis[ID], 0)), "")</f>
        <v>0</v>
      </c>
      <c r="AB492" s="83">
        <f>IFERROR(INDEX(tblPiNAnalysis[GBV], MATCH(tblPiNHistorical[[#This Row],[ID]], tblPiNAnalysis[ID], 0)), "")</f>
        <v>0</v>
      </c>
      <c r="AC492" s="28">
        <f>IFERROR(INDEX(tblPiNAnalysis[Mine Action], MATCH(tblPiNHistorical[[#This Row],[ID]], tblPiNAnalysis[ID], 0)), "")</f>
        <v>0</v>
      </c>
      <c r="AD492" s="83">
        <f>IFERROR(INDEX(tblPiNAnalysis[[Shelter NFI ]], MATCH(tblPiNHistorical[[#This Row],[ID]], tblPiNAnalysis[ID], 0)), "")</f>
        <v>65598</v>
      </c>
      <c r="AE492" s="28">
        <f>IFERROR(INDEX(tblPiNAnalysis[WASH], MATCH(tblPiNHistorical[[#This Row],[ID]], tblPiNAnalysis[ID], 0)), "")</f>
        <v>0</v>
      </c>
      <c r="AF492"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492" s="136" t="str">
        <f>IF(OR(tblPiNHistorical[[#This Row],[Education Old]]="", tblPiNHistorical[[#This Row],[Education Old]]=0, tblPiNHistorical[[#This Row],[Education New]]="", tblPiNHistorical[[#This Row],[Education New]]=0), "", tblPiNHistorical[[#This Row],[Education New]]-tblPiNHistorical[[#This Row],[Education Old]])</f>
        <v/>
      </c>
      <c r="AH492"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492" s="137" t="str">
        <f>IF(OR(tblPiNHistorical[[#This Row],[Health Old]]="", tblPiNHistorical[[#This Row],[Health Old]]=0, tblPiNHistorical[[#This Row],[Health New]]="", tblPiNHistorical[[#This Row],[Health New]]=0), "", tblPiNHistorical[[#This Row],[Health New]]-tblPiNHistorical[[#This Row],[Health Old]])</f>
        <v/>
      </c>
      <c r="AJ492" s="136" t="str">
        <f>IF(OR(tblPiNHistorical[[#This Row],[Nutrition Old]]="", tblPiNHistorical[[#This Row],[Nutrition Old]]=0, tblPiNHistorical[[#This Row],[Nutrition New]]="", tblPiNHistorical[[#This Row],[Nutrition New]]=0), "", tblPiNHistorical[[#This Row],[Nutrition New]]-tblPiNHistorical[[#This Row],[Nutrition Old]])</f>
        <v/>
      </c>
      <c r="AK492" s="136" t="str">
        <f>IF(OR(tblPiNHistorical[[#This Row],[Protection Old]]="", tblPiNHistorical[[#This Row],[Protection Old]]=0, tblPiNHistorical[[#This Row],[Protection New]]="", tblPiNHistorical[[#This Row],[Protection New]]=0), "", tblPiNHistorical[[#This Row],[Protection New]]-tblPiNHistorical[[#This Row],[Protection Old]])</f>
        <v/>
      </c>
      <c r="AL492" s="136" t="str">
        <f>IF(OR(tblPiNHistorical[[#This Row],[CP Old ]]="", tblPiNHistorical[[#This Row],[CP Old ]]=0, tblPiNHistorical[[#This Row],[CP New]]="", tblPiNHistorical[[#This Row],[CP New]]=0), "", tblPiNHistorical[[#This Row],[CP New]]-tblPiNHistorical[[#This Row],[CP Old ]])</f>
        <v/>
      </c>
      <c r="AM492" s="83" t="str">
        <f>IF(OR(tblPiNHistorical[[#This Row],[GBV Old]]="", tblPiNHistorical[[#This Row],[GBV Old]]=0, tblPiNHistorical[[#This Row],[GBV New]]="", tblPiNHistorical[[#This Row],[GBV New]]=0), "", tblPiNHistorical[[#This Row],[GBV New]]-tblPiNHistorical[[#This Row],[GBV Old]])</f>
        <v/>
      </c>
      <c r="AN492" s="83" t="str">
        <f>IF(OR(tblPiNHistorical[[#This Row],[Mine Action Old]]="", tblPiNHistorical[[#This Row],[Mine Action Old]]=0, tblPiNHistorical[[#This Row],[Mine Action New]]="", tblPiNHistorical[[#This Row],[Mine Action New]]=0), "", tblPiNHistorical[[#This Row],[Mine Action New]]-tblPiNHistorical[[#This Row],[Mine Action Old]])</f>
        <v/>
      </c>
      <c r="AO492" s="136">
        <f>IF(OR(tblPiNHistorical[[#This Row],[Shelter NFI Old]]="", tblPiNHistorical[[#This Row],[Shelter NFI Old]]=0, tblPiNHistorical[[#This Row],[Shelter NFI New]]="", tblPiNHistorical[[#This Row],[Shelter NFI New]]=0), "", tblPiNHistorical[[#This Row],[Shelter NFI New]]-tblPiNHistorical[[#This Row],[Shelter NFI Old]])</f>
        <v>43617</v>
      </c>
      <c r="AP492" s="138" t="str">
        <f>IF(OR(tblPiNHistorical[[#This Row],[WASH Old]]="", tblPiNHistorical[[#This Row],[WASH Old]]=0, tblPiNHistorical[[#This Row],[WASH New]]="", tblPiNHistorical[[#This Row],[WASH New]]=0), "", tblPiNHistorical[[#This Row],[WASH New]]-tblPiNHistorical[[#This Row],[WASH Old]])</f>
        <v/>
      </c>
      <c r="AQ492" s="139" t="str">
        <f>IFERROR(ROUND((tblPiNHistorical[[#This Row],[Site Management - New]] - tblPiNHistorical[[#This Row],[Site Management - Old]])/tblPiNHistorical[[#This Row],[Site Management - Old]], 1), "")</f>
        <v/>
      </c>
      <c r="AR492" s="140">
        <f>IFERROR(ROUND((tblPiNHistorical[[#This Row],[Education New]]-tblPiNHistorical[[#This Row],[Education Old]])/tblPiNHistorical[[#This Row],[Education Old]], 1), "")</f>
        <v>-1</v>
      </c>
      <c r="AS492" s="141">
        <f>IFERROR(ROUND((tblPiNHistorical[[#This Row],[Food Security and Livlihoods New]]-tblPiNHistorical[[#This Row],[Food Security and Livlihoods Old]])/tblPiNHistorical[[#This Row],[Food Security and Livlihoods Old]], 1), "")</f>
        <v>-1</v>
      </c>
      <c r="AT492" s="142">
        <f>IFERROR(ROUND((tblPiNHistorical[[#This Row],[Health New]]-tblPiNHistorical[[#This Row],[Health Old]])/tblPiNHistorical[[#This Row],[Health Old]], 1), "")</f>
        <v>-1</v>
      </c>
      <c r="AU492" s="140">
        <f>IFERROR(ROUND((tblPiNHistorical[[#This Row],[Nutrition New]]-tblPiNHistorical[[#This Row],[Nutrition Old]])/tblPiNHistorical[[#This Row],[Nutrition Old]], 1), "")</f>
        <v>-1</v>
      </c>
      <c r="AV492" s="140">
        <f>IFERROR(ROUND((tblPiNHistorical[[#This Row],[Protection New]]-tblPiNHistorical[[#This Row],[Protection Old]])/tblPiNHistorical[[#This Row],[Protection Old]], 1), "")</f>
        <v>-1</v>
      </c>
      <c r="AW492" s="84">
        <f>IFERROR(ROUND((tblPiNHistorical[[#This Row],[CP New]]-tblPiNHistorical[[#This Row],[CP Old ]])/tblPiNHistorical[[#This Row],[CP Old ]], 1), "")</f>
        <v>-1</v>
      </c>
      <c r="AX492" s="84">
        <f>IFERROR(ROUND((tblPiNHistorical[[#This Row],[GBV New]]-tblPiNHistorical[[#This Row],[GBV Old]])/tblPiNHistorical[[#This Row],[GBV Old]], 1), "")</f>
        <v>-1</v>
      </c>
      <c r="AY492" s="84" t="str">
        <f>IFERROR(ROUND((tblPiNHistorical[[#This Row],[Mine Action New]]-tblPiNHistorical[[#This Row],[Mine Action Old]])/tblPiNHistorical[[#This Row],[Mine Action Old]], 1), "")</f>
        <v/>
      </c>
      <c r="AZ492" s="140">
        <f>IFERROR(ROUND((tblPiNHistorical[[#This Row],[Shelter NFI New]]-tblPiNHistorical[[#This Row],[Shelter NFI Old]])/tblPiNHistorical[[#This Row],[Shelter NFI Old]], 1), "")</f>
        <v>2</v>
      </c>
      <c r="BA492" s="31">
        <f>IFERROR(ROUND((tblPiNHistorical[[#This Row],[WASH New]]-tblPiNHistorical[[#This Row],[WASH Old]])/tblPiNHistorical[[#This Row],[WASH Old]], 1), "")</f>
        <v>-1</v>
      </c>
    </row>
    <row r="493" spans="1:53" ht="38.25" x14ac:dyDescent="0.25">
      <c r="A493"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Host CommunitySD16014</v>
      </c>
      <c r="B493" s="134" t="s">
        <v>179</v>
      </c>
      <c r="C493" s="124" t="s">
        <v>133</v>
      </c>
      <c r="D493" s="124" t="s">
        <v>524</v>
      </c>
      <c r="E493" s="59" t="s">
        <v>525</v>
      </c>
      <c r="F493" s="54"/>
      <c r="G493" s="29"/>
      <c r="H493" s="53">
        <v>31152</v>
      </c>
      <c r="I493" s="53" t="s">
        <v>87</v>
      </c>
      <c r="J493" s="34">
        <v>0</v>
      </c>
      <c r="K493" s="116">
        <v>12077.6304</v>
      </c>
      <c r="L493" s="114">
        <v>31152</v>
      </c>
      <c r="M493" s="114">
        <v>31152</v>
      </c>
      <c r="N493" s="114">
        <v>5046</v>
      </c>
      <c r="O493" s="114">
        <v>9864</v>
      </c>
      <c r="P493" s="114">
        <v>3427</v>
      </c>
      <c r="Q493" s="114">
        <v>9864</v>
      </c>
      <c r="R493" s="114">
        <v>0</v>
      </c>
      <c r="S493" s="114">
        <v>6230</v>
      </c>
      <c r="T493" s="196">
        <v>27049.904639999997</v>
      </c>
      <c r="U493" s="52">
        <f>IFERROR(INDEX(tblPiNAnalysis[[Site Management ]], MATCH(tblPiNHistorical[[#This Row],[ID]], tblPiNAnalysis[ID], 0)), "")</f>
        <v>0</v>
      </c>
      <c r="V493" s="52">
        <f>IFERROR(INDEX(tblPiNAnalysis[Education], MATCH(tblPiNHistorical[[#This Row],[ID]], tblPiNAnalysis[ID], 0)), "")</f>
        <v>0</v>
      </c>
      <c r="W493" s="28">
        <f>IFERROR(INDEX(tblPiNAnalysis[Food Security and Livlihoods], MATCH(tblPiNHistorical[[#This Row],[ID]], tblPiNAnalysis[ID], 0)), "")</f>
        <v>0</v>
      </c>
      <c r="X493" s="28">
        <f>IFERROR(INDEX(tblPiNAnalysis[[Health ]], MATCH(tblPiNHistorical[[#This Row],[ID]], tblPiNAnalysis[ID], 0)), "")</f>
        <v>0</v>
      </c>
      <c r="Y493" s="28">
        <f>IFERROR(INDEX(tblPiNAnalysis[Nutrition], MATCH(tblPiNHistorical[[#This Row],[ID]], tblPiNAnalysis[ID], 0)), "")</f>
        <v>0</v>
      </c>
      <c r="Z493" s="28">
        <f>IFERROR(INDEX(tblPiNAnalysis[Protection], MATCH(tblPiNHistorical[[#This Row],[ID]], tblPiNAnalysis[ID], 0)), "")</f>
        <v>0</v>
      </c>
      <c r="AA493" s="28">
        <f>IFERROR(INDEX(tblPiNAnalysis[CP], MATCH(tblPiNHistorical[[#This Row],[ID]], tblPiNAnalysis[ID], 0)), "")</f>
        <v>0</v>
      </c>
      <c r="AB493" s="83">
        <f>IFERROR(INDEX(tblPiNAnalysis[GBV], MATCH(tblPiNHistorical[[#This Row],[ID]], tblPiNAnalysis[ID], 0)), "")</f>
        <v>0</v>
      </c>
      <c r="AC493" s="28">
        <f>IFERROR(INDEX(tblPiNAnalysis[Mine Action], MATCH(tblPiNHistorical[[#This Row],[ID]], tblPiNAnalysis[ID], 0)), "")</f>
        <v>0</v>
      </c>
      <c r="AD493" s="83">
        <f>IFERROR(INDEX(tblPiNAnalysis[[Shelter NFI ]], MATCH(tblPiNHistorical[[#This Row],[ID]], tblPiNAnalysis[ID], 0)), "")</f>
        <v>9616</v>
      </c>
      <c r="AE493" s="28">
        <f>IFERROR(INDEX(tblPiNAnalysis[WASH], MATCH(tblPiNHistorical[[#This Row],[ID]], tblPiNAnalysis[ID], 0)), "")</f>
        <v>0</v>
      </c>
      <c r="AF493"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493" s="136" t="str">
        <f>IF(OR(tblPiNHistorical[[#This Row],[Education Old]]="", tblPiNHistorical[[#This Row],[Education Old]]=0, tblPiNHistorical[[#This Row],[Education New]]="", tblPiNHistorical[[#This Row],[Education New]]=0), "", tblPiNHistorical[[#This Row],[Education New]]-tblPiNHistorical[[#This Row],[Education Old]])</f>
        <v/>
      </c>
      <c r="AH493"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493" s="137" t="str">
        <f>IF(OR(tblPiNHistorical[[#This Row],[Health Old]]="", tblPiNHistorical[[#This Row],[Health Old]]=0, tblPiNHistorical[[#This Row],[Health New]]="", tblPiNHistorical[[#This Row],[Health New]]=0), "", tblPiNHistorical[[#This Row],[Health New]]-tblPiNHistorical[[#This Row],[Health Old]])</f>
        <v/>
      </c>
      <c r="AJ493" s="136" t="str">
        <f>IF(OR(tblPiNHistorical[[#This Row],[Nutrition Old]]="", tblPiNHistorical[[#This Row],[Nutrition Old]]=0, tblPiNHistorical[[#This Row],[Nutrition New]]="", tblPiNHistorical[[#This Row],[Nutrition New]]=0), "", tblPiNHistorical[[#This Row],[Nutrition New]]-tblPiNHistorical[[#This Row],[Nutrition Old]])</f>
        <v/>
      </c>
      <c r="AK493" s="136" t="str">
        <f>IF(OR(tblPiNHistorical[[#This Row],[Protection Old]]="", tblPiNHistorical[[#This Row],[Protection Old]]=0, tblPiNHistorical[[#This Row],[Protection New]]="", tblPiNHistorical[[#This Row],[Protection New]]=0), "", tblPiNHistorical[[#This Row],[Protection New]]-tblPiNHistorical[[#This Row],[Protection Old]])</f>
        <v/>
      </c>
      <c r="AL493" s="136" t="str">
        <f>IF(OR(tblPiNHistorical[[#This Row],[CP Old ]]="", tblPiNHistorical[[#This Row],[CP Old ]]=0, tblPiNHistorical[[#This Row],[CP New]]="", tblPiNHistorical[[#This Row],[CP New]]=0), "", tblPiNHistorical[[#This Row],[CP New]]-tblPiNHistorical[[#This Row],[CP Old ]])</f>
        <v/>
      </c>
      <c r="AM493" s="83" t="str">
        <f>IF(OR(tblPiNHistorical[[#This Row],[GBV Old]]="", tblPiNHistorical[[#This Row],[GBV Old]]=0, tblPiNHistorical[[#This Row],[GBV New]]="", tblPiNHistorical[[#This Row],[GBV New]]=0), "", tblPiNHistorical[[#This Row],[GBV New]]-tblPiNHistorical[[#This Row],[GBV Old]])</f>
        <v/>
      </c>
      <c r="AN493" s="83" t="str">
        <f>IF(OR(tblPiNHistorical[[#This Row],[Mine Action Old]]="", tblPiNHistorical[[#This Row],[Mine Action Old]]=0, tblPiNHistorical[[#This Row],[Mine Action New]]="", tblPiNHistorical[[#This Row],[Mine Action New]]=0), "", tblPiNHistorical[[#This Row],[Mine Action New]]-tblPiNHistorical[[#This Row],[Mine Action Old]])</f>
        <v/>
      </c>
      <c r="AO493" s="136">
        <f>IF(OR(tblPiNHistorical[[#This Row],[Shelter NFI Old]]="", tblPiNHistorical[[#This Row],[Shelter NFI Old]]=0, tblPiNHistorical[[#This Row],[Shelter NFI New]]="", tblPiNHistorical[[#This Row],[Shelter NFI New]]=0), "", tblPiNHistorical[[#This Row],[Shelter NFI New]]-tblPiNHistorical[[#This Row],[Shelter NFI Old]])</f>
        <v>3386</v>
      </c>
      <c r="AP493" s="138" t="str">
        <f>IF(OR(tblPiNHistorical[[#This Row],[WASH Old]]="", tblPiNHistorical[[#This Row],[WASH Old]]=0, tblPiNHistorical[[#This Row],[WASH New]]="", tblPiNHistorical[[#This Row],[WASH New]]=0), "", tblPiNHistorical[[#This Row],[WASH New]]-tblPiNHistorical[[#This Row],[WASH Old]])</f>
        <v/>
      </c>
      <c r="AQ493" s="139" t="str">
        <f>IFERROR(ROUND((tblPiNHistorical[[#This Row],[Site Management - New]] - tblPiNHistorical[[#This Row],[Site Management - Old]])/tblPiNHistorical[[#This Row],[Site Management - Old]], 1), "")</f>
        <v/>
      </c>
      <c r="AR493" s="140">
        <f>IFERROR(ROUND((tblPiNHistorical[[#This Row],[Education New]]-tblPiNHistorical[[#This Row],[Education Old]])/tblPiNHistorical[[#This Row],[Education Old]], 1), "")</f>
        <v>-1</v>
      </c>
      <c r="AS493" s="141">
        <f>IFERROR(ROUND((tblPiNHistorical[[#This Row],[Food Security and Livlihoods New]]-tblPiNHistorical[[#This Row],[Food Security and Livlihoods Old]])/tblPiNHistorical[[#This Row],[Food Security and Livlihoods Old]], 1), "")</f>
        <v>-1</v>
      </c>
      <c r="AT493" s="142">
        <f>IFERROR(ROUND((tblPiNHistorical[[#This Row],[Health New]]-tblPiNHistorical[[#This Row],[Health Old]])/tblPiNHistorical[[#This Row],[Health Old]], 1), "")</f>
        <v>-1</v>
      </c>
      <c r="AU493" s="140">
        <f>IFERROR(ROUND((tblPiNHistorical[[#This Row],[Nutrition New]]-tblPiNHistorical[[#This Row],[Nutrition Old]])/tblPiNHistorical[[#This Row],[Nutrition Old]], 1), "")</f>
        <v>-1</v>
      </c>
      <c r="AV493" s="140">
        <f>IFERROR(ROUND((tblPiNHistorical[[#This Row],[Protection New]]-tblPiNHistorical[[#This Row],[Protection Old]])/tblPiNHistorical[[#This Row],[Protection Old]], 1), "")</f>
        <v>-1</v>
      </c>
      <c r="AW493" s="84">
        <f>IFERROR(ROUND((tblPiNHistorical[[#This Row],[CP New]]-tblPiNHistorical[[#This Row],[CP Old ]])/tblPiNHistorical[[#This Row],[CP Old ]], 1), "")</f>
        <v>-1</v>
      </c>
      <c r="AX493" s="84">
        <f>IFERROR(ROUND((tblPiNHistorical[[#This Row],[GBV New]]-tblPiNHistorical[[#This Row],[GBV Old]])/tblPiNHistorical[[#This Row],[GBV Old]], 1), "")</f>
        <v>-1</v>
      </c>
      <c r="AY493" s="84" t="str">
        <f>IFERROR(ROUND((tblPiNHistorical[[#This Row],[Mine Action New]]-tblPiNHistorical[[#This Row],[Mine Action Old]])/tblPiNHistorical[[#This Row],[Mine Action Old]], 1), "")</f>
        <v/>
      </c>
      <c r="AZ493" s="140">
        <f>IFERROR(ROUND((tblPiNHistorical[[#This Row],[Shelter NFI New]]-tblPiNHistorical[[#This Row],[Shelter NFI Old]])/tblPiNHistorical[[#This Row],[Shelter NFI Old]], 1), "")</f>
        <v>0.5</v>
      </c>
      <c r="BA493" s="31">
        <f>IFERROR(ROUND((tblPiNHistorical[[#This Row],[WASH New]]-tblPiNHistorical[[#This Row],[WASH Old]])/tblPiNHistorical[[#This Row],[WASH Old]], 1), "")</f>
        <v>-1</v>
      </c>
    </row>
    <row r="494" spans="1:53" ht="38.25" x14ac:dyDescent="0.25">
      <c r="A494"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Host CommunitySD16009</v>
      </c>
      <c r="B494" s="134" t="s">
        <v>179</v>
      </c>
      <c r="C494" s="124" t="s">
        <v>133</v>
      </c>
      <c r="D494" s="124" t="s">
        <v>514</v>
      </c>
      <c r="E494" s="59" t="s">
        <v>515</v>
      </c>
      <c r="F494" s="54"/>
      <c r="G494" s="29"/>
      <c r="H494" s="53">
        <v>95866</v>
      </c>
      <c r="I494" s="53" t="s">
        <v>87</v>
      </c>
      <c r="J494" s="34">
        <v>0</v>
      </c>
      <c r="K494" s="116">
        <v>37167.248200000002</v>
      </c>
      <c r="L494" s="114">
        <v>16173.2</v>
      </c>
      <c r="M494" s="114">
        <v>95866</v>
      </c>
      <c r="N494" s="114">
        <v>11374</v>
      </c>
      <c r="O494" s="114">
        <v>30355</v>
      </c>
      <c r="P494" s="114">
        <v>10545</v>
      </c>
      <c r="Q494" s="114">
        <v>30355</v>
      </c>
      <c r="R494" s="114">
        <v>0</v>
      </c>
      <c r="S494" s="114">
        <v>19173</v>
      </c>
      <c r="T494" s="196">
        <v>47856.30720000001</v>
      </c>
      <c r="U494" s="52">
        <f>IFERROR(INDEX(tblPiNAnalysis[[Site Management ]], MATCH(tblPiNHistorical[[#This Row],[ID]], tblPiNAnalysis[ID], 0)), "")</f>
        <v>0</v>
      </c>
      <c r="V494" s="52">
        <f>IFERROR(INDEX(tblPiNAnalysis[Education], MATCH(tblPiNHistorical[[#This Row],[ID]], tblPiNAnalysis[ID], 0)), "")</f>
        <v>0</v>
      </c>
      <c r="W494" s="28">
        <f>IFERROR(INDEX(tblPiNAnalysis[Food Security and Livlihoods], MATCH(tblPiNHistorical[[#This Row],[ID]], tblPiNAnalysis[ID], 0)), "")</f>
        <v>0</v>
      </c>
      <c r="X494" s="28">
        <f>IFERROR(INDEX(tblPiNAnalysis[[Health ]], MATCH(tblPiNHistorical[[#This Row],[ID]], tblPiNAnalysis[ID], 0)), "")</f>
        <v>0</v>
      </c>
      <c r="Y494" s="28">
        <f>IFERROR(INDEX(tblPiNAnalysis[Nutrition], MATCH(tblPiNHistorical[[#This Row],[ID]], tblPiNAnalysis[ID], 0)), "")</f>
        <v>0</v>
      </c>
      <c r="Z494" s="28">
        <f>IFERROR(INDEX(tblPiNAnalysis[Protection], MATCH(tblPiNHistorical[[#This Row],[ID]], tblPiNAnalysis[ID], 0)), "")</f>
        <v>0</v>
      </c>
      <c r="AA494" s="28">
        <f>IFERROR(INDEX(tblPiNAnalysis[CP], MATCH(tblPiNHistorical[[#This Row],[ID]], tblPiNAnalysis[ID], 0)), "")</f>
        <v>0</v>
      </c>
      <c r="AB494" s="83">
        <f>IFERROR(INDEX(tblPiNAnalysis[GBV], MATCH(tblPiNHistorical[[#This Row],[ID]], tblPiNAnalysis[ID], 0)), "")</f>
        <v>0</v>
      </c>
      <c r="AC494" s="28">
        <f>IFERROR(INDEX(tblPiNAnalysis[Mine Action], MATCH(tblPiNHistorical[[#This Row],[ID]], tblPiNAnalysis[ID], 0)), "")</f>
        <v>0</v>
      </c>
      <c r="AD494" s="83">
        <f>IFERROR(INDEX(tblPiNAnalysis[[Shelter NFI ]], MATCH(tblPiNHistorical[[#This Row],[ID]], tblPiNAnalysis[ID], 0)), "")</f>
        <v>32508</v>
      </c>
      <c r="AE494" s="28">
        <f>IFERROR(INDEX(tblPiNAnalysis[WASH], MATCH(tblPiNHistorical[[#This Row],[ID]], tblPiNAnalysis[ID], 0)), "")</f>
        <v>0</v>
      </c>
      <c r="AF494"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494" s="136" t="str">
        <f>IF(OR(tblPiNHistorical[[#This Row],[Education Old]]="", tblPiNHistorical[[#This Row],[Education Old]]=0, tblPiNHistorical[[#This Row],[Education New]]="", tblPiNHistorical[[#This Row],[Education New]]=0), "", tblPiNHistorical[[#This Row],[Education New]]-tblPiNHistorical[[#This Row],[Education Old]])</f>
        <v/>
      </c>
      <c r="AH494"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494" s="137" t="str">
        <f>IF(OR(tblPiNHistorical[[#This Row],[Health Old]]="", tblPiNHistorical[[#This Row],[Health Old]]=0, tblPiNHistorical[[#This Row],[Health New]]="", tblPiNHistorical[[#This Row],[Health New]]=0), "", tblPiNHistorical[[#This Row],[Health New]]-tblPiNHistorical[[#This Row],[Health Old]])</f>
        <v/>
      </c>
      <c r="AJ494" s="136" t="str">
        <f>IF(OR(tblPiNHistorical[[#This Row],[Nutrition Old]]="", tblPiNHistorical[[#This Row],[Nutrition Old]]=0, tblPiNHistorical[[#This Row],[Nutrition New]]="", tblPiNHistorical[[#This Row],[Nutrition New]]=0), "", tblPiNHistorical[[#This Row],[Nutrition New]]-tblPiNHistorical[[#This Row],[Nutrition Old]])</f>
        <v/>
      </c>
      <c r="AK494" s="136" t="str">
        <f>IF(OR(tblPiNHistorical[[#This Row],[Protection Old]]="", tblPiNHistorical[[#This Row],[Protection Old]]=0, tblPiNHistorical[[#This Row],[Protection New]]="", tblPiNHistorical[[#This Row],[Protection New]]=0), "", tblPiNHistorical[[#This Row],[Protection New]]-tblPiNHistorical[[#This Row],[Protection Old]])</f>
        <v/>
      </c>
      <c r="AL494" s="136" t="str">
        <f>IF(OR(tblPiNHistorical[[#This Row],[CP Old ]]="", tblPiNHistorical[[#This Row],[CP Old ]]=0, tblPiNHistorical[[#This Row],[CP New]]="", tblPiNHistorical[[#This Row],[CP New]]=0), "", tblPiNHistorical[[#This Row],[CP New]]-tblPiNHistorical[[#This Row],[CP Old ]])</f>
        <v/>
      </c>
      <c r="AM494" s="83" t="str">
        <f>IF(OR(tblPiNHistorical[[#This Row],[GBV Old]]="", tblPiNHistorical[[#This Row],[GBV Old]]=0, tblPiNHistorical[[#This Row],[GBV New]]="", tblPiNHistorical[[#This Row],[GBV New]]=0), "", tblPiNHistorical[[#This Row],[GBV New]]-tblPiNHistorical[[#This Row],[GBV Old]])</f>
        <v/>
      </c>
      <c r="AN494" s="83" t="str">
        <f>IF(OR(tblPiNHistorical[[#This Row],[Mine Action Old]]="", tblPiNHistorical[[#This Row],[Mine Action Old]]=0, tblPiNHistorical[[#This Row],[Mine Action New]]="", tblPiNHistorical[[#This Row],[Mine Action New]]=0), "", tblPiNHistorical[[#This Row],[Mine Action New]]-tblPiNHistorical[[#This Row],[Mine Action Old]])</f>
        <v/>
      </c>
      <c r="AO494" s="136">
        <f>IF(OR(tblPiNHistorical[[#This Row],[Shelter NFI Old]]="", tblPiNHistorical[[#This Row],[Shelter NFI Old]]=0, tblPiNHistorical[[#This Row],[Shelter NFI New]]="", tblPiNHistorical[[#This Row],[Shelter NFI New]]=0), "", tblPiNHistorical[[#This Row],[Shelter NFI New]]-tblPiNHistorical[[#This Row],[Shelter NFI Old]])</f>
        <v>13335</v>
      </c>
      <c r="AP494" s="138" t="str">
        <f>IF(OR(tblPiNHistorical[[#This Row],[WASH Old]]="", tblPiNHistorical[[#This Row],[WASH Old]]=0, tblPiNHistorical[[#This Row],[WASH New]]="", tblPiNHistorical[[#This Row],[WASH New]]=0), "", tblPiNHistorical[[#This Row],[WASH New]]-tblPiNHistorical[[#This Row],[WASH Old]])</f>
        <v/>
      </c>
      <c r="AQ494" s="139" t="str">
        <f>IFERROR(ROUND((tblPiNHistorical[[#This Row],[Site Management - New]] - tblPiNHistorical[[#This Row],[Site Management - Old]])/tblPiNHistorical[[#This Row],[Site Management - Old]], 1), "")</f>
        <v/>
      </c>
      <c r="AR494" s="140">
        <f>IFERROR(ROUND((tblPiNHistorical[[#This Row],[Education New]]-tblPiNHistorical[[#This Row],[Education Old]])/tblPiNHistorical[[#This Row],[Education Old]], 1), "")</f>
        <v>-1</v>
      </c>
      <c r="AS494" s="141">
        <f>IFERROR(ROUND((tblPiNHistorical[[#This Row],[Food Security and Livlihoods New]]-tblPiNHistorical[[#This Row],[Food Security and Livlihoods Old]])/tblPiNHistorical[[#This Row],[Food Security and Livlihoods Old]], 1), "")</f>
        <v>-1</v>
      </c>
      <c r="AT494" s="142">
        <f>IFERROR(ROUND((tblPiNHistorical[[#This Row],[Health New]]-tblPiNHistorical[[#This Row],[Health Old]])/tblPiNHistorical[[#This Row],[Health Old]], 1), "")</f>
        <v>-1</v>
      </c>
      <c r="AU494" s="140">
        <f>IFERROR(ROUND((tblPiNHistorical[[#This Row],[Nutrition New]]-tblPiNHistorical[[#This Row],[Nutrition Old]])/tblPiNHistorical[[#This Row],[Nutrition Old]], 1), "")</f>
        <v>-1</v>
      </c>
      <c r="AV494" s="140">
        <f>IFERROR(ROUND((tblPiNHistorical[[#This Row],[Protection New]]-tblPiNHistorical[[#This Row],[Protection Old]])/tblPiNHistorical[[#This Row],[Protection Old]], 1), "")</f>
        <v>-1</v>
      </c>
      <c r="AW494" s="84">
        <f>IFERROR(ROUND((tblPiNHistorical[[#This Row],[CP New]]-tblPiNHistorical[[#This Row],[CP Old ]])/tblPiNHistorical[[#This Row],[CP Old ]], 1), "")</f>
        <v>-1</v>
      </c>
      <c r="AX494" s="84">
        <f>IFERROR(ROUND((tblPiNHistorical[[#This Row],[GBV New]]-tblPiNHistorical[[#This Row],[GBV Old]])/tblPiNHistorical[[#This Row],[GBV Old]], 1), "")</f>
        <v>-1</v>
      </c>
      <c r="AY494" s="84" t="str">
        <f>IFERROR(ROUND((tblPiNHistorical[[#This Row],[Mine Action New]]-tblPiNHistorical[[#This Row],[Mine Action Old]])/tblPiNHistorical[[#This Row],[Mine Action Old]], 1), "")</f>
        <v/>
      </c>
      <c r="AZ494" s="140">
        <f>IFERROR(ROUND((tblPiNHistorical[[#This Row],[Shelter NFI New]]-tblPiNHistorical[[#This Row],[Shelter NFI Old]])/tblPiNHistorical[[#This Row],[Shelter NFI Old]], 1), "")</f>
        <v>0.7</v>
      </c>
      <c r="BA494" s="31">
        <f>IFERROR(ROUND((tblPiNHistorical[[#This Row],[WASH New]]-tblPiNHistorical[[#This Row],[WASH Old]])/tblPiNHistorical[[#This Row],[WASH Old]], 1), "")</f>
        <v>-1</v>
      </c>
    </row>
    <row r="495" spans="1:53" ht="38.25" x14ac:dyDescent="0.25">
      <c r="A495"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Host CommunitySD16012</v>
      </c>
      <c r="B495" s="134" t="s">
        <v>179</v>
      </c>
      <c r="C495" s="124" t="s">
        <v>133</v>
      </c>
      <c r="D495" s="124" t="s">
        <v>520</v>
      </c>
      <c r="E495" s="59" t="s">
        <v>521</v>
      </c>
      <c r="F495" s="54"/>
      <c r="G495" s="29"/>
      <c r="H495" s="53">
        <v>103621</v>
      </c>
      <c r="I495" s="53" t="s">
        <v>87</v>
      </c>
      <c r="J495" s="34">
        <v>0</v>
      </c>
      <c r="K495" s="116">
        <v>40173.861700000001</v>
      </c>
      <c r="L495" s="114">
        <v>20724.2</v>
      </c>
      <c r="M495" s="114">
        <v>103621</v>
      </c>
      <c r="N495" s="114">
        <v>7294</v>
      </c>
      <c r="O495" s="114">
        <v>32811</v>
      </c>
      <c r="P495" s="114">
        <v>11398</v>
      </c>
      <c r="Q495" s="114">
        <v>32811</v>
      </c>
      <c r="R495" s="114">
        <v>0</v>
      </c>
      <c r="S495" s="114">
        <v>20724</v>
      </c>
      <c r="T495" s="196">
        <v>52386.632759999993</v>
      </c>
      <c r="U495" s="52">
        <f>IFERROR(INDEX(tblPiNAnalysis[[Site Management ]], MATCH(tblPiNHistorical[[#This Row],[ID]], tblPiNAnalysis[ID], 0)), "")</f>
        <v>0</v>
      </c>
      <c r="V495" s="52">
        <f>IFERROR(INDEX(tblPiNAnalysis[Education], MATCH(tblPiNHistorical[[#This Row],[ID]], tblPiNAnalysis[ID], 0)), "")</f>
        <v>0</v>
      </c>
      <c r="W495" s="28">
        <f>IFERROR(INDEX(tblPiNAnalysis[Food Security and Livlihoods], MATCH(tblPiNHistorical[[#This Row],[ID]], tblPiNAnalysis[ID], 0)), "")</f>
        <v>0</v>
      </c>
      <c r="X495" s="28">
        <f>IFERROR(INDEX(tblPiNAnalysis[[Health ]], MATCH(tblPiNHistorical[[#This Row],[ID]], tblPiNAnalysis[ID], 0)), "")</f>
        <v>0</v>
      </c>
      <c r="Y495" s="28">
        <f>IFERROR(INDEX(tblPiNAnalysis[Nutrition], MATCH(tblPiNHistorical[[#This Row],[ID]], tblPiNAnalysis[ID], 0)), "")</f>
        <v>0</v>
      </c>
      <c r="Z495" s="28">
        <f>IFERROR(INDEX(tblPiNAnalysis[Protection], MATCH(tblPiNHistorical[[#This Row],[ID]], tblPiNAnalysis[ID], 0)), "")</f>
        <v>0</v>
      </c>
      <c r="AA495" s="28">
        <f>IFERROR(INDEX(tblPiNAnalysis[CP], MATCH(tblPiNHistorical[[#This Row],[ID]], tblPiNAnalysis[ID], 0)), "")</f>
        <v>0</v>
      </c>
      <c r="AB495" s="83">
        <f>IFERROR(INDEX(tblPiNAnalysis[GBV], MATCH(tblPiNHistorical[[#This Row],[ID]], tblPiNAnalysis[ID], 0)), "")</f>
        <v>0</v>
      </c>
      <c r="AC495" s="28">
        <f>IFERROR(INDEX(tblPiNAnalysis[Mine Action], MATCH(tblPiNHistorical[[#This Row],[ID]], tblPiNAnalysis[ID], 0)), "")</f>
        <v>0</v>
      </c>
      <c r="AD495" s="83">
        <f>IFERROR(INDEX(tblPiNAnalysis[[Shelter NFI ]], MATCH(tblPiNHistorical[[#This Row],[ID]], tblPiNAnalysis[ID], 0)), "")</f>
        <v>35796</v>
      </c>
      <c r="AE495" s="28">
        <f>IFERROR(INDEX(tblPiNAnalysis[WASH], MATCH(tblPiNHistorical[[#This Row],[ID]], tblPiNAnalysis[ID], 0)), "")</f>
        <v>0</v>
      </c>
      <c r="AF495"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495" s="136" t="str">
        <f>IF(OR(tblPiNHistorical[[#This Row],[Education Old]]="", tblPiNHistorical[[#This Row],[Education Old]]=0, tblPiNHistorical[[#This Row],[Education New]]="", tblPiNHistorical[[#This Row],[Education New]]=0), "", tblPiNHistorical[[#This Row],[Education New]]-tblPiNHistorical[[#This Row],[Education Old]])</f>
        <v/>
      </c>
      <c r="AH495"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495" s="137" t="str">
        <f>IF(OR(tblPiNHistorical[[#This Row],[Health Old]]="", tblPiNHistorical[[#This Row],[Health Old]]=0, tblPiNHistorical[[#This Row],[Health New]]="", tblPiNHistorical[[#This Row],[Health New]]=0), "", tblPiNHistorical[[#This Row],[Health New]]-tblPiNHistorical[[#This Row],[Health Old]])</f>
        <v/>
      </c>
      <c r="AJ495" s="136" t="str">
        <f>IF(OR(tblPiNHistorical[[#This Row],[Nutrition Old]]="", tblPiNHistorical[[#This Row],[Nutrition Old]]=0, tblPiNHistorical[[#This Row],[Nutrition New]]="", tblPiNHistorical[[#This Row],[Nutrition New]]=0), "", tblPiNHistorical[[#This Row],[Nutrition New]]-tblPiNHistorical[[#This Row],[Nutrition Old]])</f>
        <v/>
      </c>
      <c r="AK495" s="136" t="str">
        <f>IF(OR(tblPiNHistorical[[#This Row],[Protection Old]]="", tblPiNHistorical[[#This Row],[Protection Old]]=0, tblPiNHistorical[[#This Row],[Protection New]]="", tblPiNHistorical[[#This Row],[Protection New]]=0), "", tblPiNHistorical[[#This Row],[Protection New]]-tblPiNHistorical[[#This Row],[Protection Old]])</f>
        <v/>
      </c>
      <c r="AL495" s="136" t="str">
        <f>IF(OR(tblPiNHistorical[[#This Row],[CP Old ]]="", tblPiNHistorical[[#This Row],[CP Old ]]=0, tblPiNHistorical[[#This Row],[CP New]]="", tblPiNHistorical[[#This Row],[CP New]]=0), "", tblPiNHistorical[[#This Row],[CP New]]-tblPiNHistorical[[#This Row],[CP Old ]])</f>
        <v/>
      </c>
      <c r="AM495" s="83" t="str">
        <f>IF(OR(tblPiNHistorical[[#This Row],[GBV Old]]="", tblPiNHistorical[[#This Row],[GBV Old]]=0, tblPiNHistorical[[#This Row],[GBV New]]="", tblPiNHistorical[[#This Row],[GBV New]]=0), "", tblPiNHistorical[[#This Row],[GBV New]]-tblPiNHistorical[[#This Row],[GBV Old]])</f>
        <v/>
      </c>
      <c r="AN495" s="83" t="str">
        <f>IF(OR(tblPiNHistorical[[#This Row],[Mine Action Old]]="", tblPiNHistorical[[#This Row],[Mine Action Old]]=0, tblPiNHistorical[[#This Row],[Mine Action New]]="", tblPiNHistorical[[#This Row],[Mine Action New]]=0), "", tblPiNHistorical[[#This Row],[Mine Action New]]-tblPiNHistorical[[#This Row],[Mine Action Old]])</f>
        <v/>
      </c>
      <c r="AO495" s="136">
        <f>IF(OR(tblPiNHistorical[[#This Row],[Shelter NFI Old]]="", tblPiNHistorical[[#This Row],[Shelter NFI Old]]=0, tblPiNHistorical[[#This Row],[Shelter NFI New]]="", tblPiNHistorical[[#This Row],[Shelter NFI New]]=0), "", tblPiNHistorical[[#This Row],[Shelter NFI New]]-tblPiNHistorical[[#This Row],[Shelter NFI Old]])</f>
        <v>15072</v>
      </c>
      <c r="AP495" s="138" t="str">
        <f>IF(OR(tblPiNHistorical[[#This Row],[WASH Old]]="", tblPiNHistorical[[#This Row],[WASH Old]]=0, tblPiNHistorical[[#This Row],[WASH New]]="", tblPiNHistorical[[#This Row],[WASH New]]=0), "", tblPiNHistorical[[#This Row],[WASH New]]-tblPiNHistorical[[#This Row],[WASH Old]])</f>
        <v/>
      </c>
      <c r="AQ495" s="139" t="str">
        <f>IFERROR(ROUND((tblPiNHistorical[[#This Row],[Site Management - New]] - tblPiNHistorical[[#This Row],[Site Management - Old]])/tblPiNHistorical[[#This Row],[Site Management - Old]], 1), "")</f>
        <v/>
      </c>
      <c r="AR495" s="140">
        <f>IFERROR(ROUND((tblPiNHistorical[[#This Row],[Education New]]-tblPiNHistorical[[#This Row],[Education Old]])/tblPiNHistorical[[#This Row],[Education Old]], 1), "")</f>
        <v>-1</v>
      </c>
      <c r="AS495" s="141">
        <f>IFERROR(ROUND((tblPiNHistorical[[#This Row],[Food Security and Livlihoods New]]-tblPiNHistorical[[#This Row],[Food Security and Livlihoods Old]])/tblPiNHistorical[[#This Row],[Food Security and Livlihoods Old]], 1), "")</f>
        <v>-1</v>
      </c>
      <c r="AT495" s="142">
        <f>IFERROR(ROUND((tblPiNHistorical[[#This Row],[Health New]]-tblPiNHistorical[[#This Row],[Health Old]])/tblPiNHistorical[[#This Row],[Health Old]], 1), "")</f>
        <v>-1</v>
      </c>
      <c r="AU495" s="140">
        <f>IFERROR(ROUND((tblPiNHistorical[[#This Row],[Nutrition New]]-tblPiNHistorical[[#This Row],[Nutrition Old]])/tblPiNHistorical[[#This Row],[Nutrition Old]], 1), "")</f>
        <v>-1</v>
      </c>
      <c r="AV495" s="140">
        <f>IFERROR(ROUND((tblPiNHistorical[[#This Row],[Protection New]]-tblPiNHistorical[[#This Row],[Protection Old]])/tblPiNHistorical[[#This Row],[Protection Old]], 1), "")</f>
        <v>-1</v>
      </c>
      <c r="AW495" s="84">
        <f>IFERROR(ROUND((tblPiNHistorical[[#This Row],[CP New]]-tblPiNHistorical[[#This Row],[CP Old ]])/tblPiNHistorical[[#This Row],[CP Old ]], 1), "")</f>
        <v>-1</v>
      </c>
      <c r="AX495" s="84">
        <f>IFERROR(ROUND((tblPiNHistorical[[#This Row],[GBV New]]-tblPiNHistorical[[#This Row],[GBV Old]])/tblPiNHistorical[[#This Row],[GBV Old]], 1), "")</f>
        <v>-1</v>
      </c>
      <c r="AY495" s="84" t="str">
        <f>IFERROR(ROUND((tblPiNHistorical[[#This Row],[Mine Action New]]-tblPiNHistorical[[#This Row],[Mine Action Old]])/tblPiNHistorical[[#This Row],[Mine Action Old]], 1), "")</f>
        <v/>
      </c>
      <c r="AZ495" s="140">
        <f>IFERROR(ROUND((tblPiNHistorical[[#This Row],[Shelter NFI New]]-tblPiNHistorical[[#This Row],[Shelter NFI Old]])/tblPiNHistorical[[#This Row],[Shelter NFI Old]], 1), "")</f>
        <v>0.7</v>
      </c>
      <c r="BA495" s="31">
        <f>IFERROR(ROUND((tblPiNHistorical[[#This Row],[WASH New]]-tblPiNHistorical[[#This Row],[WASH Old]])/tblPiNHistorical[[#This Row],[WASH Old]], 1), "")</f>
        <v>-1</v>
      </c>
    </row>
    <row r="496" spans="1:53" ht="38.25" x14ac:dyDescent="0.25">
      <c r="A496"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Host CommunitySD16013</v>
      </c>
      <c r="B496" s="134" t="s">
        <v>179</v>
      </c>
      <c r="C496" s="124" t="s">
        <v>133</v>
      </c>
      <c r="D496" s="124" t="s">
        <v>522</v>
      </c>
      <c r="E496" s="59" t="s">
        <v>523</v>
      </c>
      <c r="F496" s="54"/>
      <c r="G496" s="29"/>
      <c r="H496" s="53">
        <v>49736</v>
      </c>
      <c r="I496" s="53" t="s">
        <v>87</v>
      </c>
      <c r="J496" s="34">
        <v>0</v>
      </c>
      <c r="K496" s="116">
        <v>19282.647199999999</v>
      </c>
      <c r="L496" s="114">
        <v>17240.95</v>
      </c>
      <c r="M496" s="114">
        <v>49736</v>
      </c>
      <c r="N496" s="114">
        <v>6840</v>
      </c>
      <c r="O496" s="114">
        <v>15748</v>
      </c>
      <c r="P496" s="114">
        <v>5471</v>
      </c>
      <c r="Q496" s="114">
        <v>15748</v>
      </c>
      <c r="R496" s="114">
        <v>0</v>
      </c>
      <c r="S496" s="114">
        <v>9947</v>
      </c>
      <c r="T496" s="196">
        <v>23521.149119999998</v>
      </c>
      <c r="U496" s="52">
        <f>IFERROR(INDEX(tblPiNAnalysis[[Site Management ]], MATCH(tblPiNHistorical[[#This Row],[ID]], tblPiNAnalysis[ID], 0)), "")</f>
        <v>0</v>
      </c>
      <c r="V496" s="52">
        <f>IFERROR(INDEX(tblPiNAnalysis[Education], MATCH(tblPiNHistorical[[#This Row],[ID]], tblPiNAnalysis[ID], 0)), "")</f>
        <v>0</v>
      </c>
      <c r="W496" s="28">
        <f>IFERROR(INDEX(tblPiNAnalysis[Food Security and Livlihoods], MATCH(tblPiNHistorical[[#This Row],[ID]], tblPiNAnalysis[ID], 0)), "")</f>
        <v>0</v>
      </c>
      <c r="X496" s="28">
        <f>IFERROR(INDEX(tblPiNAnalysis[[Health ]], MATCH(tblPiNHistorical[[#This Row],[ID]], tblPiNAnalysis[ID], 0)), "")</f>
        <v>0</v>
      </c>
      <c r="Y496" s="28">
        <f>IFERROR(INDEX(tblPiNAnalysis[Nutrition], MATCH(tblPiNHistorical[[#This Row],[ID]], tblPiNAnalysis[ID], 0)), "")</f>
        <v>0</v>
      </c>
      <c r="Z496" s="28">
        <f>IFERROR(INDEX(tblPiNAnalysis[Protection], MATCH(tblPiNHistorical[[#This Row],[ID]], tblPiNAnalysis[ID], 0)), "")</f>
        <v>0</v>
      </c>
      <c r="AA496" s="28">
        <f>IFERROR(INDEX(tblPiNAnalysis[CP], MATCH(tblPiNHistorical[[#This Row],[ID]], tblPiNAnalysis[ID], 0)), "")</f>
        <v>0</v>
      </c>
      <c r="AB496" s="83">
        <f>IFERROR(INDEX(tblPiNAnalysis[GBV], MATCH(tblPiNHistorical[[#This Row],[ID]], tblPiNAnalysis[ID], 0)), "")</f>
        <v>0</v>
      </c>
      <c r="AC496" s="28">
        <f>IFERROR(INDEX(tblPiNAnalysis[Mine Action], MATCH(tblPiNHistorical[[#This Row],[ID]], tblPiNAnalysis[ID], 0)), "")</f>
        <v>0</v>
      </c>
      <c r="AD496" s="83">
        <f>IFERROR(INDEX(tblPiNAnalysis[[Shelter NFI ]], MATCH(tblPiNHistorical[[#This Row],[ID]], tblPiNAnalysis[ID], 0)), "")</f>
        <v>10584</v>
      </c>
      <c r="AE496" s="28">
        <f>IFERROR(INDEX(tblPiNAnalysis[WASH], MATCH(tblPiNHistorical[[#This Row],[ID]], tblPiNAnalysis[ID], 0)), "")</f>
        <v>0</v>
      </c>
      <c r="AF496"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496" s="136" t="str">
        <f>IF(OR(tblPiNHistorical[[#This Row],[Education Old]]="", tblPiNHistorical[[#This Row],[Education Old]]=0, tblPiNHistorical[[#This Row],[Education New]]="", tblPiNHistorical[[#This Row],[Education New]]=0), "", tblPiNHistorical[[#This Row],[Education New]]-tblPiNHistorical[[#This Row],[Education Old]])</f>
        <v/>
      </c>
      <c r="AH496"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496" s="137" t="str">
        <f>IF(OR(tblPiNHistorical[[#This Row],[Health Old]]="", tblPiNHistorical[[#This Row],[Health Old]]=0, tblPiNHistorical[[#This Row],[Health New]]="", tblPiNHistorical[[#This Row],[Health New]]=0), "", tblPiNHistorical[[#This Row],[Health New]]-tblPiNHistorical[[#This Row],[Health Old]])</f>
        <v/>
      </c>
      <c r="AJ496" s="136" t="str">
        <f>IF(OR(tblPiNHistorical[[#This Row],[Nutrition Old]]="", tblPiNHistorical[[#This Row],[Nutrition Old]]=0, tblPiNHistorical[[#This Row],[Nutrition New]]="", tblPiNHistorical[[#This Row],[Nutrition New]]=0), "", tblPiNHistorical[[#This Row],[Nutrition New]]-tblPiNHistorical[[#This Row],[Nutrition Old]])</f>
        <v/>
      </c>
      <c r="AK496" s="136" t="str">
        <f>IF(OR(tblPiNHistorical[[#This Row],[Protection Old]]="", tblPiNHistorical[[#This Row],[Protection Old]]=0, tblPiNHistorical[[#This Row],[Protection New]]="", tblPiNHistorical[[#This Row],[Protection New]]=0), "", tblPiNHistorical[[#This Row],[Protection New]]-tblPiNHistorical[[#This Row],[Protection Old]])</f>
        <v/>
      </c>
      <c r="AL496" s="136" t="str">
        <f>IF(OR(tblPiNHistorical[[#This Row],[CP Old ]]="", tblPiNHistorical[[#This Row],[CP Old ]]=0, tblPiNHistorical[[#This Row],[CP New]]="", tblPiNHistorical[[#This Row],[CP New]]=0), "", tblPiNHistorical[[#This Row],[CP New]]-tblPiNHistorical[[#This Row],[CP Old ]])</f>
        <v/>
      </c>
      <c r="AM496" s="83" t="str">
        <f>IF(OR(tblPiNHistorical[[#This Row],[GBV Old]]="", tblPiNHistorical[[#This Row],[GBV Old]]=0, tblPiNHistorical[[#This Row],[GBV New]]="", tblPiNHistorical[[#This Row],[GBV New]]=0), "", tblPiNHistorical[[#This Row],[GBV New]]-tblPiNHistorical[[#This Row],[GBV Old]])</f>
        <v/>
      </c>
      <c r="AN496" s="83" t="str">
        <f>IF(OR(tblPiNHistorical[[#This Row],[Mine Action Old]]="", tblPiNHistorical[[#This Row],[Mine Action Old]]=0, tblPiNHistorical[[#This Row],[Mine Action New]]="", tblPiNHistorical[[#This Row],[Mine Action New]]=0), "", tblPiNHistorical[[#This Row],[Mine Action New]]-tblPiNHistorical[[#This Row],[Mine Action Old]])</f>
        <v/>
      </c>
      <c r="AO496" s="136">
        <f>IF(OR(tblPiNHistorical[[#This Row],[Shelter NFI Old]]="", tblPiNHistorical[[#This Row],[Shelter NFI Old]]=0, tblPiNHistorical[[#This Row],[Shelter NFI New]]="", tblPiNHistorical[[#This Row],[Shelter NFI New]]=0), "", tblPiNHistorical[[#This Row],[Shelter NFI New]]-tblPiNHistorical[[#This Row],[Shelter NFI Old]])</f>
        <v>637</v>
      </c>
      <c r="AP496" s="138" t="str">
        <f>IF(OR(tblPiNHistorical[[#This Row],[WASH Old]]="", tblPiNHistorical[[#This Row],[WASH Old]]=0, tblPiNHistorical[[#This Row],[WASH New]]="", tblPiNHistorical[[#This Row],[WASH New]]=0), "", tblPiNHistorical[[#This Row],[WASH New]]-tblPiNHistorical[[#This Row],[WASH Old]])</f>
        <v/>
      </c>
      <c r="AQ496" s="139" t="str">
        <f>IFERROR(ROUND((tblPiNHistorical[[#This Row],[Site Management - New]] - tblPiNHistorical[[#This Row],[Site Management - Old]])/tblPiNHistorical[[#This Row],[Site Management - Old]], 1), "")</f>
        <v/>
      </c>
      <c r="AR496" s="140">
        <f>IFERROR(ROUND((tblPiNHistorical[[#This Row],[Education New]]-tblPiNHistorical[[#This Row],[Education Old]])/tblPiNHistorical[[#This Row],[Education Old]], 1), "")</f>
        <v>-1</v>
      </c>
      <c r="AS496" s="141">
        <f>IFERROR(ROUND((tblPiNHistorical[[#This Row],[Food Security and Livlihoods New]]-tblPiNHistorical[[#This Row],[Food Security and Livlihoods Old]])/tblPiNHistorical[[#This Row],[Food Security and Livlihoods Old]], 1), "")</f>
        <v>-1</v>
      </c>
      <c r="AT496" s="142">
        <f>IFERROR(ROUND((tblPiNHistorical[[#This Row],[Health New]]-tblPiNHistorical[[#This Row],[Health Old]])/tblPiNHistorical[[#This Row],[Health Old]], 1), "")</f>
        <v>-1</v>
      </c>
      <c r="AU496" s="140">
        <f>IFERROR(ROUND((tblPiNHistorical[[#This Row],[Nutrition New]]-tblPiNHistorical[[#This Row],[Nutrition Old]])/tblPiNHistorical[[#This Row],[Nutrition Old]], 1), "")</f>
        <v>-1</v>
      </c>
      <c r="AV496" s="140">
        <f>IFERROR(ROUND((tblPiNHistorical[[#This Row],[Protection New]]-tblPiNHistorical[[#This Row],[Protection Old]])/tblPiNHistorical[[#This Row],[Protection Old]], 1), "")</f>
        <v>-1</v>
      </c>
      <c r="AW496" s="84">
        <f>IFERROR(ROUND((tblPiNHistorical[[#This Row],[CP New]]-tblPiNHistorical[[#This Row],[CP Old ]])/tblPiNHistorical[[#This Row],[CP Old ]], 1), "")</f>
        <v>-1</v>
      </c>
      <c r="AX496" s="84">
        <f>IFERROR(ROUND((tblPiNHistorical[[#This Row],[GBV New]]-tblPiNHistorical[[#This Row],[GBV Old]])/tblPiNHistorical[[#This Row],[GBV Old]], 1), "")</f>
        <v>-1</v>
      </c>
      <c r="AY496" s="84" t="str">
        <f>IFERROR(ROUND((tblPiNHistorical[[#This Row],[Mine Action New]]-tblPiNHistorical[[#This Row],[Mine Action Old]])/tblPiNHistorical[[#This Row],[Mine Action Old]], 1), "")</f>
        <v/>
      </c>
      <c r="AZ496" s="140">
        <f>IFERROR(ROUND((tblPiNHistorical[[#This Row],[Shelter NFI New]]-tblPiNHistorical[[#This Row],[Shelter NFI Old]])/tblPiNHistorical[[#This Row],[Shelter NFI Old]], 1), "")</f>
        <v>0.1</v>
      </c>
      <c r="BA496" s="31">
        <f>IFERROR(ROUND((tblPiNHistorical[[#This Row],[WASH New]]-tblPiNHistorical[[#This Row],[WASH Old]])/tblPiNHistorical[[#This Row],[WASH Old]], 1), "")</f>
        <v>-1</v>
      </c>
    </row>
    <row r="497" spans="1:53" ht="38.25" x14ac:dyDescent="0.25">
      <c r="A497"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Host CommunitySD16010</v>
      </c>
      <c r="B497" s="134" t="s">
        <v>179</v>
      </c>
      <c r="C497" s="124" t="s">
        <v>133</v>
      </c>
      <c r="D497" s="124" t="s">
        <v>516</v>
      </c>
      <c r="E497" s="59" t="s">
        <v>517</v>
      </c>
      <c r="F497" s="54"/>
      <c r="G497" s="29"/>
      <c r="H497" s="53">
        <v>101130</v>
      </c>
      <c r="I497" s="53" t="s">
        <v>87</v>
      </c>
      <c r="J497" s="34">
        <v>0</v>
      </c>
      <c r="K497" s="116">
        <v>39208.101000000002</v>
      </c>
      <c r="L497" s="114">
        <v>20226</v>
      </c>
      <c r="M497" s="114">
        <v>101130</v>
      </c>
      <c r="N497" s="114">
        <v>14807</v>
      </c>
      <c r="O497" s="114">
        <v>32022</v>
      </c>
      <c r="P497" s="114">
        <v>11124</v>
      </c>
      <c r="Q497" s="114">
        <v>32022</v>
      </c>
      <c r="R497" s="114">
        <v>0</v>
      </c>
      <c r="S497" s="114">
        <v>20226</v>
      </c>
      <c r="T497" s="196">
        <v>109499.51880000002</v>
      </c>
      <c r="U497" s="52">
        <f>IFERROR(INDEX(tblPiNAnalysis[[Site Management ]], MATCH(tblPiNHistorical[[#This Row],[ID]], tblPiNAnalysis[ID], 0)), "")</f>
        <v>0</v>
      </c>
      <c r="V497" s="52">
        <f>IFERROR(INDEX(tblPiNAnalysis[Education], MATCH(tblPiNHistorical[[#This Row],[ID]], tblPiNAnalysis[ID], 0)), "")</f>
        <v>0</v>
      </c>
      <c r="W497" s="28">
        <f>IFERROR(INDEX(tblPiNAnalysis[Food Security and Livlihoods], MATCH(tblPiNHistorical[[#This Row],[ID]], tblPiNAnalysis[ID], 0)), "")</f>
        <v>0</v>
      </c>
      <c r="X497" s="28">
        <f>IFERROR(INDEX(tblPiNAnalysis[[Health ]], MATCH(tblPiNHistorical[[#This Row],[ID]], tblPiNAnalysis[ID], 0)), "")</f>
        <v>0</v>
      </c>
      <c r="Y497" s="28">
        <f>IFERROR(INDEX(tblPiNAnalysis[Nutrition], MATCH(tblPiNHistorical[[#This Row],[ID]], tblPiNAnalysis[ID], 0)), "")</f>
        <v>0</v>
      </c>
      <c r="Z497" s="28">
        <f>IFERROR(INDEX(tblPiNAnalysis[Protection], MATCH(tblPiNHistorical[[#This Row],[ID]], tblPiNAnalysis[ID], 0)), "")</f>
        <v>0</v>
      </c>
      <c r="AA497" s="28">
        <f>IFERROR(INDEX(tblPiNAnalysis[CP], MATCH(tblPiNHistorical[[#This Row],[ID]], tblPiNAnalysis[ID], 0)), "")</f>
        <v>0</v>
      </c>
      <c r="AB497" s="83">
        <f>IFERROR(INDEX(tblPiNAnalysis[GBV], MATCH(tblPiNHistorical[[#This Row],[ID]], tblPiNAnalysis[ID], 0)), "")</f>
        <v>0</v>
      </c>
      <c r="AC497" s="28">
        <f>IFERROR(INDEX(tblPiNAnalysis[Mine Action], MATCH(tblPiNHistorical[[#This Row],[ID]], tblPiNAnalysis[ID], 0)), "")</f>
        <v>0</v>
      </c>
      <c r="AD497" s="83">
        <f>IFERROR(INDEX(tblPiNAnalysis[[Shelter NFI ]], MATCH(tblPiNHistorical[[#This Row],[ID]], tblPiNAnalysis[ID], 0)), "")</f>
        <v>101197</v>
      </c>
      <c r="AE497" s="28">
        <f>IFERROR(INDEX(tblPiNAnalysis[WASH], MATCH(tblPiNHistorical[[#This Row],[ID]], tblPiNAnalysis[ID], 0)), "")</f>
        <v>0</v>
      </c>
      <c r="AF497"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497" s="136" t="str">
        <f>IF(OR(tblPiNHistorical[[#This Row],[Education Old]]="", tblPiNHistorical[[#This Row],[Education Old]]=0, tblPiNHistorical[[#This Row],[Education New]]="", tblPiNHistorical[[#This Row],[Education New]]=0), "", tblPiNHistorical[[#This Row],[Education New]]-tblPiNHistorical[[#This Row],[Education Old]])</f>
        <v/>
      </c>
      <c r="AH497"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497" s="137" t="str">
        <f>IF(OR(tblPiNHistorical[[#This Row],[Health Old]]="", tblPiNHistorical[[#This Row],[Health Old]]=0, tblPiNHistorical[[#This Row],[Health New]]="", tblPiNHistorical[[#This Row],[Health New]]=0), "", tblPiNHistorical[[#This Row],[Health New]]-tblPiNHistorical[[#This Row],[Health Old]])</f>
        <v/>
      </c>
      <c r="AJ497" s="136" t="str">
        <f>IF(OR(tblPiNHistorical[[#This Row],[Nutrition Old]]="", tblPiNHistorical[[#This Row],[Nutrition Old]]=0, tblPiNHistorical[[#This Row],[Nutrition New]]="", tblPiNHistorical[[#This Row],[Nutrition New]]=0), "", tblPiNHistorical[[#This Row],[Nutrition New]]-tblPiNHistorical[[#This Row],[Nutrition Old]])</f>
        <v/>
      </c>
      <c r="AK497" s="136" t="str">
        <f>IF(OR(tblPiNHistorical[[#This Row],[Protection Old]]="", tblPiNHistorical[[#This Row],[Protection Old]]=0, tblPiNHistorical[[#This Row],[Protection New]]="", tblPiNHistorical[[#This Row],[Protection New]]=0), "", tblPiNHistorical[[#This Row],[Protection New]]-tblPiNHistorical[[#This Row],[Protection Old]])</f>
        <v/>
      </c>
      <c r="AL497" s="136" t="str">
        <f>IF(OR(tblPiNHistorical[[#This Row],[CP Old ]]="", tblPiNHistorical[[#This Row],[CP Old ]]=0, tblPiNHistorical[[#This Row],[CP New]]="", tblPiNHistorical[[#This Row],[CP New]]=0), "", tblPiNHistorical[[#This Row],[CP New]]-tblPiNHistorical[[#This Row],[CP Old ]])</f>
        <v/>
      </c>
      <c r="AM497" s="83" t="str">
        <f>IF(OR(tblPiNHistorical[[#This Row],[GBV Old]]="", tblPiNHistorical[[#This Row],[GBV Old]]=0, tblPiNHistorical[[#This Row],[GBV New]]="", tblPiNHistorical[[#This Row],[GBV New]]=0), "", tblPiNHistorical[[#This Row],[GBV New]]-tblPiNHistorical[[#This Row],[GBV Old]])</f>
        <v/>
      </c>
      <c r="AN497" s="83" t="str">
        <f>IF(OR(tblPiNHistorical[[#This Row],[Mine Action Old]]="", tblPiNHistorical[[#This Row],[Mine Action Old]]=0, tblPiNHistorical[[#This Row],[Mine Action New]]="", tblPiNHistorical[[#This Row],[Mine Action New]]=0), "", tblPiNHistorical[[#This Row],[Mine Action New]]-tblPiNHistorical[[#This Row],[Mine Action Old]])</f>
        <v/>
      </c>
      <c r="AO497" s="136">
        <f>IF(OR(tblPiNHistorical[[#This Row],[Shelter NFI Old]]="", tblPiNHistorical[[#This Row],[Shelter NFI Old]]=0, tblPiNHistorical[[#This Row],[Shelter NFI New]]="", tblPiNHistorical[[#This Row],[Shelter NFI New]]=0), "", tblPiNHistorical[[#This Row],[Shelter NFI New]]-tblPiNHistorical[[#This Row],[Shelter NFI Old]])</f>
        <v>80971</v>
      </c>
      <c r="AP497" s="138" t="str">
        <f>IF(OR(tblPiNHistorical[[#This Row],[WASH Old]]="", tblPiNHistorical[[#This Row],[WASH Old]]=0, tblPiNHistorical[[#This Row],[WASH New]]="", tblPiNHistorical[[#This Row],[WASH New]]=0), "", tblPiNHistorical[[#This Row],[WASH New]]-tblPiNHistorical[[#This Row],[WASH Old]])</f>
        <v/>
      </c>
      <c r="AQ497" s="139" t="str">
        <f>IFERROR(ROUND((tblPiNHistorical[[#This Row],[Site Management - New]] - tblPiNHistorical[[#This Row],[Site Management - Old]])/tblPiNHistorical[[#This Row],[Site Management - Old]], 1), "")</f>
        <v/>
      </c>
      <c r="AR497" s="140">
        <f>IFERROR(ROUND((tblPiNHistorical[[#This Row],[Education New]]-tblPiNHistorical[[#This Row],[Education Old]])/tblPiNHistorical[[#This Row],[Education Old]], 1), "")</f>
        <v>-1</v>
      </c>
      <c r="AS497" s="141">
        <f>IFERROR(ROUND((tblPiNHistorical[[#This Row],[Food Security and Livlihoods New]]-tblPiNHistorical[[#This Row],[Food Security and Livlihoods Old]])/tblPiNHistorical[[#This Row],[Food Security and Livlihoods Old]], 1), "")</f>
        <v>-1</v>
      </c>
      <c r="AT497" s="142">
        <f>IFERROR(ROUND((tblPiNHistorical[[#This Row],[Health New]]-tblPiNHistorical[[#This Row],[Health Old]])/tblPiNHistorical[[#This Row],[Health Old]], 1), "")</f>
        <v>-1</v>
      </c>
      <c r="AU497" s="140">
        <f>IFERROR(ROUND((tblPiNHistorical[[#This Row],[Nutrition New]]-tblPiNHistorical[[#This Row],[Nutrition Old]])/tblPiNHistorical[[#This Row],[Nutrition Old]], 1), "")</f>
        <v>-1</v>
      </c>
      <c r="AV497" s="140">
        <f>IFERROR(ROUND((tblPiNHistorical[[#This Row],[Protection New]]-tblPiNHistorical[[#This Row],[Protection Old]])/tblPiNHistorical[[#This Row],[Protection Old]], 1), "")</f>
        <v>-1</v>
      </c>
      <c r="AW497" s="84">
        <f>IFERROR(ROUND((tblPiNHistorical[[#This Row],[CP New]]-tblPiNHistorical[[#This Row],[CP Old ]])/tblPiNHistorical[[#This Row],[CP Old ]], 1), "")</f>
        <v>-1</v>
      </c>
      <c r="AX497" s="84">
        <f>IFERROR(ROUND((tblPiNHistorical[[#This Row],[GBV New]]-tblPiNHistorical[[#This Row],[GBV Old]])/tblPiNHistorical[[#This Row],[GBV Old]], 1), "")</f>
        <v>-1</v>
      </c>
      <c r="AY497" s="84" t="str">
        <f>IFERROR(ROUND((tblPiNHistorical[[#This Row],[Mine Action New]]-tblPiNHistorical[[#This Row],[Mine Action Old]])/tblPiNHistorical[[#This Row],[Mine Action Old]], 1), "")</f>
        <v/>
      </c>
      <c r="AZ497" s="140">
        <f>IFERROR(ROUND((tblPiNHistorical[[#This Row],[Shelter NFI New]]-tblPiNHistorical[[#This Row],[Shelter NFI Old]])/tblPiNHistorical[[#This Row],[Shelter NFI Old]], 1), "")</f>
        <v>4</v>
      </c>
      <c r="BA497" s="31">
        <f>IFERROR(ROUND((tblPiNHistorical[[#This Row],[WASH New]]-tblPiNHistorical[[#This Row],[WASH Old]])/tblPiNHistorical[[#This Row],[WASH Old]], 1), "")</f>
        <v>-1</v>
      </c>
    </row>
    <row r="498" spans="1:53" ht="38.25" x14ac:dyDescent="0.25">
      <c r="A498"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Host CommunitySD14037</v>
      </c>
      <c r="B498" s="134" t="s">
        <v>182</v>
      </c>
      <c r="C498" s="124" t="s">
        <v>131</v>
      </c>
      <c r="D498" s="124" t="s">
        <v>483</v>
      </c>
      <c r="E498" s="59" t="s">
        <v>484</v>
      </c>
      <c r="F498" s="54"/>
      <c r="G498" s="29"/>
      <c r="H498" s="53">
        <v>53196</v>
      </c>
      <c r="I498" s="53" t="s">
        <v>87</v>
      </c>
      <c r="J498" s="34">
        <v>0</v>
      </c>
      <c r="K498" s="116">
        <v>20624.089199999999</v>
      </c>
      <c r="L498" s="114">
        <v>53196</v>
      </c>
      <c r="M498" s="114">
        <v>53196</v>
      </c>
      <c r="N498" s="114">
        <v>5118</v>
      </c>
      <c r="O498" s="114">
        <v>16844</v>
      </c>
      <c r="P498" s="114">
        <v>5852</v>
      </c>
      <c r="Q498" s="114">
        <v>16844</v>
      </c>
      <c r="R498" s="114">
        <v>0</v>
      </c>
      <c r="S498" s="114">
        <v>10639</v>
      </c>
      <c r="T498" s="196">
        <v>45386.8272</v>
      </c>
      <c r="U498" s="52">
        <f>IFERROR(INDEX(tblPiNAnalysis[[Site Management ]], MATCH(tblPiNHistorical[[#This Row],[ID]], tblPiNAnalysis[ID], 0)), "")</f>
        <v>0</v>
      </c>
      <c r="V498" s="52">
        <f>IFERROR(INDEX(tblPiNAnalysis[Education], MATCH(tblPiNHistorical[[#This Row],[ID]], tblPiNAnalysis[ID], 0)), "")</f>
        <v>0</v>
      </c>
      <c r="W498" s="28">
        <f>IFERROR(INDEX(tblPiNAnalysis[Food Security and Livlihoods], MATCH(tblPiNHistorical[[#This Row],[ID]], tblPiNAnalysis[ID], 0)), "")</f>
        <v>0</v>
      </c>
      <c r="X498" s="28">
        <f>IFERROR(INDEX(tblPiNAnalysis[[Health ]], MATCH(tblPiNHistorical[[#This Row],[ID]], tblPiNAnalysis[ID], 0)), "")</f>
        <v>0</v>
      </c>
      <c r="Y498" s="28">
        <f>IFERROR(INDEX(tblPiNAnalysis[Nutrition], MATCH(tblPiNHistorical[[#This Row],[ID]], tblPiNAnalysis[ID], 0)), "")</f>
        <v>0</v>
      </c>
      <c r="Z498" s="28">
        <f>IFERROR(INDEX(tblPiNAnalysis[Protection], MATCH(tblPiNHistorical[[#This Row],[ID]], tblPiNAnalysis[ID], 0)), "")</f>
        <v>0</v>
      </c>
      <c r="AA498" s="28">
        <f>IFERROR(INDEX(tblPiNAnalysis[CP], MATCH(tblPiNHistorical[[#This Row],[ID]], tblPiNAnalysis[ID], 0)), "")</f>
        <v>0</v>
      </c>
      <c r="AB498" s="83">
        <f>IFERROR(INDEX(tblPiNAnalysis[GBV], MATCH(tblPiNHistorical[[#This Row],[ID]], tblPiNAnalysis[ID], 0)), "")</f>
        <v>0</v>
      </c>
      <c r="AC498" s="28">
        <f>IFERROR(INDEX(tblPiNAnalysis[Mine Action], MATCH(tblPiNHistorical[[#This Row],[ID]], tblPiNAnalysis[ID], 0)), "")</f>
        <v>0</v>
      </c>
      <c r="AD498" s="83">
        <f>IFERROR(INDEX(tblPiNAnalysis[[Shelter NFI ]], MATCH(tblPiNHistorical[[#This Row],[ID]], tblPiNAnalysis[ID], 0)), "")</f>
        <v>2546</v>
      </c>
      <c r="AE498" s="28">
        <f>IFERROR(INDEX(tblPiNAnalysis[WASH], MATCH(tblPiNHistorical[[#This Row],[ID]], tblPiNAnalysis[ID], 0)), "")</f>
        <v>0</v>
      </c>
      <c r="AF498"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498" s="136" t="str">
        <f>IF(OR(tblPiNHistorical[[#This Row],[Education Old]]="", tblPiNHistorical[[#This Row],[Education Old]]=0, tblPiNHistorical[[#This Row],[Education New]]="", tblPiNHistorical[[#This Row],[Education New]]=0), "", tblPiNHistorical[[#This Row],[Education New]]-tblPiNHistorical[[#This Row],[Education Old]])</f>
        <v/>
      </c>
      <c r="AH498"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498" s="137" t="str">
        <f>IF(OR(tblPiNHistorical[[#This Row],[Health Old]]="", tblPiNHistorical[[#This Row],[Health Old]]=0, tblPiNHistorical[[#This Row],[Health New]]="", tblPiNHistorical[[#This Row],[Health New]]=0), "", tblPiNHistorical[[#This Row],[Health New]]-tblPiNHistorical[[#This Row],[Health Old]])</f>
        <v/>
      </c>
      <c r="AJ498" s="136" t="str">
        <f>IF(OR(tblPiNHistorical[[#This Row],[Nutrition Old]]="", tblPiNHistorical[[#This Row],[Nutrition Old]]=0, tblPiNHistorical[[#This Row],[Nutrition New]]="", tblPiNHistorical[[#This Row],[Nutrition New]]=0), "", tblPiNHistorical[[#This Row],[Nutrition New]]-tblPiNHistorical[[#This Row],[Nutrition Old]])</f>
        <v/>
      </c>
      <c r="AK498" s="136" t="str">
        <f>IF(OR(tblPiNHistorical[[#This Row],[Protection Old]]="", tblPiNHistorical[[#This Row],[Protection Old]]=0, tblPiNHistorical[[#This Row],[Protection New]]="", tblPiNHistorical[[#This Row],[Protection New]]=0), "", tblPiNHistorical[[#This Row],[Protection New]]-tblPiNHistorical[[#This Row],[Protection Old]])</f>
        <v/>
      </c>
      <c r="AL498" s="136" t="str">
        <f>IF(OR(tblPiNHistorical[[#This Row],[CP Old ]]="", tblPiNHistorical[[#This Row],[CP Old ]]=0, tblPiNHistorical[[#This Row],[CP New]]="", tblPiNHistorical[[#This Row],[CP New]]=0), "", tblPiNHistorical[[#This Row],[CP New]]-tblPiNHistorical[[#This Row],[CP Old ]])</f>
        <v/>
      </c>
      <c r="AM498" s="83" t="str">
        <f>IF(OR(tblPiNHistorical[[#This Row],[GBV Old]]="", tblPiNHistorical[[#This Row],[GBV Old]]=0, tblPiNHistorical[[#This Row],[GBV New]]="", tblPiNHistorical[[#This Row],[GBV New]]=0), "", tblPiNHistorical[[#This Row],[GBV New]]-tblPiNHistorical[[#This Row],[GBV Old]])</f>
        <v/>
      </c>
      <c r="AN498" s="83" t="str">
        <f>IF(OR(tblPiNHistorical[[#This Row],[Mine Action Old]]="", tblPiNHistorical[[#This Row],[Mine Action Old]]=0, tblPiNHistorical[[#This Row],[Mine Action New]]="", tblPiNHistorical[[#This Row],[Mine Action New]]=0), "", tblPiNHistorical[[#This Row],[Mine Action New]]-tblPiNHistorical[[#This Row],[Mine Action Old]])</f>
        <v/>
      </c>
      <c r="AO498" s="136">
        <f>IF(OR(tblPiNHistorical[[#This Row],[Shelter NFI Old]]="", tblPiNHistorical[[#This Row],[Shelter NFI Old]]=0, tblPiNHistorical[[#This Row],[Shelter NFI New]]="", tblPiNHistorical[[#This Row],[Shelter NFI New]]=0), "", tblPiNHistorical[[#This Row],[Shelter NFI New]]-tblPiNHistorical[[#This Row],[Shelter NFI Old]])</f>
        <v>-8093</v>
      </c>
      <c r="AP498" s="138" t="str">
        <f>IF(OR(tblPiNHistorical[[#This Row],[WASH Old]]="", tblPiNHistorical[[#This Row],[WASH Old]]=0, tblPiNHistorical[[#This Row],[WASH New]]="", tblPiNHistorical[[#This Row],[WASH New]]=0), "", tblPiNHistorical[[#This Row],[WASH New]]-tblPiNHistorical[[#This Row],[WASH Old]])</f>
        <v/>
      </c>
      <c r="AQ498" s="139" t="str">
        <f>IFERROR(ROUND((tblPiNHistorical[[#This Row],[Site Management - New]] - tblPiNHistorical[[#This Row],[Site Management - Old]])/tblPiNHistorical[[#This Row],[Site Management - Old]], 1), "")</f>
        <v/>
      </c>
      <c r="AR498" s="140">
        <f>IFERROR(ROUND((tblPiNHistorical[[#This Row],[Education New]]-tblPiNHistorical[[#This Row],[Education Old]])/tblPiNHistorical[[#This Row],[Education Old]], 1), "")</f>
        <v>-1</v>
      </c>
      <c r="AS498" s="141">
        <f>IFERROR(ROUND((tblPiNHistorical[[#This Row],[Food Security and Livlihoods New]]-tblPiNHistorical[[#This Row],[Food Security and Livlihoods Old]])/tblPiNHistorical[[#This Row],[Food Security and Livlihoods Old]], 1), "")</f>
        <v>-1</v>
      </c>
      <c r="AT498" s="142">
        <f>IFERROR(ROUND((tblPiNHistorical[[#This Row],[Health New]]-tblPiNHistorical[[#This Row],[Health Old]])/tblPiNHistorical[[#This Row],[Health Old]], 1), "")</f>
        <v>-1</v>
      </c>
      <c r="AU498" s="140">
        <f>IFERROR(ROUND((tblPiNHistorical[[#This Row],[Nutrition New]]-tblPiNHistorical[[#This Row],[Nutrition Old]])/tblPiNHistorical[[#This Row],[Nutrition Old]], 1), "")</f>
        <v>-1</v>
      </c>
      <c r="AV498" s="140">
        <f>IFERROR(ROUND((tblPiNHistorical[[#This Row],[Protection New]]-tblPiNHistorical[[#This Row],[Protection Old]])/tblPiNHistorical[[#This Row],[Protection Old]], 1), "")</f>
        <v>-1</v>
      </c>
      <c r="AW498" s="84">
        <f>IFERROR(ROUND((tblPiNHistorical[[#This Row],[CP New]]-tblPiNHistorical[[#This Row],[CP Old ]])/tblPiNHistorical[[#This Row],[CP Old ]], 1), "")</f>
        <v>-1</v>
      </c>
      <c r="AX498" s="84">
        <f>IFERROR(ROUND((tblPiNHistorical[[#This Row],[GBV New]]-tblPiNHistorical[[#This Row],[GBV Old]])/tblPiNHistorical[[#This Row],[GBV Old]], 1), "")</f>
        <v>-1</v>
      </c>
      <c r="AY498" s="84" t="str">
        <f>IFERROR(ROUND((tblPiNHistorical[[#This Row],[Mine Action New]]-tblPiNHistorical[[#This Row],[Mine Action Old]])/tblPiNHistorical[[#This Row],[Mine Action Old]], 1), "")</f>
        <v/>
      </c>
      <c r="AZ498" s="140">
        <f>IFERROR(ROUND((tblPiNHistorical[[#This Row],[Shelter NFI New]]-tblPiNHistorical[[#This Row],[Shelter NFI Old]])/tblPiNHistorical[[#This Row],[Shelter NFI Old]], 1), "")</f>
        <v>-0.8</v>
      </c>
      <c r="BA498" s="31">
        <f>IFERROR(ROUND((tblPiNHistorical[[#This Row],[WASH New]]-tblPiNHistorical[[#This Row],[WASH Old]])/tblPiNHistorical[[#This Row],[WASH Old]], 1), "")</f>
        <v>-1</v>
      </c>
    </row>
    <row r="499" spans="1:53" ht="38.25" x14ac:dyDescent="0.25">
      <c r="A499"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Host CommunitySD14039</v>
      </c>
      <c r="B499" s="134" t="s">
        <v>182</v>
      </c>
      <c r="C499" s="124" t="s">
        <v>131</v>
      </c>
      <c r="D499" s="124" t="s">
        <v>486</v>
      </c>
      <c r="E499" s="59" t="s">
        <v>487</v>
      </c>
      <c r="F499" s="54"/>
      <c r="G499" s="29"/>
      <c r="H499" s="53">
        <v>35929</v>
      </c>
      <c r="I499" s="53" t="s">
        <v>87</v>
      </c>
      <c r="J499" s="34">
        <v>0</v>
      </c>
      <c r="K499" s="116">
        <v>13929.6733</v>
      </c>
      <c r="L499" s="114">
        <v>35929</v>
      </c>
      <c r="M499" s="114">
        <v>35929</v>
      </c>
      <c r="N499" s="114">
        <v>4044</v>
      </c>
      <c r="O499" s="114">
        <v>11377</v>
      </c>
      <c r="P499" s="114">
        <v>3952</v>
      </c>
      <c r="Q499" s="114">
        <v>11377</v>
      </c>
      <c r="R499" s="114">
        <v>0</v>
      </c>
      <c r="S499" s="114">
        <v>7186</v>
      </c>
      <c r="T499" s="196">
        <v>33615.172400000003</v>
      </c>
      <c r="U499" s="52">
        <f>IFERROR(INDEX(tblPiNAnalysis[[Site Management ]], MATCH(tblPiNHistorical[[#This Row],[ID]], tblPiNAnalysis[ID], 0)), "")</f>
        <v>0</v>
      </c>
      <c r="V499" s="52">
        <f>IFERROR(INDEX(tblPiNAnalysis[Education], MATCH(tblPiNHistorical[[#This Row],[ID]], tblPiNAnalysis[ID], 0)), "")</f>
        <v>0</v>
      </c>
      <c r="W499" s="28">
        <f>IFERROR(INDEX(tblPiNAnalysis[Food Security and Livlihoods], MATCH(tblPiNHistorical[[#This Row],[ID]], tblPiNAnalysis[ID], 0)), "")</f>
        <v>0</v>
      </c>
      <c r="X499" s="28">
        <f>IFERROR(INDEX(tblPiNAnalysis[[Health ]], MATCH(tblPiNHistorical[[#This Row],[ID]], tblPiNAnalysis[ID], 0)), "")</f>
        <v>0</v>
      </c>
      <c r="Y499" s="28">
        <f>IFERROR(INDEX(tblPiNAnalysis[Nutrition], MATCH(tblPiNHistorical[[#This Row],[ID]], tblPiNAnalysis[ID], 0)), "")</f>
        <v>0</v>
      </c>
      <c r="Z499" s="28">
        <f>IFERROR(INDEX(tblPiNAnalysis[Protection], MATCH(tblPiNHistorical[[#This Row],[ID]], tblPiNAnalysis[ID], 0)), "")</f>
        <v>0</v>
      </c>
      <c r="AA499" s="28">
        <f>IFERROR(INDEX(tblPiNAnalysis[CP], MATCH(tblPiNHistorical[[#This Row],[ID]], tblPiNAnalysis[ID], 0)), "")</f>
        <v>0</v>
      </c>
      <c r="AB499" s="83">
        <f>IFERROR(INDEX(tblPiNAnalysis[GBV], MATCH(tblPiNHistorical[[#This Row],[ID]], tblPiNAnalysis[ID], 0)), "")</f>
        <v>0</v>
      </c>
      <c r="AC499" s="28">
        <f>IFERROR(INDEX(tblPiNAnalysis[Mine Action], MATCH(tblPiNHistorical[[#This Row],[ID]], tblPiNAnalysis[ID], 0)), "")</f>
        <v>0</v>
      </c>
      <c r="AD499" s="83">
        <f>IFERROR(INDEX(tblPiNAnalysis[[Shelter NFI ]], MATCH(tblPiNHistorical[[#This Row],[ID]], tblPiNAnalysis[ID], 0)), "")</f>
        <v>5834</v>
      </c>
      <c r="AE499" s="28">
        <f>IFERROR(INDEX(tblPiNAnalysis[WASH], MATCH(tblPiNHistorical[[#This Row],[ID]], tblPiNAnalysis[ID], 0)), "")</f>
        <v>0</v>
      </c>
      <c r="AF499"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499" s="136" t="str">
        <f>IF(OR(tblPiNHistorical[[#This Row],[Education Old]]="", tblPiNHistorical[[#This Row],[Education Old]]=0, tblPiNHistorical[[#This Row],[Education New]]="", tblPiNHistorical[[#This Row],[Education New]]=0), "", tblPiNHistorical[[#This Row],[Education New]]-tblPiNHistorical[[#This Row],[Education Old]])</f>
        <v/>
      </c>
      <c r="AH499"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499" s="137" t="str">
        <f>IF(OR(tblPiNHistorical[[#This Row],[Health Old]]="", tblPiNHistorical[[#This Row],[Health Old]]=0, tblPiNHistorical[[#This Row],[Health New]]="", tblPiNHistorical[[#This Row],[Health New]]=0), "", tblPiNHistorical[[#This Row],[Health New]]-tblPiNHistorical[[#This Row],[Health Old]])</f>
        <v/>
      </c>
      <c r="AJ499" s="136" t="str">
        <f>IF(OR(tblPiNHistorical[[#This Row],[Nutrition Old]]="", tblPiNHistorical[[#This Row],[Nutrition Old]]=0, tblPiNHistorical[[#This Row],[Nutrition New]]="", tblPiNHistorical[[#This Row],[Nutrition New]]=0), "", tblPiNHistorical[[#This Row],[Nutrition New]]-tblPiNHistorical[[#This Row],[Nutrition Old]])</f>
        <v/>
      </c>
      <c r="AK499" s="136" t="str">
        <f>IF(OR(tblPiNHistorical[[#This Row],[Protection Old]]="", tblPiNHistorical[[#This Row],[Protection Old]]=0, tblPiNHistorical[[#This Row],[Protection New]]="", tblPiNHistorical[[#This Row],[Protection New]]=0), "", tblPiNHistorical[[#This Row],[Protection New]]-tblPiNHistorical[[#This Row],[Protection Old]])</f>
        <v/>
      </c>
      <c r="AL499" s="136" t="str">
        <f>IF(OR(tblPiNHistorical[[#This Row],[CP Old ]]="", tblPiNHistorical[[#This Row],[CP Old ]]=0, tblPiNHistorical[[#This Row],[CP New]]="", tblPiNHistorical[[#This Row],[CP New]]=0), "", tblPiNHistorical[[#This Row],[CP New]]-tblPiNHistorical[[#This Row],[CP Old ]])</f>
        <v/>
      </c>
      <c r="AM499" s="83" t="str">
        <f>IF(OR(tblPiNHistorical[[#This Row],[GBV Old]]="", tblPiNHistorical[[#This Row],[GBV Old]]=0, tblPiNHistorical[[#This Row],[GBV New]]="", tblPiNHistorical[[#This Row],[GBV New]]=0), "", tblPiNHistorical[[#This Row],[GBV New]]-tblPiNHistorical[[#This Row],[GBV Old]])</f>
        <v/>
      </c>
      <c r="AN499" s="83" t="str">
        <f>IF(OR(tblPiNHistorical[[#This Row],[Mine Action Old]]="", tblPiNHistorical[[#This Row],[Mine Action Old]]=0, tblPiNHistorical[[#This Row],[Mine Action New]]="", tblPiNHistorical[[#This Row],[Mine Action New]]=0), "", tblPiNHistorical[[#This Row],[Mine Action New]]-tblPiNHistorical[[#This Row],[Mine Action Old]])</f>
        <v/>
      </c>
      <c r="AO499" s="136">
        <f>IF(OR(tblPiNHistorical[[#This Row],[Shelter NFI Old]]="", tblPiNHistorical[[#This Row],[Shelter NFI Old]]=0, tblPiNHistorical[[#This Row],[Shelter NFI New]]="", tblPiNHistorical[[#This Row],[Shelter NFI New]]=0), "", tblPiNHistorical[[#This Row],[Shelter NFI New]]-tblPiNHistorical[[#This Row],[Shelter NFI Old]])</f>
        <v>-1352</v>
      </c>
      <c r="AP499" s="138" t="str">
        <f>IF(OR(tblPiNHistorical[[#This Row],[WASH Old]]="", tblPiNHistorical[[#This Row],[WASH Old]]=0, tblPiNHistorical[[#This Row],[WASH New]]="", tblPiNHistorical[[#This Row],[WASH New]]=0), "", tblPiNHistorical[[#This Row],[WASH New]]-tblPiNHistorical[[#This Row],[WASH Old]])</f>
        <v/>
      </c>
      <c r="AQ499" s="139" t="str">
        <f>IFERROR(ROUND((tblPiNHistorical[[#This Row],[Site Management - New]] - tblPiNHistorical[[#This Row],[Site Management - Old]])/tblPiNHistorical[[#This Row],[Site Management - Old]], 1), "")</f>
        <v/>
      </c>
      <c r="AR499" s="140">
        <f>IFERROR(ROUND((tblPiNHistorical[[#This Row],[Education New]]-tblPiNHistorical[[#This Row],[Education Old]])/tblPiNHistorical[[#This Row],[Education Old]], 1), "")</f>
        <v>-1</v>
      </c>
      <c r="AS499" s="141">
        <f>IFERROR(ROUND((tblPiNHistorical[[#This Row],[Food Security and Livlihoods New]]-tblPiNHistorical[[#This Row],[Food Security and Livlihoods Old]])/tblPiNHistorical[[#This Row],[Food Security and Livlihoods Old]], 1), "")</f>
        <v>-1</v>
      </c>
      <c r="AT499" s="142">
        <f>IFERROR(ROUND((tblPiNHistorical[[#This Row],[Health New]]-tblPiNHistorical[[#This Row],[Health Old]])/tblPiNHistorical[[#This Row],[Health Old]], 1), "")</f>
        <v>-1</v>
      </c>
      <c r="AU499" s="140">
        <f>IFERROR(ROUND((tblPiNHistorical[[#This Row],[Nutrition New]]-tblPiNHistorical[[#This Row],[Nutrition Old]])/tblPiNHistorical[[#This Row],[Nutrition Old]], 1), "")</f>
        <v>-1</v>
      </c>
      <c r="AV499" s="140">
        <f>IFERROR(ROUND((tblPiNHistorical[[#This Row],[Protection New]]-tblPiNHistorical[[#This Row],[Protection Old]])/tblPiNHistorical[[#This Row],[Protection Old]], 1), "")</f>
        <v>-1</v>
      </c>
      <c r="AW499" s="84">
        <f>IFERROR(ROUND((tblPiNHistorical[[#This Row],[CP New]]-tblPiNHistorical[[#This Row],[CP Old ]])/tblPiNHistorical[[#This Row],[CP Old ]], 1), "")</f>
        <v>-1</v>
      </c>
      <c r="AX499" s="84">
        <f>IFERROR(ROUND((tblPiNHistorical[[#This Row],[GBV New]]-tblPiNHistorical[[#This Row],[GBV Old]])/tblPiNHistorical[[#This Row],[GBV Old]], 1), "")</f>
        <v>-1</v>
      </c>
      <c r="AY499" s="84" t="str">
        <f>IFERROR(ROUND((tblPiNHistorical[[#This Row],[Mine Action New]]-tblPiNHistorical[[#This Row],[Mine Action Old]])/tblPiNHistorical[[#This Row],[Mine Action Old]], 1), "")</f>
        <v/>
      </c>
      <c r="AZ499" s="140">
        <f>IFERROR(ROUND((tblPiNHistorical[[#This Row],[Shelter NFI New]]-tblPiNHistorical[[#This Row],[Shelter NFI Old]])/tblPiNHistorical[[#This Row],[Shelter NFI Old]], 1), "")</f>
        <v>-0.2</v>
      </c>
      <c r="BA499" s="31">
        <f>IFERROR(ROUND((tblPiNHistorical[[#This Row],[WASH New]]-tblPiNHistorical[[#This Row],[WASH Old]])/tblPiNHistorical[[#This Row],[WASH Old]], 1), "")</f>
        <v>-1</v>
      </c>
    </row>
    <row r="500" spans="1:53" ht="38.25" x14ac:dyDescent="0.25">
      <c r="A500"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Host CommunitySD14040</v>
      </c>
      <c r="B500" s="134" t="s">
        <v>182</v>
      </c>
      <c r="C500" s="124" t="s">
        <v>131</v>
      </c>
      <c r="D500" s="124" t="s">
        <v>488</v>
      </c>
      <c r="E500" s="59" t="s">
        <v>489</v>
      </c>
      <c r="F500" s="54"/>
      <c r="G500" s="29"/>
      <c r="H500" s="53">
        <v>66773</v>
      </c>
      <c r="I500" s="53" t="s">
        <v>87</v>
      </c>
      <c r="J500" s="34">
        <v>0</v>
      </c>
      <c r="K500" s="116">
        <v>25887.892100000001</v>
      </c>
      <c r="L500" s="114">
        <v>66773</v>
      </c>
      <c r="M500" s="114">
        <v>66773</v>
      </c>
      <c r="N500" s="114">
        <v>5766</v>
      </c>
      <c r="O500" s="114">
        <v>21144</v>
      </c>
      <c r="P500" s="114">
        <v>7345</v>
      </c>
      <c r="Q500" s="114">
        <v>21144</v>
      </c>
      <c r="R500" s="114">
        <v>0</v>
      </c>
      <c r="S500" s="114">
        <v>20032</v>
      </c>
      <c r="T500" s="196">
        <v>57771.999599999996</v>
      </c>
      <c r="U500" s="52">
        <f>IFERROR(INDEX(tblPiNAnalysis[[Site Management ]], MATCH(tblPiNHistorical[[#This Row],[ID]], tblPiNAnalysis[ID], 0)), "")</f>
        <v>0</v>
      </c>
      <c r="V500" s="52">
        <f>IFERROR(INDEX(tblPiNAnalysis[Education], MATCH(tblPiNHistorical[[#This Row],[ID]], tblPiNAnalysis[ID], 0)), "")</f>
        <v>0</v>
      </c>
      <c r="W500" s="28">
        <f>IFERROR(INDEX(tblPiNAnalysis[Food Security and Livlihoods], MATCH(tblPiNHistorical[[#This Row],[ID]], tblPiNAnalysis[ID], 0)), "")</f>
        <v>0</v>
      </c>
      <c r="X500" s="28">
        <f>IFERROR(INDEX(tblPiNAnalysis[[Health ]], MATCH(tblPiNHistorical[[#This Row],[ID]], tblPiNAnalysis[ID], 0)), "")</f>
        <v>0</v>
      </c>
      <c r="Y500" s="28">
        <f>IFERROR(INDEX(tblPiNAnalysis[Nutrition], MATCH(tblPiNHistorical[[#This Row],[ID]], tblPiNAnalysis[ID], 0)), "")</f>
        <v>0</v>
      </c>
      <c r="Z500" s="28">
        <f>IFERROR(INDEX(tblPiNAnalysis[Protection], MATCH(tblPiNHistorical[[#This Row],[ID]], tblPiNAnalysis[ID], 0)), "")</f>
        <v>0</v>
      </c>
      <c r="AA500" s="28">
        <f>IFERROR(INDEX(tblPiNAnalysis[CP], MATCH(tblPiNHistorical[[#This Row],[ID]], tblPiNAnalysis[ID], 0)), "")</f>
        <v>0</v>
      </c>
      <c r="AB500" s="83">
        <f>IFERROR(INDEX(tblPiNAnalysis[GBV], MATCH(tblPiNHistorical[[#This Row],[ID]], tblPiNAnalysis[ID], 0)), "")</f>
        <v>0</v>
      </c>
      <c r="AC500" s="28">
        <f>IFERROR(INDEX(tblPiNAnalysis[Mine Action], MATCH(tblPiNHistorical[[#This Row],[ID]], tblPiNAnalysis[ID], 0)), "")</f>
        <v>0</v>
      </c>
      <c r="AD500" s="83">
        <f>IFERROR(INDEX(tblPiNAnalysis[[Shelter NFI ]], MATCH(tblPiNHistorical[[#This Row],[ID]], tblPiNAnalysis[ID], 0)), "")</f>
        <v>6204</v>
      </c>
      <c r="AE500" s="28">
        <f>IFERROR(INDEX(tblPiNAnalysis[WASH], MATCH(tblPiNHistorical[[#This Row],[ID]], tblPiNAnalysis[ID], 0)), "")</f>
        <v>0</v>
      </c>
      <c r="AF500"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500" s="136" t="str">
        <f>IF(OR(tblPiNHistorical[[#This Row],[Education Old]]="", tblPiNHistorical[[#This Row],[Education Old]]=0, tblPiNHistorical[[#This Row],[Education New]]="", tblPiNHistorical[[#This Row],[Education New]]=0), "", tblPiNHistorical[[#This Row],[Education New]]-tblPiNHistorical[[#This Row],[Education Old]])</f>
        <v/>
      </c>
      <c r="AH500"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500" s="137" t="str">
        <f>IF(OR(tblPiNHistorical[[#This Row],[Health Old]]="", tblPiNHistorical[[#This Row],[Health Old]]=0, tblPiNHistorical[[#This Row],[Health New]]="", tblPiNHistorical[[#This Row],[Health New]]=0), "", tblPiNHistorical[[#This Row],[Health New]]-tblPiNHistorical[[#This Row],[Health Old]])</f>
        <v/>
      </c>
      <c r="AJ500" s="136" t="str">
        <f>IF(OR(tblPiNHistorical[[#This Row],[Nutrition Old]]="", tblPiNHistorical[[#This Row],[Nutrition Old]]=0, tblPiNHistorical[[#This Row],[Nutrition New]]="", tblPiNHistorical[[#This Row],[Nutrition New]]=0), "", tblPiNHistorical[[#This Row],[Nutrition New]]-tblPiNHistorical[[#This Row],[Nutrition Old]])</f>
        <v/>
      </c>
      <c r="AK500" s="136" t="str">
        <f>IF(OR(tblPiNHistorical[[#This Row],[Protection Old]]="", tblPiNHistorical[[#This Row],[Protection Old]]=0, tblPiNHistorical[[#This Row],[Protection New]]="", tblPiNHistorical[[#This Row],[Protection New]]=0), "", tblPiNHistorical[[#This Row],[Protection New]]-tblPiNHistorical[[#This Row],[Protection Old]])</f>
        <v/>
      </c>
      <c r="AL500" s="136" t="str">
        <f>IF(OR(tblPiNHistorical[[#This Row],[CP Old ]]="", tblPiNHistorical[[#This Row],[CP Old ]]=0, tblPiNHistorical[[#This Row],[CP New]]="", tblPiNHistorical[[#This Row],[CP New]]=0), "", tblPiNHistorical[[#This Row],[CP New]]-tblPiNHistorical[[#This Row],[CP Old ]])</f>
        <v/>
      </c>
      <c r="AM500" s="83" t="str">
        <f>IF(OR(tblPiNHistorical[[#This Row],[GBV Old]]="", tblPiNHistorical[[#This Row],[GBV Old]]=0, tblPiNHistorical[[#This Row],[GBV New]]="", tblPiNHistorical[[#This Row],[GBV New]]=0), "", tblPiNHistorical[[#This Row],[GBV New]]-tblPiNHistorical[[#This Row],[GBV Old]])</f>
        <v/>
      </c>
      <c r="AN500" s="83" t="str">
        <f>IF(OR(tblPiNHistorical[[#This Row],[Mine Action Old]]="", tblPiNHistorical[[#This Row],[Mine Action Old]]=0, tblPiNHistorical[[#This Row],[Mine Action New]]="", tblPiNHistorical[[#This Row],[Mine Action New]]=0), "", tblPiNHistorical[[#This Row],[Mine Action New]]-tblPiNHistorical[[#This Row],[Mine Action Old]])</f>
        <v/>
      </c>
      <c r="AO500" s="136">
        <f>IF(OR(tblPiNHistorical[[#This Row],[Shelter NFI Old]]="", tblPiNHistorical[[#This Row],[Shelter NFI Old]]=0, tblPiNHistorical[[#This Row],[Shelter NFI New]]="", tblPiNHistorical[[#This Row],[Shelter NFI New]]=0), "", tblPiNHistorical[[#This Row],[Shelter NFI New]]-tblPiNHistorical[[#This Row],[Shelter NFI Old]])</f>
        <v>-13828</v>
      </c>
      <c r="AP500" s="138" t="str">
        <f>IF(OR(tblPiNHistorical[[#This Row],[WASH Old]]="", tblPiNHistorical[[#This Row],[WASH Old]]=0, tblPiNHistorical[[#This Row],[WASH New]]="", tblPiNHistorical[[#This Row],[WASH New]]=0), "", tblPiNHistorical[[#This Row],[WASH New]]-tblPiNHistorical[[#This Row],[WASH Old]])</f>
        <v/>
      </c>
      <c r="AQ500" s="139" t="str">
        <f>IFERROR(ROUND((tblPiNHistorical[[#This Row],[Site Management - New]] - tblPiNHistorical[[#This Row],[Site Management - Old]])/tblPiNHistorical[[#This Row],[Site Management - Old]], 1), "")</f>
        <v/>
      </c>
      <c r="AR500" s="140">
        <f>IFERROR(ROUND((tblPiNHistorical[[#This Row],[Education New]]-tblPiNHistorical[[#This Row],[Education Old]])/tblPiNHistorical[[#This Row],[Education Old]], 1), "")</f>
        <v>-1</v>
      </c>
      <c r="AS500" s="141">
        <f>IFERROR(ROUND((tblPiNHistorical[[#This Row],[Food Security and Livlihoods New]]-tblPiNHistorical[[#This Row],[Food Security and Livlihoods Old]])/tblPiNHistorical[[#This Row],[Food Security and Livlihoods Old]], 1), "")</f>
        <v>-1</v>
      </c>
      <c r="AT500" s="142">
        <f>IFERROR(ROUND((tblPiNHistorical[[#This Row],[Health New]]-tblPiNHistorical[[#This Row],[Health Old]])/tblPiNHistorical[[#This Row],[Health Old]], 1), "")</f>
        <v>-1</v>
      </c>
      <c r="AU500" s="140">
        <f>IFERROR(ROUND((tblPiNHistorical[[#This Row],[Nutrition New]]-tblPiNHistorical[[#This Row],[Nutrition Old]])/tblPiNHistorical[[#This Row],[Nutrition Old]], 1), "")</f>
        <v>-1</v>
      </c>
      <c r="AV500" s="140">
        <f>IFERROR(ROUND((tblPiNHistorical[[#This Row],[Protection New]]-tblPiNHistorical[[#This Row],[Protection Old]])/tblPiNHistorical[[#This Row],[Protection Old]], 1), "")</f>
        <v>-1</v>
      </c>
      <c r="AW500" s="84">
        <f>IFERROR(ROUND((tblPiNHistorical[[#This Row],[CP New]]-tblPiNHistorical[[#This Row],[CP Old ]])/tblPiNHistorical[[#This Row],[CP Old ]], 1), "")</f>
        <v>-1</v>
      </c>
      <c r="AX500" s="84">
        <f>IFERROR(ROUND((tblPiNHistorical[[#This Row],[GBV New]]-tblPiNHistorical[[#This Row],[GBV Old]])/tblPiNHistorical[[#This Row],[GBV Old]], 1), "")</f>
        <v>-1</v>
      </c>
      <c r="AY500" s="84" t="str">
        <f>IFERROR(ROUND((tblPiNHistorical[[#This Row],[Mine Action New]]-tblPiNHistorical[[#This Row],[Mine Action Old]])/tblPiNHistorical[[#This Row],[Mine Action Old]], 1), "")</f>
        <v/>
      </c>
      <c r="AZ500" s="140">
        <f>IFERROR(ROUND((tblPiNHistorical[[#This Row],[Shelter NFI New]]-tblPiNHistorical[[#This Row],[Shelter NFI Old]])/tblPiNHistorical[[#This Row],[Shelter NFI Old]], 1), "")</f>
        <v>-0.7</v>
      </c>
      <c r="BA500" s="31">
        <f>IFERROR(ROUND((tblPiNHistorical[[#This Row],[WASH New]]-tblPiNHistorical[[#This Row],[WASH Old]])/tblPiNHistorical[[#This Row],[WASH Old]], 1), "")</f>
        <v>-1</v>
      </c>
    </row>
    <row r="501" spans="1:53" ht="38.25" x14ac:dyDescent="0.25">
      <c r="A501"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Host CommunitySD14041</v>
      </c>
      <c r="B501" s="134" t="s">
        <v>182</v>
      </c>
      <c r="C501" s="124" t="s">
        <v>131</v>
      </c>
      <c r="D501" s="124" t="s">
        <v>490</v>
      </c>
      <c r="E501" s="59" t="s">
        <v>491</v>
      </c>
      <c r="F501" s="54"/>
      <c r="G501" s="29"/>
      <c r="H501" s="53">
        <v>62584</v>
      </c>
      <c r="I501" s="53" t="s">
        <v>87</v>
      </c>
      <c r="J501" s="34">
        <v>0</v>
      </c>
      <c r="K501" s="116">
        <v>24263.816800000001</v>
      </c>
      <c r="L501" s="114">
        <v>12516.8</v>
      </c>
      <c r="M501" s="114">
        <v>62584</v>
      </c>
      <c r="N501" s="114">
        <v>11532</v>
      </c>
      <c r="O501" s="114">
        <v>19817</v>
      </c>
      <c r="P501" s="114">
        <v>6884</v>
      </c>
      <c r="Q501" s="114">
        <v>19817</v>
      </c>
      <c r="R501" s="114">
        <v>0</v>
      </c>
      <c r="S501" s="114">
        <v>18775</v>
      </c>
      <c r="T501" s="196">
        <v>37875.836800000005</v>
      </c>
      <c r="U501" s="52">
        <f>IFERROR(INDEX(tblPiNAnalysis[[Site Management ]], MATCH(tblPiNHistorical[[#This Row],[ID]], tblPiNAnalysis[ID], 0)), "")</f>
        <v>0</v>
      </c>
      <c r="V501" s="52">
        <f>IFERROR(INDEX(tblPiNAnalysis[Education], MATCH(tblPiNHistorical[[#This Row],[ID]], tblPiNAnalysis[ID], 0)), "")</f>
        <v>0</v>
      </c>
      <c r="W501" s="28">
        <f>IFERROR(INDEX(tblPiNAnalysis[Food Security and Livlihoods], MATCH(tblPiNHistorical[[#This Row],[ID]], tblPiNAnalysis[ID], 0)), "")</f>
        <v>0</v>
      </c>
      <c r="X501" s="28">
        <f>IFERROR(INDEX(tblPiNAnalysis[[Health ]], MATCH(tblPiNHistorical[[#This Row],[ID]], tblPiNAnalysis[ID], 0)), "")</f>
        <v>0</v>
      </c>
      <c r="Y501" s="28">
        <f>IFERROR(INDEX(tblPiNAnalysis[Nutrition], MATCH(tblPiNHistorical[[#This Row],[ID]], tblPiNAnalysis[ID], 0)), "")</f>
        <v>0</v>
      </c>
      <c r="Z501" s="28">
        <f>IFERROR(INDEX(tblPiNAnalysis[Protection], MATCH(tblPiNHistorical[[#This Row],[ID]], tblPiNAnalysis[ID], 0)), "")</f>
        <v>0</v>
      </c>
      <c r="AA501" s="28">
        <f>IFERROR(INDEX(tblPiNAnalysis[CP], MATCH(tblPiNHistorical[[#This Row],[ID]], tblPiNAnalysis[ID], 0)), "")</f>
        <v>0</v>
      </c>
      <c r="AB501" s="83">
        <f>IFERROR(INDEX(tblPiNAnalysis[GBV], MATCH(tblPiNHistorical[[#This Row],[ID]], tblPiNAnalysis[ID], 0)), "")</f>
        <v>0</v>
      </c>
      <c r="AC501" s="28">
        <f>IFERROR(INDEX(tblPiNAnalysis[Mine Action], MATCH(tblPiNHistorical[[#This Row],[ID]], tblPiNAnalysis[ID], 0)), "")</f>
        <v>0</v>
      </c>
      <c r="AD501" s="83">
        <f>IFERROR(INDEX(tblPiNAnalysis[[Shelter NFI ]], MATCH(tblPiNHistorical[[#This Row],[ID]], tblPiNAnalysis[ID], 0)), "")</f>
        <v>9319</v>
      </c>
      <c r="AE501" s="28">
        <f>IFERROR(INDEX(tblPiNAnalysis[WASH], MATCH(tblPiNHistorical[[#This Row],[ID]], tblPiNAnalysis[ID], 0)), "")</f>
        <v>0</v>
      </c>
      <c r="AF501"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501" s="136" t="str">
        <f>IF(OR(tblPiNHistorical[[#This Row],[Education Old]]="", tblPiNHistorical[[#This Row],[Education Old]]=0, tblPiNHistorical[[#This Row],[Education New]]="", tblPiNHistorical[[#This Row],[Education New]]=0), "", tblPiNHistorical[[#This Row],[Education New]]-tblPiNHistorical[[#This Row],[Education Old]])</f>
        <v/>
      </c>
      <c r="AH501"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501" s="137" t="str">
        <f>IF(OR(tblPiNHistorical[[#This Row],[Health Old]]="", tblPiNHistorical[[#This Row],[Health Old]]=0, tblPiNHistorical[[#This Row],[Health New]]="", tblPiNHistorical[[#This Row],[Health New]]=0), "", tblPiNHistorical[[#This Row],[Health New]]-tblPiNHistorical[[#This Row],[Health Old]])</f>
        <v/>
      </c>
      <c r="AJ501" s="136" t="str">
        <f>IF(OR(tblPiNHistorical[[#This Row],[Nutrition Old]]="", tblPiNHistorical[[#This Row],[Nutrition Old]]=0, tblPiNHistorical[[#This Row],[Nutrition New]]="", tblPiNHistorical[[#This Row],[Nutrition New]]=0), "", tblPiNHistorical[[#This Row],[Nutrition New]]-tblPiNHistorical[[#This Row],[Nutrition Old]])</f>
        <v/>
      </c>
      <c r="AK501" s="136" t="str">
        <f>IF(OR(tblPiNHistorical[[#This Row],[Protection Old]]="", tblPiNHistorical[[#This Row],[Protection Old]]=0, tblPiNHistorical[[#This Row],[Protection New]]="", tblPiNHistorical[[#This Row],[Protection New]]=0), "", tblPiNHistorical[[#This Row],[Protection New]]-tblPiNHistorical[[#This Row],[Protection Old]])</f>
        <v/>
      </c>
      <c r="AL501" s="136" t="str">
        <f>IF(OR(tblPiNHistorical[[#This Row],[CP Old ]]="", tblPiNHistorical[[#This Row],[CP Old ]]=0, tblPiNHistorical[[#This Row],[CP New]]="", tblPiNHistorical[[#This Row],[CP New]]=0), "", tblPiNHistorical[[#This Row],[CP New]]-tblPiNHistorical[[#This Row],[CP Old ]])</f>
        <v/>
      </c>
      <c r="AM501" s="83" t="str">
        <f>IF(OR(tblPiNHistorical[[#This Row],[GBV Old]]="", tblPiNHistorical[[#This Row],[GBV Old]]=0, tblPiNHistorical[[#This Row],[GBV New]]="", tblPiNHistorical[[#This Row],[GBV New]]=0), "", tblPiNHistorical[[#This Row],[GBV New]]-tblPiNHistorical[[#This Row],[GBV Old]])</f>
        <v/>
      </c>
      <c r="AN501" s="83" t="str">
        <f>IF(OR(tblPiNHistorical[[#This Row],[Mine Action Old]]="", tblPiNHistorical[[#This Row],[Mine Action Old]]=0, tblPiNHistorical[[#This Row],[Mine Action New]]="", tblPiNHistorical[[#This Row],[Mine Action New]]=0), "", tblPiNHistorical[[#This Row],[Mine Action New]]-tblPiNHistorical[[#This Row],[Mine Action Old]])</f>
        <v/>
      </c>
      <c r="AO501" s="136">
        <f>IF(OR(tblPiNHistorical[[#This Row],[Shelter NFI Old]]="", tblPiNHistorical[[#This Row],[Shelter NFI Old]]=0, tblPiNHistorical[[#This Row],[Shelter NFI New]]="", tblPiNHistorical[[#This Row],[Shelter NFI New]]=0), "", tblPiNHistorical[[#This Row],[Shelter NFI New]]-tblPiNHistorical[[#This Row],[Shelter NFI Old]])</f>
        <v>-9456</v>
      </c>
      <c r="AP501" s="138" t="str">
        <f>IF(OR(tblPiNHistorical[[#This Row],[WASH Old]]="", tblPiNHistorical[[#This Row],[WASH Old]]=0, tblPiNHistorical[[#This Row],[WASH New]]="", tblPiNHistorical[[#This Row],[WASH New]]=0), "", tblPiNHistorical[[#This Row],[WASH New]]-tblPiNHistorical[[#This Row],[WASH Old]])</f>
        <v/>
      </c>
      <c r="AQ501" s="139" t="str">
        <f>IFERROR(ROUND((tblPiNHistorical[[#This Row],[Site Management - New]] - tblPiNHistorical[[#This Row],[Site Management - Old]])/tblPiNHistorical[[#This Row],[Site Management - Old]], 1), "")</f>
        <v/>
      </c>
      <c r="AR501" s="140">
        <f>IFERROR(ROUND((tblPiNHistorical[[#This Row],[Education New]]-tblPiNHistorical[[#This Row],[Education Old]])/tblPiNHistorical[[#This Row],[Education Old]], 1), "")</f>
        <v>-1</v>
      </c>
      <c r="AS501" s="141">
        <f>IFERROR(ROUND((tblPiNHistorical[[#This Row],[Food Security and Livlihoods New]]-tblPiNHistorical[[#This Row],[Food Security and Livlihoods Old]])/tblPiNHistorical[[#This Row],[Food Security and Livlihoods Old]], 1), "")</f>
        <v>-1</v>
      </c>
      <c r="AT501" s="142">
        <f>IFERROR(ROUND((tblPiNHistorical[[#This Row],[Health New]]-tblPiNHistorical[[#This Row],[Health Old]])/tblPiNHistorical[[#This Row],[Health Old]], 1), "")</f>
        <v>-1</v>
      </c>
      <c r="AU501" s="140">
        <f>IFERROR(ROUND((tblPiNHistorical[[#This Row],[Nutrition New]]-tblPiNHistorical[[#This Row],[Nutrition Old]])/tblPiNHistorical[[#This Row],[Nutrition Old]], 1), "")</f>
        <v>-1</v>
      </c>
      <c r="AV501" s="140">
        <f>IFERROR(ROUND((tblPiNHistorical[[#This Row],[Protection New]]-tblPiNHistorical[[#This Row],[Protection Old]])/tblPiNHistorical[[#This Row],[Protection Old]], 1), "")</f>
        <v>-1</v>
      </c>
      <c r="AW501" s="84">
        <f>IFERROR(ROUND((tblPiNHistorical[[#This Row],[CP New]]-tblPiNHistorical[[#This Row],[CP Old ]])/tblPiNHistorical[[#This Row],[CP Old ]], 1), "")</f>
        <v>-1</v>
      </c>
      <c r="AX501" s="84">
        <f>IFERROR(ROUND((tblPiNHistorical[[#This Row],[GBV New]]-tblPiNHistorical[[#This Row],[GBV Old]])/tblPiNHistorical[[#This Row],[GBV Old]], 1), "")</f>
        <v>-1</v>
      </c>
      <c r="AY501" s="84" t="str">
        <f>IFERROR(ROUND((tblPiNHistorical[[#This Row],[Mine Action New]]-tblPiNHistorical[[#This Row],[Mine Action Old]])/tblPiNHistorical[[#This Row],[Mine Action Old]], 1), "")</f>
        <v/>
      </c>
      <c r="AZ501" s="140">
        <f>IFERROR(ROUND((tblPiNHistorical[[#This Row],[Shelter NFI New]]-tblPiNHistorical[[#This Row],[Shelter NFI Old]])/tblPiNHistorical[[#This Row],[Shelter NFI Old]], 1), "")</f>
        <v>-0.5</v>
      </c>
      <c r="BA501" s="31">
        <f>IFERROR(ROUND((tblPiNHistorical[[#This Row],[WASH New]]-tblPiNHistorical[[#This Row],[WASH Old]])/tblPiNHistorical[[#This Row],[WASH Old]], 1), "")</f>
        <v>-1</v>
      </c>
    </row>
    <row r="502" spans="1:53" ht="38.25" x14ac:dyDescent="0.25">
      <c r="A502"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Host CommunitySD14038</v>
      </c>
      <c r="B502" s="134" t="s">
        <v>182</v>
      </c>
      <c r="C502" s="124" t="s">
        <v>131</v>
      </c>
      <c r="D502" s="124" t="s">
        <v>182</v>
      </c>
      <c r="E502" s="59" t="s">
        <v>485</v>
      </c>
      <c r="F502" s="54"/>
      <c r="G502" s="29"/>
      <c r="H502" s="53">
        <v>50802</v>
      </c>
      <c r="I502" s="53" t="s">
        <v>87</v>
      </c>
      <c r="J502" s="34">
        <v>0</v>
      </c>
      <c r="K502" s="116">
        <v>19695.935399999998</v>
      </c>
      <c r="L502" s="114">
        <v>11240.6</v>
      </c>
      <c r="M502" s="114">
        <v>50802</v>
      </c>
      <c r="N502" s="114">
        <v>3185</v>
      </c>
      <c r="O502" s="114">
        <v>16087</v>
      </c>
      <c r="P502" s="114">
        <v>5588</v>
      </c>
      <c r="Q502" s="114">
        <v>16087</v>
      </c>
      <c r="R502" s="114">
        <v>0</v>
      </c>
      <c r="S502" s="114">
        <v>10160</v>
      </c>
      <c r="T502" s="196">
        <v>22246.195799999998</v>
      </c>
      <c r="U502" s="52">
        <f>IFERROR(INDEX(tblPiNAnalysis[[Site Management ]], MATCH(tblPiNHistorical[[#This Row],[ID]], tblPiNAnalysis[ID], 0)), "")</f>
        <v>0</v>
      </c>
      <c r="V502" s="52">
        <f>IFERROR(INDEX(tblPiNAnalysis[Education], MATCH(tblPiNHistorical[[#This Row],[ID]], tblPiNAnalysis[ID], 0)), "")</f>
        <v>0</v>
      </c>
      <c r="W502" s="28">
        <f>IFERROR(INDEX(tblPiNAnalysis[Food Security and Livlihoods], MATCH(tblPiNHistorical[[#This Row],[ID]], tblPiNAnalysis[ID], 0)), "")</f>
        <v>0</v>
      </c>
      <c r="X502" s="28">
        <f>IFERROR(INDEX(tblPiNAnalysis[[Health ]], MATCH(tblPiNHistorical[[#This Row],[ID]], tblPiNAnalysis[ID], 0)), "")</f>
        <v>0</v>
      </c>
      <c r="Y502" s="28">
        <f>IFERROR(INDEX(tblPiNAnalysis[Nutrition], MATCH(tblPiNHistorical[[#This Row],[ID]], tblPiNAnalysis[ID], 0)), "")</f>
        <v>0</v>
      </c>
      <c r="Z502" s="28">
        <f>IFERROR(INDEX(tblPiNAnalysis[Protection], MATCH(tblPiNHistorical[[#This Row],[ID]], tblPiNAnalysis[ID], 0)), "")</f>
        <v>0</v>
      </c>
      <c r="AA502" s="28">
        <f>IFERROR(INDEX(tblPiNAnalysis[CP], MATCH(tblPiNHistorical[[#This Row],[ID]], tblPiNAnalysis[ID], 0)), "")</f>
        <v>0</v>
      </c>
      <c r="AB502" s="83">
        <f>IFERROR(INDEX(tblPiNAnalysis[GBV], MATCH(tblPiNHistorical[[#This Row],[ID]], tblPiNAnalysis[ID], 0)), "")</f>
        <v>0</v>
      </c>
      <c r="AC502" s="28">
        <f>IFERROR(INDEX(tblPiNAnalysis[Mine Action], MATCH(tblPiNHistorical[[#This Row],[ID]], tblPiNAnalysis[ID], 0)), "")</f>
        <v>0</v>
      </c>
      <c r="AD502" s="83">
        <f>IFERROR(INDEX(tblPiNAnalysis[[Shelter NFI ]], MATCH(tblPiNHistorical[[#This Row],[ID]], tblPiNAnalysis[ID], 0)), "")</f>
        <v>26350</v>
      </c>
      <c r="AE502" s="28">
        <f>IFERROR(INDEX(tblPiNAnalysis[WASH], MATCH(tblPiNHistorical[[#This Row],[ID]], tblPiNAnalysis[ID], 0)), "")</f>
        <v>0</v>
      </c>
      <c r="AF502"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502" s="136" t="str">
        <f>IF(OR(tblPiNHistorical[[#This Row],[Education Old]]="", tblPiNHistorical[[#This Row],[Education Old]]=0, tblPiNHistorical[[#This Row],[Education New]]="", tblPiNHistorical[[#This Row],[Education New]]=0), "", tblPiNHistorical[[#This Row],[Education New]]-tblPiNHistorical[[#This Row],[Education Old]])</f>
        <v/>
      </c>
      <c r="AH502"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502" s="137" t="str">
        <f>IF(OR(tblPiNHistorical[[#This Row],[Health Old]]="", tblPiNHistorical[[#This Row],[Health Old]]=0, tblPiNHistorical[[#This Row],[Health New]]="", tblPiNHistorical[[#This Row],[Health New]]=0), "", tblPiNHistorical[[#This Row],[Health New]]-tblPiNHistorical[[#This Row],[Health Old]])</f>
        <v/>
      </c>
      <c r="AJ502" s="136" t="str">
        <f>IF(OR(tblPiNHistorical[[#This Row],[Nutrition Old]]="", tblPiNHistorical[[#This Row],[Nutrition Old]]=0, tblPiNHistorical[[#This Row],[Nutrition New]]="", tblPiNHistorical[[#This Row],[Nutrition New]]=0), "", tblPiNHistorical[[#This Row],[Nutrition New]]-tblPiNHistorical[[#This Row],[Nutrition Old]])</f>
        <v/>
      </c>
      <c r="AK502" s="136" t="str">
        <f>IF(OR(tblPiNHistorical[[#This Row],[Protection Old]]="", tblPiNHistorical[[#This Row],[Protection Old]]=0, tblPiNHistorical[[#This Row],[Protection New]]="", tblPiNHistorical[[#This Row],[Protection New]]=0), "", tblPiNHistorical[[#This Row],[Protection New]]-tblPiNHistorical[[#This Row],[Protection Old]])</f>
        <v/>
      </c>
      <c r="AL502" s="136" t="str">
        <f>IF(OR(tblPiNHistorical[[#This Row],[CP Old ]]="", tblPiNHistorical[[#This Row],[CP Old ]]=0, tblPiNHistorical[[#This Row],[CP New]]="", tblPiNHistorical[[#This Row],[CP New]]=0), "", tblPiNHistorical[[#This Row],[CP New]]-tblPiNHistorical[[#This Row],[CP Old ]])</f>
        <v/>
      </c>
      <c r="AM502" s="83" t="str">
        <f>IF(OR(tblPiNHistorical[[#This Row],[GBV Old]]="", tblPiNHistorical[[#This Row],[GBV Old]]=0, tblPiNHistorical[[#This Row],[GBV New]]="", tblPiNHistorical[[#This Row],[GBV New]]=0), "", tblPiNHistorical[[#This Row],[GBV New]]-tblPiNHistorical[[#This Row],[GBV Old]])</f>
        <v/>
      </c>
      <c r="AN502" s="83" t="str">
        <f>IF(OR(tblPiNHistorical[[#This Row],[Mine Action Old]]="", tblPiNHistorical[[#This Row],[Mine Action Old]]=0, tblPiNHistorical[[#This Row],[Mine Action New]]="", tblPiNHistorical[[#This Row],[Mine Action New]]=0), "", tblPiNHistorical[[#This Row],[Mine Action New]]-tblPiNHistorical[[#This Row],[Mine Action Old]])</f>
        <v/>
      </c>
      <c r="AO502" s="136">
        <f>IF(OR(tblPiNHistorical[[#This Row],[Shelter NFI Old]]="", tblPiNHistorical[[#This Row],[Shelter NFI Old]]=0, tblPiNHistorical[[#This Row],[Shelter NFI New]]="", tblPiNHistorical[[#This Row],[Shelter NFI New]]=0), "", tblPiNHistorical[[#This Row],[Shelter NFI New]]-tblPiNHistorical[[#This Row],[Shelter NFI Old]])</f>
        <v>16190</v>
      </c>
      <c r="AP502" s="138" t="str">
        <f>IF(OR(tblPiNHistorical[[#This Row],[WASH Old]]="", tblPiNHistorical[[#This Row],[WASH Old]]=0, tblPiNHistorical[[#This Row],[WASH New]]="", tblPiNHistorical[[#This Row],[WASH New]]=0), "", tblPiNHistorical[[#This Row],[WASH New]]-tblPiNHistorical[[#This Row],[WASH Old]])</f>
        <v/>
      </c>
      <c r="AQ502" s="139" t="str">
        <f>IFERROR(ROUND((tblPiNHistorical[[#This Row],[Site Management - New]] - tblPiNHistorical[[#This Row],[Site Management - Old]])/tblPiNHistorical[[#This Row],[Site Management - Old]], 1), "")</f>
        <v/>
      </c>
      <c r="AR502" s="140">
        <f>IFERROR(ROUND((tblPiNHistorical[[#This Row],[Education New]]-tblPiNHistorical[[#This Row],[Education Old]])/tblPiNHistorical[[#This Row],[Education Old]], 1), "")</f>
        <v>-1</v>
      </c>
      <c r="AS502" s="141">
        <f>IFERROR(ROUND((tblPiNHistorical[[#This Row],[Food Security and Livlihoods New]]-tblPiNHistorical[[#This Row],[Food Security and Livlihoods Old]])/tblPiNHistorical[[#This Row],[Food Security and Livlihoods Old]], 1), "")</f>
        <v>-1</v>
      </c>
      <c r="AT502" s="142">
        <f>IFERROR(ROUND((tblPiNHistorical[[#This Row],[Health New]]-tblPiNHistorical[[#This Row],[Health Old]])/tblPiNHistorical[[#This Row],[Health Old]], 1), "")</f>
        <v>-1</v>
      </c>
      <c r="AU502" s="140">
        <f>IFERROR(ROUND((tblPiNHistorical[[#This Row],[Nutrition New]]-tblPiNHistorical[[#This Row],[Nutrition Old]])/tblPiNHistorical[[#This Row],[Nutrition Old]], 1), "")</f>
        <v>-1</v>
      </c>
      <c r="AV502" s="140">
        <f>IFERROR(ROUND((tblPiNHistorical[[#This Row],[Protection New]]-tblPiNHistorical[[#This Row],[Protection Old]])/tblPiNHistorical[[#This Row],[Protection Old]], 1), "")</f>
        <v>-1</v>
      </c>
      <c r="AW502" s="84">
        <f>IFERROR(ROUND((tblPiNHistorical[[#This Row],[CP New]]-tblPiNHistorical[[#This Row],[CP Old ]])/tblPiNHistorical[[#This Row],[CP Old ]], 1), "")</f>
        <v>-1</v>
      </c>
      <c r="AX502" s="84">
        <f>IFERROR(ROUND((tblPiNHistorical[[#This Row],[GBV New]]-tblPiNHistorical[[#This Row],[GBV Old]])/tblPiNHistorical[[#This Row],[GBV Old]], 1), "")</f>
        <v>-1</v>
      </c>
      <c r="AY502" s="84" t="str">
        <f>IFERROR(ROUND((tblPiNHistorical[[#This Row],[Mine Action New]]-tblPiNHistorical[[#This Row],[Mine Action Old]])/tblPiNHistorical[[#This Row],[Mine Action Old]], 1), "")</f>
        <v/>
      </c>
      <c r="AZ502" s="140">
        <f>IFERROR(ROUND((tblPiNHistorical[[#This Row],[Shelter NFI New]]-tblPiNHistorical[[#This Row],[Shelter NFI Old]])/tblPiNHistorical[[#This Row],[Shelter NFI Old]], 1), "")</f>
        <v>1.6</v>
      </c>
      <c r="BA502" s="31">
        <f>IFERROR(ROUND((tblPiNHistorical[[#This Row],[WASH New]]-tblPiNHistorical[[#This Row],[WASH Old]])/tblPiNHistorical[[#This Row],[WASH Old]], 1), "")</f>
        <v>-1</v>
      </c>
    </row>
    <row r="503" spans="1:53" ht="38.25" x14ac:dyDescent="0.25">
      <c r="A503"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Host CommunitySD14042</v>
      </c>
      <c r="B503" s="134" t="s">
        <v>182</v>
      </c>
      <c r="C503" s="124" t="s">
        <v>131</v>
      </c>
      <c r="D503" s="124" t="s">
        <v>492</v>
      </c>
      <c r="E503" s="59" t="s">
        <v>493</v>
      </c>
      <c r="F503" s="54"/>
      <c r="G503" s="29"/>
      <c r="H503" s="53">
        <v>37050</v>
      </c>
      <c r="I503" s="53" t="s">
        <v>87</v>
      </c>
      <c r="J503" s="34">
        <v>0</v>
      </c>
      <c r="K503" s="116">
        <v>14364.285</v>
      </c>
      <c r="L503" s="114">
        <v>14820</v>
      </c>
      <c r="M503" s="114">
        <v>37050</v>
      </c>
      <c r="N503" s="114">
        <v>3305</v>
      </c>
      <c r="O503" s="114">
        <v>11730</v>
      </c>
      <c r="P503" s="114">
        <v>4076</v>
      </c>
      <c r="Q503" s="114">
        <v>11730</v>
      </c>
      <c r="R503" s="114">
        <v>0</v>
      </c>
      <c r="S503" s="114">
        <v>7410</v>
      </c>
      <c r="T503" s="196">
        <v>28161.705000000002</v>
      </c>
      <c r="U503" s="52">
        <f>IFERROR(INDEX(tblPiNAnalysis[[Site Management ]], MATCH(tblPiNHistorical[[#This Row],[ID]], tblPiNAnalysis[ID], 0)), "")</f>
        <v>0</v>
      </c>
      <c r="V503" s="52">
        <f>IFERROR(INDEX(tblPiNAnalysis[Education], MATCH(tblPiNHistorical[[#This Row],[ID]], tblPiNAnalysis[ID], 0)), "")</f>
        <v>0</v>
      </c>
      <c r="W503" s="28">
        <f>IFERROR(INDEX(tblPiNAnalysis[Food Security and Livlihoods], MATCH(tblPiNHistorical[[#This Row],[ID]], tblPiNAnalysis[ID], 0)), "")</f>
        <v>0</v>
      </c>
      <c r="X503" s="28">
        <f>IFERROR(INDEX(tblPiNAnalysis[[Health ]], MATCH(tblPiNHistorical[[#This Row],[ID]], tblPiNAnalysis[ID], 0)), "")</f>
        <v>0</v>
      </c>
      <c r="Y503" s="28">
        <f>IFERROR(INDEX(tblPiNAnalysis[Nutrition], MATCH(tblPiNHistorical[[#This Row],[ID]], tblPiNAnalysis[ID], 0)), "")</f>
        <v>0</v>
      </c>
      <c r="Z503" s="28">
        <f>IFERROR(INDEX(tblPiNAnalysis[Protection], MATCH(tblPiNHistorical[[#This Row],[ID]], tblPiNAnalysis[ID], 0)), "")</f>
        <v>0</v>
      </c>
      <c r="AA503" s="28">
        <f>IFERROR(INDEX(tblPiNAnalysis[CP], MATCH(tblPiNHistorical[[#This Row],[ID]], tblPiNAnalysis[ID], 0)), "")</f>
        <v>0</v>
      </c>
      <c r="AB503" s="83">
        <f>IFERROR(INDEX(tblPiNAnalysis[GBV], MATCH(tblPiNHistorical[[#This Row],[ID]], tblPiNAnalysis[ID], 0)), "")</f>
        <v>0</v>
      </c>
      <c r="AC503" s="28">
        <f>IFERROR(INDEX(tblPiNAnalysis[Mine Action], MATCH(tblPiNHistorical[[#This Row],[ID]], tblPiNAnalysis[ID], 0)), "")</f>
        <v>0</v>
      </c>
      <c r="AD503" s="83">
        <f>IFERROR(INDEX(tblPiNAnalysis[[Shelter NFI ]], MATCH(tblPiNHistorical[[#This Row],[ID]], tblPiNAnalysis[ID], 0)), "")</f>
        <v>5123</v>
      </c>
      <c r="AE503" s="28">
        <f>IFERROR(INDEX(tblPiNAnalysis[WASH], MATCH(tblPiNHistorical[[#This Row],[ID]], tblPiNAnalysis[ID], 0)), "")</f>
        <v>0</v>
      </c>
      <c r="AF503"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503" s="136" t="str">
        <f>IF(OR(tblPiNHistorical[[#This Row],[Education Old]]="", tblPiNHistorical[[#This Row],[Education Old]]=0, tblPiNHistorical[[#This Row],[Education New]]="", tblPiNHistorical[[#This Row],[Education New]]=0), "", tblPiNHistorical[[#This Row],[Education New]]-tblPiNHistorical[[#This Row],[Education Old]])</f>
        <v/>
      </c>
      <c r="AH503"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503" s="137" t="str">
        <f>IF(OR(tblPiNHistorical[[#This Row],[Health Old]]="", tblPiNHistorical[[#This Row],[Health Old]]=0, tblPiNHistorical[[#This Row],[Health New]]="", tblPiNHistorical[[#This Row],[Health New]]=0), "", tblPiNHistorical[[#This Row],[Health New]]-tblPiNHistorical[[#This Row],[Health Old]])</f>
        <v/>
      </c>
      <c r="AJ503" s="136" t="str">
        <f>IF(OR(tblPiNHistorical[[#This Row],[Nutrition Old]]="", tblPiNHistorical[[#This Row],[Nutrition Old]]=0, tblPiNHistorical[[#This Row],[Nutrition New]]="", tblPiNHistorical[[#This Row],[Nutrition New]]=0), "", tblPiNHistorical[[#This Row],[Nutrition New]]-tblPiNHistorical[[#This Row],[Nutrition Old]])</f>
        <v/>
      </c>
      <c r="AK503" s="136" t="str">
        <f>IF(OR(tblPiNHistorical[[#This Row],[Protection Old]]="", tblPiNHistorical[[#This Row],[Protection Old]]=0, tblPiNHistorical[[#This Row],[Protection New]]="", tblPiNHistorical[[#This Row],[Protection New]]=0), "", tblPiNHistorical[[#This Row],[Protection New]]-tblPiNHistorical[[#This Row],[Protection Old]])</f>
        <v/>
      </c>
      <c r="AL503" s="136" t="str">
        <f>IF(OR(tblPiNHistorical[[#This Row],[CP Old ]]="", tblPiNHistorical[[#This Row],[CP Old ]]=0, tblPiNHistorical[[#This Row],[CP New]]="", tblPiNHistorical[[#This Row],[CP New]]=0), "", tblPiNHistorical[[#This Row],[CP New]]-tblPiNHistorical[[#This Row],[CP Old ]])</f>
        <v/>
      </c>
      <c r="AM503" s="83" t="str">
        <f>IF(OR(tblPiNHistorical[[#This Row],[GBV Old]]="", tblPiNHistorical[[#This Row],[GBV Old]]=0, tblPiNHistorical[[#This Row],[GBV New]]="", tblPiNHistorical[[#This Row],[GBV New]]=0), "", tblPiNHistorical[[#This Row],[GBV New]]-tblPiNHistorical[[#This Row],[GBV Old]])</f>
        <v/>
      </c>
      <c r="AN503" s="83" t="str">
        <f>IF(OR(tblPiNHistorical[[#This Row],[Mine Action Old]]="", tblPiNHistorical[[#This Row],[Mine Action Old]]=0, tblPiNHistorical[[#This Row],[Mine Action New]]="", tblPiNHistorical[[#This Row],[Mine Action New]]=0), "", tblPiNHistorical[[#This Row],[Mine Action New]]-tblPiNHistorical[[#This Row],[Mine Action Old]])</f>
        <v/>
      </c>
      <c r="AO503" s="136">
        <f>IF(OR(tblPiNHistorical[[#This Row],[Shelter NFI Old]]="", tblPiNHistorical[[#This Row],[Shelter NFI Old]]=0, tblPiNHistorical[[#This Row],[Shelter NFI New]]="", tblPiNHistorical[[#This Row],[Shelter NFI New]]=0), "", tblPiNHistorical[[#This Row],[Shelter NFI New]]-tblPiNHistorical[[#This Row],[Shelter NFI Old]])</f>
        <v>-2287</v>
      </c>
      <c r="AP503" s="138" t="str">
        <f>IF(OR(tblPiNHistorical[[#This Row],[WASH Old]]="", tblPiNHistorical[[#This Row],[WASH Old]]=0, tblPiNHistorical[[#This Row],[WASH New]]="", tblPiNHistorical[[#This Row],[WASH New]]=0), "", tblPiNHistorical[[#This Row],[WASH New]]-tblPiNHistorical[[#This Row],[WASH Old]])</f>
        <v/>
      </c>
      <c r="AQ503" s="139" t="str">
        <f>IFERROR(ROUND((tblPiNHistorical[[#This Row],[Site Management - New]] - tblPiNHistorical[[#This Row],[Site Management - Old]])/tblPiNHistorical[[#This Row],[Site Management - Old]], 1), "")</f>
        <v/>
      </c>
      <c r="AR503" s="140">
        <f>IFERROR(ROUND((tblPiNHistorical[[#This Row],[Education New]]-tblPiNHistorical[[#This Row],[Education Old]])/tblPiNHistorical[[#This Row],[Education Old]], 1), "")</f>
        <v>-1</v>
      </c>
      <c r="AS503" s="141">
        <f>IFERROR(ROUND((tblPiNHistorical[[#This Row],[Food Security and Livlihoods New]]-tblPiNHistorical[[#This Row],[Food Security and Livlihoods Old]])/tblPiNHistorical[[#This Row],[Food Security and Livlihoods Old]], 1), "")</f>
        <v>-1</v>
      </c>
      <c r="AT503" s="142">
        <f>IFERROR(ROUND((tblPiNHistorical[[#This Row],[Health New]]-tblPiNHistorical[[#This Row],[Health Old]])/tblPiNHistorical[[#This Row],[Health Old]], 1), "")</f>
        <v>-1</v>
      </c>
      <c r="AU503" s="140">
        <f>IFERROR(ROUND((tblPiNHistorical[[#This Row],[Nutrition New]]-tblPiNHistorical[[#This Row],[Nutrition Old]])/tblPiNHistorical[[#This Row],[Nutrition Old]], 1), "")</f>
        <v>-1</v>
      </c>
      <c r="AV503" s="140">
        <f>IFERROR(ROUND((tblPiNHistorical[[#This Row],[Protection New]]-tblPiNHistorical[[#This Row],[Protection Old]])/tblPiNHistorical[[#This Row],[Protection Old]], 1), "")</f>
        <v>-1</v>
      </c>
      <c r="AW503" s="84">
        <f>IFERROR(ROUND((tblPiNHistorical[[#This Row],[CP New]]-tblPiNHistorical[[#This Row],[CP Old ]])/tblPiNHistorical[[#This Row],[CP Old ]], 1), "")</f>
        <v>-1</v>
      </c>
      <c r="AX503" s="84">
        <f>IFERROR(ROUND((tblPiNHistorical[[#This Row],[GBV New]]-tblPiNHistorical[[#This Row],[GBV Old]])/tblPiNHistorical[[#This Row],[GBV Old]], 1), "")</f>
        <v>-1</v>
      </c>
      <c r="AY503" s="84" t="str">
        <f>IFERROR(ROUND((tblPiNHistorical[[#This Row],[Mine Action New]]-tblPiNHistorical[[#This Row],[Mine Action Old]])/tblPiNHistorical[[#This Row],[Mine Action Old]], 1), "")</f>
        <v/>
      </c>
      <c r="AZ503" s="140">
        <f>IFERROR(ROUND((tblPiNHistorical[[#This Row],[Shelter NFI New]]-tblPiNHistorical[[#This Row],[Shelter NFI Old]])/tblPiNHistorical[[#This Row],[Shelter NFI Old]], 1), "")</f>
        <v>-0.3</v>
      </c>
      <c r="BA503" s="31">
        <f>IFERROR(ROUND((tblPiNHistorical[[#This Row],[WASH New]]-tblPiNHistorical[[#This Row],[WASH Old]])/tblPiNHistorical[[#This Row],[WASH Old]], 1), "")</f>
        <v>-1</v>
      </c>
    </row>
    <row r="504" spans="1:53" ht="38.25" x14ac:dyDescent="0.25">
      <c r="A504"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Host CommunitySD14043</v>
      </c>
      <c r="B504" s="134" t="s">
        <v>182</v>
      </c>
      <c r="C504" s="124" t="s">
        <v>131</v>
      </c>
      <c r="D504" s="124" t="s">
        <v>494</v>
      </c>
      <c r="E504" s="59" t="s">
        <v>495</v>
      </c>
      <c r="F504" s="54"/>
      <c r="G504" s="29"/>
      <c r="H504" s="53">
        <v>49892</v>
      </c>
      <c r="I504" s="53" t="s">
        <v>87</v>
      </c>
      <c r="J504" s="34">
        <v>0</v>
      </c>
      <c r="K504" s="116">
        <v>19343.128399999998</v>
      </c>
      <c r="L504" s="114">
        <v>14967.6</v>
      </c>
      <c r="M504" s="114">
        <v>49892</v>
      </c>
      <c r="N504" s="114">
        <v>2843</v>
      </c>
      <c r="O504" s="114">
        <v>15798</v>
      </c>
      <c r="P504" s="114">
        <v>5488</v>
      </c>
      <c r="Q504" s="114">
        <v>15798</v>
      </c>
      <c r="R504" s="114">
        <v>0</v>
      </c>
      <c r="S504" s="114">
        <v>9978</v>
      </c>
      <c r="T504" s="196">
        <v>24486.993599999998</v>
      </c>
      <c r="U504" s="52">
        <f>IFERROR(INDEX(tblPiNAnalysis[[Site Management ]], MATCH(tblPiNHistorical[[#This Row],[ID]], tblPiNAnalysis[ID], 0)), "")</f>
        <v>0</v>
      </c>
      <c r="V504" s="52">
        <f>IFERROR(INDEX(tblPiNAnalysis[Education], MATCH(tblPiNHistorical[[#This Row],[ID]], tblPiNAnalysis[ID], 0)), "")</f>
        <v>0</v>
      </c>
      <c r="W504" s="28">
        <f>IFERROR(INDEX(tblPiNAnalysis[Food Security and Livlihoods], MATCH(tblPiNHistorical[[#This Row],[ID]], tblPiNAnalysis[ID], 0)), "")</f>
        <v>0</v>
      </c>
      <c r="X504" s="28">
        <f>IFERROR(INDEX(tblPiNAnalysis[[Health ]], MATCH(tblPiNHistorical[[#This Row],[ID]], tblPiNAnalysis[ID], 0)), "")</f>
        <v>0</v>
      </c>
      <c r="Y504" s="28">
        <f>IFERROR(INDEX(tblPiNAnalysis[Nutrition], MATCH(tblPiNHistorical[[#This Row],[ID]], tblPiNAnalysis[ID], 0)), "")</f>
        <v>0</v>
      </c>
      <c r="Z504" s="28">
        <f>IFERROR(INDEX(tblPiNAnalysis[Protection], MATCH(tblPiNHistorical[[#This Row],[ID]], tblPiNAnalysis[ID], 0)), "")</f>
        <v>0</v>
      </c>
      <c r="AA504" s="28">
        <f>IFERROR(INDEX(tblPiNAnalysis[CP], MATCH(tblPiNHistorical[[#This Row],[ID]], tblPiNAnalysis[ID], 0)), "")</f>
        <v>0</v>
      </c>
      <c r="AB504" s="83">
        <f>IFERROR(INDEX(tblPiNAnalysis[GBV], MATCH(tblPiNHistorical[[#This Row],[ID]], tblPiNAnalysis[ID], 0)), "")</f>
        <v>0</v>
      </c>
      <c r="AC504" s="28">
        <f>IFERROR(INDEX(tblPiNAnalysis[Mine Action], MATCH(tblPiNHistorical[[#This Row],[ID]], tblPiNAnalysis[ID], 0)), "")</f>
        <v>0</v>
      </c>
      <c r="AD504" s="83">
        <f>IFERROR(INDEX(tblPiNAnalysis[[Shelter NFI ]], MATCH(tblPiNHistorical[[#This Row],[ID]], tblPiNAnalysis[ID], 0)), "")</f>
        <v>6932</v>
      </c>
      <c r="AE504" s="28">
        <f>IFERROR(INDEX(tblPiNAnalysis[WASH], MATCH(tblPiNHistorical[[#This Row],[ID]], tblPiNAnalysis[ID], 0)), "")</f>
        <v>0</v>
      </c>
      <c r="AF504"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504" s="136" t="str">
        <f>IF(OR(tblPiNHistorical[[#This Row],[Education Old]]="", tblPiNHistorical[[#This Row],[Education Old]]=0, tblPiNHistorical[[#This Row],[Education New]]="", tblPiNHistorical[[#This Row],[Education New]]=0), "", tblPiNHistorical[[#This Row],[Education New]]-tblPiNHistorical[[#This Row],[Education Old]])</f>
        <v/>
      </c>
      <c r="AH504"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504" s="137" t="str">
        <f>IF(OR(tblPiNHistorical[[#This Row],[Health Old]]="", tblPiNHistorical[[#This Row],[Health Old]]=0, tblPiNHistorical[[#This Row],[Health New]]="", tblPiNHistorical[[#This Row],[Health New]]=0), "", tblPiNHistorical[[#This Row],[Health New]]-tblPiNHistorical[[#This Row],[Health Old]])</f>
        <v/>
      </c>
      <c r="AJ504" s="136" t="str">
        <f>IF(OR(tblPiNHistorical[[#This Row],[Nutrition Old]]="", tblPiNHistorical[[#This Row],[Nutrition Old]]=0, tblPiNHistorical[[#This Row],[Nutrition New]]="", tblPiNHistorical[[#This Row],[Nutrition New]]=0), "", tblPiNHistorical[[#This Row],[Nutrition New]]-tblPiNHistorical[[#This Row],[Nutrition Old]])</f>
        <v/>
      </c>
      <c r="AK504" s="136" t="str">
        <f>IF(OR(tblPiNHistorical[[#This Row],[Protection Old]]="", tblPiNHistorical[[#This Row],[Protection Old]]=0, tblPiNHistorical[[#This Row],[Protection New]]="", tblPiNHistorical[[#This Row],[Protection New]]=0), "", tblPiNHistorical[[#This Row],[Protection New]]-tblPiNHistorical[[#This Row],[Protection Old]])</f>
        <v/>
      </c>
      <c r="AL504" s="136" t="str">
        <f>IF(OR(tblPiNHistorical[[#This Row],[CP Old ]]="", tblPiNHistorical[[#This Row],[CP Old ]]=0, tblPiNHistorical[[#This Row],[CP New]]="", tblPiNHistorical[[#This Row],[CP New]]=0), "", tblPiNHistorical[[#This Row],[CP New]]-tblPiNHistorical[[#This Row],[CP Old ]])</f>
        <v/>
      </c>
      <c r="AM504" s="83" t="str">
        <f>IF(OR(tblPiNHistorical[[#This Row],[GBV Old]]="", tblPiNHistorical[[#This Row],[GBV Old]]=0, tblPiNHistorical[[#This Row],[GBV New]]="", tblPiNHistorical[[#This Row],[GBV New]]=0), "", tblPiNHistorical[[#This Row],[GBV New]]-tblPiNHistorical[[#This Row],[GBV Old]])</f>
        <v/>
      </c>
      <c r="AN504" s="83" t="str">
        <f>IF(OR(tblPiNHistorical[[#This Row],[Mine Action Old]]="", tblPiNHistorical[[#This Row],[Mine Action Old]]=0, tblPiNHistorical[[#This Row],[Mine Action New]]="", tblPiNHistorical[[#This Row],[Mine Action New]]=0), "", tblPiNHistorical[[#This Row],[Mine Action New]]-tblPiNHistorical[[#This Row],[Mine Action Old]])</f>
        <v/>
      </c>
      <c r="AO504" s="136">
        <f>IF(OR(tblPiNHistorical[[#This Row],[Shelter NFI Old]]="", tblPiNHistorical[[#This Row],[Shelter NFI Old]]=0, tblPiNHistorical[[#This Row],[Shelter NFI New]]="", tblPiNHistorical[[#This Row],[Shelter NFI New]]=0), "", tblPiNHistorical[[#This Row],[Shelter NFI New]]-tblPiNHistorical[[#This Row],[Shelter NFI Old]])</f>
        <v>-3046</v>
      </c>
      <c r="AP504" s="138" t="str">
        <f>IF(OR(tblPiNHistorical[[#This Row],[WASH Old]]="", tblPiNHistorical[[#This Row],[WASH Old]]=0, tblPiNHistorical[[#This Row],[WASH New]]="", tblPiNHistorical[[#This Row],[WASH New]]=0), "", tblPiNHistorical[[#This Row],[WASH New]]-tblPiNHistorical[[#This Row],[WASH Old]])</f>
        <v/>
      </c>
      <c r="AQ504" s="139" t="str">
        <f>IFERROR(ROUND((tblPiNHistorical[[#This Row],[Site Management - New]] - tblPiNHistorical[[#This Row],[Site Management - Old]])/tblPiNHistorical[[#This Row],[Site Management - Old]], 1), "")</f>
        <v/>
      </c>
      <c r="AR504" s="140">
        <f>IFERROR(ROUND((tblPiNHistorical[[#This Row],[Education New]]-tblPiNHistorical[[#This Row],[Education Old]])/tblPiNHistorical[[#This Row],[Education Old]], 1), "")</f>
        <v>-1</v>
      </c>
      <c r="AS504" s="141">
        <f>IFERROR(ROUND((tblPiNHistorical[[#This Row],[Food Security and Livlihoods New]]-tblPiNHistorical[[#This Row],[Food Security and Livlihoods Old]])/tblPiNHistorical[[#This Row],[Food Security and Livlihoods Old]], 1), "")</f>
        <v>-1</v>
      </c>
      <c r="AT504" s="142">
        <f>IFERROR(ROUND((tblPiNHistorical[[#This Row],[Health New]]-tblPiNHistorical[[#This Row],[Health Old]])/tblPiNHistorical[[#This Row],[Health Old]], 1), "")</f>
        <v>-1</v>
      </c>
      <c r="AU504" s="140">
        <f>IFERROR(ROUND((tblPiNHistorical[[#This Row],[Nutrition New]]-tblPiNHistorical[[#This Row],[Nutrition Old]])/tblPiNHistorical[[#This Row],[Nutrition Old]], 1), "")</f>
        <v>-1</v>
      </c>
      <c r="AV504" s="140">
        <f>IFERROR(ROUND((tblPiNHistorical[[#This Row],[Protection New]]-tblPiNHistorical[[#This Row],[Protection Old]])/tblPiNHistorical[[#This Row],[Protection Old]], 1), "")</f>
        <v>-1</v>
      </c>
      <c r="AW504" s="84">
        <f>IFERROR(ROUND((tblPiNHistorical[[#This Row],[CP New]]-tblPiNHistorical[[#This Row],[CP Old ]])/tblPiNHistorical[[#This Row],[CP Old ]], 1), "")</f>
        <v>-1</v>
      </c>
      <c r="AX504" s="84">
        <f>IFERROR(ROUND((tblPiNHistorical[[#This Row],[GBV New]]-tblPiNHistorical[[#This Row],[GBV Old]])/tblPiNHistorical[[#This Row],[GBV Old]], 1), "")</f>
        <v>-1</v>
      </c>
      <c r="AY504" s="84" t="str">
        <f>IFERROR(ROUND((tblPiNHistorical[[#This Row],[Mine Action New]]-tblPiNHistorical[[#This Row],[Mine Action Old]])/tblPiNHistorical[[#This Row],[Mine Action Old]], 1), "")</f>
        <v/>
      </c>
      <c r="AZ504" s="140">
        <f>IFERROR(ROUND((tblPiNHistorical[[#This Row],[Shelter NFI New]]-tblPiNHistorical[[#This Row],[Shelter NFI Old]])/tblPiNHistorical[[#This Row],[Shelter NFI Old]], 1), "")</f>
        <v>-0.3</v>
      </c>
      <c r="BA504" s="31">
        <f>IFERROR(ROUND((tblPiNHistorical[[#This Row],[WASH New]]-tblPiNHistorical[[#This Row],[WASH Old]])/tblPiNHistorical[[#This Row],[WASH Old]], 1), "")</f>
        <v>-1</v>
      </c>
    </row>
    <row r="505" spans="1:53" ht="38.25" x14ac:dyDescent="0.25">
      <c r="A505"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Host CommunitySD03141</v>
      </c>
      <c r="B505" s="134" t="s">
        <v>185</v>
      </c>
      <c r="C505" s="124" t="s">
        <v>120</v>
      </c>
      <c r="D505" s="124" t="s">
        <v>233</v>
      </c>
      <c r="E505" s="59" t="s">
        <v>232</v>
      </c>
      <c r="F505" s="54"/>
      <c r="G505" s="29"/>
      <c r="H505" s="53">
        <v>51138</v>
      </c>
      <c r="I505" s="53" t="s">
        <v>87</v>
      </c>
      <c r="J505" s="34">
        <v>0</v>
      </c>
      <c r="K505" s="116">
        <v>19826.202600000001</v>
      </c>
      <c r="L505" s="114">
        <v>51138</v>
      </c>
      <c r="M505" s="114">
        <v>51138</v>
      </c>
      <c r="N505" s="114">
        <v>3907</v>
      </c>
      <c r="O505" s="114">
        <v>16193</v>
      </c>
      <c r="P505" s="114">
        <v>5625</v>
      </c>
      <c r="Q505" s="114">
        <v>16193</v>
      </c>
      <c r="R505" s="114">
        <v>0</v>
      </c>
      <c r="S505" s="114">
        <v>10228</v>
      </c>
      <c r="T505" s="196">
        <v>44438.922000000006</v>
      </c>
      <c r="U505" s="52">
        <f>IFERROR(INDEX(tblPiNAnalysis[[Site Management ]], MATCH(tblPiNHistorical[[#This Row],[ID]], tblPiNAnalysis[ID], 0)), "")</f>
        <v>0</v>
      </c>
      <c r="V505" s="52">
        <f>IFERROR(INDEX(tblPiNAnalysis[Education], MATCH(tblPiNHistorical[[#This Row],[ID]], tblPiNAnalysis[ID], 0)), "")</f>
        <v>0</v>
      </c>
      <c r="W505" s="28">
        <f>IFERROR(INDEX(tblPiNAnalysis[Food Security and Livlihoods], MATCH(tblPiNHistorical[[#This Row],[ID]], tblPiNAnalysis[ID], 0)), "")</f>
        <v>0</v>
      </c>
      <c r="X505" s="28">
        <f>IFERROR(INDEX(tblPiNAnalysis[[Health ]], MATCH(tblPiNHistorical[[#This Row],[ID]], tblPiNAnalysis[ID], 0)), "")</f>
        <v>0</v>
      </c>
      <c r="Y505" s="28">
        <f>IFERROR(INDEX(tblPiNAnalysis[Nutrition], MATCH(tblPiNHistorical[[#This Row],[ID]], tblPiNAnalysis[ID], 0)), "")</f>
        <v>0</v>
      </c>
      <c r="Z505" s="28">
        <f>IFERROR(INDEX(tblPiNAnalysis[Protection], MATCH(tblPiNHistorical[[#This Row],[ID]], tblPiNAnalysis[ID], 0)), "")</f>
        <v>0</v>
      </c>
      <c r="AA505" s="28">
        <f>IFERROR(INDEX(tblPiNAnalysis[CP], MATCH(tblPiNHistorical[[#This Row],[ID]], tblPiNAnalysis[ID], 0)), "")</f>
        <v>0</v>
      </c>
      <c r="AB505" s="83">
        <f>IFERROR(INDEX(tblPiNAnalysis[GBV], MATCH(tblPiNHistorical[[#This Row],[ID]], tblPiNAnalysis[ID], 0)), "")</f>
        <v>0</v>
      </c>
      <c r="AC505" s="28">
        <f>IFERROR(INDEX(tblPiNAnalysis[Mine Action], MATCH(tblPiNHistorical[[#This Row],[ID]], tblPiNAnalysis[ID], 0)), "")</f>
        <v>0</v>
      </c>
      <c r="AD505" s="83">
        <f>IFERROR(INDEX(tblPiNAnalysis[[Shelter NFI ]], MATCH(tblPiNHistorical[[#This Row],[ID]], tblPiNAnalysis[ID], 0)), "")</f>
        <v>11819</v>
      </c>
      <c r="AE505" s="28">
        <f>IFERROR(INDEX(tblPiNAnalysis[WASH], MATCH(tblPiNHistorical[[#This Row],[ID]], tblPiNAnalysis[ID], 0)), "")</f>
        <v>0</v>
      </c>
      <c r="AF505"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505" s="136" t="str">
        <f>IF(OR(tblPiNHistorical[[#This Row],[Education Old]]="", tblPiNHistorical[[#This Row],[Education Old]]=0, tblPiNHistorical[[#This Row],[Education New]]="", tblPiNHistorical[[#This Row],[Education New]]=0), "", tblPiNHistorical[[#This Row],[Education New]]-tblPiNHistorical[[#This Row],[Education Old]])</f>
        <v/>
      </c>
      <c r="AH505"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505" s="137" t="str">
        <f>IF(OR(tblPiNHistorical[[#This Row],[Health Old]]="", tblPiNHistorical[[#This Row],[Health Old]]=0, tblPiNHistorical[[#This Row],[Health New]]="", tblPiNHistorical[[#This Row],[Health New]]=0), "", tblPiNHistorical[[#This Row],[Health New]]-tblPiNHistorical[[#This Row],[Health Old]])</f>
        <v/>
      </c>
      <c r="AJ505" s="136" t="str">
        <f>IF(OR(tblPiNHistorical[[#This Row],[Nutrition Old]]="", tblPiNHistorical[[#This Row],[Nutrition Old]]=0, tblPiNHistorical[[#This Row],[Nutrition New]]="", tblPiNHistorical[[#This Row],[Nutrition New]]=0), "", tblPiNHistorical[[#This Row],[Nutrition New]]-tblPiNHistorical[[#This Row],[Nutrition Old]])</f>
        <v/>
      </c>
      <c r="AK505" s="136" t="str">
        <f>IF(OR(tblPiNHistorical[[#This Row],[Protection Old]]="", tblPiNHistorical[[#This Row],[Protection Old]]=0, tblPiNHistorical[[#This Row],[Protection New]]="", tblPiNHistorical[[#This Row],[Protection New]]=0), "", tblPiNHistorical[[#This Row],[Protection New]]-tblPiNHistorical[[#This Row],[Protection Old]])</f>
        <v/>
      </c>
      <c r="AL505" s="136" t="str">
        <f>IF(OR(tblPiNHistorical[[#This Row],[CP Old ]]="", tblPiNHistorical[[#This Row],[CP Old ]]=0, tblPiNHistorical[[#This Row],[CP New]]="", tblPiNHistorical[[#This Row],[CP New]]=0), "", tblPiNHistorical[[#This Row],[CP New]]-tblPiNHistorical[[#This Row],[CP Old ]])</f>
        <v/>
      </c>
      <c r="AM505" s="83" t="str">
        <f>IF(OR(tblPiNHistorical[[#This Row],[GBV Old]]="", tblPiNHistorical[[#This Row],[GBV Old]]=0, tblPiNHistorical[[#This Row],[GBV New]]="", tblPiNHistorical[[#This Row],[GBV New]]=0), "", tblPiNHistorical[[#This Row],[GBV New]]-tblPiNHistorical[[#This Row],[GBV Old]])</f>
        <v/>
      </c>
      <c r="AN505" s="83" t="str">
        <f>IF(OR(tblPiNHistorical[[#This Row],[Mine Action Old]]="", tblPiNHistorical[[#This Row],[Mine Action Old]]=0, tblPiNHistorical[[#This Row],[Mine Action New]]="", tblPiNHistorical[[#This Row],[Mine Action New]]=0), "", tblPiNHistorical[[#This Row],[Mine Action New]]-tblPiNHistorical[[#This Row],[Mine Action Old]])</f>
        <v/>
      </c>
      <c r="AO505" s="136">
        <f>IF(OR(tblPiNHistorical[[#This Row],[Shelter NFI Old]]="", tblPiNHistorical[[#This Row],[Shelter NFI Old]]=0, tblPiNHistorical[[#This Row],[Shelter NFI New]]="", tblPiNHistorical[[#This Row],[Shelter NFI New]]=0), "", tblPiNHistorical[[#This Row],[Shelter NFI New]]-tblPiNHistorical[[#This Row],[Shelter NFI Old]])</f>
        <v>1591</v>
      </c>
      <c r="AP505" s="138" t="str">
        <f>IF(OR(tblPiNHistorical[[#This Row],[WASH Old]]="", tblPiNHistorical[[#This Row],[WASH Old]]=0, tblPiNHistorical[[#This Row],[WASH New]]="", tblPiNHistorical[[#This Row],[WASH New]]=0), "", tblPiNHistorical[[#This Row],[WASH New]]-tblPiNHistorical[[#This Row],[WASH Old]])</f>
        <v/>
      </c>
      <c r="AQ505" s="139" t="str">
        <f>IFERROR(ROUND((tblPiNHistorical[[#This Row],[Site Management - New]] - tblPiNHistorical[[#This Row],[Site Management - Old]])/tblPiNHistorical[[#This Row],[Site Management - Old]], 1), "")</f>
        <v/>
      </c>
      <c r="AR505" s="140">
        <f>IFERROR(ROUND((tblPiNHistorical[[#This Row],[Education New]]-tblPiNHistorical[[#This Row],[Education Old]])/tblPiNHistorical[[#This Row],[Education Old]], 1), "")</f>
        <v>-1</v>
      </c>
      <c r="AS505" s="141">
        <f>IFERROR(ROUND((tblPiNHistorical[[#This Row],[Food Security and Livlihoods New]]-tblPiNHistorical[[#This Row],[Food Security and Livlihoods Old]])/tblPiNHistorical[[#This Row],[Food Security and Livlihoods Old]], 1), "")</f>
        <v>-1</v>
      </c>
      <c r="AT505" s="142">
        <f>IFERROR(ROUND((tblPiNHistorical[[#This Row],[Health New]]-tblPiNHistorical[[#This Row],[Health Old]])/tblPiNHistorical[[#This Row],[Health Old]], 1), "")</f>
        <v>-1</v>
      </c>
      <c r="AU505" s="140">
        <f>IFERROR(ROUND((tblPiNHistorical[[#This Row],[Nutrition New]]-tblPiNHistorical[[#This Row],[Nutrition Old]])/tblPiNHistorical[[#This Row],[Nutrition Old]], 1), "")</f>
        <v>-1</v>
      </c>
      <c r="AV505" s="140">
        <f>IFERROR(ROUND((tblPiNHistorical[[#This Row],[Protection New]]-tblPiNHistorical[[#This Row],[Protection Old]])/tblPiNHistorical[[#This Row],[Protection Old]], 1), "")</f>
        <v>-1</v>
      </c>
      <c r="AW505" s="84">
        <f>IFERROR(ROUND((tblPiNHistorical[[#This Row],[CP New]]-tblPiNHistorical[[#This Row],[CP Old ]])/tblPiNHistorical[[#This Row],[CP Old ]], 1), "")</f>
        <v>-1</v>
      </c>
      <c r="AX505" s="84">
        <f>IFERROR(ROUND((tblPiNHistorical[[#This Row],[GBV New]]-tblPiNHistorical[[#This Row],[GBV Old]])/tblPiNHistorical[[#This Row],[GBV Old]], 1), "")</f>
        <v>-1</v>
      </c>
      <c r="AY505" s="84" t="str">
        <f>IFERROR(ROUND((tblPiNHistorical[[#This Row],[Mine Action New]]-tblPiNHistorical[[#This Row],[Mine Action Old]])/tblPiNHistorical[[#This Row],[Mine Action Old]], 1), "")</f>
        <v/>
      </c>
      <c r="AZ505" s="140">
        <f>IFERROR(ROUND((tblPiNHistorical[[#This Row],[Shelter NFI New]]-tblPiNHistorical[[#This Row],[Shelter NFI Old]])/tblPiNHistorical[[#This Row],[Shelter NFI Old]], 1), "")</f>
        <v>0.2</v>
      </c>
      <c r="BA505" s="31">
        <f>IFERROR(ROUND((tblPiNHistorical[[#This Row],[WASH New]]-tblPiNHistorical[[#This Row],[WASH Old]])/tblPiNHistorical[[#This Row],[WASH Old]], 1), "")</f>
        <v>-1</v>
      </c>
    </row>
    <row r="506" spans="1:53" ht="38.25" x14ac:dyDescent="0.25">
      <c r="A506"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Host CommunitySD03150</v>
      </c>
      <c r="B506" s="134" t="s">
        <v>185</v>
      </c>
      <c r="C506" s="124" t="s">
        <v>120</v>
      </c>
      <c r="D506" s="124" t="s">
        <v>247</v>
      </c>
      <c r="E506" s="59" t="s">
        <v>246</v>
      </c>
      <c r="F506" s="54"/>
      <c r="G506" s="29"/>
      <c r="H506" s="53">
        <v>8405</v>
      </c>
      <c r="I506" s="53" t="s">
        <v>87</v>
      </c>
      <c r="J506" s="34">
        <v>0</v>
      </c>
      <c r="K506" s="116">
        <v>3258.6185</v>
      </c>
      <c r="L506" s="114">
        <v>8405</v>
      </c>
      <c r="M506" s="114">
        <v>8405</v>
      </c>
      <c r="N506" s="114">
        <v>544</v>
      </c>
      <c r="O506" s="114">
        <v>2661</v>
      </c>
      <c r="P506" s="114">
        <v>925</v>
      </c>
      <c r="Q506" s="114">
        <v>2661</v>
      </c>
      <c r="R506" s="114">
        <v>1260.75</v>
      </c>
      <c r="S506" s="114">
        <v>0</v>
      </c>
      <c r="T506" s="196">
        <v>5116.1234999999997</v>
      </c>
      <c r="U506" s="52">
        <f>IFERROR(INDEX(tblPiNAnalysis[[Site Management ]], MATCH(tblPiNHistorical[[#This Row],[ID]], tblPiNAnalysis[ID], 0)), "")</f>
        <v>0</v>
      </c>
      <c r="V506" s="52">
        <f>IFERROR(INDEX(tblPiNAnalysis[Education], MATCH(tblPiNHistorical[[#This Row],[ID]], tblPiNAnalysis[ID], 0)), "")</f>
        <v>0</v>
      </c>
      <c r="W506" s="28">
        <f>IFERROR(INDEX(tblPiNAnalysis[Food Security and Livlihoods], MATCH(tblPiNHistorical[[#This Row],[ID]], tblPiNAnalysis[ID], 0)), "")</f>
        <v>0</v>
      </c>
      <c r="X506" s="28">
        <f>IFERROR(INDEX(tblPiNAnalysis[[Health ]], MATCH(tblPiNHistorical[[#This Row],[ID]], tblPiNAnalysis[ID], 0)), "")</f>
        <v>0</v>
      </c>
      <c r="Y506" s="28">
        <f>IFERROR(INDEX(tblPiNAnalysis[Nutrition], MATCH(tblPiNHistorical[[#This Row],[ID]], tblPiNAnalysis[ID], 0)), "")</f>
        <v>0</v>
      </c>
      <c r="Z506" s="28">
        <f>IFERROR(INDEX(tblPiNAnalysis[Protection], MATCH(tblPiNHistorical[[#This Row],[ID]], tblPiNAnalysis[ID], 0)), "")</f>
        <v>0</v>
      </c>
      <c r="AA506" s="28">
        <f>IFERROR(INDEX(tblPiNAnalysis[CP], MATCH(tblPiNHistorical[[#This Row],[ID]], tblPiNAnalysis[ID], 0)), "")</f>
        <v>0</v>
      </c>
      <c r="AB506" s="83">
        <f>IFERROR(INDEX(tblPiNAnalysis[GBV], MATCH(tblPiNHistorical[[#This Row],[ID]], tblPiNAnalysis[ID], 0)), "")</f>
        <v>0</v>
      </c>
      <c r="AC506" s="28">
        <f>IFERROR(INDEX(tblPiNAnalysis[Mine Action], MATCH(tblPiNHistorical[[#This Row],[ID]], tblPiNAnalysis[ID], 0)), "")</f>
        <v>0</v>
      </c>
      <c r="AD506" s="83">
        <f>IFERROR(INDEX(tblPiNAnalysis[[Shelter NFI ]], MATCH(tblPiNHistorical[[#This Row],[ID]], tblPiNAnalysis[ID], 0)), "")</f>
        <v>2119</v>
      </c>
      <c r="AE506" s="28">
        <f>IFERROR(INDEX(tblPiNAnalysis[WASH], MATCH(tblPiNHistorical[[#This Row],[ID]], tblPiNAnalysis[ID], 0)), "")</f>
        <v>0</v>
      </c>
      <c r="AF506"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506" s="136" t="str">
        <f>IF(OR(tblPiNHistorical[[#This Row],[Education Old]]="", tblPiNHistorical[[#This Row],[Education Old]]=0, tblPiNHistorical[[#This Row],[Education New]]="", tblPiNHistorical[[#This Row],[Education New]]=0), "", tblPiNHistorical[[#This Row],[Education New]]-tblPiNHistorical[[#This Row],[Education Old]])</f>
        <v/>
      </c>
      <c r="AH506"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506" s="137" t="str">
        <f>IF(OR(tblPiNHistorical[[#This Row],[Health Old]]="", tblPiNHistorical[[#This Row],[Health Old]]=0, tblPiNHistorical[[#This Row],[Health New]]="", tblPiNHistorical[[#This Row],[Health New]]=0), "", tblPiNHistorical[[#This Row],[Health New]]-tblPiNHistorical[[#This Row],[Health Old]])</f>
        <v/>
      </c>
      <c r="AJ506" s="136" t="str">
        <f>IF(OR(tblPiNHistorical[[#This Row],[Nutrition Old]]="", tblPiNHistorical[[#This Row],[Nutrition Old]]=0, tblPiNHistorical[[#This Row],[Nutrition New]]="", tblPiNHistorical[[#This Row],[Nutrition New]]=0), "", tblPiNHistorical[[#This Row],[Nutrition New]]-tblPiNHistorical[[#This Row],[Nutrition Old]])</f>
        <v/>
      </c>
      <c r="AK506" s="136" t="str">
        <f>IF(OR(tblPiNHistorical[[#This Row],[Protection Old]]="", tblPiNHistorical[[#This Row],[Protection Old]]=0, tblPiNHistorical[[#This Row],[Protection New]]="", tblPiNHistorical[[#This Row],[Protection New]]=0), "", tblPiNHistorical[[#This Row],[Protection New]]-tblPiNHistorical[[#This Row],[Protection Old]])</f>
        <v/>
      </c>
      <c r="AL506" s="136" t="str">
        <f>IF(OR(tblPiNHistorical[[#This Row],[CP Old ]]="", tblPiNHistorical[[#This Row],[CP Old ]]=0, tblPiNHistorical[[#This Row],[CP New]]="", tblPiNHistorical[[#This Row],[CP New]]=0), "", tblPiNHistorical[[#This Row],[CP New]]-tblPiNHistorical[[#This Row],[CP Old ]])</f>
        <v/>
      </c>
      <c r="AM506" s="83" t="str">
        <f>IF(OR(tblPiNHistorical[[#This Row],[GBV Old]]="", tblPiNHistorical[[#This Row],[GBV Old]]=0, tblPiNHistorical[[#This Row],[GBV New]]="", tblPiNHistorical[[#This Row],[GBV New]]=0), "", tblPiNHistorical[[#This Row],[GBV New]]-tblPiNHistorical[[#This Row],[GBV Old]])</f>
        <v/>
      </c>
      <c r="AN506" s="83" t="str">
        <f>IF(OR(tblPiNHistorical[[#This Row],[Mine Action Old]]="", tblPiNHistorical[[#This Row],[Mine Action Old]]=0, tblPiNHistorical[[#This Row],[Mine Action New]]="", tblPiNHistorical[[#This Row],[Mine Action New]]=0), "", tblPiNHistorical[[#This Row],[Mine Action New]]-tblPiNHistorical[[#This Row],[Mine Action Old]])</f>
        <v/>
      </c>
      <c r="AO506" s="136" t="str">
        <f>IF(OR(tblPiNHistorical[[#This Row],[Shelter NFI Old]]="", tblPiNHistorical[[#This Row],[Shelter NFI Old]]=0, tblPiNHistorical[[#This Row],[Shelter NFI New]]="", tblPiNHistorical[[#This Row],[Shelter NFI New]]=0), "", tblPiNHistorical[[#This Row],[Shelter NFI New]]-tblPiNHistorical[[#This Row],[Shelter NFI Old]])</f>
        <v/>
      </c>
      <c r="AP506" s="138" t="str">
        <f>IF(OR(tblPiNHistorical[[#This Row],[WASH Old]]="", tblPiNHistorical[[#This Row],[WASH Old]]=0, tblPiNHistorical[[#This Row],[WASH New]]="", tblPiNHistorical[[#This Row],[WASH New]]=0), "", tblPiNHistorical[[#This Row],[WASH New]]-tblPiNHistorical[[#This Row],[WASH Old]])</f>
        <v/>
      </c>
      <c r="AQ506" s="139" t="str">
        <f>IFERROR(ROUND((tblPiNHistorical[[#This Row],[Site Management - New]] - tblPiNHistorical[[#This Row],[Site Management - Old]])/tblPiNHistorical[[#This Row],[Site Management - Old]], 1), "")</f>
        <v/>
      </c>
      <c r="AR506" s="140">
        <f>IFERROR(ROUND((tblPiNHistorical[[#This Row],[Education New]]-tblPiNHistorical[[#This Row],[Education Old]])/tblPiNHistorical[[#This Row],[Education Old]], 1), "")</f>
        <v>-1</v>
      </c>
      <c r="AS506" s="141">
        <f>IFERROR(ROUND((tblPiNHistorical[[#This Row],[Food Security and Livlihoods New]]-tblPiNHistorical[[#This Row],[Food Security and Livlihoods Old]])/tblPiNHistorical[[#This Row],[Food Security and Livlihoods Old]], 1), "")</f>
        <v>-1</v>
      </c>
      <c r="AT506" s="142">
        <f>IFERROR(ROUND((tblPiNHistorical[[#This Row],[Health New]]-tblPiNHistorical[[#This Row],[Health Old]])/tblPiNHistorical[[#This Row],[Health Old]], 1), "")</f>
        <v>-1</v>
      </c>
      <c r="AU506" s="140">
        <f>IFERROR(ROUND((tblPiNHistorical[[#This Row],[Nutrition New]]-tblPiNHistorical[[#This Row],[Nutrition Old]])/tblPiNHistorical[[#This Row],[Nutrition Old]], 1), "")</f>
        <v>-1</v>
      </c>
      <c r="AV506" s="140">
        <f>IFERROR(ROUND((tblPiNHistorical[[#This Row],[Protection New]]-tblPiNHistorical[[#This Row],[Protection Old]])/tblPiNHistorical[[#This Row],[Protection Old]], 1), "")</f>
        <v>-1</v>
      </c>
      <c r="AW506" s="84">
        <f>IFERROR(ROUND((tblPiNHistorical[[#This Row],[CP New]]-tblPiNHistorical[[#This Row],[CP Old ]])/tblPiNHistorical[[#This Row],[CP Old ]], 1), "")</f>
        <v>-1</v>
      </c>
      <c r="AX506" s="84">
        <f>IFERROR(ROUND((tblPiNHistorical[[#This Row],[GBV New]]-tblPiNHistorical[[#This Row],[GBV Old]])/tblPiNHistorical[[#This Row],[GBV Old]], 1), "")</f>
        <v>-1</v>
      </c>
      <c r="AY506" s="84">
        <f>IFERROR(ROUND((tblPiNHistorical[[#This Row],[Mine Action New]]-tblPiNHistorical[[#This Row],[Mine Action Old]])/tblPiNHistorical[[#This Row],[Mine Action Old]], 1), "")</f>
        <v>-1</v>
      </c>
      <c r="AZ506" s="140" t="str">
        <f>IFERROR(ROUND((tblPiNHistorical[[#This Row],[Shelter NFI New]]-tblPiNHistorical[[#This Row],[Shelter NFI Old]])/tblPiNHistorical[[#This Row],[Shelter NFI Old]], 1), "")</f>
        <v/>
      </c>
      <c r="BA506" s="31">
        <f>IFERROR(ROUND((tblPiNHistorical[[#This Row],[WASH New]]-tblPiNHistorical[[#This Row],[WASH Old]])/tblPiNHistorical[[#This Row],[WASH Old]], 1), "")</f>
        <v>-1</v>
      </c>
    </row>
    <row r="507" spans="1:53" ht="38.25" x14ac:dyDescent="0.25">
      <c r="A507"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Host CommunitySD03166</v>
      </c>
      <c r="B507" s="134" t="s">
        <v>185</v>
      </c>
      <c r="C507" s="124" t="s">
        <v>120</v>
      </c>
      <c r="D507" s="124" t="s">
        <v>269</v>
      </c>
      <c r="E507" s="59" t="s">
        <v>268</v>
      </c>
      <c r="F507" s="54"/>
      <c r="G507" s="29"/>
      <c r="H507" s="53">
        <v>12391</v>
      </c>
      <c r="I507" s="53" t="s">
        <v>87</v>
      </c>
      <c r="J507" s="34">
        <v>0</v>
      </c>
      <c r="K507" s="116">
        <v>4803.9907000000003</v>
      </c>
      <c r="L507" s="114">
        <v>12391</v>
      </c>
      <c r="M507" s="114">
        <v>12391</v>
      </c>
      <c r="N507" s="114">
        <v>1060</v>
      </c>
      <c r="O507" s="114">
        <v>3924</v>
      </c>
      <c r="P507" s="114">
        <v>1363</v>
      </c>
      <c r="Q507" s="114">
        <v>3924</v>
      </c>
      <c r="R507" s="114">
        <v>1858.6499999999999</v>
      </c>
      <c r="S507" s="114">
        <v>0</v>
      </c>
      <c r="T507" s="196">
        <v>9288.2936000000009</v>
      </c>
      <c r="U507" s="52">
        <f>IFERROR(INDEX(tblPiNAnalysis[[Site Management ]], MATCH(tblPiNHistorical[[#This Row],[ID]], tblPiNAnalysis[ID], 0)), "")</f>
        <v>0</v>
      </c>
      <c r="V507" s="52">
        <f>IFERROR(INDEX(tblPiNAnalysis[Education], MATCH(tblPiNHistorical[[#This Row],[ID]], tblPiNAnalysis[ID], 0)), "")</f>
        <v>0</v>
      </c>
      <c r="W507" s="28">
        <f>IFERROR(INDEX(tblPiNAnalysis[Food Security and Livlihoods], MATCH(tblPiNHistorical[[#This Row],[ID]], tblPiNAnalysis[ID], 0)), "")</f>
        <v>0</v>
      </c>
      <c r="X507" s="28">
        <f>IFERROR(INDEX(tblPiNAnalysis[[Health ]], MATCH(tblPiNHistorical[[#This Row],[ID]], tblPiNAnalysis[ID], 0)), "")</f>
        <v>0</v>
      </c>
      <c r="Y507" s="28">
        <f>IFERROR(INDEX(tblPiNAnalysis[Nutrition], MATCH(tblPiNHistorical[[#This Row],[ID]], tblPiNAnalysis[ID], 0)), "")</f>
        <v>0</v>
      </c>
      <c r="Z507" s="28">
        <f>IFERROR(INDEX(tblPiNAnalysis[Protection], MATCH(tblPiNHistorical[[#This Row],[ID]], tblPiNAnalysis[ID], 0)), "")</f>
        <v>0</v>
      </c>
      <c r="AA507" s="28">
        <f>IFERROR(INDEX(tblPiNAnalysis[CP], MATCH(tblPiNHistorical[[#This Row],[ID]], tblPiNAnalysis[ID], 0)), "")</f>
        <v>0</v>
      </c>
      <c r="AB507" s="83">
        <f>IFERROR(INDEX(tblPiNAnalysis[GBV], MATCH(tblPiNHistorical[[#This Row],[ID]], tblPiNAnalysis[ID], 0)), "")</f>
        <v>0</v>
      </c>
      <c r="AC507" s="28">
        <f>IFERROR(INDEX(tblPiNAnalysis[Mine Action], MATCH(tblPiNHistorical[[#This Row],[ID]], tblPiNAnalysis[ID], 0)), "")</f>
        <v>0</v>
      </c>
      <c r="AD507" s="83">
        <f>IFERROR(INDEX(tblPiNAnalysis[[Shelter NFI ]], MATCH(tblPiNHistorical[[#This Row],[ID]], tblPiNAnalysis[ID], 0)), "")</f>
        <v>9865</v>
      </c>
      <c r="AE507" s="28">
        <f>IFERROR(INDEX(tblPiNAnalysis[WASH], MATCH(tblPiNHistorical[[#This Row],[ID]], tblPiNAnalysis[ID], 0)), "")</f>
        <v>0</v>
      </c>
      <c r="AF507"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507" s="136" t="str">
        <f>IF(OR(tblPiNHistorical[[#This Row],[Education Old]]="", tblPiNHistorical[[#This Row],[Education Old]]=0, tblPiNHistorical[[#This Row],[Education New]]="", tblPiNHistorical[[#This Row],[Education New]]=0), "", tblPiNHistorical[[#This Row],[Education New]]-tblPiNHistorical[[#This Row],[Education Old]])</f>
        <v/>
      </c>
      <c r="AH507"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507" s="137" t="str">
        <f>IF(OR(tblPiNHistorical[[#This Row],[Health Old]]="", tblPiNHistorical[[#This Row],[Health Old]]=0, tblPiNHistorical[[#This Row],[Health New]]="", tblPiNHistorical[[#This Row],[Health New]]=0), "", tblPiNHistorical[[#This Row],[Health New]]-tblPiNHistorical[[#This Row],[Health Old]])</f>
        <v/>
      </c>
      <c r="AJ507" s="136" t="str">
        <f>IF(OR(tblPiNHistorical[[#This Row],[Nutrition Old]]="", tblPiNHistorical[[#This Row],[Nutrition Old]]=0, tblPiNHistorical[[#This Row],[Nutrition New]]="", tblPiNHistorical[[#This Row],[Nutrition New]]=0), "", tblPiNHistorical[[#This Row],[Nutrition New]]-tblPiNHistorical[[#This Row],[Nutrition Old]])</f>
        <v/>
      </c>
      <c r="AK507" s="136" t="str">
        <f>IF(OR(tblPiNHistorical[[#This Row],[Protection Old]]="", tblPiNHistorical[[#This Row],[Protection Old]]=0, tblPiNHistorical[[#This Row],[Protection New]]="", tblPiNHistorical[[#This Row],[Protection New]]=0), "", tblPiNHistorical[[#This Row],[Protection New]]-tblPiNHistorical[[#This Row],[Protection Old]])</f>
        <v/>
      </c>
      <c r="AL507" s="136" t="str">
        <f>IF(OR(tblPiNHistorical[[#This Row],[CP Old ]]="", tblPiNHistorical[[#This Row],[CP Old ]]=0, tblPiNHistorical[[#This Row],[CP New]]="", tblPiNHistorical[[#This Row],[CP New]]=0), "", tblPiNHistorical[[#This Row],[CP New]]-tblPiNHistorical[[#This Row],[CP Old ]])</f>
        <v/>
      </c>
      <c r="AM507" s="83" t="str">
        <f>IF(OR(tblPiNHistorical[[#This Row],[GBV Old]]="", tblPiNHistorical[[#This Row],[GBV Old]]=0, tblPiNHistorical[[#This Row],[GBV New]]="", tblPiNHistorical[[#This Row],[GBV New]]=0), "", tblPiNHistorical[[#This Row],[GBV New]]-tblPiNHistorical[[#This Row],[GBV Old]])</f>
        <v/>
      </c>
      <c r="AN507" s="83" t="str">
        <f>IF(OR(tblPiNHistorical[[#This Row],[Mine Action Old]]="", tblPiNHistorical[[#This Row],[Mine Action Old]]=0, tblPiNHistorical[[#This Row],[Mine Action New]]="", tblPiNHistorical[[#This Row],[Mine Action New]]=0), "", tblPiNHistorical[[#This Row],[Mine Action New]]-tblPiNHistorical[[#This Row],[Mine Action Old]])</f>
        <v/>
      </c>
      <c r="AO507" s="136" t="str">
        <f>IF(OR(tblPiNHistorical[[#This Row],[Shelter NFI Old]]="", tblPiNHistorical[[#This Row],[Shelter NFI Old]]=0, tblPiNHistorical[[#This Row],[Shelter NFI New]]="", tblPiNHistorical[[#This Row],[Shelter NFI New]]=0), "", tblPiNHistorical[[#This Row],[Shelter NFI New]]-tblPiNHistorical[[#This Row],[Shelter NFI Old]])</f>
        <v/>
      </c>
      <c r="AP507" s="138" t="str">
        <f>IF(OR(tblPiNHistorical[[#This Row],[WASH Old]]="", tblPiNHistorical[[#This Row],[WASH Old]]=0, tblPiNHistorical[[#This Row],[WASH New]]="", tblPiNHistorical[[#This Row],[WASH New]]=0), "", tblPiNHistorical[[#This Row],[WASH New]]-tblPiNHistorical[[#This Row],[WASH Old]])</f>
        <v/>
      </c>
      <c r="AQ507" s="139" t="str">
        <f>IFERROR(ROUND((tblPiNHistorical[[#This Row],[Site Management - New]] - tblPiNHistorical[[#This Row],[Site Management - Old]])/tblPiNHistorical[[#This Row],[Site Management - Old]], 1), "")</f>
        <v/>
      </c>
      <c r="AR507" s="140">
        <f>IFERROR(ROUND((tblPiNHistorical[[#This Row],[Education New]]-tblPiNHistorical[[#This Row],[Education Old]])/tblPiNHistorical[[#This Row],[Education Old]], 1), "")</f>
        <v>-1</v>
      </c>
      <c r="AS507" s="141">
        <f>IFERROR(ROUND((tblPiNHistorical[[#This Row],[Food Security and Livlihoods New]]-tblPiNHistorical[[#This Row],[Food Security and Livlihoods Old]])/tblPiNHistorical[[#This Row],[Food Security and Livlihoods Old]], 1), "")</f>
        <v>-1</v>
      </c>
      <c r="AT507" s="142">
        <f>IFERROR(ROUND((tblPiNHistorical[[#This Row],[Health New]]-tblPiNHistorical[[#This Row],[Health Old]])/tblPiNHistorical[[#This Row],[Health Old]], 1), "")</f>
        <v>-1</v>
      </c>
      <c r="AU507" s="140">
        <f>IFERROR(ROUND((tblPiNHistorical[[#This Row],[Nutrition New]]-tblPiNHistorical[[#This Row],[Nutrition Old]])/tblPiNHistorical[[#This Row],[Nutrition Old]], 1), "")</f>
        <v>-1</v>
      </c>
      <c r="AV507" s="140">
        <f>IFERROR(ROUND((tblPiNHistorical[[#This Row],[Protection New]]-tblPiNHistorical[[#This Row],[Protection Old]])/tblPiNHistorical[[#This Row],[Protection Old]], 1), "")</f>
        <v>-1</v>
      </c>
      <c r="AW507" s="84">
        <f>IFERROR(ROUND((tblPiNHistorical[[#This Row],[CP New]]-tblPiNHistorical[[#This Row],[CP Old ]])/tblPiNHistorical[[#This Row],[CP Old ]], 1), "")</f>
        <v>-1</v>
      </c>
      <c r="AX507" s="84">
        <f>IFERROR(ROUND((tblPiNHistorical[[#This Row],[GBV New]]-tblPiNHistorical[[#This Row],[GBV Old]])/tblPiNHistorical[[#This Row],[GBV Old]], 1), "")</f>
        <v>-1</v>
      </c>
      <c r="AY507" s="84">
        <f>IFERROR(ROUND((tblPiNHistorical[[#This Row],[Mine Action New]]-tblPiNHistorical[[#This Row],[Mine Action Old]])/tblPiNHistorical[[#This Row],[Mine Action Old]], 1), "")</f>
        <v>-1</v>
      </c>
      <c r="AZ507" s="140" t="str">
        <f>IFERROR(ROUND((tblPiNHistorical[[#This Row],[Shelter NFI New]]-tblPiNHistorical[[#This Row],[Shelter NFI Old]])/tblPiNHistorical[[#This Row],[Shelter NFI Old]], 1), "")</f>
        <v/>
      </c>
      <c r="BA507" s="31">
        <f>IFERROR(ROUND((tblPiNHistorical[[#This Row],[WASH New]]-tblPiNHistorical[[#This Row],[WASH Old]])/tblPiNHistorical[[#This Row],[WASH Old]], 1), "")</f>
        <v>-1</v>
      </c>
    </row>
    <row r="508" spans="1:53" ht="38.25" x14ac:dyDescent="0.25">
      <c r="A508"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Host CommunitySD03156</v>
      </c>
      <c r="B508" s="134" t="s">
        <v>185</v>
      </c>
      <c r="C508" s="124" t="s">
        <v>120</v>
      </c>
      <c r="D508" s="124" t="s">
        <v>255</v>
      </c>
      <c r="E508" s="59" t="s">
        <v>254</v>
      </c>
      <c r="F508" s="54"/>
      <c r="G508" s="29"/>
      <c r="H508" s="53">
        <v>4950</v>
      </c>
      <c r="I508" s="53" t="s">
        <v>87</v>
      </c>
      <c r="J508" s="34">
        <v>0</v>
      </c>
      <c r="K508" s="116">
        <v>1919.115</v>
      </c>
      <c r="L508" s="114">
        <v>4950</v>
      </c>
      <c r="M508" s="114">
        <v>4950</v>
      </c>
      <c r="N508" s="114">
        <v>592</v>
      </c>
      <c r="O508" s="114">
        <v>1569</v>
      </c>
      <c r="P508" s="114">
        <v>545</v>
      </c>
      <c r="Q508" s="114">
        <v>1569</v>
      </c>
      <c r="R508" s="114">
        <v>0</v>
      </c>
      <c r="S508" s="114">
        <v>0</v>
      </c>
      <c r="T508" s="196">
        <v>4683.6899999999996</v>
      </c>
      <c r="U508" s="52">
        <f>IFERROR(INDEX(tblPiNAnalysis[[Site Management ]], MATCH(tblPiNHistorical[[#This Row],[ID]], tblPiNAnalysis[ID], 0)), "")</f>
        <v>0</v>
      </c>
      <c r="V508" s="52">
        <f>IFERROR(INDEX(tblPiNAnalysis[Education], MATCH(tblPiNHistorical[[#This Row],[ID]], tblPiNAnalysis[ID], 0)), "")</f>
        <v>0</v>
      </c>
      <c r="W508" s="28">
        <f>IFERROR(INDEX(tblPiNAnalysis[Food Security and Livlihoods], MATCH(tblPiNHistorical[[#This Row],[ID]], tblPiNAnalysis[ID], 0)), "")</f>
        <v>0</v>
      </c>
      <c r="X508" s="28">
        <f>IFERROR(INDEX(tblPiNAnalysis[[Health ]], MATCH(tblPiNHistorical[[#This Row],[ID]], tblPiNAnalysis[ID], 0)), "")</f>
        <v>0</v>
      </c>
      <c r="Y508" s="28">
        <f>IFERROR(INDEX(tblPiNAnalysis[Nutrition], MATCH(tblPiNHistorical[[#This Row],[ID]], tblPiNAnalysis[ID], 0)), "")</f>
        <v>0</v>
      </c>
      <c r="Z508" s="28">
        <f>IFERROR(INDEX(tblPiNAnalysis[Protection], MATCH(tblPiNHistorical[[#This Row],[ID]], tblPiNAnalysis[ID], 0)), "")</f>
        <v>0</v>
      </c>
      <c r="AA508" s="28">
        <f>IFERROR(INDEX(tblPiNAnalysis[CP], MATCH(tblPiNHistorical[[#This Row],[ID]], tblPiNAnalysis[ID], 0)), "")</f>
        <v>0</v>
      </c>
      <c r="AB508" s="83">
        <f>IFERROR(INDEX(tblPiNAnalysis[GBV], MATCH(tblPiNHistorical[[#This Row],[ID]], tblPiNAnalysis[ID], 0)), "")</f>
        <v>0</v>
      </c>
      <c r="AC508" s="28">
        <f>IFERROR(INDEX(tblPiNAnalysis[Mine Action], MATCH(tblPiNHistorical[[#This Row],[ID]], tblPiNAnalysis[ID], 0)), "")</f>
        <v>0</v>
      </c>
      <c r="AD508" s="83">
        <f>IFERROR(INDEX(tblPiNAnalysis[[Shelter NFI ]], MATCH(tblPiNHistorical[[#This Row],[ID]], tblPiNAnalysis[ID], 0)), "")</f>
        <v>30137</v>
      </c>
      <c r="AE508" s="28">
        <f>IFERROR(INDEX(tblPiNAnalysis[WASH], MATCH(tblPiNHistorical[[#This Row],[ID]], tblPiNAnalysis[ID], 0)), "")</f>
        <v>0</v>
      </c>
      <c r="AF508"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508" s="136" t="str">
        <f>IF(OR(tblPiNHistorical[[#This Row],[Education Old]]="", tblPiNHistorical[[#This Row],[Education Old]]=0, tblPiNHistorical[[#This Row],[Education New]]="", tblPiNHistorical[[#This Row],[Education New]]=0), "", tblPiNHistorical[[#This Row],[Education New]]-tblPiNHistorical[[#This Row],[Education Old]])</f>
        <v/>
      </c>
      <c r="AH508"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508" s="137" t="str">
        <f>IF(OR(tblPiNHistorical[[#This Row],[Health Old]]="", tblPiNHistorical[[#This Row],[Health Old]]=0, tblPiNHistorical[[#This Row],[Health New]]="", tblPiNHistorical[[#This Row],[Health New]]=0), "", tblPiNHistorical[[#This Row],[Health New]]-tblPiNHistorical[[#This Row],[Health Old]])</f>
        <v/>
      </c>
      <c r="AJ508" s="136" t="str">
        <f>IF(OR(tblPiNHistorical[[#This Row],[Nutrition Old]]="", tblPiNHistorical[[#This Row],[Nutrition Old]]=0, tblPiNHistorical[[#This Row],[Nutrition New]]="", tblPiNHistorical[[#This Row],[Nutrition New]]=0), "", tblPiNHistorical[[#This Row],[Nutrition New]]-tblPiNHistorical[[#This Row],[Nutrition Old]])</f>
        <v/>
      </c>
      <c r="AK508" s="136" t="str">
        <f>IF(OR(tblPiNHistorical[[#This Row],[Protection Old]]="", tblPiNHistorical[[#This Row],[Protection Old]]=0, tblPiNHistorical[[#This Row],[Protection New]]="", tblPiNHistorical[[#This Row],[Protection New]]=0), "", tblPiNHistorical[[#This Row],[Protection New]]-tblPiNHistorical[[#This Row],[Protection Old]])</f>
        <v/>
      </c>
      <c r="AL508" s="136" t="str">
        <f>IF(OR(tblPiNHistorical[[#This Row],[CP Old ]]="", tblPiNHistorical[[#This Row],[CP Old ]]=0, tblPiNHistorical[[#This Row],[CP New]]="", tblPiNHistorical[[#This Row],[CP New]]=0), "", tblPiNHistorical[[#This Row],[CP New]]-tblPiNHistorical[[#This Row],[CP Old ]])</f>
        <v/>
      </c>
      <c r="AM508" s="83" t="str">
        <f>IF(OR(tblPiNHistorical[[#This Row],[GBV Old]]="", tblPiNHistorical[[#This Row],[GBV Old]]=0, tblPiNHistorical[[#This Row],[GBV New]]="", tblPiNHistorical[[#This Row],[GBV New]]=0), "", tblPiNHistorical[[#This Row],[GBV New]]-tblPiNHistorical[[#This Row],[GBV Old]])</f>
        <v/>
      </c>
      <c r="AN508" s="83" t="str">
        <f>IF(OR(tblPiNHistorical[[#This Row],[Mine Action Old]]="", tblPiNHistorical[[#This Row],[Mine Action Old]]=0, tblPiNHistorical[[#This Row],[Mine Action New]]="", tblPiNHistorical[[#This Row],[Mine Action New]]=0), "", tblPiNHistorical[[#This Row],[Mine Action New]]-tblPiNHistorical[[#This Row],[Mine Action Old]])</f>
        <v/>
      </c>
      <c r="AO508" s="136" t="str">
        <f>IF(OR(tblPiNHistorical[[#This Row],[Shelter NFI Old]]="", tblPiNHistorical[[#This Row],[Shelter NFI Old]]=0, tblPiNHistorical[[#This Row],[Shelter NFI New]]="", tblPiNHistorical[[#This Row],[Shelter NFI New]]=0), "", tblPiNHistorical[[#This Row],[Shelter NFI New]]-tblPiNHistorical[[#This Row],[Shelter NFI Old]])</f>
        <v/>
      </c>
      <c r="AP508" s="138" t="str">
        <f>IF(OR(tblPiNHistorical[[#This Row],[WASH Old]]="", tblPiNHistorical[[#This Row],[WASH Old]]=0, tblPiNHistorical[[#This Row],[WASH New]]="", tblPiNHistorical[[#This Row],[WASH New]]=0), "", tblPiNHistorical[[#This Row],[WASH New]]-tblPiNHistorical[[#This Row],[WASH Old]])</f>
        <v/>
      </c>
      <c r="AQ508" s="139" t="str">
        <f>IFERROR(ROUND((tblPiNHistorical[[#This Row],[Site Management - New]] - tblPiNHistorical[[#This Row],[Site Management - Old]])/tblPiNHistorical[[#This Row],[Site Management - Old]], 1), "")</f>
        <v/>
      </c>
      <c r="AR508" s="140">
        <f>IFERROR(ROUND((tblPiNHistorical[[#This Row],[Education New]]-tblPiNHistorical[[#This Row],[Education Old]])/tblPiNHistorical[[#This Row],[Education Old]], 1), "")</f>
        <v>-1</v>
      </c>
      <c r="AS508" s="141">
        <f>IFERROR(ROUND((tblPiNHistorical[[#This Row],[Food Security and Livlihoods New]]-tblPiNHistorical[[#This Row],[Food Security and Livlihoods Old]])/tblPiNHistorical[[#This Row],[Food Security and Livlihoods Old]], 1), "")</f>
        <v>-1</v>
      </c>
      <c r="AT508" s="142">
        <f>IFERROR(ROUND((tblPiNHistorical[[#This Row],[Health New]]-tblPiNHistorical[[#This Row],[Health Old]])/tblPiNHistorical[[#This Row],[Health Old]], 1), "")</f>
        <v>-1</v>
      </c>
      <c r="AU508" s="140">
        <f>IFERROR(ROUND((tblPiNHistorical[[#This Row],[Nutrition New]]-tblPiNHistorical[[#This Row],[Nutrition Old]])/tblPiNHistorical[[#This Row],[Nutrition Old]], 1), "")</f>
        <v>-1</v>
      </c>
      <c r="AV508" s="140">
        <f>IFERROR(ROUND((tblPiNHistorical[[#This Row],[Protection New]]-tblPiNHistorical[[#This Row],[Protection Old]])/tblPiNHistorical[[#This Row],[Protection Old]], 1), "")</f>
        <v>-1</v>
      </c>
      <c r="AW508" s="84">
        <f>IFERROR(ROUND((tblPiNHistorical[[#This Row],[CP New]]-tblPiNHistorical[[#This Row],[CP Old ]])/tblPiNHistorical[[#This Row],[CP Old ]], 1), "")</f>
        <v>-1</v>
      </c>
      <c r="AX508" s="84">
        <f>IFERROR(ROUND((tblPiNHistorical[[#This Row],[GBV New]]-tblPiNHistorical[[#This Row],[GBV Old]])/tblPiNHistorical[[#This Row],[GBV Old]], 1), "")</f>
        <v>-1</v>
      </c>
      <c r="AY508" s="84" t="str">
        <f>IFERROR(ROUND((tblPiNHistorical[[#This Row],[Mine Action New]]-tblPiNHistorical[[#This Row],[Mine Action Old]])/tblPiNHistorical[[#This Row],[Mine Action Old]], 1), "")</f>
        <v/>
      </c>
      <c r="AZ508" s="140" t="str">
        <f>IFERROR(ROUND((tblPiNHistorical[[#This Row],[Shelter NFI New]]-tblPiNHistorical[[#This Row],[Shelter NFI Old]])/tblPiNHistorical[[#This Row],[Shelter NFI Old]], 1), "")</f>
        <v/>
      </c>
      <c r="BA508" s="31">
        <f>IFERROR(ROUND((tblPiNHistorical[[#This Row],[WASH New]]-tblPiNHistorical[[#This Row],[WASH Old]])/tblPiNHistorical[[#This Row],[WASH Old]], 1), "")</f>
        <v>-1</v>
      </c>
    </row>
    <row r="509" spans="1:53" ht="38.25" x14ac:dyDescent="0.25">
      <c r="A509"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Host CommunitySD03162</v>
      </c>
      <c r="B509" s="134" t="s">
        <v>185</v>
      </c>
      <c r="C509" s="124" t="s">
        <v>120</v>
      </c>
      <c r="D509" s="124" t="s">
        <v>265</v>
      </c>
      <c r="E509" s="59" t="s">
        <v>264</v>
      </c>
      <c r="F509" s="54"/>
      <c r="G509" s="29"/>
      <c r="H509" s="53">
        <v>17565.549999999988</v>
      </c>
      <c r="I509" s="53" t="s">
        <v>87</v>
      </c>
      <c r="J509" s="34">
        <v>0</v>
      </c>
      <c r="K509" s="116">
        <v>6810.1637349999955</v>
      </c>
      <c r="L509" s="114">
        <v>17566</v>
      </c>
      <c r="M509" s="114">
        <v>17565.549999999988</v>
      </c>
      <c r="N509" s="114">
        <v>1589</v>
      </c>
      <c r="O509" s="114">
        <v>8782.7749999999942</v>
      </c>
      <c r="P509" s="114">
        <v>1932</v>
      </c>
      <c r="Q509" s="114">
        <v>5561</v>
      </c>
      <c r="R509" s="114">
        <v>8782.7749999999942</v>
      </c>
      <c r="S509" s="114">
        <v>5270</v>
      </c>
      <c r="T509" s="196">
        <v>8986.5353799999939</v>
      </c>
      <c r="U509" s="52">
        <f>IFERROR(INDEX(tblPiNAnalysis[[Site Management ]], MATCH(tblPiNHistorical[[#This Row],[ID]], tblPiNAnalysis[ID], 0)), "")</f>
        <v>0</v>
      </c>
      <c r="V509" s="52">
        <f>IFERROR(INDEX(tblPiNAnalysis[Education], MATCH(tblPiNHistorical[[#This Row],[ID]], tblPiNAnalysis[ID], 0)), "")</f>
        <v>0</v>
      </c>
      <c r="W509" s="28">
        <f>IFERROR(INDEX(tblPiNAnalysis[Food Security and Livlihoods], MATCH(tblPiNHistorical[[#This Row],[ID]], tblPiNAnalysis[ID], 0)), "")</f>
        <v>0</v>
      </c>
      <c r="X509" s="28">
        <f>IFERROR(INDEX(tblPiNAnalysis[[Health ]], MATCH(tblPiNHistorical[[#This Row],[ID]], tblPiNAnalysis[ID], 0)), "")</f>
        <v>0</v>
      </c>
      <c r="Y509" s="28">
        <f>IFERROR(INDEX(tblPiNAnalysis[Nutrition], MATCH(tblPiNHistorical[[#This Row],[ID]], tblPiNAnalysis[ID], 0)), "")</f>
        <v>0</v>
      </c>
      <c r="Z509" s="28">
        <f>IFERROR(INDEX(tblPiNAnalysis[Protection], MATCH(tblPiNHistorical[[#This Row],[ID]], tblPiNAnalysis[ID], 0)), "")</f>
        <v>0</v>
      </c>
      <c r="AA509" s="28">
        <f>IFERROR(INDEX(tblPiNAnalysis[CP], MATCH(tblPiNHistorical[[#This Row],[ID]], tblPiNAnalysis[ID], 0)), "")</f>
        <v>0</v>
      </c>
      <c r="AB509" s="83">
        <f>IFERROR(INDEX(tblPiNAnalysis[GBV], MATCH(tblPiNHistorical[[#This Row],[ID]], tblPiNAnalysis[ID], 0)), "")</f>
        <v>0</v>
      </c>
      <c r="AC509" s="28">
        <f>IFERROR(INDEX(tblPiNAnalysis[Mine Action], MATCH(tblPiNHistorical[[#This Row],[ID]], tblPiNAnalysis[ID], 0)), "")</f>
        <v>0</v>
      </c>
      <c r="AD509" s="83">
        <f>IFERROR(INDEX(tblPiNAnalysis[[Shelter NFI ]], MATCH(tblPiNHistorical[[#This Row],[ID]], tblPiNAnalysis[ID], 0)), "")</f>
        <v>0</v>
      </c>
      <c r="AE509" s="28">
        <f>IFERROR(INDEX(tblPiNAnalysis[WASH], MATCH(tblPiNHistorical[[#This Row],[ID]], tblPiNAnalysis[ID], 0)), "")</f>
        <v>0</v>
      </c>
      <c r="AF509"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509" s="136" t="str">
        <f>IF(OR(tblPiNHistorical[[#This Row],[Education Old]]="", tblPiNHistorical[[#This Row],[Education Old]]=0, tblPiNHistorical[[#This Row],[Education New]]="", tblPiNHistorical[[#This Row],[Education New]]=0), "", tblPiNHistorical[[#This Row],[Education New]]-tblPiNHistorical[[#This Row],[Education Old]])</f>
        <v/>
      </c>
      <c r="AH509"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509" s="137" t="str">
        <f>IF(OR(tblPiNHistorical[[#This Row],[Health Old]]="", tblPiNHistorical[[#This Row],[Health Old]]=0, tblPiNHistorical[[#This Row],[Health New]]="", tblPiNHistorical[[#This Row],[Health New]]=0), "", tblPiNHistorical[[#This Row],[Health New]]-tblPiNHistorical[[#This Row],[Health Old]])</f>
        <v/>
      </c>
      <c r="AJ509" s="136" t="str">
        <f>IF(OR(tblPiNHistorical[[#This Row],[Nutrition Old]]="", tblPiNHistorical[[#This Row],[Nutrition Old]]=0, tblPiNHistorical[[#This Row],[Nutrition New]]="", tblPiNHistorical[[#This Row],[Nutrition New]]=0), "", tblPiNHistorical[[#This Row],[Nutrition New]]-tblPiNHistorical[[#This Row],[Nutrition Old]])</f>
        <v/>
      </c>
      <c r="AK509" s="136" t="str">
        <f>IF(OR(tblPiNHistorical[[#This Row],[Protection Old]]="", tblPiNHistorical[[#This Row],[Protection Old]]=0, tblPiNHistorical[[#This Row],[Protection New]]="", tblPiNHistorical[[#This Row],[Protection New]]=0), "", tblPiNHistorical[[#This Row],[Protection New]]-tblPiNHistorical[[#This Row],[Protection Old]])</f>
        <v/>
      </c>
      <c r="AL509" s="136" t="str">
        <f>IF(OR(tblPiNHistorical[[#This Row],[CP Old ]]="", tblPiNHistorical[[#This Row],[CP Old ]]=0, tblPiNHistorical[[#This Row],[CP New]]="", tblPiNHistorical[[#This Row],[CP New]]=0), "", tblPiNHistorical[[#This Row],[CP New]]-tblPiNHistorical[[#This Row],[CP Old ]])</f>
        <v/>
      </c>
      <c r="AM509" s="83" t="str">
        <f>IF(OR(tblPiNHistorical[[#This Row],[GBV Old]]="", tblPiNHistorical[[#This Row],[GBV Old]]=0, tblPiNHistorical[[#This Row],[GBV New]]="", tblPiNHistorical[[#This Row],[GBV New]]=0), "", tblPiNHistorical[[#This Row],[GBV New]]-tblPiNHistorical[[#This Row],[GBV Old]])</f>
        <v/>
      </c>
      <c r="AN509" s="83" t="str">
        <f>IF(OR(tblPiNHistorical[[#This Row],[Mine Action Old]]="", tblPiNHistorical[[#This Row],[Mine Action Old]]=0, tblPiNHistorical[[#This Row],[Mine Action New]]="", tblPiNHistorical[[#This Row],[Mine Action New]]=0), "", tblPiNHistorical[[#This Row],[Mine Action New]]-tblPiNHistorical[[#This Row],[Mine Action Old]])</f>
        <v/>
      </c>
      <c r="AO509" s="136" t="str">
        <f>IF(OR(tblPiNHistorical[[#This Row],[Shelter NFI Old]]="", tblPiNHistorical[[#This Row],[Shelter NFI Old]]=0, tblPiNHistorical[[#This Row],[Shelter NFI New]]="", tblPiNHistorical[[#This Row],[Shelter NFI New]]=0), "", tblPiNHistorical[[#This Row],[Shelter NFI New]]-tblPiNHistorical[[#This Row],[Shelter NFI Old]])</f>
        <v/>
      </c>
      <c r="AP509" s="138" t="str">
        <f>IF(OR(tblPiNHistorical[[#This Row],[WASH Old]]="", tblPiNHistorical[[#This Row],[WASH Old]]=0, tblPiNHistorical[[#This Row],[WASH New]]="", tblPiNHistorical[[#This Row],[WASH New]]=0), "", tblPiNHistorical[[#This Row],[WASH New]]-tblPiNHistorical[[#This Row],[WASH Old]])</f>
        <v/>
      </c>
      <c r="AQ509" s="139" t="str">
        <f>IFERROR(ROUND((tblPiNHistorical[[#This Row],[Site Management - New]] - tblPiNHistorical[[#This Row],[Site Management - Old]])/tblPiNHistorical[[#This Row],[Site Management - Old]], 1), "")</f>
        <v/>
      </c>
      <c r="AR509" s="140">
        <f>IFERROR(ROUND((tblPiNHistorical[[#This Row],[Education New]]-tblPiNHistorical[[#This Row],[Education Old]])/tblPiNHistorical[[#This Row],[Education Old]], 1), "")</f>
        <v>-1</v>
      </c>
      <c r="AS509" s="141">
        <f>IFERROR(ROUND((tblPiNHistorical[[#This Row],[Food Security and Livlihoods New]]-tblPiNHistorical[[#This Row],[Food Security and Livlihoods Old]])/tblPiNHistorical[[#This Row],[Food Security and Livlihoods Old]], 1), "")</f>
        <v>-1</v>
      </c>
      <c r="AT509" s="142">
        <f>IFERROR(ROUND((tblPiNHistorical[[#This Row],[Health New]]-tblPiNHistorical[[#This Row],[Health Old]])/tblPiNHistorical[[#This Row],[Health Old]], 1), "")</f>
        <v>-1</v>
      </c>
      <c r="AU509" s="140">
        <f>IFERROR(ROUND((tblPiNHistorical[[#This Row],[Nutrition New]]-tblPiNHistorical[[#This Row],[Nutrition Old]])/tblPiNHistorical[[#This Row],[Nutrition Old]], 1), "")</f>
        <v>-1</v>
      </c>
      <c r="AV509" s="140">
        <f>IFERROR(ROUND((tblPiNHistorical[[#This Row],[Protection New]]-tblPiNHistorical[[#This Row],[Protection Old]])/tblPiNHistorical[[#This Row],[Protection Old]], 1), "")</f>
        <v>-1</v>
      </c>
      <c r="AW509" s="84">
        <f>IFERROR(ROUND((tblPiNHistorical[[#This Row],[CP New]]-tblPiNHistorical[[#This Row],[CP Old ]])/tblPiNHistorical[[#This Row],[CP Old ]], 1), "")</f>
        <v>-1</v>
      </c>
      <c r="AX509" s="84">
        <f>IFERROR(ROUND((tblPiNHistorical[[#This Row],[GBV New]]-tblPiNHistorical[[#This Row],[GBV Old]])/tblPiNHistorical[[#This Row],[GBV Old]], 1), "")</f>
        <v>-1</v>
      </c>
      <c r="AY509" s="84">
        <f>IFERROR(ROUND((tblPiNHistorical[[#This Row],[Mine Action New]]-tblPiNHistorical[[#This Row],[Mine Action Old]])/tblPiNHistorical[[#This Row],[Mine Action Old]], 1), "")</f>
        <v>-1</v>
      </c>
      <c r="AZ509" s="140">
        <f>IFERROR(ROUND((tblPiNHistorical[[#This Row],[Shelter NFI New]]-tblPiNHistorical[[#This Row],[Shelter NFI Old]])/tblPiNHistorical[[#This Row],[Shelter NFI Old]], 1), "")</f>
        <v>-1</v>
      </c>
      <c r="BA509" s="31">
        <f>IFERROR(ROUND((tblPiNHistorical[[#This Row],[WASH New]]-tblPiNHistorical[[#This Row],[WASH Old]])/tblPiNHistorical[[#This Row],[WASH Old]], 1), "")</f>
        <v>-1</v>
      </c>
    </row>
    <row r="510" spans="1:53" ht="38.25" x14ac:dyDescent="0.25">
      <c r="A510"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Host CommunitySD03161</v>
      </c>
      <c r="B510" s="134" t="s">
        <v>185</v>
      </c>
      <c r="C510" s="124" t="s">
        <v>120</v>
      </c>
      <c r="D510" s="124" t="s">
        <v>263</v>
      </c>
      <c r="E510" s="59" t="s">
        <v>262</v>
      </c>
      <c r="F510" s="54"/>
      <c r="G510" s="29"/>
      <c r="H510" s="53">
        <v>43663</v>
      </c>
      <c r="I510" s="53" t="s">
        <v>87</v>
      </c>
      <c r="J510" s="34">
        <v>0</v>
      </c>
      <c r="K510" s="116">
        <v>16928.145099999998</v>
      </c>
      <c r="L510" s="114">
        <v>37663</v>
      </c>
      <c r="M510" s="114">
        <v>43663</v>
      </c>
      <c r="N510" s="114">
        <v>4300</v>
      </c>
      <c r="O510" s="114">
        <v>13825</v>
      </c>
      <c r="P510" s="114">
        <v>4803</v>
      </c>
      <c r="Q510" s="114">
        <v>13825</v>
      </c>
      <c r="R510" s="114">
        <v>4366.3</v>
      </c>
      <c r="S510" s="114">
        <v>8733</v>
      </c>
      <c r="T510" s="196">
        <v>34742.649099999995</v>
      </c>
      <c r="U510" s="52">
        <f>IFERROR(INDEX(tblPiNAnalysis[[Site Management ]], MATCH(tblPiNHistorical[[#This Row],[ID]], tblPiNAnalysis[ID], 0)), "")</f>
        <v>0</v>
      </c>
      <c r="V510" s="52">
        <f>IFERROR(INDEX(tblPiNAnalysis[Education], MATCH(tblPiNHistorical[[#This Row],[ID]], tblPiNAnalysis[ID], 0)), "")</f>
        <v>0</v>
      </c>
      <c r="W510" s="28">
        <f>IFERROR(INDEX(tblPiNAnalysis[Food Security and Livlihoods], MATCH(tblPiNHistorical[[#This Row],[ID]], tblPiNAnalysis[ID], 0)), "")</f>
        <v>0</v>
      </c>
      <c r="X510" s="28">
        <f>IFERROR(INDEX(tblPiNAnalysis[[Health ]], MATCH(tblPiNHistorical[[#This Row],[ID]], tblPiNAnalysis[ID], 0)), "")</f>
        <v>0</v>
      </c>
      <c r="Y510" s="28">
        <f>IFERROR(INDEX(tblPiNAnalysis[Nutrition], MATCH(tblPiNHistorical[[#This Row],[ID]], tblPiNAnalysis[ID], 0)), "")</f>
        <v>0</v>
      </c>
      <c r="Z510" s="28">
        <f>IFERROR(INDEX(tblPiNAnalysis[Protection], MATCH(tblPiNHistorical[[#This Row],[ID]], tblPiNAnalysis[ID], 0)), "")</f>
        <v>0</v>
      </c>
      <c r="AA510" s="28">
        <f>IFERROR(INDEX(tblPiNAnalysis[CP], MATCH(tblPiNHistorical[[#This Row],[ID]], tblPiNAnalysis[ID], 0)), "")</f>
        <v>0</v>
      </c>
      <c r="AB510" s="83">
        <f>IFERROR(INDEX(tblPiNAnalysis[GBV], MATCH(tblPiNHistorical[[#This Row],[ID]], tblPiNAnalysis[ID], 0)), "")</f>
        <v>0</v>
      </c>
      <c r="AC510" s="28">
        <f>IFERROR(INDEX(tblPiNAnalysis[Mine Action], MATCH(tblPiNHistorical[[#This Row],[ID]], tblPiNAnalysis[ID], 0)), "")</f>
        <v>0</v>
      </c>
      <c r="AD510" s="83">
        <f>IFERROR(INDEX(tblPiNAnalysis[[Shelter NFI ]], MATCH(tblPiNHistorical[[#This Row],[ID]], tblPiNAnalysis[ID], 0)), "")</f>
        <v>33704</v>
      </c>
      <c r="AE510" s="28">
        <f>IFERROR(INDEX(tblPiNAnalysis[WASH], MATCH(tblPiNHistorical[[#This Row],[ID]], tblPiNAnalysis[ID], 0)), "")</f>
        <v>0</v>
      </c>
      <c r="AF510"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510" s="136" t="str">
        <f>IF(OR(tblPiNHistorical[[#This Row],[Education Old]]="", tblPiNHistorical[[#This Row],[Education Old]]=0, tblPiNHistorical[[#This Row],[Education New]]="", tblPiNHistorical[[#This Row],[Education New]]=0), "", tblPiNHistorical[[#This Row],[Education New]]-tblPiNHistorical[[#This Row],[Education Old]])</f>
        <v/>
      </c>
      <c r="AH510"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510" s="137" t="str">
        <f>IF(OR(tblPiNHistorical[[#This Row],[Health Old]]="", tblPiNHistorical[[#This Row],[Health Old]]=0, tblPiNHistorical[[#This Row],[Health New]]="", tblPiNHistorical[[#This Row],[Health New]]=0), "", tblPiNHistorical[[#This Row],[Health New]]-tblPiNHistorical[[#This Row],[Health Old]])</f>
        <v/>
      </c>
      <c r="AJ510" s="136" t="str">
        <f>IF(OR(tblPiNHistorical[[#This Row],[Nutrition Old]]="", tblPiNHistorical[[#This Row],[Nutrition Old]]=0, tblPiNHistorical[[#This Row],[Nutrition New]]="", tblPiNHistorical[[#This Row],[Nutrition New]]=0), "", tblPiNHistorical[[#This Row],[Nutrition New]]-tblPiNHistorical[[#This Row],[Nutrition Old]])</f>
        <v/>
      </c>
      <c r="AK510" s="136" t="str">
        <f>IF(OR(tblPiNHistorical[[#This Row],[Protection Old]]="", tblPiNHistorical[[#This Row],[Protection Old]]=0, tblPiNHistorical[[#This Row],[Protection New]]="", tblPiNHistorical[[#This Row],[Protection New]]=0), "", tblPiNHistorical[[#This Row],[Protection New]]-tblPiNHistorical[[#This Row],[Protection Old]])</f>
        <v/>
      </c>
      <c r="AL510" s="136" t="str">
        <f>IF(OR(tblPiNHistorical[[#This Row],[CP Old ]]="", tblPiNHistorical[[#This Row],[CP Old ]]=0, tblPiNHistorical[[#This Row],[CP New]]="", tblPiNHistorical[[#This Row],[CP New]]=0), "", tblPiNHistorical[[#This Row],[CP New]]-tblPiNHistorical[[#This Row],[CP Old ]])</f>
        <v/>
      </c>
      <c r="AM510" s="83" t="str">
        <f>IF(OR(tblPiNHistorical[[#This Row],[GBV Old]]="", tblPiNHistorical[[#This Row],[GBV Old]]=0, tblPiNHistorical[[#This Row],[GBV New]]="", tblPiNHistorical[[#This Row],[GBV New]]=0), "", tblPiNHistorical[[#This Row],[GBV New]]-tblPiNHistorical[[#This Row],[GBV Old]])</f>
        <v/>
      </c>
      <c r="AN510" s="83" t="str">
        <f>IF(OR(tblPiNHistorical[[#This Row],[Mine Action Old]]="", tblPiNHistorical[[#This Row],[Mine Action Old]]=0, tblPiNHistorical[[#This Row],[Mine Action New]]="", tblPiNHistorical[[#This Row],[Mine Action New]]=0), "", tblPiNHistorical[[#This Row],[Mine Action New]]-tblPiNHistorical[[#This Row],[Mine Action Old]])</f>
        <v/>
      </c>
      <c r="AO510" s="136">
        <f>IF(OR(tblPiNHistorical[[#This Row],[Shelter NFI Old]]="", tblPiNHistorical[[#This Row],[Shelter NFI Old]]=0, tblPiNHistorical[[#This Row],[Shelter NFI New]]="", tblPiNHistorical[[#This Row],[Shelter NFI New]]=0), "", tblPiNHistorical[[#This Row],[Shelter NFI New]]-tblPiNHistorical[[#This Row],[Shelter NFI Old]])</f>
        <v>24971</v>
      </c>
      <c r="AP510" s="138" t="str">
        <f>IF(OR(tblPiNHistorical[[#This Row],[WASH Old]]="", tblPiNHistorical[[#This Row],[WASH Old]]=0, tblPiNHistorical[[#This Row],[WASH New]]="", tblPiNHistorical[[#This Row],[WASH New]]=0), "", tblPiNHistorical[[#This Row],[WASH New]]-tblPiNHistorical[[#This Row],[WASH Old]])</f>
        <v/>
      </c>
      <c r="AQ510" s="139" t="str">
        <f>IFERROR(ROUND((tblPiNHistorical[[#This Row],[Site Management - New]] - tblPiNHistorical[[#This Row],[Site Management - Old]])/tblPiNHistorical[[#This Row],[Site Management - Old]], 1), "")</f>
        <v/>
      </c>
      <c r="AR510" s="140">
        <f>IFERROR(ROUND((tblPiNHistorical[[#This Row],[Education New]]-tblPiNHistorical[[#This Row],[Education Old]])/tblPiNHistorical[[#This Row],[Education Old]], 1), "")</f>
        <v>-1</v>
      </c>
      <c r="AS510" s="141">
        <f>IFERROR(ROUND((tblPiNHistorical[[#This Row],[Food Security and Livlihoods New]]-tblPiNHistorical[[#This Row],[Food Security and Livlihoods Old]])/tblPiNHistorical[[#This Row],[Food Security and Livlihoods Old]], 1), "")</f>
        <v>-1</v>
      </c>
      <c r="AT510" s="142">
        <f>IFERROR(ROUND((tblPiNHistorical[[#This Row],[Health New]]-tblPiNHistorical[[#This Row],[Health Old]])/tblPiNHistorical[[#This Row],[Health Old]], 1), "")</f>
        <v>-1</v>
      </c>
      <c r="AU510" s="140">
        <f>IFERROR(ROUND((tblPiNHistorical[[#This Row],[Nutrition New]]-tblPiNHistorical[[#This Row],[Nutrition Old]])/tblPiNHistorical[[#This Row],[Nutrition Old]], 1), "")</f>
        <v>-1</v>
      </c>
      <c r="AV510" s="140">
        <f>IFERROR(ROUND((tblPiNHistorical[[#This Row],[Protection New]]-tblPiNHistorical[[#This Row],[Protection Old]])/tblPiNHistorical[[#This Row],[Protection Old]], 1), "")</f>
        <v>-1</v>
      </c>
      <c r="AW510" s="84">
        <f>IFERROR(ROUND((tblPiNHistorical[[#This Row],[CP New]]-tblPiNHistorical[[#This Row],[CP Old ]])/tblPiNHistorical[[#This Row],[CP Old ]], 1), "")</f>
        <v>-1</v>
      </c>
      <c r="AX510" s="84">
        <f>IFERROR(ROUND((tblPiNHistorical[[#This Row],[GBV New]]-tblPiNHistorical[[#This Row],[GBV Old]])/tblPiNHistorical[[#This Row],[GBV Old]], 1), "")</f>
        <v>-1</v>
      </c>
      <c r="AY510" s="84">
        <f>IFERROR(ROUND((tblPiNHistorical[[#This Row],[Mine Action New]]-tblPiNHistorical[[#This Row],[Mine Action Old]])/tblPiNHistorical[[#This Row],[Mine Action Old]], 1), "")</f>
        <v>-1</v>
      </c>
      <c r="AZ510" s="140">
        <f>IFERROR(ROUND((tblPiNHistorical[[#This Row],[Shelter NFI New]]-tblPiNHistorical[[#This Row],[Shelter NFI Old]])/tblPiNHistorical[[#This Row],[Shelter NFI Old]], 1), "")</f>
        <v>2.9</v>
      </c>
      <c r="BA510" s="31">
        <f>IFERROR(ROUND((tblPiNHistorical[[#This Row],[WASH New]]-tblPiNHistorical[[#This Row],[WASH Old]])/tblPiNHistorical[[#This Row],[WASH Old]], 1), "")</f>
        <v>-1</v>
      </c>
    </row>
    <row r="511" spans="1:53" ht="38.25" x14ac:dyDescent="0.25">
      <c r="A511"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Host CommunitySD03172</v>
      </c>
      <c r="B511" s="134" t="s">
        <v>185</v>
      </c>
      <c r="C511" s="124" t="s">
        <v>120</v>
      </c>
      <c r="D511" s="124" t="s">
        <v>273</v>
      </c>
      <c r="E511" s="59" t="s">
        <v>272</v>
      </c>
      <c r="F511" s="54"/>
      <c r="G511" s="29"/>
      <c r="H511" s="53">
        <v>7233</v>
      </c>
      <c r="I511" s="53" t="s">
        <v>87</v>
      </c>
      <c r="J511" s="34">
        <v>0</v>
      </c>
      <c r="K511" s="116">
        <v>2804.2341000000001</v>
      </c>
      <c r="L511" s="114">
        <v>7233</v>
      </c>
      <c r="M511" s="114">
        <v>7233</v>
      </c>
      <c r="N511" s="114">
        <v>937</v>
      </c>
      <c r="O511" s="114">
        <v>2290</v>
      </c>
      <c r="P511" s="114">
        <v>796</v>
      </c>
      <c r="Q511" s="114">
        <v>2290</v>
      </c>
      <c r="R511" s="114">
        <v>0</v>
      </c>
      <c r="S511" s="114">
        <v>0</v>
      </c>
      <c r="T511" s="196">
        <v>5307.5753999999997</v>
      </c>
      <c r="U511" s="52">
        <f>IFERROR(INDEX(tblPiNAnalysis[[Site Management ]], MATCH(tblPiNHistorical[[#This Row],[ID]], tblPiNAnalysis[ID], 0)), "")</f>
        <v>0</v>
      </c>
      <c r="V511" s="52">
        <f>IFERROR(INDEX(tblPiNAnalysis[Education], MATCH(tblPiNHistorical[[#This Row],[ID]], tblPiNAnalysis[ID], 0)), "")</f>
        <v>0</v>
      </c>
      <c r="W511" s="28">
        <f>IFERROR(INDEX(tblPiNAnalysis[Food Security and Livlihoods], MATCH(tblPiNHistorical[[#This Row],[ID]], tblPiNAnalysis[ID], 0)), "")</f>
        <v>0</v>
      </c>
      <c r="X511" s="28">
        <f>IFERROR(INDEX(tblPiNAnalysis[[Health ]], MATCH(tblPiNHistorical[[#This Row],[ID]], tblPiNAnalysis[ID], 0)), "")</f>
        <v>0</v>
      </c>
      <c r="Y511" s="28">
        <f>IFERROR(INDEX(tblPiNAnalysis[Nutrition], MATCH(tblPiNHistorical[[#This Row],[ID]], tblPiNAnalysis[ID], 0)), "")</f>
        <v>0</v>
      </c>
      <c r="Z511" s="28">
        <f>IFERROR(INDEX(tblPiNAnalysis[Protection], MATCH(tblPiNHistorical[[#This Row],[ID]], tblPiNAnalysis[ID], 0)), "")</f>
        <v>0</v>
      </c>
      <c r="AA511" s="28">
        <f>IFERROR(INDEX(tblPiNAnalysis[CP], MATCH(tblPiNHistorical[[#This Row],[ID]], tblPiNAnalysis[ID], 0)), "")</f>
        <v>0</v>
      </c>
      <c r="AB511" s="83">
        <f>IFERROR(INDEX(tblPiNAnalysis[GBV], MATCH(tblPiNHistorical[[#This Row],[ID]], tblPiNAnalysis[ID], 0)), "")</f>
        <v>0</v>
      </c>
      <c r="AC511" s="28">
        <f>IFERROR(INDEX(tblPiNAnalysis[Mine Action], MATCH(tblPiNHistorical[[#This Row],[ID]], tblPiNAnalysis[ID], 0)), "")</f>
        <v>0</v>
      </c>
      <c r="AD511" s="83">
        <f>IFERROR(INDEX(tblPiNAnalysis[[Shelter NFI ]], MATCH(tblPiNHistorical[[#This Row],[ID]], tblPiNAnalysis[ID], 0)), "")</f>
        <v>3425</v>
      </c>
      <c r="AE511" s="28">
        <f>IFERROR(INDEX(tblPiNAnalysis[WASH], MATCH(tblPiNHistorical[[#This Row],[ID]], tblPiNAnalysis[ID], 0)), "")</f>
        <v>0</v>
      </c>
      <c r="AF511"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511" s="136" t="str">
        <f>IF(OR(tblPiNHistorical[[#This Row],[Education Old]]="", tblPiNHistorical[[#This Row],[Education Old]]=0, tblPiNHistorical[[#This Row],[Education New]]="", tblPiNHistorical[[#This Row],[Education New]]=0), "", tblPiNHistorical[[#This Row],[Education New]]-tblPiNHistorical[[#This Row],[Education Old]])</f>
        <v/>
      </c>
      <c r="AH511"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511" s="137" t="str">
        <f>IF(OR(tblPiNHistorical[[#This Row],[Health Old]]="", tblPiNHistorical[[#This Row],[Health Old]]=0, tblPiNHistorical[[#This Row],[Health New]]="", tblPiNHistorical[[#This Row],[Health New]]=0), "", tblPiNHistorical[[#This Row],[Health New]]-tblPiNHistorical[[#This Row],[Health Old]])</f>
        <v/>
      </c>
      <c r="AJ511" s="136" t="str">
        <f>IF(OR(tblPiNHistorical[[#This Row],[Nutrition Old]]="", tblPiNHistorical[[#This Row],[Nutrition Old]]=0, tblPiNHistorical[[#This Row],[Nutrition New]]="", tblPiNHistorical[[#This Row],[Nutrition New]]=0), "", tblPiNHistorical[[#This Row],[Nutrition New]]-tblPiNHistorical[[#This Row],[Nutrition Old]])</f>
        <v/>
      </c>
      <c r="AK511" s="136" t="str">
        <f>IF(OR(tblPiNHistorical[[#This Row],[Protection Old]]="", tblPiNHistorical[[#This Row],[Protection Old]]=0, tblPiNHistorical[[#This Row],[Protection New]]="", tblPiNHistorical[[#This Row],[Protection New]]=0), "", tblPiNHistorical[[#This Row],[Protection New]]-tblPiNHistorical[[#This Row],[Protection Old]])</f>
        <v/>
      </c>
      <c r="AL511" s="136" t="str">
        <f>IF(OR(tblPiNHistorical[[#This Row],[CP Old ]]="", tblPiNHistorical[[#This Row],[CP Old ]]=0, tblPiNHistorical[[#This Row],[CP New]]="", tblPiNHistorical[[#This Row],[CP New]]=0), "", tblPiNHistorical[[#This Row],[CP New]]-tblPiNHistorical[[#This Row],[CP Old ]])</f>
        <v/>
      </c>
      <c r="AM511" s="83" t="str">
        <f>IF(OR(tblPiNHistorical[[#This Row],[GBV Old]]="", tblPiNHistorical[[#This Row],[GBV Old]]=0, tblPiNHistorical[[#This Row],[GBV New]]="", tblPiNHistorical[[#This Row],[GBV New]]=0), "", tblPiNHistorical[[#This Row],[GBV New]]-tblPiNHistorical[[#This Row],[GBV Old]])</f>
        <v/>
      </c>
      <c r="AN511" s="83" t="str">
        <f>IF(OR(tblPiNHistorical[[#This Row],[Mine Action Old]]="", tblPiNHistorical[[#This Row],[Mine Action Old]]=0, tblPiNHistorical[[#This Row],[Mine Action New]]="", tblPiNHistorical[[#This Row],[Mine Action New]]=0), "", tblPiNHistorical[[#This Row],[Mine Action New]]-tblPiNHistorical[[#This Row],[Mine Action Old]])</f>
        <v/>
      </c>
      <c r="AO511" s="136" t="str">
        <f>IF(OR(tblPiNHistorical[[#This Row],[Shelter NFI Old]]="", tblPiNHistorical[[#This Row],[Shelter NFI Old]]=0, tblPiNHistorical[[#This Row],[Shelter NFI New]]="", tblPiNHistorical[[#This Row],[Shelter NFI New]]=0), "", tblPiNHistorical[[#This Row],[Shelter NFI New]]-tblPiNHistorical[[#This Row],[Shelter NFI Old]])</f>
        <v/>
      </c>
      <c r="AP511" s="138" t="str">
        <f>IF(OR(tblPiNHistorical[[#This Row],[WASH Old]]="", tblPiNHistorical[[#This Row],[WASH Old]]=0, tblPiNHistorical[[#This Row],[WASH New]]="", tblPiNHistorical[[#This Row],[WASH New]]=0), "", tblPiNHistorical[[#This Row],[WASH New]]-tblPiNHistorical[[#This Row],[WASH Old]])</f>
        <v/>
      </c>
      <c r="AQ511" s="139" t="str">
        <f>IFERROR(ROUND((tblPiNHistorical[[#This Row],[Site Management - New]] - tblPiNHistorical[[#This Row],[Site Management - Old]])/tblPiNHistorical[[#This Row],[Site Management - Old]], 1), "")</f>
        <v/>
      </c>
      <c r="AR511" s="140">
        <f>IFERROR(ROUND((tblPiNHistorical[[#This Row],[Education New]]-tblPiNHistorical[[#This Row],[Education Old]])/tblPiNHistorical[[#This Row],[Education Old]], 1), "")</f>
        <v>-1</v>
      </c>
      <c r="AS511" s="141">
        <f>IFERROR(ROUND((tblPiNHistorical[[#This Row],[Food Security and Livlihoods New]]-tblPiNHistorical[[#This Row],[Food Security and Livlihoods Old]])/tblPiNHistorical[[#This Row],[Food Security and Livlihoods Old]], 1), "")</f>
        <v>-1</v>
      </c>
      <c r="AT511" s="142">
        <f>IFERROR(ROUND((tblPiNHistorical[[#This Row],[Health New]]-tblPiNHistorical[[#This Row],[Health Old]])/tblPiNHistorical[[#This Row],[Health Old]], 1), "")</f>
        <v>-1</v>
      </c>
      <c r="AU511" s="140">
        <f>IFERROR(ROUND((tblPiNHistorical[[#This Row],[Nutrition New]]-tblPiNHistorical[[#This Row],[Nutrition Old]])/tblPiNHistorical[[#This Row],[Nutrition Old]], 1), "")</f>
        <v>-1</v>
      </c>
      <c r="AV511" s="140">
        <f>IFERROR(ROUND((tblPiNHistorical[[#This Row],[Protection New]]-tblPiNHistorical[[#This Row],[Protection Old]])/tblPiNHistorical[[#This Row],[Protection Old]], 1), "")</f>
        <v>-1</v>
      </c>
      <c r="AW511" s="84">
        <f>IFERROR(ROUND((tblPiNHistorical[[#This Row],[CP New]]-tblPiNHistorical[[#This Row],[CP Old ]])/tblPiNHistorical[[#This Row],[CP Old ]], 1), "")</f>
        <v>-1</v>
      </c>
      <c r="AX511" s="84">
        <f>IFERROR(ROUND((tblPiNHistorical[[#This Row],[GBV New]]-tblPiNHistorical[[#This Row],[GBV Old]])/tblPiNHistorical[[#This Row],[GBV Old]], 1), "")</f>
        <v>-1</v>
      </c>
      <c r="AY511" s="84" t="str">
        <f>IFERROR(ROUND((tblPiNHistorical[[#This Row],[Mine Action New]]-tblPiNHistorical[[#This Row],[Mine Action Old]])/tblPiNHistorical[[#This Row],[Mine Action Old]], 1), "")</f>
        <v/>
      </c>
      <c r="AZ511" s="140" t="str">
        <f>IFERROR(ROUND((tblPiNHistorical[[#This Row],[Shelter NFI New]]-tblPiNHistorical[[#This Row],[Shelter NFI Old]])/tblPiNHistorical[[#This Row],[Shelter NFI Old]], 1), "")</f>
        <v/>
      </c>
      <c r="BA511" s="31">
        <f>IFERROR(ROUND((tblPiNHistorical[[#This Row],[WASH New]]-tblPiNHistorical[[#This Row],[WASH Old]])/tblPiNHistorical[[#This Row],[WASH Old]], 1), "")</f>
        <v>-1</v>
      </c>
    </row>
    <row r="512" spans="1:53" ht="38.25" x14ac:dyDescent="0.25">
      <c r="A512"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Host CommunitySD03143</v>
      </c>
      <c r="B512" s="134" t="s">
        <v>185</v>
      </c>
      <c r="C512" s="124" t="s">
        <v>120</v>
      </c>
      <c r="D512" s="124" t="s">
        <v>235</v>
      </c>
      <c r="E512" s="59" t="s">
        <v>234</v>
      </c>
      <c r="F512" s="54"/>
      <c r="G512" s="29"/>
      <c r="H512" s="53">
        <v>3610</v>
      </c>
      <c r="I512" s="53" t="s">
        <v>87</v>
      </c>
      <c r="J512" s="34">
        <v>0</v>
      </c>
      <c r="K512" s="116">
        <v>1399.597</v>
      </c>
      <c r="L512" s="114">
        <v>3610</v>
      </c>
      <c r="M512" s="114">
        <v>3610</v>
      </c>
      <c r="N512" s="114">
        <v>295</v>
      </c>
      <c r="O512" s="114">
        <v>1143</v>
      </c>
      <c r="P512" s="114">
        <v>397</v>
      </c>
      <c r="Q512" s="114">
        <v>1143</v>
      </c>
      <c r="R512" s="114">
        <v>0</v>
      </c>
      <c r="S512" s="114">
        <v>722</v>
      </c>
      <c r="T512" s="196">
        <v>3526.6090000000004</v>
      </c>
      <c r="U512" s="52">
        <f>IFERROR(INDEX(tblPiNAnalysis[[Site Management ]], MATCH(tblPiNHistorical[[#This Row],[ID]], tblPiNAnalysis[ID], 0)), "")</f>
        <v>0</v>
      </c>
      <c r="V512" s="52">
        <f>IFERROR(INDEX(tblPiNAnalysis[Education], MATCH(tblPiNHistorical[[#This Row],[ID]], tblPiNAnalysis[ID], 0)), "")</f>
        <v>0</v>
      </c>
      <c r="W512" s="28">
        <f>IFERROR(INDEX(tblPiNAnalysis[Food Security and Livlihoods], MATCH(tblPiNHistorical[[#This Row],[ID]], tblPiNAnalysis[ID], 0)), "")</f>
        <v>0</v>
      </c>
      <c r="X512" s="28">
        <f>IFERROR(INDEX(tblPiNAnalysis[[Health ]], MATCH(tblPiNHistorical[[#This Row],[ID]], tblPiNAnalysis[ID], 0)), "")</f>
        <v>0</v>
      </c>
      <c r="Y512" s="28">
        <f>IFERROR(INDEX(tblPiNAnalysis[Nutrition], MATCH(tblPiNHistorical[[#This Row],[ID]], tblPiNAnalysis[ID], 0)), "")</f>
        <v>0</v>
      </c>
      <c r="Z512" s="28">
        <f>IFERROR(INDEX(tblPiNAnalysis[Protection], MATCH(tblPiNHistorical[[#This Row],[ID]], tblPiNAnalysis[ID], 0)), "")</f>
        <v>0</v>
      </c>
      <c r="AA512" s="28">
        <f>IFERROR(INDEX(tblPiNAnalysis[CP], MATCH(tblPiNHistorical[[#This Row],[ID]], tblPiNAnalysis[ID], 0)), "")</f>
        <v>0</v>
      </c>
      <c r="AB512" s="83">
        <f>IFERROR(INDEX(tblPiNAnalysis[GBV], MATCH(tblPiNHistorical[[#This Row],[ID]], tblPiNAnalysis[ID], 0)), "")</f>
        <v>0</v>
      </c>
      <c r="AC512" s="28">
        <f>IFERROR(INDEX(tblPiNAnalysis[Mine Action], MATCH(tblPiNHistorical[[#This Row],[ID]], tblPiNAnalysis[ID], 0)), "")</f>
        <v>0</v>
      </c>
      <c r="AD512" s="83">
        <f>IFERROR(INDEX(tblPiNAnalysis[[Shelter NFI ]], MATCH(tblPiNHistorical[[#This Row],[ID]], tblPiNAnalysis[ID], 0)), "")</f>
        <v>18038</v>
      </c>
      <c r="AE512" s="28">
        <f>IFERROR(INDEX(tblPiNAnalysis[WASH], MATCH(tblPiNHistorical[[#This Row],[ID]], tblPiNAnalysis[ID], 0)), "")</f>
        <v>0</v>
      </c>
      <c r="AF512"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512" s="136" t="str">
        <f>IF(OR(tblPiNHistorical[[#This Row],[Education Old]]="", tblPiNHistorical[[#This Row],[Education Old]]=0, tblPiNHistorical[[#This Row],[Education New]]="", tblPiNHistorical[[#This Row],[Education New]]=0), "", tblPiNHistorical[[#This Row],[Education New]]-tblPiNHistorical[[#This Row],[Education Old]])</f>
        <v/>
      </c>
      <c r="AH512"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512" s="137" t="str">
        <f>IF(OR(tblPiNHistorical[[#This Row],[Health Old]]="", tblPiNHistorical[[#This Row],[Health Old]]=0, tblPiNHistorical[[#This Row],[Health New]]="", tblPiNHistorical[[#This Row],[Health New]]=0), "", tblPiNHistorical[[#This Row],[Health New]]-tblPiNHistorical[[#This Row],[Health Old]])</f>
        <v/>
      </c>
      <c r="AJ512" s="136" t="str">
        <f>IF(OR(tblPiNHistorical[[#This Row],[Nutrition Old]]="", tblPiNHistorical[[#This Row],[Nutrition Old]]=0, tblPiNHistorical[[#This Row],[Nutrition New]]="", tblPiNHistorical[[#This Row],[Nutrition New]]=0), "", tblPiNHistorical[[#This Row],[Nutrition New]]-tblPiNHistorical[[#This Row],[Nutrition Old]])</f>
        <v/>
      </c>
      <c r="AK512" s="136" t="str">
        <f>IF(OR(tblPiNHistorical[[#This Row],[Protection Old]]="", tblPiNHistorical[[#This Row],[Protection Old]]=0, tblPiNHistorical[[#This Row],[Protection New]]="", tblPiNHistorical[[#This Row],[Protection New]]=0), "", tblPiNHistorical[[#This Row],[Protection New]]-tblPiNHistorical[[#This Row],[Protection Old]])</f>
        <v/>
      </c>
      <c r="AL512" s="136" t="str">
        <f>IF(OR(tblPiNHistorical[[#This Row],[CP Old ]]="", tblPiNHistorical[[#This Row],[CP Old ]]=0, tblPiNHistorical[[#This Row],[CP New]]="", tblPiNHistorical[[#This Row],[CP New]]=0), "", tblPiNHistorical[[#This Row],[CP New]]-tblPiNHistorical[[#This Row],[CP Old ]])</f>
        <v/>
      </c>
      <c r="AM512" s="83" t="str">
        <f>IF(OR(tblPiNHistorical[[#This Row],[GBV Old]]="", tblPiNHistorical[[#This Row],[GBV Old]]=0, tblPiNHistorical[[#This Row],[GBV New]]="", tblPiNHistorical[[#This Row],[GBV New]]=0), "", tblPiNHistorical[[#This Row],[GBV New]]-tblPiNHistorical[[#This Row],[GBV Old]])</f>
        <v/>
      </c>
      <c r="AN512" s="83" t="str">
        <f>IF(OR(tblPiNHistorical[[#This Row],[Mine Action Old]]="", tblPiNHistorical[[#This Row],[Mine Action Old]]=0, tblPiNHistorical[[#This Row],[Mine Action New]]="", tblPiNHistorical[[#This Row],[Mine Action New]]=0), "", tblPiNHistorical[[#This Row],[Mine Action New]]-tblPiNHistorical[[#This Row],[Mine Action Old]])</f>
        <v/>
      </c>
      <c r="AO512" s="136">
        <f>IF(OR(tblPiNHistorical[[#This Row],[Shelter NFI Old]]="", tblPiNHistorical[[#This Row],[Shelter NFI Old]]=0, tblPiNHistorical[[#This Row],[Shelter NFI New]]="", tblPiNHistorical[[#This Row],[Shelter NFI New]]=0), "", tblPiNHistorical[[#This Row],[Shelter NFI New]]-tblPiNHistorical[[#This Row],[Shelter NFI Old]])</f>
        <v>17316</v>
      </c>
      <c r="AP512" s="138" t="str">
        <f>IF(OR(tblPiNHistorical[[#This Row],[WASH Old]]="", tblPiNHistorical[[#This Row],[WASH Old]]=0, tblPiNHistorical[[#This Row],[WASH New]]="", tblPiNHistorical[[#This Row],[WASH New]]=0), "", tblPiNHistorical[[#This Row],[WASH New]]-tblPiNHistorical[[#This Row],[WASH Old]])</f>
        <v/>
      </c>
      <c r="AQ512" s="139" t="str">
        <f>IFERROR(ROUND((tblPiNHistorical[[#This Row],[Site Management - New]] - tblPiNHistorical[[#This Row],[Site Management - Old]])/tblPiNHistorical[[#This Row],[Site Management - Old]], 1), "")</f>
        <v/>
      </c>
      <c r="AR512" s="140">
        <f>IFERROR(ROUND((tblPiNHistorical[[#This Row],[Education New]]-tblPiNHistorical[[#This Row],[Education Old]])/tblPiNHistorical[[#This Row],[Education Old]], 1), "")</f>
        <v>-1</v>
      </c>
      <c r="AS512" s="141">
        <f>IFERROR(ROUND((tblPiNHistorical[[#This Row],[Food Security and Livlihoods New]]-tblPiNHistorical[[#This Row],[Food Security and Livlihoods Old]])/tblPiNHistorical[[#This Row],[Food Security and Livlihoods Old]], 1), "")</f>
        <v>-1</v>
      </c>
      <c r="AT512" s="142">
        <f>IFERROR(ROUND((tblPiNHistorical[[#This Row],[Health New]]-tblPiNHistorical[[#This Row],[Health Old]])/tblPiNHistorical[[#This Row],[Health Old]], 1), "")</f>
        <v>-1</v>
      </c>
      <c r="AU512" s="140">
        <f>IFERROR(ROUND((tblPiNHistorical[[#This Row],[Nutrition New]]-tblPiNHistorical[[#This Row],[Nutrition Old]])/tblPiNHistorical[[#This Row],[Nutrition Old]], 1), "")</f>
        <v>-1</v>
      </c>
      <c r="AV512" s="140">
        <f>IFERROR(ROUND((tblPiNHistorical[[#This Row],[Protection New]]-tblPiNHistorical[[#This Row],[Protection Old]])/tblPiNHistorical[[#This Row],[Protection Old]], 1), "")</f>
        <v>-1</v>
      </c>
      <c r="AW512" s="84">
        <f>IFERROR(ROUND((tblPiNHistorical[[#This Row],[CP New]]-tblPiNHistorical[[#This Row],[CP Old ]])/tblPiNHistorical[[#This Row],[CP Old ]], 1), "")</f>
        <v>-1</v>
      </c>
      <c r="AX512" s="84">
        <f>IFERROR(ROUND((tblPiNHistorical[[#This Row],[GBV New]]-tblPiNHistorical[[#This Row],[GBV Old]])/tblPiNHistorical[[#This Row],[GBV Old]], 1), "")</f>
        <v>-1</v>
      </c>
      <c r="AY512" s="84" t="str">
        <f>IFERROR(ROUND((tblPiNHistorical[[#This Row],[Mine Action New]]-tblPiNHistorical[[#This Row],[Mine Action Old]])/tblPiNHistorical[[#This Row],[Mine Action Old]], 1), "")</f>
        <v/>
      </c>
      <c r="AZ512" s="140">
        <f>IFERROR(ROUND((tblPiNHistorical[[#This Row],[Shelter NFI New]]-tblPiNHistorical[[#This Row],[Shelter NFI Old]])/tblPiNHistorical[[#This Row],[Shelter NFI Old]], 1), "")</f>
        <v>24</v>
      </c>
      <c r="BA512" s="31">
        <f>IFERROR(ROUND((tblPiNHistorical[[#This Row],[WASH New]]-tblPiNHistorical[[#This Row],[WASH Old]])/tblPiNHistorical[[#This Row],[WASH Old]], 1), "")</f>
        <v>-1</v>
      </c>
    </row>
    <row r="513" spans="1:53" ht="38.25" x14ac:dyDescent="0.25">
      <c r="A513"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Host CommunitySD03153</v>
      </c>
      <c r="B513" s="134" t="s">
        <v>185</v>
      </c>
      <c r="C513" s="124" t="s">
        <v>120</v>
      </c>
      <c r="D513" s="124" t="s">
        <v>251</v>
      </c>
      <c r="E513" s="59" t="s">
        <v>250</v>
      </c>
      <c r="F513" s="54"/>
      <c r="G513" s="29"/>
      <c r="H513" s="53">
        <v>31651.05</v>
      </c>
      <c r="I513" s="53" t="s">
        <v>87</v>
      </c>
      <c r="J513" s="34">
        <v>0</v>
      </c>
      <c r="K513" s="116">
        <v>12271.112084999999</v>
      </c>
      <c r="L513" s="114">
        <v>31651</v>
      </c>
      <c r="M513" s="114">
        <v>31651</v>
      </c>
      <c r="N513" s="114">
        <v>3599</v>
      </c>
      <c r="O513" s="114">
        <v>10023</v>
      </c>
      <c r="P513" s="114">
        <v>3482</v>
      </c>
      <c r="Q513" s="114">
        <v>10023</v>
      </c>
      <c r="R513" s="114">
        <v>3165.105</v>
      </c>
      <c r="S513" s="114">
        <v>6330</v>
      </c>
      <c r="T513" s="196">
        <v>22734.949214999997</v>
      </c>
      <c r="U513" s="52">
        <f>IFERROR(INDEX(tblPiNAnalysis[[Site Management ]], MATCH(tblPiNHistorical[[#This Row],[ID]], tblPiNAnalysis[ID], 0)), "")</f>
        <v>0</v>
      </c>
      <c r="V513" s="52">
        <f>IFERROR(INDEX(tblPiNAnalysis[Education], MATCH(tblPiNHistorical[[#This Row],[ID]], tblPiNAnalysis[ID], 0)), "")</f>
        <v>0</v>
      </c>
      <c r="W513" s="28">
        <f>IFERROR(INDEX(tblPiNAnalysis[Food Security and Livlihoods], MATCH(tblPiNHistorical[[#This Row],[ID]], tblPiNAnalysis[ID], 0)), "")</f>
        <v>0</v>
      </c>
      <c r="X513" s="28">
        <f>IFERROR(INDEX(tblPiNAnalysis[[Health ]], MATCH(tblPiNHistorical[[#This Row],[ID]], tblPiNAnalysis[ID], 0)), "")</f>
        <v>0</v>
      </c>
      <c r="Y513" s="28">
        <f>IFERROR(INDEX(tblPiNAnalysis[Nutrition], MATCH(tblPiNHistorical[[#This Row],[ID]], tblPiNAnalysis[ID], 0)), "")</f>
        <v>0</v>
      </c>
      <c r="Z513" s="28">
        <f>IFERROR(INDEX(tblPiNAnalysis[Protection], MATCH(tblPiNHistorical[[#This Row],[ID]], tblPiNAnalysis[ID], 0)), "")</f>
        <v>0</v>
      </c>
      <c r="AA513" s="28">
        <f>IFERROR(INDEX(tblPiNAnalysis[CP], MATCH(tblPiNHistorical[[#This Row],[ID]], tblPiNAnalysis[ID], 0)), "")</f>
        <v>0</v>
      </c>
      <c r="AB513" s="83">
        <f>IFERROR(INDEX(tblPiNAnalysis[GBV], MATCH(tblPiNHistorical[[#This Row],[ID]], tblPiNAnalysis[ID], 0)), "")</f>
        <v>0</v>
      </c>
      <c r="AC513" s="28">
        <f>IFERROR(INDEX(tblPiNAnalysis[Mine Action], MATCH(tblPiNHistorical[[#This Row],[ID]], tblPiNAnalysis[ID], 0)), "")</f>
        <v>0</v>
      </c>
      <c r="AD513" s="83">
        <f>IFERROR(INDEX(tblPiNAnalysis[[Shelter NFI ]], MATCH(tblPiNHistorical[[#This Row],[ID]], tblPiNAnalysis[ID], 0)), "")</f>
        <v>827</v>
      </c>
      <c r="AE513" s="28">
        <f>IFERROR(INDEX(tblPiNAnalysis[WASH], MATCH(tblPiNHistorical[[#This Row],[ID]], tblPiNAnalysis[ID], 0)), "")</f>
        <v>0</v>
      </c>
      <c r="AF513"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513" s="136" t="str">
        <f>IF(OR(tblPiNHistorical[[#This Row],[Education Old]]="", tblPiNHistorical[[#This Row],[Education Old]]=0, tblPiNHistorical[[#This Row],[Education New]]="", tblPiNHistorical[[#This Row],[Education New]]=0), "", tblPiNHistorical[[#This Row],[Education New]]-tblPiNHistorical[[#This Row],[Education Old]])</f>
        <v/>
      </c>
      <c r="AH513"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513" s="137" t="str">
        <f>IF(OR(tblPiNHistorical[[#This Row],[Health Old]]="", tblPiNHistorical[[#This Row],[Health Old]]=0, tblPiNHistorical[[#This Row],[Health New]]="", tblPiNHistorical[[#This Row],[Health New]]=0), "", tblPiNHistorical[[#This Row],[Health New]]-tblPiNHistorical[[#This Row],[Health Old]])</f>
        <v/>
      </c>
      <c r="AJ513" s="136" t="str">
        <f>IF(OR(tblPiNHistorical[[#This Row],[Nutrition Old]]="", tblPiNHistorical[[#This Row],[Nutrition Old]]=0, tblPiNHistorical[[#This Row],[Nutrition New]]="", tblPiNHistorical[[#This Row],[Nutrition New]]=0), "", tblPiNHistorical[[#This Row],[Nutrition New]]-tblPiNHistorical[[#This Row],[Nutrition Old]])</f>
        <v/>
      </c>
      <c r="AK513" s="136" t="str">
        <f>IF(OR(tblPiNHistorical[[#This Row],[Protection Old]]="", tblPiNHistorical[[#This Row],[Protection Old]]=0, tblPiNHistorical[[#This Row],[Protection New]]="", tblPiNHistorical[[#This Row],[Protection New]]=0), "", tblPiNHistorical[[#This Row],[Protection New]]-tblPiNHistorical[[#This Row],[Protection Old]])</f>
        <v/>
      </c>
      <c r="AL513" s="136" t="str">
        <f>IF(OR(tblPiNHistorical[[#This Row],[CP Old ]]="", tblPiNHistorical[[#This Row],[CP Old ]]=0, tblPiNHistorical[[#This Row],[CP New]]="", tblPiNHistorical[[#This Row],[CP New]]=0), "", tblPiNHistorical[[#This Row],[CP New]]-tblPiNHistorical[[#This Row],[CP Old ]])</f>
        <v/>
      </c>
      <c r="AM513" s="83" t="str">
        <f>IF(OR(tblPiNHistorical[[#This Row],[GBV Old]]="", tblPiNHistorical[[#This Row],[GBV Old]]=0, tblPiNHistorical[[#This Row],[GBV New]]="", tblPiNHistorical[[#This Row],[GBV New]]=0), "", tblPiNHistorical[[#This Row],[GBV New]]-tblPiNHistorical[[#This Row],[GBV Old]])</f>
        <v/>
      </c>
      <c r="AN513" s="83" t="str">
        <f>IF(OR(tblPiNHistorical[[#This Row],[Mine Action Old]]="", tblPiNHistorical[[#This Row],[Mine Action Old]]=0, tblPiNHistorical[[#This Row],[Mine Action New]]="", tblPiNHistorical[[#This Row],[Mine Action New]]=0), "", tblPiNHistorical[[#This Row],[Mine Action New]]-tblPiNHistorical[[#This Row],[Mine Action Old]])</f>
        <v/>
      </c>
      <c r="AO513" s="136">
        <f>IF(OR(tblPiNHistorical[[#This Row],[Shelter NFI Old]]="", tblPiNHistorical[[#This Row],[Shelter NFI Old]]=0, tblPiNHistorical[[#This Row],[Shelter NFI New]]="", tblPiNHistorical[[#This Row],[Shelter NFI New]]=0), "", tblPiNHistorical[[#This Row],[Shelter NFI New]]-tblPiNHistorical[[#This Row],[Shelter NFI Old]])</f>
        <v>-5503</v>
      </c>
      <c r="AP513" s="138" t="str">
        <f>IF(OR(tblPiNHistorical[[#This Row],[WASH Old]]="", tblPiNHistorical[[#This Row],[WASH Old]]=0, tblPiNHistorical[[#This Row],[WASH New]]="", tblPiNHistorical[[#This Row],[WASH New]]=0), "", tblPiNHistorical[[#This Row],[WASH New]]-tblPiNHistorical[[#This Row],[WASH Old]])</f>
        <v/>
      </c>
      <c r="AQ513" s="139" t="str">
        <f>IFERROR(ROUND((tblPiNHistorical[[#This Row],[Site Management - New]] - tblPiNHistorical[[#This Row],[Site Management - Old]])/tblPiNHistorical[[#This Row],[Site Management - Old]], 1), "")</f>
        <v/>
      </c>
      <c r="AR513" s="140">
        <f>IFERROR(ROUND((tblPiNHistorical[[#This Row],[Education New]]-tblPiNHistorical[[#This Row],[Education Old]])/tblPiNHistorical[[#This Row],[Education Old]], 1), "")</f>
        <v>-1</v>
      </c>
      <c r="AS513" s="141">
        <f>IFERROR(ROUND((tblPiNHistorical[[#This Row],[Food Security and Livlihoods New]]-tblPiNHistorical[[#This Row],[Food Security and Livlihoods Old]])/tblPiNHistorical[[#This Row],[Food Security and Livlihoods Old]], 1), "")</f>
        <v>-1</v>
      </c>
      <c r="AT513" s="142">
        <f>IFERROR(ROUND((tblPiNHistorical[[#This Row],[Health New]]-tblPiNHistorical[[#This Row],[Health Old]])/tblPiNHistorical[[#This Row],[Health Old]], 1), "")</f>
        <v>-1</v>
      </c>
      <c r="AU513" s="140">
        <f>IFERROR(ROUND((tblPiNHistorical[[#This Row],[Nutrition New]]-tblPiNHistorical[[#This Row],[Nutrition Old]])/tblPiNHistorical[[#This Row],[Nutrition Old]], 1), "")</f>
        <v>-1</v>
      </c>
      <c r="AV513" s="140">
        <f>IFERROR(ROUND((tblPiNHistorical[[#This Row],[Protection New]]-tblPiNHistorical[[#This Row],[Protection Old]])/tblPiNHistorical[[#This Row],[Protection Old]], 1), "")</f>
        <v>-1</v>
      </c>
      <c r="AW513" s="84">
        <f>IFERROR(ROUND((tblPiNHistorical[[#This Row],[CP New]]-tblPiNHistorical[[#This Row],[CP Old ]])/tblPiNHistorical[[#This Row],[CP Old ]], 1), "")</f>
        <v>-1</v>
      </c>
      <c r="AX513" s="84">
        <f>IFERROR(ROUND((tblPiNHistorical[[#This Row],[GBV New]]-tblPiNHistorical[[#This Row],[GBV Old]])/tblPiNHistorical[[#This Row],[GBV Old]], 1), "")</f>
        <v>-1</v>
      </c>
      <c r="AY513" s="84">
        <f>IFERROR(ROUND((tblPiNHistorical[[#This Row],[Mine Action New]]-tblPiNHistorical[[#This Row],[Mine Action Old]])/tblPiNHistorical[[#This Row],[Mine Action Old]], 1), "")</f>
        <v>-1</v>
      </c>
      <c r="AZ513" s="140">
        <f>IFERROR(ROUND((tblPiNHistorical[[#This Row],[Shelter NFI New]]-tblPiNHistorical[[#This Row],[Shelter NFI Old]])/tblPiNHistorical[[#This Row],[Shelter NFI Old]], 1), "")</f>
        <v>-0.9</v>
      </c>
      <c r="BA513" s="31">
        <f>IFERROR(ROUND((tblPiNHistorical[[#This Row],[WASH New]]-tblPiNHistorical[[#This Row],[WASH Old]])/tblPiNHistorical[[#This Row],[WASH Old]], 1), "")</f>
        <v>-1</v>
      </c>
    </row>
    <row r="514" spans="1:53" ht="38.25" x14ac:dyDescent="0.25">
      <c r="A514"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Host CommunitySD03144</v>
      </c>
      <c r="B514" s="134" t="s">
        <v>185</v>
      </c>
      <c r="C514" s="124" t="s">
        <v>120</v>
      </c>
      <c r="D514" s="124" t="s">
        <v>237</v>
      </c>
      <c r="E514" s="59" t="s">
        <v>236</v>
      </c>
      <c r="F514" s="54"/>
      <c r="G514" s="29"/>
      <c r="H514" s="53">
        <v>124125</v>
      </c>
      <c r="I514" s="53" t="s">
        <v>87</v>
      </c>
      <c r="J514" s="34">
        <v>0</v>
      </c>
      <c r="K514" s="116">
        <v>48123.262499999997</v>
      </c>
      <c r="L514" s="114">
        <v>121117</v>
      </c>
      <c r="M514" s="114">
        <v>124125</v>
      </c>
      <c r="N514" s="114">
        <v>17761</v>
      </c>
      <c r="O514" s="114">
        <v>39304</v>
      </c>
      <c r="P514" s="114">
        <v>13654</v>
      </c>
      <c r="Q514" s="114">
        <v>39304</v>
      </c>
      <c r="R514" s="114">
        <v>18618.75</v>
      </c>
      <c r="S514" s="114">
        <v>37238</v>
      </c>
      <c r="T514" s="196">
        <v>94409.475000000006</v>
      </c>
      <c r="U514" s="52">
        <f>IFERROR(INDEX(tblPiNAnalysis[[Site Management ]], MATCH(tblPiNHistorical[[#This Row],[ID]], tblPiNAnalysis[ID], 0)), "")</f>
        <v>0</v>
      </c>
      <c r="V514" s="52">
        <f>IFERROR(INDEX(tblPiNAnalysis[Education], MATCH(tblPiNHistorical[[#This Row],[ID]], tblPiNAnalysis[ID], 0)), "")</f>
        <v>0</v>
      </c>
      <c r="W514" s="28">
        <f>IFERROR(INDEX(tblPiNAnalysis[Food Security and Livlihoods], MATCH(tblPiNHistorical[[#This Row],[ID]], tblPiNAnalysis[ID], 0)), "")</f>
        <v>0</v>
      </c>
      <c r="X514" s="28">
        <f>IFERROR(INDEX(tblPiNAnalysis[[Health ]], MATCH(tblPiNHistorical[[#This Row],[ID]], tblPiNAnalysis[ID], 0)), "")</f>
        <v>0</v>
      </c>
      <c r="Y514" s="28">
        <f>IFERROR(INDEX(tblPiNAnalysis[Nutrition], MATCH(tblPiNHistorical[[#This Row],[ID]], tblPiNAnalysis[ID], 0)), "")</f>
        <v>0</v>
      </c>
      <c r="Z514" s="28">
        <f>IFERROR(INDEX(tblPiNAnalysis[Protection], MATCH(tblPiNHistorical[[#This Row],[ID]], tblPiNAnalysis[ID], 0)), "")</f>
        <v>0</v>
      </c>
      <c r="AA514" s="28">
        <f>IFERROR(INDEX(tblPiNAnalysis[CP], MATCH(tblPiNHistorical[[#This Row],[ID]], tblPiNAnalysis[ID], 0)), "")</f>
        <v>0</v>
      </c>
      <c r="AB514" s="83">
        <f>IFERROR(INDEX(tblPiNAnalysis[GBV], MATCH(tblPiNHistorical[[#This Row],[ID]], tblPiNAnalysis[ID], 0)), "")</f>
        <v>0</v>
      </c>
      <c r="AC514" s="28">
        <f>IFERROR(INDEX(tblPiNAnalysis[Mine Action], MATCH(tblPiNHistorical[[#This Row],[ID]], tblPiNAnalysis[ID], 0)), "")</f>
        <v>0</v>
      </c>
      <c r="AD514" s="83">
        <f>IFERROR(INDEX(tblPiNAnalysis[[Shelter NFI ]], MATCH(tblPiNHistorical[[#This Row],[ID]], tblPiNAnalysis[ID], 0)), "")</f>
        <v>102181</v>
      </c>
      <c r="AE514" s="28">
        <f>IFERROR(INDEX(tblPiNAnalysis[WASH], MATCH(tblPiNHistorical[[#This Row],[ID]], tblPiNAnalysis[ID], 0)), "")</f>
        <v>0</v>
      </c>
      <c r="AF514"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514" s="136" t="str">
        <f>IF(OR(tblPiNHistorical[[#This Row],[Education Old]]="", tblPiNHistorical[[#This Row],[Education Old]]=0, tblPiNHistorical[[#This Row],[Education New]]="", tblPiNHistorical[[#This Row],[Education New]]=0), "", tblPiNHistorical[[#This Row],[Education New]]-tblPiNHistorical[[#This Row],[Education Old]])</f>
        <v/>
      </c>
      <c r="AH514"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514" s="137" t="str">
        <f>IF(OR(tblPiNHistorical[[#This Row],[Health Old]]="", tblPiNHistorical[[#This Row],[Health Old]]=0, tblPiNHistorical[[#This Row],[Health New]]="", tblPiNHistorical[[#This Row],[Health New]]=0), "", tblPiNHistorical[[#This Row],[Health New]]-tblPiNHistorical[[#This Row],[Health Old]])</f>
        <v/>
      </c>
      <c r="AJ514" s="136" t="str">
        <f>IF(OR(tblPiNHistorical[[#This Row],[Nutrition Old]]="", tblPiNHistorical[[#This Row],[Nutrition Old]]=0, tblPiNHistorical[[#This Row],[Nutrition New]]="", tblPiNHistorical[[#This Row],[Nutrition New]]=0), "", tblPiNHistorical[[#This Row],[Nutrition New]]-tblPiNHistorical[[#This Row],[Nutrition Old]])</f>
        <v/>
      </c>
      <c r="AK514" s="136" t="str">
        <f>IF(OR(tblPiNHistorical[[#This Row],[Protection Old]]="", tblPiNHistorical[[#This Row],[Protection Old]]=0, tblPiNHistorical[[#This Row],[Protection New]]="", tblPiNHistorical[[#This Row],[Protection New]]=0), "", tblPiNHistorical[[#This Row],[Protection New]]-tblPiNHistorical[[#This Row],[Protection Old]])</f>
        <v/>
      </c>
      <c r="AL514" s="136" t="str">
        <f>IF(OR(tblPiNHistorical[[#This Row],[CP Old ]]="", tblPiNHistorical[[#This Row],[CP Old ]]=0, tblPiNHistorical[[#This Row],[CP New]]="", tblPiNHistorical[[#This Row],[CP New]]=0), "", tblPiNHistorical[[#This Row],[CP New]]-tblPiNHistorical[[#This Row],[CP Old ]])</f>
        <v/>
      </c>
      <c r="AM514" s="83" t="str">
        <f>IF(OR(tblPiNHistorical[[#This Row],[GBV Old]]="", tblPiNHistorical[[#This Row],[GBV Old]]=0, tblPiNHistorical[[#This Row],[GBV New]]="", tblPiNHistorical[[#This Row],[GBV New]]=0), "", tblPiNHistorical[[#This Row],[GBV New]]-tblPiNHistorical[[#This Row],[GBV Old]])</f>
        <v/>
      </c>
      <c r="AN514" s="83" t="str">
        <f>IF(OR(tblPiNHistorical[[#This Row],[Mine Action Old]]="", tblPiNHistorical[[#This Row],[Mine Action Old]]=0, tblPiNHistorical[[#This Row],[Mine Action New]]="", tblPiNHistorical[[#This Row],[Mine Action New]]=0), "", tblPiNHistorical[[#This Row],[Mine Action New]]-tblPiNHistorical[[#This Row],[Mine Action Old]])</f>
        <v/>
      </c>
      <c r="AO514" s="136">
        <f>IF(OR(tblPiNHistorical[[#This Row],[Shelter NFI Old]]="", tblPiNHistorical[[#This Row],[Shelter NFI Old]]=0, tblPiNHistorical[[#This Row],[Shelter NFI New]]="", tblPiNHistorical[[#This Row],[Shelter NFI New]]=0), "", tblPiNHistorical[[#This Row],[Shelter NFI New]]-tblPiNHistorical[[#This Row],[Shelter NFI Old]])</f>
        <v>64943</v>
      </c>
      <c r="AP514" s="138" t="str">
        <f>IF(OR(tblPiNHistorical[[#This Row],[WASH Old]]="", tblPiNHistorical[[#This Row],[WASH Old]]=0, tblPiNHistorical[[#This Row],[WASH New]]="", tblPiNHistorical[[#This Row],[WASH New]]=0), "", tblPiNHistorical[[#This Row],[WASH New]]-tblPiNHistorical[[#This Row],[WASH Old]])</f>
        <v/>
      </c>
      <c r="AQ514" s="139" t="str">
        <f>IFERROR(ROUND((tblPiNHistorical[[#This Row],[Site Management - New]] - tblPiNHistorical[[#This Row],[Site Management - Old]])/tblPiNHistorical[[#This Row],[Site Management - Old]], 1), "")</f>
        <v/>
      </c>
      <c r="AR514" s="140">
        <f>IFERROR(ROUND((tblPiNHistorical[[#This Row],[Education New]]-tblPiNHistorical[[#This Row],[Education Old]])/tblPiNHistorical[[#This Row],[Education Old]], 1), "")</f>
        <v>-1</v>
      </c>
      <c r="AS514" s="141">
        <f>IFERROR(ROUND((tblPiNHistorical[[#This Row],[Food Security and Livlihoods New]]-tblPiNHistorical[[#This Row],[Food Security and Livlihoods Old]])/tblPiNHistorical[[#This Row],[Food Security and Livlihoods Old]], 1), "")</f>
        <v>-1</v>
      </c>
      <c r="AT514" s="142">
        <f>IFERROR(ROUND((tblPiNHistorical[[#This Row],[Health New]]-tblPiNHistorical[[#This Row],[Health Old]])/tblPiNHistorical[[#This Row],[Health Old]], 1), "")</f>
        <v>-1</v>
      </c>
      <c r="AU514" s="140">
        <f>IFERROR(ROUND((tblPiNHistorical[[#This Row],[Nutrition New]]-tblPiNHistorical[[#This Row],[Nutrition Old]])/tblPiNHistorical[[#This Row],[Nutrition Old]], 1), "")</f>
        <v>-1</v>
      </c>
      <c r="AV514" s="140">
        <f>IFERROR(ROUND((tblPiNHistorical[[#This Row],[Protection New]]-tblPiNHistorical[[#This Row],[Protection Old]])/tblPiNHistorical[[#This Row],[Protection Old]], 1), "")</f>
        <v>-1</v>
      </c>
      <c r="AW514" s="84">
        <f>IFERROR(ROUND((tblPiNHistorical[[#This Row],[CP New]]-tblPiNHistorical[[#This Row],[CP Old ]])/tblPiNHistorical[[#This Row],[CP Old ]], 1), "")</f>
        <v>-1</v>
      </c>
      <c r="AX514" s="84">
        <f>IFERROR(ROUND((tblPiNHistorical[[#This Row],[GBV New]]-tblPiNHistorical[[#This Row],[GBV Old]])/tblPiNHistorical[[#This Row],[GBV Old]], 1), "")</f>
        <v>-1</v>
      </c>
      <c r="AY514" s="84">
        <f>IFERROR(ROUND((tblPiNHistorical[[#This Row],[Mine Action New]]-tblPiNHistorical[[#This Row],[Mine Action Old]])/tblPiNHistorical[[#This Row],[Mine Action Old]], 1), "")</f>
        <v>-1</v>
      </c>
      <c r="AZ514" s="140">
        <f>IFERROR(ROUND((tblPiNHistorical[[#This Row],[Shelter NFI New]]-tblPiNHistorical[[#This Row],[Shelter NFI Old]])/tblPiNHistorical[[#This Row],[Shelter NFI Old]], 1), "")</f>
        <v>1.7</v>
      </c>
      <c r="BA514" s="31">
        <f>IFERROR(ROUND((tblPiNHistorical[[#This Row],[WASH New]]-tblPiNHistorical[[#This Row],[WASH Old]])/tblPiNHistorical[[#This Row],[WASH Old]], 1), "")</f>
        <v>-1</v>
      </c>
    </row>
    <row r="515" spans="1:53" ht="38.25" x14ac:dyDescent="0.25">
      <c r="A515"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Host CommunitySD03159</v>
      </c>
      <c r="B515" s="134" t="s">
        <v>185</v>
      </c>
      <c r="C515" s="124" t="s">
        <v>120</v>
      </c>
      <c r="D515" s="124" t="s">
        <v>261</v>
      </c>
      <c r="E515" s="59" t="s">
        <v>260</v>
      </c>
      <c r="F515" s="54"/>
      <c r="G515" s="29"/>
      <c r="H515" s="53">
        <v>10917</v>
      </c>
      <c r="I515" s="53" t="s">
        <v>87</v>
      </c>
      <c r="J515" s="34">
        <v>0</v>
      </c>
      <c r="K515" s="116">
        <v>4232.5208999999995</v>
      </c>
      <c r="L515" s="114">
        <v>10917</v>
      </c>
      <c r="M515" s="114">
        <v>10917</v>
      </c>
      <c r="N515" s="114">
        <v>962</v>
      </c>
      <c r="O515" s="114">
        <v>3457</v>
      </c>
      <c r="P515" s="114">
        <v>1201</v>
      </c>
      <c r="Q515" s="114">
        <v>3457</v>
      </c>
      <c r="R515" s="114">
        <v>1091.7</v>
      </c>
      <c r="S515" s="114">
        <v>0</v>
      </c>
      <c r="T515" s="196">
        <v>10689.9264</v>
      </c>
      <c r="U515" s="52">
        <f>IFERROR(INDEX(tblPiNAnalysis[[Site Management ]], MATCH(tblPiNHistorical[[#This Row],[ID]], tblPiNAnalysis[ID], 0)), "")</f>
        <v>0</v>
      </c>
      <c r="V515" s="52">
        <f>IFERROR(INDEX(tblPiNAnalysis[Education], MATCH(tblPiNHistorical[[#This Row],[ID]], tblPiNAnalysis[ID], 0)), "")</f>
        <v>0</v>
      </c>
      <c r="W515" s="28">
        <f>IFERROR(INDEX(tblPiNAnalysis[Food Security and Livlihoods], MATCH(tblPiNHistorical[[#This Row],[ID]], tblPiNAnalysis[ID], 0)), "")</f>
        <v>0</v>
      </c>
      <c r="X515" s="28">
        <f>IFERROR(INDEX(tblPiNAnalysis[[Health ]], MATCH(tblPiNHistorical[[#This Row],[ID]], tblPiNAnalysis[ID], 0)), "")</f>
        <v>0</v>
      </c>
      <c r="Y515" s="28">
        <f>IFERROR(INDEX(tblPiNAnalysis[Nutrition], MATCH(tblPiNHistorical[[#This Row],[ID]], tblPiNAnalysis[ID], 0)), "")</f>
        <v>0</v>
      </c>
      <c r="Z515" s="28">
        <f>IFERROR(INDEX(tblPiNAnalysis[Protection], MATCH(tblPiNHistorical[[#This Row],[ID]], tblPiNAnalysis[ID], 0)), "")</f>
        <v>0</v>
      </c>
      <c r="AA515" s="28">
        <f>IFERROR(INDEX(tblPiNAnalysis[CP], MATCH(tblPiNHistorical[[#This Row],[ID]], tblPiNAnalysis[ID], 0)), "")</f>
        <v>0</v>
      </c>
      <c r="AB515" s="83">
        <f>IFERROR(INDEX(tblPiNAnalysis[GBV], MATCH(tblPiNHistorical[[#This Row],[ID]], tblPiNAnalysis[ID], 0)), "")</f>
        <v>0</v>
      </c>
      <c r="AC515" s="28">
        <f>IFERROR(INDEX(tblPiNAnalysis[Mine Action], MATCH(tblPiNHistorical[[#This Row],[ID]], tblPiNAnalysis[ID], 0)), "")</f>
        <v>0</v>
      </c>
      <c r="AD515" s="83">
        <f>IFERROR(INDEX(tblPiNAnalysis[[Shelter NFI ]], MATCH(tblPiNHistorical[[#This Row],[ID]], tblPiNAnalysis[ID], 0)), "")</f>
        <v>16791</v>
      </c>
      <c r="AE515" s="28">
        <f>IFERROR(INDEX(tblPiNAnalysis[WASH], MATCH(tblPiNHistorical[[#This Row],[ID]], tblPiNAnalysis[ID], 0)), "")</f>
        <v>0</v>
      </c>
      <c r="AF515"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515" s="136" t="str">
        <f>IF(OR(tblPiNHistorical[[#This Row],[Education Old]]="", tblPiNHistorical[[#This Row],[Education Old]]=0, tblPiNHistorical[[#This Row],[Education New]]="", tblPiNHistorical[[#This Row],[Education New]]=0), "", tblPiNHistorical[[#This Row],[Education New]]-tblPiNHistorical[[#This Row],[Education Old]])</f>
        <v/>
      </c>
      <c r="AH515"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515" s="137" t="str">
        <f>IF(OR(tblPiNHistorical[[#This Row],[Health Old]]="", tblPiNHistorical[[#This Row],[Health Old]]=0, tblPiNHistorical[[#This Row],[Health New]]="", tblPiNHistorical[[#This Row],[Health New]]=0), "", tblPiNHistorical[[#This Row],[Health New]]-tblPiNHistorical[[#This Row],[Health Old]])</f>
        <v/>
      </c>
      <c r="AJ515" s="136" t="str">
        <f>IF(OR(tblPiNHistorical[[#This Row],[Nutrition Old]]="", tblPiNHistorical[[#This Row],[Nutrition Old]]=0, tblPiNHistorical[[#This Row],[Nutrition New]]="", tblPiNHistorical[[#This Row],[Nutrition New]]=0), "", tblPiNHistorical[[#This Row],[Nutrition New]]-tblPiNHistorical[[#This Row],[Nutrition Old]])</f>
        <v/>
      </c>
      <c r="AK515" s="136" t="str">
        <f>IF(OR(tblPiNHistorical[[#This Row],[Protection Old]]="", tblPiNHistorical[[#This Row],[Protection Old]]=0, tblPiNHistorical[[#This Row],[Protection New]]="", tblPiNHistorical[[#This Row],[Protection New]]=0), "", tblPiNHistorical[[#This Row],[Protection New]]-tblPiNHistorical[[#This Row],[Protection Old]])</f>
        <v/>
      </c>
      <c r="AL515" s="136" t="str">
        <f>IF(OR(tblPiNHistorical[[#This Row],[CP Old ]]="", tblPiNHistorical[[#This Row],[CP Old ]]=0, tblPiNHistorical[[#This Row],[CP New]]="", tblPiNHistorical[[#This Row],[CP New]]=0), "", tblPiNHistorical[[#This Row],[CP New]]-tblPiNHistorical[[#This Row],[CP Old ]])</f>
        <v/>
      </c>
      <c r="AM515" s="83" t="str">
        <f>IF(OR(tblPiNHistorical[[#This Row],[GBV Old]]="", tblPiNHistorical[[#This Row],[GBV Old]]=0, tblPiNHistorical[[#This Row],[GBV New]]="", tblPiNHistorical[[#This Row],[GBV New]]=0), "", tblPiNHistorical[[#This Row],[GBV New]]-tblPiNHistorical[[#This Row],[GBV Old]])</f>
        <v/>
      </c>
      <c r="AN515" s="83" t="str">
        <f>IF(OR(tblPiNHistorical[[#This Row],[Mine Action Old]]="", tblPiNHistorical[[#This Row],[Mine Action Old]]=0, tblPiNHistorical[[#This Row],[Mine Action New]]="", tblPiNHistorical[[#This Row],[Mine Action New]]=0), "", tblPiNHistorical[[#This Row],[Mine Action New]]-tblPiNHistorical[[#This Row],[Mine Action Old]])</f>
        <v/>
      </c>
      <c r="AO515" s="136" t="str">
        <f>IF(OR(tblPiNHistorical[[#This Row],[Shelter NFI Old]]="", tblPiNHistorical[[#This Row],[Shelter NFI Old]]=0, tblPiNHistorical[[#This Row],[Shelter NFI New]]="", tblPiNHistorical[[#This Row],[Shelter NFI New]]=0), "", tblPiNHistorical[[#This Row],[Shelter NFI New]]-tblPiNHistorical[[#This Row],[Shelter NFI Old]])</f>
        <v/>
      </c>
      <c r="AP515" s="138" t="str">
        <f>IF(OR(tblPiNHistorical[[#This Row],[WASH Old]]="", tblPiNHistorical[[#This Row],[WASH Old]]=0, tblPiNHistorical[[#This Row],[WASH New]]="", tblPiNHistorical[[#This Row],[WASH New]]=0), "", tblPiNHistorical[[#This Row],[WASH New]]-tblPiNHistorical[[#This Row],[WASH Old]])</f>
        <v/>
      </c>
      <c r="AQ515" s="139" t="str">
        <f>IFERROR(ROUND((tblPiNHistorical[[#This Row],[Site Management - New]] - tblPiNHistorical[[#This Row],[Site Management - Old]])/tblPiNHistorical[[#This Row],[Site Management - Old]], 1), "")</f>
        <v/>
      </c>
      <c r="AR515" s="140">
        <f>IFERROR(ROUND((tblPiNHistorical[[#This Row],[Education New]]-tblPiNHistorical[[#This Row],[Education Old]])/tblPiNHistorical[[#This Row],[Education Old]], 1), "")</f>
        <v>-1</v>
      </c>
      <c r="AS515" s="141">
        <f>IFERROR(ROUND((tblPiNHistorical[[#This Row],[Food Security and Livlihoods New]]-tblPiNHistorical[[#This Row],[Food Security and Livlihoods Old]])/tblPiNHistorical[[#This Row],[Food Security and Livlihoods Old]], 1), "")</f>
        <v>-1</v>
      </c>
      <c r="AT515" s="142">
        <f>IFERROR(ROUND((tblPiNHistorical[[#This Row],[Health New]]-tblPiNHistorical[[#This Row],[Health Old]])/tblPiNHistorical[[#This Row],[Health Old]], 1), "")</f>
        <v>-1</v>
      </c>
      <c r="AU515" s="140">
        <f>IFERROR(ROUND((tblPiNHistorical[[#This Row],[Nutrition New]]-tblPiNHistorical[[#This Row],[Nutrition Old]])/tblPiNHistorical[[#This Row],[Nutrition Old]], 1), "")</f>
        <v>-1</v>
      </c>
      <c r="AV515" s="140">
        <f>IFERROR(ROUND((tblPiNHistorical[[#This Row],[Protection New]]-tblPiNHistorical[[#This Row],[Protection Old]])/tblPiNHistorical[[#This Row],[Protection Old]], 1), "")</f>
        <v>-1</v>
      </c>
      <c r="AW515" s="84">
        <f>IFERROR(ROUND((tblPiNHistorical[[#This Row],[CP New]]-tblPiNHistorical[[#This Row],[CP Old ]])/tblPiNHistorical[[#This Row],[CP Old ]], 1), "")</f>
        <v>-1</v>
      </c>
      <c r="AX515" s="84">
        <f>IFERROR(ROUND((tblPiNHistorical[[#This Row],[GBV New]]-tblPiNHistorical[[#This Row],[GBV Old]])/tblPiNHistorical[[#This Row],[GBV Old]], 1), "")</f>
        <v>-1</v>
      </c>
      <c r="AY515" s="84">
        <f>IFERROR(ROUND((tblPiNHistorical[[#This Row],[Mine Action New]]-tblPiNHistorical[[#This Row],[Mine Action Old]])/tblPiNHistorical[[#This Row],[Mine Action Old]], 1), "")</f>
        <v>-1</v>
      </c>
      <c r="AZ515" s="140" t="str">
        <f>IFERROR(ROUND((tblPiNHistorical[[#This Row],[Shelter NFI New]]-tblPiNHistorical[[#This Row],[Shelter NFI Old]])/tblPiNHistorical[[#This Row],[Shelter NFI Old]], 1), "")</f>
        <v/>
      </c>
      <c r="BA515" s="31">
        <f>IFERROR(ROUND((tblPiNHistorical[[#This Row],[WASH New]]-tblPiNHistorical[[#This Row],[WASH Old]])/tblPiNHistorical[[#This Row],[WASH Old]], 1), "")</f>
        <v>-1</v>
      </c>
    </row>
    <row r="516" spans="1:53" ht="38.25" x14ac:dyDescent="0.25">
      <c r="A516"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Host CommunitySD03157</v>
      </c>
      <c r="B516" s="134" t="s">
        <v>185</v>
      </c>
      <c r="C516" s="124" t="s">
        <v>120</v>
      </c>
      <c r="D516" s="124" t="s">
        <v>257</v>
      </c>
      <c r="E516" s="59" t="s">
        <v>256</v>
      </c>
      <c r="F516" s="54"/>
      <c r="G516" s="29"/>
      <c r="H516" s="53">
        <v>3732</v>
      </c>
      <c r="I516" s="53" t="s">
        <v>87</v>
      </c>
      <c r="J516" s="34">
        <v>0</v>
      </c>
      <c r="K516" s="116">
        <v>1446.8963999999999</v>
      </c>
      <c r="L516" s="114">
        <v>3732</v>
      </c>
      <c r="M516" s="114">
        <v>3732</v>
      </c>
      <c r="N516" s="114">
        <v>415</v>
      </c>
      <c r="O516" s="114">
        <v>1183</v>
      </c>
      <c r="P516" s="114">
        <v>411</v>
      </c>
      <c r="Q516" s="114">
        <v>1183</v>
      </c>
      <c r="R516" s="114">
        <v>373.20000000000005</v>
      </c>
      <c r="S516" s="114">
        <v>746</v>
      </c>
      <c r="T516" s="196">
        <v>2797.8804</v>
      </c>
      <c r="U516" s="52">
        <f>IFERROR(INDEX(tblPiNAnalysis[[Site Management ]], MATCH(tblPiNHistorical[[#This Row],[ID]], tblPiNAnalysis[ID], 0)), "")</f>
        <v>0</v>
      </c>
      <c r="V516" s="52">
        <f>IFERROR(INDEX(tblPiNAnalysis[Education], MATCH(tblPiNHistorical[[#This Row],[ID]], tblPiNAnalysis[ID], 0)), "")</f>
        <v>0</v>
      </c>
      <c r="W516" s="28">
        <f>IFERROR(INDEX(tblPiNAnalysis[Food Security and Livlihoods], MATCH(tblPiNHistorical[[#This Row],[ID]], tblPiNAnalysis[ID], 0)), "")</f>
        <v>0</v>
      </c>
      <c r="X516" s="28">
        <f>IFERROR(INDEX(tblPiNAnalysis[[Health ]], MATCH(tblPiNHistorical[[#This Row],[ID]], tblPiNAnalysis[ID], 0)), "")</f>
        <v>0</v>
      </c>
      <c r="Y516" s="28">
        <f>IFERROR(INDEX(tblPiNAnalysis[Nutrition], MATCH(tblPiNHistorical[[#This Row],[ID]], tblPiNAnalysis[ID], 0)), "")</f>
        <v>0</v>
      </c>
      <c r="Z516" s="28">
        <f>IFERROR(INDEX(tblPiNAnalysis[Protection], MATCH(tblPiNHistorical[[#This Row],[ID]], tblPiNAnalysis[ID], 0)), "")</f>
        <v>0</v>
      </c>
      <c r="AA516" s="28">
        <f>IFERROR(INDEX(tblPiNAnalysis[CP], MATCH(tblPiNHistorical[[#This Row],[ID]], tblPiNAnalysis[ID], 0)), "")</f>
        <v>0</v>
      </c>
      <c r="AB516" s="83">
        <f>IFERROR(INDEX(tblPiNAnalysis[GBV], MATCH(tblPiNHistorical[[#This Row],[ID]], tblPiNAnalysis[ID], 0)), "")</f>
        <v>0</v>
      </c>
      <c r="AC516" s="28">
        <f>IFERROR(INDEX(tblPiNAnalysis[Mine Action], MATCH(tblPiNHistorical[[#This Row],[ID]], tblPiNAnalysis[ID], 0)), "")</f>
        <v>0</v>
      </c>
      <c r="AD516" s="83">
        <f>IFERROR(INDEX(tblPiNAnalysis[[Shelter NFI ]], MATCH(tblPiNHistorical[[#This Row],[ID]], tblPiNAnalysis[ID], 0)), "")</f>
        <v>4553</v>
      </c>
      <c r="AE516" s="28">
        <f>IFERROR(INDEX(tblPiNAnalysis[WASH], MATCH(tblPiNHistorical[[#This Row],[ID]], tblPiNAnalysis[ID], 0)), "")</f>
        <v>0</v>
      </c>
      <c r="AF516"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516" s="136" t="str">
        <f>IF(OR(tblPiNHistorical[[#This Row],[Education Old]]="", tblPiNHistorical[[#This Row],[Education Old]]=0, tblPiNHistorical[[#This Row],[Education New]]="", tblPiNHistorical[[#This Row],[Education New]]=0), "", tblPiNHistorical[[#This Row],[Education New]]-tblPiNHistorical[[#This Row],[Education Old]])</f>
        <v/>
      </c>
      <c r="AH516"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516" s="137" t="str">
        <f>IF(OR(tblPiNHistorical[[#This Row],[Health Old]]="", tblPiNHistorical[[#This Row],[Health Old]]=0, tblPiNHistorical[[#This Row],[Health New]]="", tblPiNHistorical[[#This Row],[Health New]]=0), "", tblPiNHistorical[[#This Row],[Health New]]-tblPiNHistorical[[#This Row],[Health Old]])</f>
        <v/>
      </c>
      <c r="AJ516" s="136" t="str">
        <f>IF(OR(tblPiNHistorical[[#This Row],[Nutrition Old]]="", tblPiNHistorical[[#This Row],[Nutrition Old]]=0, tblPiNHistorical[[#This Row],[Nutrition New]]="", tblPiNHistorical[[#This Row],[Nutrition New]]=0), "", tblPiNHistorical[[#This Row],[Nutrition New]]-tblPiNHistorical[[#This Row],[Nutrition Old]])</f>
        <v/>
      </c>
      <c r="AK516" s="136" t="str">
        <f>IF(OR(tblPiNHistorical[[#This Row],[Protection Old]]="", tblPiNHistorical[[#This Row],[Protection Old]]=0, tblPiNHistorical[[#This Row],[Protection New]]="", tblPiNHistorical[[#This Row],[Protection New]]=0), "", tblPiNHistorical[[#This Row],[Protection New]]-tblPiNHistorical[[#This Row],[Protection Old]])</f>
        <v/>
      </c>
      <c r="AL516" s="136" t="str">
        <f>IF(OR(tblPiNHistorical[[#This Row],[CP Old ]]="", tblPiNHistorical[[#This Row],[CP Old ]]=0, tblPiNHistorical[[#This Row],[CP New]]="", tblPiNHistorical[[#This Row],[CP New]]=0), "", tblPiNHistorical[[#This Row],[CP New]]-tblPiNHistorical[[#This Row],[CP Old ]])</f>
        <v/>
      </c>
      <c r="AM516" s="83" t="str">
        <f>IF(OR(tblPiNHistorical[[#This Row],[GBV Old]]="", tblPiNHistorical[[#This Row],[GBV Old]]=0, tblPiNHistorical[[#This Row],[GBV New]]="", tblPiNHistorical[[#This Row],[GBV New]]=0), "", tblPiNHistorical[[#This Row],[GBV New]]-tblPiNHistorical[[#This Row],[GBV Old]])</f>
        <v/>
      </c>
      <c r="AN516" s="83" t="str">
        <f>IF(OR(tblPiNHistorical[[#This Row],[Mine Action Old]]="", tblPiNHistorical[[#This Row],[Mine Action Old]]=0, tblPiNHistorical[[#This Row],[Mine Action New]]="", tblPiNHistorical[[#This Row],[Mine Action New]]=0), "", tblPiNHistorical[[#This Row],[Mine Action New]]-tblPiNHistorical[[#This Row],[Mine Action Old]])</f>
        <v/>
      </c>
      <c r="AO516" s="136">
        <f>IF(OR(tblPiNHistorical[[#This Row],[Shelter NFI Old]]="", tblPiNHistorical[[#This Row],[Shelter NFI Old]]=0, tblPiNHistorical[[#This Row],[Shelter NFI New]]="", tblPiNHistorical[[#This Row],[Shelter NFI New]]=0), "", tblPiNHistorical[[#This Row],[Shelter NFI New]]-tblPiNHistorical[[#This Row],[Shelter NFI Old]])</f>
        <v>3807</v>
      </c>
      <c r="AP516" s="138" t="str">
        <f>IF(OR(tblPiNHistorical[[#This Row],[WASH Old]]="", tblPiNHistorical[[#This Row],[WASH Old]]=0, tblPiNHistorical[[#This Row],[WASH New]]="", tblPiNHistorical[[#This Row],[WASH New]]=0), "", tblPiNHistorical[[#This Row],[WASH New]]-tblPiNHistorical[[#This Row],[WASH Old]])</f>
        <v/>
      </c>
      <c r="AQ516" s="139" t="str">
        <f>IFERROR(ROUND((tblPiNHistorical[[#This Row],[Site Management - New]] - tblPiNHistorical[[#This Row],[Site Management - Old]])/tblPiNHistorical[[#This Row],[Site Management - Old]], 1), "")</f>
        <v/>
      </c>
      <c r="AR516" s="140">
        <f>IFERROR(ROUND((tblPiNHistorical[[#This Row],[Education New]]-tblPiNHistorical[[#This Row],[Education Old]])/tblPiNHistorical[[#This Row],[Education Old]], 1), "")</f>
        <v>-1</v>
      </c>
      <c r="AS516" s="141">
        <f>IFERROR(ROUND((tblPiNHistorical[[#This Row],[Food Security and Livlihoods New]]-tblPiNHistorical[[#This Row],[Food Security and Livlihoods Old]])/tblPiNHistorical[[#This Row],[Food Security and Livlihoods Old]], 1), "")</f>
        <v>-1</v>
      </c>
      <c r="AT516" s="142">
        <f>IFERROR(ROUND((tblPiNHistorical[[#This Row],[Health New]]-tblPiNHistorical[[#This Row],[Health Old]])/tblPiNHistorical[[#This Row],[Health Old]], 1), "")</f>
        <v>-1</v>
      </c>
      <c r="AU516" s="140">
        <f>IFERROR(ROUND((tblPiNHistorical[[#This Row],[Nutrition New]]-tblPiNHistorical[[#This Row],[Nutrition Old]])/tblPiNHistorical[[#This Row],[Nutrition Old]], 1), "")</f>
        <v>-1</v>
      </c>
      <c r="AV516" s="140">
        <f>IFERROR(ROUND((tblPiNHistorical[[#This Row],[Protection New]]-tblPiNHistorical[[#This Row],[Protection Old]])/tblPiNHistorical[[#This Row],[Protection Old]], 1), "")</f>
        <v>-1</v>
      </c>
      <c r="AW516" s="84">
        <f>IFERROR(ROUND((tblPiNHistorical[[#This Row],[CP New]]-tblPiNHistorical[[#This Row],[CP Old ]])/tblPiNHistorical[[#This Row],[CP Old ]], 1), "")</f>
        <v>-1</v>
      </c>
      <c r="AX516" s="84">
        <f>IFERROR(ROUND((tblPiNHistorical[[#This Row],[GBV New]]-tblPiNHistorical[[#This Row],[GBV Old]])/tblPiNHistorical[[#This Row],[GBV Old]], 1), "")</f>
        <v>-1</v>
      </c>
      <c r="AY516" s="84">
        <f>IFERROR(ROUND((tblPiNHistorical[[#This Row],[Mine Action New]]-tblPiNHistorical[[#This Row],[Mine Action Old]])/tblPiNHistorical[[#This Row],[Mine Action Old]], 1), "")</f>
        <v>-1</v>
      </c>
      <c r="AZ516" s="140">
        <f>IFERROR(ROUND((tblPiNHistorical[[#This Row],[Shelter NFI New]]-tblPiNHistorical[[#This Row],[Shelter NFI Old]])/tblPiNHistorical[[#This Row],[Shelter NFI Old]], 1), "")</f>
        <v>5.0999999999999996</v>
      </c>
      <c r="BA516" s="31">
        <f>IFERROR(ROUND((tblPiNHistorical[[#This Row],[WASH New]]-tblPiNHistorical[[#This Row],[WASH Old]])/tblPiNHistorical[[#This Row],[WASH Old]], 1), "")</f>
        <v>-1</v>
      </c>
    </row>
    <row r="517" spans="1:53" ht="38.25" x14ac:dyDescent="0.25">
      <c r="A517"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Host CommunitySD03145</v>
      </c>
      <c r="B517" s="134" t="s">
        <v>185</v>
      </c>
      <c r="C517" s="124" t="s">
        <v>120</v>
      </c>
      <c r="D517" s="124" t="s">
        <v>239</v>
      </c>
      <c r="E517" s="59" t="s">
        <v>238</v>
      </c>
      <c r="F517" s="54"/>
      <c r="G517" s="29"/>
      <c r="H517" s="53">
        <v>41178.25</v>
      </c>
      <c r="I517" s="53" t="s">
        <v>87</v>
      </c>
      <c r="J517" s="34">
        <v>0</v>
      </c>
      <c r="K517" s="116">
        <v>15964.807525</v>
      </c>
      <c r="L517" s="114">
        <v>41178</v>
      </c>
      <c r="M517" s="114">
        <v>41178</v>
      </c>
      <c r="N517" s="114">
        <v>4207</v>
      </c>
      <c r="O517" s="114">
        <v>13039</v>
      </c>
      <c r="P517" s="114">
        <v>4530</v>
      </c>
      <c r="Q517" s="114">
        <v>13039</v>
      </c>
      <c r="R517" s="114">
        <v>6176.7375000000002</v>
      </c>
      <c r="S517" s="114">
        <v>8236</v>
      </c>
      <c r="T517" s="196">
        <v>24859.309525000001</v>
      </c>
      <c r="U517" s="52">
        <f>IFERROR(INDEX(tblPiNAnalysis[[Site Management ]], MATCH(tblPiNHistorical[[#This Row],[ID]], tblPiNAnalysis[ID], 0)), "")</f>
        <v>0</v>
      </c>
      <c r="V517" s="52">
        <f>IFERROR(INDEX(tblPiNAnalysis[Education], MATCH(tblPiNHistorical[[#This Row],[ID]], tblPiNAnalysis[ID], 0)), "")</f>
        <v>0</v>
      </c>
      <c r="W517" s="28">
        <f>IFERROR(INDEX(tblPiNAnalysis[Food Security and Livlihoods], MATCH(tblPiNHistorical[[#This Row],[ID]], tblPiNAnalysis[ID], 0)), "")</f>
        <v>0</v>
      </c>
      <c r="X517" s="28">
        <f>IFERROR(INDEX(tblPiNAnalysis[[Health ]], MATCH(tblPiNHistorical[[#This Row],[ID]], tblPiNAnalysis[ID], 0)), "")</f>
        <v>0</v>
      </c>
      <c r="Y517" s="28">
        <f>IFERROR(INDEX(tblPiNAnalysis[Nutrition], MATCH(tblPiNHistorical[[#This Row],[ID]], tblPiNAnalysis[ID], 0)), "")</f>
        <v>0</v>
      </c>
      <c r="Z517" s="28">
        <f>IFERROR(INDEX(tblPiNAnalysis[Protection], MATCH(tblPiNHistorical[[#This Row],[ID]], tblPiNAnalysis[ID], 0)), "")</f>
        <v>0</v>
      </c>
      <c r="AA517" s="28">
        <f>IFERROR(INDEX(tblPiNAnalysis[CP], MATCH(tblPiNHistorical[[#This Row],[ID]], tblPiNAnalysis[ID], 0)), "")</f>
        <v>0</v>
      </c>
      <c r="AB517" s="83">
        <f>IFERROR(INDEX(tblPiNAnalysis[GBV], MATCH(tblPiNHistorical[[#This Row],[ID]], tblPiNAnalysis[ID], 0)), "")</f>
        <v>0</v>
      </c>
      <c r="AC517" s="28">
        <f>IFERROR(INDEX(tblPiNAnalysis[Mine Action], MATCH(tblPiNHistorical[[#This Row],[ID]], tblPiNAnalysis[ID], 0)), "")</f>
        <v>0</v>
      </c>
      <c r="AD517" s="83">
        <f>IFERROR(INDEX(tblPiNAnalysis[[Shelter NFI ]], MATCH(tblPiNHistorical[[#This Row],[ID]], tblPiNAnalysis[ID], 0)), "")</f>
        <v>279</v>
      </c>
      <c r="AE517" s="28">
        <f>IFERROR(INDEX(tblPiNAnalysis[WASH], MATCH(tblPiNHistorical[[#This Row],[ID]], tblPiNAnalysis[ID], 0)), "")</f>
        <v>0</v>
      </c>
      <c r="AF517"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517" s="136" t="str">
        <f>IF(OR(tblPiNHistorical[[#This Row],[Education Old]]="", tblPiNHistorical[[#This Row],[Education Old]]=0, tblPiNHistorical[[#This Row],[Education New]]="", tblPiNHistorical[[#This Row],[Education New]]=0), "", tblPiNHistorical[[#This Row],[Education New]]-tblPiNHistorical[[#This Row],[Education Old]])</f>
        <v/>
      </c>
      <c r="AH517"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517" s="137" t="str">
        <f>IF(OR(tblPiNHistorical[[#This Row],[Health Old]]="", tblPiNHistorical[[#This Row],[Health Old]]=0, tblPiNHistorical[[#This Row],[Health New]]="", tblPiNHistorical[[#This Row],[Health New]]=0), "", tblPiNHistorical[[#This Row],[Health New]]-tblPiNHistorical[[#This Row],[Health Old]])</f>
        <v/>
      </c>
      <c r="AJ517" s="136" t="str">
        <f>IF(OR(tblPiNHistorical[[#This Row],[Nutrition Old]]="", tblPiNHistorical[[#This Row],[Nutrition Old]]=0, tblPiNHistorical[[#This Row],[Nutrition New]]="", tblPiNHistorical[[#This Row],[Nutrition New]]=0), "", tblPiNHistorical[[#This Row],[Nutrition New]]-tblPiNHistorical[[#This Row],[Nutrition Old]])</f>
        <v/>
      </c>
      <c r="AK517" s="136" t="str">
        <f>IF(OR(tblPiNHistorical[[#This Row],[Protection Old]]="", tblPiNHistorical[[#This Row],[Protection Old]]=0, tblPiNHistorical[[#This Row],[Protection New]]="", tblPiNHistorical[[#This Row],[Protection New]]=0), "", tblPiNHistorical[[#This Row],[Protection New]]-tblPiNHistorical[[#This Row],[Protection Old]])</f>
        <v/>
      </c>
      <c r="AL517" s="136" t="str">
        <f>IF(OR(tblPiNHistorical[[#This Row],[CP Old ]]="", tblPiNHistorical[[#This Row],[CP Old ]]=0, tblPiNHistorical[[#This Row],[CP New]]="", tblPiNHistorical[[#This Row],[CP New]]=0), "", tblPiNHistorical[[#This Row],[CP New]]-tblPiNHistorical[[#This Row],[CP Old ]])</f>
        <v/>
      </c>
      <c r="AM517" s="83" t="str">
        <f>IF(OR(tblPiNHistorical[[#This Row],[GBV Old]]="", tblPiNHistorical[[#This Row],[GBV Old]]=0, tblPiNHistorical[[#This Row],[GBV New]]="", tblPiNHistorical[[#This Row],[GBV New]]=0), "", tblPiNHistorical[[#This Row],[GBV New]]-tblPiNHistorical[[#This Row],[GBV Old]])</f>
        <v/>
      </c>
      <c r="AN517" s="83" t="str">
        <f>IF(OR(tblPiNHistorical[[#This Row],[Mine Action Old]]="", tblPiNHistorical[[#This Row],[Mine Action Old]]=0, tblPiNHistorical[[#This Row],[Mine Action New]]="", tblPiNHistorical[[#This Row],[Mine Action New]]=0), "", tblPiNHistorical[[#This Row],[Mine Action New]]-tblPiNHistorical[[#This Row],[Mine Action Old]])</f>
        <v/>
      </c>
      <c r="AO517" s="136">
        <f>IF(OR(tblPiNHistorical[[#This Row],[Shelter NFI Old]]="", tblPiNHistorical[[#This Row],[Shelter NFI Old]]=0, tblPiNHistorical[[#This Row],[Shelter NFI New]]="", tblPiNHistorical[[#This Row],[Shelter NFI New]]=0), "", tblPiNHistorical[[#This Row],[Shelter NFI New]]-tblPiNHistorical[[#This Row],[Shelter NFI Old]])</f>
        <v>-7957</v>
      </c>
      <c r="AP517" s="138" t="str">
        <f>IF(OR(tblPiNHistorical[[#This Row],[WASH Old]]="", tblPiNHistorical[[#This Row],[WASH Old]]=0, tblPiNHistorical[[#This Row],[WASH New]]="", tblPiNHistorical[[#This Row],[WASH New]]=0), "", tblPiNHistorical[[#This Row],[WASH New]]-tblPiNHistorical[[#This Row],[WASH Old]])</f>
        <v/>
      </c>
      <c r="AQ517" s="139" t="str">
        <f>IFERROR(ROUND((tblPiNHistorical[[#This Row],[Site Management - New]] - tblPiNHistorical[[#This Row],[Site Management - Old]])/tblPiNHistorical[[#This Row],[Site Management - Old]], 1), "")</f>
        <v/>
      </c>
      <c r="AR517" s="140">
        <f>IFERROR(ROUND((tblPiNHistorical[[#This Row],[Education New]]-tblPiNHistorical[[#This Row],[Education Old]])/tblPiNHistorical[[#This Row],[Education Old]], 1), "")</f>
        <v>-1</v>
      </c>
      <c r="AS517" s="141">
        <f>IFERROR(ROUND((tblPiNHistorical[[#This Row],[Food Security and Livlihoods New]]-tblPiNHistorical[[#This Row],[Food Security and Livlihoods Old]])/tblPiNHistorical[[#This Row],[Food Security and Livlihoods Old]], 1), "")</f>
        <v>-1</v>
      </c>
      <c r="AT517" s="142">
        <f>IFERROR(ROUND((tblPiNHistorical[[#This Row],[Health New]]-tblPiNHistorical[[#This Row],[Health Old]])/tblPiNHistorical[[#This Row],[Health Old]], 1), "")</f>
        <v>-1</v>
      </c>
      <c r="AU517" s="140">
        <f>IFERROR(ROUND((tblPiNHistorical[[#This Row],[Nutrition New]]-tblPiNHistorical[[#This Row],[Nutrition Old]])/tblPiNHistorical[[#This Row],[Nutrition Old]], 1), "")</f>
        <v>-1</v>
      </c>
      <c r="AV517" s="140">
        <f>IFERROR(ROUND((tblPiNHistorical[[#This Row],[Protection New]]-tblPiNHistorical[[#This Row],[Protection Old]])/tblPiNHistorical[[#This Row],[Protection Old]], 1), "")</f>
        <v>-1</v>
      </c>
      <c r="AW517" s="84">
        <f>IFERROR(ROUND((tblPiNHistorical[[#This Row],[CP New]]-tblPiNHistorical[[#This Row],[CP Old ]])/tblPiNHistorical[[#This Row],[CP Old ]], 1), "")</f>
        <v>-1</v>
      </c>
      <c r="AX517" s="84">
        <f>IFERROR(ROUND((tblPiNHistorical[[#This Row],[GBV New]]-tblPiNHistorical[[#This Row],[GBV Old]])/tblPiNHistorical[[#This Row],[GBV Old]], 1), "")</f>
        <v>-1</v>
      </c>
      <c r="AY517" s="84">
        <f>IFERROR(ROUND((tblPiNHistorical[[#This Row],[Mine Action New]]-tblPiNHistorical[[#This Row],[Mine Action Old]])/tblPiNHistorical[[#This Row],[Mine Action Old]], 1), "")</f>
        <v>-1</v>
      </c>
      <c r="AZ517" s="140">
        <f>IFERROR(ROUND((tblPiNHistorical[[#This Row],[Shelter NFI New]]-tblPiNHistorical[[#This Row],[Shelter NFI Old]])/tblPiNHistorical[[#This Row],[Shelter NFI Old]], 1), "")</f>
        <v>-1</v>
      </c>
      <c r="BA517" s="31">
        <f>IFERROR(ROUND((tblPiNHistorical[[#This Row],[WASH New]]-tblPiNHistorical[[#This Row],[WASH Old]])/tblPiNHistorical[[#This Row],[WASH Old]], 1), "")</f>
        <v>-1</v>
      </c>
    </row>
    <row r="518" spans="1:53" ht="38.25" x14ac:dyDescent="0.25">
      <c r="A518"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Host CommunitySD03151</v>
      </c>
      <c r="B518" s="134" t="s">
        <v>185</v>
      </c>
      <c r="C518" s="124" t="s">
        <v>120</v>
      </c>
      <c r="D518" s="124" t="s">
        <v>249</v>
      </c>
      <c r="E518" s="59" t="s">
        <v>248</v>
      </c>
      <c r="F518" s="54"/>
      <c r="G518" s="29"/>
      <c r="H518" s="53">
        <v>22958.5</v>
      </c>
      <c r="I518" s="53" t="s">
        <v>87</v>
      </c>
      <c r="J518" s="34">
        <v>0</v>
      </c>
      <c r="K518" s="116">
        <v>8901.0104499999998</v>
      </c>
      <c r="L518" s="114">
        <v>19958.5</v>
      </c>
      <c r="M518" s="114">
        <v>22958.5</v>
      </c>
      <c r="N518" s="114">
        <v>2506</v>
      </c>
      <c r="O518" s="114">
        <v>7270</v>
      </c>
      <c r="P518" s="114">
        <v>2525</v>
      </c>
      <c r="Q518" s="114">
        <v>7270</v>
      </c>
      <c r="R518" s="114">
        <v>0</v>
      </c>
      <c r="S518" s="114">
        <v>0</v>
      </c>
      <c r="T518" s="196">
        <v>17278.5671</v>
      </c>
      <c r="U518" s="52">
        <f>IFERROR(INDEX(tblPiNAnalysis[[Site Management ]], MATCH(tblPiNHistorical[[#This Row],[ID]], tblPiNAnalysis[ID], 0)), "")</f>
        <v>0</v>
      </c>
      <c r="V518" s="52">
        <f>IFERROR(INDEX(tblPiNAnalysis[Education], MATCH(tblPiNHistorical[[#This Row],[ID]], tblPiNAnalysis[ID], 0)), "")</f>
        <v>0</v>
      </c>
      <c r="W518" s="28">
        <f>IFERROR(INDEX(tblPiNAnalysis[Food Security and Livlihoods], MATCH(tblPiNHistorical[[#This Row],[ID]], tblPiNAnalysis[ID], 0)), "")</f>
        <v>0</v>
      </c>
      <c r="X518" s="28">
        <f>IFERROR(INDEX(tblPiNAnalysis[[Health ]], MATCH(tblPiNHistorical[[#This Row],[ID]], tblPiNAnalysis[ID], 0)), "")</f>
        <v>0</v>
      </c>
      <c r="Y518" s="28">
        <f>IFERROR(INDEX(tblPiNAnalysis[Nutrition], MATCH(tblPiNHistorical[[#This Row],[ID]], tblPiNAnalysis[ID], 0)), "")</f>
        <v>0</v>
      </c>
      <c r="Z518" s="28">
        <f>IFERROR(INDEX(tblPiNAnalysis[Protection], MATCH(tblPiNHistorical[[#This Row],[ID]], tblPiNAnalysis[ID], 0)), "")</f>
        <v>0</v>
      </c>
      <c r="AA518" s="28">
        <f>IFERROR(INDEX(tblPiNAnalysis[CP], MATCH(tblPiNHistorical[[#This Row],[ID]], tblPiNAnalysis[ID], 0)), "")</f>
        <v>0</v>
      </c>
      <c r="AB518" s="83">
        <f>IFERROR(INDEX(tblPiNAnalysis[GBV], MATCH(tblPiNHistorical[[#This Row],[ID]], tblPiNAnalysis[ID], 0)), "")</f>
        <v>0</v>
      </c>
      <c r="AC518" s="28">
        <f>IFERROR(INDEX(tblPiNAnalysis[Mine Action], MATCH(tblPiNHistorical[[#This Row],[ID]], tblPiNAnalysis[ID], 0)), "")</f>
        <v>0</v>
      </c>
      <c r="AD518" s="83">
        <f>IFERROR(INDEX(tblPiNAnalysis[[Shelter NFI ]], MATCH(tblPiNHistorical[[#This Row],[ID]], tblPiNAnalysis[ID], 0)), "")</f>
        <v>155</v>
      </c>
      <c r="AE518" s="28">
        <f>IFERROR(INDEX(tblPiNAnalysis[WASH], MATCH(tblPiNHistorical[[#This Row],[ID]], tblPiNAnalysis[ID], 0)), "")</f>
        <v>0</v>
      </c>
      <c r="AF518"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518" s="136" t="str">
        <f>IF(OR(tblPiNHistorical[[#This Row],[Education Old]]="", tblPiNHistorical[[#This Row],[Education Old]]=0, tblPiNHistorical[[#This Row],[Education New]]="", tblPiNHistorical[[#This Row],[Education New]]=0), "", tblPiNHistorical[[#This Row],[Education New]]-tblPiNHistorical[[#This Row],[Education Old]])</f>
        <v/>
      </c>
      <c r="AH518"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518" s="137" t="str">
        <f>IF(OR(tblPiNHistorical[[#This Row],[Health Old]]="", tblPiNHistorical[[#This Row],[Health Old]]=0, tblPiNHistorical[[#This Row],[Health New]]="", tblPiNHistorical[[#This Row],[Health New]]=0), "", tblPiNHistorical[[#This Row],[Health New]]-tblPiNHistorical[[#This Row],[Health Old]])</f>
        <v/>
      </c>
      <c r="AJ518" s="136" t="str">
        <f>IF(OR(tblPiNHistorical[[#This Row],[Nutrition Old]]="", tblPiNHistorical[[#This Row],[Nutrition Old]]=0, tblPiNHistorical[[#This Row],[Nutrition New]]="", tblPiNHistorical[[#This Row],[Nutrition New]]=0), "", tblPiNHistorical[[#This Row],[Nutrition New]]-tblPiNHistorical[[#This Row],[Nutrition Old]])</f>
        <v/>
      </c>
      <c r="AK518" s="136" t="str">
        <f>IF(OR(tblPiNHistorical[[#This Row],[Protection Old]]="", tblPiNHistorical[[#This Row],[Protection Old]]=0, tblPiNHistorical[[#This Row],[Protection New]]="", tblPiNHistorical[[#This Row],[Protection New]]=0), "", tblPiNHistorical[[#This Row],[Protection New]]-tblPiNHistorical[[#This Row],[Protection Old]])</f>
        <v/>
      </c>
      <c r="AL518" s="136" t="str">
        <f>IF(OR(tblPiNHistorical[[#This Row],[CP Old ]]="", tblPiNHistorical[[#This Row],[CP Old ]]=0, tblPiNHistorical[[#This Row],[CP New]]="", tblPiNHistorical[[#This Row],[CP New]]=0), "", tblPiNHistorical[[#This Row],[CP New]]-tblPiNHistorical[[#This Row],[CP Old ]])</f>
        <v/>
      </c>
      <c r="AM518" s="83" t="str">
        <f>IF(OR(tblPiNHistorical[[#This Row],[GBV Old]]="", tblPiNHistorical[[#This Row],[GBV Old]]=0, tblPiNHistorical[[#This Row],[GBV New]]="", tblPiNHistorical[[#This Row],[GBV New]]=0), "", tblPiNHistorical[[#This Row],[GBV New]]-tblPiNHistorical[[#This Row],[GBV Old]])</f>
        <v/>
      </c>
      <c r="AN518" s="83" t="str">
        <f>IF(OR(tblPiNHistorical[[#This Row],[Mine Action Old]]="", tblPiNHistorical[[#This Row],[Mine Action Old]]=0, tblPiNHistorical[[#This Row],[Mine Action New]]="", tblPiNHistorical[[#This Row],[Mine Action New]]=0), "", tblPiNHistorical[[#This Row],[Mine Action New]]-tblPiNHistorical[[#This Row],[Mine Action Old]])</f>
        <v/>
      </c>
      <c r="AO518" s="136" t="str">
        <f>IF(OR(tblPiNHistorical[[#This Row],[Shelter NFI Old]]="", tblPiNHistorical[[#This Row],[Shelter NFI Old]]=0, tblPiNHistorical[[#This Row],[Shelter NFI New]]="", tblPiNHistorical[[#This Row],[Shelter NFI New]]=0), "", tblPiNHistorical[[#This Row],[Shelter NFI New]]-tblPiNHistorical[[#This Row],[Shelter NFI Old]])</f>
        <v/>
      </c>
      <c r="AP518" s="138" t="str">
        <f>IF(OR(tblPiNHistorical[[#This Row],[WASH Old]]="", tblPiNHistorical[[#This Row],[WASH Old]]=0, tblPiNHistorical[[#This Row],[WASH New]]="", tblPiNHistorical[[#This Row],[WASH New]]=0), "", tblPiNHistorical[[#This Row],[WASH New]]-tblPiNHistorical[[#This Row],[WASH Old]])</f>
        <v/>
      </c>
      <c r="AQ518" s="139" t="str">
        <f>IFERROR(ROUND((tblPiNHistorical[[#This Row],[Site Management - New]] - tblPiNHistorical[[#This Row],[Site Management - Old]])/tblPiNHistorical[[#This Row],[Site Management - Old]], 1), "")</f>
        <v/>
      </c>
      <c r="AR518" s="140">
        <f>IFERROR(ROUND((tblPiNHistorical[[#This Row],[Education New]]-tblPiNHistorical[[#This Row],[Education Old]])/tblPiNHistorical[[#This Row],[Education Old]], 1), "")</f>
        <v>-1</v>
      </c>
      <c r="AS518" s="141">
        <f>IFERROR(ROUND((tblPiNHistorical[[#This Row],[Food Security and Livlihoods New]]-tblPiNHistorical[[#This Row],[Food Security and Livlihoods Old]])/tblPiNHistorical[[#This Row],[Food Security and Livlihoods Old]], 1), "")</f>
        <v>-1</v>
      </c>
      <c r="AT518" s="142">
        <f>IFERROR(ROUND((tblPiNHistorical[[#This Row],[Health New]]-tblPiNHistorical[[#This Row],[Health Old]])/tblPiNHistorical[[#This Row],[Health Old]], 1), "")</f>
        <v>-1</v>
      </c>
      <c r="AU518" s="140">
        <f>IFERROR(ROUND((tblPiNHistorical[[#This Row],[Nutrition New]]-tblPiNHistorical[[#This Row],[Nutrition Old]])/tblPiNHistorical[[#This Row],[Nutrition Old]], 1), "")</f>
        <v>-1</v>
      </c>
      <c r="AV518" s="140">
        <f>IFERROR(ROUND((tblPiNHistorical[[#This Row],[Protection New]]-tblPiNHistorical[[#This Row],[Protection Old]])/tblPiNHistorical[[#This Row],[Protection Old]], 1), "")</f>
        <v>-1</v>
      </c>
      <c r="AW518" s="84">
        <f>IFERROR(ROUND((tblPiNHistorical[[#This Row],[CP New]]-tblPiNHistorical[[#This Row],[CP Old ]])/tblPiNHistorical[[#This Row],[CP Old ]], 1), "")</f>
        <v>-1</v>
      </c>
      <c r="AX518" s="84">
        <f>IFERROR(ROUND((tblPiNHistorical[[#This Row],[GBV New]]-tblPiNHistorical[[#This Row],[GBV Old]])/tblPiNHistorical[[#This Row],[GBV Old]], 1), "")</f>
        <v>-1</v>
      </c>
      <c r="AY518" s="84" t="str">
        <f>IFERROR(ROUND((tblPiNHistorical[[#This Row],[Mine Action New]]-tblPiNHistorical[[#This Row],[Mine Action Old]])/tblPiNHistorical[[#This Row],[Mine Action Old]], 1), "")</f>
        <v/>
      </c>
      <c r="AZ518" s="140" t="str">
        <f>IFERROR(ROUND((tblPiNHistorical[[#This Row],[Shelter NFI New]]-tblPiNHistorical[[#This Row],[Shelter NFI Old]])/tblPiNHistorical[[#This Row],[Shelter NFI Old]], 1), "")</f>
        <v/>
      </c>
      <c r="BA518" s="31">
        <f>IFERROR(ROUND((tblPiNHistorical[[#This Row],[WASH New]]-tblPiNHistorical[[#This Row],[WASH Old]])/tblPiNHistorical[[#This Row],[WASH Old]], 1), "")</f>
        <v>-1</v>
      </c>
    </row>
    <row r="519" spans="1:53" ht="38.25" x14ac:dyDescent="0.25">
      <c r="A519"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Host CommunitySD03167</v>
      </c>
      <c r="B519" s="134" t="s">
        <v>185</v>
      </c>
      <c r="C519" s="124" t="s">
        <v>120</v>
      </c>
      <c r="D519" s="124" t="s">
        <v>271</v>
      </c>
      <c r="E519" s="59" t="s">
        <v>270</v>
      </c>
      <c r="F519" s="54"/>
      <c r="G519" s="29"/>
      <c r="H519" s="53">
        <v>129389.1</v>
      </c>
      <c r="I519" s="53" t="s">
        <v>87</v>
      </c>
      <c r="J519" s="34">
        <v>0</v>
      </c>
      <c r="K519" s="116">
        <v>50164.154070000004</v>
      </c>
      <c r="L519" s="114">
        <v>129389</v>
      </c>
      <c r="M519" s="114">
        <v>129389</v>
      </c>
      <c r="N519" s="114">
        <v>19697</v>
      </c>
      <c r="O519" s="114">
        <v>51755.640000000007</v>
      </c>
      <c r="P519" s="114">
        <v>14233</v>
      </c>
      <c r="Q519" s="114">
        <v>44384</v>
      </c>
      <c r="R519" s="114">
        <v>51755.640000000007</v>
      </c>
      <c r="S519" s="114">
        <v>51756</v>
      </c>
      <c r="T519" s="196">
        <v>33615.28818000001</v>
      </c>
      <c r="U519" s="52">
        <f>IFERROR(INDEX(tblPiNAnalysis[[Site Management ]], MATCH(tblPiNHistorical[[#This Row],[ID]], tblPiNAnalysis[ID], 0)), "")</f>
        <v>0</v>
      </c>
      <c r="V519" s="52">
        <f>IFERROR(INDEX(tblPiNAnalysis[Education], MATCH(tblPiNHistorical[[#This Row],[ID]], tblPiNAnalysis[ID], 0)), "")</f>
        <v>0</v>
      </c>
      <c r="W519" s="28">
        <f>IFERROR(INDEX(tblPiNAnalysis[Food Security and Livlihoods], MATCH(tblPiNHistorical[[#This Row],[ID]], tblPiNAnalysis[ID], 0)), "")</f>
        <v>0</v>
      </c>
      <c r="X519" s="28">
        <f>IFERROR(INDEX(tblPiNAnalysis[[Health ]], MATCH(tblPiNHistorical[[#This Row],[ID]], tblPiNAnalysis[ID], 0)), "")</f>
        <v>0</v>
      </c>
      <c r="Y519" s="28">
        <f>IFERROR(INDEX(tblPiNAnalysis[Nutrition], MATCH(tblPiNHistorical[[#This Row],[ID]], tblPiNAnalysis[ID], 0)), "")</f>
        <v>0</v>
      </c>
      <c r="Z519" s="28">
        <f>IFERROR(INDEX(tblPiNAnalysis[Protection], MATCH(tblPiNHistorical[[#This Row],[ID]], tblPiNAnalysis[ID], 0)), "")</f>
        <v>0</v>
      </c>
      <c r="AA519" s="28">
        <f>IFERROR(INDEX(tblPiNAnalysis[CP], MATCH(tblPiNHistorical[[#This Row],[ID]], tblPiNAnalysis[ID], 0)), "")</f>
        <v>0</v>
      </c>
      <c r="AB519" s="83">
        <f>IFERROR(INDEX(tblPiNAnalysis[GBV], MATCH(tblPiNHistorical[[#This Row],[ID]], tblPiNAnalysis[ID], 0)), "")</f>
        <v>0</v>
      </c>
      <c r="AC519" s="28">
        <f>IFERROR(INDEX(tblPiNAnalysis[Mine Action], MATCH(tblPiNHistorical[[#This Row],[ID]], tblPiNAnalysis[ID], 0)), "")</f>
        <v>0</v>
      </c>
      <c r="AD519" s="83">
        <f>IFERROR(INDEX(tblPiNAnalysis[[Shelter NFI ]], MATCH(tblPiNHistorical[[#This Row],[ID]], tblPiNAnalysis[ID], 0)), "")</f>
        <v>0</v>
      </c>
      <c r="AE519" s="28">
        <f>IFERROR(INDEX(tblPiNAnalysis[WASH], MATCH(tblPiNHistorical[[#This Row],[ID]], tblPiNAnalysis[ID], 0)), "")</f>
        <v>0</v>
      </c>
      <c r="AF519"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519" s="136" t="str">
        <f>IF(OR(tblPiNHistorical[[#This Row],[Education Old]]="", tblPiNHistorical[[#This Row],[Education Old]]=0, tblPiNHistorical[[#This Row],[Education New]]="", tblPiNHistorical[[#This Row],[Education New]]=0), "", tblPiNHistorical[[#This Row],[Education New]]-tblPiNHistorical[[#This Row],[Education Old]])</f>
        <v/>
      </c>
      <c r="AH519"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519" s="137" t="str">
        <f>IF(OR(tblPiNHistorical[[#This Row],[Health Old]]="", tblPiNHistorical[[#This Row],[Health Old]]=0, tblPiNHistorical[[#This Row],[Health New]]="", tblPiNHistorical[[#This Row],[Health New]]=0), "", tblPiNHistorical[[#This Row],[Health New]]-tblPiNHistorical[[#This Row],[Health Old]])</f>
        <v/>
      </c>
      <c r="AJ519" s="136" t="str">
        <f>IF(OR(tblPiNHistorical[[#This Row],[Nutrition Old]]="", tblPiNHistorical[[#This Row],[Nutrition Old]]=0, tblPiNHistorical[[#This Row],[Nutrition New]]="", tblPiNHistorical[[#This Row],[Nutrition New]]=0), "", tblPiNHistorical[[#This Row],[Nutrition New]]-tblPiNHistorical[[#This Row],[Nutrition Old]])</f>
        <v/>
      </c>
      <c r="AK519" s="136" t="str">
        <f>IF(OR(tblPiNHistorical[[#This Row],[Protection Old]]="", tblPiNHistorical[[#This Row],[Protection Old]]=0, tblPiNHistorical[[#This Row],[Protection New]]="", tblPiNHistorical[[#This Row],[Protection New]]=0), "", tblPiNHistorical[[#This Row],[Protection New]]-tblPiNHistorical[[#This Row],[Protection Old]])</f>
        <v/>
      </c>
      <c r="AL519" s="136" t="str">
        <f>IF(OR(tblPiNHistorical[[#This Row],[CP Old ]]="", tblPiNHistorical[[#This Row],[CP Old ]]=0, tblPiNHistorical[[#This Row],[CP New]]="", tblPiNHistorical[[#This Row],[CP New]]=0), "", tblPiNHistorical[[#This Row],[CP New]]-tblPiNHistorical[[#This Row],[CP Old ]])</f>
        <v/>
      </c>
      <c r="AM519" s="83" t="str">
        <f>IF(OR(tblPiNHistorical[[#This Row],[GBV Old]]="", tblPiNHistorical[[#This Row],[GBV Old]]=0, tblPiNHistorical[[#This Row],[GBV New]]="", tblPiNHistorical[[#This Row],[GBV New]]=0), "", tblPiNHistorical[[#This Row],[GBV New]]-tblPiNHistorical[[#This Row],[GBV Old]])</f>
        <v/>
      </c>
      <c r="AN519" s="83" t="str">
        <f>IF(OR(tblPiNHistorical[[#This Row],[Mine Action Old]]="", tblPiNHistorical[[#This Row],[Mine Action Old]]=0, tblPiNHistorical[[#This Row],[Mine Action New]]="", tblPiNHistorical[[#This Row],[Mine Action New]]=0), "", tblPiNHistorical[[#This Row],[Mine Action New]]-tblPiNHistorical[[#This Row],[Mine Action Old]])</f>
        <v/>
      </c>
      <c r="AO519" s="136" t="str">
        <f>IF(OR(tblPiNHistorical[[#This Row],[Shelter NFI Old]]="", tblPiNHistorical[[#This Row],[Shelter NFI Old]]=0, tblPiNHistorical[[#This Row],[Shelter NFI New]]="", tblPiNHistorical[[#This Row],[Shelter NFI New]]=0), "", tblPiNHistorical[[#This Row],[Shelter NFI New]]-tblPiNHistorical[[#This Row],[Shelter NFI Old]])</f>
        <v/>
      </c>
      <c r="AP519" s="138" t="str">
        <f>IF(OR(tblPiNHistorical[[#This Row],[WASH Old]]="", tblPiNHistorical[[#This Row],[WASH Old]]=0, tblPiNHistorical[[#This Row],[WASH New]]="", tblPiNHistorical[[#This Row],[WASH New]]=0), "", tblPiNHistorical[[#This Row],[WASH New]]-tblPiNHistorical[[#This Row],[WASH Old]])</f>
        <v/>
      </c>
      <c r="AQ519" s="139" t="str">
        <f>IFERROR(ROUND((tblPiNHistorical[[#This Row],[Site Management - New]] - tblPiNHistorical[[#This Row],[Site Management - Old]])/tblPiNHistorical[[#This Row],[Site Management - Old]], 1), "")</f>
        <v/>
      </c>
      <c r="AR519" s="140">
        <f>IFERROR(ROUND((tblPiNHistorical[[#This Row],[Education New]]-tblPiNHistorical[[#This Row],[Education Old]])/tblPiNHistorical[[#This Row],[Education Old]], 1), "")</f>
        <v>-1</v>
      </c>
      <c r="AS519" s="141">
        <f>IFERROR(ROUND((tblPiNHistorical[[#This Row],[Food Security and Livlihoods New]]-tblPiNHistorical[[#This Row],[Food Security and Livlihoods Old]])/tblPiNHistorical[[#This Row],[Food Security and Livlihoods Old]], 1), "")</f>
        <v>-1</v>
      </c>
      <c r="AT519" s="142">
        <f>IFERROR(ROUND((tblPiNHistorical[[#This Row],[Health New]]-tblPiNHistorical[[#This Row],[Health Old]])/tblPiNHistorical[[#This Row],[Health Old]], 1), "")</f>
        <v>-1</v>
      </c>
      <c r="AU519" s="140">
        <f>IFERROR(ROUND((tblPiNHistorical[[#This Row],[Nutrition New]]-tblPiNHistorical[[#This Row],[Nutrition Old]])/tblPiNHistorical[[#This Row],[Nutrition Old]], 1), "")</f>
        <v>-1</v>
      </c>
      <c r="AV519" s="140">
        <f>IFERROR(ROUND((tblPiNHistorical[[#This Row],[Protection New]]-tblPiNHistorical[[#This Row],[Protection Old]])/tblPiNHistorical[[#This Row],[Protection Old]], 1), "")</f>
        <v>-1</v>
      </c>
      <c r="AW519" s="84">
        <f>IFERROR(ROUND((tblPiNHistorical[[#This Row],[CP New]]-tblPiNHistorical[[#This Row],[CP Old ]])/tblPiNHistorical[[#This Row],[CP Old ]], 1), "")</f>
        <v>-1</v>
      </c>
      <c r="AX519" s="84">
        <f>IFERROR(ROUND((tblPiNHistorical[[#This Row],[GBV New]]-tblPiNHistorical[[#This Row],[GBV Old]])/tblPiNHistorical[[#This Row],[GBV Old]], 1), "")</f>
        <v>-1</v>
      </c>
      <c r="AY519" s="84">
        <f>IFERROR(ROUND((tblPiNHistorical[[#This Row],[Mine Action New]]-tblPiNHistorical[[#This Row],[Mine Action Old]])/tblPiNHistorical[[#This Row],[Mine Action Old]], 1), "")</f>
        <v>-1</v>
      </c>
      <c r="AZ519" s="140">
        <f>IFERROR(ROUND((tblPiNHistorical[[#This Row],[Shelter NFI New]]-tblPiNHistorical[[#This Row],[Shelter NFI Old]])/tblPiNHistorical[[#This Row],[Shelter NFI Old]], 1), "")</f>
        <v>-1</v>
      </c>
      <c r="BA519" s="31">
        <f>IFERROR(ROUND((tblPiNHistorical[[#This Row],[WASH New]]-tblPiNHistorical[[#This Row],[WASH Old]])/tblPiNHistorical[[#This Row],[WASH Old]], 1), "")</f>
        <v>-1</v>
      </c>
    </row>
    <row r="520" spans="1:53" ht="38.25" x14ac:dyDescent="0.25">
      <c r="A520"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Host CommunitySD03164</v>
      </c>
      <c r="B520" s="134" t="s">
        <v>185</v>
      </c>
      <c r="C520" s="124" t="s">
        <v>120</v>
      </c>
      <c r="D520" s="124" t="s">
        <v>267</v>
      </c>
      <c r="E520" s="59" t="s">
        <v>266</v>
      </c>
      <c r="F520" s="54"/>
      <c r="G520" s="29"/>
      <c r="H520" s="53">
        <v>302166</v>
      </c>
      <c r="I520" s="53" t="s">
        <v>87</v>
      </c>
      <c r="J520" s="34">
        <v>0</v>
      </c>
      <c r="K520" s="116">
        <v>117149.7582</v>
      </c>
      <c r="L520" s="114">
        <v>302166</v>
      </c>
      <c r="M520" s="114">
        <v>302166</v>
      </c>
      <c r="N520" s="114">
        <v>43293</v>
      </c>
      <c r="O520" s="114">
        <v>103652</v>
      </c>
      <c r="P520" s="114">
        <v>33238</v>
      </c>
      <c r="Q520" s="114">
        <v>103652</v>
      </c>
      <c r="R520" s="114">
        <v>45324.9</v>
      </c>
      <c r="S520" s="114">
        <v>90650</v>
      </c>
      <c r="T520" s="196">
        <v>155041.37460000001</v>
      </c>
      <c r="U520" s="52">
        <f>IFERROR(INDEX(tblPiNAnalysis[[Site Management ]], MATCH(tblPiNHistorical[[#This Row],[ID]], tblPiNAnalysis[ID], 0)), "")</f>
        <v>0</v>
      </c>
      <c r="V520" s="52">
        <f>IFERROR(INDEX(tblPiNAnalysis[Education], MATCH(tblPiNHistorical[[#This Row],[ID]], tblPiNAnalysis[ID], 0)), "")</f>
        <v>0</v>
      </c>
      <c r="W520" s="28">
        <f>IFERROR(INDEX(tblPiNAnalysis[Food Security and Livlihoods], MATCH(tblPiNHistorical[[#This Row],[ID]], tblPiNAnalysis[ID], 0)), "")</f>
        <v>0</v>
      </c>
      <c r="X520" s="28">
        <f>IFERROR(INDEX(tblPiNAnalysis[[Health ]], MATCH(tblPiNHistorical[[#This Row],[ID]], tblPiNAnalysis[ID], 0)), "")</f>
        <v>0</v>
      </c>
      <c r="Y520" s="28">
        <f>IFERROR(INDEX(tblPiNAnalysis[Nutrition], MATCH(tblPiNHistorical[[#This Row],[ID]], tblPiNAnalysis[ID], 0)), "")</f>
        <v>0</v>
      </c>
      <c r="Z520" s="28">
        <f>IFERROR(INDEX(tblPiNAnalysis[Protection], MATCH(tblPiNHistorical[[#This Row],[ID]], tblPiNAnalysis[ID], 0)), "")</f>
        <v>0</v>
      </c>
      <c r="AA520" s="28">
        <f>IFERROR(INDEX(tblPiNAnalysis[CP], MATCH(tblPiNHistorical[[#This Row],[ID]], tblPiNAnalysis[ID], 0)), "")</f>
        <v>0</v>
      </c>
      <c r="AB520" s="83">
        <f>IFERROR(INDEX(tblPiNAnalysis[GBV], MATCH(tblPiNHistorical[[#This Row],[ID]], tblPiNAnalysis[ID], 0)), "")</f>
        <v>0</v>
      </c>
      <c r="AC520" s="28">
        <f>IFERROR(INDEX(tblPiNAnalysis[Mine Action], MATCH(tblPiNHistorical[[#This Row],[ID]], tblPiNAnalysis[ID], 0)), "")</f>
        <v>0</v>
      </c>
      <c r="AD520" s="83">
        <f>IFERROR(INDEX(tblPiNAnalysis[[Shelter NFI ]], MATCH(tblPiNHistorical[[#This Row],[ID]], tblPiNAnalysis[ID], 0)), "")</f>
        <v>121625</v>
      </c>
      <c r="AE520" s="28">
        <f>IFERROR(INDEX(tblPiNAnalysis[WASH], MATCH(tblPiNHistorical[[#This Row],[ID]], tblPiNAnalysis[ID], 0)), "")</f>
        <v>0</v>
      </c>
      <c r="AF520"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520" s="136" t="str">
        <f>IF(OR(tblPiNHistorical[[#This Row],[Education Old]]="", tblPiNHistorical[[#This Row],[Education Old]]=0, tblPiNHistorical[[#This Row],[Education New]]="", tblPiNHistorical[[#This Row],[Education New]]=0), "", tblPiNHistorical[[#This Row],[Education New]]-tblPiNHistorical[[#This Row],[Education Old]])</f>
        <v/>
      </c>
      <c r="AH520"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520" s="137" t="str">
        <f>IF(OR(tblPiNHistorical[[#This Row],[Health Old]]="", tblPiNHistorical[[#This Row],[Health Old]]=0, tblPiNHistorical[[#This Row],[Health New]]="", tblPiNHistorical[[#This Row],[Health New]]=0), "", tblPiNHistorical[[#This Row],[Health New]]-tblPiNHistorical[[#This Row],[Health Old]])</f>
        <v/>
      </c>
      <c r="AJ520" s="136" t="str">
        <f>IF(OR(tblPiNHistorical[[#This Row],[Nutrition Old]]="", tblPiNHistorical[[#This Row],[Nutrition Old]]=0, tblPiNHistorical[[#This Row],[Nutrition New]]="", tblPiNHistorical[[#This Row],[Nutrition New]]=0), "", tblPiNHistorical[[#This Row],[Nutrition New]]-tblPiNHistorical[[#This Row],[Nutrition Old]])</f>
        <v/>
      </c>
      <c r="AK520" s="136" t="str">
        <f>IF(OR(tblPiNHistorical[[#This Row],[Protection Old]]="", tblPiNHistorical[[#This Row],[Protection Old]]=0, tblPiNHistorical[[#This Row],[Protection New]]="", tblPiNHistorical[[#This Row],[Protection New]]=0), "", tblPiNHistorical[[#This Row],[Protection New]]-tblPiNHistorical[[#This Row],[Protection Old]])</f>
        <v/>
      </c>
      <c r="AL520" s="136" t="str">
        <f>IF(OR(tblPiNHistorical[[#This Row],[CP Old ]]="", tblPiNHistorical[[#This Row],[CP Old ]]=0, tblPiNHistorical[[#This Row],[CP New]]="", tblPiNHistorical[[#This Row],[CP New]]=0), "", tblPiNHistorical[[#This Row],[CP New]]-tblPiNHistorical[[#This Row],[CP Old ]])</f>
        <v/>
      </c>
      <c r="AM520" s="83" t="str">
        <f>IF(OR(tblPiNHistorical[[#This Row],[GBV Old]]="", tblPiNHistorical[[#This Row],[GBV Old]]=0, tblPiNHistorical[[#This Row],[GBV New]]="", tblPiNHistorical[[#This Row],[GBV New]]=0), "", tblPiNHistorical[[#This Row],[GBV New]]-tblPiNHistorical[[#This Row],[GBV Old]])</f>
        <v/>
      </c>
      <c r="AN520" s="83" t="str">
        <f>IF(OR(tblPiNHistorical[[#This Row],[Mine Action Old]]="", tblPiNHistorical[[#This Row],[Mine Action Old]]=0, tblPiNHistorical[[#This Row],[Mine Action New]]="", tblPiNHistorical[[#This Row],[Mine Action New]]=0), "", tblPiNHistorical[[#This Row],[Mine Action New]]-tblPiNHistorical[[#This Row],[Mine Action Old]])</f>
        <v/>
      </c>
      <c r="AO520" s="136">
        <f>IF(OR(tblPiNHistorical[[#This Row],[Shelter NFI Old]]="", tblPiNHistorical[[#This Row],[Shelter NFI Old]]=0, tblPiNHistorical[[#This Row],[Shelter NFI New]]="", tblPiNHistorical[[#This Row],[Shelter NFI New]]=0), "", tblPiNHistorical[[#This Row],[Shelter NFI New]]-tblPiNHistorical[[#This Row],[Shelter NFI Old]])</f>
        <v>30975</v>
      </c>
      <c r="AP520" s="138" t="str">
        <f>IF(OR(tblPiNHistorical[[#This Row],[WASH Old]]="", tblPiNHistorical[[#This Row],[WASH Old]]=0, tblPiNHistorical[[#This Row],[WASH New]]="", tblPiNHistorical[[#This Row],[WASH New]]=0), "", tblPiNHistorical[[#This Row],[WASH New]]-tblPiNHistorical[[#This Row],[WASH Old]])</f>
        <v/>
      </c>
      <c r="AQ520" s="139" t="str">
        <f>IFERROR(ROUND((tblPiNHistorical[[#This Row],[Site Management - New]] - tblPiNHistorical[[#This Row],[Site Management - Old]])/tblPiNHistorical[[#This Row],[Site Management - Old]], 1), "")</f>
        <v/>
      </c>
      <c r="AR520" s="140">
        <f>IFERROR(ROUND((tblPiNHistorical[[#This Row],[Education New]]-tblPiNHistorical[[#This Row],[Education Old]])/tblPiNHistorical[[#This Row],[Education Old]], 1), "")</f>
        <v>-1</v>
      </c>
      <c r="AS520" s="141">
        <f>IFERROR(ROUND((tblPiNHistorical[[#This Row],[Food Security and Livlihoods New]]-tblPiNHistorical[[#This Row],[Food Security and Livlihoods Old]])/tblPiNHistorical[[#This Row],[Food Security and Livlihoods Old]], 1), "")</f>
        <v>-1</v>
      </c>
      <c r="AT520" s="142">
        <f>IFERROR(ROUND((tblPiNHistorical[[#This Row],[Health New]]-tblPiNHistorical[[#This Row],[Health Old]])/tblPiNHistorical[[#This Row],[Health Old]], 1), "")</f>
        <v>-1</v>
      </c>
      <c r="AU520" s="140">
        <f>IFERROR(ROUND((tblPiNHistorical[[#This Row],[Nutrition New]]-tblPiNHistorical[[#This Row],[Nutrition Old]])/tblPiNHistorical[[#This Row],[Nutrition Old]], 1), "")</f>
        <v>-1</v>
      </c>
      <c r="AV520" s="140">
        <f>IFERROR(ROUND((tblPiNHistorical[[#This Row],[Protection New]]-tblPiNHistorical[[#This Row],[Protection Old]])/tblPiNHistorical[[#This Row],[Protection Old]], 1), "")</f>
        <v>-1</v>
      </c>
      <c r="AW520" s="84">
        <f>IFERROR(ROUND((tblPiNHistorical[[#This Row],[CP New]]-tblPiNHistorical[[#This Row],[CP Old ]])/tblPiNHistorical[[#This Row],[CP Old ]], 1), "")</f>
        <v>-1</v>
      </c>
      <c r="AX520" s="84">
        <f>IFERROR(ROUND((tblPiNHistorical[[#This Row],[GBV New]]-tblPiNHistorical[[#This Row],[GBV Old]])/tblPiNHistorical[[#This Row],[GBV Old]], 1), "")</f>
        <v>-1</v>
      </c>
      <c r="AY520" s="84">
        <f>IFERROR(ROUND((tblPiNHistorical[[#This Row],[Mine Action New]]-tblPiNHistorical[[#This Row],[Mine Action Old]])/tblPiNHistorical[[#This Row],[Mine Action Old]], 1), "")</f>
        <v>-1</v>
      </c>
      <c r="AZ520" s="140">
        <f>IFERROR(ROUND((tblPiNHistorical[[#This Row],[Shelter NFI New]]-tblPiNHistorical[[#This Row],[Shelter NFI Old]])/tblPiNHistorical[[#This Row],[Shelter NFI Old]], 1), "")</f>
        <v>0.3</v>
      </c>
      <c r="BA520" s="31">
        <f>IFERROR(ROUND((tblPiNHistorical[[#This Row],[WASH New]]-tblPiNHistorical[[#This Row],[WASH Old]])/tblPiNHistorical[[#This Row],[WASH Old]], 1), "")</f>
        <v>-1</v>
      </c>
    </row>
    <row r="521" spans="1:53" ht="38.25" x14ac:dyDescent="0.25">
      <c r="A521"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Host CommunitySD03158</v>
      </c>
      <c r="B521" s="134" t="s">
        <v>185</v>
      </c>
      <c r="C521" s="124" t="s">
        <v>120</v>
      </c>
      <c r="D521" s="124" t="s">
        <v>259</v>
      </c>
      <c r="E521" s="59" t="s">
        <v>258</v>
      </c>
      <c r="F521" s="54"/>
      <c r="G521" s="29"/>
      <c r="H521" s="53">
        <v>6950</v>
      </c>
      <c r="I521" s="53" t="s">
        <v>87</v>
      </c>
      <c r="J521" s="34">
        <v>0</v>
      </c>
      <c r="K521" s="116">
        <v>2694.5149999999999</v>
      </c>
      <c r="L521" s="114">
        <v>6950</v>
      </c>
      <c r="M521" s="114">
        <v>6950</v>
      </c>
      <c r="N521" s="114">
        <v>430</v>
      </c>
      <c r="O521" s="114">
        <v>2201</v>
      </c>
      <c r="P521" s="114">
        <v>765</v>
      </c>
      <c r="Q521" s="114">
        <v>2201</v>
      </c>
      <c r="R521" s="114">
        <v>0</v>
      </c>
      <c r="S521" s="114">
        <v>0</v>
      </c>
      <c r="T521" s="196">
        <v>5708.73</v>
      </c>
      <c r="U521" s="52">
        <f>IFERROR(INDEX(tblPiNAnalysis[[Site Management ]], MATCH(tblPiNHistorical[[#This Row],[ID]], tblPiNAnalysis[ID], 0)), "")</f>
        <v>0</v>
      </c>
      <c r="V521" s="52">
        <f>IFERROR(INDEX(tblPiNAnalysis[Education], MATCH(tblPiNHistorical[[#This Row],[ID]], tblPiNAnalysis[ID], 0)), "")</f>
        <v>0</v>
      </c>
      <c r="W521" s="28">
        <f>IFERROR(INDEX(tblPiNAnalysis[Food Security and Livlihoods], MATCH(tblPiNHistorical[[#This Row],[ID]], tblPiNAnalysis[ID], 0)), "")</f>
        <v>0</v>
      </c>
      <c r="X521" s="28">
        <f>IFERROR(INDEX(tblPiNAnalysis[[Health ]], MATCH(tblPiNHistorical[[#This Row],[ID]], tblPiNAnalysis[ID], 0)), "")</f>
        <v>0</v>
      </c>
      <c r="Y521" s="28">
        <f>IFERROR(INDEX(tblPiNAnalysis[Nutrition], MATCH(tblPiNHistorical[[#This Row],[ID]], tblPiNAnalysis[ID], 0)), "")</f>
        <v>0</v>
      </c>
      <c r="Z521" s="28">
        <f>IFERROR(INDEX(tblPiNAnalysis[Protection], MATCH(tblPiNHistorical[[#This Row],[ID]], tblPiNAnalysis[ID], 0)), "")</f>
        <v>0</v>
      </c>
      <c r="AA521" s="28">
        <f>IFERROR(INDEX(tblPiNAnalysis[CP], MATCH(tblPiNHistorical[[#This Row],[ID]], tblPiNAnalysis[ID], 0)), "")</f>
        <v>0</v>
      </c>
      <c r="AB521" s="83">
        <f>IFERROR(INDEX(tblPiNAnalysis[GBV], MATCH(tblPiNHistorical[[#This Row],[ID]], tblPiNAnalysis[ID], 0)), "")</f>
        <v>0</v>
      </c>
      <c r="AC521" s="28">
        <f>IFERROR(INDEX(tblPiNAnalysis[Mine Action], MATCH(tblPiNHistorical[[#This Row],[ID]], tblPiNAnalysis[ID], 0)), "")</f>
        <v>0</v>
      </c>
      <c r="AD521" s="83">
        <f>IFERROR(INDEX(tblPiNAnalysis[[Shelter NFI ]], MATCH(tblPiNHistorical[[#This Row],[ID]], tblPiNAnalysis[ID], 0)), "")</f>
        <v>18534</v>
      </c>
      <c r="AE521" s="28">
        <f>IFERROR(INDEX(tblPiNAnalysis[WASH], MATCH(tblPiNHistorical[[#This Row],[ID]], tblPiNAnalysis[ID], 0)), "")</f>
        <v>0</v>
      </c>
      <c r="AF521"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521" s="136" t="str">
        <f>IF(OR(tblPiNHistorical[[#This Row],[Education Old]]="", tblPiNHistorical[[#This Row],[Education Old]]=0, tblPiNHistorical[[#This Row],[Education New]]="", tblPiNHistorical[[#This Row],[Education New]]=0), "", tblPiNHistorical[[#This Row],[Education New]]-tblPiNHistorical[[#This Row],[Education Old]])</f>
        <v/>
      </c>
      <c r="AH521"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521" s="137" t="str">
        <f>IF(OR(tblPiNHistorical[[#This Row],[Health Old]]="", tblPiNHistorical[[#This Row],[Health Old]]=0, tblPiNHistorical[[#This Row],[Health New]]="", tblPiNHistorical[[#This Row],[Health New]]=0), "", tblPiNHistorical[[#This Row],[Health New]]-tblPiNHistorical[[#This Row],[Health Old]])</f>
        <v/>
      </c>
      <c r="AJ521" s="136" t="str">
        <f>IF(OR(tblPiNHistorical[[#This Row],[Nutrition Old]]="", tblPiNHistorical[[#This Row],[Nutrition Old]]=0, tblPiNHistorical[[#This Row],[Nutrition New]]="", tblPiNHistorical[[#This Row],[Nutrition New]]=0), "", tblPiNHistorical[[#This Row],[Nutrition New]]-tblPiNHistorical[[#This Row],[Nutrition Old]])</f>
        <v/>
      </c>
      <c r="AK521" s="136" t="str">
        <f>IF(OR(tblPiNHistorical[[#This Row],[Protection Old]]="", tblPiNHistorical[[#This Row],[Protection Old]]=0, tblPiNHistorical[[#This Row],[Protection New]]="", tblPiNHistorical[[#This Row],[Protection New]]=0), "", tblPiNHistorical[[#This Row],[Protection New]]-tblPiNHistorical[[#This Row],[Protection Old]])</f>
        <v/>
      </c>
      <c r="AL521" s="136" t="str">
        <f>IF(OR(tblPiNHistorical[[#This Row],[CP Old ]]="", tblPiNHistorical[[#This Row],[CP Old ]]=0, tblPiNHistorical[[#This Row],[CP New]]="", tblPiNHistorical[[#This Row],[CP New]]=0), "", tblPiNHistorical[[#This Row],[CP New]]-tblPiNHistorical[[#This Row],[CP Old ]])</f>
        <v/>
      </c>
      <c r="AM521" s="83" t="str">
        <f>IF(OR(tblPiNHistorical[[#This Row],[GBV Old]]="", tblPiNHistorical[[#This Row],[GBV Old]]=0, tblPiNHistorical[[#This Row],[GBV New]]="", tblPiNHistorical[[#This Row],[GBV New]]=0), "", tblPiNHistorical[[#This Row],[GBV New]]-tblPiNHistorical[[#This Row],[GBV Old]])</f>
        <v/>
      </c>
      <c r="AN521" s="83" t="str">
        <f>IF(OR(tblPiNHistorical[[#This Row],[Mine Action Old]]="", tblPiNHistorical[[#This Row],[Mine Action Old]]=0, tblPiNHistorical[[#This Row],[Mine Action New]]="", tblPiNHistorical[[#This Row],[Mine Action New]]=0), "", tblPiNHistorical[[#This Row],[Mine Action New]]-tblPiNHistorical[[#This Row],[Mine Action Old]])</f>
        <v/>
      </c>
      <c r="AO521" s="136" t="str">
        <f>IF(OR(tblPiNHistorical[[#This Row],[Shelter NFI Old]]="", tblPiNHistorical[[#This Row],[Shelter NFI Old]]=0, tblPiNHistorical[[#This Row],[Shelter NFI New]]="", tblPiNHistorical[[#This Row],[Shelter NFI New]]=0), "", tblPiNHistorical[[#This Row],[Shelter NFI New]]-tblPiNHistorical[[#This Row],[Shelter NFI Old]])</f>
        <v/>
      </c>
      <c r="AP521" s="138" t="str">
        <f>IF(OR(tblPiNHistorical[[#This Row],[WASH Old]]="", tblPiNHistorical[[#This Row],[WASH Old]]=0, tblPiNHistorical[[#This Row],[WASH New]]="", tblPiNHistorical[[#This Row],[WASH New]]=0), "", tblPiNHistorical[[#This Row],[WASH New]]-tblPiNHistorical[[#This Row],[WASH Old]])</f>
        <v/>
      </c>
      <c r="AQ521" s="139" t="str">
        <f>IFERROR(ROUND((tblPiNHistorical[[#This Row],[Site Management - New]] - tblPiNHistorical[[#This Row],[Site Management - Old]])/tblPiNHistorical[[#This Row],[Site Management - Old]], 1), "")</f>
        <v/>
      </c>
      <c r="AR521" s="140">
        <f>IFERROR(ROUND((tblPiNHistorical[[#This Row],[Education New]]-tblPiNHistorical[[#This Row],[Education Old]])/tblPiNHistorical[[#This Row],[Education Old]], 1), "")</f>
        <v>-1</v>
      </c>
      <c r="AS521" s="141">
        <f>IFERROR(ROUND((tblPiNHistorical[[#This Row],[Food Security and Livlihoods New]]-tblPiNHistorical[[#This Row],[Food Security and Livlihoods Old]])/tblPiNHistorical[[#This Row],[Food Security and Livlihoods Old]], 1), "")</f>
        <v>-1</v>
      </c>
      <c r="AT521" s="142">
        <f>IFERROR(ROUND((tblPiNHistorical[[#This Row],[Health New]]-tblPiNHistorical[[#This Row],[Health Old]])/tblPiNHistorical[[#This Row],[Health Old]], 1), "")</f>
        <v>-1</v>
      </c>
      <c r="AU521" s="140">
        <f>IFERROR(ROUND((tblPiNHistorical[[#This Row],[Nutrition New]]-tblPiNHistorical[[#This Row],[Nutrition Old]])/tblPiNHistorical[[#This Row],[Nutrition Old]], 1), "")</f>
        <v>-1</v>
      </c>
      <c r="AV521" s="140">
        <f>IFERROR(ROUND((tblPiNHistorical[[#This Row],[Protection New]]-tblPiNHistorical[[#This Row],[Protection Old]])/tblPiNHistorical[[#This Row],[Protection Old]], 1), "")</f>
        <v>-1</v>
      </c>
      <c r="AW521" s="84">
        <f>IFERROR(ROUND((tblPiNHistorical[[#This Row],[CP New]]-tblPiNHistorical[[#This Row],[CP Old ]])/tblPiNHistorical[[#This Row],[CP Old ]], 1), "")</f>
        <v>-1</v>
      </c>
      <c r="AX521" s="84">
        <f>IFERROR(ROUND((tblPiNHistorical[[#This Row],[GBV New]]-tblPiNHistorical[[#This Row],[GBV Old]])/tblPiNHistorical[[#This Row],[GBV Old]], 1), "")</f>
        <v>-1</v>
      </c>
      <c r="AY521" s="84" t="str">
        <f>IFERROR(ROUND((tblPiNHistorical[[#This Row],[Mine Action New]]-tblPiNHistorical[[#This Row],[Mine Action Old]])/tblPiNHistorical[[#This Row],[Mine Action Old]], 1), "")</f>
        <v/>
      </c>
      <c r="AZ521" s="140" t="str">
        <f>IFERROR(ROUND((tblPiNHistorical[[#This Row],[Shelter NFI New]]-tblPiNHistorical[[#This Row],[Shelter NFI Old]])/tblPiNHistorical[[#This Row],[Shelter NFI Old]], 1), "")</f>
        <v/>
      </c>
      <c r="BA521" s="31">
        <f>IFERROR(ROUND((tblPiNHistorical[[#This Row],[WASH New]]-tblPiNHistorical[[#This Row],[WASH Old]])/tblPiNHistorical[[#This Row],[WASH Old]], 1), "")</f>
        <v>-1</v>
      </c>
    </row>
    <row r="522" spans="1:53" ht="38.25" x14ac:dyDescent="0.25">
      <c r="A522"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Host CommunitySD03147</v>
      </c>
      <c r="B522" s="134" t="s">
        <v>185</v>
      </c>
      <c r="C522" s="124" t="s">
        <v>120</v>
      </c>
      <c r="D522" s="124" t="s">
        <v>243</v>
      </c>
      <c r="E522" s="59" t="s">
        <v>242</v>
      </c>
      <c r="F522" s="54"/>
      <c r="G522" s="29"/>
      <c r="H522" s="53">
        <v>3824</v>
      </c>
      <c r="I522" s="53" t="s">
        <v>87</v>
      </c>
      <c r="J522" s="34">
        <v>0</v>
      </c>
      <c r="K522" s="116">
        <v>1482.5647999999999</v>
      </c>
      <c r="L522" s="114">
        <v>3824</v>
      </c>
      <c r="M522" s="114">
        <v>3824</v>
      </c>
      <c r="N522" s="114">
        <v>808</v>
      </c>
      <c r="O522" s="114">
        <v>1210</v>
      </c>
      <c r="P522" s="114">
        <v>421</v>
      </c>
      <c r="Q522" s="114">
        <v>1210</v>
      </c>
      <c r="R522" s="114">
        <v>382.40000000000003</v>
      </c>
      <c r="S522" s="114">
        <v>765</v>
      </c>
      <c r="T522" s="196">
        <v>2294.4</v>
      </c>
      <c r="U522" s="52">
        <f>IFERROR(INDEX(tblPiNAnalysis[[Site Management ]], MATCH(tblPiNHistorical[[#This Row],[ID]], tblPiNAnalysis[ID], 0)), "")</f>
        <v>0</v>
      </c>
      <c r="V522" s="52">
        <f>IFERROR(INDEX(tblPiNAnalysis[Education], MATCH(tblPiNHistorical[[#This Row],[ID]], tblPiNAnalysis[ID], 0)), "")</f>
        <v>0</v>
      </c>
      <c r="W522" s="28">
        <f>IFERROR(INDEX(tblPiNAnalysis[Food Security and Livlihoods], MATCH(tblPiNHistorical[[#This Row],[ID]], tblPiNAnalysis[ID], 0)), "")</f>
        <v>0</v>
      </c>
      <c r="X522" s="28">
        <f>IFERROR(INDEX(tblPiNAnalysis[[Health ]], MATCH(tblPiNHistorical[[#This Row],[ID]], tblPiNAnalysis[ID], 0)), "")</f>
        <v>0</v>
      </c>
      <c r="Y522" s="28">
        <f>IFERROR(INDEX(tblPiNAnalysis[Nutrition], MATCH(tblPiNHistorical[[#This Row],[ID]], tblPiNAnalysis[ID], 0)), "")</f>
        <v>0</v>
      </c>
      <c r="Z522" s="28">
        <f>IFERROR(INDEX(tblPiNAnalysis[Protection], MATCH(tblPiNHistorical[[#This Row],[ID]], tblPiNAnalysis[ID], 0)), "")</f>
        <v>0</v>
      </c>
      <c r="AA522" s="28">
        <f>IFERROR(INDEX(tblPiNAnalysis[CP], MATCH(tblPiNHistorical[[#This Row],[ID]], tblPiNAnalysis[ID], 0)), "")</f>
        <v>0</v>
      </c>
      <c r="AB522" s="83">
        <f>IFERROR(INDEX(tblPiNAnalysis[GBV], MATCH(tblPiNHistorical[[#This Row],[ID]], tblPiNAnalysis[ID], 0)), "")</f>
        <v>0</v>
      </c>
      <c r="AC522" s="28">
        <f>IFERROR(INDEX(tblPiNAnalysis[Mine Action], MATCH(tblPiNHistorical[[#This Row],[ID]], tblPiNAnalysis[ID], 0)), "")</f>
        <v>0</v>
      </c>
      <c r="AD522" s="83">
        <f>IFERROR(INDEX(tblPiNAnalysis[[Shelter NFI ]], MATCH(tblPiNHistorical[[#This Row],[ID]], tblPiNAnalysis[ID], 0)), "")</f>
        <v>0</v>
      </c>
      <c r="AE522" s="28">
        <f>IFERROR(INDEX(tblPiNAnalysis[WASH], MATCH(tblPiNHistorical[[#This Row],[ID]], tblPiNAnalysis[ID], 0)), "")</f>
        <v>0</v>
      </c>
      <c r="AF522"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522" s="136" t="str">
        <f>IF(OR(tblPiNHistorical[[#This Row],[Education Old]]="", tblPiNHistorical[[#This Row],[Education Old]]=0, tblPiNHistorical[[#This Row],[Education New]]="", tblPiNHistorical[[#This Row],[Education New]]=0), "", tblPiNHistorical[[#This Row],[Education New]]-tblPiNHistorical[[#This Row],[Education Old]])</f>
        <v/>
      </c>
      <c r="AH522"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522" s="137" t="str">
        <f>IF(OR(tblPiNHistorical[[#This Row],[Health Old]]="", tblPiNHistorical[[#This Row],[Health Old]]=0, tblPiNHistorical[[#This Row],[Health New]]="", tblPiNHistorical[[#This Row],[Health New]]=0), "", tblPiNHistorical[[#This Row],[Health New]]-tblPiNHistorical[[#This Row],[Health Old]])</f>
        <v/>
      </c>
      <c r="AJ522" s="136" t="str">
        <f>IF(OR(tblPiNHistorical[[#This Row],[Nutrition Old]]="", tblPiNHistorical[[#This Row],[Nutrition Old]]=0, tblPiNHistorical[[#This Row],[Nutrition New]]="", tblPiNHistorical[[#This Row],[Nutrition New]]=0), "", tblPiNHistorical[[#This Row],[Nutrition New]]-tblPiNHistorical[[#This Row],[Nutrition Old]])</f>
        <v/>
      </c>
      <c r="AK522" s="136" t="str">
        <f>IF(OR(tblPiNHistorical[[#This Row],[Protection Old]]="", tblPiNHistorical[[#This Row],[Protection Old]]=0, tblPiNHistorical[[#This Row],[Protection New]]="", tblPiNHistorical[[#This Row],[Protection New]]=0), "", tblPiNHistorical[[#This Row],[Protection New]]-tblPiNHistorical[[#This Row],[Protection Old]])</f>
        <v/>
      </c>
      <c r="AL522" s="136" t="str">
        <f>IF(OR(tblPiNHistorical[[#This Row],[CP Old ]]="", tblPiNHistorical[[#This Row],[CP Old ]]=0, tblPiNHistorical[[#This Row],[CP New]]="", tblPiNHistorical[[#This Row],[CP New]]=0), "", tblPiNHistorical[[#This Row],[CP New]]-tblPiNHistorical[[#This Row],[CP Old ]])</f>
        <v/>
      </c>
      <c r="AM522" s="83" t="str">
        <f>IF(OR(tblPiNHistorical[[#This Row],[GBV Old]]="", tblPiNHistorical[[#This Row],[GBV Old]]=0, tblPiNHistorical[[#This Row],[GBV New]]="", tblPiNHistorical[[#This Row],[GBV New]]=0), "", tblPiNHistorical[[#This Row],[GBV New]]-tblPiNHistorical[[#This Row],[GBV Old]])</f>
        <v/>
      </c>
      <c r="AN522" s="83" t="str">
        <f>IF(OR(tblPiNHistorical[[#This Row],[Mine Action Old]]="", tblPiNHistorical[[#This Row],[Mine Action Old]]=0, tblPiNHistorical[[#This Row],[Mine Action New]]="", tblPiNHistorical[[#This Row],[Mine Action New]]=0), "", tblPiNHistorical[[#This Row],[Mine Action New]]-tblPiNHistorical[[#This Row],[Mine Action Old]])</f>
        <v/>
      </c>
      <c r="AO522" s="136" t="str">
        <f>IF(OR(tblPiNHistorical[[#This Row],[Shelter NFI Old]]="", tblPiNHistorical[[#This Row],[Shelter NFI Old]]=0, tblPiNHistorical[[#This Row],[Shelter NFI New]]="", tblPiNHistorical[[#This Row],[Shelter NFI New]]=0), "", tblPiNHistorical[[#This Row],[Shelter NFI New]]-tblPiNHistorical[[#This Row],[Shelter NFI Old]])</f>
        <v/>
      </c>
      <c r="AP522" s="138" t="str">
        <f>IF(OR(tblPiNHistorical[[#This Row],[WASH Old]]="", tblPiNHistorical[[#This Row],[WASH Old]]=0, tblPiNHistorical[[#This Row],[WASH New]]="", tblPiNHistorical[[#This Row],[WASH New]]=0), "", tblPiNHistorical[[#This Row],[WASH New]]-tblPiNHistorical[[#This Row],[WASH Old]])</f>
        <v/>
      </c>
      <c r="AQ522" s="139" t="str">
        <f>IFERROR(ROUND((tblPiNHistorical[[#This Row],[Site Management - New]] - tblPiNHistorical[[#This Row],[Site Management - Old]])/tblPiNHistorical[[#This Row],[Site Management - Old]], 1), "")</f>
        <v/>
      </c>
      <c r="AR522" s="140">
        <f>IFERROR(ROUND((tblPiNHistorical[[#This Row],[Education New]]-tblPiNHistorical[[#This Row],[Education Old]])/tblPiNHistorical[[#This Row],[Education Old]], 1), "")</f>
        <v>-1</v>
      </c>
      <c r="AS522" s="141">
        <f>IFERROR(ROUND((tblPiNHistorical[[#This Row],[Food Security and Livlihoods New]]-tblPiNHistorical[[#This Row],[Food Security and Livlihoods Old]])/tblPiNHistorical[[#This Row],[Food Security and Livlihoods Old]], 1), "")</f>
        <v>-1</v>
      </c>
      <c r="AT522" s="142">
        <f>IFERROR(ROUND((tblPiNHistorical[[#This Row],[Health New]]-tblPiNHistorical[[#This Row],[Health Old]])/tblPiNHistorical[[#This Row],[Health Old]], 1), "")</f>
        <v>-1</v>
      </c>
      <c r="AU522" s="140">
        <f>IFERROR(ROUND((tblPiNHistorical[[#This Row],[Nutrition New]]-tblPiNHistorical[[#This Row],[Nutrition Old]])/tblPiNHistorical[[#This Row],[Nutrition Old]], 1), "")</f>
        <v>-1</v>
      </c>
      <c r="AV522" s="140">
        <f>IFERROR(ROUND((tblPiNHistorical[[#This Row],[Protection New]]-tblPiNHistorical[[#This Row],[Protection Old]])/tblPiNHistorical[[#This Row],[Protection Old]], 1), "")</f>
        <v>-1</v>
      </c>
      <c r="AW522" s="84">
        <f>IFERROR(ROUND((tblPiNHistorical[[#This Row],[CP New]]-tblPiNHistorical[[#This Row],[CP Old ]])/tblPiNHistorical[[#This Row],[CP Old ]], 1), "")</f>
        <v>-1</v>
      </c>
      <c r="AX522" s="84">
        <f>IFERROR(ROUND((tblPiNHistorical[[#This Row],[GBV New]]-tblPiNHistorical[[#This Row],[GBV Old]])/tblPiNHistorical[[#This Row],[GBV Old]], 1), "")</f>
        <v>-1</v>
      </c>
      <c r="AY522" s="84">
        <f>IFERROR(ROUND((tblPiNHistorical[[#This Row],[Mine Action New]]-tblPiNHistorical[[#This Row],[Mine Action Old]])/tblPiNHistorical[[#This Row],[Mine Action Old]], 1), "")</f>
        <v>-1</v>
      </c>
      <c r="AZ522" s="140">
        <f>IFERROR(ROUND((tblPiNHistorical[[#This Row],[Shelter NFI New]]-tblPiNHistorical[[#This Row],[Shelter NFI Old]])/tblPiNHistorical[[#This Row],[Shelter NFI Old]], 1), "")</f>
        <v>-1</v>
      </c>
      <c r="BA522" s="31">
        <f>IFERROR(ROUND((tblPiNHistorical[[#This Row],[WASH New]]-tblPiNHistorical[[#This Row],[WASH Old]])/tblPiNHistorical[[#This Row],[WASH Old]], 1), "")</f>
        <v>-1</v>
      </c>
    </row>
    <row r="523" spans="1:53" ht="38.25" x14ac:dyDescent="0.25">
      <c r="A523"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Host CommunitySD03154</v>
      </c>
      <c r="B523" s="134" t="s">
        <v>185</v>
      </c>
      <c r="C523" s="124" t="s">
        <v>120</v>
      </c>
      <c r="D523" s="124" t="s">
        <v>253</v>
      </c>
      <c r="E523" s="59" t="s">
        <v>252</v>
      </c>
      <c r="F523" s="54"/>
      <c r="G523" s="29"/>
      <c r="H523" s="53">
        <v>0</v>
      </c>
      <c r="I523" s="53" t="s">
        <v>87</v>
      </c>
      <c r="J523" s="34">
        <v>0</v>
      </c>
      <c r="K523" s="116">
        <v>0</v>
      </c>
      <c r="L523" s="114">
        <v>0</v>
      </c>
      <c r="M523" s="114">
        <v>0</v>
      </c>
      <c r="N523" s="114">
        <v>0</v>
      </c>
      <c r="O523" s="114">
        <v>0</v>
      </c>
      <c r="P523" s="114">
        <v>0</v>
      </c>
      <c r="Q523" s="114">
        <v>0</v>
      </c>
      <c r="R523" s="114">
        <v>0</v>
      </c>
      <c r="S523" s="114">
        <v>0</v>
      </c>
      <c r="T523" s="196">
        <v>0</v>
      </c>
      <c r="U523" s="52">
        <f>IFERROR(INDEX(tblPiNAnalysis[[Site Management ]], MATCH(tblPiNHistorical[[#This Row],[ID]], tblPiNAnalysis[ID], 0)), "")</f>
        <v>0</v>
      </c>
      <c r="V523" s="52">
        <f>IFERROR(INDEX(tblPiNAnalysis[Education], MATCH(tblPiNHistorical[[#This Row],[ID]], tblPiNAnalysis[ID], 0)), "")</f>
        <v>0</v>
      </c>
      <c r="W523" s="28">
        <f>IFERROR(INDEX(tblPiNAnalysis[Food Security and Livlihoods], MATCH(tblPiNHistorical[[#This Row],[ID]], tblPiNAnalysis[ID], 0)), "")</f>
        <v>0</v>
      </c>
      <c r="X523" s="28">
        <f>IFERROR(INDEX(tblPiNAnalysis[[Health ]], MATCH(tblPiNHistorical[[#This Row],[ID]], tblPiNAnalysis[ID], 0)), "")</f>
        <v>0</v>
      </c>
      <c r="Y523" s="28">
        <f>IFERROR(INDEX(tblPiNAnalysis[Nutrition], MATCH(tblPiNHistorical[[#This Row],[ID]], tblPiNAnalysis[ID], 0)), "")</f>
        <v>0</v>
      </c>
      <c r="Z523" s="28">
        <f>IFERROR(INDEX(tblPiNAnalysis[Protection], MATCH(tblPiNHistorical[[#This Row],[ID]], tblPiNAnalysis[ID], 0)), "")</f>
        <v>0</v>
      </c>
      <c r="AA523" s="28">
        <f>IFERROR(INDEX(tblPiNAnalysis[CP], MATCH(tblPiNHistorical[[#This Row],[ID]], tblPiNAnalysis[ID], 0)), "")</f>
        <v>0</v>
      </c>
      <c r="AB523" s="83">
        <f>IFERROR(INDEX(tblPiNAnalysis[GBV], MATCH(tblPiNHistorical[[#This Row],[ID]], tblPiNAnalysis[ID], 0)), "")</f>
        <v>0</v>
      </c>
      <c r="AC523" s="28">
        <f>IFERROR(INDEX(tblPiNAnalysis[Mine Action], MATCH(tblPiNHistorical[[#This Row],[ID]], tblPiNAnalysis[ID], 0)), "")</f>
        <v>0</v>
      </c>
      <c r="AD523" s="83">
        <f>IFERROR(INDEX(tblPiNAnalysis[[Shelter NFI ]], MATCH(tblPiNHistorical[[#This Row],[ID]], tblPiNAnalysis[ID], 0)), "")</f>
        <v>0</v>
      </c>
      <c r="AE523" s="28">
        <f>IFERROR(INDEX(tblPiNAnalysis[WASH], MATCH(tblPiNHistorical[[#This Row],[ID]], tblPiNAnalysis[ID], 0)), "")</f>
        <v>0</v>
      </c>
      <c r="AF523"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523" s="136" t="str">
        <f>IF(OR(tblPiNHistorical[[#This Row],[Education Old]]="", tblPiNHistorical[[#This Row],[Education Old]]=0, tblPiNHistorical[[#This Row],[Education New]]="", tblPiNHistorical[[#This Row],[Education New]]=0), "", tblPiNHistorical[[#This Row],[Education New]]-tblPiNHistorical[[#This Row],[Education Old]])</f>
        <v/>
      </c>
      <c r="AH523"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523" s="137" t="str">
        <f>IF(OR(tblPiNHistorical[[#This Row],[Health Old]]="", tblPiNHistorical[[#This Row],[Health Old]]=0, tblPiNHistorical[[#This Row],[Health New]]="", tblPiNHistorical[[#This Row],[Health New]]=0), "", tblPiNHistorical[[#This Row],[Health New]]-tblPiNHistorical[[#This Row],[Health Old]])</f>
        <v/>
      </c>
      <c r="AJ523" s="136" t="str">
        <f>IF(OR(tblPiNHistorical[[#This Row],[Nutrition Old]]="", tblPiNHistorical[[#This Row],[Nutrition Old]]=0, tblPiNHistorical[[#This Row],[Nutrition New]]="", tblPiNHistorical[[#This Row],[Nutrition New]]=0), "", tblPiNHistorical[[#This Row],[Nutrition New]]-tblPiNHistorical[[#This Row],[Nutrition Old]])</f>
        <v/>
      </c>
      <c r="AK523" s="136" t="str">
        <f>IF(OR(tblPiNHistorical[[#This Row],[Protection Old]]="", tblPiNHistorical[[#This Row],[Protection Old]]=0, tblPiNHistorical[[#This Row],[Protection New]]="", tblPiNHistorical[[#This Row],[Protection New]]=0), "", tblPiNHistorical[[#This Row],[Protection New]]-tblPiNHistorical[[#This Row],[Protection Old]])</f>
        <v/>
      </c>
      <c r="AL523" s="136" t="str">
        <f>IF(OR(tblPiNHistorical[[#This Row],[CP Old ]]="", tblPiNHistorical[[#This Row],[CP Old ]]=0, tblPiNHistorical[[#This Row],[CP New]]="", tblPiNHistorical[[#This Row],[CP New]]=0), "", tblPiNHistorical[[#This Row],[CP New]]-tblPiNHistorical[[#This Row],[CP Old ]])</f>
        <v/>
      </c>
      <c r="AM523" s="83" t="str">
        <f>IF(OR(tblPiNHistorical[[#This Row],[GBV Old]]="", tblPiNHistorical[[#This Row],[GBV Old]]=0, tblPiNHistorical[[#This Row],[GBV New]]="", tblPiNHistorical[[#This Row],[GBV New]]=0), "", tblPiNHistorical[[#This Row],[GBV New]]-tblPiNHistorical[[#This Row],[GBV Old]])</f>
        <v/>
      </c>
      <c r="AN523" s="83" t="str">
        <f>IF(OR(tblPiNHistorical[[#This Row],[Mine Action Old]]="", tblPiNHistorical[[#This Row],[Mine Action Old]]=0, tblPiNHistorical[[#This Row],[Mine Action New]]="", tblPiNHistorical[[#This Row],[Mine Action New]]=0), "", tblPiNHistorical[[#This Row],[Mine Action New]]-tblPiNHistorical[[#This Row],[Mine Action Old]])</f>
        <v/>
      </c>
      <c r="AO523" s="136" t="str">
        <f>IF(OR(tblPiNHistorical[[#This Row],[Shelter NFI Old]]="", tblPiNHistorical[[#This Row],[Shelter NFI Old]]=0, tblPiNHistorical[[#This Row],[Shelter NFI New]]="", tblPiNHistorical[[#This Row],[Shelter NFI New]]=0), "", tblPiNHistorical[[#This Row],[Shelter NFI New]]-tblPiNHistorical[[#This Row],[Shelter NFI Old]])</f>
        <v/>
      </c>
      <c r="AP523" s="138" t="str">
        <f>IF(OR(tblPiNHistorical[[#This Row],[WASH Old]]="", tblPiNHistorical[[#This Row],[WASH Old]]=0, tblPiNHistorical[[#This Row],[WASH New]]="", tblPiNHistorical[[#This Row],[WASH New]]=0), "", tblPiNHistorical[[#This Row],[WASH New]]-tblPiNHistorical[[#This Row],[WASH Old]])</f>
        <v/>
      </c>
      <c r="AQ523" s="139" t="str">
        <f>IFERROR(ROUND((tblPiNHistorical[[#This Row],[Site Management - New]] - tblPiNHistorical[[#This Row],[Site Management - Old]])/tblPiNHistorical[[#This Row],[Site Management - Old]], 1), "")</f>
        <v/>
      </c>
      <c r="AR523" s="140" t="str">
        <f>IFERROR(ROUND((tblPiNHistorical[[#This Row],[Education New]]-tblPiNHistorical[[#This Row],[Education Old]])/tblPiNHistorical[[#This Row],[Education Old]], 1), "")</f>
        <v/>
      </c>
      <c r="AS523" s="141" t="str">
        <f>IFERROR(ROUND((tblPiNHistorical[[#This Row],[Food Security and Livlihoods New]]-tblPiNHistorical[[#This Row],[Food Security and Livlihoods Old]])/tblPiNHistorical[[#This Row],[Food Security and Livlihoods Old]], 1), "")</f>
        <v/>
      </c>
      <c r="AT523" s="142" t="str">
        <f>IFERROR(ROUND((tblPiNHistorical[[#This Row],[Health New]]-tblPiNHistorical[[#This Row],[Health Old]])/tblPiNHistorical[[#This Row],[Health Old]], 1), "")</f>
        <v/>
      </c>
      <c r="AU523" s="140" t="str">
        <f>IFERROR(ROUND((tblPiNHistorical[[#This Row],[Nutrition New]]-tblPiNHistorical[[#This Row],[Nutrition Old]])/tblPiNHistorical[[#This Row],[Nutrition Old]], 1), "")</f>
        <v/>
      </c>
      <c r="AV523" s="140" t="str">
        <f>IFERROR(ROUND((tblPiNHistorical[[#This Row],[Protection New]]-tblPiNHistorical[[#This Row],[Protection Old]])/tblPiNHistorical[[#This Row],[Protection Old]], 1), "")</f>
        <v/>
      </c>
      <c r="AW523" s="84" t="str">
        <f>IFERROR(ROUND((tblPiNHistorical[[#This Row],[CP New]]-tblPiNHistorical[[#This Row],[CP Old ]])/tblPiNHistorical[[#This Row],[CP Old ]], 1), "")</f>
        <v/>
      </c>
      <c r="AX523" s="84" t="str">
        <f>IFERROR(ROUND((tblPiNHistorical[[#This Row],[GBV New]]-tblPiNHistorical[[#This Row],[GBV Old]])/tblPiNHistorical[[#This Row],[GBV Old]], 1), "")</f>
        <v/>
      </c>
      <c r="AY523" s="84" t="str">
        <f>IFERROR(ROUND((tblPiNHistorical[[#This Row],[Mine Action New]]-tblPiNHistorical[[#This Row],[Mine Action Old]])/tblPiNHistorical[[#This Row],[Mine Action Old]], 1), "")</f>
        <v/>
      </c>
      <c r="AZ523" s="140" t="str">
        <f>IFERROR(ROUND((tblPiNHistorical[[#This Row],[Shelter NFI New]]-tblPiNHistorical[[#This Row],[Shelter NFI Old]])/tblPiNHistorical[[#This Row],[Shelter NFI Old]], 1), "")</f>
        <v/>
      </c>
      <c r="BA523" s="31" t="str">
        <f>IFERROR(ROUND((tblPiNHistorical[[#This Row],[WASH New]]-tblPiNHistorical[[#This Row],[WASH Old]])/tblPiNHistorical[[#This Row],[WASH Old]], 1), "")</f>
        <v/>
      </c>
    </row>
    <row r="524" spans="1:53" ht="38.25" x14ac:dyDescent="0.25">
      <c r="A524"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Host CommunitySD03149</v>
      </c>
      <c r="B524" s="134" t="s">
        <v>185</v>
      </c>
      <c r="C524" s="124" t="s">
        <v>120</v>
      </c>
      <c r="D524" s="124" t="s">
        <v>245</v>
      </c>
      <c r="E524" s="59" t="s">
        <v>244</v>
      </c>
      <c r="F524" s="54"/>
      <c r="G524" s="29"/>
      <c r="H524" s="53">
        <v>3757</v>
      </c>
      <c r="I524" s="53" t="s">
        <v>87</v>
      </c>
      <c r="J524" s="34">
        <v>0</v>
      </c>
      <c r="K524" s="116">
        <v>1456.5889</v>
      </c>
      <c r="L524" s="114">
        <v>3757</v>
      </c>
      <c r="M524" s="114">
        <v>3757</v>
      </c>
      <c r="N524" s="114">
        <v>336</v>
      </c>
      <c r="O524" s="114">
        <v>1189</v>
      </c>
      <c r="P524" s="114">
        <v>413</v>
      </c>
      <c r="Q524" s="114">
        <v>1189</v>
      </c>
      <c r="R524" s="114">
        <v>0</v>
      </c>
      <c r="S524" s="114">
        <v>751</v>
      </c>
      <c r="T524" s="196">
        <v>2014.1277</v>
      </c>
      <c r="U524" s="52">
        <f>IFERROR(INDEX(tblPiNAnalysis[[Site Management ]], MATCH(tblPiNHistorical[[#This Row],[ID]], tblPiNAnalysis[ID], 0)), "")</f>
        <v>0</v>
      </c>
      <c r="V524" s="52">
        <f>IFERROR(INDEX(tblPiNAnalysis[Education], MATCH(tblPiNHistorical[[#This Row],[ID]], tblPiNAnalysis[ID], 0)), "")</f>
        <v>0</v>
      </c>
      <c r="W524" s="28">
        <f>IFERROR(INDEX(tblPiNAnalysis[Food Security and Livlihoods], MATCH(tblPiNHistorical[[#This Row],[ID]], tblPiNAnalysis[ID], 0)), "")</f>
        <v>0</v>
      </c>
      <c r="X524" s="28">
        <f>IFERROR(INDEX(tblPiNAnalysis[[Health ]], MATCH(tblPiNHistorical[[#This Row],[ID]], tblPiNAnalysis[ID], 0)), "")</f>
        <v>0</v>
      </c>
      <c r="Y524" s="28">
        <f>IFERROR(INDEX(tblPiNAnalysis[Nutrition], MATCH(tblPiNHistorical[[#This Row],[ID]], tblPiNAnalysis[ID], 0)), "")</f>
        <v>0</v>
      </c>
      <c r="Z524" s="28">
        <f>IFERROR(INDEX(tblPiNAnalysis[Protection], MATCH(tblPiNHistorical[[#This Row],[ID]], tblPiNAnalysis[ID], 0)), "")</f>
        <v>0</v>
      </c>
      <c r="AA524" s="28">
        <f>IFERROR(INDEX(tblPiNAnalysis[CP], MATCH(tblPiNHistorical[[#This Row],[ID]], tblPiNAnalysis[ID], 0)), "")</f>
        <v>0</v>
      </c>
      <c r="AB524" s="83">
        <f>IFERROR(INDEX(tblPiNAnalysis[GBV], MATCH(tblPiNHistorical[[#This Row],[ID]], tblPiNAnalysis[ID], 0)), "")</f>
        <v>0</v>
      </c>
      <c r="AC524" s="28">
        <f>IFERROR(INDEX(tblPiNAnalysis[Mine Action], MATCH(tblPiNHistorical[[#This Row],[ID]], tblPiNAnalysis[ID], 0)), "")</f>
        <v>0</v>
      </c>
      <c r="AD524" s="83">
        <f>IFERROR(INDEX(tblPiNAnalysis[[Shelter NFI ]], MATCH(tblPiNHistorical[[#This Row],[ID]], tblPiNAnalysis[ID], 0)), "")</f>
        <v>4415</v>
      </c>
      <c r="AE524" s="28">
        <f>IFERROR(INDEX(tblPiNAnalysis[WASH], MATCH(tblPiNHistorical[[#This Row],[ID]], tblPiNAnalysis[ID], 0)), "")</f>
        <v>0</v>
      </c>
      <c r="AF524"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524" s="136" t="str">
        <f>IF(OR(tblPiNHistorical[[#This Row],[Education Old]]="", tblPiNHistorical[[#This Row],[Education Old]]=0, tblPiNHistorical[[#This Row],[Education New]]="", tblPiNHistorical[[#This Row],[Education New]]=0), "", tblPiNHistorical[[#This Row],[Education New]]-tblPiNHistorical[[#This Row],[Education Old]])</f>
        <v/>
      </c>
      <c r="AH524"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524" s="137" t="str">
        <f>IF(OR(tblPiNHistorical[[#This Row],[Health Old]]="", tblPiNHistorical[[#This Row],[Health Old]]=0, tblPiNHistorical[[#This Row],[Health New]]="", tblPiNHistorical[[#This Row],[Health New]]=0), "", tblPiNHistorical[[#This Row],[Health New]]-tblPiNHistorical[[#This Row],[Health Old]])</f>
        <v/>
      </c>
      <c r="AJ524" s="136" t="str">
        <f>IF(OR(tblPiNHistorical[[#This Row],[Nutrition Old]]="", tblPiNHistorical[[#This Row],[Nutrition Old]]=0, tblPiNHistorical[[#This Row],[Nutrition New]]="", tblPiNHistorical[[#This Row],[Nutrition New]]=0), "", tblPiNHistorical[[#This Row],[Nutrition New]]-tblPiNHistorical[[#This Row],[Nutrition Old]])</f>
        <v/>
      </c>
      <c r="AK524" s="136" t="str">
        <f>IF(OR(tblPiNHistorical[[#This Row],[Protection Old]]="", tblPiNHistorical[[#This Row],[Protection Old]]=0, tblPiNHistorical[[#This Row],[Protection New]]="", tblPiNHistorical[[#This Row],[Protection New]]=0), "", tblPiNHistorical[[#This Row],[Protection New]]-tblPiNHistorical[[#This Row],[Protection Old]])</f>
        <v/>
      </c>
      <c r="AL524" s="136" t="str">
        <f>IF(OR(tblPiNHistorical[[#This Row],[CP Old ]]="", tblPiNHistorical[[#This Row],[CP Old ]]=0, tblPiNHistorical[[#This Row],[CP New]]="", tblPiNHistorical[[#This Row],[CP New]]=0), "", tblPiNHistorical[[#This Row],[CP New]]-tblPiNHistorical[[#This Row],[CP Old ]])</f>
        <v/>
      </c>
      <c r="AM524" s="83" t="str">
        <f>IF(OR(tblPiNHistorical[[#This Row],[GBV Old]]="", tblPiNHistorical[[#This Row],[GBV Old]]=0, tblPiNHistorical[[#This Row],[GBV New]]="", tblPiNHistorical[[#This Row],[GBV New]]=0), "", tblPiNHistorical[[#This Row],[GBV New]]-tblPiNHistorical[[#This Row],[GBV Old]])</f>
        <v/>
      </c>
      <c r="AN524" s="83" t="str">
        <f>IF(OR(tblPiNHistorical[[#This Row],[Mine Action Old]]="", tblPiNHistorical[[#This Row],[Mine Action Old]]=0, tblPiNHistorical[[#This Row],[Mine Action New]]="", tblPiNHistorical[[#This Row],[Mine Action New]]=0), "", tblPiNHistorical[[#This Row],[Mine Action New]]-tblPiNHistorical[[#This Row],[Mine Action Old]])</f>
        <v/>
      </c>
      <c r="AO524" s="136">
        <f>IF(OR(tblPiNHistorical[[#This Row],[Shelter NFI Old]]="", tblPiNHistorical[[#This Row],[Shelter NFI Old]]=0, tblPiNHistorical[[#This Row],[Shelter NFI New]]="", tblPiNHistorical[[#This Row],[Shelter NFI New]]=0), "", tblPiNHistorical[[#This Row],[Shelter NFI New]]-tblPiNHistorical[[#This Row],[Shelter NFI Old]])</f>
        <v>3664</v>
      </c>
      <c r="AP524" s="138" t="str">
        <f>IF(OR(tblPiNHistorical[[#This Row],[WASH Old]]="", tblPiNHistorical[[#This Row],[WASH Old]]=0, tblPiNHistorical[[#This Row],[WASH New]]="", tblPiNHistorical[[#This Row],[WASH New]]=0), "", tblPiNHistorical[[#This Row],[WASH New]]-tblPiNHistorical[[#This Row],[WASH Old]])</f>
        <v/>
      </c>
      <c r="AQ524" s="139" t="str">
        <f>IFERROR(ROUND((tblPiNHistorical[[#This Row],[Site Management - New]] - tblPiNHistorical[[#This Row],[Site Management - Old]])/tblPiNHistorical[[#This Row],[Site Management - Old]], 1), "")</f>
        <v/>
      </c>
      <c r="AR524" s="140">
        <f>IFERROR(ROUND((tblPiNHistorical[[#This Row],[Education New]]-tblPiNHistorical[[#This Row],[Education Old]])/tblPiNHistorical[[#This Row],[Education Old]], 1), "")</f>
        <v>-1</v>
      </c>
      <c r="AS524" s="141">
        <f>IFERROR(ROUND((tblPiNHistorical[[#This Row],[Food Security and Livlihoods New]]-tblPiNHistorical[[#This Row],[Food Security and Livlihoods Old]])/tblPiNHistorical[[#This Row],[Food Security and Livlihoods Old]], 1), "")</f>
        <v>-1</v>
      </c>
      <c r="AT524" s="142">
        <f>IFERROR(ROUND((tblPiNHistorical[[#This Row],[Health New]]-tblPiNHistorical[[#This Row],[Health Old]])/tblPiNHistorical[[#This Row],[Health Old]], 1), "")</f>
        <v>-1</v>
      </c>
      <c r="AU524" s="140">
        <f>IFERROR(ROUND((tblPiNHistorical[[#This Row],[Nutrition New]]-tblPiNHistorical[[#This Row],[Nutrition Old]])/tblPiNHistorical[[#This Row],[Nutrition Old]], 1), "")</f>
        <v>-1</v>
      </c>
      <c r="AV524" s="140">
        <f>IFERROR(ROUND((tblPiNHistorical[[#This Row],[Protection New]]-tblPiNHistorical[[#This Row],[Protection Old]])/tblPiNHistorical[[#This Row],[Protection Old]], 1), "")</f>
        <v>-1</v>
      </c>
      <c r="AW524" s="84">
        <f>IFERROR(ROUND((tblPiNHistorical[[#This Row],[CP New]]-tblPiNHistorical[[#This Row],[CP Old ]])/tblPiNHistorical[[#This Row],[CP Old ]], 1), "")</f>
        <v>-1</v>
      </c>
      <c r="AX524" s="84">
        <f>IFERROR(ROUND((tblPiNHistorical[[#This Row],[GBV New]]-tblPiNHistorical[[#This Row],[GBV Old]])/tblPiNHistorical[[#This Row],[GBV Old]], 1), "")</f>
        <v>-1</v>
      </c>
      <c r="AY524" s="84" t="str">
        <f>IFERROR(ROUND((tblPiNHistorical[[#This Row],[Mine Action New]]-tblPiNHistorical[[#This Row],[Mine Action Old]])/tblPiNHistorical[[#This Row],[Mine Action Old]], 1), "")</f>
        <v/>
      </c>
      <c r="AZ524" s="140">
        <f>IFERROR(ROUND((tblPiNHistorical[[#This Row],[Shelter NFI New]]-tblPiNHistorical[[#This Row],[Shelter NFI Old]])/tblPiNHistorical[[#This Row],[Shelter NFI Old]], 1), "")</f>
        <v>4.9000000000000004</v>
      </c>
      <c r="BA524" s="31">
        <f>IFERROR(ROUND((tblPiNHistorical[[#This Row],[WASH New]]-tblPiNHistorical[[#This Row],[WASH Old]])/tblPiNHistorical[[#This Row],[WASH Old]], 1), "")</f>
        <v>-1</v>
      </c>
    </row>
    <row r="525" spans="1:53" ht="38.25" x14ac:dyDescent="0.25">
      <c r="A525"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Host CommunitySD03146</v>
      </c>
      <c r="B525" s="134" t="s">
        <v>185</v>
      </c>
      <c r="C525" s="124" t="s">
        <v>120</v>
      </c>
      <c r="D525" s="124" t="s">
        <v>241</v>
      </c>
      <c r="E525" s="59" t="s">
        <v>240</v>
      </c>
      <c r="F525" s="54"/>
      <c r="G525" s="29"/>
      <c r="H525" s="53">
        <v>5017</v>
      </c>
      <c r="I525" s="53" t="s">
        <v>87</v>
      </c>
      <c r="J525" s="34">
        <v>0</v>
      </c>
      <c r="K525" s="116">
        <v>1945.0908999999999</v>
      </c>
      <c r="L525" s="114">
        <v>5017</v>
      </c>
      <c r="M525" s="114">
        <v>5017</v>
      </c>
      <c r="N525" s="114">
        <v>258</v>
      </c>
      <c r="O525" s="114">
        <v>1588</v>
      </c>
      <c r="P525" s="114">
        <v>552</v>
      </c>
      <c r="Q525" s="114">
        <v>1588</v>
      </c>
      <c r="R525" s="114">
        <v>501.70000000000005</v>
      </c>
      <c r="S525" s="114">
        <v>1003</v>
      </c>
      <c r="T525" s="196">
        <v>4980.3758999999991</v>
      </c>
      <c r="U525" s="52">
        <f>IFERROR(INDEX(tblPiNAnalysis[[Site Management ]], MATCH(tblPiNHistorical[[#This Row],[ID]], tblPiNAnalysis[ID], 0)), "")</f>
        <v>0</v>
      </c>
      <c r="V525" s="52">
        <f>IFERROR(INDEX(tblPiNAnalysis[Education], MATCH(tblPiNHistorical[[#This Row],[ID]], tblPiNAnalysis[ID], 0)), "")</f>
        <v>0</v>
      </c>
      <c r="W525" s="28">
        <f>IFERROR(INDEX(tblPiNAnalysis[Food Security and Livlihoods], MATCH(tblPiNHistorical[[#This Row],[ID]], tblPiNAnalysis[ID], 0)), "")</f>
        <v>0</v>
      </c>
      <c r="X525" s="28">
        <f>IFERROR(INDEX(tblPiNAnalysis[[Health ]], MATCH(tblPiNHistorical[[#This Row],[ID]], tblPiNAnalysis[ID], 0)), "")</f>
        <v>0</v>
      </c>
      <c r="Y525" s="28">
        <f>IFERROR(INDEX(tblPiNAnalysis[Nutrition], MATCH(tblPiNHistorical[[#This Row],[ID]], tblPiNAnalysis[ID], 0)), "")</f>
        <v>0</v>
      </c>
      <c r="Z525" s="28">
        <f>IFERROR(INDEX(tblPiNAnalysis[Protection], MATCH(tblPiNHistorical[[#This Row],[ID]], tblPiNAnalysis[ID], 0)), "")</f>
        <v>0</v>
      </c>
      <c r="AA525" s="28">
        <f>IFERROR(INDEX(tblPiNAnalysis[CP], MATCH(tblPiNHistorical[[#This Row],[ID]], tblPiNAnalysis[ID], 0)), "")</f>
        <v>0</v>
      </c>
      <c r="AB525" s="83">
        <f>IFERROR(INDEX(tblPiNAnalysis[GBV], MATCH(tblPiNHistorical[[#This Row],[ID]], tblPiNAnalysis[ID], 0)), "")</f>
        <v>0</v>
      </c>
      <c r="AC525" s="28">
        <f>IFERROR(INDEX(tblPiNAnalysis[Mine Action], MATCH(tblPiNHistorical[[#This Row],[ID]], tblPiNAnalysis[ID], 0)), "")</f>
        <v>0</v>
      </c>
      <c r="AD525" s="83">
        <f>IFERROR(INDEX(tblPiNAnalysis[[Shelter NFI ]], MATCH(tblPiNHistorical[[#This Row],[ID]], tblPiNAnalysis[ID], 0)), "")</f>
        <v>5289</v>
      </c>
      <c r="AE525" s="28">
        <f>IFERROR(INDEX(tblPiNAnalysis[WASH], MATCH(tblPiNHistorical[[#This Row],[ID]], tblPiNAnalysis[ID], 0)), "")</f>
        <v>0</v>
      </c>
      <c r="AF525"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525" s="136" t="str">
        <f>IF(OR(tblPiNHistorical[[#This Row],[Education Old]]="", tblPiNHistorical[[#This Row],[Education Old]]=0, tblPiNHistorical[[#This Row],[Education New]]="", tblPiNHistorical[[#This Row],[Education New]]=0), "", tblPiNHistorical[[#This Row],[Education New]]-tblPiNHistorical[[#This Row],[Education Old]])</f>
        <v/>
      </c>
      <c r="AH525"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525" s="137" t="str">
        <f>IF(OR(tblPiNHistorical[[#This Row],[Health Old]]="", tblPiNHistorical[[#This Row],[Health Old]]=0, tblPiNHistorical[[#This Row],[Health New]]="", tblPiNHistorical[[#This Row],[Health New]]=0), "", tblPiNHistorical[[#This Row],[Health New]]-tblPiNHistorical[[#This Row],[Health Old]])</f>
        <v/>
      </c>
      <c r="AJ525" s="136" t="str">
        <f>IF(OR(tblPiNHistorical[[#This Row],[Nutrition Old]]="", tblPiNHistorical[[#This Row],[Nutrition Old]]=0, tblPiNHistorical[[#This Row],[Nutrition New]]="", tblPiNHistorical[[#This Row],[Nutrition New]]=0), "", tblPiNHistorical[[#This Row],[Nutrition New]]-tblPiNHistorical[[#This Row],[Nutrition Old]])</f>
        <v/>
      </c>
      <c r="AK525" s="136" t="str">
        <f>IF(OR(tblPiNHistorical[[#This Row],[Protection Old]]="", tblPiNHistorical[[#This Row],[Protection Old]]=0, tblPiNHistorical[[#This Row],[Protection New]]="", tblPiNHistorical[[#This Row],[Protection New]]=0), "", tblPiNHistorical[[#This Row],[Protection New]]-tblPiNHistorical[[#This Row],[Protection Old]])</f>
        <v/>
      </c>
      <c r="AL525" s="136" t="str">
        <f>IF(OR(tblPiNHistorical[[#This Row],[CP Old ]]="", tblPiNHistorical[[#This Row],[CP Old ]]=0, tblPiNHistorical[[#This Row],[CP New]]="", tblPiNHistorical[[#This Row],[CP New]]=0), "", tblPiNHistorical[[#This Row],[CP New]]-tblPiNHistorical[[#This Row],[CP Old ]])</f>
        <v/>
      </c>
      <c r="AM525" s="83" t="str">
        <f>IF(OR(tblPiNHistorical[[#This Row],[GBV Old]]="", tblPiNHistorical[[#This Row],[GBV Old]]=0, tblPiNHistorical[[#This Row],[GBV New]]="", tblPiNHistorical[[#This Row],[GBV New]]=0), "", tblPiNHistorical[[#This Row],[GBV New]]-tblPiNHistorical[[#This Row],[GBV Old]])</f>
        <v/>
      </c>
      <c r="AN525" s="83" t="str">
        <f>IF(OR(tblPiNHistorical[[#This Row],[Mine Action Old]]="", tblPiNHistorical[[#This Row],[Mine Action Old]]=0, tblPiNHistorical[[#This Row],[Mine Action New]]="", tblPiNHistorical[[#This Row],[Mine Action New]]=0), "", tblPiNHistorical[[#This Row],[Mine Action New]]-tblPiNHistorical[[#This Row],[Mine Action Old]])</f>
        <v/>
      </c>
      <c r="AO525" s="136">
        <f>IF(OR(tblPiNHistorical[[#This Row],[Shelter NFI Old]]="", tblPiNHistorical[[#This Row],[Shelter NFI Old]]=0, tblPiNHistorical[[#This Row],[Shelter NFI New]]="", tblPiNHistorical[[#This Row],[Shelter NFI New]]=0), "", tblPiNHistorical[[#This Row],[Shelter NFI New]]-tblPiNHistorical[[#This Row],[Shelter NFI Old]])</f>
        <v>4286</v>
      </c>
      <c r="AP525" s="138" t="str">
        <f>IF(OR(tblPiNHistorical[[#This Row],[WASH Old]]="", tblPiNHistorical[[#This Row],[WASH Old]]=0, tblPiNHistorical[[#This Row],[WASH New]]="", tblPiNHistorical[[#This Row],[WASH New]]=0), "", tblPiNHistorical[[#This Row],[WASH New]]-tblPiNHistorical[[#This Row],[WASH Old]])</f>
        <v/>
      </c>
      <c r="AQ525" s="139" t="str">
        <f>IFERROR(ROUND((tblPiNHistorical[[#This Row],[Site Management - New]] - tblPiNHistorical[[#This Row],[Site Management - Old]])/tblPiNHistorical[[#This Row],[Site Management - Old]], 1), "")</f>
        <v/>
      </c>
      <c r="AR525" s="140">
        <f>IFERROR(ROUND((tblPiNHistorical[[#This Row],[Education New]]-tblPiNHistorical[[#This Row],[Education Old]])/tblPiNHistorical[[#This Row],[Education Old]], 1), "")</f>
        <v>-1</v>
      </c>
      <c r="AS525" s="141">
        <f>IFERROR(ROUND((tblPiNHistorical[[#This Row],[Food Security and Livlihoods New]]-tblPiNHistorical[[#This Row],[Food Security and Livlihoods Old]])/tblPiNHistorical[[#This Row],[Food Security and Livlihoods Old]], 1), "")</f>
        <v>-1</v>
      </c>
      <c r="AT525" s="142">
        <f>IFERROR(ROUND((tblPiNHistorical[[#This Row],[Health New]]-tblPiNHistorical[[#This Row],[Health Old]])/tblPiNHistorical[[#This Row],[Health Old]], 1), "")</f>
        <v>-1</v>
      </c>
      <c r="AU525" s="140">
        <f>IFERROR(ROUND((tblPiNHistorical[[#This Row],[Nutrition New]]-tblPiNHistorical[[#This Row],[Nutrition Old]])/tblPiNHistorical[[#This Row],[Nutrition Old]], 1), "")</f>
        <v>-1</v>
      </c>
      <c r="AV525" s="140">
        <f>IFERROR(ROUND((tblPiNHistorical[[#This Row],[Protection New]]-tblPiNHistorical[[#This Row],[Protection Old]])/tblPiNHistorical[[#This Row],[Protection Old]], 1), "")</f>
        <v>-1</v>
      </c>
      <c r="AW525" s="84">
        <f>IFERROR(ROUND((tblPiNHistorical[[#This Row],[CP New]]-tblPiNHistorical[[#This Row],[CP Old ]])/tblPiNHistorical[[#This Row],[CP Old ]], 1), "")</f>
        <v>-1</v>
      </c>
      <c r="AX525" s="84">
        <f>IFERROR(ROUND((tblPiNHistorical[[#This Row],[GBV New]]-tblPiNHistorical[[#This Row],[GBV Old]])/tblPiNHistorical[[#This Row],[GBV Old]], 1), "")</f>
        <v>-1</v>
      </c>
      <c r="AY525" s="84">
        <f>IFERROR(ROUND((tblPiNHistorical[[#This Row],[Mine Action New]]-tblPiNHistorical[[#This Row],[Mine Action Old]])/tblPiNHistorical[[#This Row],[Mine Action Old]], 1), "")</f>
        <v>-1</v>
      </c>
      <c r="AZ525" s="140">
        <f>IFERROR(ROUND((tblPiNHistorical[[#This Row],[Shelter NFI New]]-tblPiNHistorical[[#This Row],[Shelter NFI Old]])/tblPiNHistorical[[#This Row],[Shelter NFI Old]], 1), "")</f>
        <v>4.3</v>
      </c>
      <c r="BA525" s="31">
        <f>IFERROR(ROUND((tblPiNHistorical[[#This Row],[WASH New]]-tblPiNHistorical[[#This Row],[WASH Old]])/tblPiNHistorical[[#This Row],[WASH Old]], 1), "")</f>
        <v>-1</v>
      </c>
    </row>
    <row r="526" spans="1:53" ht="38.25" x14ac:dyDescent="0.25">
      <c r="A526"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Host CommunitySD07090</v>
      </c>
      <c r="B526" s="134" t="s">
        <v>188</v>
      </c>
      <c r="C526" s="124" t="s">
        <v>124</v>
      </c>
      <c r="D526" s="124" t="s">
        <v>340</v>
      </c>
      <c r="E526" s="59" t="s">
        <v>341</v>
      </c>
      <c r="F526" s="54"/>
      <c r="G526" s="29"/>
      <c r="H526" s="53">
        <v>33213</v>
      </c>
      <c r="I526" s="53" t="s">
        <v>87</v>
      </c>
      <c r="J526" s="34">
        <v>0</v>
      </c>
      <c r="K526" s="116">
        <v>12876.6801</v>
      </c>
      <c r="L526" s="114">
        <v>33213</v>
      </c>
      <c r="M526" s="114">
        <v>33213</v>
      </c>
      <c r="N526" s="114">
        <v>2030</v>
      </c>
      <c r="O526" s="114">
        <v>10516</v>
      </c>
      <c r="P526" s="114">
        <v>3653</v>
      </c>
      <c r="Q526" s="114">
        <v>10516</v>
      </c>
      <c r="R526" s="114">
        <v>0</v>
      </c>
      <c r="S526" s="114">
        <v>6643</v>
      </c>
      <c r="T526" s="196">
        <v>29038.125900000003</v>
      </c>
      <c r="U526" s="52">
        <f>IFERROR(INDEX(tblPiNAnalysis[[Site Management ]], MATCH(tblPiNHistorical[[#This Row],[ID]], tblPiNAnalysis[ID], 0)), "")</f>
        <v>0</v>
      </c>
      <c r="V526" s="52">
        <f>IFERROR(INDEX(tblPiNAnalysis[Education], MATCH(tblPiNHistorical[[#This Row],[ID]], tblPiNAnalysis[ID], 0)), "")</f>
        <v>0</v>
      </c>
      <c r="W526" s="28">
        <f>IFERROR(INDEX(tblPiNAnalysis[Food Security and Livlihoods], MATCH(tblPiNHistorical[[#This Row],[ID]], tblPiNAnalysis[ID], 0)), "")</f>
        <v>0</v>
      </c>
      <c r="X526" s="28">
        <f>IFERROR(INDEX(tblPiNAnalysis[[Health ]], MATCH(tblPiNHistorical[[#This Row],[ID]], tblPiNAnalysis[ID], 0)), "")</f>
        <v>0</v>
      </c>
      <c r="Y526" s="28">
        <f>IFERROR(INDEX(tblPiNAnalysis[Nutrition], MATCH(tblPiNHistorical[[#This Row],[ID]], tblPiNAnalysis[ID], 0)), "")</f>
        <v>0</v>
      </c>
      <c r="Z526" s="28">
        <f>IFERROR(INDEX(tblPiNAnalysis[Protection], MATCH(tblPiNHistorical[[#This Row],[ID]], tblPiNAnalysis[ID], 0)), "")</f>
        <v>0</v>
      </c>
      <c r="AA526" s="28">
        <f>IFERROR(INDEX(tblPiNAnalysis[CP], MATCH(tblPiNHistorical[[#This Row],[ID]], tblPiNAnalysis[ID], 0)), "")</f>
        <v>0</v>
      </c>
      <c r="AB526" s="83">
        <f>IFERROR(INDEX(tblPiNAnalysis[GBV], MATCH(tblPiNHistorical[[#This Row],[ID]], tblPiNAnalysis[ID], 0)), "")</f>
        <v>0</v>
      </c>
      <c r="AC526" s="28">
        <f>IFERROR(INDEX(tblPiNAnalysis[Mine Action], MATCH(tblPiNHistorical[[#This Row],[ID]], tblPiNAnalysis[ID], 0)), "")</f>
        <v>0</v>
      </c>
      <c r="AD526" s="83">
        <f>IFERROR(INDEX(tblPiNAnalysis[[Shelter NFI ]], MATCH(tblPiNHistorical[[#This Row],[ID]], tblPiNAnalysis[ID], 0)), "")</f>
        <v>23298</v>
      </c>
      <c r="AE526" s="28">
        <f>IFERROR(INDEX(tblPiNAnalysis[WASH], MATCH(tblPiNHistorical[[#This Row],[ID]], tblPiNAnalysis[ID], 0)), "")</f>
        <v>0</v>
      </c>
      <c r="AF526"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526" s="136" t="str">
        <f>IF(OR(tblPiNHistorical[[#This Row],[Education Old]]="", tblPiNHistorical[[#This Row],[Education Old]]=0, tblPiNHistorical[[#This Row],[Education New]]="", tblPiNHistorical[[#This Row],[Education New]]=0), "", tblPiNHistorical[[#This Row],[Education New]]-tblPiNHistorical[[#This Row],[Education Old]])</f>
        <v/>
      </c>
      <c r="AH526"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526" s="137" t="str">
        <f>IF(OR(tblPiNHistorical[[#This Row],[Health Old]]="", tblPiNHistorical[[#This Row],[Health Old]]=0, tblPiNHistorical[[#This Row],[Health New]]="", tblPiNHistorical[[#This Row],[Health New]]=0), "", tblPiNHistorical[[#This Row],[Health New]]-tblPiNHistorical[[#This Row],[Health Old]])</f>
        <v/>
      </c>
      <c r="AJ526" s="136" t="str">
        <f>IF(OR(tblPiNHistorical[[#This Row],[Nutrition Old]]="", tblPiNHistorical[[#This Row],[Nutrition Old]]=0, tblPiNHistorical[[#This Row],[Nutrition New]]="", tblPiNHistorical[[#This Row],[Nutrition New]]=0), "", tblPiNHistorical[[#This Row],[Nutrition New]]-tblPiNHistorical[[#This Row],[Nutrition Old]])</f>
        <v/>
      </c>
      <c r="AK526" s="136" t="str">
        <f>IF(OR(tblPiNHistorical[[#This Row],[Protection Old]]="", tblPiNHistorical[[#This Row],[Protection Old]]=0, tblPiNHistorical[[#This Row],[Protection New]]="", tblPiNHistorical[[#This Row],[Protection New]]=0), "", tblPiNHistorical[[#This Row],[Protection New]]-tblPiNHistorical[[#This Row],[Protection Old]])</f>
        <v/>
      </c>
      <c r="AL526" s="136" t="str">
        <f>IF(OR(tblPiNHistorical[[#This Row],[CP Old ]]="", tblPiNHistorical[[#This Row],[CP Old ]]=0, tblPiNHistorical[[#This Row],[CP New]]="", tblPiNHistorical[[#This Row],[CP New]]=0), "", tblPiNHistorical[[#This Row],[CP New]]-tblPiNHistorical[[#This Row],[CP Old ]])</f>
        <v/>
      </c>
      <c r="AM526" s="83" t="str">
        <f>IF(OR(tblPiNHistorical[[#This Row],[GBV Old]]="", tblPiNHistorical[[#This Row],[GBV Old]]=0, tblPiNHistorical[[#This Row],[GBV New]]="", tblPiNHistorical[[#This Row],[GBV New]]=0), "", tblPiNHistorical[[#This Row],[GBV New]]-tblPiNHistorical[[#This Row],[GBV Old]])</f>
        <v/>
      </c>
      <c r="AN526" s="83" t="str">
        <f>IF(OR(tblPiNHistorical[[#This Row],[Mine Action Old]]="", tblPiNHistorical[[#This Row],[Mine Action Old]]=0, tblPiNHistorical[[#This Row],[Mine Action New]]="", tblPiNHistorical[[#This Row],[Mine Action New]]=0), "", tblPiNHistorical[[#This Row],[Mine Action New]]-tblPiNHistorical[[#This Row],[Mine Action Old]])</f>
        <v/>
      </c>
      <c r="AO526" s="136">
        <f>IF(OR(tblPiNHistorical[[#This Row],[Shelter NFI Old]]="", tblPiNHistorical[[#This Row],[Shelter NFI Old]]=0, tblPiNHistorical[[#This Row],[Shelter NFI New]]="", tblPiNHistorical[[#This Row],[Shelter NFI New]]=0), "", tblPiNHistorical[[#This Row],[Shelter NFI New]]-tblPiNHistorical[[#This Row],[Shelter NFI Old]])</f>
        <v>16655</v>
      </c>
      <c r="AP526" s="138" t="str">
        <f>IF(OR(tblPiNHistorical[[#This Row],[WASH Old]]="", tblPiNHistorical[[#This Row],[WASH Old]]=0, tblPiNHistorical[[#This Row],[WASH New]]="", tblPiNHistorical[[#This Row],[WASH New]]=0), "", tblPiNHistorical[[#This Row],[WASH New]]-tblPiNHistorical[[#This Row],[WASH Old]])</f>
        <v/>
      </c>
      <c r="AQ526" s="139" t="str">
        <f>IFERROR(ROUND((tblPiNHistorical[[#This Row],[Site Management - New]] - tblPiNHistorical[[#This Row],[Site Management - Old]])/tblPiNHistorical[[#This Row],[Site Management - Old]], 1), "")</f>
        <v/>
      </c>
      <c r="AR526" s="140">
        <f>IFERROR(ROUND((tblPiNHistorical[[#This Row],[Education New]]-tblPiNHistorical[[#This Row],[Education Old]])/tblPiNHistorical[[#This Row],[Education Old]], 1), "")</f>
        <v>-1</v>
      </c>
      <c r="AS526" s="141">
        <f>IFERROR(ROUND((tblPiNHistorical[[#This Row],[Food Security and Livlihoods New]]-tblPiNHistorical[[#This Row],[Food Security and Livlihoods Old]])/tblPiNHistorical[[#This Row],[Food Security and Livlihoods Old]], 1), "")</f>
        <v>-1</v>
      </c>
      <c r="AT526" s="142">
        <f>IFERROR(ROUND((tblPiNHistorical[[#This Row],[Health New]]-tblPiNHistorical[[#This Row],[Health Old]])/tblPiNHistorical[[#This Row],[Health Old]], 1), "")</f>
        <v>-1</v>
      </c>
      <c r="AU526" s="140">
        <f>IFERROR(ROUND((tblPiNHistorical[[#This Row],[Nutrition New]]-tblPiNHistorical[[#This Row],[Nutrition Old]])/tblPiNHistorical[[#This Row],[Nutrition Old]], 1), "")</f>
        <v>-1</v>
      </c>
      <c r="AV526" s="140">
        <f>IFERROR(ROUND((tblPiNHistorical[[#This Row],[Protection New]]-tblPiNHistorical[[#This Row],[Protection Old]])/tblPiNHistorical[[#This Row],[Protection Old]], 1), "")</f>
        <v>-1</v>
      </c>
      <c r="AW526" s="84">
        <f>IFERROR(ROUND((tblPiNHistorical[[#This Row],[CP New]]-tblPiNHistorical[[#This Row],[CP Old ]])/tblPiNHistorical[[#This Row],[CP Old ]], 1), "")</f>
        <v>-1</v>
      </c>
      <c r="AX526" s="84">
        <f>IFERROR(ROUND((tblPiNHistorical[[#This Row],[GBV New]]-tblPiNHistorical[[#This Row],[GBV Old]])/tblPiNHistorical[[#This Row],[GBV Old]], 1), "")</f>
        <v>-1</v>
      </c>
      <c r="AY526" s="84" t="str">
        <f>IFERROR(ROUND((tblPiNHistorical[[#This Row],[Mine Action New]]-tblPiNHistorical[[#This Row],[Mine Action Old]])/tblPiNHistorical[[#This Row],[Mine Action Old]], 1), "")</f>
        <v/>
      </c>
      <c r="AZ526" s="140">
        <f>IFERROR(ROUND((tblPiNHistorical[[#This Row],[Shelter NFI New]]-tblPiNHistorical[[#This Row],[Shelter NFI Old]])/tblPiNHistorical[[#This Row],[Shelter NFI Old]], 1), "")</f>
        <v>2.5</v>
      </c>
      <c r="BA526" s="31">
        <f>IFERROR(ROUND((tblPiNHistorical[[#This Row],[WASH New]]-tblPiNHistorical[[#This Row],[WASH Old]])/tblPiNHistorical[[#This Row],[WASH Old]], 1), "")</f>
        <v>-1</v>
      </c>
    </row>
    <row r="527" spans="1:53" ht="38.25" x14ac:dyDescent="0.25">
      <c r="A527"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Host CommunitySD07088</v>
      </c>
      <c r="B527" s="134" t="s">
        <v>188</v>
      </c>
      <c r="C527" s="124" t="s">
        <v>124</v>
      </c>
      <c r="D527" s="124" t="s">
        <v>336</v>
      </c>
      <c r="E527" s="59" t="s">
        <v>337</v>
      </c>
      <c r="F527" s="54"/>
      <c r="G527" s="29"/>
      <c r="H527" s="53">
        <v>62544</v>
      </c>
      <c r="I527" s="53" t="s">
        <v>87</v>
      </c>
      <c r="J527" s="34">
        <v>0</v>
      </c>
      <c r="K527" s="116">
        <v>24248.308799999999</v>
      </c>
      <c r="L527" s="114">
        <v>62544</v>
      </c>
      <c r="M527" s="114">
        <v>62544</v>
      </c>
      <c r="N527" s="114">
        <v>7296</v>
      </c>
      <c r="O527" s="114">
        <v>19804</v>
      </c>
      <c r="P527" s="114">
        <v>6880</v>
      </c>
      <c r="Q527" s="114">
        <v>19804</v>
      </c>
      <c r="R527" s="114">
        <v>9381.6</v>
      </c>
      <c r="S527" s="114">
        <v>18763</v>
      </c>
      <c r="T527" s="196">
        <v>58484.894399999997</v>
      </c>
      <c r="U527" s="52">
        <f>IFERROR(INDEX(tblPiNAnalysis[[Site Management ]], MATCH(tblPiNHistorical[[#This Row],[ID]], tblPiNAnalysis[ID], 0)), "")</f>
        <v>0</v>
      </c>
      <c r="V527" s="52">
        <f>IFERROR(INDEX(tblPiNAnalysis[Education], MATCH(tblPiNHistorical[[#This Row],[ID]], tblPiNAnalysis[ID], 0)), "")</f>
        <v>0</v>
      </c>
      <c r="W527" s="28">
        <f>IFERROR(INDEX(tblPiNAnalysis[Food Security and Livlihoods], MATCH(tblPiNHistorical[[#This Row],[ID]], tblPiNAnalysis[ID], 0)), "")</f>
        <v>0</v>
      </c>
      <c r="X527" s="28">
        <f>IFERROR(INDEX(tblPiNAnalysis[[Health ]], MATCH(tblPiNHistorical[[#This Row],[ID]], tblPiNAnalysis[ID], 0)), "")</f>
        <v>0</v>
      </c>
      <c r="Y527" s="28">
        <f>IFERROR(INDEX(tblPiNAnalysis[Nutrition], MATCH(tblPiNHistorical[[#This Row],[ID]], tblPiNAnalysis[ID], 0)), "")</f>
        <v>0</v>
      </c>
      <c r="Z527" s="28">
        <f>IFERROR(INDEX(tblPiNAnalysis[Protection], MATCH(tblPiNHistorical[[#This Row],[ID]], tblPiNAnalysis[ID], 0)), "")</f>
        <v>0</v>
      </c>
      <c r="AA527" s="28">
        <f>IFERROR(INDEX(tblPiNAnalysis[CP], MATCH(tblPiNHistorical[[#This Row],[ID]], tblPiNAnalysis[ID], 0)), "")</f>
        <v>0</v>
      </c>
      <c r="AB527" s="83">
        <f>IFERROR(INDEX(tblPiNAnalysis[GBV], MATCH(tblPiNHistorical[[#This Row],[ID]], tblPiNAnalysis[ID], 0)), "")</f>
        <v>0</v>
      </c>
      <c r="AC527" s="28">
        <f>IFERROR(INDEX(tblPiNAnalysis[Mine Action], MATCH(tblPiNHistorical[[#This Row],[ID]], tblPiNAnalysis[ID], 0)), "")</f>
        <v>0</v>
      </c>
      <c r="AD527" s="83">
        <f>IFERROR(INDEX(tblPiNAnalysis[[Shelter NFI ]], MATCH(tblPiNHistorical[[#This Row],[ID]], tblPiNAnalysis[ID], 0)), "")</f>
        <v>32653</v>
      </c>
      <c r="AE527" s="28">
        <f>IFERROR(INDEX(tblPiNAnalysis[WASH], MATCH(tblPiNHistorical[[#This Row],[ID]], tblPiNAnalysis[ID], 0)), "")</f>
        <v>0</v>
      </c>
      <c r="AF527"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527" s="136" t="str">
        <f>IF(OR(tblPiNHistorical[[#This Row],[Education Old]]="", tblPiNHistorical[[#This Row],[Education Old]]=0, tblPiNHistorical[[#This Row],[Education New]]="", tblPiNHistorical[[#This Row],[Education New]]=0), "", tblPiNHistorical[[#This Row],[Education New]]-tblPiNHistorical[[#This Row],[Education Old]])</f>
        <v/>
      </c>
      <c r="AH527"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527" s="137" t="str">
        <f>IF(OR(tblPiNHistorical[[#This Row],[Health Old]]="", tblPiNHistorical[[#This Row],[Health Old]]=0, tblPiNHistorical[[#This Row],[Health New]]="", tblPiNHistorical[[#This Row],[Health New]]=0), "", tblPiNHistorical[[#This Row],[Health New]]-tblPiNHistorical[[#This Row],[Health Old]])</f>
        <v/>
      </c>
      <c r="AJ527" s="136" t="str">
        <f>IF(OR(tblPiNHistorical[[#This Row],[Nutrition Old]]="", tblPiNHistorical[[#This Row],[Nutrition Old]]=0, tblPiNHistorical[[#This Row],[Nutrition New]]="", tblPiNHistorical[[#This Row],[Nutrition New]]=0), "", tblPiNHistorical[[#This Row],[Nutrition New]]-tblPiNHistorical[[#This Row],[Nutrition Old]])</f>
        <v/>
      </c>
      <c r="AK527" s="136" t="str">
        <f>IF(OR(tblPiNHistorical[[#This Row],[Protection Old]]="", tblPiNHistorical[[#This Row],[Protection Old]]=0, tblPiNHistorical[[#This Row],[Protection New]]="", tblPiNHistorical[[#This Row],[Protection New]]=0), "", tblPiNHistorical[[#This Row],[Protection New]]-tblPiNHistorical[[#This Row],[Protection Old]])</f>
        <v/>
      </c>
      <c r="AL527" s="136" t="str">
        <f>IF(OR(tblPiNHistorical[[#This Row],[CP Old ]]="", tblPiNHistorical[[#This Row],[CP Old ]]=0, tblPiNHistorical[[#This Row],[CP New]]="", tblPiNHistorical[[#This Row],[CP New]]=0), "", tblPiNHistorical[[#This Row],[CP New]]-tblPiNHistorical[[#This Row],[CP Old ]])</f>
        <v/>
      </c>
      <c r="AM527" s="83" t="str">
        <f>IF(OR(tblPiNHistorical[[#This Row],[GBV Old]]="", tblPiNHistorical[[#This Row],[GBV Old]]=0, tblPiNHistorical[[#This Row],[GBV New]]="", tblPiNHistorical[[#This Row],[GBV New]]=0), "", tblPiNHistorical[[#This Row],[GBV New]]-tblPiNHistorical[[#This Row],[GBV Old]])</f>
        <v/>
      </c>
      <c r="AN527" s="83" t="str">
        <f>IF(OR(tblPiNHistorical[[#This Row],[Mine Action Old]]="", tblPiNHistorical[[#This Row],[Mine Action Old]]=0, tblPiNHistorical[[#This Row],[Mine Action New]]="", tblPiNHistorical[[#This Row],[Mine Action New]]=0), "", tblPiNHistorical[[#This Row],[Mine Action New]]-tblPiNHistorical[[#This Row],[Mine Action Old]])</f>
        <v/>
      </c>
      <c r="AO527" s="136">
        <f>IF(OR(tblPiNHistorical[[#This Row],[Shelter NFI Old]]="", tblPiNHistorical[[#This Row],[Shelter NFI Old]]=0, tblPiNHistorical[[#This Row],[Shelter NFI New]]="", tblPiNHistorical[[#This Row],[Shelter NFI New]]=0), "", tblPiNHistorical[[#This Row],[Shelter NFI New]]-tblPiNHistorical[[#This Row],[Shelter NFI Old]])</f>
        <v>13890</v>
      </c>
      <c r="AP527" s="138" t="str">
        <f>IF(OR(tblPiNHistorical[[#This Row],[WASH Old]]="", tblPiNHistorical[[#This Row],[WASH Old]]=0, tblPiNHistorical[[#This Row],[WASH New]]="", tblPiNHistorical[[#This Row],[WASH New]]=0), "", tblPiNHistorical[[#This Row],[WASH New]]-tblPiNHistorical[[#This Row],[WASH Old]])</f>
        <v/>
      </c>
      <c r="AQ527" s="139" t="str">
        <f>IFERROR(ROUND((tblPiNHistorical[[#This Row],[Site Management - New]] - tblPiNHistorical[[#This Row],[Site Management - Old]])/tblPiNHistorical[[#This Row],[Site Management - Old]], 1), "")</f>
        <v/>
      </c>
      <c r="AR527" s="140">
        <f>IFERROR(ROUND((tblPiNHistorical[[#This Row],[Education New]]-tblPiNHistorical[[#This Row],[Education Old]])/tblPiNHistorical[[#This Row],[Education Old]], 1), "")</f>
        <v>-1</v>
      </c>
      <c r="AS527" s="141">
        <f>IFERROR(ROUND((tblPiNHistorical[[#This Row],[Food Security and Livlihoods New]]-tblPiNHistorical[[#This Row],[Food Security and Livlihoods Old]])/tblPiNHistorical[[#This Row],[Food Security and Livlihoods Old]], 1), "")</f>
        <v>-1</v>
      </c>
      <c r="AT527" s="142">
        <f>IFERROR(ROUND((tblPiNHistorical[[#This Row],[Health New]]-tblPiNHistorical[[#This Row],[Health Old]])/tblPiNHistorical[[#This Row],[Health Old]], 1), "")</f>
        <v>-1</v>
      </c>
      <c r="AU527" s="140">
        <f>IFERROR(ROUND((tblPiNHistorical[[#This Row],[Nutrition New]]-tblPiNHistorical[[#This Row],[Nutrition Old]])/tblPiNHistorical[[#This Row],[Nutrition Old]], 1), "")</f>
        <v>-1</v>
      </c>
      <c r="AV527" s="140">
        <f>IFERROR(ROUND((tblPiNHistorical[[#This Row],[Protection New]]-tblPiNHistorical[[#This Row],[Protection Old]])/tblPiNHistorical[[#This Row],[Protection Old]], 1), "")</f>
        <v>-1</v>
      </c>
      <c r="AW527" s="84">
        <f>IFERROR(ROUND((tblPiNHistorical[[#This Row],[CP New]]-tblPiNHistorical[[#This Row],[CP Old ]])/tblPiNHistorical[[#This Row],[CP Old ]], 1), "")</f>
        <v>-1</v>
      </c>
      <c r="AX527" s="84">
        <f>IFERROR(ROUND((tblPiNHistorical[[#This Row],[GBV New]]-tblPiNHistorical[[#This Row],[GBV Old]])/tblPiNHistorical[[#This Row],[GBV Old]], 1), "")</f>
        <v>-1</v>
      </c>
      <c r="AY527" s="84">
        <f>IFERROR(ROUND((tblPiNHistorical[[#This Row],[Mine Action New]]-tblPiNHistorical[[#This Row],[Mine Action Old]])/tblPiNHistorical[[#This Row],[Mine Action Old]], 1), "")</f>
        <v>-1</v>
      </c>
      <c r="AZ527" s="140">
        <f>IFERROR(ROUND((tblPiNHistorical[[#This Row],[Shelter NFI New]]-tblPiNHistorical[[#This Row],[Shelter NFI Old]])/tblPiNHistorical[[#This Row],[Shelter NFI Old]], 1), "")</f>
        <v>0.7</v>
      </c>
      <c r="BA527" s="31">
        <f>IFERROR(ROUND((tblPiNHistorical[[#This Row],[WASH New]]-tblPiNHistorical[[#This Row],[WASH Old]])/tblPiNHistorical[[#This Row],[WASH Old]], 1), "")</f>
        <v>-1</v>
      </c>
    </row>
    <row r="528" spans="1:53" ht="38.25" x14ac:dyDescent="0.25">
      <c r="A528"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Host CommunitySD07104</v>
      </c>
      <c r="B528" s="134" t="s">
        <v>188</v>
      </c>
      <c r="C528" s="124" t="s">
        <v>124</v>
      </c>
      <c r="D528" s="124" t="s">
        <v>360</v>
      </c>
      <c r="E528" s="59" t="s">
        <v>361</v>
      </c>
      <c r="F528" s="54"/>
      <c r="G528" s="29"/>
      <c r="H528" s="53">
        <v>21442</v>
      </c>
      <c r="I528" s="53" t="s">
        <v>87</v>
      </c>
      <c r="J528" s="34">
        <v>0</v>
      </c>
      <c r="K528" s="116">
        <v>8313.0633999999991</v>
      </c>
      <c r="L528" s="114">
        <v>21442</v>
      </c>
      <c r="M528" s="114">
        <v>21442</v>
      </c>
      <c r="N528" s="114">
        <v>1237</v>
      </c>
      <c r="O528" s="114">
        <v>8576.8000000000011</v>
      </c>
      <c r="P528" s="114">
        <v>2359</v>
      </c>
      <c r="Q528" s="114">
        <v>6790</v>
      </c>
      <c r="R528" s="114">
        <v>8576.8000000000011</v>
      </c>
      <c r="S528" s="114">
        <v>4288</v>
      </c>
      <c r="T528" s="196">
        <v>18467.994599999998</v>
      </c>
      <c r="U528" s="52">
        <f>IFERROR(INDEX(tblPiNAnalysis[[Site Management ]], MATCH(tblPiNHistorical[[#This Row],[ID]], tblPiNAnalysis[ID], 0)), "")</f>
        <v>0</v>
      </c>
      <c r="V528" s="52">
        <f>IFERROR(INDEX(tblPiNAnalysis[Education], MATCH(tblPiNHistorical[[#This Row],[ID]], tblPiNAnalysis[ID], 0)), "")</f>
        <v>0</v>
      </c>
      <c r="W528" s="28">
        <f>IFERROR(INDEX(tblPiNAnalysis[Food Security and Livlihoods], MATCH(tblPiNHistorical[[#This Row],[ID]], tblPiNAnalysis[ID], 0)), "")</f>
        <v>0</v>
      </c>
      <c r="X528" s="28">
        <f>IFERROR(INDEX(tblPiNAnalysis[[Health ]], MATCH(tblPiNHistorical[[#This Row],[ID]], tblPiNAnalysis[ID], 0)), "")</f>
        <v>0</v>
      </c>
      <c r="Y528" s="28">
        <f>IFERROR(INDEX(tblPiNAnalysis[Nutrition], MATCH(tblPiNHistorical[[#This Row],[ID]], tblPiNAnalysis[ID], 0)), "")</f>
        <v>0</v>
      </c>
      <c r="Z528" s="28">
        <f>IFERROR(INDEX(tblPiNAnalysis[Protection], MATCH(tblPiNHistorical[[#This Row],[ID]], tblPiNAnalysis[ID], 0)), "")</f>
        <v>0</v>
      </c>
      <c r="AA528" s="28">
        <f>IFERROR(INDEX(tblPiNAnalysis[CP], MATCH(tblPiNHistorical[[#This Row],[ID]], tblPiNAnalysis[ID], 0)), "")</f>
        <v>0</v>
      </c>
      <c r="AB528" s="83">
        <f>IFERROR(INDEX(tblPiNAnalysis[GBV], MATCH(tblPiNHistorical[[#This Row],[ID]], tblPiNAnalysis[ID], 0)), "")</f>
        <v>0</v>
      </c>
      <c r="AC528" s="28">
        <f>IFERROR(INDEX(tblPiNAnalysis[Mine Action], MATCH(tblPiNHistorical[[#This Row],[ID]], tblPiNAnalysis[ID], 0)), "")</f>
        <v>0</v>
      </c>
      <c r="AD528" s="83">
        <f>IFERROR(INDEX(tblPiNAnalysis[[Shelter NFI ]], MATCH(tblPiNHistorical[[#This Row],[ID]], tblPiNAnalysis[ID], 0)), "")</f>
        <v>13778</v>
      </c>
      <c r="AE528" s="28">
        <f>IFERROR(INDEX(tblPiNAnalysis[WASH], MATCH(tblPiNHistorical[[#This Row],[ID]], tblPiNAnalysis[ID], 0)), "")</f>
        <v>0</v>
      </c>
      <c r="AF528"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528" s="136" t="str">
        <f>IF(OR(tblPiNHistorical[[#This Row],[Education Old]]="", tblPiNHistorical[[#This Row],[Education Old]]=0, tblPiNHistorical[[#This Row],[Education New]]="", tblPiNHistorical[[#This Row],[Education New]]=0), "", tblPiNHistorical[[#This Row],[Education New]]-tblPiNHistorical[[#This Row],[Education Old]])</f>
        <v/>
      </c>
      <c r="AH528"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528" s="137" t="str">
        <f>IF(OR(tblPiNHistorical[[#This Row],[Health Old]]="", tblPiNHistorical[[#This Row],[Health Old]]=0, tblPiNHistorical[[#This Row],[Health New]]="", tblPiNHistorical[[#This Row],[Health New]]=0), "", tblPiNHistorical[[#This Row],[Health New]]-tblPiNHistorical[[#This Row],[Health Old]])</f>
        <v/>
      </c>
      <c r="AJ528" s="136" t="str">
        <f>IF(OR(tblPiNHistorical[[#This Row],[Nutrition Old]]="", tblPiNHistorical[[#This Row],[Nutrition Old]]=0, tblPiNHistorical[[#This Row],[Nutrition New]]="", tblPiNHistorical[[#This Row],[Nutrition New]]=0), "", tblPiNHistorical[[#This Row],[Nutrition New]]-tblPiNHistorical[[#This Row],[Nutrition Old]])</f>
        <v/>
      </c>
      <c r="AK528" s="136" t="str">
        <f>IF(OR(tblPiNHistorical[[#This Row],[Protection Old]]="", tblPiNHistorical[[#This Row],[Protection Old]]=0, tblPiNHistorical[[#This Row],[Protection New]]="", tblPiNHistorical[[#This Row],[Protection New]]=0), "", tblPiNHistorical[[#This Row],[Protection New]]-tblPiNHistorical[[#This Row],[Protection Old]])</f>
        <v/>
      </c>
      <c r="AL528" s="136" t="str">
        <f>IF(OR(tblPiNHistorical[[#This Row],[CP Old ]]="", tblPiNHistorical[[#This Row],[CP Old ]]=0, tblPiNHistorical[[#This Row],[CP New]]="", tblPiNHistorical[[#This Row],[CP New]]=0), "", tblPiNHistorical[[#This Row],[CP New]]-tblPiNHistorical[[#This Row],[CP Old ]])</f>
        <v/>
      </c>
      <c r="AM528" s="83" t="str">
        <f>IF(OR(tblPiNHistorical[[#This Row],[GBV Old]]="", tblPiNHistorical[[#This Row],[GBV Old]]=0, tblPiNHistorical[[#This Row],[GBV New]]="", tblPiNHistorical[[#This Row],[GBV New]]=0), "", tblPiNHistorical[[#This Row],[GBV New]]-tblPiNHistorical[[#This Row],[GBV Old]])</f>
        <v/>
      </c>
      <c r="AN528" s="83" t="str">
        <f>IF(OR(tblPiNHistorical[[#This Row],[Mine Action Old]]="", tblPiNHistorical[[#This Row],[Mine Action Old]]=0, tblPiNHistorical[[#This Row],[Mine Action New]]="", tblPiNHistorical[[#This Row],[Mine Action New]]=0), "", tblPiNHistorical[[#This Row],[Mine Action New]]-tblPiNHistorical[[#This Row],[Mine Action Old]])</f>
        <v/>
      </c>
      <c r="AO528" s="136">
        <f>IF(OR(tblPiNHistorical[[#This Row],[Shelter NFI Old]]="", tblPiNHistorical[[#This Row],[Shelter NFI Old]]=0, tblPiNHistorical[[#This Row],[Shelter NFI New]]="", tblPiNHistorical[[#This Row],[Shelter NFI New]]=0), "", tblPiNHistorical[[#This Row],[Shelter NFI New]]-tblPiNHistorical[[#This Row],[Shelter NFI Old]])</f>
        <v>9490</v>
      </c>
      <c r="AP528" s="138" t="str">
        <f>IF(OR(tblPiNHistorical[[#This Row],[WASH Old]]="", tblPiNHistorical[[#This Row],[WASH Old]]=0, tblPiNHistorical[[#This Row],[WASH New]]="", tblPiNHistorical[[#This Row],[WASH New]]=0), "", tblPiNHistorical[[#This Row],[WASH New]]-tblPiNHistorical[[#This Row],[WASH Old]])</f>
        <v/>
      </c>
      <c r="AQ528" s="139" t="str">
        <f>IFERROR(ROUND((tblPiNHistorical[[#This Row],[Site Management - New]] - tblPiNHistorical[[#This Row],[Site Management - Old]])/tblPiNHistorical[[#This Row],[Site Management - Old]], 1), "")</f>
        <v/>
      </c>
      <c r="AR528" s="140">
        <f>IFERROR(ROUND((tblPiNHistorical[[#This Row],[Education New]]-tblPiNHistorical[[#This Row],[Education Old]])/tblPiNHistorical[[#This Row],[Education Old]], 1), "")</f>
        <v>-1</v>
      </c>
      <c r="AS528" s="141">
        <f>IFERROR(ROUND((tblPiNHistorical[[#This Row],[Food Security and Livlihoods New]]-tblPiNHistorical[[#This Row],[Food Security and Livlihoods Old]])/tblPiNHistorical[[#This Row],[Food Security and Livlihoods Old]], 1), "")</f>
        <v>-1</v>
      </c>
      <c r="AT528" s="142">
        <f>IFERROR(ROUND((tblPiNHistorical[[#This Row],[Health New]]-tblPiNHistorical[[#This Row],[Health Old]])/tblPiNHistorical[[#This Row],[Health Old]], 1), "")</f>
        <v>-1</v>
      </c>
      <c r="AU528" s="140">
        <f>IFERROR(ROUND((tblPiNHistorical[[#This Row],[Nutrition New]]-tblPiNHistorical[[#This Row],[Nutrition Old]])/tblPiNHistorical[[#This Row],[Nutrition Old]], 1), "")</f>
        <v>-1</v>
      </c>
      <c r="AV528" s="140">
        <f>IFERROR(ROUND((tblPiNHistorical[[#This Row],[Protection New]]-tblPiNHistorical[[#This Row],[Protection Old]])/tblPiNHistorical[[#This Row],[Protection Old]], 1), "")</f>
        <v>-1</v>
      </c>
      <c r="AW528" s="84">
        <f>IFERROR(ROUND((tblPiNHistorical[[#This Row],[CP New]]-tblPiNHistorical[[#This Row],[CP Old ]])/tblPiNHistorical[[#This Row],[CP Old ]], 1), "")</f>
        <v>-1</v>
      </c>
      <c r="AX528" s="84">
        <f>IFERROR(ROUND((tblPiNHistorical[[#This Row],[GBV New]]-tblPiNHistorical[[#This Row],[GBV Old]])/tblPiNHistorical[[#This Row],[GBV Old]], 1), "")</f>
        <v>-1</v>
      </c>
      <c r="AY528" s="84">
        <f>IFERROR(ROUND((tblPiNHistorical[[#This Row],[Mine Action New]]-tblPiNHistorical[[#This Row],[Mine Action Old]])/tblPiNHistorical[[#This Row],[Mine Action Old]], 1), "")</f>
        <v>-1</v>
      </c>
      <c r="AZ528" s="140">
        <f>IFERROR(ROUND((tblPiNHistorical[[#This Row],[Shelter NFI New]]-tblPiNHistorical[[#This Row],[Shelter NFI Old]])/tblPiNHistorical[[#This Row],[Shelter NFI Old]], 1), "")</f>
        <v>2.2000000000000002</v>
      </c>
      <c r="BA528" s="31">
        <f>IFERROR(ROUND((tblPiNHistorical[[#This Row],[WASH New]]-tblPiNHistorical[[#This Row],[WASH Old]])/tblPiNHistorical[[#This Row],[WASH Old]], 1), "")</f>
        <v>-1</v>
      </c>
    </row>
    <row r="529" spans="1:53" ht="38.25" x14ac:dyDescent="0.25">
      <c r="A529"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Host CommunitySD07099</v>
      </c>
      <c r="B529" s="134" t="s">
        <v>188</v>
      </c>
      <c r="C529" s="124" t="s">
        <v>124</v>
      </c>
      <c r="D529" s="124" t="s">
        <v>356</v>
      </c>
      <c r="E529" s="59" t="s">
        <v>357</v>
      </c>
      <c r="F529" s="54"/>
      <c r="G529" s="29"/>
      <c r="H529" s="53">
        <v>0</v>
      </c>
      <c r="I529" s="53" t="s">
        <v>87</v>
      </c>
      <c r="J529" s="34">
        <v>0</v>
      </c>
      <c r="K529" s="116">
        <v>0</v>
      </c>
      <c r="L529" s="114">
        <v>0</v>
      </c>
      <c r="M529" s="114">
        <v>0</v>
      </c>
      <c r="N529" s="114">
        <v>0</v>
      </c>
      <c r="O529" s="114">
        <v>0</v>
      </c>
      <c r="P529" s="114">
        <v>0</v>
      </c>
      <c r="Q529" s="114">
        <v>0</v>
      </c>
      <c r="R529" s="114">
        <v>0</v>
      </c>
      <c r="S529" s="114">
        <v>0</v>
      </c>
      <c r="T529" s="196">
        <v>0</v>
      </c>
      <c r="U529" s="52">
        <f>IFERROR(INDEX(tblPiNAnalysis[[Site Management ]], MATCH(tblPiNHistorical[[#This Row],[ID]], tblPiNAnalysis[ID], 0)), "")</f>
        <v>0</v>
      </c>
      <c r="V529" s="52">
        <f>IFERROR(INDEX(tblPiNAnalysis[Education], MATCH(tblPiNHistorical[[#This Row],[ID]], tblPiNAnalysis[ID], 0)), "")</f>
        <v>0</v>
      </c>
      <c r="W529" s="28">
        <f>IFERROR(INDEX(tblPiNAnalysis[Food Security and Livlihoods], MATCH(tblPiNHistorical[[#This Row],[ID]], tblPiNAnalysis[ID], 0)), "")</f>
        <v>0</v>
      </c>
      <c r="X529" s="28">
        <f>IFERROR(INDEX(tblPiNAnalysis[[Health ]], MATCH(tblPiNHistorical[[#This Row],[ID]], tblPiNAnalysis[ID], 0)), "")</f>
        <v>0</v>
      </c>
      <c r="Y529" s="28">
        <f>IFERROR(INDEX(tblPiNAnalysis[Nutrition], MATCH(tblPiNHistorical[[#This Row],[ID]], tblPiNAnalysis[ID], 0)), "")</f>
        <v>0</v>
      </c>
      <c r="Z529" s="28">
        <f>IFERROR(INDEX(tblPiNAnalysis[Protection], MATCH(tblPiNHistorical[[#This Row],[ID]], tblPiNAnalysis[ID], 0)), "")</f>
        <v>0</v>
      </c>
      <c r="AA529" s="28">
        <f>IFERROR(INDEX(tblPiNAnalysis[CP], MATCH(tblPiNHistorical[[#This Row],[ID]], tblPiNAnalysis[ID], 0)), "")</f>
        <v>0</v>
      </c>
      <c r="AB529" s="83">
        <f>IFERROR(INDEX(tblPiNAnalysis[GBV], MATCH(tblPiNHistorical[[#This Row],[ID]], tblPiNAnalysis[ID], 0)), "")</f>
        <v>0</v>
      </c>
      <c r="AC529" s="28">
        <f>IFERROR(INDEX(tblPiNAnalysis[Mine Action], MATCH(tblPiNHistorical[[#This Row],[ID]], tblPiNAnalysis[ID], 0)), "")</f>
        <v>0</v>
      </c>
      <c r="AD529" s="83">
        <f>IFERROR(INDEX(tblPiNAnalysis[[Shelter NFI ]], MATCH(tblPiNHistorical[[#This Row],[ID]], tblPiNAnalysis[ID], 0)), "")</f>
        <v>0</v>
      </c>
      <c r="AE529" s="28">
        <f>IFERROR(INDEX(tblPiNAnalysis[WASH], MATCH(tblPiNHistorical[[#This Row],[ID]], tblPiNAnalysis[ID], 0)), "")</f>
        <v>0</v>
      </c>
      <c r="AF529"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529" s="136" t="str">
        <f>IF(OR(tblPiNHistorical[[#This Row],[Education Old]]="", tblPiNHistorical[[#This Row],[Education Old]]=0, tblPiNHistorical[[#This Row],[Education New]]="", tblPiNHistorical[[#This Row],[Education New]]=0), "", tblPiNHistorical[[#This Row],[Education New]]-tblPiNHistorical[[#This Row],[Education Old]])</f>
        <v/>
      </c>
      <c r="AH529"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529" s="137" t="str">
        <f>IF(OR(tblPiNHistorical[[#This Row],[Health Old]]="", tblPiNHistorical[[#This Row],[Health Old]]=0, tblPiNHistorical[[#This Row],[Health New]]="", tblPiNHistorical[[#This Row],[Health New]]=0), "", tblPiNHistorical[[#This Row],[Health New]]-tblPiNHistorical[[#This Row],[Health Old]])</f>
        <v/>
      </c>
      <c r="AJ529" s="136" t="str">
        <f>IF(OR(tblPiNHistorical[[#This Row],[Nutrition Old]]="", tblPiNHistorical[[#This Row],[Nutrition Old]]=0, tblPiNHistorical[[#This Row],[Nutrition New]]="", tblPiNHistorical[[#This Row],[Nutrition New]]=0), "", tblPiNHistorical[[#This Row],[Nutrition New]]-tblPiNHistorical[[#This Row],[Nutrition Old]])</f>
        <v/>
      </c>
      <c r="AK529" s="136" t="str">
        <f>IF(OR(tblPiNHistorical[[#This Row],[Protection Old]]="", tblPiNHistorical[[#This Row],[Protection Old]]=0, tblPiNHistorical[[#This Row],[Protection New]]="", tblPiNHistorical[[#This Row],[Protection New]]=0), "", tblPiNHistorical[[#This Row],[Protection New]]-tblPiNHistorical[[#This Row],[Protection Old]])</f>
        <v/>
      </c>
      <c r="AL529" s="136" t="str">
        <f>IF(OR(tblPiNHistorical[[#This Row],[CP Old ]]="", tblPiNHistorical[[#This Row],[CP Old ]]=0, tblPiNHistorical[[#This Row],[CP New]]="", tblPiNHistorical[[#This Row],[CP New]]=0), "", tblPiNHistorical[[#This Row],[CP New]]-tblPiNHistorical[[#This Row],[CP Old ]])</f>
        <v/>
      </c>
      <c r="AM529" s="83" t="str">
        <f>IF(OR(tblPiNHistorical[[#This Row],[GBV Old]]="", tblPiNHistorical[[#This Row],[GBV Old]]=0, tblPiNHistorical[[#This Row],[GBV New]]="", tblPiNHistorical[[#This Row],[GBV New]]=0), "", tblPiNHistorical[[#This Row],[GBV New]]-tblPiNHistorical[[#This Row],[GBV Old]])</f>
        <v/>
      </c>
      <c r="AN529" s="83" t="str">
        <f>IF(OR(tblPiNHistorical[[#This Row],[Mine Action Old]]="", tblPiNHistorical[[#This Row],[Mine Action Old]]=0, tblPiNHistorical[[#This Row],[Mine Action New]]="", tblPiNHistorical[[#This Row],[Mine Action New]]=0), "", tblPiNHistorical[[#This Row],[Mine Action New]]-tblPiNHistorical[[#This Row],[Mine Action Old]])</f>
        <v/>
      </c>
      <c r="AO529" s="136" t="str">
        <f>IF(OR(tblPiNHistorical[[#This Row],[Shelter NFI Old]]="", tblPiNHistorical[[#This Row],[Shelter NFI Old]]=0, tblPiNHistorical[[#This Row],[Shelter NFI New]]="", tblPiNHistorical[[#This Row],[Shelter NFI New]]=0), "", tblPiNHistorical[[#This Row],[Shelter NFI New]]-tblPiNHistorical[[#This Row],[Shelter NFI Old]])</f>
        <v/>
      </c>
      <c r="AP529" s="138" t="str">
        <f>IF(OR(tblPiNHistorical[[#This Row],[WASH Old]]="", tblPiNHistorical[[#This Row],[WASH Old]]=0, tblPiNHistorical[[#This Row],[WASH New]]="", tblPiNHistorical[[#This Row],[WASH New]]=0), "", tblPiNHistorical[[#This Row],[WASH New]]-tblPiNHistorical[[#This Row],[WASH Old]])</f>
        <v/>
      </c>
      <c r="AQ529" s="139" t="str">
        <f>IFERROR(ROUND((tblPiNHistorical[[#This Row],[Site Management - New]] - tblPiNHistorical[[#This Row],[Site Management - Old]])/tblPiNHistorical[[#This Row],[Site Management - Old]], 1), "")</f>
        <v/>
      </c>
      <c r="AR529" s="140" t="str">
        <f>IFERROR(ROUND((tblPiNHistorical[[#This Row],[Education New]]-tblPiNHistorical[[#This Row],[Education Old]])/tblPiNHistorical[[#This Row],[Education Old]], 1), "")</f>
        <v/>
      </c>
      <c r="AS529" s="141" t="str">
        <f>IFERROR(ROUND((tblPiNHistorical[[#This Row],[Food Security and Livlihoods New]]-tblPiNHistorical[[#This Row],[Food Security and Livlihoods Old]])/tblPiNHistorical[[#This Row],[Food Security and Livlihoods Old]], 1), "")</f>
        <v/>
      </c>
      <c r="AT529" s="142" t="str">
        <f>IFERROR(ROUND((tblPiNHistorical[[#This Row],[Health New]]-tblPiNHistorical[[#This Row],[Health Old]])/tblPiNHistorical[[#This Row],[Health Old]], 1), "")</f>
        <v/>
      </c>
      <c r="AU529" s="140" t="str">
        <f>IFERROR(ROUND((tblPiNHistorical[[#This Row],[Nutrition New]]-tblPiNHistorical[[#This Row],[Nutrition Old]])/tblPiNHistorical[[#This Row],[Nutrition Old]], 1), "")</f>
        <v/>
      </c>
      <c r="AV529" s="140" t="str">
        <f>IFERROR(ROUND((tblPiNHistorical[[#This Row],[Protection New]]-tblPiNHistorical[[#This Row],[Protection Old]])/tblPiNHistorical[[#This Row],[Protection Old]], 1), "")</f>
        <v/>
      </c>
      <c r="AW529" s="84" t="str">
        <f>IFERROR(ROUND((tblPiNHistorical[[#This Row],[CP New]]-tblPiNHistorical[[#This Row],[CP Old ]])/tblPiNHistorical[[#This Row],[CP Old ]], 1), "")</f>
        <v/>
      </c>
      <c r="AX529" s="84" t="str">
        <f>IFERROR(ROUND((tblPiNHistorical[[#This Row],[GBV New]]-tblPiNHistorical[[#This Row],[GBV Old]])/tblPiNHistorical[[#This Row],[GBV Old]], 1), "")</f>
        <v/>
      </c>
      <c r="AY529" s="84" t="str">
        <f>IFERROR(ROUND((tblPiNHistorical[[#This Row],[Mine Action New]]-tblPiNHistorical[[#This Row],[Mine Action Old]])/tblPiNHistorical[[#This Row],[Mine Action Old]], 1), "")</f>
        <v/>
      </c>
      <c r="AZ529" s="140" t="str">
        <f>IFERROR(ROUND((tblPiNHistorical[[#This Row],[Shelter NFI New]]-tblPiNHistorical[[#This Row],[Shelter NFI Old]])/tblPiNHistorical[[#This Row],[Shelter NFI Old]], 1), "")</f>
        <v/>
      </c>
      <c r="BA529" s="31" t="str">
        <f>IFERROR(ROUND((tblPiNHistorical[[#This Row],[WASH New]]-tblPiNHistorical[[#This Row],[WASH Old]])/tblPiNHistorical[[#This Row],[WASH Old]], 1), "")</f>
        <v/>
      </c>
    </row>
    <row r="530" spans="1:53" ht="38.25" x14ac:dyDescent="0.25">
      <c r="A530"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Host CommunitySD07105</v>
      </c>
      <c r="B530" s="134" t="s">
        <v>188</v>
      </c>
      <c r="C530" s="124" t="s">
        <v>124</v>
      </c>
      <c r="D530" s="124" t="s">
        <v>362</v>
      </c>
      <c r="E530" s="59" t="s">
        <v>363</v>
      </c>
      <c r="F530" s="54"/>
      <c r="G530" s="29"/>
      <c r="H530" s="53">
        <v>7896</v>
      </c>
      <c r="I530" s="53" t="s">
        <v>87</v>
      </c>
      <c r="J530" s="34">
        <v>0</v>
      </c>
      <c r="K530" s="116">
        <v>3061.2791999999999</v>
      </c>
      <c r="L530" s="114">
        <v>7896</v>
      </c>
      <c r="M530" s="114">
        <v>7896</v>
      </c>
      <c r="N530" s="114">
        <v>603</v>
      </c>
      <c r="O530" s="114">
        <v>2499</v>
      </c>
      <c r="P530" s="114">
        <v>869</v>
      </c>
      <c r="Q530" s="114">
        <v>2499</v>
      </c>
      <c r="R530" s="114">
        <v>0</v>
      </c>
      <c r="S530" s="114">
        <v>1579</v>
      </c>
      <c r="T530" s="196">
        <v>7662.2784000000011</v>
      </c>
      <c r="U530" s="52">
        <f>IFERROR(INDEX(tblPiNAnalysis[[Site Management ]], MATCH(tblPiNHistorical[[#This Row],[ID]], tblPiNAnalysis[ID], 0)), "")</f>
        <v>0</v>
      </c>
      <c r="V530" s="52">
        <f>IFERROR(INDEX(tblPiNAnalysis[Education], MATCH(tblPiNHistorical[[#This Row],[ID]], tblPiNAnalysis[ID], 0)), "")</f>
        <v>0</v>
      </c>
      <c r="W530" s="28">
        <f>IFERROR(INDEX(tblPiNAnalysis[Food Security and Livlihoods], MATCH(tblPiNHistorical[[#This Row],[ID]], tblPiNAnalysis[ID], 0)), "")</f>
        <v>0</v>
      </c>
      <c r="X530" s="28">
        <f>IFERROR(INDEX(tblPiNAnalysis[[Health ]], MATCH(tblPiNHistorical[[#This Row],[ID]], tblPiNAnalysis[ID], 0)), "")</f>
        <v>0</v>
      </c>
      <c r="Y530" s="28">
        <f>IFERROR(INDEX(tblPiNAnalysis[Nutrition], MATCH(tblPiNHistorical[[#This Row],[ID]], tblPiNAnalysis[ID], 0)), "")</f>
        <v>0</v>
      </c>
      <c r="Z530" s="28">
        <f>IFERROR(INDEX(tblPiNAnalysis[Protection], MATCH(tblPiNHistorical[[#This Row],[ID]], tblPiNAnalysis[ID], 0)), "")</f>
        <v>0</v>
      </c>
      <c r="AA530" s="28">
        <f>IFERROR(INDEX(tblPiNAnalysis[CP], MATCH(tblPiNHistorical[[#This Row],[ID]], tblPiNAnalysis[ID], 0)), "")</f>
        <v>0</v>
      </c>
      <c r="AB530" s="83">
        <f>IFERROR(INDEX(tblPiNAnalysis[GBV], MATCH(tblPiNHistorical[[#This Row],[ID]], tblPiNAnalysis[ID], 0)), "")</f>
        <v>0</v>
      </c>
      <c r="AC530" s="28">
        <f>IFERROR(INDEX(tblPiNAnalysis[Mine Action], MATCH(tblPiNHistorical[[#This Row],[ID]], tblPiNAnalysis[ID], 0)), "")</f>
        <v>0</v>
      </c>
      <c r="AD530" s="83">
        <f>IFERROR(INDEX(tblPiNAnalysis[[Shelter NFI ]], MATCH(tblPiNHistorical[[#This Row],[ID]], tblPiNAnalysis[ID], 0)), "")</f>
        <v>7151</v>
      </c>
      <c r="AE530" s="28">
        <f>IFERROR(INDEX(tblPiNAnalysis[WASH], MATCH(tblPiNHistorical[[#This Row],[ID]], tblPiNAnalysis[ID], 0)), "")</f>
        <v>0</v>
      </c>
      <c r="AF530"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530" s="136" t="str">
        <f>IF(OR(tblPiNHistorical[[#This Row],[Education Old]]="", tblPiNHistorical[[#This Row],[Education Old]]=0, tblPiNHistorical[[#This Row],[Education New]]="", tblPiNHistorical[[#This Row],[Education New]]=0), "", tblPiNHistorical[[#This Row],[Education New]]-tblPiNHistorical[[#This Row],[Education Old]])</f>
        <v/>
      </c>
      <c r="AH530"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530" s="137" t="str">
        <f>IF(OR(tblPiNHistorical[[#This Row],[Health Old]]="", tblPiNHistorical[[#This Row],[Health Old]]=0, tblPiNHistorical[[#This Row],[Health New]]="", tblPiNHistorical[[#This Row],[Health New]]=0), "", tblPiNHistorical[[#This Row],[Health New]]-tblPiNHistorical[[#This Row],[Health Old]])</f>
        <v/>
      </c>
      <c r="AJ530" s="136" t="str">
        <f>IF(OR(tblPiNHistorical[[#This Row],[Nutrition Old]]="", tblPiNHistorical[[#This Row],[Nutrition Old]]=0, tblPiNHistorical[[#This Row],[Nutrition New]]="", tblPiNHistorical[[#This Row],[Nutrition New]]=0), "", tblPiNHistorical[[#This Row],[Nutrition New]]-tblPiNHistorical[[#This Row],[Nutrition Old]])</f>
        <v/>
      </c>
      <c r="AK530" s="136" t="str">
        <f>IF(OR(tblPiNHistorical[[#This Row],[Protection Old]]="", tblPiNHistorical[[#This Row],[Protection Old]]=0, tblPiNHistorical[[#This Row],[Protection New]]="", tblPiNHistorical[[#This Row],[Protection New]]=0), "", tblPiNHistorical[[#This Row],[Protection New]]-tblPiNHistorical[[#This Row],[Protection Old]])</f>
        <v/>
      </c>
      <c r="AL530" s="136" t="str">
        <f>IF(OR(tblPiNHistorical[[#This Row],[CP Old ]]="", tblPiNHistorical[[#This Row],[CP Old ]]=0, tblPiNHistorical[[#This Row],[CP New]]="", tblPiNHistorical[[#This Row],[CP New]]=0), "", tblPiNHistorical[[#This Row],[CP New]]-tblPiNHistorical[[#This Row],[CP Old ]])</f>
        <v/>
      </c>
      <c r="AM530" s="83" t="str">
        <f>IF(OR(tblPiNHistorical[[#This Row],[GBV Old]]="", tblPiNHistorical[[#This Row],[GBV Old]]=0, tblPiNHistorical[[#This Row],[GBV New]]="", tblPiNHistorical[[#This Row],[GBV New]]=0), "", tblPiNHistorical[[#This Row],[GBV New]]-tblPiNHistorical[[#This Row],[GBV Old]])</f>
        <v/>
      </c>
      <c r="AN530" s="83" t="str">
        <f>IF(OR(tblPiNHistorical[[#This Row],[Mine Action Old]]="", tblPiNHistorical[[#This Row],[Mine Action Old]]=0, tblPiNHistorical[[#This Row],[Mine Action New]]="", tblPiNHistorical[[#This Row],[Mine Action New]]=0), "", tblPiNHistorical[[#This Row],[Mine Action New]]-tblPiNHistorical[[#This Row],[Mine Action Old]])</f>
        <v/>
      </c>
      <c r="AO530" s="136">
        <f>IF(OR(tblPiNHistorical[[#This Row],[Shelter NFI Old]]="", tblPiNHistorical[[#This Row],[Shelter NFI Old]]=0, tblPiNHistorical[[#This Row],[Shelter NFI New]]="", tblPiNHistorical[[#This Row],[Shelter NFI New]]=0), "", tblPiNHistorical[[#This Row],[Shelter NFI New]]-tblPiNHistorical[[#This Row],[Shelter NFI Old]])</f>
        <v>5572</v>
      </c>
      <c r="AP530" s="138" t="str">
        <f>IF(OR(tblPiNHistorical[[#This Row],[WASH Old]]="", tblPiNHistorical[[#This Row],[WASH Old]]=0, tblPiNHistorical[[#This Row],[WASH New]]="", tblPiNHistorical[[#This Row],[WASH New]]=0), "", tblPiNHistorical[[#This Row],[WASH New]]-tblPiNHistorical[[#This Row],[WASH Old]])</f>
        <v/>
      </c>
      <c r="AQ530" s="139" t="str">
        <f>IFERROR(ROUND((tblPiNHistorical[[#This Row],[Site Management - New]] - tblPiNHistorical[[#This Row],[Site Management - Old]])/tblPiNHistorical[[#This Row],[Site Management - Old]], 1), "")</f>
        <v/>
      </c>
      <c r="AR530" s="140">
        <f>IFERROR(ROUND((tblPiNHistorical[[#This Row],[Education New]]-tblPiNHistorical[[#This Row],[Education Old]])/tblPiNHistorical[[#This Row],[Education Old]], 1), "")</f>
        <v>-1</v>
      </c>
      <c r="AS530" s="141">
        <f>IFERROR(ROUND((tblPiNHistorical[[#This Row],[Food Security and Livlihoods New]]-tblPiNHistorical[[#This Row],[Food Security and Livlihoods Old]])/tblPiNHistorical[[#This Row],[Food Security and Livlihoods Old]], 1), "")</f>
        <v>-1</v>
      </c>
      <c r="AT530" s="142">
        <f>IFERROR(ROUND((tblPiNHistorical[[#This Row],[Health New]]-tblPiNHistorical[[#This Row],[Health Old]])/tblPiNHistorical[[#This Row],[Health Old]], 1), "")</f>
        <v>-1</v>
      </c>
      <c r="AU530" s="140">
        <f>IFERROR(ROUND((tblPiNHistorical[[#This Row],[Nutrition New]]-tblPiNHistorical[[#This Row],[Nutrition Old]])/tblPiNHistorical[[#This Row],[Nutrition Old]], 1), "")</f>
        <v>-1</v>
      </c>
      <c r="AV530" s="140">
        <f>IFERROR(ROUND((tblPiNHistorical[[#This Row],[Protection New]]-tblPiNHistorical[[#This Row],[Protection Old]])/tblPiNHistorical[[#This Row],[Protection Old]], 1), "")</f>
        <v>-1</v>
      </c>
      <c r="AW530" s="84">
        <f>IFERROR(ROUND((tblPiNHistorical[[#This Row],[CP New]]-tblPiNHistorical[[#This Row],[CP Old ]])/tblPiNHistorical[[#This Row],[CP Old ]], 1), "")</f>
        <v>-1</v>
      </c>
      <c r="AX530" s="84">
        <f>IFERROR(ROUND((tblPiNHistorical[[#This Row],[GBV New]]-tblPiNHistorical[[#This Row],[GBV Old]])/tblPiNHistorical[[#This Row],[GBV Old]], 1), "")</f>
        <v>-1</v>
      </c>
      <c r="AY530" s="84" t="str">
        <f>IFERROR(ROUND((tblPiNHistorical[[#This Row],[Mine Action New]]-tblPiNHistorical[[#This Row],[Mine Action Old]])/tblPiNHistorical[[#This Row],[Mine Action Old]], 1), "")</f>
        <v/>
      </c>
      <c r="AZ530" s="140">
        <f>IFERROR(ROUND((tblPiNHistorical[[#This Row],[Shelter NFI New]]-tblPiNHistorical[[#This Row],[Shelter NFI Old]])/tblPiNHistorical[[#This Row],[Shelter NFI Old]], 1), "")</f>
        <v>3.5</v>
      </c>
      <c r="BA530" s="31">
        <f>IFERROR(ROUND((tblPiNHistorical[[#This Row],[WASH New]]-tblPiNHistorical[[#This Row],[WASH Old]])/tblPiNHistorical[[#This Row],[WASH Old]], 1), "")</f>
        <v>-1</v>
      </c>
    </row>
    <row r="531" spans="1:53" ht="38.25" x14ac:dyDescent="0.25">
      <c r="A531"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Host CommunitySD07094</v>
      </c>
      <c r="B531" s="134" t="s">
        <v>188</v>
      </c>
      <c r="C531" s="124" t="s">
        <v>124</v>
      </c>
      <c r="D531" s="124" t="s">
        <v>346</v>
      </c>
      <c r="E531" s="59" t="s">
        <v>347</v>
      </c>
      <c r="F531" s="54"/>
      <c r="G531" s="29"/>
      <c r="H531" s="53">
        <v>5464</v>
      </c>
      <c r="I531" s="53" t="s">
        <v>87</v>
      </c>
      <c r="J531" s="34">
        <v>0</v>
      </c>
      <c r="K531" s="116">
        <v>0</v>
      </c>
      <c r="L531" s="114">
        <v>5464</v>
      </c>
      <c r="M531" s="114">
        <v>5464</v>
      </c>
      <c r="N531" s="114">
        <v>266</v>
      </c>
      <c r="O531" s="114">
        <v>1730</v>
      </c>
      <c r="P531" s="114">
        <v>601</v>
      </c>
      <c r="Q531" s="114">
        <v>1730</v>
      </c>
      <c r="R531" s="114">
        <v>0</v>
      </c>
      <c r="S531" s="114">
        <v>0</v>
      </c>
      <c r="T531" s="196">
        <v>4465.7272000000003</v>
      </c>
      <c r="U531" s="52">
        <f>IFERROR(INDEX(tblPiNAnalysis[[Site Management ]], MATCH(tblPiNHistorical[[#This Row],[ID]], tblPiNAnalysis[ID], 0)), "")</f>
        <v>0</v>
      </c>
      <c r="V531" s="52">
        <f>IFERROR(INDEX(tblPiNAnalysis[Education], MATCH(tblPiNHistorical[[#This Row],[ID]], tblPiNAnalysis[ID], 0)), "")</f>
        <v>0</v>
      </c>
      <c r="W531" s="28">
        <f>IFERROR(INDEX(tblPiNAnalysis[Food Security and Livlihoods], MATCH(tblPiNHistorical[[#This Row],[ID]], tblPiNAnalysis[ID], 0)), "")</f>
        <v>0</v>
      </c>
      <c r="X531" s="28">
        <f>IFERROR(INDEX(tblPiNAnalysis[[Health ]], MATCH(tblPiNHistorical[[#This Row],[ID]], tblPiNAnalysis[ID], 0)), "")</f>
        <v>0</v>
      </c>
      <c r="Y531" s="28">
        <f>IFERROR(INDEX(tblPiNAnalysis[Nutrition], MATCH(tblPiNHistorical[[#This Row],[ID]], tblPiNAnalysis[ID], 0)), "")</f>
        <v>0</v>
      </c>
      <c r="Z531" s="28">
        <f>IFERROR(INDEX(tblPiNAnalysis[Protection], MATCH(tblPiNHistorical[[#This Row],[ID]], tblPiNAnalysis[ID], 0)), "")</f>
        <v>0</v>
      </c>
      <c r="AA531" s="28">
        <f>IFERROR(INDEX(tblPiNAnalysis[CP], MATCH(tblPiNHistorical[[#This Row],[ID]], tblPiNAnalysis[ID], 0)), "")</f>
        <v>0</v>
      </c>
      <c r="AB531" s="83">
        <f>IFERROR(INDEX(tblPiNAnalysis[GBV], MATCH(tblPiNHistorical[[#This Row],[ID]], tblPiNAnalysis[ID], 0)), "")</f>
        <v>0</v>
      </c>
      <c r="AC531" s="28">
        <f>IFERROR(INDEX(tblPiNAnalysis[Mine Action], MATCH(tblPiNHistorical[[#This Row],[ID]], tblPiNAnalysis[ID], 0)), "")</f>
        <v>0</v>
      </c>
      <c r="AD531" s="83">
        <f>IFERROR(INDEX(tblPiNAnalysis[[Shelter NFI ]], MATCH(tblPiNHistorical[[#This Row],[ID]], tblPiNAnalysis[ID], 0)), "")</f>
        <v>4574</v>
      </c>
      <c r="AE531" s="28">
        <f>IFERROR(INDEX(tblPiNAnalysis[WASH], MATCH(tblPiNHistorical[[#This Row],[ID]], tblPiNAnalysis[ID], 0)), "")</f>
        <v>0</v>
      </c>
      <c r="AF531"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531" s="136" t="str">
        <f>IF(OR(tblPiNHistorical[[#This Row],[Education Old]]="", tblPiNHistorical[[#This Row],[Education Old]]=0, tblPiNHistorical[[#This Row],[Education New]]="", tblPiNHistorical[[#This Row],[Education New]]=0), "", tblPiNHistorical[[#This Row],[Education New]]-tblPiNHistorical[[#This Row],[Education Old]])</f>
        <v/>
      </c>
      <c r="AH531"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531" s="137" t="str">
        <f>IF(OR(tblPiNHistorical[[#This Row],[Health Old]]="", tblPiNHistorical[[#This Row],[Health Old]]=0, tblPiNHistorical[[#This Row],[Health New]]="", tblPiNHistorical[[#This Row],[Health New]]=0), "", tblPiNHistorical[[#This Row],[Health New]]-tblPiNHistorical[[#This Row],[Health Old]])</f>
        <v/>
      </c>
      <c r="AJ531" s="136" t="str">
        <f>IF(OR(tblPiNHistorical[[#This Row],[Nutrition Old]]="", tblPiNHistorical[[#This Row],[Nutrition Old]]=0, tblPiNHistorical[[#This Row],[Nutrition New]]="", tblPiNHistorical[[#This Row],[Nutrition New]]=0), "", tblPiNHistorical[[#This Row],[Nutrition New]]-tblPiNHistorical[[#This Row],[Nutrition Old]])</f>
        <v/>
      </c>
      <c r="AK531" s="136" t="str">
        <f>IF(OR(tblPiNHistorical[[#This Row],[Protection Old]]="", tblPiNHistorical[[#This Row],[Protection Old]]=0, tblPiNHistorical[[#This Row],[Protection New]]="", tblPiNHistorical[[#This Row],[Protection New]]=0), "", tblPiNHistorical[[#This Row],[Protection New]]-tblPiNHistorical[[#This Row],[Protection Old]])</f>
        <v/>
      </c>
      <c r="AL531" s="136" t="str">
        <f>IF(OR(tblPiNHistorical[[#This Row],[CP Old ]]="", tblPiNHistorical[[#This Row],[CP Old ]]=0, tblPiNHistorical[[#This Row],[CP New]]="", tblPiNHistorical[[#This Row],[CP New]]=0), "", tblPiNHistorical[[#This Row],[CP New]]-tblPiNHistorical[[#This Row],[CP Old ]])</f>
        <v/>
      </c>
      <c r="AM531" s="83" t="str">
        <f>IF(OR(tblPiNHistorical[[#This Row],[GBV Old]]="", tblPiNHistorical[[#This Row],[GBV Old]]=0, tblPiNHistorical[[#This Row],[GBV New]]="", tblPiNHistorical[[#This Row],[GBV New]]=0), "", tblPiNHistorical[[#This Row],[GBV New]]-tblPiNHistorical[[#This Row],[GBV Old]])</f>
        <v/>
      </c>
      <c r="AN531" s="83" t="str">
        <f>IF(OR(tblPiNHistorical[[#This Row],[Mine Action Old]]="", tblPiNHistorical[[#This Row],[Mine Action Old]]=0, tblPiNHistorical[[#This Row],[Mine Action New]]="", tblPiNHistorical[[#This Row],[Mine Action New]]=0), "", tblPiNHistorical[[#This Row],[Mine Action New]]-tblPiNHistorical[[#This Row],[Mine Action Old]])</f>
        <v/>
      </c>
      <c r="AO531" s="136" t="str">
        <f>IF(OR(tblPiNHistorical[[#This Row],[Shelter NFI Old]]="", tblPiNHistorical[[#This Row],[Shelter NFI Old]]=0, tblPiNHistorical[[#This Row],[Shelter NFI New]]="", tblPiNHistorical[[#This Row],[Shelter NFI New]]=0), "", tblPiNHistorical[[#This Row],[Shelter NFI New]]-tblPiNHistorical[[#This Row],[Shelter NFI Old]])</f>
        <v/>
      </c>
      <c r="AP531" s="138" t="str">
        <f>IF(OR(tblPiNHistorical[[#This Row],[WASH Old]]="", tblPiNHistorical[[#This Row],[WASH Old]]=0, tblPiNHistorical[[#This Row],[WASH New]]="", tblPiNHistorical[[#This Row],[WASH New]]=0), "", tblPiNHistorical[[#This Row],[WASH New]]-tblPiNHistorical[[#This Row],[WASH Old]])</f>
        <v/>
      </c>
      <c r="AQ531" s="139" t="str">
        <f>IFERROR(ROUND((tblPiNHistorical[[#This Row],[Site Management - New]] - tblPiNHistorical[[#This Row],[Site Management - Old]])/tblPiNHistorical[[#This Row],[Site Management - Old]], 1), "")</f>
        <v/>
      </c>
      <c r="AR531" s="140" t="str">
        <f>IFERROR(ROUND((tblPiNHistorical[[#This Row],[Education New]]-tblPiNHistorical[[#This Row],[Education Old]])/tblPiNHistorical[[#This Row],[Education Old]], 1), "")</f>
        <v/>
      </c>
      <c r="AS531" s="141">
        <f>IFERROR(ROUND((tblPiNHistorical[[#This Row],[Food Security and Livlihoods New]]-tblPiNHistorical[[#This Row],[Food Security and Livlihoods Old]])/tblPiNHistorical[[#This Row],[Food Security and Livlihoods Old]], 1), "")</f>
        <v>-1</v>
      </c>
      <c r="AT531" s="142">
        <f>IFERROR(ROUND((tblPiNHistorical[[#This Row],[Health New]]-tblPiNHistorical[[#This Row],[Health Old]])/tblPiNHistorical[[#This Row],[Health Old]], 1), "")</f>
        <v>-1</v>
      </c>
      <c r="AU531" s="140">
        <f>IFERROR(ROUND((tblPiNHistorical[[#This Row],[Nutrition New]]-tblPiNHistorical[[#This Row],[Nutrition Old]])/tblPiNHistorical[[#This Row],[Nutrition Old]], 1), "")</f>
        <v>-1</v>
      </c>
      <c r="AV531" s="140">
        <f>IFERROR(ROUND((tblPiNHistorical[[#This Row],[Protection New]]-tblPiNHistorical[[#This Row],[Protection Old]])/tblPiNHistorical[[#This Row],[Protection Old]], 1), "")</f>
        <v>-1</v>
      </c>
      <c r="AW531" s="84">
        <f>IFERROR(ROUND((tblPiNHistorical[[#This Row],[CP New]]-tblPiNHistorical[[#This Row],[CP Old ]])/tblPiNHistorical[[#This Row],[CP Old ]], 1), "")</f>
        <v>-1</v>
      </c>
      <c r="AX531" s="84">
        <f>IFERROR(ROUND((tblPiNHistorical[[#This Row],[GBV New]]-tblPiNHistorical[[#This Row],[GBV Old]])/tblPiNHistorical[[#This Row],[GBV Old]], 1), "")</f>
        <v>-1</v>
      </c>
      <c r="AY531" s="84" t="str">
        <f>IFERROR(ROUND((tblPiNHistorical[[#This Row],[Mine Action New]]-tblPiNHistorical[[#This Row],[Mine Action Old]])/tblPiNHistorical[[#This Row],[Mine Action Old]], 1), "")</f>
        <v/>
      </c>
      <c r="AZ531" s="140" t="str">
        <f>IFERROR(ROUND((tblPiNHistorical[[#This Row],[Shelter NFI New]]-tblPiNHistorical[[#This Row],[Shelter NFI Old]])/tblPiNHistorical[[#This Row],[Shelter NFI Old]], 1), "")</f>
        <v/>
      </c>
      <c r="BA531" s="31">
        <f>IFERROR(ROUND((tblPiNHistorical[[#This Row],[WASH New]]-tblPiNHistorical[[#This Row],[WASH Old]])/tblPiNHistorical[[#This Row],[WASH Old]], 1), "")</f>
        <v>-1</v>
      </c>
    </row>
    <row r="532" spans="1:53" ht="38.25" x14ac:dyDescent="0.25">
      <c r="A532"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Host CommunitySD07093</v>
      </c>
      <c r="B532" s="134" t="s">
        <v>188</v>
      </c>
      <c r="C532" s="124" t="s">
        <v>124</v>
      </c>
      <c r="D532" s="124" t="s">
        <v>344</v>
      </c>
      <c r="E532" s="59" t="s">
        <v>345</v>
      </c>
      <c r="F532" s="54"/>
      <c r="G532" s="29"/>
      <c r="H532" s="53">
        <v>20394</v>
      </c>
      <c r="I532" s="53" t="s">
        <v>87</v>
      </c>
      <c r="J532" s="34">
        <v>0</v>
      </c>
      <c r="K532" s="116">
        <v>0</v>
      </c>
      <c r="L532" s="114">
        <v>20394</v>
      </c>
      <c r="M532" s="114">
        <v>20394</v>
      </c>
      <c r="N532" s="114">
        <v>1403</v>
      </c>
      <c r="O532" s="114">
        <v>10197</v>
      </c>
      <c r="P532" s="114">
        <v>2243</v>
      </c>
      <c r="Q532" s="114">
        <v>6458</v>
      </c>
      <c r="R532" s="114">
        <v>10197</v>
      </c>
      <c r="S532" s="114">
        <v>0</v>
      </c>
      <c r="T532" s="196">
        <v>17897.774400000002</v>
      </c>
      <c r="U532" s="52">
        <f>IFERROR(INDEX(tblPiNAnalysis[[Site Management ]], MATCH(tblPiNHistorical[[#This Row],[ID]], tblPiNAnalysis[ID], 0)), "")</f>
        <v>0</v>
      </c>
      <c r="V532" s="52">
        <f>IFERROR(INDEX(tblPiNAnalysis[Education], MATCH(tblPiNHistorical[[#This Row],[ID]], tblPiNAnalysis[ID], 0)), "")</f>
        <v>0</v>
      </c>
      <c r="W532" s="28">
        <f>IFERROR(INDEX(tblPiNAnalysis[Food Security and Livlihoods], MATCH(tblPiNHistorical[[#This Row],[ID]], tblPiNAnalysis[ID], 0)), "")</f>
        <v>0</v>
      </c>
      <c r="X532" s="28">
        <f>IFERROR(INDEX(tblPiNAnalysis[[Health ]], MATCH(tblPiNHistorical[[#This Row],[ID]], tblPiNAnalysis[ID], 0)), "")</f>
        <v>0</v>
      </c>
      <c r="Y532" s="28">
        <f>IFERROR(INDEX(tblPiNAnalysis[Nutrition], MATCH(tblPiNHistorical[[#This Row],[ID]], tblPiNAnalysis[ID], 0)), "")</f>
        <v>0</v>
      </c>
      <c r="Z532" s="28">
        <f>IFERROR(INDEX(tblPiNAnalysis[Protection], MATCH(tblPiNHistorical[[#This Row],[ID]], tblPiNAnalysis[ID], 0)), "")</f>
        <v>0</v>
      </c>
      <c r="AA532" s="28">
        <f>IFERROR(INDEX(tblPiNAnalysis[CP], MATCH(tblPiNHistorical[[#This Row],[ID]], tblPiNAnalysis[ID], 0)), "")</f>
        <v>0</v>
      </c>
      <c r="AB532" s="83">
        <f>IFERROR(INDEX(tblPiNAnalysis[GBV], MATCH(tblPiNHistorical[[#This Row],[ID]], tblPiNAnalysis[ID], 0)), "")</f>
        <v>0</v>
      </c>
      <c r="AC532" s="28">
        <f>IFERROR(INDEX(tblPiNAnalysis[Mine Action], MATCH(tblPiNHistorical[[#This Row],[ID]], tblPiNAnalysis[ID], 0)), "")</f>
        <v>0</v>
      </c>
      <c r="AD532" s="83">
        <f>IFERROR(INDEX(tblPiNAnalysis[[Shelter NFI ]], MATCH(tblPiNHistorical[[#This Row],[ID]], tblPiNAnalysis[ID], 0)), "")</f>
        <v>11206</v>
      </c>
      <c r="AE532" s="28">
        <f>IFERROR(INDEX(tblPiNAnalysis[WASH], MATCH(tblPiNHistorical[[#This Row],[ID]], tblPiNAnalysis[ID], 0)), "")</f>
        <v>0</v>
      </c>
      <c r="AF532"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532" s="136" t="str">
        <f>IF(OR(tblPiNHistorical[[#This Row],[Education Old]]="", tblPiNHistorical[[#This Row],[Education Old]]=0, tblPiNHistorical[[#This Row],[Education New]]="", tblPiNHistorical[[#This Row],[Education New]]=0), "", tblPiNHistorical[[#This Row],[Education New]]-tblPiNHistorical[[#This Row],[Education Old]])</f>
        <v/>
      </c>
      <c r="AH532"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532" s="137" t="str">
        <f>IF(OR(tblPiNHistorical[[#This Row],[Health Old]]="", tblPiNHistorical[[#This Row],[Health Old]]=0, tblPiNHistorical[[#This Row],[Health New]]="", tblPiNHistorical[[#This Row],[Health New]]=0), "", tblPiNHistorical[[#This Row],[Health New]]-tblPiNHistorical[[#This Row],[Health Old]])</f>
        <v/>
      </c>
      <c r="AJ532" s="136" t="str">
        <f>IF(OR(tblPiNHistorical[[#This Row],[Nutrition Old]]="", tblPiNHistorical[[#This Row],[Nutrition Old]]=0, tblPiNHistorical[[#This Row],[Nutrition New]]="", tblPiNHistorical[[#This Row],[Nutrition New]]=0), "", tblPiNHistorical[[#This Row],[Nutrition New]]-tblPiNHistorical[[#This Row],[Nutrition Old]])</f>
        <v/>
      </c>
      <c r="AK532" s="136" t="str">
        <f>IF(OR(tblPiNHistorical[[#This Row],[Protection Old]]="", tblPiNHistorical[[#This Row],[Protection Old]]=0, tblPiNHistorical[[#This Row],[Protection New]]="", tblPiNHistorical[[#This Row],[Protection New]]=0), "", tblPiNHistorical[[#This Row],[Protection New]]-tblPiNHistorical[[#This Row],[Protection Old]])</f>
        <v/>
      </c>
      <c r="AL532" s="136" t="str">
        <f>IF(OR(tblPiNHistorical[[#This Row],[CP Old ]]="", tblPiNHistorical[[#This Row],[CP Old ]]=0, tblPiNHistorical[[#This Row],[CP New]]="", tblPiNHistorical[[#This Row],[CP New]]=0), "", tblPiNHistorical[[#This Row],[CP New]]-tblPiNHistorical[[#This Row],[CP Old ]])</f>
        <v/>
      </c>
      <c r="AM532" s="83" t="str">
        <f>IF(OR(tblPiNHistorical[[#This Row],[GBV Old]]="", tblPiNHistorical[[#This Row],[GBV Old]]=0, tblPiNHistorical[[#This Row],[GBV New]]="", tblPiNHistorical[[#This Row],[GBV New]]=0), "", tblPiNHistorical[[#This Row],[GBV New]]-tblPiNHistorical[[#This Row],[GBV Old]])</f>
        <v/>
      </c>
      <c r="AN532" s="83" t="str">
        <f>IF(OR(tblPiNHistorical[[#This Row],[Mine Action Old]]="", tblPiNHistorical[[#This Row],[Mine Action Old]]=0, tblPiNHistorical[[#This Row],[Mine Action New]]="", tblPiNHistorical[[#This Row],[Mine Action New]]=0), "", tblPiNHistorical[[#This Row],[Mine Action New]]-tblPiNHistorical[[#This Row],[Mine Action Old]])</f>
        <v/>
      </c>
      <c r="AO532" s="136" t="str">
        <f>IF(OR(tblPiNHistorical[[#This Row],[Shelter NFI Old]]="", tblPiNHistorical[[#This Row],[Shelter NFI Old]]=0, tblPiNHistorical[[#This Row],[Shelter NFI New]]="", tblPiNHistorical[[#This Row],[Shelter NFI New]]=0), "", tblPiNHistorical[[#This Row],[Shelter NFI New]]-tblPiNHistorical[[#This Row],[Shelter NFI Old]])</f>
        <v/>
      </c>
      <c r="AP532" s="138" t="str">
        <f>IF(OR(tblPiNHistorical[[#This Row],[WASH Old]]="", tblPiNHistorical[[#This Row],[WASH Old]]=0, tblPiNHistorical[[#This Row],[WASH New]]="", tblPiNHistorical[[#This Row],[WASH New]]=0), "", tblPiNHistorical[[#This Row],[WASH New]]-tblPiNHistorical[[#This Row],[WASH Old]])</f>
        <v/>
      </c>
      <c r="AQ532" s="139" t="str">
        <f>IFERROR(ROUND((tblPiNHistorical[[#This Row],[Site Management - New]] - tblPiNHistorical[[#This Row],[Site Management - Old]])/tblPiNHistorical[[#This Row],[Site Management - Old]], 1), "")</f>
        <v/>
      </c>
      <c r="AR532" s="140" t="str">
        <f>IFERROR(ROUND((tblPiNHistorical[[#This Row],[Education New]]-tblPiNHistorical[[#This Row],[Education Old]])/tblPiNHistorical[[#This Row],[Education Old]], 1), "")</f>
        <v/>
      </c>
      <c r="AS532" s="141">
        <f>IFERROR(ROUND((tblPiNHistorical[[#This Row],[Food Security and Livlihoods New]]-tblPiNHistorical[[#This Row],[Food Security and Livlihoods Old]])/tblPiNHistorical[[#This Row],[Food Security and Livlihoods Old]], 1), "")</f>
        <v>-1</v>
      </c>
      <c r="AT532" s="142">
        <f>IFERROR(ROUND((tblPiNHistorical[[#This Row],[Health New]]-tblPiNHistorical[[#This Row],[Health Old]])/tblPiNHistorical[[#This Row],[Health Old]], 1), "")</f>
        <v>-1</v>
      </c>
      <c r="AU532" s="140">
        <f>IFERROR(ROUND((tblPiNHistorical[[#This Row],[Nutrition New]]-tblPiNHistorical[[#This Row],[Nutrition Old]])/tblPiNHistorical[[#This Row],[Nutrition Old]], 1), "")</f>
        <v>-1</v>
      </c>
      <c r="AV532" s="140">
        <f>IFERROR(ROUND((tblPiNHistorical[[#This Row],[Protection New]]-tblPiNHistorical[[#This Row],[Protection Old]])/tblPiNHistorical[[#This Row],[Protection Old]], 1), "")</f>
        <v>-1</v>
      </c>
      <c r="AW532" s="84">
        <f>IFERROR(ROUND((tblPiNHistorical[[#This Row],[CP New]]-tblPiNHistorical[[#This Row],[CP Old ]])/tblPiNHistorical[[#This Row],[CP Old ]], 1), "")</f>
        <v>-1</v>
      </c>
      <c r="AX532" s="84">
        <f>IFERROR(ROUND((tblPiNHistorical[[#This Row],[GBV New]]-tblPiNHistorical[[#This Row],[GBV Old]])/tblPiNHistorical[[#This Row],[GBV Old]], 1), "")</f>
        <v>-1</v>
      </c>
      <c r="AY532" s="84">
        <f>IFERROR(ROUND((tblPiNHistorical[[#This Row],[Mine Action New]]-tblPiNHistorical[[#This Row],[Mine Action Old]])/tblPiNHistorical[[#This Row],[Mine Action Old]], 1), "")</f>
        <v>-1</v>
      </c>
      <c r="AZ532" s="140" t="str">
        <f>IFERROR(ROUND((tblPiNHistorical[[#This Row],[Shelter NFI New]]-tblPiNHistorical[[#This Row],[Shelter NFI Old]])/tblPiNHistorical[[#This Row],[Shelter NFI Old]], 1), "")</f>
        <v/>
      </c>
      <c r="BA532" s="31">
        <f>IFERROR(ROUND((tblPiNHistorical[[#This Row],[WASH New]]-tblPiNHistorical[[#This Row],[WASH Old]])/tblPiNHistorical[[#This Row],[WASH Old]], 1), "")</f>
        <v>-1</v>
      </c>
    </row>
    <row r="533" spans="1:53" ht="38.25" x14ac:dyDescent="0.25">
      <c r="A533"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Host CommunitySD07097</v>
      </c>
      <c r="B533" s="134" t="s">
        <v>188</v>
      </c>
      <c r="C533" s="124" t="s">
        <v>124</v>
      </c>
      <c r="D533" s="124" t="s">
        <v>352</v>
      </c>
      <c r="E533" s="59" t="s">
        <v>353</v>
      </c>
      <c r="F533" s="54"/>
      <c r="G533" s="29"/>
      <c r="H533" s="53">
        <v>21147</v>
      </c>
      <c r="I533" s="53" t="s">
        <v>87</v>
      </c>
      <c r="J533" s="34">
        <v>0</v>
      </c>
      <c r="K533" s="116">
        <v>8198.6918999999998</v>
      </c>
      <c r="L533" s="114">
        <v>21147</v>
      </c>
      <c r="M533" s="114">
        <v>21147</v>
      </c>
      <c r="N533" s="114">
        <v>2034</v>
      </c>
      <c r="O533" s="114">
        <v>6696</v>
      </c>
      <c r="P533" s="114">
        <v>2326</v>
      </c>
      <c r="Q533" s="114">
        <v>6696</v>
      </c>
      <c r="R533" s="114">
        <v>2114.7000000000003</v>
      </c>
      <c r="S533" s="114">
        <v>4229</v>
      </c>
      <c r="T533" s="196">
        <v>16128.8169</v>
      </c>
      <c r="U533" s="52">
        <f>IFERROR(INDEX(tblPiNAnalysis[[Site Management ]], MATCH(tblPiNHistorical[[#This Row],[ID]], tblPiNAnalysis[ID], 0)), "")</f>
        <v>0</v>
      </c>
      <c r="V533" s="52">
        <f>IFERROR(INDEX(tblPiNAnalysis[Education], MATCH(tblPiNHistorical[[#This Row],[ID]], tblPiNAnalysis[ID], 0)), "")</f>
        <v>0</v>
      </c>
      <c r="W533" s="28">
        <f>IFERROR(INDEX(tblPiNAnalysis[Food Security and Livlihoods], MATCH(tblPiNHistorical[[#This Row],[ID]], tblPiNAnalysis[ID], 0)), "")</f>
        <v>0</v>
      </c>
      <c r="X533" s="28">
        <f>IFERROR(INDEX(tblPiNAnalysis[[Health ]], MATCH(tblPiNHistorical[[#This Row],[ID]], tblPiNAnalysis[ID], 0)), "")</f>
        <v>0</v>
      </c>
      <c r="Y533" s="28">
        <f>IFERROR(INDEX(tblPiNAnalysis[Nutrition], MATCH(tblPiNHistorical[[#This Row],[ID]], tblPiNAnalysis[ID], 0)), "")</f>
        <v>0</v>
      </c>
      <c r="Z533" s="28">
        <f>IFERROR(INDEX(tblPiNAnalysis[Protection], MATCH(tblPiNHistorical[[#This Row],[ID]], tblPiNAnalysis[ID], 0)), "")</f>
        <v>0</v>
      </c>
      <c r="AA533" s="28">
        <f>IFERROR(INDEX(tblPiNAnalysis[CP], MATCH(tblPiNHistorical[[#This Row],[ID]], tblPiNAnalysis[ID], 0)), "")</f>
        <v>0</v>
      </c>
      <c r="AB533" s="83">
        <f>IFERROR(INDEX(tblPiNAnalysis[GBV], MATCH(tblPiNHistorical[[#This Row],[ID]], tblPiNAnalysis[ID], 0)), "")</f>
        <v>0</v>
      </c>
      <c r="AC533" s="28">
        <f>IFERROR(INDEX(tblPiNAnalysis[Mine Action], MATCH(tblPiNHistorical[[#This Row],[ID]], tblPiNAnalysis[ID], 0)), "")</f>
        <v>0</v>
      </c>
      <c r="AD533" s="83">
        <f>IFERROR(INDEX(tblPiNAnalysis[[Shelter NFI ]], MATCH(tblPiNHistorical[[#This Row],[ID]], tblPiNAnalysis[ID], 0)), "")</f>
        <v>369</v>
      </c>
      <c r="AE533" s="28">
        <f>IFERROR(INDEX(tblPiNAnalysis[WASH], MATCH(tblPiNHistorical[[#This Row],[ID]], tblPiNAnalysis[ID], 0)), "")</f>
        <v>0</v>
      </c>
      <c r="AF533"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533" s="136" t="str">
        <f>IF(OR(tblPiNHistorical[[#This Row],[Education Old]]="", tblPiNHistorical[[#This Row],[Education Old]]=0, tblPiNHistorical[[#This Row],[Education New]]="", tblPiNHistorical[[#This Row],[Education New]]=0), "", tblPiNHistorical[[#This Row],[Education New]]-tblPiNHistorical[[#This Row],[Education Old]])</f>
        <v/>
      </c>
      <c r="AH533"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533" s="137" t="str">
        <f>IF(OR(tblPiNHistorical[[#This Row],[Health Old]]="", tblPiNHistorical[[#This Row],[Health Old]]=0, tblPiNHistorical[[#This Row],[Health New]]="", tblPiNHistorical[[#This Row],[Health New]]=0), "", tblPiNHistorical[[#This Row],[Health New]]-tblPiNHistorical[[#This Row],[Health Old]])</f>
        <v/>
      </c>
      <c r="AJ533" s="136" t="str">
        <f>IF(OR(tblPiNHistorical[[#This Row],[Nutrition Old]]="", tblPiNHistorical[[#This Row],[Nutrition Old]]=0, tblPiNHistorical[[#This Row],[Nutrition New]]="", tblPiNHistorical[[#This Row],[Nutrition New]]=0), "", tblPiNHistorical[[#This Row],[Nutrition New]]-tblPiNHistorical[[#This Row],[Nutrition Old]])</f>
        <v/>
      </c>
      <c r="AK533" s="136" t="str">
        <f>IF(OR(tblPiNHistorical[[#This Row],[Protection Old]]="", tblPiNHistorical[[#This Row],[Protection Old]]=0, tblPiNHistorical[[#This Row],[Protection New]]="", tblPiNHistorical[[#This Row],[Protection New]]=0), "", tblPiNHistorical[[#This Row],[Protection New]]-tblPiNHistorical[[#This Row],[Protection Old]])</f>
        <v/>
      </c>
      <c r="AL533" s="136" t="str">
        <f>IF(OR(tblPiNHistorical[[#This Row],[CP Old ]]="", tblPiNHistorical[[#This Row],[CP Old ]]=0, tblPiNHistorical[[#This Row],[CP New]]="", tblPiNHistorical[[#This Row],[CP New]]=0), "", tblPiNHistorical[[#This Row],[CP New]]-tblPiNHistorical[[#This Row],[CP Old ]])</f>
        <v/>
      </c>
      <c r="AM533" s="83" t="str">
        <f>IF(OR(tblPiNHistorical[[#This Row],[GBV Old]]="", tblPiNHistorical[[#This Row],[GBV Old]]=0, tblPiNHistorical[[#This Row],[GBV New]]="", tblPiNHistorical[[#This Row],[GBV New]]=0), "", tblPiNHistorical[[#This Row],[GBV New]]-tblPiNHistorical[[#This Row],[GBV Old]])</f>
        <v/>
      </c>
      <c r="AN533" s="83" t="str">
        <f>IF(OR(tblPiNHistorical[[#This Row],[Mine Action Old]]="", tblPiNHistorical[[#This Row],[Mine Action Old]]=0, tblPiNHistorical[[#This Row],[Mine Action New]]="", tblPiNHistorical[[#This Row],[Mine Action New]]=0), "", tblPiNHistorical[[#This Row],[Mine Action New]]-tblPiNHistorical[[#This Row],[Mine Action Old]])</f>
        <v/>
      </c>
      <c r="AO533" s="136">
        <f>IF(OR(tblPiNHistorical[[#This Row],[Shelter NFI Old]]="", tblPiNHistorical[[#This Row],[Shelter NFI Old]]=0, tblPiNHistorical[[#This Row],[Shelter NFI New]]="", tblPiNHistorical[[#This Row],[Shelter NFI New]]=0), "", tblPiNHistorical[[#This Row],[Shelter NFI New]]-tblPiNHistorical[[#This Row],[Shelter NFI Old]])</f>
        <v>-3860</v>
      </c>
      <c r="AP533" s="138" t="str">
        <f>IF(OR(tblPiNHistorical[[#This Row],[WASH Old]]="", tblPiNHistorical[[#This Row],[WASH Old]]=0, tblPiNHistorical[[#This Row],[WASH New]]="", tblPiNHistorical[[#This Row],[WASH New]]=0), "", tblPiNHistorical[[#This Row],[WASH New]]-tblPiNHistorical[[#This Row],[WASH Old]])</f>
        <v/>
      </c>
      <c r="AQ533" s="139" t="str">
        <f>IFERROR(ROUND((tblPiNHistorical[[#This Row],[Site Management - New]] - tblPiNHistorical[[#This Row],[Site Management - Old]])/tblPiNHistorical[[#This Row],[Site Management - Old]], 1), "")</f>
        <v/>
      </c>
      <c r="AR533" s="140">
        <f>IFERROR(ROUND((tblPiNHistorical[[#This Row],[Education New]]-tblPiNHistorical[[#This Row],[Education Old]])/tblPiNHistorical[[#This Row],[Education Old]], 1), "")</f>
        <v>-1</v>
      </c>
      <c r="AS533" s="141">
        <f>IFERROR(ROUND((tblPiNHistorical[[#This Row],[Food Security and Livlihoods New]]-tblPiNHistorical[[#This Row],[Food Security and Livlihoods Old]])/tblPiNHistorical[[#This Row],[Food Security and Livlihoods Old]], 1), "")</f>
        <v>-1</v>
      </c>
      <c r="AT533" s="142">
        <f>IFERROR(ROUND((tblPiNHistorical[[#This Row],[Health New]]-tblPiNHistorical[[#This Row],[Health Old]])/tblPiNHistorical[[#This Row],[Health Old]], 1), "")</f>
        <v>-1</v>
      </c>
      <c r="AU533" s="140">
        <f>IFERROR(ROUND((tblPiNHistorical[[#This Row],[Nutrition New]]-tblPiNHistorical[[#This Row],[Nutrition Old]])/tblPiNHistorical[[#This Row],[Nutrition Old]], 1), "")</f>
        <v>-1</v>
      </c>
      <c r="AV533" s="140">
        <f>IFERROR(ROUND((tblPiNHistorical[[#This Row],[Protection New]]-tblPiNHistorical[[#This Row],[Protection Old]])/tblPiNHistorical[[#This Row],[Protection Old]], 1), "")</f>
        <v>-1</v>
      </c>
      <c r="AW533" s="84">
        <f>IFERROR(ROUND((tblPiNHistorical[[#This Row],[CP New]]-tblPiNHistorical[[#This Row],[CP Old ]])/tblPiNHistorical[[#This Row],[CP Old ]], 1), "")</f>
        <v>-1</v>
      </c>
      <c r="AX533" s="84">
        <f>IFERROR(ROUND((tblPiNHistorical[[#This Row],[GBV New]]-tblPiNHistorical[[#This Row],[GBV Old]])/tblPiNHistorical[[#This Row],[GBV Old]], 1), "")</f>
        <v>-1</v>
      </c>
      <c r="AY533" s="84">
        <f>IFERROR(ROUND((tblPiNHistorical[[#This Row],[Mine Action New]]-tblPiNHistorical[[#This Row],[Mine Action Old]])/tblPiNHistorical[[#This Row],[Mine Action Old]], 1), "")</f>
        <v>-1</v>
      </c>
      <c r="AZ533" s="140">
        <f>IFERROR(ROUND((tblPiNHistorical[[#This Row],[Shelter NFI New]]-tblPiNHistorical[[#This Row],[Shelter NFI Old]])/tblPiNHistorical[[#This Row],[Shelter NFI Old]], 1), "")</f>
        <v>-0.9</v>
      </c>
      <c r="BA533" s="31">
        <f>IFERROR(ROUND((tblPiNHistorical[[#This Row],[WASH New]]-tblPiNHistorical[[#This Row],[WASH Old]])/tblPiNHistorical[[#This Row],[WASH Old]], 1), "")</f>
        <v>-1</v>
      </c>
    </row>
    <row r="534" spans="1:53" ht="38.25" x14ac:dyDescent="0.25">
      <c r="A534"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Host CommunitySD07106</v>
      </c>
      <c r="B534" s="134" t="s">
        <v>188</v>
      </c>
      <c r="C534" s="124" t="s">
        <v>124</v>
      </c>
      <c r="D534" s="124" t="s">
        <v>364</v>
      </c>
      <c r="E534" s="59" t="s">
        <v>365</v>
      </c>
      <c r="F534" s="54"/>
      <c r="G534" s="29"/>
      <c r="H534" s="53">
        <v>3023</v>
      </c>
      <c r="I534" s="53" t="s">
        <v>87</v>
      </c>
      <c r="J534" s="34">
        <v>0</v>
      </c>
      <c r="K534" s="116">
        <v>1172.0171</v>
      </c>
      <c r="L534" s="114">
        <v>3023</v>
      </c>
      <c r="M534" s="114">
        <v>3023</v>
      </c>
      <c r="N534" s="114">
        <v>904</v>
      </c>
      <c r="O534" s="114">
        <v>798</v>
      </c>
      <c r="P534" s="114">
        <v>333</v>
      </c>
      <c r="Q534" s="114">
        <v>798</v>
      </c>
      <c r="R534" s="114">
        <v>0</v>
      </c>
      <c r="S534" s="114">
        <v>605</v>
      </c>
      <c r="T534" s="196">
        <v>2899.6615999999999</v>
      </c>
      <c r="U534" s="52">
        <f>IFERROR(INDEX(tblPiNAnalysis[[Site Management ]], MATCH(tblPiNHistorical[[#This Row],[ID]], tblPiNAnalysis[ID], 0)), "")</f>
        <v>0</v>
      </c>
      <c r="V534" s="52">
        <f>IFERROR(INDEX(tblPiNAnalysis[Education], MATCH(tblPiNHistorical[[#This Row],[ID]], tblPiNAnalysis[ID], 0)), "")</f>
        <v>0</v>
      </c>
      <c r="W534" s="28">
        <f>IFERROR(INDEX(tblPiNAnalysis[Food Security and Livlihoods], MATCH(tblPiNHistorical[[#This Row],[ID]], tblPiNAnalysis[ID], 0)), "")</f>
        <v>0</v>
      </c>
      <c r="X534" s="28">
        <f>IFERROR(INDEX(tblPiNAnalysis[[Health ]], MATCH(tblPiNHistorical[[#This Row],[ID]], tblPiNAnalysis[ID], 0)), "")</f>
        <v>0</v>
      </c>
      <c r="Y534" s="28">
        <f>IFERROR(INDEX(tblPiNAnalysis[Nutrition], MATCH(tblPiNHistorical[[#This Row],[ID]], tblPiNAnalysis[ID], 0)), "")</f>
        <v>0</v>
      </c>
      <c r="Z534" s="28">
        <f>IFERROR(INDEX(tblPiNAnalysis[Protection], MATCH(tblPiNHistorical[[#This Row],[ID]], tblPiNAnalysis[ID], 0)), "")</f>
        <v>0</v>
      </c>
      <c r="AA534" s="28">
        <f>IFERROR(INDEX(tblPiNAnalysis[CP], MATCH(tblPiNHistorical[[#This Row],[ID]], tblPiNAnalysis[ID], 0)), "")</f>
        <v>0</v>
      </c>
      <c r="AB534" s="83">
        <f>IFERROR(INDEX(tblPiNAnalysis[GBV], MATCH(tblPiNHistorical[[#This Row],[ID]], tblPiNAnalysis[ID], 0)), "")</f>
        <v>0</v>
      </c>
      <c r="AC534" s="28">
        <f>IFERROR(INDEX(tblPiNAnalysis[Mine Action], MATCH(tblPiNHistorical[[#This Row],[ID]], tblPiNAnalysis[ID], 0)), "")</f>
        <v>0</v>
      </c>
      <c r="AD534" s="83">
        <f>IFERROR(INDEX(tblPiNAnalysis[[Shelter NFI ]], MATCH(tblPiNHistorical[[#This Row],[ID]], tblPiNAnalysis[ID], 0)), "")</f>
        <v>1286</v>
      </c>
      <c r="AE534" s="28">
        <f>IFERROR(INDEX(tblPiNAnalysis[WASH], MATCH(tblPiNHistorical[[#This Row],[ID]], tblPiNAnalysis[ID], 0)), "")</f>
        <v>0</v>
      </c>
      <c r="AF534"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534" s="136" t="str">
        <f>IF(OR(tblPiNHistorical[[#This Row],[Education Old]]="", tblPiNHistorical[[#This Row],[Education Old]]=0, tblPiNHistorical[[#This Row],[Education New]]="", tblPiNHistorical[[#This Row],[Education New]]=0), "", tblPiNHistorical[[#This Row],[Education New]]-tblPiNHistorical[[#This Row],[Education Old]])</f>
        <v/>
      </c>
      <c r="AH534"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534" s="137" t="str">
        <f>IF(OR(tblPiNHistorical[[#This Row],[Health Old]]="", tblPiNHistorical[[#This Row],[Health Old]]=0, tblPiNHistorical[[#This Row],[Health New]]="", tblPiNHistorical[[#This Row],[Health New]]=0), "", tblPiNHistorical[[#This Row],[Health New]]-tblPiNHistorical[[#This Row],[Health Old]])</f>
        <v/>
      </c>
      <c r="AJ534" s="136" t="str">
        <f>IF(OR(tblPiNHistorical[[#This Row],[Nutrition Old]]="", tblPiNHistorical[[#This Row],[Nutrition Old]]=0, tblPiNHistorical[[#This Row],[Nutrition New]]="", tblPiNHistorical[[#This Row],[Nutrition New]]=0), "", tblPiNHistorical[[#This Row],[Nutrition New]]-tblPiNHistorical[[#This Row],[Nutrition Old]])</f>
        <v/>
      </c>
      <c r="AK534" s="136" t="str">
        <f>IF(OR(tblPiNHistorical[[#This Row],[Protection Old]]="", tblPiNHistorical[[#This Row],[Protection Old]]=0, tblPiNHistorical[[#This Row],[Protection New]]="", tblPiNHistorical[[#This Row],[Protection New]]=0), "", tblPiNHistorical[[#This Row],[Protection New]]-tblPiNHistorical[[#This Row],[Protection Old]])</f>
        <v/>
      </c>
      <c r="AL534" s="136" t="str">
        <f>IF(OR(tblPiNHistorical[[#This Row],[CP Old ]]="", tblPiNHistorical[[#This Row],[CP Old ]]=0, tblPiNHistorical[[#This Row],[CP New]]="", tblPiNHistorical[[#This Row],[CP New]]=0), "", tblPiNHistorical[[#This Row],[CP New]]-tblPiNHistorical[[#This Row],[CP Old ]])</f>
        <v/>
      </c>
      <c r="AM534" s="83" t="str">
        <f>IF(OR(tblPiNHistorical[[#This Row],[GBV Old]]="", tblPiNHistorical[[#This Row],[GBV Old]]=0, tblPiNHistorical[[#This Row],[GBV New]]="", tblPiNHistorical[[#This Row],[GBV New]]=0), "", tblPiNHistorical[[#This Row],[GBV New]]-tblPiNHistorical[[#This Row],[GBV Old]])</f>
        <v/>
      </c>
      <c r="AN534" s="83" t="str">
        <f>IF(OR(tblPiNHistorical[[#This Row],[Mine Action Old]]="", tblPiNHistorical[[#This Row],[Mine Action Old]]=0, tblPiNHistorical[[#This Row],[Mine Action New]]="", tblPiNHistorical[[#This Row],[Mine Action New]]=0), "", tblPiNHistorical[[#This Row],[Mine Action New]]-tblPiNHistorical[[#This Row],[Mine Action Old]])</f>
        <v/>
      </c>
      <c r="AO534" s="136">
        <f>IF(OR(tblPiNHistorical[[#This Row],[Shelter NFI Old]]="", tblPiNHistorical[[#This Row],[Shelter NFI Old]]=0, tblPiNHistorical[[#This Row],[Shelter NFI New]]="", tblPiNHistorical[[#This Row],[Shelter NFI New]]=0), "", tblPiNHistorical[[#This Row],[Shelter NFI New]]-tblPiNHistorical[[#This Row],[Shelter NFI Old]])</f>
        <v>681</v>
      </c>
      <c r="AP534" s="138" t="str">
        <f>IF(OR(tblPiNHistorical[[#This Row],[WASH Old]]="", tblPiNHistorical[[#This Row],[WASH Old]]=0, tblPiNHistorical[[#This Row],[WASH New]]="", tblPiNHistorical[[#This Row],[WASH New]]=0), "", tblPiNHistorical[[#This Row],[WASH New]]-tblPiNHistorical[[#This Row],[WASH Old]])</f>
        <v/>
      </c>
      <c r="AQ534" s="139" t="str">
        <f>IFERROR(ROUND((tblPiNHistorical[[#This Row],[Site Management - New]] - tblPiNHistorical[[#This Row],[Site Management - Old]])/tblPiNHistorical[[#This Row],[Site Management - Old]], 1), "")</f>
        <v/>
      </c>
      <c r="AR534" s="140">
        <f>IFERROR(ROUND((tblPiNHistorical[[#This Row],[Education New]]-tblPiNHistorical[[#This Row],[Education Old]])/tblPiNHistorical[[#This Row],[Education Old]], 1), "")</f>
        <v>-1</v>
      </c>
      <c r="AS534" s="141">
        <f>IFERROR(ROUND((tblPiNHistorical[[#This Row],[Food Security and Livlihoods New]]-tblPiNHistorical[[#This Row],[Food Security and Livlihoods Old]])/tblPiNHistorical[[#This Row],[Food Security and Livlihoods Old]], 1), "")</f>
        <v>-1</v>
      </c>
      <c r="AT534" s="142">
        <f>IFERROR(ROUND((tblPiNHistorical[[#This Row],[Health New]]-tblPiNHistorical[[#This Row],[Health Old]])/tblPiNHistorical[[#This Row],[Health Old]], 1), "")</f>
        <v>-1</v>
      </c>
      <c r="AU534" s="140">
        <f>IFERROR(ROUND((tblPiNHistorical[[#This Row],[Nutrition New]]-tblPiNHistorical[[#This Row],[Nutrition Old]])/tblPiNHistorical[[#This Row],[Nutrition Old]], 1), "")</f>
        <v>-1</v>
      </c>
      <c r="AV534" s="140">
        <f>IFERROR(ROUND((tblPiNHistorical[[#This Row],[Protection New]]-tblPiNHistorical[[#This Row],[Protection Old]])/tblPiNHistorical[[#This Row],[Protection Old]], 1), "")</f>
        <v>-1</v>
      </c>
      <c r="AW534" s="84">
        <f>IFERROR(ROUND((tblPiNHistorical[[#This Row],[CP New]]-tblPiNHistorical[[#This Row],[CP Old ]])/tblPiNHistorical[[#This Row],[CP Old ]], 1), "")</f>
        <v>-1</v>
      </c>
      <c r="AX534" s="84">
        <f>IFERROR(ROUND((tblPiNHistorical[[#This Row],[GBV New]]-tblPiNHistorical[[#This Row],[GBV Old]])/tblPiNHistorical[[#This Row],[GBV Old]], 1), "")</f>
        <v>-1</v>
      </c>
      <c r="AY534" s="84" t="str">
        <f>IFERROR(ROUND((tblPiNHistorical[[#This Row],[Mine Action New]]-tblPiNHistorical[[#This Row],[Mine Action Old]])/tblPiNHistorical[[#This Row],[Mine Action Old]], 1), "")</f>
        <v/>
      </c>
      <c r="AZ534" s="140">
        <f>IFERROR(ROUND((tblPiNHistorical[[#This Row],[Shelter NFI New]]-tblPiNHistorical[[#This Row],[Shelter NFI Old]])/tblPiNHistorical[[#This Row],[Shelter NFI Old]], 1), "")</f>
        <v>1.1000000000000001</v>
      </c>
      <c r="BA534" s="31">
        <f>IFERROR(ROUND((tblPiNHistorical[[#This Row],[WASH New]]-tblPiNHistorical[[#This Row],[WASH Old]])/tblPiNHistorical[[#This Row],[WASH Old]], 1), "")</f>
        <v>-1</v>
      </c>
    </row>
    <row r="535" spans="1:53" ht="38.25" x14ac:dyDescent="0.25">
      <c r="A535"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Host CommunitySD07107</v>
      </c>
      <c r="B535" s="134" t="s">
        <v>188</v>
      </c>
      <c r="C535" s="124" t="s">
        <v>124</v>
      </c>
      <c r="D535" s="124" t="s">
        <v>366</v>
      </c>
      <c r="E535" s="59" t="s">
        <v>367</v>
      </c>
      <c r="F535" s="54"/>
      <c r="G535" s="29"/>
      <c r="H535" s="53">
        <v>4066</v>
      </c>
      <c r="I535" s="53" t="s">
        <v>87</v>
      </c>
      <c r="J535" s="34">
        <v>0</v>
      </c>
      <c r="K535" s="116">
        <v>1576.3881999999999</v>
      </c>
      <c r="L535" s="114">
        <v>4066</v>
      </c>
      <c r="M535" s="114">
        <v>4066</v>
      </c>
      <c r="N535" s="114">
        <v>220</v>
      </c>
      <c r="O535" s="114">
        <v>1288</v>
      </c>
      <c r="P535" s="114">
        <v>447</v>
      </c>
      <c r="Q535" s="114">
        <v>1288</v>
      </c>
      <c r="R535" s="114">
        <v>406.6</v>
      </c>
      <c r="S535" s="114">
        <v>0</v>
      </c>
      <c r="T535" s="196">
        <v>2951.5093999999999</v>
      </c>
      <c r="U535" s="52">
        <f>IFERROR(INDEX(tblPiNAnalysis[[Site Management ]], MATCH(tblPiNHistorical[[#This Row],[ID]], tblPiNAnalysis[ID], 0)), "")</f>
        <v>0</v>
      </c>
      <c r="V535" s="52">
        <f>IFERROR(INDEX(tblPiNAnalysis[Education], MATCH(tblPiNHistorical[[#This Row],[ID]], tblPiNAnalysis[ID], 0)), "")</f>
        <v>0</v>
      </c>
      <c r="W535" s="28">
        <f>IFERROR(INDEX(tblPiNAnalysis[Food Security and Livlihoods], MATCH(tblPiNHistorical[[#This Row],[ID]], tblPiNAnalysis[ID], 0)), "")</f>
        <v>0</v>
      </c>
      <c r="X535" s="28">
        <f>IFERROR(INDEX(tblPiNAnalysis[[Health ]], MATCH(tblPiNHistorical[[#This Row],[ID]], tblPiNAnalysis[ID], 0)), "")</f>
        <v>0</v>
      </c>
      <c r="Y535" s="28">
        <f>IFERROR(INDEX(tblPiNAnalysis[Nutrition], MATCH(tblPiNHistorical[[#This Row],[ID]], tblPiNAnalysis[ID], 0)), "")</f>
        <v>0</v>
      </c>
      <c r="Z535" s="28">
        <f>IFERROR(INDEX(tblPiNAnalysis[Protection], MATCH(tblPiNHistorical[[#This Row],[ID]], tblPiNAnalysis[ID], 0)), "")</f>
        <v>0</v>
      </c>
      <c r="AA535" s="28">
        <f>IFERROR(INDEX(tblPiNAnalysis[CP], MATCH(tblPiNHistorical[[#This Row],[ID]], tblPiNAnalysis[ID], 0)), "")</f>
        <v>0</v>
      </c>
      <c r="AB535" s="83">
        <f>IFERROR(INDEX(tblPiNAnalysis[GBV], MATCH(tblPiNHistorical[[#This Row],[ID]], tblPiNAnalysis[ID], 0)), "")</f>
        <v>0</v>
      </c>
      <c r="AC535" s="28">
        <f>IFERROR(INDEX(tblPiNAnalysis[Mine Action], MATCH(tblPiNHistorical[[#This Row],[ID]], tblPiNAnalysis[ID], 0)), "")</f>
        <v>0</v>
      </c>
      <c r="AD535" s="83">
        <f>IFERROR(INDEX(tblPiNAnalysis[[Shelter NFI ]], MATCH(tblPiNHistorical[[#This Row],[ID]], tblPiNAnalysis[ID], 0)), "")</f>
        <v>3117</v>
      </c>
      <c r="AE535" s="28">
        <f>IFERROR(INDEX(tblPiNAnalysis[WASH], MATCH(tblPiNHistorical[[#This Row],[ID]], tblPiNAnalysis[ID], 0)), "")</f>
        <v>0</v>
      </c>
      <c r="AF535"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535" s="136" t="str">
        <f>IF(OR(tblPiNHistorical[[#This Row],[Education Old]]="", tblPiNHistorical[[#This Row],[Education Old]]=0, tblPiNHistorical[[#This Row],[Education New]]="", tblPiNHistorical[[#This Row],[Education New]]=0), "", tblPiNHistorical[[#This Row],[Education New]]-tblPiNHistorical[[#This Row],[Education Old]])</f>
        <v/>
      </c>
      <c r="AH535"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535" s="137" t="str">
        <f>IF(OR(tblPiNHistorical[[#This Row],[Health Old]]="", tblPiNHistorical[[#This Row],[Health Old]]=0, tblPiNHistorical[[#This Row],[Health New]]="", tblPiNHistorical[[#This Row],[Health New]]=0), "", tblPiNHistorical[[#This Row],[Health New]]-tblPiNHistorical[[#This Row],[Health Old]])</f>
        <v/>
      </c>
      <c r="AJ535" s="136" t="str">
        <f>IF(OR(tblPiNHistorical[[#This Row],[Nutrition Old]]="", tblPiNHistorical[[#This Row],[Nutrition Old]]=0, tblPiNHistorical[[#This Row],[Nutrition New]]="", tblPiNHistorical[[#This Row],[Nutrition New]]=0), "", tblPiNHistorical[[#This Row],[Nutrition New]]-tblPiNHistorical[[#This Row],[Nutrition Old]])</f>
        <v/>
      </c>
      <c r="AK535" s="136" t="str">
        <f>IF(OR(tblPiNHistorical[[#This Row],[Protection Old]]="", tblPiNHistorical[[#This Row],[Protection Old]]=0, tblPiNHistorical[[#This Row],[Protection New]]="", tblPiNHistorical[[#This Row],[Protection New]]=0), "", tblPiNHistorical[[#This Row],[Protection New]]-tblPiNHistorical[[#This Row],[Protection Old]])</f>
        <v/>
      </c>
      <c r="AL535" s="136" t="str">
        <f>IF(OR(tblPiNHistorical[[#This Row],[CP Old ]]="", tblPiNHistorical[[#This Row],[CP Old ]]=0, tblPiNHistorical[[#This Row],[CP New]]="", tblPiNHistorical[[#This Row],[CP New]]=0), "", tblPiNHistorical[[#This Row],[CP New]]-tblPiNHistorical[[#This Row],[CP Old ]])</f>
        <v/>
      </c>
      <c r="AM535" s="83" t="str">
        <f>IF(OR(tblPiNHistorical[[#This Row],[GBV Old]]="", tblPiNHistorical[[#This Row],[GBV Old]]=0, tblPiNHistorical[[#This Row],[GBV New]]="", tblPiNHistorical[[#This Row],[GBV New]]=0), "", tblPiNHistorical[[#This Row],[GBV New]]-tblPiNHistorical[[#This Row],[GBV Old]])</f>
        <v/>
      </c>
      <c r="AN535" s="83" t="str">
        <f>IF(OR(tblPiNHistorical[[#This Row],[Mine Action Old]]="", tblPiNHistorical[[#This Row],[Mine Action Old]]=0, tblPiNHistorical[[#This Row],[Mine Action New]]="", tblPiNHistorical[[#This Row],[Mine Action New]]=0), "", tblPiNHistorical[[#This Row],[Mine Action New]]-tblPiNHistorical[[#This Row],[Mine Action Old]])</f>
        <v/>
      </c>
      <c r="AO535" s="136" t="str">
        <f>IF(OR(tblPiNHistorical[[#This Row],[Shelter NFI Old]]="", tblPiNHistorical[[#This Row],[Shelter NFI Old]]=0, tblPiNHistorical[[#This Row],[Shelter NFI New]]="", tblPiNHistorical[[#This Row],[Shelter NFI New]]=0), "", tblPiNHistorical[[#This Row],[Shelter NFI New]]-tblPiNHistorical[[#This Row],[Shelter NFI Old]])</f>
        <v/>
      </c>
      <c r="AP535" s="138" t="str">
        <f>IF(OR(tblPiNHistorical[[#This Row],[WASH Old]]="", tblPiNHistorical[[#This Row],[WASH Old]]=0, tblPiNHistorical[[#This Row],[WASH New]]="", tblPiNHistorical[[#This Row],[WASH New]]=0), "", tblPiNHistorical[[#This Row],[WASH New]]-tblPiNHistorical[[#This Row],[WASH Old]])</f>
        <v/>
      </c>
      <c r="AQ535" s="139" t="str">
        <f>IFERROR(ROUND((tblPiNHistorical[[#This Row],[Site Management - New]] - tblPiNHistorical[[#This Row],[Site Management - Old]])/tblPiNHistorical[[#This Row],[Site Management - Old]], 1), "")</f>
        <v/>
      </c>
      <c r="AR535" s="140">
        <f>IFERROR(ROUND((tblPiNHistorical[[#This Row],[Education New]]-tblPiNHistorical[[#This Row],[Education Old]])/tblPiNHistorical[[#This Row],[Education Old]], 1), "")</f>
        <v>-1</v>
      </c>
      <c r="AS535" s="141">
        <f>IFERROR(ROUND((tblPiNHistorical[[#This Row],[Food Security and Livlihoods New]]-tblPiNHistorical[[#This Row],[Food Security and Livlihoods Old]])/tblPiNHistorical[[#This Row],[Food Security and Livlihoods Old]], 1), "")</f>
        <v>-1</v>
      </c>
      <c r="AT535" s="142">
        <f>IFERROR(ROUND((tblPiNHistorical[[#This Row],[Health New]]-tblPiNHistorical[[#This Row],[Health Old]])/tblPiNHistorical[[#This Row],[Health Old]], 1), "")</f>
        <v>-1</v>
      </c>
      <c r="AU535" s="140">
        <f>IFERROR(ROUND((tblPiNHistorical[[#This Row],[Nutrition New]]-tblPiNHistorical[[#This Row],[Nutrition Old]])/tblPiNHistorical[[#This Row],[Nutrition Old]], 1), "")</f>
        <v>-1</v>
      </c>
      <c r="AV535" s="140">
        <f>IFERROR(ROUND((tblPiNHistorical[[#This Row],[Protection New]]-tblPiNHistorical[[#This Row],[Protection Old]])/tblPiNHistorical[[#This Row],[Protection Old]], 1), "")</f>
        <v>-1</v>
      </c>
      <c r="AW535" s="84">
        <f>IFERROR(ROUND((tblPiNHistorical[[#This Row],[CP New]]-tblPiNHistorical[[#This Row],[CP Old ]])/tblPiNHistorical[[#This Row],[CP Old ]], 1), "")</f>
        <v>-1</v>
      </c>
      <c r="AX535" s="84">
        <f>IFERROR(ROUND((tblPiNHistorical[[#This Row],[GBV New]]-tblPiNHistorical[[#This Row],[GBV Old]])/tblPiNHistorical[[#This Row],[GBV Old]], 1), "")</f>
        <v>-1</v>
      </c>
      <c r="AY535" s="84">
        <f>IFERROR(ROUND((tblPiNHistorical[[#This Row],[Mine Action New]]-tblPiNHistorical[[#This Row],[Mine Action Old]])/tblPiNHistorical[[#This Row],[Mine Action Old]], 1), "")</f>
        <v>-1</v>
      </c>
      <c r="AZ535" s="140" t="str">
        <f>IFERROR(ROUND((tblPiNHistorical[[#This Row],[Shelter NFI New]]-tblPiNHistorical[[#This Row],[Shelter NFI Old]])/tblPiNHistorical[[#This Row],[Shelter NFI Old]], 1), "")</f>
        <v/>
      </c>
      <c r="BA535" s="31">
        <f>IFERROR(ROUND((tblPiNHistorical[[#This Row],[WASH New]]-tblPiNHistorical[[#This Row],[WASH Old]])/tblPiNHistorical[[#This Row],[WASH Old]], 1), "")</f>
        <v>-1</v>
      </c>
    </row>
    <row r="536" spans="1:53" ht="38.25" x14ac:dyDescent="0.25">
      <c r="A536"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Host CommunitySD07095</v>
      </c>
      <c r="B536" s="134" t="s">
        <v>188</v>
      </c>
      <c r="C536" s="124" t="s">
        <v>124</v>
      </c>
      <c r="D536" s="124" t="s">
        <v>348</v>
      </c>
      <c r="E536" s="59" t="s">
        <v>349</v>
      </c>
      <c r="F536" s="54"/>
      <c r="G536" s="29"/>
      <c r="H536" s="53">
        <v>40898</v>
      </c>
      <c r="I536" s="53" t="s">
        <v>87</v>
      </c>
      <c r="J536" s="34">
        <v>0</v>
      </c>
      <c r="K536" s="116">
        <v>15856.1546</v>
      </c>
      <c r="L536" s="114">
        <v>40545</v>
      </c>
      <c r="M536" s="114">
        <v>40898</v>
      </c>
      <c r="N536" s="114">
        <v>1897</v>
      </c>
      <c r="O536" s="114">
        <v>12951</v>
      </c>
      <c r="P536" s="114">
        <v>4499</v>
      </c>
      <c r="Q536" s="114">
        <v>12951</v>
      </c>
      <c r="R536" s="114">
        <v>4089.8</v>
      </c>
      <c r="S536" s="114">
        <v>0</v>
      </c>
      <c r="T536" s="196">
        <v>22845.622799999997</v>
      </c>
      <c r="U536" s="52">
        <f>IFERROR(INDEX(tblPiNAnalysis[[Site Management ]], MATCH(tblPiNHistorical[[#This Row],[ID]], tblPiNAnalysis[ID], 0)), "")</f>
        <v>0</v>
      </c>
      <c r="V536" s="52">
        <f>IFERROR(INDEX(tblPiNAnalysis[Education], MATCH(tblPiNHistorical[[#This Row],[ID]], tblPiNAnalysis[ID], 0)), "")</f>
        <v>0</v>
      </c>
      <c r="W536" s="28">
        <f>IFERROR(INDEX(tblPiNAnalysis[Food Security and Livlihoods], MATCH(tblPiNHistorical[[#This Row],[ID]], tblPiNAnalysis[ID], 0)), "")</f>
        <v>0</v>
      </c>
      <c r="X536" s="28">
        <f>IFERROR(INDEX(tblPiNAnalysis[[Health ]], MATCH(tblPiNHistorical[[#This Row],[ID]], tblPiNAnalysis[ID], 0)), "")</f>
        <v>0</v>
      </c>
      <c r="Y536" s="28">
        <f>IFERROR(INDEX(tblPiNAnalysis[Nutrition], MATCH(tblPiNHistorical[[#This Row],[ID]], tblPiNAnalysis[ID], 0)), "")</f>
        <v>0</v>
      </c>
      <c r="Z536" s="28">
        <f>IFERROR(INDEX(tblPiNAnalysis[Protection], MATCH(tblPiNHistorical[[#This Row],[ID]], tblPiNAnalysis[ID], 0)), "")</f>
        <v>0</v>
      </c>
      <c r="AA536" s="28">
        <f>IFERROR(INDEX(tblPiNAnalysis[CP], MATCH(tblPiNHistorical[[#This Row],[ID]], tblPiNAnalysis[ID], 0)), "")</f>
        <v>0</v>
      </c>
      <c r="AB536" s="83">
        <f>IFERROR(INDEX(tblPiNAnalysis[GBV], MATCH(tblPiNHistorical[[#This Row],[ID]], tblPiNAnalysis[ID], 0)), "")</f>
        <v>0</v>
      </c>
      <c r="AC536" s="28">
        <f>IFERROR(INDEX(tblPiNAnalysis[Mine Action], MATCH(tblPiNHistorical[[#This Row],[ID]], tblPiNAnalysis[ID], 0)), "")</f>
        <v>0</v>
      </c>
      <c r="AD536" s="83">
        <f>IFERROR(INDEX(tblPiNAnalysis[[Shelter NFI ]], MATCH(tblPiNHistorical[[#This Row],[ID]], tblPiNAnalysis[ID], 0)), "")</f>
        <v>16056</v>
      </c>
      <c r="AE536" s="28">
        <f>IFERROR(INDEX(tblPiNAnalysis[WASH], MATCH(tblPiNHistorical[[#This Row],[ID]], tblPiNAnalysis[ID], 0)), "")</f>
        <v>0</v>
      </c>
      <c r="AF536"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536" s="136" t="str">
        <f>IF(OR(tblPiNHistorical[[#This Row],[Education Old]]="", tblPiNHistorical[[#This Row],[Education Old]]=0, tblPiNHistorical[[#This Row],[Education New]]="", tblPiNHistorical[[#This Row],[Education New]]=0), "", tblPiNHistorical[[#This Row],[Education New]]-tblPiNHistorical[[#This Row],[Education Old]])</f>
        <v/>
      </c>
      <c r="AH536"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536" s="137" t="str">
        <f>IF(OR(tblPiNHistorical[[#This Row],[Health Old]]="", tblPiNHistorical[[#This Row],[Health Old]]=0, tblPiNHistorical[[#This Row],[Health New]]="", tblPiNHistorical[[#This Row],[Health New]]=0), "", tblPiNHistorical[[#This Row],[Health New]]-tblPiNHistorical[[#This Row],[Health Old]])</f>
        <v/>
      </c>
      <c r="AJ536" s="136" t="str">
        <f>IF(OR(tblPiNHistorical[[#This Row],[Nutrition Old]]="", tblPiNHistorical[[#This Row],[Nutrition Old]]=0, tblPiNHistorical[[#This Row],[Nutrition New]]="", tblPiNHistorical[[#This Row],[Nutrition New]]=0), "", tblPiNHistorical[[#This Row],[Nutrition New]]-tblPiNHistorical[[#This Row],[Nutrition Old]])</f>
        <v/>
      </c>
      <c r="AK536" s="136" t="str">
        <f>IF(OR(tblPiNHistorical[[#This Row],[Protection Old]]="", tblPiNHistorical[[#This Row],[Protection Old]]=0, tblPiNHistorical[[#This Row],[Protection New]]="", tblPiNHistorical[[#This Row],[Protection New]]=0), "", tblPiNHistorical[[#This Row],[Protection New]]-tblPiNHistorical[[#This Row],[Protection Old]])</f>
        <v/>
      </c>
      <c r="AL536" s="136" t="str">
        <f>IF(OR(tblPiNHistorical[[#This Row],[CP Old ]]="", tblPiNHistorical[[#This Row],[CP Old ]]=0, tblPiNHistorical[[#This Row],[CP New]]="", tblPiNHistorical[[#This Row],[CP New]]=0), "", tblPiNHistorical[[#This Row],[CP New]]-tblPiNHistorical[[#This Row],[CP Old ]])</f>
        <v/>
      </c>
      <c r="AM536" s="83" t="str">
        <f>IF(OR(tblPiNHistorical[[#This Row],[GBV Old]]="", tblPiNHistorical[[#This Row],[GBV Old]]=0, tblPiNHistorical[[#This Row],[GBV New]]="", tblPiNHistorical[[#This Row],[GBV New]]=0), "", tblPiNHistorical[[#This Row],[GBV New]]-tblPiNHistorical[[#This Row],[GBV Old]])</f>
        <v/>
      </c>
      <c r="AN536" s="83" t="str">
        <f>IF(OR(tblPiNHistorical[[#This Row],[Mine Action Old]]="", tblPiNHistorical[[#This Row],[Mine Action Old]]=0, tblPiNHistorical[[#This Row],[Mine Action New]]="", tblPiNHistorical[[#This Row],[Mine Action New]]=0), "", tblPiNHistorical[[#This Row],[Mine Action New]]-tblPiNHistorical[[#This Row],[Mine Action Old]])</f>
        <v/>
      </c>
      <c r="AO536" s="136" t="str">
        <f>IF(OR(tblPiNHistorical[[#This Row],[Shelter NFI Old]]="", tblPiNHistorical[[#This Row],[Shelter NFI Old]]=0, tblPiNHistorical[[#This Row],[Shelter NFI New]]="", tblPiNHistorical[[#This Row],[Shelter NFI New]]=0), "", tblPiNHistorical[[#This Row],[Shelter NFI New]]-tblPiNHistorical[[#This Row],[Shelter NFI Old]])</f>
        <v/>
      </c>
      <c r="AP536" s="138" t="str">
        <f>IF(OR(tblPiNHistorical[[#This Row],[WASH Old]]="", tblPiNHistorical[[#This Row],[WASH Old]]=0, tblPiNHistorical[[#This Row],[WASH New]]="", tblPiNHistorical[[#This Row],[WASH New]]=0), "", tblPiNHistorical[[#This Row],[WASH New]]-tblPiNHistorical[[#This Row],[WASH Old]])</f>
        <v/>
      </c>
      <c r="AQ536" s="139" t="str">
        <f>IFERROR(ROUND((tblPiNHistorical[[#This Row],[Site Management - New]] - tblPiNHistorical[[#This Row],[Site Management - Old]])/tblPiNHistorical[[#This Row],[Site Management - Old]], 1), "")</f>
        <v/>
      </c>
      <c r="AR536" s="140">
        <f>IFERROR(ROUND((tblPiNHistorical[[#This Row],[Education New]]-tblPiNHistorical[[#This Row],[Education Old]])/tblPiNHistorical[[#This Row],[Education Old]], 1), "")</f>
        <v>-1</v>
      </c>
      <c r="AS536" s="141">
        <f>IFERROR(ROUND((tblPiNHistorical[[#This Row],[Food Security and Livlihoods New]]-tblPiNHistorical[[#This Row],[Food Security and Livlihoods Old]])/tblPiNHistorical[[#This Row],[Food Security and Livlihoods Old]], 1), "")</f>
        <v>-1</v>
      </c>
      <c r="AT536" s="142">
        <f>IFERROR(ROUND((tblPiNHistorical[[#This Row],[Health New]]-tblPiNHistorical[[#This Row],[Health Old]])/tblPiNHistorical[[#This Row],[Health Old]], 1), "")</f>
        <v>-1</v>
      </c>
      <c r="AU536" s="140">
        <f>IFERROR(ROUND((tblPiNHistorical[[#This Row],[Nutrition New]]-tblPiNHistorical[[#This Row],[Nutrition Old]])/tblPiNHistorical[[#This Row],[Nutrition Old]], 1), "")</f>
        <v>-1</v>
      </c>
      <c r="AV536" s="140">
        <f>IFERROR(ROUND((tblPiNHistorical[[#This Row],[Protection New]]-tblPiNHistorical[[#This Row],[Protection Old]])/tblPiNHistorical[[#This Row],[Protection Old]], 1), "")</f>
        <v>-1</v>
      </c>
      <c r="AW536" s="84">
        <f>IFERROR(ROUND((tblPiNHistorical[[#This Row],[CP New]]-tblPiNHistorical[[#This Row],[CP Old ]])/tblPiNHistorical[[#This Row],[CP Old ]], 1), "")</f>
        <v>-1</v>
      </c>
      <c r="AX536" s="84">
        <f>IFERROR(ROUND((tblPiNHistorical[[#This Row],[GBV New]]-tblPiNHistorical[[#This Row],[GBV Old]])/tblPiNHistorical[[#This Row],[GBV Old]], 1), "")</f>
        <v>-1</v>
      </c>
      <c r="AY536" s="84">
        <f>IFERROR(ROUND((tblPiNHistorical[[#This Row],[Mine Action New]]-tblPiNHistorical[[#This Row],[Mine Action Old]])/tblPiNHistorical[[#This Row],[Mine Action Old]], 1), "")</f>
        <v>-1</v>
      </c>
      <c r="AZ536" s="140" t="str">
        <f>IFERROR(ROUND((tblPiNHistorical[[#This Row],[Shelter NFI New]]-tblPiNHistorical[[#This Row],[Shelter NFI Old]])/tblPiNHistorical[[#This Row],[Shelter NFI Old]], 1), "")</f>
        <v/>
      </c>
      <c r="BA536" s="31">
        <f>IFERROR(ROUND((tblPiNHistorical[[#This Row],[WASH New]]-tblPiNHistorical[[#This Row],[WASH Old]])/tblPiNHistorical[[#This Row],[WASH Old]], 1), "")</f>
        <v>-1</v>
      </c>
    </row>
    <row r="537" spans="1:53" ht="38.25" x14ac:dyDescent="0.25">
      <c r="A537"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Host CommunitySD07108</v>
      </c>
      <c r="B537" s="134" t="s">
        <v>188</v>
      </c>
      <c r="C537" s="124" t="s">
        <v>124</v>
      </c>
      <c r="D537" s="124" t="s">
        <v>368</v>
      </c>
      <c r="E537" s="59" t="s">
        <v>369</v>
      </c>
      <c r="F537" s="54"/>
      <c r="G537" s="29"/>
      <c r="H537" s="53">
        <v>29500</v>
      </c>
      <c r="I537" s="53" t="s">
        <v>87</v>
      </c>
      <c r="J537" s="34">
        <v>0</v>
      </c>
      <c r="K537" s="116">
        <v>11437.15</v>
      </c>
      <c r="L537" s="114">
        <v>29500</v>
      </c>
      <c r="M537" s="114">
        <v>29500</v>
      </c>
      <c r="N537" s="114">
        <v>8036</v>
      </c>
      <c r="O537" s="114">
        <v>9341</v>
      </c>
      <c r="P537" s="114">
        <v>3245</v>
      </c>
      <c r="Q537" s="114">
        <v>9341</v>
      </c>
      <c r="R537" s="114">
        <v>2950</v>
      </c>
      <c r="S537" s="114">
        <v>5900</v>
      </c>
      <c r="T537" s="196">
        <v>27789</v>
      </c>
      <c r="U537" s="52">
        <f>IFERROR(INDEX(tblPiNAnalysis[[Site Management ]], MATCH(tblPiNHistorical[[#This Row],[ID]], tblPiNAnalysis[ID], 0)), "")</f>
        <v>0</v>
      </c>
      <c r="V537" s="52">
        <f>IFERROR(INDEX(tblPiNAnalysis[Education], MATCH(tblPiNHistorical[[#This Row],[ID]], tblPiNAnalysis[ID], 0)), "")</f>
        <v>0</v>
      </c>
      <c r="W537" s="28">
        <f>IFERROR(INDEX(tblPiNAnalysis[Food Security and Livlihoods], MATCH(tblPiNHistorical[[#This Row],[ID]], tblPiNAnalysis[ID], 0)), "")</f>
        <v>0</v>
      </c>
      <c r="X537" s="28">
        <f>IFERROR(INDEX(tblPiNAnalysis[[Health ]], MATCH(tblPiNHistorical[[#This Row],[ID]], tblPiNAnalysis[ID], 0)), "")</f>
        <v>0</v>
      </c>
      <c r="Y537" s="28">
        <f>IFERROR(INDEX(tblPiNAnalysis[Nutrition], MATCH(tblPiNHistorical[[#This Row],[ID]], tblPiNAnalysis[ID], 0)), "")</f>
        <v>0</v>
      </c>
      <c r="Z537" s="28">
        <f>IFERROR(INDEX(tblPiNAnalysis[Protection], MATCH(tblPiNHistorical[[#This Row],[ID]], tblPiNAnalysis[ID], 0)), "")</f>
        <v>0</v>
      </c>
      <c r="AA537" s="28">
        <f>IFERROR(INDEX(tblPiNAnalysis[CP], MATCH(tblPiNHistorical[[#This Row],[ID]], tblPiNAnalysis[ID], 0)), "")</f>
        <v>0</v>
      </c>
      <c r="AB537" s="83">
        <f>IFERROR(INDEX(tblPiNAnalysis[GBV], MATCH(tblPiNHistorical[[#This Row],[ID]], tblPiNAnalysis[ID], 0)), "")</f>
        <v>0</v>
      </c>
      <c r="AC537" s="28">
        <f>IFERROR(INDEX(tblPiNAnalysis[Mine Action], MATCH(tblPiNHistorical[[#This Row],[ID]], tblPiNAnalysis[ID], 0)), "")</f>
        <v>0</v>
      </c>
      <c r="AD537" s="83">
        <f>IFERROR(INDEX(tblPiNAnalysis[[Shelter NFI ]], MATCH(tblPiNHistorical[[#This Row],[ID]], tblPiNAnalysis[ID], 0)), "")</f>
        <v>0</v>
      </c>
      <c r="AE537" s="28">
        <f>IFERROR(INDEX(tblPiNAnalysis[WASH], MATCH(tblPiNHistorical[[#This Row],[ID]], tblPiNAnalysis[ID], 0)), "")</f>
        <v>0</v>
      </c>
      <c r="AF537"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537" s="136" t="str">
        <f>IF(OR(tblPiNHistorical[[#This Row],[Education Old]]="", tblPiNHistorical[[#This Row],[Education Old]]=0, tblPiNHistorical[[#This Row],[Education New]]="", tblPiNHistorical[[#This Row],[Education New]]=0), "", tblPiNHistorical[[#This Row],[Education New]]-tblPiNHistorical[[#This Row],[Education Old]])</f>
        <v/>
      </c>
      <c r="AH537"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537" s="137" t="str">
        <f>IF(OR(tblPiNHistorical[[#This Row],[Health Old]]="", tblPiNHistorical[[#This Row],[Health Old]]=0, tblPiNHistorical[[#This Row],[Health New]]="", tblPiNHistorical[[#This Row],[Health New]]=0), "", tblPiNHistorical[[#This Row],[Health New]]-tblPiNHistorical[[#This Row],[Health Old]])</f>
        <v/>
      </c>
      <c r="AJ537" s="136" t="str">
        <f>IF(OR(tblPiNHistorical[[#This Row],[Nutrition Old]]="", tblPiNHistorical[[#This Row],[Nutrition Old]]=0, tblPiNHistorical[[#This Row],[Nutrition New]]="", tblPiNHistorical[[#This Row],[Nutrition New]]=0), "", tblPiNHistorical[[#This Row],[Nutrition New]]-tblPiNHistorical[[#This Row],[Nutrition Old]])</f>
        <v/>
      </c>
      <c r="AK537" s="136" t="str">
        <f>IF(OR(tblPiNHistorical[[#This Row],[Protection Old]]="", tblPiNHistorical[[#This Row],[Protection Old]]=0, tblPiNHistorical[[#This Row],[Protection New]]="", tblPiNHistorical[[#This Row],[Protection New]]=0), "", tblPiNHistorical[[#This Row],[Protection New]]-tblPiNHistorical[[#This Row],[Protection Old]])</f>
        <v/>
      </c>
      <c r="AL537" s="136" t="str">
        <f>IF(OR(tblPiNHistorical[[#This Row],[CP Old ]]="", tblPiNHistorical[[#This Row],[CP Old ]]=0, tblPiNHistorical[[#This Row],[CP New]]="", tblPiNHistorical[[#This Row],[CP New]]=0), "", tblPiNHistorical[[#This Row],[CP New]]-tblPiNHistorical[[#This Row],[CP Old ]])</f>
        <v/>
      </c>
      <c r="AM537" s="83" t="str">
        <f>IF(OR(tblPiNHistorical[[#This Row],[GBV Old]]="", tblPiNHistorical[[#This Row],[GBV Old]]=0, tblPiNHistorical[[#This Row],[GBV New]]="", tblPiNHistorical[[#This Row],[GBV New]]=0), "", tblPiNHistorical[[#This Row],[GBV New]]-tblPiNHistorical[[#This Row],[GBV Old]])</f>
        <v/>
      </c>
      <c r="AN537" s="83" t="str">
        <f>IF(OR(tblPiNHistorical[[#This Row],[Mine Action Old]]="", tblPiNHistorical[[#This Row],[Mine Action Old]]=0, tblPiNHistorical[[#This Row],[Mine Action New]]="", tblPiNHistorical[[#This Row],[Mine Action New]]=0), "", tblPiNHistorical[[#This Row],[Mine Action New]]-tblPiNHistorical[[#This Row],[Mine Action Old]])</f>
        <v/>
      </c>
      <c r="AO537" s="136" t="str">
        <f>IF(OR(tblPiNHistorical[[#This Row],[Shelter NFI Old]]="", tblPiNHistorical[[#This Row],[Shelter NFI Old]]=0, tblPiNHistorical[[#This Row],[Shelter NFI New]]="", tblPiNHistorical[[#This Row],[Shelter NFI New]]=0), "", tblPiNHistorical[[#This Row],[Shelter NFI New]]-tblPiNHistorical[[#This Row],[Shelter NFI Old]])</f>
        <v/>
      </c>
      <c r="AP537" s="138" t="str">
        <f>IF(OR(tblPiNHistorical[[#This Row],[WASH Old]]="", tblPiNHistorical[[#This Row],[WASH Old]]=0, tblPiNHistorical[[#This Row],[WASH New]]="", tblPiNHistorical[[#This Row],[WASH New]]=0), "", tblPiNHistorical[[#This Row],[WASH New]]-tblPiNHistorical[[#This Row],[WASH Old]])</f>
        <v/>
      </c>
      <c r="AQ537" s="139" t="str">
        <f>IFERROR(ROUND((tblPiNHistorical[[#This Row],[Site Management - New]] - tblPiNHistorical[[#This Row],[Site Management - Old]])/tblPiNHistorical[[#This Row],[Site Management - Old]], 1), "")</f>
        <v/>
      </c>
      <c r="AR537" s="140">
        <f>IFERROR(ROUND((tblPiNHistorical[[#This Row],[Education New]]-tblPiNHistorical[[#This Row],[Education Old]])/tblPiNHistorical[[#This Row],[Education Old]], 1), "")</f>
        <v>-1</v>
      </c>
      <c r="AS537" s="141">
        <f>IFERROR(ROUND((tblPiNHistorical[[#This Row],[Food Security and Livlihoods New]]-tblPiNHistorical[[#This Row],[Food Security and Livlihoods Old]])/tblPiNHistorical[[#This Row],[Food Security and Livlihoods Old]], 1), "")</f>
        <v>-1</v>
      </c>
      <c r="AT537" s="142">
        <f>IFERROR(ROUND((tblPiNHistorical[[#This Row],[Health New]]-tblPiNHistorical[[#This Row],[Health Old]])/tblPiNHistorical[[#This Row],[Health Old]], 1), "")</f>
        <v>-1</v>
      </c>
      <c r="AU537" s="140">
        <f>IFERROR(ROUND((tblPiNHistorical[[#This Row],[Nutrition New]]-tblPiNHistorical[[#This Row],[Nutrition Old]])/tblPiNHistorical[[#This Row],[Nutrition Old]], 1), "")</f>
        <v>-1</v>
      </c>
      <c r="AV537" s="140">
        <f>IFERROR(ROUND((tblPiNHistorical[[#This Row],[Protection New]]-tblPiNHistorical[[#This Row],[Protection Old]])/tblPiNHistorical[[#This Row],[Protection Old]], 1), "")</f>
        <v>-1</v>
      </c>
      <c r="AW537" s="84">
        <f>IFERROR(ROUND((tblPiNHistorical[[#This Row],[CP New]]-tblPiNHistorical[[#This Row],[CP Old ]])/tblPiNHistorical[[#This Row],[CP Old ]], 1), "")</f>
        <v>-1</v>
      </c>
      <c r="AX537" s="84">
        <f>IFERROR(ROUND((tblPiNHistorical[[#This Row],[GBV New]]-tblPiNHistorical[[#This Row],[GBV Old]])/tblPiNHistorical[[#This Row],[GBV Old]], 1), "")</f>
        <v>-1</v>
      </c>
      <c r="AY537" s="84">
        <f>IFERROR(ROUND((tblPiNHistorical[[#This Row],[Mine Action New]]-tblPiNHistorical[[#This Row],[Mine Action Old]])/tblPiNHistorical[[#This Row],[Mine Action Old]], 1), "")</f>
        <v>-1</v>
      </c>
      <c r="AZ537" s="140">
        <f>IFERROR(ROUND((tblPiNHistorical[[#This Row],[Shelter NFI New]]-tblPiNHistorical[[#This Row],[Shelter NFI Old]])/tblPiNHistorical[[#This Row],[Shelter NFI Old]], 1), "")</f>
        <v>-1</v>
      </c>
      <c r="BA537" s="31">
        <f>IFERROR(ROUND((tblPiNHistorical[[#This Row],[WASH New]]-tblPiNHistorical[[#This Row],[WASH Old]])/tblPiNHistorical[[#This Row],[WASH Old]], 1), "")</f>
        <v>-1</v>
      </c>
    </row>
    <row r="538" spans="1:53" ht="38.25" x14ac:dyDescent="0.25">
      <c r="A538"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Host CommunitySD07103</v>
      </c>
      <c r="B538" s="134" t="s">
        <v>188</v>
      </c>
      <c r="C538" s="124" t="s">
        <v>124</v>
      </c>
      <c r="D538" s="124" t="s">
        <v>358</v>
      </c>
      <c r="E538" s="59" t="s">
        <v>359</v>
      </c>
      <c r="F538" s="54"/>
      <c r="G538" s="29"/>
      <c r="H538" s="53">
        <v>7526.35</v>
      </c>
      <c r="I538" s="53" t="s">
        <v>87</v>
      </c>
      <c r="J538" s="34">
        <v>0</v>
      </c>
      <c r="K538" s="116">
        <v>2917.9658950000003</v>
      </c>
      <c r="L538" s="114">
        <v>7526</v>
      </c>
      <c r="M538" s="114">
        <v>7526</v>
      </c>
      <c r="N538" s="114">
        <v>622</v>
      </c>
      <c r="O538" s="114">
        <v>3010.5400000000004</v>
      </c>
      <c r="P538" s="114">
        <v>828</v>
      </c>
      <c r="Q538" s="114">
        <v>2383</v>
      </c>
      <c r="R538" s="114">
        <v>3010.5400000000004</v>
      </c>
      <c r="S538" s="114">
        <v>1505</v>
      </c>
      <c r="T538" s="196">
        <v>6599.1036800000011</v>
      </c>
      <c r="U538" s="52">
        <f>IFERROR(INDEX(tblPiNAnalysis[[Site Management ]], MATCH(tblPiNHistorical[[#This Row],[ID]], tblPiNAnalysis[ID], 0)), "")</f>
        <v>0</v>
      </c>
      <c r="V538" s="52">
        <f>IFERROR(INDEX(tblPiNAnalysis[Education], MATCH(tblPiNHistorical[[#This Row],[ID]], tblPiNAnalysis[ID], 0)), "")</f>
        <v>0</v>
      </c>
      <c r="W538" s="28">
        <f>IFERROR(INDEX(tblPiNAnalysis[Food Security and Livlihoods], MATCH(tblPiNHistorical[[#This Row],[ID]], tblPiNAnalysis[ID], 0)), "")</f>
        <v>0</v>
      </c>
      <c r="X538" s="28">
        <f>IFERROR(INDEX(tblPiNAnalysis[[Health ]], MATCH(tblPiNHistorical[[#This Row],[ID]], tblPiNAnalysis[ID], 0)), "")</f>
        <v>0</v>
      </c>
      <c r="Y538" s="28">
        <f>IFERROR(INDEX(tblPiNAnalysis[Nutrition], MATCH(tblPiNHistorical[[#This Row],[ID]], tblPiNAnalysis[ID], 0)), "")</f>
        <v>0</v>
      </c>
      <c r="Z538" s="28">
        <f>IFERROR(INDEX(tblPiNAnalysis[Protection], MATCH(tblPiNHistorical[[#This Row],[ID]], tblPiNAnalysis[ID], 0)), "")</f>
        <v>0</v>
      </c>
      <c r="AA538" s="28">
        <f>IFERROR(INDEX(tblPiNAnalysis[CP], MATCH(tblPiNHistorical[[#This Row],[ID]], tblPiNAnalysis[ID], 0)), "")</f>
        <v>0</v>
      </c>
      <c r="AB538" s="83">
        <f>IFERROR(INDEX(tblPiNAnalysis[GBV], MATCH(tblPiNHistorical[[#This Row],[ID]], tblPiNAnalysis[ID], 0)), "")</f>
        <v>0</v>
      </c>
      <c r="AC538" s="28">
        <f>IFERROR(INDEX(tblPiNAnalysis[Mine Action], MATCH(tblPiNHistorical[[#This Row],[ID]], tblPiNAnalysis[ID], 0)), "")</f>
        <v>0</v>
      </c>
      <c r="AD538" s="83">
        <f>IFERROR(INDEX(tblPiNAnalysis[[Shelter NFI ]], MATCH(tblPiNHistorical[[#This Row],[ID]], tblPiNAnalysis[ID], 0)), "")</f>
        <v>411</v>
      </c>
      <c r="AE538" s="28">
        <f>IFERROR(INDEX(tblPiNAnalysis[WASH], MATCH(tblPiNHistorical[[#This Row],[ID]], tblPiNAnalysis[ID], 0)), "")</f>
        <v>0</v>
      </c>
      <c r="AF538"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538" s="136" t="str">
        <f>IF(OR(tblPiNHistorical[[#This Row],[Education Old]]="", tblPiNHistorical[[#This Row],[Education Old]]=0, tblPiNHistorical[[#This Row],[Education New]]="", tblPiNHistorical[[#This Row],[Education New]]=0), "", tblPiNHistorical[[#This Row],[Education New]]-tblPiNHistorical[[#This Row],[Education Old]])</f>
        <v/>
      </c>
      <c r="AH538"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538" s="137" t="str">
        <f>IF(OR(tblPiNHistorical[[#This Row],[Health Old]]="", tblPiNHistorical[[#This Row],[Health Old]]=0, tblPiNHistorical[[#This Row],[Health New]]="", tblPiNHistorical[[#This Row],[Health New]]=0), "", tblPiNHistorical[[#This Row],[Health New]]-tblPiNHistorical[[#This Row],[Health Old]])</f>
        <v/>
      </c>
      <c r="AJ538" s="136" t="str">
        <f>IF(OR(tblPiNHistorical[[#This Row],[Nutrition Old]]="", tblPiNHistorical[[#This Row],[Nutrition Old]]=0, tblPiNHistorical[[#This Row],[Nutrition New]]="", tblPiNHistorical[[#This Row],[Nutrition New]]=0), "", tblPiNHistorical[[#This Row],[Nutrition New]]-tblPiNHistorical[[#This Row],[Nutrition Old]])</f>
        <v/>
      </c>
      <c r="AK538" s="136" t="str">
        <f>IF(OR(tblPiNHistorical[[#This Row],[Protection Old]]="", tblPiNHistorical[[#This Row],[Protection Old]]=0, tblPiNHistorical[[#This Row],[Protection New]]="", tblPiNHistorical[[#This Row],[Protection New]]=0), "", tblPiNHistorical[[#This Row],[Protection New]]-tblPiNHistorical[[#This Row],[Protection Old]])</f>
        <v/>
      </c>
      <c r="AL538" s="136" t="str">
        <f>IF(OR(tblPiNHistorical[[#This Row],[CP Old ]]="", tblPiNHistorical[[#This Row],[CP Old ]]=0, tblPiNHistorical[[#This Row],[CP New]]="", tblPiNHistorical[[#This Row],[CP New]]=0), "", tblPiNHistorical[[#This Row],[CP New]]-tblPiNHistorical[[#This Row],[CP Old ]])</f>
        <v/>
      </c>
      <c r="AM538" s="83" t="str">
        <f>IF(OR(tblPiNHistorical[[#This Row],[GBV Old]]="", tblPiNHistorical[[#This Row],[GBV Old]]=0, tblPiNHistorical[[#This Row],[GBV New]]="", tblPiNHistorical[[#This Row],[GBV New]]=0), "", tblPiNHistorical[[#This Row],[GBV New]]-tblPiNHistorical[[#This Row],[GBV Old]])</f>
        <v/>
      </c>
      <c r="AN538" s="83" t="str">
        <f>IF(OR(tblPiNHistorical[[#This Row],[Mine Action Old]]="", tblPiNHistorical[[#This Row],[Mine Action Old]]=0, tblPiNHistorical[[#This Row],[Mine Action New]]="", tblPiNHistorical[[#This Row],[Mine Action New]]=0), "", tblPiNHistorical[[#This Row],[Mine Action New]]-tblPiNHistorical[[#This Row],[Mine Action Old]])</f>
        <v/>
      </c>
      <c r="AO538" s="136">
        <f>IF(OR(tblPiNHistorical[[#This Row],[Shelter NFI Old]]="", tblPiNHistorical[[#This Row],[Shelter NFI Old]]=0, tblPiNHistorical[[#This Row],[Shelter NFI New]]="", tblPiNHistorical[[#This Row],[Shelter NFI New]]=0), "", tblPiNHistorical[[#This Row],[Shelter NFI New]]-tblPiNHistorical[[#This Row],[Shelter NFI Old]])</f>
        <v>-1094</v>
      </c>
      <c r="AP538" s="138" t="str">
        <f>IF(OR(tblPiNHistorical[[#This Row],[WASH Old]]="", tblPiNHistorical[[#This Row],[WASH Old]]=0, tblPiNHistorical[[#This Row],[WASH New]]="", tblPiNHistorical[[#This Row],[WASH New]]=0), "", tblPiNHistorical[[#This Row],[WASH New]]-tblPiNHistorical[[#This Row],[WASH Old]])</f>
        <v/>
      </c>
      <c r="AQ538" s="139" t="str">
        <f>IFERROR(ROUND((tblPiNHistorical[[#This Row],[Site Management - New]] - tblPiNHistorical[[#This Row],[Site Management - Old]])/tblPiNHistorical[[#This Row],[Site Management - Old]], 1), "")</f>
        <v/>
      </c>
      <c r="AR538" s="140">
        <f>IFERROR(ROUND((tblPiNHistorical[[#This Row],[Education New]]-tblPiNHistorical[[#This Row],[Education Old]])/tblPiNHistorical[[#This Row],[Education Old]], 1), "")</f>
        <v>-1</v>
      </c>
      <c r="AS538" s="141">
        <f>IFERROR(ROUND((tblPiNHistorical[[#This Row],[Food Security and Livlihoods New]]-tblPiNHistorical[[#This Row],[Food Security and Livlihoods Old]])/tblPiNHistorical[[#This Row],[Food Security and Livlihoods Old]], 1), "")</f>
        <v>-1</v>
      </c>
      <c r="AT538" s="142">
        <f>IFERROR(ROUND((tblPiNHistorical[[#This Row],[Health New]]-tblPiNHistorical[[#This Row],[Health Old]])/tblPiNHistorical[[#This Row],[Health Old]], 1), "")</f>
        <v>-1</v>
      </c>
      <c r="AU538" s="140">
        <f>IFERROR(ROUND((tblPiNHistorical[[#This Row],[Nutrition New]]-tblPiNHistorical[[#This Row],[Nutrition Old]])/tblPiNHistorical[[#This Row],[Nutrition Old]], 1), "")</f>
        <v>-1</v>
      </c>
      <c r="AV538" s="140">
        <f>IFERROR(ROUND((tblPiNHistorical[[#This Row],[Protection New]]-tblPiNHistorical[[#This Row],[Protection Old]])/tblPiNHistorical[[#This Row],[Protection Old]], 1), "")</f>
        <v>-1</v>
      </c>
      <c r="AW538" s="84">
        <f>IFERROR(ROUND((tblPiNHistorical[[#This Row],[CP New]]-tblPiNHistorical[[#This Row],[CP Old ]])/tblPiNHistorical[[#This Row],[CP Old ]], 1), "")</f>
        <v>-1</v>
      </c>
      <c r="AX538" s="84">
        <f>IFERROR(ROUND((tblPiNHistorical[[#This Row],[GBV New]]-tblPiNHistorical[[#This Row],[GBV Old]])/tblPiNHistorical[[#This Row],[GBV Old]], 1), "")</f>
        <v>-1</v>
      </c>
      <c r="AY538" s="84">
        <f>IFERROR(ROUND((tblPiNHistorical[[#This Row],[Mine Action New]]-tblPiNHistorical[[#This Row],[Mine Action Old]])/tblPiNHistorical[[#This Row],[Mine Action Old]], 1), "")</f>
        <v>-1</v>
      </c>
      <c r="AZ538" s="140">
        <f>IFERROR(ROUND((tblPiNHistorical[[#This Row],[Shelter NFI New]]-tblPiNHistorical[[#This Row],[Shelter NFI Old]])/tblPiNHistorical[[#This Row],[Shelter NFI Old]], 1), "")</f>
        <v>-0.7</v>
      </c>
      <c r="BA538" s="31">
        <f>IFERROR(ROUND((tblPiNHistorical[[#This Row],[WASH New]]-tblPiNHistorical[[#This Row],[WASH Old]])/tblPiNHistorical[[#This Row],[WASH Old]], 1), "")</f>
        <v>-1</v>
      </c>
    </row>
    <row r="539" spans="1:53" ht="38.25" x14ac:dyDescent="0.25">
      <c r="A539"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Host CommunitySD07096</v>
      </c>
      <c r="B539" s="134" t="s">
        <v>188</v>
      </c>
      <c r="C539" s="124" t="s">
        <v>124</v>
      </c>
      <c r="D539" s="124" t="s">
        <v>350</v>
      </c>
      <c r="E539" s="59" t="s">
        <v>351</v>
      </c>
      <c r="F539" s="54"/>
      <c r="G539" s="29"/>
      <c r="H539" s="53">
        <v>0</v>
      </c>
      <c r="I539" s="53" t="s">
        <v>87</v>
      </c>
      <c r="J539" s="34">
        <v>0</v>
      </c>
      <c r="K539" s="116">
        <v>0</v>
      </c>
      <c r="L539" s="114">
        <v>0</v>
      </c>
      <c r="M539" s="114">
        <v>0</v>
      </c>
      <c r="N539" s="114">
        <v>0</v>
      </c>
      <c r="O539" s="114">
        <v>0</v>
      </c>
      <c r="P539" s="114">
        <v>0</v>
      </c>
      <c r="Q539" s="114">
        <v>0</v>
      </c>
      <c r="R539" s="114">
        <v>0</v>
      </c>
      <c r="S539" s="114">
        <v>0</v>
      </c>
      <c r="T539" s="196">
        <v>0</v>
      </c>
      <c r="U539" s="52">
        <f>IFERROR(INDEX(tblPiNAnalysis[[Site Management ]], MATCH(tblPiNHistorical[[#This Row],[ID]], tblPiNAnalysis[ID], 0)), "")</f>
        <v>0</v>
      </c>
      <c r="V539" s="52">
        <f>IFERROR(INDEX(tblPiNAnalysis[Education], MATCH(tblPiNHistorical[[#This Row],[ID]], tblPiNAnalysis[ID], 0)), "")</f>
        <v>0</v>
      </c>
      <c r="W539" s="28">
        <f>IFERROR(INDEX(tblPiNAnalysis[Food Security and Livlihoods], MATCH(tblPiNHistorical[[#This Row],[ID]], tblPiNAnalysis[ID], 0)), "")</f>
        <v>0</v>
      </c>
      <c r="X539" s="28">
        <f>IFERROR(INDEX(tblPiNAnalysis[[Health ]], MATCH(tblPiNHistorical[[#This Row],[ID]], tblPiNAnalysis[ID], 0)), "")</f>
        <v>0</v>
      </c>
      <c r="Y539" s="28">
        <f>IFERROR(INDEX(tblPiNAnalysis[Nutrition], MATCH(tblPiNHistorical[[#This Row],[ID]], tblPiNAnalysis[ID], 0)), "")</f>
        <v>0</v>
      </c>
      <c r="Z539" s="28">
        <f>IFERROR(INDEX(tblPiNAnalysis[Protection], MATCH(tblPiNHistorical[[#This Row],[ID]], tblPiNAnalysis[ID], 0)), "")</f>
        <v>0</v>
      </c>
      <c r="AA539" s="28">
        <f>IFERROR(INDEX(tblPiNAnalysis[CP], MATCH(tblPiNHistorical[[#This Row],[ID]], tblPiNAnalysis[ID], 0)), "")</f>
        <v>0</v>
      </c>
      <c r="AB539" s="83">
        <f>IFERROR(INDEX(tblPiNAnalysis[GBV], MATCH(tblPiNHistorical[[#This Row],[ID]], tblPiNAnalysis[ID], 0)), "")</f>
        <v>0</v>
      </c>
      <c r="AC539" s="28">
        <f>IFERROR(INDEX(tblPiNAnalysis[Mine Action], MATCH(tblPiNHistorical[[#This Row],[ID]], tblPiNAnalysis[ID], 0)), "")</f>
        <v>0</v>
      </c>
      <c r="AD539" s="83">
        <f>IFERROR(INDEX(tblPiNAnalysis[[Shelter NFI ]], MATCH(tblPiNHistorical[[#This Row],[ID]], tblPiNAnalysis[ID], 0)), "")</f>
        <v>0</v>
      </c>
      <c r="AE539" s="28">
        <f>IFERROR(INDEX(tblPiNAnalysis[WASH], MATCH(tblPiNHistorical[[#This Row],[ID]], tblPiNAnalysis[ID], 0)), "")</f>
        <v>0</v>
      </c>
      <c r="AF539"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539" s="136" t="str">
        <f>IF(OR(tblPiNHistorical[[#This Row],[Education Old]]="", tblPiNHistorical[[#This Row],[Education Old]]=0, tblPiNHistorical[[#This Row],[Education New]]="", tblPiNHistorical[[#This Row],[Education New]]=0), "", tblPiNHistorical[[#This Row],[Education New]]-tblPiNHistorical[[#This Row],[Education Old]])</f>
        <v/>
      </c>
      <c r="AH539"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539" s="137" t="str">
        <f>IF(OR(tblPiNHistorical[[#This Row],[Health Old]]="", tblPiNHistorical[[#This Row],[Health Old]]=0, tblPiNHistorical[[#This Row],[Health New]]="", tblPiNHistorical[[#This Row],[Health New]]=0), "", tblPiNHistorical[[#This Row],[Health New]]-tblPiNHistorical[[#This Row],[Health Old]])</f>
        <v/>
      </c>
      <c r="AJ539" s="136" t="str">
        <f>IF(OR(tblPiNHistorical[[#This Row],[Nutrition Old]]="", tblPiNHistorical[[#This Row],[Nutrition Old]]=0, tblPiNHistorical[[#This Row],[Nutrition New]]="", tblPiNHistorical[[#This Row],[Nutrition New]]=0), "", tblPiNHistorical[[#This Row],[Nutrition New]]-tblPiNHistorical[[#This Row],[Nutrition Old]])</f>
        <v/>
      </c>
      <c r="AK539" s="136" t="str">
        <f>IF(OR(tblPiNHistorical[[#This Row],[Protection Old]]="", tblPiNHistorical[[#This Row],[Protection Old]]=0, tblPiNHistorical[[#This Row],[Protection New]]="", tblPiNHistorical[[#This Row],[Protection New]]=0), "", tblPiNHistorical[[#This Row],[Protection New]]-tblPiNHistorical[[#This Row],[Protection Old]])</f>
        <v/>
      </c>
      <c r="AL539" s="136" t="str">
        <f>IF(OR(tblPiNHistorical[[#This Row],[CP Old ]]="", tblPiNHistorical[[#This Row],[CP Old ]]=0, tblPiNHistorical[[#This Row],[CP New]]="", tblPiNHistorical[[#This Row],[CP New]]=0), "", tblPiNHistorical[[#This Row],[CP New]]-tblPiNHistorical[[#This Row],[CP Old ]])</f>
        <v/>
      </c>
      <c r="AM539" s="83" t="str">
        <f>IF(OR(tblPiNHistorical[[#This Row],[GBV Old]]="", tblPiNHistorical[[#This Row],[GBV Old]]=0, tblPiNHistorical[[#This Row],[GBV New]]="", tblPiNHistorical[[#This Row],[GBV New]]=0), "", tblPiNHistorical[[#This Row],[GBV New]]-tblPiNHistorical[[#This Row],[GBV Old]])</f>
        <v/>
      </c>
      <c r="AN539" s="83" t="str">
        <f>IF(OR(tblPiNHistorical[[#This Row],[Mine Action Old]]="", tblPiNHistorical[[#This Row],[Mine Action Old]]=0, tblPiNHistorical[[#This Row],[Mine Action New]]="", tblPiNHistorical[[#This Row],[Mine Action New]]=0), "", tblPiNHistorical[[#This Row],[Mine Action New]]-tblPiNHistorical[[#This Row],[Mine Action Old]])</f>
        <v/>
      </c>
      <c r="AO539" s="136" t="str">
        <f>IF(OR(tblPiNHistorical[[#This Row],[Shelter NFI Old]]="", tblPiNHistorical[[#This Row],[Shelter NFI Old]]=0, tblPiNHistorical[[#This Row],[Shelter NFI New]]="", tblPiNHistorical[[#This Row],[Shelter NFI New]]=0), "", tblPiNHistorical[[#This Row],[Shelter NFI New]]-tblPiNHistorical[[#This Row],[Shelter NFI Old]])</f>
        <v/>
      </c>
      <c r="AP539" s="138" t="str">
        <f>IF(OR(tblPiNHistorical[[#This Row],[WASH Old]]="", tblPiNHistorical[[#This Row],[WASH Old]]=0, tblPiNHistorical[[#This Row],[WASH New]]="", tblPiNHistorical[[#This Row],[WASH New]]=0), "", tblPiNHistorical[[#This Row],[WASH New]]-tblPiNHistorical[[#This Row],[WASH Old]])</f>
        <v/>
      </c>
      <c r="AQ539" s="139" t="str">
        <f>IFERROR(ROUND((tblPiNHistorical[[#This Row],[Site Management - New]] - tblPiNHistorical[[#This Row],[Site Management - Old]])/tblPiNHistorical[[#This Row],[Site Management - Old]], 1), "")</f>
        <v/>
      </c>
      <c r="AR539" s="140" t="str">
        <f>IFERROR(ROUND((tblPiNHistorical[[#This Row],[Education New]]-tblPiNHistorical[[#This Row],[Education Old]])/tblPiNHistorical[[#This Row],[Education Old]], 1), "")</f>
        <v/>
      </c>
      <c r="AS539" s="141" t="str">
        <f>IFERROR(ROUND((tblPiNHistorical[[#This Row],[Food Security and Livlihoods New]]-tblPiNHistorical[[#This Row],[Food Security and Livlihoods Old]])/tblPiNHistorical[[#This Row],[Food Security and Livlihoods Old]], 1), "")</f>
        <v/>
      </c>
      <c r="AT539" s="142" t="str">
        <f>IFERROR(ROUND((tblPiNHistorical[[#This Row],[Health New]]-tblPiNHistorical[[#This Row],[Health Old]])/tblPiNHistorical[[#This Row],[Health Old]], 1), "")</f>
        <v/>
      </c>
      <c r="AU539" s="140" t="str">
        <f>IFERROR(ROUND((tblPiNHistorical[[#This Row],[Nutrition New]]-tblPiNHistorical[[#This Row],[Nutrition Old]])/tblPiNHistorical[[#This Row],[Nutrition Old]], 1), "")</f>
        <v/>
      </c>
      <c r="AV539" s="140" t="str">
        <f>IFERROR(ROUND((tblPiNHistorical[[#This Row],[Protection New]]-tblPiNHistorical[[#This Row],[Protection Old]])/tblPiNHistorical[[#This Row],[Protection Old]], 1), "")</f>
        <v/>
      </c>
      <c r="AW539" s="84" t="str">
        <f>IFERROR(ROUND((tblPiNHistorical[[#This Row],[CP New]]-tblPiNHistorical[[#This Row],[CP Old ]])/tblPiNHistorical[[#This Row],[CP Old ]], 1), "")</f>
        <v/>
      </c>
      <c r="AX539" s="84" t="str">
        <f>IFERROR(ROUND((tblPiNHistorical[[#This Row],[GBV New]]-tblPiNHistorical[[#This Row],[GBV Old]])/tblPiNHistorical[[#This Row],[GBV Old]], 1), "")</f>
        <v/>
      </c>
      <c r="AY539" s="84" t="str">
        <f>IFERROR(ROUND((tblPiNHistorical[[#This Row],[Mine Action New]]-tblPiNHistorical[[#This Row],[Mine Action Old]])/tblPiNHistorical[[#This Row],[Mine Action Old]], 1), "")</f>
        <v/>
      </c>
      <c r="AZ539" s="140" t="str">
        <f>IFERROR(ROUND((tblPiNHistorical[[#This Row],[Shelter NFI New]]-tblPiNHistorical[[#This Row],[Shelter NFI Old]])/tblPiNHistorical[[#This Row],[Shelter NFI Old]], 1), "")</f>
        <v/>
      </c>
      <c r="BA539" s="31" t="str">
        <f>IFERROR(ROUND((tblPiNHistorical[[#This Row],[WASH New]]-tblPiNHistorical[[#This Row],[WASH Old]])/tblPiNHistorical[[#This Row],[WASH Old]], 1), "")</f>
        <v/>
      </c>
    </row>
    <row r="540" spans="1:53" ht="38.25" x14ac:dyDescent="0.25">
      <c r="A540"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Host CommunitySD07098</v>
      </c>
      <c r="B540" s="134" t="s">
        <v>188</v>
      </c>
      <c r="C540" s="124" t="s">
        <v>124</v>
      </c>
      <c r="D540" s="124" t="s">
        <v>354</v>
      </c>
      <c r="E540" s="59" t="s">
        <v>355</v>
      </c>
      <c r="F540" s="54"/>
      <c r="G540" s="29"/>
      <c r="H540" s="53">
        <v>75037.600000000006</v>
      </c>
      <c r="I540" s="53" t="s">
        <v>87</v>
      </c>
      <c r="J540" s="34">
        <v>0</v>
      </c>
      <c r="K540" s="116">
        <v>29092.077520000003</v>
      </c>
      <c r="L540" s="114">
        <v>75037.600000000006</v>
      </c>
      <c r="M540" s="114">
        <v>75037.600000000006</v>
      </c>
      <c r="N540" s="114">
        <v>5780</v>
      </c>
      <c r="O540" s="114">
        <v>30015.040000000005</v>
      </c>
      <c r="P540" s="114">
        <v>8254</v>
      </c>
      <c r="Q540" s="114">
        <v>23760</v>
      </c>
      <c r="R540" s="114">
        <v>30015.040000000005</v>
      </c>
      <c r="S540" s="114">
        <v>22511</v>
      </c>
      <c r="T540" s="196">
        <v>52563.838799999998</v>
      </c>
      <c r="U540" s="52">
        <f>IFERROR(INDEX(tblPiNAnalysis[[Site Management ]], MATCH(tblPiNHistorical[[#This Row],[ID]], tblPiNAnalysis[ID], 0)), "")</f>
        <v>0</v>
      </c>
      <c r="V540" s="52">
        <f>IFERROR(INDEX(tblPiNAnalysis[Education], MATCH(tblPiNHistorical[[#This Row],[ID]], tblPiNAnalysis[ID], 0)), "")</f>
        <v>0</v>
      </c>
      <c r="W540" s="28">
        <f>IFERROR(INDEX(tblPiNAnalysis[Food Security and Livlihoods], MATCH(tblPiNHistorical[[#This Row],[ID]], tblPiNAnalysis[ID], 0)), "")</f>
        <v>0</v>
      </c>
      <c r="X540" s="28">
        <f>IFERROR(INDEX(tblPiNAnalysis[[Health ]], MATCH(tblPiNHistorical[[#This Row],[ID]], tblPiNAnalysis[ID], 0)), "")</f>
        <v>0</v>
      </c>
      <c r="Y540" s="28">
        <f>IFERROR(INDEX(tblPiNAnalysis[Nutrition], MATCH(tblPiNHistorical[[#This Row],[ID]], tblPiNAnalysis[ID], 0)), "")</f>
        <v>0</v>
      </c>
      <c r="Z540" s="28">
        <f>IFERROR(INDEX(tblPiNAnalysis[Protection], MATCH(tblPiNHistorical[[#This Row],[ID]], tblPiNAnalysis[ID], 0)), "")</f>
        <v>0</v>
      </c>
      <c r="AA540" s="28">
        <f>IFERROR(INDEX(tblPiNAnalysis[CP], MATCH(tblPiNHistorical[[#This Row],[ID]], tblPiNAnalysis[ID], 0)), "")</f>
        <v>0</v>
      </c>
      <c r="AB540" s="83">
        <f>IFERROR(INDEX(tblPiNAnalysis[GBV], MATCH(tblPiNHistorical[[#This Row],[ID]], tblPiNAnalysis[ID], 0)), "")</f>
        <v>0</v>
      </c>
      <c r="AC540" s="28">
        <f>IFERROR(INDEX(tblPiNAnalysis[Mine Action], MATCH(tblPiNHistorical[[#This Row],[ID]], tblPiNAnalysis[ID], 0)), "")</f>
        <v>0</v>
      </c>
      <c r="AD540" s="83">
        <f>IFERROR(INDEX(tblPiNAnalysis[[Shelter NFI ]], MATCH(tblPiNHistorical[[#This Row],[ID]], tblPiNAnalysis[ID], 0)), "")</f>
        <v>0</v>
      </c>
      <c r="AE540" s="28">
        <f>IFERROR(INDEX(tblPiNAnalysis[WASH], MATCH(tblPiNHistorical[[#This Row],[ID]], tblPiNAnalysis[ID], 0)), "")</f>
        <v>0</v>
      </c>
      <c r="AF540"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540" s="136" t="str">
        <f>IF(OR(tblPiNHistorical[[#This Row],[Education Old]]="", tblPiNHistorical[[#This Row],[Education Old]]=0, tblPiNHistorical[[#This Row],[Education New]]="", tblPiNHistorical[[#This Row],[Education New]]=0), "", tblPiNHistorical[[#This Row],[Education New]]-tblPiNHistorical[[#This Row],[Education Old]])</f>
        <v/>
      </c>
      <c r="AH540"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540" s="137" t="str">
        <f>IF(OR(tblPiNHistorical[[#This Row],[Health Old]]="", tblPiNHistorical[[#This Row],[Health Old]]=0, tblPiNHistorical[[#This Row],[Health New]]="", tblPiNHistorical[[#This Row],[Health New]]=0), "", tblPiNHistorical[[#This Row],[Health New]]-tblPiNHistorical[[#This Row],[Health Old]])</f>
        <v/>
      </c>
      <c r="AJ540" s="136" t="str">
        <f>IF(OR(tblPiNHistorical[[#This Row],[Nutrition Old]]="", tblPiNHistorical[[#This Row],[Nutrition Old]]=0, tblPiNHistorical[[#This Row],[Nutrition New]]="", tblPiNHistorical[[#This Row],[Nutrition New]]=0), "", tblPiNHistorical[[#This Row],[Nutrition New]]-tblPiNHistorical[[#This Row],[Nutrition Old]])</f>
        <v/>
      </c>
      <c r="AK540" s="136" t="str">
        <f>IF(OR(tblPiNHistorical[[#This Row],[Protection Old]]="", tblPiNHistorical[[#This Row],[Protection Old]]=0, tblPiNHistorical[[#This Row],[Protection New]]="", tblPiNHistorical[[#This Row],[Protection New]]=0), "", tblPiNHistorical[[#This Row],[Protection New]]-tblPiNHistorical[[#This Row],[Protection Old]])</f>
        <v/>
      </c>
      <c r="AL540" s="136" t="str">
        <f>IF(OR(tblPiNHistorical[[#This Row],[CP Old ]]="", tblPiNHistorical[[#This Row],[CP Old ]]=0, tblPiNHistorical[[#This Row],[CP New]]="", tblPiNHistorical[[#This Row],[CP New]]=0), "", tblPiNHistorical[[#This Row],[CP New]]-tblPiNHistorical[[#This Row],[CP Old ]])</f>
        <v/>
      </c>
      <c r="AM540" s="83" t="str">
        <f>IF(OR(tblPiNHistorical[[#This Row],[GBV Old]]="", tblPiNHistorical[[#This Row],[GBV Old]]=0, tblPiNHistorical[[#This Row],[GBV New]]="", tblPiNHistorical[[#This Row],[GBV New]]=0), "", tblPiNHistorical[[#This Row],[GBV New]]-tblPiNHistorical[[#This Row],[GBV Old]])</f>
        <v/>
      </c>
      <c r="AN540" s="83" t="str">
        <f>IF(OR(tblPiNHistorical[[#This Row],[Mine Action Old]]="", tblPiNHistorical[[#This Row],[Mine Action Old]]=0, tblPiNHistorical[[#This Row],[Mine Action New]]="", tblPiNHistorical[[#This Row],[Mine Action New]]=0), "", tblPiNHistorical[[#This Row],[Mine Action New]]-tblPiNHistorical[[#This Row],[Mine Action Old]])</f>
        <v/>
      </c>
      <c r="AO540" s="136" t="str">
        <f>IF(OR(tblPiNHistorical[[#This Row],[Shelter NFI Old]]="", tblPiNHistorical[[#This Row],[Shelter NFI Old]]=0, tblPiNHistorical[[#This Row],[Shelter NFI New]]="", tblPiNHistorical[[#This Row],[Shelter NFI New]]=0), "", tblPiNHistorical[[#This Row],[Shelter NFI New]]-tblPiNHistorical[[#This Row],[Shelter NFI Old]])</f>
        <v/>
      </c>
      <c r="AP540" s="138" t="str">
        <f>IF(OR(tblPiNHistorical[[#This Row],[WASH Old]]="", tblPiNHistorical[[#This Row],[WASH Old]]=0, tblPiNHistorical[[#This Row],[WASH New]]="", tblPiNHistorical[[#This Row],[WASH New]]=0), "", tblPiNHistorical[[#This Row],[WASH New]]-tblPiNHistorical[[#This Row],[WASH Old]])</f>
        <v/>
      </c>
      <c r="AQ540" s="139" t="str">
        <f>IFERROR(ROUND((tblPiNHistorical[[#This Row],[Site Management - New]] - tblPiNHistorical[[#This Row],[Site Management - Old]])/tblPiNHistorical[[#This Row],[Site Management - Old]], 1), "")</f>
        <v/>
      </c>
      <c r="AR540" s="140">
        <f>IFERROR(ROUND((tblPiNHistorical[[#This Row],[Education New]]-tblPiNHistorical[[#This Row],[Education Old]])/tblPiNHistorical[[#This Row],[Education Old]], 1), "")</f>
        <v>-1</v>
      </c>
      <c r="AS540" s="141">
        <f>IFERROR(ROUND((tblPiNHistorical[[#This Row],[Food Security and Livlihoods New]]-tblPiNHistorical[[#This Row],[Food Security and Livlihoods Old]])/tblPiNHistorical[[#This Row],[Food Security and Livlihoods Old]], 1), "")</f>
        <v>-1</v>
      </c>
      <c r="AT540" s="142">
        <f>IFERROR(ROUND((tblPiNHistorical[[#This Row],[Health New]]-tblPiNHistorical[[#This Row],[Health Old]])/tblPiNHistorical[[#This Row],[Health Old]], 1), "")</f>
        <v>-1</v>
      </c>
      <c r="AU540" s="140">
        <f>IFERROR(ROUND((tblPiNHistorical[[#This Row],[Nutrition New]]-tblPiNHistorical[[#This Row],[Nutrition Old]])/tblPiNHistorical[[#This Row],[Nutrition Old]], 1), "")</f>
        <v>-1</v>
      </c>
      <c r="AV540" s="140">
        <f>IFERROR(ROUND((tblPiNHistorical[[#This Row],[Protection New]]-tblPiNHistorical[[#This Row],[Protection Old]])/tblPiNHistorical[[#This Row],[Protection Old]], 1), "")</f>
        <v>-1</v>
      </c>
      <c r="AW540" s="84">
        <f>IFERROR(ROUND((tblPiNHistorical[[#This Row],[CP New]]-tblPiNHistorical[[#This Row],[CP Old ]])/tblPiNHistorical[[#This Row],[CP Old ]], 1), "")</f>
        <v>-1</v>
      </c>
      <c r="AX540" s="84">
        <f>IFERROR(ROUND((tblPiNHistorical[[#This Row],[GBV New]]-tblPiNHistorical[[#This Row],[GBV Old]])/tblPiNHistorical[[#This Row],[GBV Old]], 1), "")</f>
        <v>-1</v>
      </c>
      <c r="AY540" s="84">
        <f>IFERROR(ROUND((tblPiNHistorical[[#This Row],[Mine Action New]]-tblPiNHistorical[[#This Row],[Mine Action Old]])/tblPiNHistorical[[#This Row],[Mine Action Old]], 1), "")</f>
        <v>-1</v>
      </c>
      <c r="AZ540" s="140">
        <f>IFERROR(ROUND((tblPiNHistorical[[#This Row],[Shelter NFI New]]-tblPiNHistorical[[#This Row],[Shelter NFI Old]])/tblPiNHistorical[[#This Row],[Shelter NFI Old]], 1), "")</f>
        <v>-1</v>
      </c>
      <c r="BA540" s="31">
        <f>IFERROR(ROUND((tblPiNHistorical[[#This Row],[WASH New]]-tblPiNHistorical[[#This Row],[WASH Old]])/tblPiNHistorical[[#This Row],[WASH Old]], 1), "")</f>
        <v>-1</v>
      </c>
    </row>
    <row r="541" spans="1:53" ht="38.25" x14ac:dyDescent="0.25">
      <c r="A541"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Host CommunitySD07089</v>
      </c>
      <c r="B541" s="134" t="s">
        <v>188</v>
      </c>
      <c r="C541" s="124" t="s">
        <v>124</v>
      </c>
      <c r="D541" s="124" t="s">
        <v>338</v>
      </c>
      <c r="E541" s="59" t="s">
        <v>339</v>
      </c>
      <c r="F541" s="54"/>
      <c r="G541" s="29"/>
      <c r="H541" s="53">
        <v>16353</v>
      </c>
      <c r="I541" s="53" t="s">
        <v>87</v>
      </c>
      <c r="J541" s="34">
        <v>0</v>
      </c>
      <c r="K541" s="116">
        <v>6340.0581000000002</v>
      </c>
      <c r="L541" s="114">
        <v>16353</v>
      </c>
      <c r="M541" s="114">
        <v>16353</v>
      </c>
      <c r="N541" s="114">
        <v>1789</v>
      </c>
      <c r="O541" s="114">
        <v>5178</v>
      </c>
      <c r="P541" s="114">
        <v>1799</v>
      </c>
      <c r="Q541" s="114">
        <v>5178</v>
      </c>
      <c r="R541" s="114">
        <v>1635.3000000000002</v>
      </c>
      <c r="S541" s="114">
        <v>0</v>
      </c>
      <c r="T541" s="196">
        <v>15546.797099999998</v>
      </c>
      <c r="U541" s="52">
        <f>IFERROR(INDEX(tblPiNAnalysis[[Site Management ]], MATCH(tblPiNHistorical[[#This Row],[ID]], tblPiNAnalysis[ID], 0)), "")</f>
        <v>0</v>
      </c>
      <c r="V541" s="52">
        <f>IFERROR(INDEX(tblPiNAnalysis[Education], MATCH(tblPiNHistorical[[#This Row],[ID]], tblPiNAnalysis[ID], 0)), "")</f>
        <v>0</v>
      </c>
      <c r="W541" s="28">
        <f>IFERROR(INDEX(tblPiNAnalysis[Food Security and Livlihoods], MATCH(tblPiNHistorical[[#This Row],[ID]], tblPiNAnalysis[ID], 0)), "")</f>
        <v>0</v>
      </c>
      <c r="X541" s="28">
        <f>IFERROR(INDEX(tblPiNAnalysis[[Health ]], MATCH(tblPiNHistorical[[#This Row],[ID]], tblPiNAnalysis[ID], 0)), "")</f>
        <v>0</v>
      </c>
      <c r="Y541" s="28">
        <f>IFERROR(INDEX(tblPiNAnalysis[Nutrition], MATCH(tblPiNHistorical[[#This Row],[ID]], tblPiNAnalysis[ID], 0)), "")</f>
        <v>0</v>
      </c>
      <c r="Z541" s="28">
        <f>IFERROR(INDEX(tblPiNAnalysis[Protection], MATCH(tblPiNHistorical[[#This Row],[ID]], tblPiNAnalysis[ID], 0)), "")</f>
        <v>0</v>
      </c>
      <c r="AA541" s="28">
        <f>IFERROR(INDEX(tblPiNAnalysis[CP], MATCH(tblPiNHistorical[[#This Row],[ID]], tblPiNAnalysis[ID], 0)), "")</f>
        <v>0</v>
      </c>
      <c r="AB541" s="83">
        <f>IFERROR(INDEX(tblPiNAnalysis[GBV], MATCH(tblPiNHistorical[[#This Row],[ID]], tblPiNAnalysis[ID], 0)), "")</f>
        <v>0</v>
      </c>
      <c r="AC541" s="28">
        <f>IFERROR(INDEX(tblPiNAnalysis[Mine Action], MATCH(tblPiNHistorical[[#This Row],[ID]], tblPiNAnalysis[ID], 0)), "")</f>
        <v>0</v>
      </c>
      <c r="AD541" s="83">
        <f>IFERROR(INDEX(tblPiNAnalysis[[Shelter NFI ]], MATCH(tblPiNHistorical[[#This Row],[ID]], tblPiNAnalysis[ID], 0)), "")</f>
        <v>0</v>
      </c>
      <c r="AE541" s="28">
        <f>IFERROR(INDEX(tblPiNAnalysis[WASH], MATCH(tblPiNHistorical[[#This Row],[ID]], tblPiNAnalysis[ID], 0)), "")</f>
        <v>0</v>
      </c>
      <c r="AF541"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541" s="136" t="str">
        <f>IF(OR(tblPiNHistorical[[#This Row],[Education Old]]="", tblPiNHistorical[[#This Row],[Education Old]]=0, tblPiNHistorical[[#This Row],[Education New]]="", tblPiNHistorical[[#This Row],[Education New]]=0), "", tblPiNHistorical[[#This Row],[Education New]]-tblPiNHistorical[[#This Row],[Education Old]])</f>
        <v/>
      </c>
      <c r="AH541"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541" s="137" t="str">
        <f>IF(OR(tblPiNHistorical[[#This Row],[Health Old]]="", tblPiNHistorical[[#This Row],[Health Old]]=0, tblPiNHistorical[[#This Row],[Health New]]="", tblPiNHistorical[[#This Row],[Health New]]=0), "", tblPiNHistorical[[#This Row],[Health New]]-tblPiNHistorical[[#This Row],[Health Old]])</f>
        <v/>
      </c>
      <c r="AJ541" s="136" t="str">
        <f>IF(OR(tblPiNHistorical[[#This Row],[Nutrition Old]]="", tblPiNHistorical[[#This Row],[Nutrition Old]]=0, tblPiNHistorical[[#This Row],[Nutrition New]]="", tblPiNHistorical[[#This Row],[Nutrition New]]=0), "", tblPiNHistorical[[#This Row],[Nutrition New]]-tblPiNHistorical[[#This Row],[Nutrition Old]])</f>
        <v/>
      </c>
      <c r="AK541" s="136" t="str">
        <f>IF(OR(tblPiNHistorical[[#This Row],[Protection Old]]="", tblPiNHistorical[[#This Row],[Protection Old]]=0, tblPiNHistorical[[#This Row],[Protection New]]="", tblPiNHistorical[[#This Row],[Protection New]]=0), "", tblPiNHistorical[[#This Row],[Protection New]]-tblPiNHistorical[[#This Row],[Protection Old]])</f>
        <v/>
      </c>
      <c r="AL541" s="136" t="str">
        <f>IF(OR(tblPiNHistorical[[#This Row],[CP Old ]]="", tblPiNHistorical[[#This Row],[CP Old ]]=0, tblPiNHistorical[[#This Row],[CP New]]="", tblPiNHistorical[[#This Row],[CP New]]=0), "", tblPiNHistorical[[#This Row],[CP New]]-tblPiNHistorical[[#This Row],[CP Old ]])</f>
        <v/>
      </c>
      <c r="AM541" s="83" t="str">
        <f>IF(OR(tblPiNHistorical[[#This Row],[GBV Old]]="", tblPiNHistorical[[#This Row],[GBV Old]]=0, tblPiNHistorical[[#This Row],[GBV New]]="", tblPiNHistorical[[#This Row],[GBV New]]=0), "", tblPiNHistorical[[#This Row],[GBV New]]-tblPiNHistorical[[#This Row],[GBV Old]])</f>
        <v/>
      </c>
      <c r="AN541" s="83" t="str">
        <f>IF(OR(tblPiNHistorical[[#This Row],[Mine Action Old]]="", tblPiNHistorical[[#This Row],[Mine Action Old]]=0, tblPiNHistorical[[#This Row],[Mine Action New]]="", tblPiNHistorical[[#This Row],[Mine Action New]]=0), "", tblPiNHistorical[[#This Row],[Mine Action New]]-tblPiNHistorical[[#This Row],[Mine Action Old]])</f>
        <v/>
      </c>
      <c r="AO541" s="136" t="str">
        <f>IF(OR(tblPiNHistorical[[#This Row],[Shelter NFI Old]]="", tblPiNHistorical[[#This Row],[Shelter NFI Old]]=0, tblPiNHistorical[[#This Row],[Shelter NFI New]]="", tblPiNHistorical[[#This Row],[Shelter NFI New]]=0), "", tblPiNHistorical[[#This Row],[Shelter NFI New]]-tblPiNHistorical[[#This Row],[Shelter NFI Old]])</f>
        <v/>
      </c>
      <c r="AP541" s="138" t="str">
        <f>IF(OR(tblPiNHistorical[[#This Row],[WASH Old]]="", tblPiNHistorical[[#This Row],[WASH Old]]=0, tblPiNHistorical[[#This Row],[WASH New]]="", tblPiNHistorical[[#This Row],[WASH New]]=0), "", tblPiNHistorical[[#This Row],[WASH New]]-tblPiNHistorical[[#This Row],[WASH Old]])</f>
        <v/>
      </c>
      <c r="AQ541" s="139" t="str">
        <f>IFERROR(ROUND((tblPiNHistorical[[#This Row],[Site Management - New]] - tblPiNHistorical[[#This Row],[Site Management - Old]])/tblPiNHistorical[[#This Row],[Site Management - Old]], 1), "")</f>
        <v/>
      </c>
      <c r="AR541" s="140">
        <f>IFERROR(ROUND((tblPiNHistorical[[#This Row],[Education New]]-tblPiNHistorical[[#This Row],[Education Old]])/tblPiNHistorical[[#This Row],[Education Old]], 1), "")</f>
        <v>-1</v>
      </c>
      <c r="AS541" s="141">
        <f>IFERROR(ROUND((tblPiNHistorical[[#This Row],[Food Security and Livlihoods New]]-tblPiNHistorical[[#This Row],[Food Security and Livlihoods Old]])/tblPiNHistorical[[#This Row],[Food Security and Livlihoods Old]], 1), "")</f>
        <v>-1</v>
      </c>
      <c r="AT541" s="142">
        <f>IFERROR(ROUND((tblPiNHistorical[[#This Row],[Health New]]-tblPiNHistorical[[#This Row],[Health Old]])/tblPiNHistorical[[#This Row],[Health Old]], 1), "")</f>
        <v>-1</v>
      </c>
      <c r="AU541" s="140">
        <f>IFERROR(ROUND((tblPiNHistorical[[#This Row],[Nutrition New]]-tblPiNHistorical[[#This Row],[Nutrition Old]])/tblPiNHistorical[[#This Row],[Nutrition Old]], 1), "")</f>
        <v>-1</v>
      </c>
      <c r="AV541" s="140">
        <f>IFERROR(ROUND((tblPiNHistorical[[#This Row],[Protection New]]-tblPiNHistorical[[#This Row],[Protection Old]])/tblPiNHistorical[[#This Row],[Protection Old]], 1), "")</f>
        <v>-1</v>
      </c>
      <c r="AW541" s="84">
        <f>IFERROR(ROUND((tblPiNHistorical[[#This Row],[CP New]]-tblPiNHistorical[[#This Row],[CP Old ]])/tblPiNHistorical[[#This Row],[CP Old ]], 1), "")</f>
        <v>-1</v>
      </c>
      <c r="AX541" s="84">
        <f>IFERROR(ROUND((tblPiNHistorical[[#This Row],[GBV New]]-tblPiNHistorical[[#This Row],[GBV Old]])/tblPiNHistorical[[#This Row],[GBV Old]], 1), "")</f>
        <v>-1</v>
      </c>
      <c r="AY541" s="84">
        <f>IFERROR(ROUND((tblPiNHistorical[[#This Row],[Mine Action New]]-tblPiNHistorical[[#This Row],[Mine Action Old]])/tblPiNHistorical[[#This Row],[Mine Action Old]], 1), "")</f>
        <v>-1</v>
      </c>
      <c r="AZ541" s="140" t="str">
        <f>IFERROR(ROUND((tblPiNHistorical[[#This Row],[Shelter NFI New]]-tblPiNHistorical[[#This Row],[Shelter NFI Old]])/tblPiNHistorical[[#This Row],[Shelter NFI Old]], 1), "")</f>
        <v/>
      </c>
      <c r="BA541" s="31">
        <f>IFERROR(ROUND((tblPiNHistorical[[#This Row],[WASH New]]-tblPiNHistorical[[#This Row],[WASH Old]])/tblPiNHistorical[[#This Row],[WASH Old]], 1), "")</f>
        <v>-1</v>
      </c>
    </row>
    <row r="542" spans="1:53" ht="38.25" x14ac:dyDescent="0.25">
      <c r="A542"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Host CommunitySD07091</v>
      </c>
      <c r="B542" s="134" t="s">
        <v>188</v>
      </c>
      <c r="C542" s="124" t="s">
        <v>124</v>
      </c>
      <c r="D542" s="124" t="s">
        <v>342</v>
      </c>
      <c r="E542" s="59" t="s">
        <v>343</v>
      </c>
      <c r="F542" s="54"/>
      <c r="G542" s="29"/>
      <c r="H542" s="53">
        <v>0</v>
      </c>
      <c r="I542" s="53" t="s">
        <v>87</v>
      </c>
      <c r="J542" s="34">
        <v>0</v>
      </c>
      <c r="K542" s="116">
        <v>0</v>
      </c>
      <c r="L542" s="114">
        <v>0</v>
      </c>
      <c r="M542" s="114">
        <v>0</v>
      </c>
      <c r="N542" s="114">
        <v>0</v>
      </c>
      <c r="O542" s="114">
        <v>0</v>
      </c>
      <c r="P542" s="114">
        <v>0</v>
      </c>
      <c r="Q542" s="114">
        <v>0</v>
      </c>
      <c r="R542" s="114">
        <v>0</v>
      </c>
      <c r="S542" s="114">
        <v>0</v>
      </c>
      <c r="T542" s="196">
        <v>0</v>
      </c>
      <c r="U542" s="52">
        <f>IFERROR(INDEX(tblPiNAnalysis[[Site Management ]], MATCH(tblPiNHistorical[[#This Row],[ID]], tblPiNAnalysis[ID], 0)), "")</f>
        <v>0</v>
      </c>
      <c r="V542" s="52">
        <f>IFERROR(INDEX(tblPiNAnalysis[Education], MATCH(tblPiNHistorical[[#This Row],[ID]], tblPiNAnalysis[ID], 0)), "")</f>
        <v>0</v>
      </c>
      <c r="W542" s="28">
        <f>IFERROR(INDEX(tblPiNAnalysis[Food Security and Livlihoods], MATCH(tblPiNHistorical[[#This Row],[ID]], tblPiNAnalysis[ID], 0)), "")</f>
        <v>0</v>
      </c>
      <c r="X542" s="28">
        <f>IFERROR(INDEX(tblPiNAnalysis[[Health ]], MATCH(tblPiNHistorical[[#This Row],[ID]], tblPiNAnalysis[ID], 0)), "")</f>
        <v>0</v>
      </c>
      <c r="Y542" s="28">
        <f>IFERROR(INDEX(tblPiNAnalysis[Nutrition], MATCH(tblPiNHistorical[[#This Row],[ID]], tblPiNAnalysis[ID], 0)), "")</f>
        <v>0</v>
      </c>
      <c r="Z542" s="28">
        <f>IFERROR(INDEX(tblPiNAnalysis[Protection], MATCH(tblPiNHistorical[[#This Row],[ID]], tblPiNAnalysis[ID], 0)), "")</f>
        <v>0</v>
      </c>
      <c r="AA542" s="28">
        <f>IFERROR(INDEX(tblPiNAnalysis[CP], MATCH(tblPiNHistorical[[#This Row],[ID]], tblPiNAnalysis[ID], 0)), "")</f>
        <v>0</v>
      </c>
      <c r="AB542" s="83">
        <f>IFERROR(INDEX(tblPiNAnalysis[GBV], MATCH(tblPiNHistorical[[#This Row],[ID]], tblPiNAnalysis[ID], 0)), "")</f>
        <v>0</v>
      </c>
      <c r="AC542" s="28">
        <f>IFERROR(INDEX(tblPiNAnalysis[Mine Action], MATCH(tblPiNHistorical[[#This Row],[ID]], tblPiNAnalysis[ID], 0)), "")</f>
        <v>0</v>
      </c>
      <c r="AD542" s="83">
        <f>IFERROR(INDEX(tblPiNAnalysis[[Shelter NFI ]], MATCH(tblPiNHistorical[[#This Row],[ID]], tblPiNAnalysis[ID], 0)), "")</f>
        <v>0</v>
      </c>
      <c r="AE542" s="28">
        <f>IFERROR(INDEX(tblPiNAnalysis[WASH], MATCH(tblPiNHistorical[[#This Row],[ID]], tblPiNAnalysis[ID], 0)), "")</f>
        <v>0</v>
      </c>
      <c r="AF542"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542" s="136" t="str">
        <f>IF(OR(tblPiNHistorical[[#This Row],[Education Old]]="", tblPiNHistorical[[#This Row],[Education Old]]=0, tblPiNHistorical[[#This Row],[Education New]]="", tblPiNHistorical[[#This Row],[Education New]]=0), "", tblPiNHistorical[[#This Row],[Education New]]-tblPiNHistorical[[#This Row],[Education Old]])</f>
        <v/>
      </c>
      <c r="AH542"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542" s="137" t="str">
        <f>IF(OR(tblPiNHistorical[[#This Row],[Health Old]]="", tblPiNHistorical[[#This Row],[Health Old]]=0, tblPiNHistorical[[#This Row],[Health New]]="", tblPiNHistorical[[#This Row],[Health New]]=0), "", tblPiNHistorical[[#This Row],[Health New]]-tblPiNHistorical[[#This Row],[Health Old]])</f>
        <v/>
      </c>
      <c r="AJ542" s="136" t="str">
        <f>IF(OR(tblPiNHistorical[[#This Row],[Nutrition Old]]="", tblPiNHistorical[[#This Row],[Nutrition Old]]=0, tblPiNHistorical[[#This Row],[Nutrition New]]="", tblPiNHistorical[[#This Row],[Nutrition New]]=0), "", tblPiNHistorical[[#This Row],[Nutrition New]]-tblPiNHistorical[[#This Row],[Nutrition Old]])</f>
        <v/>
      </c>
      <c r="AK542" s="136" t="str">
        <f>IF(OR(tblPiNHistorical[[#This Row],[Protection Old]]="", tblPiNHistorical[[#This Row],[Protection Old]]=0, tblPiNHistorical[[#This Row],[Protection New]]="", tblPiNHistorical[[#This Row],[Protection New]]=0), "", tblPiNHistorical[[#This Row],[Protection New]]-tblPiNHistorical[[#This Row],[Protection Old]])</f>
        <v/>
      </c>
      <c r="AL542" s="136" t="str">
        <f>IF(OR(tblPiNHistorical[[#This Row],[CP Old ]]="", tblPiNHistorical[[#This Row],[CP Old ]]=0, tblPiNHistorical[[#This Row],[CP New]]="", tblPiNHistorical[[#This Row],[CP New]]=0), "", tblPiNHistorical[[#This Row],[CP New]]-tblPiNHistorical[[#This Row],[CP Old ]])</f>
        <v/>
      </c>
      <c r="AM542" s="83" t="str">
        <f>IF(OR(tblPiNHistorical[[#This Row],[GBV Old]]="", tblPiNHistorical[[#This Row],[GBV Old]]=0, tblPiNHistorical[[#This Row],[GBV New]]="", tblPiNHistorical[[#This Row],[GBV New]]=0), "", tblPiNHistorical[[#This Row],[GBV New]]-tblPiNHistorical[[#This Row],[GBV Old]])</f>
        <v/>
      </c>
      <c r="AN542" s="83" t="str">
        <f>IF(OR(tblPiNHistorical[[#This Row],[Mine Action Old]]="", tblPiNHistorical[[#This Row],[Mine Action Old]]=0, tblPiNHistorical[[#This Row],[Mine Action New]]="", tblPiNHistorical[[#This Row],[Mine Action New]]=0), "", tblPiNHistorical[[#This Row],[Mine Action New]]-tblPiNHistorical[[#This Row],[Mine Action Old]])</f>
        <v/>
      </c>
      <c r="AO542" s="136" t="str">
        <f>IF(OR(tblPiNHistorical[[#This Row],[Shelter NFI Old]]="", tblPiNHistorical[[#This Row],[Shelter NFI Old]]=0, tblPiNHistorical[[#This Row],[Shelter NFI New]]="", tblPiNHistorical[[#This Row],[Shelter NFI New]]=0), "", tblPiNHistorical[[#This Row],[Shelter NFI New]]-tblPiNHistorical[[#This Row],[Shelter NFI Old]])</f>
        <v/>
      </c>
      <c r="AP542" s="138" t="str">
        <f>IF(OR(tblPiNHistorical[[#This Row],[WASH Old]]="", tblPiNHistorical[[#This Row],[WASH Old]]=0, tblPiNHistorical[[#This Row],[WASH New]]="", tblPiNHistorical[[#This Row],[WASH New]]=0), "", tblPiNHistorical[[#This Row],[WASH New]]-tblPiNHistorical[[#This Row],[WASH Old]])</f>
        <v/>
      </c>
      <c r="AQ542" s="139" t="str">
        <f>IFERROR(ROUND((tblPiNHistorical[[#This Row],[Site Management - New]] - tblPiNHistorical[[#This Row],[Site Management - Old]])/tblPiNHistorical[[#This Row],[Site Management - Old]], 1), "")</f>
        <v/>
      </c>
      <c r="AR542" s="140" t="str">
        <f>IFERROR(ROUND((tblPiNHistorical[[#This Row],[Education New]]-tblPiNHistorical[[#This Row],[Education Old]])/tblPiNHistorical[[#This Row],[Education Old]], 1), "")</f>
        <v/>
      </c>
      <c r="AS542" s="141" t="str">
        <f>IFERROR(ROUND((tblPiNHistorical[[#This Row],[Food Security and Livlihoods New]]-tblPiNHistorical[[#This Row],[Food Security and Livlihoods Old]])/tblPiNHistorical[[#This Row],[Food Security and Livlihoods Old]], 1), "")</f>
        <v/>
      </c>
      <c r="AT542" s="142" t="str">
        <f>IFERROR(ROUND((tblPiNHistorical[[#This Row],[Health New]]-tblPiNHistorical[[#This Row],[Health Old]])/tblPiNHistorical[[#This Row],[Health Old]], 1), "")</f>
        <v/>
      </c>
      <c r="AU542" s="140" t="str">
        <f>IFERROR(ROUND((tblPiNHistorical[[#This Row],[Nutrition New]]-tblPiNHistorical[[#This Row],[Nutrition Old]])/tblPiNHistorical[[#This Row],[Nutrition Old]], 1), "")</f>
        <v/>
      </c>
      <c r="AV542" s="140" t="str">
        <f>IFERROR(ROUND((tblPiNHistorical[[#This Row],[Protection New]]-tblPiNHistorical[[#This Row],[Protection Old]])/tblPiNHistorical[[#This Row],[Protection Old]], 1), "")</f>
        <v/>
      </c>
      <c r="AW542" s="84" t="str">
        <f>IFERROR(ROUND((tblPiNHistorical[[#This Row],[CP New]]-tblPiNHistorical[[#This Row],[CP Old ]])/tblPiNHistorical[[#This Row],[CP Old ]], 1), "")</f>
        <v/>
      </c>
      <c r="AX542" s="84" t="str">
        <f>IFERROR(ROUND((tblPiNHistorical[[#This Row],[GBV New]]-tblPiNHistorical[[#This Row],[GBV Old]])/tblPiNHistorical[[#This Row],[GBV Old]], 1), "")</f>
        <v/>
      </c>
      <c r="AY542" s="84" t="str">
        <f>IFERROR(ROUND((tblPiNHistorical[[#This Row],[Mine Action New]]-tblPiNHistorical[[#This Row],[Mine Action Old]])/tblPiNHistorical[[#This Row],[Mine Action Old]], 1), "")</f>
        <v/>
      </c>
      <c r="AZ542" s="140" t="str">
        <f>IFERROR(ROUND((tblPiNHistorical[[#This Row],[Shelter NFI New]]-tblPiNHistorical[[#This Row],[Shelter NFI Old]])/tblPiNHistorical[[#This Row],[Shelter NFI Old]], 1), "")</f>
        <v/>
      </c>
      <c r="BA542" s="31" t="str">
        <f>IFERROR(ROUND((tblPiNHistorical[[#This Row],[WASH New]]-tblPiNHistorical[[#This Row],[WASH Old]])/tblPiNHistorical[[#This Row],[WASH Old]], 1), "")</f>
        <v/>
      </c>
    </row>
    <row r="543" spans="1:53" ht="38.25" x14ac:dyDescent="0.25">
      <c r="A543"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Host CommunitySD04115</v>
      </c>
      <c r="B543" s="134" t="s">
        <v>191</v>
      </c>
      <c r="C543" s="124" t="s">
        <v>121</v>
      </c>
      <c r="D543" s="124" t="s">
        <v>277</v>
      </c>
      <c r="E543" s="59" t="s">
        <v>276</v>
      </c>
      <c r="F543" s="54"/>
      <c r="G543" s="29"/>
      <c r="H543" s="53">
        <v>16462.790000000008</v>
      </c>
      <c r="I543" s="53" t="s">
        <v>87</v>
      </c>
      <c r="J543" s="34">
        <v>0</v>
      </c>
      <c r="K543" s="116">
        <v>6382.6236830000025</v>
      </c>
      <c r="L543" s="114">
        <v>16463</v>
      </c>
      <c r="M543" s="114">
        <v>16462.790000000008</v>
      </c>
      <c r="N543" s="114">
        <v>1507</v>
      </c>
      <c r="O543" s="114">
        <v>11523.953000000005</v>
      </c>
      <c r="P543" s="114">
        <v>1811</v>
      </c>
      <c r="Q543" s="114">
        <v>5647</v>
      </c>
      <c r="R543" s="114">
        <v>11523.953000000005</v>
      </c>
      <c r="S543" s="114">
        <v>3293</v>
      </c>
      <c r="T543" s="196">
        <v>8015.7324510000035</v>
      </c>
      <c r="U543" s="52">
        <f>IFERROR(INDEX(tblPiNAnalysis[[Site Management ]], MATCH(tblPiNHistorical[[#This Row],[ID]], tblPiNAnalysis[ID], 0)), "")</f>
        <v>0</v>
      </c>
      <c r="V543" s="52">
        <f>IFERROR(INDEX(tblPiNAnalysis[Education], MATCH(tblPiNHistorical[[#This Row],[ID]], tblPiNAnalysis[ID], 0)), "")</f>
        <v>0</v>
      </c>
      <c r="W543" s="28">
        <f>IFERROR(INDEX(tblPiNAnalysis[Food Security and Livlihoods], MATCH(tblPiNHistorical[[#This Row],[ID]], tblPiNAnalysis[ID], 0)), "")</f>
        <v>0</v>
      </c>
      <c r="X543" s="28">
        <f>IFERROR(INDEX(tblPiNAnalysis[[Health ]], MATCH(tblPiNHistorical[[#This Row],[ID]], tblPiNAnalysis[ID], 0)), "")</f>
        <v>0</v>
      </c>
      <c r="Y543" s="28">
        <f>IFERROR(INDEX(tblPiNAnalysis[Nutrition], MATCH(tblPiNHistorical[[#This Row],[ID]], tblPiNAnalysis[ID], 0)), "")</f>
        <v>0</v>
      </c>
      <c r="Z543" s="28">
        <f>IFERROR(INDEX(tblPiNAnalysis[Protection], MATCH(tblPiNHistorical[[#This Row],[ID]], tblPiNAnalysis[ID], 0)), "")</f>
        <v>0</v>
      </c>
      <c r="AA543" s="28">
        <f>IFERROR(INDEX(tblPiNAnalysis[CP], MATCH(tblPiNHistorical[[#This Row],[ID]], tblPiNAnalysis[ID], 0)), "")</f>
        <v>0</v>
      </c>
      <c r="AB543" s="83">
        <f>IFERROR(INDEX(tblPiNAnalysis[GBV], MATCH(tblPiNHistorical[[#This Row],[ID]], tblPiNAnalysis[ID], 0)), "")</f>
        <v>0</v>
      </c>
      <c r="AC543" s="28">
        <f>IFERROR(INDEX(tblPiNAnalysis[Mine Action], MATCH(tblPiNHistorical[[#This Row],[ID]], tblPiNAnalysis[ID], 0)), "")</f>
        <v>0</v>
      </c>
      <c r="AD543" s="83">
        <f>IFERROR(INDEX(tblPiNAnalysis[[Shelter NFI ]], MATCH(tblPiNHistorical[[#This Row],[ID]], tblPiNAnalysis[ID], 0)), "")</f>
        <v>23740</v>
      </c>
      <c r="AE543" s="28">
        <f>IFERROR(INDEX(tblPiNAnalysis[WASH], MATCH(tblPiNHistorical[[#This Row],[ID]], tblPiNAnalysis[ID], 0)), "")</f>
        <v>0</v>
      </c>
      <c r="AF543"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543" s="136" t="str">
        <f>IF(OR(tblPiNHistorical[[#This Row],[Education Old]]="", tblPiNHistorical[[#This Row],[Education Old]]=0, tblPiNHistorical[[#This Row],[Education New]]="", tblPiNHistorical[[#This Row],[Education New]]=0), "", tblPiNHistorical[[#This Row],[Education New]]-tblPiNHistorical[[#This Row],[Education Old]])</f>
        <v/>
      </c>
      <c r="AH543"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543" s="137" t="str">
        <f>IF(OR(tblPiNHistorical[[#This Row],[Health Old]]="", tblPiNHistorical[[#This Row],[Health Old]]=0, tblPiNHistorical[[#This Row],[Health New]]="", tblPiNHistorical[[#This Row],[Health New]]=0), "", tblPiNHistorical[[#This Row],[Health New]]-tblPiNHistorical[[#This Row],[Health Old]])</f>
        <v/>
      </c>
      <c r="AJ543" s="136" t="str">
        <f>IF(OR(tblPiNHistorical[[#This Row],[Nutrition Old]]="", tblPiNHistorical[[#This Row],[Nutrition Old]]=0, tblPiNHistorical[[#This Row],[Nutrition New]]="", tblPiNHistorical[[#This Row],[Nutrition New]]=0), "", tblPiNHistorical[[#This Row],[Nutrition New]]-tblPiNHistorical[[#This Row],[Nutrition Old]])</f>
        <v/>
      </c>
      <c r="AK543" s="136" t="str">
        <f>IF(OR(tblPiNHistorical[[#This Row],[Protection Old]]="", tblPiNHistorical[[#This Row],[Protection Old]]=0, tblPiNHistorical[[#This Row],[Protection New]]="", tblPiNHistorical[[#This Row],[Protection New]]=0), "", tblPiNHistorical[[#This Row],[Protection New]]-tblPiNHistorical[[#This Row],[Protection Old]])</f>
        <v/>
      </c>
      <c r="AL543" s="136" t="str">
        <f>IF(OR(tblPiNHistorical[[#This Row],[CP Old ]]="", tblPiNHistorical[[#This Row],[CP Old ]]=0, tblPiNHistorical[[#This Row],[CP New]]="", tblPiNHistorical[[#This Row],[CP New]]=0), "", tblPiNHistorical[[#This Row],[CP New]]-tblPiNHistorical[[#This Row],[CP Old ]])</f>
        <v/>
      </c>
      <c r="AM543" s="83" t="str">
        <f>IF(OR(tblPiNHistorical[[#This Row],[GBV Old]]="", tblPiNHistorical[[#This Row],[GBV Old]]=0, tblPiNHistorical[[#This Row],[GBV New]]="", tblPiNHistorical[[#This Row],[GBV New]]=0), "", tblPiNHistorical[[#This Row],[GBV New]]-tblPiNHistorical[[#This Row],[GBV Old]])</f>
        <v/>
      </c>
      <c r="AN543" s="83" t="str">
        <f>IF(OR(tblPiNHistorical[[#This Row],[Mine Action Old]]="", tblPiNHistorical[[#This Row],[Mine Action Old]]=0, tblPiNHistorical[[#This Row],[Mine Action New]]="", tblPiNHistorical[[#This Row],[Mine Action New]]=0), "", tblPiNHistorical[[#This Row],[Mine Action New]]-tblPiNHistorical[[#This Row],[Mine Action Old]])</f>
        <v/>
      </c>
      <c r="AO543" s="136">
        <f>IF(OR(tblPiNHistorical[[#This Row],[Shelter NFI Old]]="", tblPiNHistorical[[#This Row],[Shelter NFI Old]]=0, tblPiNHistorical[[#This Row],[Shelter NFI New]]="", tblPiNHistorical[[#This Row],[Shelter NFI New]]=0), "", tblPiNHistorical[[#This Row],[Shelter NFI New]]-tblPiNHistorical[[#This Row],[Shelter NFI Old]])</f>
        <v>20447</v>
      </c>
      <c r="AP543" s="138" t="str">
        <f>IF(OR(tblPiNHistorical[[#This Row],[WASH Old]]="", tblPiNHistorical[[#This Row],[WASH Old]]=0, tblPiNHistorical[[#This Row],[WASH New]]="", tblPiNHistorical[[#This Row],[WASH New]]=0), "", tblPiNHistorical[[#This Row],[WASH New]]-tblPiNHistorical[[#This Row],[WASH Old]])</f>
        <v/>
      </c>
      <c r="AQ543" s="139" t="str">
        <f>IFERROR(ROUND((tblPiNHistorical[[#This Row],[Site Management - New]] - tblPiNHistorical[[#This Row],[Site Management - Old]])/tblPiNHistorical[[#This Row],[Site Management - Old]], 1), "")</f>
        <v/>
      </c>
      <c r="AR543" s="140">
        <f>IFERROR(ROUND((tblPiNHistorical[[#This Row],[Education New]]-tblPiNHistorical[[#This Row],[Education Old]])/tblPiNHistorical[[#This Row],[Education Old]], 1), "")</f>
        <v>-1</v>
      </c>
      <c r="AS543" s="141">
        <f>IFERROR(ROUND((tblPiNHistorical[[#This Row],[Food Security and Livlihoods New]]-tblPiNHistorical[[#This Row],[Food Security and Livlihoods Old]])/tblPiNHistorical[[#This Row],[Food Security and Livlihoods Old]], 1), "")</f>
        <v>-1</v>
      </c>
      <c r="AT543" s="142">
        <f>IFERROR(ROUND((tblPiNHistorical[[#This Row],[Health New]]-tblPiNHistorical[[#This Row],[Health Old]])/tblPiNHistorical[[#This Row],[Health Old]], 1), "")</f>
        <v>-1</v>
      </c>
      <c r="AU543" s="140">
        <f>IFERROR(ROUND((tblPiNHistorical[[#This Row],[Nutrition New]]-tblPiNHistorical[[#This Row],[Nutrition Old]])/tblPiNHistorical[[#This Row],[Nutrition Old]], 1), "")</f>
        <v>-1</v>
      </c>
      <c r="AV543" s="140">
        <f>IFERROR(ROUND((tblPiNHistorical[[#This Row],[Protection New]]-tblPiNHistorical[[#This Row],[Protection Old]])/tblPiNHistorical[[#This Row],[Protection Old]], 1), "")</f>
        <v>-1</v>
      </c>
      <c r="AW543" s="84">
        <f>IFERROR(ROUND((tblPiNHistorical[[#This Row],[CP New]]-tblPiNHistorical[[#This Row],[CP Old ]])/tblPiNHistorical[[#This Row],[CP Old ]], 1), "")</f>
        <v>-1</v>
      </c>
      <c r="AX543" s="84">
        <f>IFERROR(ROUND((tblPiNHistorical[[#This Row],[GBV New]]-tblPiNHistorical[[#This Row],[GBV Old]])/tblPiNHistorical[[#This Row],[GBV Old]], 1), "")</f>
        <v>-1</v>
      </c>
      <c r="AY543" s="84">
        <f>IFERROR(ROUND((tblPiNHistorical[[#This Row],[Mine Action New]]-tblPiNHistorical[[#This Row],[Mine Action Old]])/tblPiNHistorical[[#This Row],[Mine Action Old]], 1), "")</f>
        <v>-1</v>
      </c>
      <c r="AZ543" s="140">
        <f>IFERROR(ROUND((tblPiNHistorical[[#This Row],[Shelter NFI New]]-tblPiNHistorical[[#This Row],[Shelter NFI Old]])/tblPiNHistorical[[#This Row],[Shelter NFI Old]], 1), "")</f>
        <v>6.2</v>
      </c>
      <c r="BA543" s="31">
        <f>IFERROR(ROUND((tblPiNHistorical[[#This Row],[WASH New]]-tblPiNHistorical[[#This Row],[WASH Old]])/tblPiNHistorical[[#This Row],[WASH Old]], 1), "")</f>
        <v>-1</v>
      </c>
    </row>
    <row r="544" spans="1:53" ht="38.25" x14ac:dyDescent="0.25">
      <c r="A544"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Host CommunitySD04111</v>
      </c>
      <c r="B544" s="134" t="s">
        <v>191</v>
      </c>
      <c r="C544" s="124" t="s">
        <v>121</v>
      </c>
      <c r="D544" s="124" t="s">
        <v>275</v>
      </c>
      <c r="E544" s="59" t="s">
        <v>274</v>
      </c>
      <c r="F544" s="54"/>
      <c r="G544" s="29"/>
      <c r="H544" s="53">
        <v>25648</v>
      </c>
      <c r="I544" s="53" t="s">
        <v>87</v>
      </c>
      <c r="J544" s="34">
        <v>0</v>
      </c>
      <c r="K544" s="116">
        <v>9943.7296000000006</v>
      </c>
      <c r="L544" s="114">
        <v>22648</v>
      </c>
      <c r="M544" s="114">
        <v>25648</v>
      </c>
      <c r="N544" s="114">
        <v>1312</v>
      </c>
      <c r="O544" s="114">
        <v>10259.200000000001</v>
      </c>
      <c r="P544" s="114">
        <v>2821</v>
      </c>
      <c r="Q544" s="114">
        <v>8798</v>
      </c>
      <c r="R544" s="114">
        <v>10259.200000000001</v>
      </c>
      <c r="S544" s="114">
        <v>5130</v>
      </c>
      <c r="T544" s="196">
        <v>16522.441600000002</v>
      </c>
      <c r="U544" s="52">
        <f>IFERROR(INDEX(tblPiNAnalysis[[Site Management ]], MATCH(tblPiNHistorical[[#This Row],[ID]], tblPiNAnalysis[ID], 0)), "")</f>
        <v>0</v>
      </c>
      <c r="V544" s="52">
        <f>IFERROR(INDEX(tblPiNAnalysis[Education], MATCH(tblPiNHistorical[[#This Row],[ID]], tblPiNAnalysis[ID], 0)), "")</f>
        <v>0</v>
      </c>
      <c r="W544" s="28">
        <f>IFERROR(INDEX(tblPiNAnalysis[Food Security and Livlihoods], MATCH(tblPiNHistorical[[#This Row],[ID]], tblPiNAnalysis[ID], 0)), "")</f>
        <v>0</v>
      </c>
      <c r="X544" s="28">
        <f>IFERROR(INDEX(tblPiNAnalysis[[Health ]], MATCH(tblPiNHistorical[[#This Row],[ID]], tblPiNAnalysis[ID], 0)), "")</f>
        <v>0</v>
      </c>
      <c r="Y544" s="28">
        <f>IFERROR(INDEX(tblPiNAnalysis[Nutrition], MATCH(tblPiNHistorical[[#This Row],[ID]], tblPiNAnalysis[ID], 0)), "")</f>
        <v>0</v>
      </c>
      <c r="Z544" s="28">
        <f>IFERROR(INDEX(tblPiNAnalysis[Protection], MATCH(tblPiNHistorical[[#This Row],[ID]], tblPiNAnalysis[ID], 0)), "")</f>
        <v>0</v>
      </c>
      <c r="AA544" s="28">
        <f>IFERROR(INDEX(tblPiNAnalysis[CP], MATCH(tblPiNHistorical[[#This Row],[ID]], tblPiNAnalysis[ID], 0)), "")</f>
        <v>0</v>
      </c>
      <c r="AB544" s="83">
        <f>IFERROR(INDEX(tblPiNAnalysis[GBV], MATCH(tblPiNHistorical[[#This Row],[ID]], tblPiNAnalysis[ID], 0)), "")</f>
        <v>0</v>
      </c>
      <c r="AC544" s="28">
        <f>IFERROR(INDEX(tblPiNAnalysis[Mine Action], MATCH(tblPiNHistorical[[#This Row],[ID]], tblPiNAnalysis[ID], 0)), "")</f>
        <v>0</v>
      </c>
      <c r="AD544" s="83">
        <f>IFERROR(INDEX(tblPiNAnalysis[[Shelter NFI ]], MATCH(tblPiNHistorical[[#This Row],[ID]], tblPiNAnalysis[ID], 0)), "")</f>
        <v>2423</v>
      </c>
      <c r="AE544" s="28">
        <f>IFERROR(INDEX(tblPiNAnalysis[WASH], MATCH(tblPiNHistorical[[#This Row],[ID]], tblPiNAnalysis[ID], 0)), "")</f>
        <v>0</v>
      </c>
      <c r="AF544"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544" s="136" t="str">
        <f>IF(OR(tblPiNHistorical[[#This Row],[Education Old]]="", tblPiNHistorical[[#This Row],[Education Old]]=0, tblPiNHistorical[[#This Row],[Education New]]="", tblPiNHistorical[[#This Row],[Education New]]=0), "", tblPiNHistorical[[#This Row],[Education New]]-tblPiNHistorical[[#This Row],[Education Old]])</f>
        <v/>
      </c>
      <c r="AH544"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544" s="137" t="str">
        <f>IF(OR(tblPiNHistorical[[#This Row],[Health Old]]="", tblPiNHistorical[[#This Row],[Health Old]]=0, tblPiNHistorical[[#This Row],[Health New]]="", tblPiNHistorical[[#This Row],[Health New]]=0), "", tblPiNHistorical[[#This Row],[Health New]]-tblPiNHistorical[[#This Row],[Health Old]])</f>
        <v/>
      </c>
      <c r="AJ544" s="136" t="str">
        <f>IF(OR(tblPiNHistorical[[#This Row],[Nutrition Old]]="", tblPiNHistorical[[#This Row],[Nutrition Old]]=0, tblPiNHistorical[[#This Row],[Nutrition New]]="", tblPiNHistorical[[#This Row],[Nutrition New]]=0), "", tblPiNHistorical[[#This Row],[Nutrition New]]-tblPiNHistorical[[#This Row],[Nutrition Old]])</f>
        <v/>
      </c>
      <c r="AK544" s="136" t="str">
        <f>IF(OR(tblPiNHistorical[[#This Row],[Protection Old]]="", tblPiNHistorical[[#This Row],[Protection Old]]=0, tblPiNHistorical[[#This Row],[Protection New]]="", tblPiNHistorical[[#This Row],[Protection New]]=0), "", tblPiNHistorical[[#This Row],[Protection New]]-tblPiNHistorical[[#This Row],[Protection Old]])</f>
        <v/>
      </c>
      <c r="AL544" s="136" t="str">
        <f>IF(OR(tblPiNHistorical[[#This Row],[CP Old ]]="", tblPiNHistorical[[#This Row],[CP Old ]]=0, tblPiNHistorical[[#This Row],[CP New]]="", tblPiNHistorical[[#This Row],[CP New]]=0), "", tblPiNHistorical[[#This Row],[CP New]]-tblPiNHistorical[[#This Row],[CP Old ]])</f>
        <v/>
      </c>
      <c r="AM544" s="83" t="str">
        <f>IF(OR(tblPiNHistorical[[#This Row],[GBV Old]]="", tblPiNHistorical[[#This Row],[GBV Old]]=0, tblPiNHistorical[[#This Row],[GBV New]]="", tblPiNHistorical[[#This Row],[GBV New]]=0), "", tblPiNHistorical[[#This Row],[GBV New]]-tblPiNHistorical[[#This Row],[GBV Old]])</f>
        <v/>
      </c>
      <c r="AN544" s="83" t="str">
        <f>IF(OR(tblPiNHistorical[[#This Row],[Mine Action Old]]="", tblPiNHistorical[[#This Row],[Mine Action Old]]=0, tblPiNHistorical[[#This Row],[Mine Action New]]="", tblPiNHistorical[[#This Row],[Mine Action New]]=0), "", tblPiNHistorical[[#This Row],[Mine Action New]]-tblPiNHistorical[[#This Row],[Mine Action Old]])</f>
        <v/>
      </c>
      <c r="AO544" s="136">
        <f>IF(OR(tblPiNHistorical[[#This Row],[Shelter NFI Old]]="", tblPiNHistorical[[#This Row],[Shelter NFI Old]]=0, tblPiNHistorical[[#This Row],[Shelter NFI New]]="", tblPiNHistorical[[#This Row],[Shelter NFI New]]=0), "", tblPiNHistorical[[#This Row],[Shelter NFI New]]-tblPiNHistorical[[#This Row],[Shelter NFI Old]])</f>
        <v>-2707</v>
      </c>
      <c r="AP544" s="138" t="str">
        <f>IF(OR(tblPiNHistorical[[#This Row],[WASH Old]]="", tblPiNHistorical[[#This Row],[WASH Old]]=0, tblPiNHistorical[[#This Row],[WASH New]]="", tblPiNHistorical[[#This Row],[WASH New]]=0), "", tblPiNHistorical[[#This Row],[WASH New]]-tblPiNHistorical[[#This Row],[WASH Old]])</f>
        <v/>
      </c>
      <c r="AQ544" s="139" t="str">
        <f>IFERROR(ROUND((tblPiNHistorical[[#This Row],[Site Management - New]] - tblPiNHistorical[[#This Row],[Site Management - Old]])/tblPiNHistorical[[#This Row],[Site Management - Old]], 1), "")</f>
        <v/>
      </c>
      <c r="AR544" s="140">
        <f>IFERROR(ROUND((tblPiNHistorical[[#This Row],[Education New]]-tblPiNHistorical[[#This Row],[Education Old]])/tblPiNHistorical[[#This Row],[Education Old]], 1), "")</f>
        <v>-1</v>
      </c>
      <c r="AS544" s="141">
        <f>IFERROR(ROUND((tblPiNHistorical[[#This Row],[Food Security and Livlihoods New]]-tblPiNHistorical[[#This Row],[Food Security and Livlihoods Old]])/tblPiNHistorical[[#This Row],[Food Security and Livlihoods Old]], 1), "")</f>
        <v>-1</v>
      </c>
      <c r="AT544" s="142">
        <f>IFERROR(ROUND((tblPiNHistorical[[#This Row],[Health New]]-tblPiNHistorical[[#This Row],[Health Old]])/tblPiNHistorical[[#This Row],[Health Old]], 1), "")</f>
        <v>-1</v>
      </c>
      <c r="AU544" s="140">
        <f>IFERROR(ROUND((tblPiNHistorical[[#This Row],[Nutrition New]]-tblPiNHistorical[[#This Row],[Nutrition Old]])/tblPiNHistorical[[#This Row],[Nutrition Old]], 1), "")</f>
        <v>-1</v>
      </c>
      <c r="AV544" s="140">
        <f>IFERROR(ROUND((tblPiNHistorical[[#This Row],[Protection New]]-tblPiNHistorical[[#This Row],[Protection Old]])/tblPiNHistorical[[#This Row],[Protection Old]], 1), "")</f>
        <v>-1</v>
      </c>
      <c r="AW544" s="84">
        <f>IFERROR(ROUND((tblPiNHistorical[[#This Row],[CP New]]-tblPiNHistorical[[#This Row],[CP Old ]])/tblPiNHistorical[[#This Row],[CP Old ]], 1), "")</f>
        <v>-1</v>
      </c>
      <c r="AX544" s="84">
        <f>IFERROR(ROUND((tblPiNHistorical[[#This Row],[GBV New]]-tblPiNHistorical[[#This Row],[GBV Old]])/tblPiNHistorical[[#This Row],[GBV Old]], 1), "")</f>
        <v>-1</v>
      </c>
      <c r="AY544" s="84">
        <f>IFERROR(ROUND((tblPiNHistorical[[#This Row],[Mine Action New]]-tblPiNHistorical[[#This Row],[Mine Action Old]])/tblPiNHistorical[[#This Row],[Mine Action Old]], 1), "")</f>
        <v>-1</v>
      </c>
      <c r="AZ544" s="140">
        <f>IFERROR(ROUND((tblPiNHistorical[[#This Row],[Shelter NFI New]]-tblPiNHistorical[[#This Row],[Shelter NFI Old]])/tblPiNHistorical[[#This Row],[Shelter NFI Old]], 1), "")</f>
        <v>-0.5</v>
      </c>
      <c r="BA544" s="31">
        <f>IFERROR(ROUND((tblPiNHistorical[[#This Row],[WASH New]]-tblPiNHistorical[[#This Row],[WASH Old]])/tblPiNHistorical[[#This Row],[WASH Old]], 1), "")</f>
        <v>-1</v>
      </c>
    </row>
    <row r="545" spans="1:53" ht="38.25" x14ac:dyDescent="0.25">
      <c r="A545"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Host CommunitySD04121</v>
      </c>
      <c r="B545" s="134" t="s">
        <v>191</v>
      </c>
      <c r="C545" s="124" t="s">
        <v>121</v>
      </c>
      <c r="D545" s="124" t="s">
        <v>279</v>
      </c>
      <c r="E545" s="59" t="s">
        <v>278</v>
      </c>
      <c r="F545" s="54"/>
      <c r="G545" s="29"/>
      <c r="H545" s="53">
        <v>7810</v>
      </c>
      <c r="I545" s="53" t="s">
        <v>87</v>
      </c>
      <c r="J545" s="34">
        <v>0</v>
      </c>
      <c r="K545" s="116">
        <v>3027.9369999999999</v>
      </c>
      <c r="L545" s="114">
        <v>7810</v>
      </c>
      <c r="M545" s="114">
        <v>7810</v>
      </c>
      <c r="N545" s="114">
        <v>589</v>
      </c>
      <c r="O545" s="114">
        <v>2680</v>
      </c>
      <c r="P545" s="114">
        <v>859</v>
      </c>
      <c r="Q545" s="114">
        <v>2680</v>
      </c>
      <c r="R545" s="114">
        <v>781</v>
      </c>
      <c r="S545" s="114">
        <v>1562</v>
      </c>
      <c r="T545" s="196">
        <v>7563.9849999999997</v>
      </c>
      <c r="U545" s="52">
        <f>IFERROR(INDEX(tblPiNAnalysis[[Site Management ]], MATCH(tblPiNHistorical[[#This Row],[ID]], tblPiNAnalysis[ID], 0)), "")</f>
        <v>0</v>
      </c>
      <c r="V545" s="52">
        <f>IFERROR(INDEX(tblPiNAnalysis[Education], MATCH(tblPiNHistorical[[#This Row],[ID]], tblPiNAnalysis[ID], 0)), "")</f>
        <v>0</v>
      </c>
      <c r="W545" s="28">
        <f>IFERROR(INDEX(tblPiNAnalysis[Food Security and Livlihoods], MATCH(tblPiNHistorical[[#This Row],[ID]], tblPiNAnalysis[ID], 0)), "")</f>
        <v>0</v>
      </c>
      <c r="X545" s="28">
        <f>IFERROR(INDEX(tblPiNAnalysis[[Health ]], MATCH(tblPiNHistorical[[#This Row],[ID]], tblPiNAnalysis[ID], 0)), "")</f>
        <v>0</v>
      </c>
      <c r="Y545" s="28">
        <f>IFERROR(INDEX(tblPiNAnalysis[Nutrition], MATCH(tblPiNHistorical[[#This Row],[ID]], tblPiNAnalysis[ID], 0)), "")</f>
        <v>0</v>
      </c>
      <c r="Z545" s="28">
        <f>IFERROR(INDEX(tblPiNAnalysis[Protection], MATCH(tblPiNHistorical[[#This Row],[ID]], tblPiNAnalysis[ID], 0)), "")</f>
        <v>0</v>
      </c>
      <c r="AA545" s="28">
        <f>IFERROR(INDEX(tblPiNAnalysis[CP], MATCH(tblPiNHistorical[[#This Row],[ID]], tblPiNAnalysis[ID], 0)), "")</f>
        <v>0</v>
      </c>
      <c r="AB545" s="83">
        <f>IFERROR(INDEX(tblPiNAnalysis[GBV], MATCH(tblPiNHistorical[[#This Row],[ID]], tblPiNAnalysis[ID], 0)), "")</f>
        <v>0</v>
      </c>
      <c r="AC545" s="28">
        <f>IFERROR(INDEX(tblPiNAnalysis[Mine Action], MATCH(tblPiNHistorical[[#This Row],[ID]], tblPiNAnalysis[ID], 0)), "")</f>
        <v>0</v>
      </c>
      <c r="AD545" s="83">
        <f>IFERROR(INDEX(tblPiNAnalysis[[Shelter NFI ]], MATCH(tblPiNHistorical[[#This Row],[ID]], tblPiNAnalysis[ID], 0)), "")</f>
        <v>4996</v>
      </c>
      <c r="AE545" s="28">
        <f>IFERROR(INDEX(tblPiNAnalysis[WASH], MATCH(tblPiNHistorical[[#This Row],[ID]], tblPiNAnalysis[ID], 0)), "")</f>
        <v>0</v>
      </c>
      <c r="AF545"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545" s="136" t="str">
        <f>IF(OR(tblPiNHistorical[[#This Row],[Education Old]]="", tblPiNHistorical[[#This Row],[Education Old]]=0, tblPiNHistorical[[#This Row],[Education New]]="", tblPiNHistorical[[#This Row],[Education New]]=0), "", tblPiNHistorical[[#This Row],[Education New]]-tblPiNHistorical[[#This Row],[Education Old]])</f>
        <v/>
      </c>
      <c r="AH545"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545" s="137" t="str">
        <f>IF(OR(tblPiNHistorical[[#This Row],[Health Old]]="", tblPiNHistorical[[#This Row],[Health Old]]=0, tblPiNHistorical[[#This Row],[Health New]]="", tblPiNHistorical[[#This Row],[Health New]]=0), "", tblPiNHistorical[[#This Row],[Health New]]-tblPiNHistorical[[#This Row],[Health Old]])</f>
        <v/>
      </c>
      <c r="AJ545" s="136" t="str">
        <f>IF(OR(tblPiNHistorical[[#This Row],[Nutrition Old]]="", tblPiNHistorical[[#This Row],[Nutrition Old]]=0, tblPiNHistorical[[#This Row],[Nutrition New]]="", tblPiNHistorical[[#This Row],[Nutrition New]]=0), "", tblPiNHistorical[[#This Row],[Nutrition New]]-tblPiNHistorical[[#This Row],[Nutrition Old]])</f>
        <v/>
      </c>
      <c r="AK545" s="136" t="str">
        <f>IF(OR(tblPiNHistorical[[#This Row],[Protection Old]]="", tblPiNHistorical[[#This Row],[Protection Old]]=0, tblPiNHistorical[[#This Row],[Protection New]]="", tblPiNHistorical[[#This Row],[Protection New]]=0), "", tblPiNHistorical[[#This Row],[Protection New]]-tblPiNHistorical[[#This Row],[Protection Old]])</f>
        <v/>
      </c>
      <c r="AL545" s="136" t="str">
        <f>IF(OR(tblPiNHistorical[[#This Row],[CP Old ]]="", tblPiNHistorical[[#This Row],[CP Old ]]=0, tblPiNHistorical[[#This Row],[CP New]]="", tblPiNHistorical[[#This Row],[CP New]]=0), "", tblPiNHistorical[[#This Row],[CP New]]-tblPiNHistorical[[#This Row],[CP Old ]])</f>
        <v/>
      </c>
      <c r="AM545" s="83" t="str">
        <f>IF(OR(tblPiNHistorical[[#This Row],[GBV Old]]="", tblPiNHistorical[[#This Row],[GBV Old]]=0, tblPiNHistorical[[#This Row],[GBV New]]="", tblPiNHistorical[[#This Row],[GBV New]]=0), "", tblPiNHistorical[[#This Row],[GBV New]]-tblPiNHistorical[[#This Row],[GBV Old]])</f>
        <v/>
      </c>
      <c r="AN545" s="83" t="str">
        <f>IF(OR(tblPiNHistorical[[#This Row],[Mine Action Old]]="", tblPiNHistorical[[#This Row],[Mine Action Old]]=0, tblPiNHistorical[[#This Row],[Mine Action New]]="", tblPiNHistorical[[#This Row],[Mine Action New]]=0), "", tblPiNHistorical[[#This Row],[Mine Action New]]-tblPiNHistorical[[#This Row],[Mine Action Old]])</f>
        <v/>
      </c>
      <c r="AO545" s="136">
        <f>IF(OR(tblPiNHistorical[[#This Row],[Shelter NFI Old]]="", tblPiNHistorical[[#This Row],[Shelter NFI Old]]=0, tblPiNHistorical[[#This Row],[Shelter NFI New]]="", tblPiNHistorical[[#This Row],[Shelter NFI New]]=0), "", tblPiNHistorical[[#This Row],[Shelter NFI New]]-tblPiNHistorical[[#This Row],[Shelter NFI Old]])</f>
        <v>3434</v>
      </c>
      <c r="AP545" s="138" t="str">
        <f>IF(OR(tblPiNHistorical[[#This Row],[WASH Old]]="", tblPiNHistorical[[#This Row],[WASH Old]]=0, tblPiNHistorical[[#This Row],[WASH New]]="", tblPiNHistorical[[#This Row],[WASH New]]=0), "", tblPiNHistorical[[#This Row],[WASH New]]-tblPiNHistorical[[#This Row],[WASH Old]])</f>
        <v/>
      </c>
      <c r="AQ545" s="139" t="str">
        <f>IFERROR(ROUND((tblPiNHistorical[[#This Row],[Site Management - New]] - tblPiNHistorical[[#This Row],[Site Management - Old]])/tblPiNHistorical[[#This Row],[Site Management - Old]], 1), "")</f>
        <v/>
      </c>
      <c r="AR545" s="140">
        <f>IFERROR(ROUND((tblPiNHistorical[[#This Row],[Education New]]-tblPiNHistorical[[#This Row],[Education Old]])/tblPiNHistorical[[#This Row],[Education Old]], 1), "")</f>
        <v>-1</v>
      </c>
      <c r="AS545" s="141">
        <f>IFERROR(ROUND((tblPiNHistorical[[#This Row],[Food Security and Livlihoods New]]-tblPiNHistorical[[#This Row],[Food Security and Livlihoods Old]])/tblPiNHistorical[[#This Row],[Food Security and Livlihoods Old]], 1), "")</f>
        <v>-1</v>
      </c>
      <c r="AT545" s="142">
        <f>IFERROR(ROUND((tblPiNHistorical[[#This Row],[Health New]]-tblPiNHistorical[[#This Row],[Health Old]])/tblPiNHistorical[[#This Row],[Health Old]], 1), "")</f>
        <v>-1</v>
      </c>
      <c r="AU545" s="140">
        <f>IFERROR(ROUND((tblPiNHistorical[[#This Row],[Nutrition New]]-tblPiNHistorical[[#This Row],[Nutrition Old]])/tblPiNHistorical[[#This Row],[Nutrition Old]], 1), "")</f>
        <v>-1</v>
      </c>
      <c r="AV545" s="140">
        <f>IFERROR(ROUND((tblPiNHistorical[[#This Row],[Protection New]]-tblPiNHistorical[[#This Row],[Protection Old]])/tblPiNHistorical[[#This Row],[Protection Old]], 1), "")</f>
        <v>-1</v>
      </c>
      <c r="AW545" s="84">
        <f>IFERROR(ROUND((tblPiNHistorical[[#This Row],[CP New]]-tblPiNHistorical[[#This Row],[CP Old ]])/tblPiNHistorical[[#This Row],[CP Old ]], 1), "")</f>
        <v>-1</v>
      </c>
      <c r="AX545" s="84">
        <f>IFERROR(ROUND((tblPiNHistorical[[#This Row],[GBV New]]-tblPiNHistorical[[#This Row],[GBV Old]])/tblPiNHistorical[[#This Row],[GBV Old]], 1), "")</f>
        <v>-1</v>
      </c>
      <c r="AY545" s="84">
        <f>IFERROR(ROUND((tblPiNHistorical[[#This Row],[Mine Action New]]-tblPiNHistorical[[#This Row],[Mine Action Old]])/tblPiNHistorical[[#This Row],[Mine Action Old]], 1), "")</f>
        <v>-1</v>
      </c>
      <c r="AZ545" s="140">
        <f>IFERROR(ROUND((tblPiNHistorical[[#This Row],[Shelter NFI New]]-tblPiNHistorical[[#This Row],[Shelter NFI Old]])/tblPiNHistorical[[#This Row],[Shelter NFI Old]], 1), "")</f>
        <v>2.2000000000000002</v>
      </c>
      <c r="BA545" s="31">
        <f>IFERROR(ROUND((tblPiNHistorical[[#This Row],[WASH New]]-tblPiNHistorical[[#This Row],[WASH Old]])/tblPiNHistorical[[#This Row],[WASH Old]], 1), "")</f>
        <v>-1</v>
      </c>
    </row>
    <row r="546" spans="1:53" ht="38.25" x14ac:dyDescent="0.25">
      <c r="A546"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Host CommunitySD04122</v>
      </c>
      <c r="B546" s="134" t="s">
        <v>191</v>
      </c>
      <c r="C546" s="124" t="s">
        <v>121</v>
      </c>
      <c r="D546" s="124" t="s">
        <v>281</v>
      </c>
      <c r="E546" s="59" t="s">
        <v>280</v>
      </c>
      <c r="F546" s="54"/>
      <c r="G546" s="29"/>
      <c r="H546" s="53">
        <v>40622</v>
      </c>
      <c r="I546" s="53" t="s">
        <v>87</v>
      </c>
      <c r="J546" s="34">
        <v>0</v>
      </c>
      <c r="K546" s="116">
        <v>15749.1494</v>
      </c>
      <c r="L546" s="114">
        <v>34622</v>
      </c>
      <c r="M546" s="114">
        <v>40622</v>
      </c>
      <c r="N546" s="114">
        <v>2178</v>
      </c>
      <c r="O546" s="114">
        <v>16248.800000000001</v>
      </c>
      <c r="P546" s="114">
        <v>4468</v>
      </c>
      <c r="Q546" s="114">
        <v>12863</v>
      </c>
      <c r="R546" s="114">
        <v>16248.800000000001</v>
      </c>
      <c r="S546" s="114">
        <v>8124</v>
      </c>
      <c r="T546" s="196">
        <v>39496.770600000003</v>
      </c>
      <c r="U546" s="52">
        <f>IFERROR(INDEX(tblPiNAnalysis[[Site Management ]], MATCH(tblPiNHistorical[[#This Row],[ID]], tblPiNAnalysis[ID], 0)), "")</f>
        <v>0</v>
      </c>
      <c r="V546" s="52">
        <f>IFERROR(INDEX(tblPiNAnalysis[Education], MATCH(tblPiNHistorical[[#This Row],[ID]], tblPiNAnalysis[ID], 0)), "")</f>
        <v>0</v>
      </c>
      <c r="W546" s="28">
        <f>IFERROR(INDEX(tblPiNAnalysis[Food Security and Livlihoods], MATCH(tblPiNHistorical[[#This Row],[ID]], tblPiNAnalysis[ID], 0)), "")</f>
        <v>0</v>
      </c>
      <c r="X546" s="28">
        <f>IFERROR(INDEX(tblPiNAnalysis[[Health ]], MATCH(tblPiNHistorical[[#This Row],[ID]], tblPiNAnalysis[ID], 0)), "")</f>
        <v>0</v>
      </c>
      <c r="Y546" s="28">
        <f>IFERROR(INDEX(tblPiNAnalysis[Nutrition], MATCH(tblPiNHistorical[[#This Row],[ID]], tblPiNAnalysis[ID], 0)), "")</f>
        <v>0</v>
      </c>
      <c r="Z546" s="28">
        <f>IFERROR(INDEX(tblPiNAnalysis[Protection], MATCH(tblPiNHistorical[[#This Row],[ID]], tblPiNAnalysis[ID], 0)), "")</f>
        <v>0</v>
      </c>
      <c r="AA546" s="28">
        <f>IFERROR(INDEX(tblPiNAnalysis[CP], MATCH(tblPiNHistorical[[#This Row],[ID]], tblPiNAnalysis[ID], 0)), "")</f>
        <v>0</v>
      </c>
      <c r="AB546" s="83">
        <f>IFERROR(INDEX(tblPiNAnalysis[GBV], MATCH(tblPiNHistorical[[#This Row],[ID]], tblPiNAnalysis[ID], 0)), "")</f>
        <v>0</v>
      </c>
      <c r="AC546" s="28">
        <f>IFERROR(INDEX(tblPiNAnalysis[Mine Action], MATCH(tblPiNHistorical[[#This Row],[ID]], tblPiNAnalysis[ID], 0)), "")</f>
        <v>0</v>
      </c>
      <c r="AD546" s="83">
        <f>IFERROR(INDEX(tblPiNAnalysis[[Shelter NFI ]], MATCH(tblPiNHistorical[[#This Row],[ID]], tblPiNAnalysis[ID], 0)), "")</f>
        <v>11297</v>
      </c>
      <c r="AE546" s="28">
        <f>IFERROR(INDEX(tblPiNAnalysis[WASH], MATCH(tblPiNHistorical[[#This Row],[ID]], tblPiNAnalysis[ID], 0)), "")</f>
        <v>0</v>
      </c>
      <c r="AF546"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546" s="136" t="str">
        <f>IF(OR(tblPiNHistorical[[#This Row],[Education Old]]="", tblPiNHistorical[[#This Row],[Education Old]]=0, tblPiNHistorical[[#This Row],[Education New]]="", tblPiNHistorical[[#This Row],[Education New]]=0), "", tblPiNHistorical[[#This Row],[Education New]]-tblPiNHistorical[[#This Row],[Education Old]])</f>
        <v/>
      </c>
      <c r="AH546"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546" s="137" t="str">
        <f>IF(OR(tblPiNHistorical[[#This Row],[Health Old]]="", tblPiNHistorical[[#This Row],[Health Old]]=0, tblPiNHistorical[[#This Row],[Health New]]="", tblPiNHistorical[[#This Row],[Health New]]=0), "", tblPiNHistorical[[#This Row],[Health New]]-tblPiNHistorical[[#This Row],[Health Old]])</f>
        <v/>
      </c>
      <c r="AJ546" s="136" t="str">
        <f>IF(OR(tblPiNHistorical[[#This Row],[Nutrition Old]]="", tblPiNHistorical[[#This Row],[Nutrition Old]]=0, tblPiNHistorical[[#This Row],[Nutrition New]]="", tblPiNHistorical[[#This Row],[Nutrition New]]=0), "", tblPiNHistorical[[#This Row],[Nutrition New]]-tblPiNHistorical[[#This Row],[Nutrition Old]])</f>
        <v/>
      </c>
      <c r="AK546" s="136" t="str">
        <f>IF(OR(tblPiNHistorical[[#This Row],[Protection Old]]="", tblPiNHistorical[[#This Row],[Protection Old]]=0, tblPiNHistorical[[#This Row],[Protection New]]="", tblPiNHistorical[[#This Row],[Protection New]]=0), "", tblPiNHistorical[[#This Row],[Protection New]]-tblPiNHistorical[[#This Row],[Protection Old]])</f>
        <v/>
      </c>
      <c r="AL546" s="136" t="str">
        <f>IF(OR(tblPiNHistorical[[#This Row],[CP Old ]]="", tblPiNHistorical[[#This Row],[CP Old ]]=0, tblPiNHistorical[[#This Row],[CP New]]="", tblPiNHistorical[[#This Row],[CP New]]=0), "", tblPiNHistorical[[#This Row],[CP New]]-tblPiNHistorical[[#This Row],[CP Old ]])</f>
        <v/>
      </c>
      <c r="AM546" s="83" t="str">
        <f>IF(OR(tblPiNHistorical[[#This Row],[GBV Old]]="", tblPiNHistorical[[#This Row],[GBV Old]]=0, tblPiNHistorical[[#This Row],[GBV New]]="", tblPiNHistorical[[#This Row],[GBV New]]=0), "", tblPiNHistorical[[#This Row],[GBV New]]-tblPiNHistorical[[#This Row],[GBV Old]])</f>
        <v/>
      </c>
      <c r="AN546" s="83" t="str">
        <f>IF(OR(tblPiNHistorical[[#This Row],[Mine Action Old]]="", tblPiNHistorical[[#This Row],[Mine Action Old]]=0, tblPiNHistorical[[#This Row],[Mine Action New]]="", tblPiNHistorical[[#This Row],[Mine Action New]]=0), "", tblPiNHistorical[[#This Row],[Mine Action New]]-tblPiNHistorical[[#This Row],[Mine Action Old]])</f>
        <v/>
      </c>
      <c r="AO546" s="136">
        <f>IF(OR(tblPiNHistorical[[#This Row],[Shelter NFI Old]]="", tblPiNHistorical[[#This Row],[Shelter NFI Old]]=0, tblPiNHistorical[[#This Row],[Shelter NFI New]]="", tblPiNHistorical[[#This Row],[Shelter NFI New]]=0), "", tblPiNHistorical[[#This Row],[Shelter NFI New]]-tblPiNHistorical[[#This Row],[Shelter NFI Old]])</f>
        <v>3173</v>
      </c>
      <c r="AP546" s="138" t="str">
        <f>IF(OR(tblPiNHistorical[[#This Row],[WASH Old]]="", tblPiNHistorical[[#This Row],[WASH Old]]=0, tblPiNHistorical[[#This Row],[WASH New]]="", tblPiNHistorical[[#This Row],[WASH New]]=0), "", tblPiNHistorical[[#This Row],[WASH New]]-tblPiNHistorical[[#This Row],[WASH Old]])</f>
        <v/>
      </c>
      <c r="AQ546" s="139" t="str">
        <f>IFERROR(ROUND((tblPiNHistorical[[#This Row],[Site Management - New]] - tblPiNHistorical[[#This Row],[Site Management - Old]])/tblPiNHistorical[[#This Row],[Site Management - Old]], 1), "")</f>
        <v/>
      </c>
      <c r="AR546" s="140">
        <f>IFERROR(ROUND((tblPiNHistorical[[#This Row],[Education New]]-tblPiNHistorical[[#This Row],[Education Old]])/tblPiNHistorical[[#This Row],[Education Old]], 1), "")</f>
        <v>-1</v>
      </c>
      <c r="AS546" s="141">
        <f>IFERROR(ROUND((tblPiNHistorical[[#This Row],[Food Security and Livlihoods New]]-tblPiNHistorical[[#This Row],[Food Security and Livlihoods Old]])/tblPiNHistorical[[#This Row],[Food Security and Livlihoods Old]], 1), "")</f>
        <v>-1</v>
      </c>
      <c r="AT546" s="142">
        <f>IFERROR(ROUND((tblPiNHistorical[[#This Row],[Health New]]-tblPiNHistorical[[#This Row],[Health Old]])/tblPiNHistorical[[#This Row],[Health Old]], 1), "")</f>
        <v>-1</v>
      </c>
      <c r="AU546" s="140">
        <f>IFERROR(ROUND((tblPiNHistorical[[#This Row],[Nutrition New]]-tblPiNHistorical[[#This Row],[Nutrition Old]])/tblPiNHistorical[[#This Row],[Nutrition Old]], 1), "")</f>
        <v>-1</v>
      </c>
      <c r="AV546" s="140">
        <f>IFERROR(ROUND((tblPiNHistorical[[#This Row],[Protection New]]-tblPiNHistorical[[#This Row],[Protection Old]])/tblPiNHistorical[[#This Row],[Protection Old]], 1), "")</f>
        <v>-1</v>
      </c>
      <c r="AW546" s="84">
        <f>IFERROR(ROUND((tblPiNHistorical[[#This Row],[CP New]]-tblPiNHistorical[[#This Row],[CP Old ]])/tblPiNHistorical[[#This Row],[CP Old ]], 1), "")</f>
        <v>-1</v>
      </c>
      <c r="AX546" s="84">
        <f>IFERROR(ROUND((tblPiNHistorical[[#This Row],[GBV New]]-tblPiNHistorical[[#This Row],[GBV Old]])/tblPiNHistorical[[#This Row],[GBV Old]], 1), "")</f>
        <v>-1</v>
      </c>
      <c r="AY546" s="84">
        <f>IFERROR(ROUND((tblPiNHistorical[[#This Row],[Mine Action New]]-tblPiNHistorical[[#This Row],[Mine Action Old]])/tblPiNHistorical[[#This Row],[Mine Action Old]], 1), "")</f>
        <v>-1</v>
      </c>
      <c r="AZ546" s="140">
        <f>IFERROR(ROUND((tblPiNHistorical[[#This Row],[Shelter NFI New]]-tblPiNHistorical[[#This Row],[Shelter NFI Old]])/tblPiNHistorical[[#This Row],[Shelter NFI Old]], 1), "")</f>
        <v>0.4</v>
      </c>
      <c r="BA546" s="31">
        <f>IFERROR(ROUND((tblPiNHistorical[[#This Row],[WASH New]]-tblPiNHistorical[[#This Row],[WASH Old]])/tblPiNHistorical[[#This Row],[WASH Old]], 1), "")</f>
        <v>-1</v>
      </c>
    </row>
    <row r="547" spans="1:53" ht="38.25" x14ac:dyDescent="0.25">
      <c r="A547"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Host CommunitySD04123</v>
      </c>
      <c r="B547" s="134" t="s">
        <v>191</v>
      </c>
      <c r="C547" s="124" t="s">
        <v>121</v>
      </c>
      <c r="D547" s="124" t="s">
        <v>283</v>
      </c>
      <c r="E547" s="59" t="s">
        <v>282</v>
      </c>
      <c r="F547" s="54"/>
      <c r="G547" s="29"/>
      <c r="H547" s="53">
        <v>10772.3</v>
      </c>
      <c r="I547" s="53" t="s">
        <v>87</v>
      </c>
      <c r="J547" s="34">
        <v>0</v>
      </c>
      <c r="K547" s="116">
        <v>4176.4207099999994</v>
      </c>
      <c r="L547" s="114">
        <v>9772</v>
      </c>
      <c r="M547" s="114">
        <v>10772</v>
      </c>
      <c r="N547" s="114">
        <v>511</v>
      </c>
      <c r="O547" s="114">
        <v>5386.15</v>
      </c>
      <c r="P547" s="114">
        <v>1185</v>
      </c>
      <c r="Q547" s="114">
        <v>3410</v>
      </c>
      <c r="R547" s="114">
        <v>5386.15</v>
      </c>
      <c r="S547" s="114">
        <v>2154</v>
      </c>
      <c r="T547" s="196">
        <v>10531.000480000001</v>
      </c>
      <c r="U547" s="52">
        <f>IFERROR(INDEX(tblPiNAnalysis[[Site Management ]], MATCH(tblPiNHistorical[[#This Row],[ID]], tblPiNAnalysis[ID], 0)), "")</f>
        <v>0</v>
      </c>
      <c r="V547" s="52">
        <f>IFERROR(INDEX(tblPiNAnalysis[Education], MATCH(tblPiNHistorical[[#This Row],[ID]], tblPiNAnalysis[ID], 0)), "")</f>
        <v>0</v>
      </c>
      <c r="W547" s="28">
        <f>IFERROR(INDEX(tblPiNAnalysis[Food Security and Livlihoods], MATCH(tblPiNHistorical[[#This Row],[ID]], tblPiNAnalysis[ID], 0)), "")</f>
        <v>0</v>
      </c>
      <c r="X547" s="28">
        <f>IFERROR(INDEX(tblPiNAnalysis[[Health ]], MATCH(tblPiNHistorical[[#This Row],[ID]], tblPiNAnalysis[ID], 0)), "")</f>
        <v>0</v>
      </c>
      <c r="Y547" s="28">
        <f>IFERROR(INDEX(tblPiNAnalysis[Nutrition], MATCH(tblPiNHistorical[[#This Row],[ID]], tblPiNAnalysis[ID], 0)), "")</f>
        <v>0</v>
      </c>
      <c r="Z547" s="28">
        <f>IFERROR(INDEX(tblPiNAnalysis[Protection], MATCH(tblPiNHistorical[[#This Row],[ID]], tblPiNAnalysis[ID], 0)), "")</f>
        <v>0</v>
      </c>
      <c r="AA547" s="28">
        <f>IFERROR(INDEX(tblPiNAnalysis[CP], MATCH(tblPiNHistorical[[#This Row],[ID]], tblPiNAnalysis[ID], 0)), "")</f>
        <v>0</v>
      </c>
      <c r="AB547" s="83">
        <f>IFERROR(INDEX(tblPiNAnalysis[GBV], MATCH(tblPiNHistorical[[#This Row],[ID]], tblPiNAnalysis[ID], 0)), "")</f>
        <v>0</v>
      </c>
      <c r="AC547" s="28">
        <f>IFERROR(INDEX(tblPiNAnalysis[Mine Action], MATCH(tblPiNHistorical[[#This Row],[ID]], tblPiNAnalysis[ID], 0)), "")</f>
        <v>0</v>
      </c>
      <c r="AD547" s="83">
        <f>IFERROR(INDEX(tblPiNAnalysis[[Shelter NFI ]], MATCH(tblPiNHistorical[[#This Row],[ID]], tblPiNAnalysis[ID], 0)), "")</f>
        <v>0</v>
      </c>
      <c r="AE547" s="28">
        <f>IFERROR(INDEX(tblPiNAnalysis[WASH], MATCH(tblPiNHistorical[[#This Row],[ID]], tblPiNAnalysis[ID], 0)), "")</f>
        <v>0</v>
      </c>
      <c r="AF547"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547" s="136" t="str">
        <f>IF(OR(tblPiNHistorical[[#This Row],[Education Old]]="", tblPiNHistorical[[#This Row],[Education Old]]=0, tblPiNHistorical[[#This Row],[Education New]]="", tblPiNHistorical[[#This Row],[Education New]]=0), "", tblPiNHistorical[[#This Row],[Education New]]-tblPiNHistorical[[#This Row],[Education Old]])</f>
        <v/>
      </c>
      <c r="AH547"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547" s="137" t="str">
        <f>IF(OR(tblPiNHistorical[[#This Row],[Health Old]]="", tblPiNHistorical[[#This Row],[Health Old]]=0, tblPiNHistorical[[#This Row],[Health New]]="", tblPiNHistorical[[#This Row],[Health New]]=0), "", tblPiNHistorical[[#This Row],[Health New]]-tblPiNHistorical[[#This Row],[Health Old]])</f>
        <v/>
      </c>
      <c r="AJ547" s="136" t="str">
        <f>IF(OR(tblPiNHistorical[[#This Row],[Nutrition Old]]="", tblPiNHistorical[[#This Row],[Nutrition Old]]=0, tblPiNHistorical[[#This Row],[Nutrition New]]="", tblPiNHistorical[[#This Row],[Nutrition New]]=0), "", tblPiNHistorical[[#This Row],[Nutrition New]]-tblPiNHistorical[[#This Row],[Nutrition Old]])</f>
        <v/>
      </c>
      <c r="AK547" s="136" t="str">
        <f>IF(OR(tblPiNHistorical[[#This Row],[Protection Old]]="", tblPiNHistorical[[#This Row],[Protection Old]]=0, tblPiNHistorical[[#This Row],[Protection New]]="", tblPiNHistorical[[#This Row],[Protection New]]=0), "", tblPiNHistorical[[#This Row],[Protection New]]-tblPiNHistorical[[#This Row],[Protection Old]])</f>
        <v/>
      </c>
      <c r="AL547" s="136" t="str">
        <f>IF(OR(tblPiNHistorical[[#This Row],[CP Old ]]="", tblPiNHistorical[[#This Row],[CP Old ]]=0, tblPiNHistorical[[#This Row],[CP New]]="", tblPiNHistorical[[#This Row],[CP New]]=0), "", tblPiNHistorical[[#This Row],[CP New]]-tblPiNHistorical[[#This Row],[CP Old ]])</f>
        <v/>
      </c>
      <c r="AM547" s="83" t="str">
        <f>IF(OR(tblPiNHistorical[[#This Row],[GBV Old]]="", tblPiNHistorical[[#This Row],[GBV Old]]=0, tblPiNHistorical[[#This Row],[GBV New]]="", tblPiNHistorical[[#This Row],[GBV New]]=0), "", tblPiNHistorical[[#This Row],[GBV New]]-tblPiNHistorical[[#This Row],[GBV Old]])</f>
        <v/>
      </c>
      <c r="AN547" s="83" t="str">
        <f>IF(OR(tblPiNHistorical[[#This Row],[Mine Action Old]]="", tblPiNHistorical[[#This Row],[Mine Action Old]]=0, tblPiNHistorical[[#This Row],[Mine Action New]]="", tblPiNHistorical[[#This Row],[Mine Action New]]=0), "", tblPiNHistorical[[#This Row],[Mine Action New]]-tblPiNHistorical[[#This Row],[Mine Action Old]])</f>
        <v/>
      </c>
      <c r="AO547" s="136" t="str">
        <f>IF(OR(tblPiNHistorical[[#This Row],[Shelter NFI Old]]="", tblPiNHistorical[[#This Row],[Shelter NFI Old]]=0, tblPiNHistorical[[#This Row],[Shelter NFI New]]="", tblPiNHistorical[[#This Row],[Shelter NFI New]]=0), "", tblPiNHistorical[[#This Row],[Shelter NFI New]]-tblPiNHistorical[[#This Row],[Shelter NFI Old]])</f>
        <v/>
      </c>
      <c r="AP547" s="138" t="str">
        <f>IF(OR(tblPiNHistorical[[#This Row],[WASH Old]]="", tblPiNHistorical[[#This Row],[WASH Old]]=0, tblPiNHistorical[[#This Row],[WASH New]]="", tblPiNHistorical[[#This Row],[WASH New]]=0), "", tblPiNHistorical[[#This Row],[WASH New]]-tblPiNHistorical[[#This Row],[WASH Old]])</f>
        <v/>
      </c>
      <c r="AQ547" s="139" t="str">
        <f>IFERROR(ROUND((tblPiNHistorical[[#This Row],[Site Management - New]] - tblPiNHistorical[[#This Row],[Site Management - Old]])/tblPiNHistorical[[#This Row],[Site Management - Old]], 1), "")</f>
        <v/>
      </c>
      <c r="AR547" s="140">
        <f>IFERROR(ROUND((tblPiNHistorical[[#This Row],[Education New]]-tblPiNHistorical[[#This Row],[Education Old]])/tblPiNHistorical[[#This Row],[Education Old]], 1), "")</f>
        <v>-1</v>
      </c>
      <c r="AS547" s="141">
        <f>IFERROR(ROUND((tblPiNHistorical[[#This Row],[Food Security and Livlihoods New]]-tblPiNHistorical[[#This Row],[Food Security and Livlihoods Old]])/tblPiNHistorical[[#This Row],[Food Security and Livlihoods Old]], 1), "")</f>
        <v>-1</v>
      </c>
      <c r="AT547" s="142">
        <f>IFERROR(ROUND((tblPiNHistorical[[#This Row],[Health New]]-tblPiNHistorical[[#This Row],[Health Old]])/tblPiNHistorical[[#This Row],[Health Old]], 1), "")</f>
        <v>-1</v>
      </c>
      <c r="AU547" s="140">
        <f>IFERROR(ROUND((tblPiNHistorical[[#This Row],[Nutrition New]]-tblPiNHistorical[[#This Row],[Nutrition Old]])/tblPiNHistorical[[#This Row],[Nutrition Old]], 1), "")</f>
        <v>-1</v>
      </c>
      <c r="AV547" s="140">
        <f>IFERROR(ROUND((tblPiNHistorical[[#This Row],[Protection New]]-tblPiNHistorical[[#This Row],[Protection Old]])/tblPiNHistorical[[#This Row],[Protection Old]], 1), "")</f>
        <v>-1</v>
      </c>
      <c r="AW547" s="84">
        <f>IFERROR(ROUND((tblPiNHistorical[[#This Row],[CP New]]-tblPiNHistorical[[#This Row],[CP Old ]])/tblPiNHistorical[[#This Row],[CP Old ]], 1), "")</f>
        <v>-1</v>
      </c>
      <c r="AX547" s="84">
        <f>IFERROR(ROUND((tblPiNHistorical[[#This Row],[GBV New]]-tblPiNHistorical[[#This Row],[GBV Old]])/tblPiNHistorical[[#This Row],[GBV Old]], 1), "")</f>
        <v>-1</v>
      </c>
      <c r="AY547" s="84">
        <f>IFERROR(ROUND((tblPiNHistorical[[#This Row],[Mine Action New]]-tblPiNHistorical[[#This Row],[Mine Action Old]])/tblPiNHistorical[[#This Row],[Mine Action Old]], 1), "")</f>
        <v>-1</v>
      </c>
      <c r="AZ547" s="140">
        <f>IFERROR(ROUND((tblPiNHistorical[[#This Row],[Shelter NFI New]]-tblPiNHistorical[[#This Row],[Shelter NFI Old]])/tblPiNHistorical[[#This Row],[Shelter NFI Old]], 1), "")</f>
        <v>-1</v>
      </c>
      <c r="BA547" s="31">
        <f>IFERROR(ROUND((tblPiNHistorical[[#This Row],[WASH New]]-tblPiNHistorical[[#This Row],[WASH Old]])/tblPiNHistorical[[#This Row],[WASH Old]], 1), "")</f>
        <v>-1</v>
      </c>
    </row>
    <row r="548" spans="1:53" ht="38.25" x14ac:dyDescent="0.25">
      <c r="A548"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Host CommunitySD04125</v>
      </c>
      <c r="B548" s="134" t="s">
        <v>191</v>
      </c>
      <c r="C548" s="124" t="s">
        <v>121</v>
      </c>
      <c r="D548" s="124" t="s">
        <v>285</v>
      </c>
      <c r="E548" s="59" t="s">
        <v>284</v>
      </c>
      <c r="F548" s="54"/>
      <c r="G548" s="29"/>
      <c r="H548" s="53">
        <v>38403.5</v>
      </c>
      <c r="I548" s="53" t="s">
        <v>87</v>
      </c>
      <c r="J548" s="34">
        <v>0</v>
      </c>
      <c r="K548" s="116">
        <v>14889.03695</v>
      </c>
      <c r="L548" s="114">
        <v>32403.5</v>
      </c>
      <c r="M548" s="114">
        <v>38403.5</v>
      </c>
      <c r="N548" s="114">
        <v>2461</v>
      </c>
      <c r="O548" s="114">
        <v>12161</v>
      </c>
      <c r="P548" s="114">
        <v>4224</v>
      </c>
      <c r="Q548" s="114">
        <v>12161</v>
      </c>
      <c r="R548" s="114">
        <v>3840.3500000000004</v>
      </c>
      <c r="S548" s="114">
        <v>7681</v>
      </c>
      <c r="T548" s="196">
        <v>13886.705599999998</v>
      </c>
      <c r="U548" s="52">
        <f>IFERROR(INDEX(tblPiNAnalysis[[Site Management ]], MATCH(tblPiNHistorical[[#This Row],[ID]], tblPiNAnalysis[ID], 0)), "")</f>
        <v>0</v>
      </c>
      <c r="V548" s="52">
        <f>IFERROR(INDEX(tblPiNAnalysis[Education], MATCH(tblPiNHistorical[[#This Row],[ID]], tblPiNAnalysis[ID], 0)), "")</f>
        <v>0</v>
      </c>
      <c r="W548" s="28">
        <f>IFERROR(INDEX(tblPiNAnalysis[Food Security and Livlihoods], MATCH(tblPiNHistorical[[#This Row],[ID]], tblPiNAnalysis[ID], 0)), "")</f>
        <v>0</v>
      </c>
      <c r="X548" s="28">
        <f>IFERROR(INDEX(tblPiNAnalysis[[Health ]], MATCH(tblPiNHistorical[[#This Row],[ID]], tblPiNAnalysis[ID], 0)), "")</f>
        <v>0</v>
      </c>
      <c r="Y548" s="28">
        <f>IFERROR(INDEX(tblPiNAnalysis[Nutrition], MATCH(tblPiNHistorical[[#This Row],[ID]], tblPiNAnalysis[ID], 0)), "")</f>
        <v>0</v>
      </c>
      <c r="Z548" s="28">
        <f>IFERROR(INDEX(tblPiNAnalysis[Protection], MATCH(tblPiNHistorical[[#This Row],[ID]], tblPiNAnalysis[ID], 0)), "")</f>
        <v>0</v>
      </c>
      <c r="AA548" s="28">
        <f>IFERROR(INDEX(tblPiNAnalysis[CP], MATCH(tblPiNHistorical[[#This Row],[ID]], tblPiNAnalysis[ID], 0)), "")</f>
        <v>0</v>
      </c>
      <c r="AB548" s="83">
        <f>IFERROR(INDEX(tblPiNAnalysis[GBV], MATCH(tblPiNHistorical[[#This Row],[ID]], tblPiNAnalysis[ID], 0)), "")</f>
        <v>0</v>
      </c>
      <c r="AC548" s="28">
        <f>IFERROR(INDEX(tblPiNAnalysis[Mine Action], MATCH(tblPiNHistorical[[#This Row],[ID]], tblPiNAnalysis[ID], 0)), "")</f>
        <v>0</v>
      </c>
      <c r="AD548" s="83">
        <f>IFERROR(INDEX(tblPiNAnalysis[[Shelter NFI ]], MATCH(tblPiNHistorical[[#This Row],[ID]], tblPiNAnalysis[ID], 0)), "")</f>
        <v>25790</v>
      </c>
      <c r="AE548" s="28">
        <f>IFERROR(INDEX(tblPiNAnalysis[WASH], MATCH(tblPiNHistorical[[#This Row],[ID]], tblPiNAnalysis[ID], 0)), "")</f>
        <v>0</v>
      </c>
      <c r="AF548"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548" s="136" t="str">
        <f>IF(OR(tblPiNHistorical[[#This Row],[Education Old]]="", tblPiNHistorical[[#This Row],[Education Old]]=0, tblPiNHistorical[[#This Row],[Education New]]="", tblPiNHistorical[[#This Row],[Education New]]=0), "", tblPiNHistorical[[#This Row],[Education New]]-tblPiNHistorical[[#This Row],[Education Old]])</f>
        <v/>
      </c>
      <c r="AH548"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548" s="137" t="str">
        <f>IF(OR(tblPiNHistorical[[#This Row],[Health Old]]="", tblPiNHistorical[[#This Row],[Health Old]]=0, tblPiNHistorical[[#This Row],[Health New]]="", tblPiNHistorical[[#This Row],[Health New]]=0), "", tblPiNHistorical[[#This Row],[Health New]]-tblPiNHistorical[[#This Row],[Health Old]])</f>
        <v/>
      </c>
      <c r="AJ548" s="136" t="str">
        <f>IF(OR(tblPiNHistorical[[#This Row],[Nutrition Old]]="", tblPiNHistorical[[#This Row],[Nutrition Old]]=0, tblPiNHistorical[[#This Row],[Nutrition New]]="", tblPiNHistorical[[#This Row],[Nutrition New]]=0), "", tblPiNHistorical[[#This Row],[Nutrition New]]-tblPiNHistorical[[#This Row],[Nutrition Old]])</f>
        <v/>
      </c>
      <c r="AK548" s="136" t="str">
        <f>IF(OR(tblPiNHistorical[[#This Row],[Protection Old]]="", tblPiNHistorical[[#This Row],[Protection Old]]=0, tblPiNHistorical[[#This Row],[Protection New]]="", tblPiNHistorical[[#This Row],[Protection New]]=0), "", tblPiNHistorical[[#This Row],[Protection New]]-tblPiNHistorical[[#This Row],[Protection Old]])</f>
        <v/>
      </c>
      <c r="AL548" s="136" t="str">
        <f>IF(OR(tblPiNHistorical[[#This Row],[CP Old ]]="", tblPiNHistorical[[#This Row],[CP Old ]]=0, tblPiNHistorical[[#This Row],[CP New]]="", tblPiNHistorical[[#This Row],[CP New]]=0), "", tblPiNHistorical[[#This Row],[CP New]]-tblPiNHistorical[[#This Row],[CP Old ]])</f>
        <v/>
      </c>
      <c r="AM548" s="83" t="str">
        <f>IF(OR(tblPiNHistorical[[#This Row],[GBV Old]]="", tblPiNHistorical[[#This Row],[GBV Old]]=0, tblPiNHistorical[[#This Row],[GBV New]]="", tblPiNHistorical[[#This Row],[GBV New]]=0), "", tblPiNHistorical[[#This Row],[GBV New]]-tblPiNHistorical[[#This Row],[GBV Old]])</f>
        <v/>
      </c>
      <c r="AN548" s="83" t="str">
        <f>IF(OR(tblPiNHistorical[[#This Row],[Mine Action Old]]="", tblPiNHistorical[[#This Row],[Mine Action Old]]=0, tblPiNHistorical[[#This Row],[Mine Action New]]="", tblPiNHistorical[[#This Row],[Mine Action New]]=0), "", tblPiNHistorical[[#This Row],[Mine Action New]]-tblPiNHistorical[[#This Row],[Mine Action Old]])</f>
        <v/>
      </c>
      <c r="AO548" s="136">
        <f>IF(OR(tblPiNHistorical[[#This Row],[Shelter NFI Old]]="", tblPiNHistorical[[#This Row],[Shelter NFI Old]]=0, tblPiNHistorical[[#This Row],[Shelter NFI New]]="", tblPiNHistorical[[#This Row],[Shelter NFI New]]=0), "", tblPiNHistorical[[#This Row],[Shelter NFI New]]-tblPiNHistorical[[#This Row],[Shelter NFI Old]])</f>
        <v>18109</v>
      </c>
      <c r="AP548" s="138" t="str">
        <f>IF(OR(tblPiNHistorical[[#This Row],[WASH Old]]="", tblPiNHistorical[[#This Row],[WASH Old]]=0, tblPiNHistorical[[#This Row],[WASH New]]="", tblPiNHistorical[[#This Row],[WASH New]]=0), "", tblPiNHistorical[[#This Row],[WASH New]]-tblPiNHistorical[[#This Row],[WASH Old]])</f>
        <v/>
      </c>
      <c r="AQ548" s="139" t="str">
        <f>IFERROR(ROUND((tblPiNHistorical[[#This Row],[Site Management - New]] - tblPiNHistorical[[#This Row],[Site Management - Old]])/tblPiNHistorical[[#This Row],[Site Management - Old]], 1), "")</f>
        <v/>
      </c>
      <c r="AR548" s="140">
        <f>IFERROR(ROUND((tblPiNHistorical[[#This Row],[Education New]]-tblPiNHistorical[[#This Row],[Education Old]])/tblPiNHistorical[[#This Row],[Education Old]], 1), "")</f>
        <v>-1</v>
      </c>
      <c r="AS548" s="141">
        <f>IFERROR(ROUND((tblPiNHistorical[[#This Row],[Food Security and Livlihoods New]]-tblPiNHistorical[[#This Row],[Food Security and Livlihoods Old]])/tblPiNHistorical[[#This Row],[Food Security and Livlihoods Old]], 1), "")</f>
        <v>-1</v>
      </c>
      <c r="AT548" s="142">
        <f>IFERROR(ROUND((tblPiNHistorical[[#This Row],[Health New]]-tblPiNHistorical[[#This Row],[Health Old]])/tblPiNHistorical[[#This Row],[Health Old]], 1), "")</f>
        <v>-1</v>
      </c>
      <c r="AU548" s="140">
        <f>IFERROR(ROUND((tblPiNHistorical[[#This Row],[Nutrition New]]-tblPiNHistorical[[#This Row],[Nutrition Old]])/tblPiNHistorical[[#This Row],[Nutrition Old]], 1), "")</f>
        <v>-1</v>
      </c>
      <c r="AV548" s="140">
        <f>IFERROR(ROUND((tblPiNHistorical[[#This Row],[Protection New]]-tblPiNHistorical[[#This Row],[Protection Old]])/tblPiNHistorical[[#This Row],[Protection Old]], 1), "")</f>
        <v>-1</v>
      </c>
      <c r="AW548" s="84">
        <f>IFERROR(ROUND((tblPiNHistorical[[#This Row],[CP New]]-tblPiNHistorical[[#This Row],[CP Old ]])/tblPiNHistorical[[#This Row],[CP Old ]], 1), "")</f>
        <v>-1</v>
      </c>
      <c r="AX548" s="84">
        <f>IFERROR(ROUND((tblPiNHistorical[[#This Row],[GBV New]]-tblPiNHistorical[[#This Row],[GBV Old]])/tblPiNHistorical[[#This Row],[GBV Old]], 1), "")</f>
        <v>-1</v>
      </c>
      <c r="AY548" s="84">
        <f>IFERROR(ROUND((tblPiNHistorical[[#This Row],[Mine Action New]]-tblPiNHistorical[[#This Row],[Mine Action Old]])/tblPiNHistorical[[#This Row],[Mine Action Old]], 1), "")</f>
        <v>-1</v>
      </c>
      <c r="AZ548" s="140">
        <f>IFERROR(ROUND((tblPiNHistorical[[#This Row],[Shelter NFI New]]-tblPiNHistorical[[#This Row],[Shelter NFI Old]])/tblPiNHistorical[[#This Row],[Shelter NFI Old]], 1), "")</f>
        <v>2.4</v>
      </c>
      <c r="BA548" s="31">
        <f>IFERROR(ROUND((tblPiNHistorical[[#This Row],[WASH New]]-tblPiNHistorical[[#This Row],[WASH Old]])/tblPiNHistorical[[#This Row],[WASH Old]], 1), "")</f>
        <v>-1</v>
      </c>
    </row>
    <row r="549" spans="1:53" ht="38.25" x14ac:dyDescent="0.25">
      <c r="A549"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Host CommunitySD04127</v>
      </c>
      <c r="B549" s="134" t="s">
        <v>191</v>
      </c>
      <c r="C549" s="124" t="s">
        <v>121</v>
      </c>
      <c r="D549" s="124" t="s">
        <v>287</v>
      </c>
      <c r="E549" s="59" t="s">
        <v>286</v>
      </c>
      <c r="F549" s="54"/>
      <c r="G549" s="29"/>
      <c r="H549" s="53">
        <v>17240.95</v>
      </c>
      <c r="I549" s="53" t="s">
        <v>87</v>
      </c>
      <c r="J549" s="34">
        <v>0</v>
      </c>
      <c r="K549" s="116">
        <v>6684.316315</v>
      </c>
      <c r="L549" s="114">
        <v>17241</v>
      </c>
      <c r="M549" s="114">
        <v>17240.95</v>
      </c>
      <c r="N549" s="114">
        <v>2311</v>
      </c>
      <c r="O549" s="114">
        <v>5458</v>
      </c>
      <c r="P549" s="114">
        <v>1897</v>
      </c>
      <c r="Q549" s="114">
        <v>5458</v>
      </c>
      <c r="R549" s="114">
        <v>0</v>
      </c>
      <c r="S549" s="114">
        <v>3448</v>
      </c>
      <c r="T549" s="196">
        <v>14149.647664999999</v>
      </c>
      <c r="U549" s="52">
        <f>IFERROR(INDEX(tblPiNAnalysis[[Site Management ]], MATCH(tblPiNHistorical[[#This Row],[ID]], tblPiNAnalysis[ID], 0)), "")</f>
        <v>0</v>
      </c>
      <c r="V549" s="52">
        <f>IFERROR(INDEX(tblPiNAnalysis[Education], MATCH(tblPiNHistorical[[#This Row],[ID]], tblPiNAnalysis[ID], 0)), "")</f>
        <v>0</v>
      </c>
      <c r="W549" s="28">
        <f>IFERROR(INDEX(tblPiNAnalysis[Food Security and Livlihoods], MATCH(tblPiNHistorical[[#This Row],[ID]], tblPiNAnalysis[ID], 0)), "")</f>
        <v>0</v>
      </c>
      <c r="X549" s="28">
        <f>IFERROR(INDEX(tblPiNAnalysis[[Health ]], MATCH(tblPiNHistorical[[#This Row],[ID]], tblPiNAnalysis[ID], 0)), "")</f>
        <v>0</v>
      </c>
      <c r="Y549" s="28">
        <f>IFERROR(INDEX(tblPiNAnalysis[Nutrition], MATCH(tblPiNHistorical[[#This Row],[ID]], tblPiNAnalysis[ID], 0)), "")</f>
        <v>0</v>
      </c>
      <c r="Z549" s="28">
        <f>IFERROR(INDEX(tblPiNAnalysis[Protection], MATCH(tblPiNHistorical[[#This Row],[ID]], tblPiNAnalysis[ID], 0)), "")</f>
        <v>0</v>
      </c>
      <c r="AA549" s="28">
        <f>IFERROR(INDEX(tblPiNAnalysis[CP], MATCH(tblPiNHistorical[[#This Row],[ID]], tblPiNAnalysis[ID], 0)), "")</f>
        <v>0</v>
      </c>
      <c r="AB549" s="83">
        <f>IFERROR(INDEX(tblPiNAnalysis[GBV], MATCH(tblPiNHistorical[[#This Row],[ID]], tblPiNAnalysis[ID], 0)), "")</f>
        <v>0</v>
      </c>
      <c r="AC549" s="28">
        <f>IFERROR(INDEX(tblPiNAnalysis[Mine Action], MATCH(tblPiNHistorical[[#This Row],[ID]], tblPiNAnalysis[ID], 0)), "")</f>
        <v>0</v>
      </c>
      <c r="AD549" s="83">
        <f>IFERROR(INDEX(tblPiNAnalysis[[Shelter NFI ]], MATCH(tblPiNHistorical[[#This Row],[ID]], tblPiNAnalysis[ID], 0)), "")</f>
        <v>0</v>
      </c>
      <c r="AE549" s="28">
        <f>IFERROR(INDEX(tblPiNAnalysis[WASH], MATCH(tblPiNHistorical[[#This Row],[ID]], tblPiNAnalysis[ID], 0)), "")</f>
        <v>0</v>
      </c>
      <c r="AF549"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549" s="136" t="str">
        <f>IF(OR(tblPiNHistorical[[#This Row],[Education Old]]="", tblPiNHistorical[[#This Row],[Education Old]]=0, tblPiNHistorical[[#This Row],[Education New]]="", tblPiNHistorical[[#This Row],[Education New]]=0), "", tblPiNHistorical[[#This Row],[Education New]]-tblPiNHistorical[[#This Row],[Education Old]])</f>
        <v/>
      </c>
      <c r="AH549"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549" s="137" t="str">
        <f>IF(OR(tblPiNHistorical[[#This Row],[Health Old]]="", tblPiNHistorical[[#This Row],[Health Old]]=0, tblPiNHistorical[[#This Row],[Health New]]="", tblPiNHistorical[[#This Row],[Health New]]=0), "", tblPiNHistorical[[#This Row],[Health New]]-tblPiNHistorical[[#This Row],[Health Old]])</f>
        <v/>
      </c>
      <c r="AJ549" s="136" t="str">
        <f>IF(OR(tblPiNHistorical[[#This Row],[Nutrition Old]]="", tblPiNHistorical[[#This Row],[Nutrition Old]]=0, tblPiNHistorical[[#This Row],[Nutrition New]]="", tblPiNHistorical[[#This Row],[Nutrition New]]=0), "", tblPiNHistorical[[#This Row],[Nutrition New]]-tblPiNHistorical[[#This Row],[Nutrition Old]])</f>
        <v/>
      </c>
      <c r="AK549" s="136" t="str">
        <f>IF(OR(tblPiNHistorical[[#This Row],[Protection Old]]="", tblPiNHistorical[[#This Row],[Protection Old]]=0, tblPiNHistorical[[#This Row],[Protection New]]="", tblPiNHistorical[[#This Row],[Protection New]]=0), "", tblPiNHistorical[[#This Row],[Protection New]]-tblPiNHistorical[[#This Row],[Protection Old]])</f>
        <v/>
      </c>
      <c r="AL549" s="136" t="str">
        <f>IF(OR(tblPiNHistorical[[#This Row],[CP Old ]]="", tblPiNHistorical[[#This Row],[CP Old ]]=0, tblPiNHistorical[[#This Row],[CP New]]="", tblPiNHistorical[[#This Row],[CP New]]=0), "", tblPiNHistorical[[#This Row],[CP New]]-tblPiNHistorical[[#This Row],[CP Old ]])</f>
        <v/>
      </c>
      <c r="AM549" s="83" t="str">
        <f>IF(OR(tblPiNHistorical[[#This Row],[GBV Old]]="", tblPiNHistorical[[#This Row],[GBV Old]]=0, tblPiNHistorical[[#This Row],[GBV New]]="", tblPiNHistorical[[#This Row],[GBV New]]=0), "", tblPiNHistorical[[#This Row],[GBV New]]-tblPiNHistorical[[#This Row],[GBV Old]])</f>
        <v/>
      </c>
      <c r="AN549" s="83" t="str">
        <f>IF(OR(tblPiNHistorical[[#This Row],[Mine Action Old]]="", tblPiNHistorical[[#This Row],[Mine Action Old]]=0, tblPiNHistorical[[#This Row],[Mine Action New]]="", tblPiNHistorical[[#This Row],[Mine Action New]]=0), "", tblPiNHistorical[[#This Row],[Mine Action New]]-tblPiNHistorical[[#This Row],[Mine Action Old]])</f>
        <v/>
      </c>
      <c r="AO549" s="136" t="str">
        <f>IF(OR(tblPiNHistorical[[#This Row],[Shelter NFI Old]]="", tblPiNHistorical[[#This Row],[Shelter NFI Old]]=0, tblPiNHistorical[[#This Row],[Shelter NFI New]]="", tblPiNHistorical[[#This Row],[Shelter NFI New]]=0), "", tblPiNHistorical[[#This Row],[Shelter NFI New]]-tblPiNHistorical[[#This Row],[Shelter NFI Old]])</f>
        <v/>
      </c>
      <c r="AP549" s="138" t="str">
        <f>IF(OR(tblPiNHistorical[[#This Row],[WASH Old]]="", tblPiNHistorical[[#This Row],[WASH Old]]=0, tblPiNHistorical[[#This Row],[WASH New]]="", tblPiNHistorical[[#This Row],[WASH New]]=0), "", tblPiNHistorical[[#This Row],[WASH New]]-tblPiNHistorical[[#This Row],[WASH Old]])</f>
        <v/>
      </c>
      <c r="AQ549" s="139" t="str">
        <f>IFERROR(ROUND((tblPiNHistorical[[#This Row],[Site Management - New]] - tblPiNHistorical[[#This Row],[Site Management - Old]])/tblPiNHistorical[[#This Row],[Site Management - Old]], 1), "")</f>
        <v/>
      </c>
      <c r="AR549" s="140">
        <f>IFERROR(ROUND((tblPiNHistorical[[#This Row],[Education New]]-tblPiNHistorical[[#This Row],[Education Old]])/tblPiNHistorical[[#This Row],[Education Old]], 1), "")</f>
        <v>-1</v>
      </c>
      <c r="AS549" s="141">
        <f>IFERROR(ROUND((tblPiNHistorical[[#This Row],[Food Security and Livlihoods New]]-tblPiNHistorical[[#This Row],[Food Security and Livlihoods Old]])/tblPiNHistorical[[#This Row],[Food Security and Livlihoods Old]], 1), "")</f>
        <v>-1</v>
      </c>
      <c r="AT549" s="142">
        <f>IFERROR(ROUND((tblPiNHistorical[[#This Row],[Health New]]-tblPiNHistorical[[#This Row],[Health Old]])/tblPiNHistorical[[#This Row],[Health Old]], 1), "")</f>
        <v>-1</v>
      </c>
      <c r="AU549" s="140">
        <f>IFERROR(ROUND((tblPiNHistorical[[#This Row],[Nutrition New]]-tblPiNHistorical[[#This Row],[Nutrition Old]])/tblPiNHistorical[[#This Row],[Nutrition Old]], 1), "")</f>
        <v>-1</v>
      </c>
      <c r="AV549" s="140">
        <f>IFERROR(ROUND((tblPiNHistorical[[#This Row],[Protection New]]-tblPiNHistorical[[#This Row],[Protection Old]])/tblPiNHistorical[[#This Row],[Protection Old]], 1), "")</f>
        <v>-1</v>
      </c>
      <c r="AW549" s="84">
        <f>IFERROR(ROUND((tblPiNHistorical[[#This Row],[CP New]]-tblPiNHistorical[[#This Row],[CP Old ]])/tblPiNHistorical[[#This Row],[CP Old ]], 1), "")</f>
        <v>-1</v>
      </c>
      <c r="AX549" s="84">
        <f>IFERROR(ROUND((tblPiNHistorical[[#This Row],[GBV New]]-tblPiNHistorical[[#This Row],[GBV Old]])/tblPiNHistorical[[#This Row],[GBV Old]], 1), "")</f>
        <v>-1</v>
      </c>
      <c r="AY549" s="84" t="str">
        <f>IFERROR(ROUND((tblPiNHistorical[[#This Row],[Mine Action New]]-tblPiNHistorical[[#This Row],[Mine Action Old]])/tblPiNHistorical[[#This Row],[Mine Action Old]], 1), "")</f>
        <v/>
      </c>
      <c r="AZ549" s="140">
        <f>IFERROR(ROUND((tblPiNHistorical[[#This Row],[Shelter NFI New]]-tblPiNHistorical[[#This Row],[Shelter NFI Old]])/tblPiNHistorical[[#This Row],[Shelter NFI Old]], 1), "")</f>
        <v>-1</v>
      </c>
      <c r="BA549" s="31">
        <f>IFERROR(ROUND((tblPiNHistorical[[#This Row],[WASH New]]-tblPiNHistorical[[#This Row],[WASH Old]])/tblPiNHistorical[[#This Row],[WASH Old]], 1), "")</f>
        <v>-1</v>
      </c>
    </row>
    <row r="550" spans="1:53" ht="38.25" x14ac:dyDescent="0.25">
      <c r="A550"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Host CommunitySD04134</v>
      </c>
      <c r="B550" s="134" t="s">
        <v>191</v>
      </c>
      <c r="C550" s="124" t="s">
        <v>121</v>
      </c>
      <c r="D550" s="124" t="s">
        <v>289</v>
      </c>
      <c r="E550" s="59" t="s">
        <v>288</v>
      </c>
      <c r="F550" s="54"/>
      <c r="G550" s="29"/>
      <c r="H550" s="53">
        <v>3564</v>
      </c>
      <c r="I550" s="53" t="s">
        <v>87</v>
      </c>
      <c r="J550" s="34">
        <v>0</v>
      </c>
      <c r="K550" s="116">
        <v>1381.7628</v>
      </c>
      <c r="L550" s="114">
        <v>3564</v>
      </c>
      <c r="M550" s="114">
        <v>3564</v>
      </c>
      <c r="N550" s="114">
        <v>244</v>
      </c>
      <c r="O550" s="114">
        <v>1425.6000000000001</v>
      </c>
      <c r="P550" s="114">
        <v>392</v>
      </c>
      <c r="Q550" s="114">
        <v>1128</v>
      </c>
      <c r="R550" s="114">
        <v>1425.6000000000001</v>
      </c>
      <c r="S550" s="114">
        <v>713</v>
      </c>
      <c r="T550" s="196">
        <v>2319.4512</v>
      </c>
      <c r="U550" s="52">
        <f>IFERROR(INDEX(tblPiNAnalysis[[Site Management ]], MATCH(tblPiNHistorical[[#This Row],[ID]], tblPiNAnalysis[ID], 0)), "")</f>
        <v>0</v>
      </c>
      <c r="V550" s="52">
        <f>IFERROR(INDEX(tblPiNAnalysis[Education], MATCH(tblPiNHistorical[[#This Row],[ID]], tblPiNAnalysis[ID], 0)), "")</f>
        <v>0</v>
      </c>
      <c r="W550" s="28">
        <f>IFERROR(INDEX(tblPiNAnalysis[Food Security and Livlihoods], MATCH(tblPiNHistorical[[#This Row],[ID]], tblPiNAnalysis[ID], 0)), "")</f>
        <v>0</v>
      </c>
      <c r="X550" s="28">
        <f>IFERROR(INDEX(tblPiNAnalysis[[Health ]], MATCH(tblPiNHistorical[[#This Row],[ID]], tblPiNAnalysis[ID], 0)), "")</f>
        <v>0</v>
      </c>
      <c r="Y550" s="28">
        <f>IFERROR(INDEX(tblPiNAnalysis[Nutrition], MATCH(tblPiNHistorical[[#This Row],[ID]], tblPiNAnalysis[ID], 0)), "")</f>
        <v>0</v>
      </c>
      <c r="Z550" s="28">
        <f>IFERROR(INDEX(tblPiNAnalysis[Protection], MATCH(tblPiNHistorical[[#This Row],[ID]], tblPiNAnalysis[ID], 0)), "")</f>
        <v>0</v>
      </c>
      <c r="AA550" s="28">
        <f>IFERROR(INDEX(tblPiNAnalysis[CP], MATCH(tblPiNHistorical[[#This Row],[ID]], tblPiNAnalysis[ID], 0)), "")</f>
        <v>0</v>
      </c>
      <c r="AB550" s="83">
        <f>IFERROR(INDEX(tblPiNAnalysis[GBV], MATCH(tblPiNHistorical[[#This Row],[ID]], tblPiNAnalysis[ID], 0)), "")</f>
        <v>0</v>
      </c>
      <c r="AC550" s="28">
        <f>IFERROR(INDEX(tblPiNAnalysis[Mine Action], MATCH(tblPiNHistorical[[#This Row],[ID]], tblPiNAnalysis[ID], 0)), "")</f>
        <v>0</v>
      </c>
      <c r="AD550" s="83">
        <f>IFERROR(INDEX(tblPiNAnalysis[[Shelter NFI ]], MATCH(tblPiNHistorical[[#This Row],[ID]], tblPiNAnalysis[ID], 0)), "")</f>
        <v>11006</v>
      </c>
      <c r="AE550" s="28">
        <f>IFERROR(INDEX(tblPiNAnalysis[WASH], MATCH(tblPiNHistorical[[#This Row],[ID]], tblPiNAnalysis[ID], 0)), "")</f>
        <v>0</v>
      </c>
      <c r="AF550"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550" s="136" t="str">
        <f>IF(OR(tblPiNHistorical[[#This Row],[Education Old]]="", tblPiNHistorical[[#This Row],[Education Old]]=0, tblPiNHistorical[[#This Row],[Education New]]="", tblPiNHistorical[[#This Row],[Education New]]=0), "", tblPiNHistorical[[#This Row],[Education New]]-tblPiNHistorical[[#This Row],[Education Old]])</f>
        <v/>
      </c>
      <c r="AH550"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550" s="137" t="str">
        <f>IF(OR(tblPiNHistorical[[#This Row],[Health Old]]="", tblPiNHistorical[[#This Row],[Health Old]]=0, tblPiNHistorical[[#This Row],[Health New]]="", tblPiNHistorical[[#This Row],[Health New]]=0), "", tblPiNHistorical[[#This Row],[Health New]]-tblPiNHistorical[[#This Row],[Health Old]])</f>
        <v/>
      </c>
      <c r="AJ550" s="136" t="str">
        <f>IF(OR(tblPiNHistorical[[#This Row],[Nutrition Old]]="", tblPiNHistorical[[#This Row],[Nutrition Old]]=0, tblPiNHistorical[[#This Row],[Nutrition New]]="", tblPiNHistorical[[#This Row],[Nutrition New]]=0), "", tblPiNHistorical[[#This Row],[Nutrition New]]-tblPiNHistorical[[#This Row],[Nutrition Old]])</f>
        <v/>
      </c>
      <c r="AK550" s="136" t="str">
        <f>IF(OR(tblPiNHistorical[[#This Row],[Protection Old]]="", tblPiNHistorical[[#This Row],[Protection Old]]=0, tblPiNHistorical[[#This Row],[Protection New]]="", tblPiNHistorical[[#This Row],[Protection New]]=0), "", tblPiNHistorical[[#This Row],[Protection New]]-tblPiNHistorical[[#This Row],[Protection Old]])</f>
        <v/>
      </c>
      <c r="AL550" s="136" t="str">
        <f>IF(OR(tblPiNHistorical[[#This Row],[CP Old ]]="", tblPiNHistorical[[#This Row],[CP Old ]]=0, tblPiNHistorical[[#This Row],[CP New]]="", tblPiNHistorical[[#This Row],[CP New]]=0), "", tblPiNHistorical[[#This Row],[CP New]]-tblPiNHistorical[[#This Row],[CP Old ]])</f>
        <v/>
      </c>
      <c r="AM550" s="83" t="str">
        <f>IF(OR(tblPiNHistorical[[#This Row],[GBV Old]]="", tblPiNHistorical[[#This Row],[GBV Old]]=0, tblPiNHistorical[[#This Row],[GBV New]]="", tblPiNHistorical[[#This Row],[GBV New]]=0), "", tblPiNHistorical[[#This Row],[GBV New]]-tblPiNHistorical[[#This Row],[GBV Old]])</f>
        <v/>
      </c>
      <c r="AN550" s="83" t="str">
        <f>IF(OR(tblPiNHistorical[[#This Row],[Mine Action Old]]="", tblPiNHistorical[[#This Row],[Mine Action Old]]=0, tblPiNHistorical[[#This Row],[Mine Action New]]="", tblPiNHistorical[[#This Row],[Mine Action New]]=0), "", tblPiNHistorical[[#This Row],[Mine Action New]]-tblPiNHistorical[[#This Row],[Mine Action Old]])</f>
        <v/>
      </c>
      <c r="AO550" s="136">
        <f>IF(OR(tblPiNHistorical[[#This Row],[Shelter NFI Old]]="", tblPiNHistorical[[#This Row],[Shelter NFI Old]]=0, tblPiNHistorical[[#This Row],[Shelter NFI New]]="", tblPiNHistorical[[#This Row],[Shelter NFI New]]=0), "", tblPiNHistorical[[#This Row],[Shelter NFI New]]-tblPiNHistorical[[#This Row],[Shelter NFI Old]])</f>
        <v>10293</v>
      </c>
      <c r="AP550" s="138" t="str">
        <f>IF(OR(tblPiNHistorical[[#This Row],[WASH Old]]="", tblPiNHistorical[[#This Row],[WASH Old]]=0, tblPiNHistorical[[#This Row],[WASH New]]="", tblPiNHistorical[[#This Row],[WASH New]]=0), "", tblPiNHistorical[[#This Row],[WASH New]]-tblPiNHistorical[[#This Row],[WASH Old]])</f>
        <v/>
      </c>
      <c r="AQ550" s="139" t="str">
        <f>IFERROR(ROUND((tblPiNHistorical[[#This Row],[Site Management - New]] - tblPiNHistorical[[#This Row],[Site Management - Old]])/tblPiNHistorical[[#This Row],[Site Management - Old]], 1), "")</f>
        <v/>
      </c>
      <c r="AR550" s="140">
        <f>IFERROR(ROUND((tblPiNHistorical[[#This Row],[Education New]]-tblPiNHistorical[[#This Row],[Education Old]])/tblPiNHistorical[[#This Row],[Education Old]], 1), "")</f>
        <v>-1</v>
      </c>
      <c r="AS550" s="141">
        <f>IFERROR(ROUND((tblPiNHistorical[[#This Row],[Food Security and Livlihoods New]]-tblPiNHistorical[[#This Row],[Food Security and Livlihoods Old]])/tblPiNHistorical[[#This Row],[Food Security and Livlihoods Old]], 1), "")</f>
        <v>-1</v>
      </c>
      <c r="AT550" s="142">
        <f>IFERROR(ROUND((tblPiNHistorical[[#This Row],[Health New]]-tblPiNHistorical[[#This Row],[Health Old]])/tblPiNHistorical[[#This Row],[Health Old]], 1), "")</f>
        <v>-1</v>
      </c>
      <c r="AU550" s="140">
        <f>IFERROR(ROUND((tblPiNHistorical[[#This Row],[Nutrition New]]-tblPiNHistorical[[#This Row],[Nutrition Old]])/tblPiNHistorical[[#This Row],[Nutrition Old]], 1), "")</f>
        <v>-1</v>
      </c>
      <c r="AV550" s="140">
        <f>IFERROR(ROUND((tblPiNHistorical[[#This Row],[Protection New]]-tblPiNHistorical[[#This Row],[Protection Old]])/tblPiNHistorical[[#This Row],[Protection Old]], 1), "")</f>
        <v>-1</v>
      </c>
      <c r="AW550" s="84">
        <f>IFERROR(ROUND((tblPiNHistorical[[#This Row],[CP New]]-tblPiNHistorical[[#This Row],[CP Old ]])/tblPiNHistorical[[#This Row],[CP Old ]], 1), "")</f>
        <v>-1</v>
      </c>
      <c r="AX550" s="84">
        <f>IFERROR(ROUND((tblPiNHistorical[[#This Row],[GBV New]]-tblPiNHistorical[[#This Row],[GBV Old]])/tblPiNHistorical[[#This Row],[GBV Old]], 1), "")</f>
        <v>-1</v>
      </c>
      <c r="AY550" s="84">
        <f>IFERROR(ROUND((tblPiNHistorical[[#This Row],[Mine Action New]]-tblPiNHistorical[[#This Row],[Mine Action Old]])/tblPiNHistorical[[#This Row],[Mine Action Old]], 1), "")</f>
        <v>-1</v>
      </c>
      <c r="AZ550" s="140">
        <f>IFERROR(ROUND((tblPiNHistorical[[#This Row],[Shelter NFI New]]-tblPiNHistorical[[#This Row],[Shelter NFI Old]])/tblPiNHistorical[[#This Row],[Shelter NFI Old]], 1), "")</f>
        <v>14.4</v>
      </c>
      <c r="BA550" s="31">
        <f>IFERROR(ROUND((tblPiNHistorical[[#This Row],[WASH New]]-tblPiNHistorical[[#This Row],[WASH Old]])/tblPiNHistorical[[#This Row],[WASH Old]], 1), "")</f>
        <v>-1</v>
      </c>
    </row>
    <row r="551" spans="1:53" ht="38.25" x14ac:dyDescent="0.25">
      <c r="A551"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Host CommunitySD18028</v>
      </c>
      <c r="B551" s="134" t="s">
        <v>194</v>
      </c>
      <c r="C551" s="124" t="s">
        <v>135</v>
      </c>
      <c r="D551" s="124" t="s">
        <v>544</v>
      </c>
      <c r="E551" s="59" t="s">
        <v>545</v>
      </c>
      <c r="F551" s="54"/>
      <c r="G551" s="29"/>
      <c r="H551" s="53">
        <v>10404</v>
      </c>
      <c r="I551" s="53" t="s">
        <v>87</v>
      </c>
      <c r="J551" s="34">
        <v>0</v>
      </c>
      <c r="K551" s="116">
        <v>4033.6307999999999</v>
      </c>
      <c r="L551" s="114">
        <v>10404</v>
      </c>
      <c r="M551" s="114">
        <v>10404</v>
      </c>
      <c r="N551" s="114">
        <v>1038</v>
      </c>
      <c r="O551" s="114">
        <v>2745</v>
      </c>
      <c r="P551" s="114">
        <v>1144</v>
      </c>
      <c r="Q551" s="114">
        <v>2745</v>
      </c>
      <c r="R551" s="114">
        <v>0</v>
      </c>
      <c r="S551" s="114">
        <v>2081</v>
      </c>
      <c r="T551" s="196">
        <v>5730.5231999999996</v>
      </c>
      <c r="U551" s="52">
        <f>IFERROR(INDEX(tblPiNAnalysis[[Site Management ]], MATCH(tblPiNHistorical[[#This Row],[ID]], tblPiNAnalysis[ID], 0)), "")</f>
        <v>0</v>
      </c>
      <c r="V551" s="52">
        <f>IFERROR(INDEX(tblPiNAnalysis[Education], MATCH(tblPiNHistorical[[#This Row],[ID]], tblPiNAnalysis[ID], 0)), "")</f>
        <v>0</v>
      </c>
      <c r="W551" s="28">
        <f>IFERROR(INDEX(tblPiNAnalysis[Food Security and Livlihoods], MATCH(tblPiNHistorical[[#This Row],[ID]], tblPiNAnalysis[ID], 0)), "")</f>
        <v>0</v>
      </c>
      <c r="X551" s="28">
        <f>IFERROR(INDEX(tblPiNAnalysis[[Health ]], MATCH(tblPiNHistorical[[#This Row],[ID]], tblPiNAnalysis[ID], 0)), "")</f>
        <v>0</v>
      </c>
      <c r="Y551" s="28">
        <f>IFERROR(INDEX(tblPiNAnalysis[Nutrition], MATCH(tblPiNHistorical[[#This Row],[ID]], tblPiNAnalysis[ID], 0)), "")</f>
        <v>0</v>
      </c>
      <c r="Z551" s="28">
        <f>IFERROR(INDEX(tblPiNAnalysis[Protection], MATCH(tblPiNHistorical[[#This Row],[ID]], tblPiNAnalysis[ID], 0)), "")</f>
        <v>0</v>
      </c>
      <c r="AA551" s="28">
        <f>IFERROR(INDEX(tblPiNAnalysis[CP], MATCH(tblPiNHistorical[[#This Row],[ID]], tblPiNAnalysis[ID], 0)), "")</f>
        <v>0</v>
      </c>
      <c r="AB551" s="83">
        <f>IFERROR(INDEX(tblPiNAnalysis[GBV], MATCH(tblPiNHistorical[[#This Row],[ID]], tblPiNAnalysis[ID], 0)), "")</f>
        <v>0</v>
      </c>
      <c r="AC551" s="28">
        <f>IFERROR(INDEX(tblPiNAnalysis[Mine Action], MATCH(tblPiNHistorical[[#This Row],[ID]], tblPiNAnalysis[ID], 0)), "")</f>
        <v>0</v>
      </c>
      <c r="AD551" s="83">
        <f>IFERROR(INDEX(tblPiNAnalysis[[Shelter NFI ]], MATCH(tblPiNHistorical[[#This Row],[ID]], tblPiNAnalysis[ID], 0)), "")</f>
        <v>12022</v>
      </c>
      <c r="AE551" s="28">
        <f>IFERROR(INDEX(tblPiNAnalysis[WASH], MATCH(tblPiNHistorical[[#This Row],[ID]], tblPiNAnalysis[ID], 0)), "")</f>
        <v>0</v>
      </c>
      <c r="AF551"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551" s="136" t="str">
        <f>IF(OR(tblPiNHistorical[[#This Row],[Education Old]]="", tblPiNHistorical[[#This Row],[Education Old]]=0, tblPiNHistorical[[#This Row],[Education New]]="", tblPiNHistorical[[#This Row],[Education New]]=0), "", tblPiNHistorical[[#This Row],[Education New]]-tblPiNHistorical[[#This Row],[Education Old]])</f>
        <v/>
      </c>
      <c r="AH551"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551" s="137" t="str">
        <f>IF(OR(tblPiNHistorical[[#This Row],[Health Old]]="", tblPiNHistorical[[#This Row],[Health Old]]=0, tblPiNHistorical[[#This Row],[Health New]]="", tblPiNHistorical[[#This Row],[Health New]]=0), "", tblPiNHistorical[[#This Row],[Health New]]-tblPiNHistorical[[#This Row],[Health Old]])</f>
        <v/>
      </c>
      <c r="AJ551" s="136" t="str">
        <f>IF(OR(tblPiNHistorical[[#This Row],[Nutrition Old]]="", tblPiNHistorical[[#This Row],[Nutrition Old]]=0, tblPiNHistorical[[#This Row],[Nutrition New]]="", tblPiNHistorical[[#This Row],[Nutrition New]]=0), "", tblPiNHistorical[[#This Row],[Nutrition New]]-tblPiNHistorical[[#This Row],[Nutrition Old]])</f>
        <v/>
      </c>
      <c r="AK551" s="136" t="str">
        <f>IF(OR(tblPiNHistorical[[#This Row],[Protection Old]]="", tblPiNHistorical[[#This Row],[Protection Old]]=0, tblPiNHistorical[[#This Row],[Protection New]]="", tblPiNHistorical[[#This Row],[Protection New]]=0), "", tblPiNHistorical[[#This Row],[Protection New]]-tblPiNHistorical[[#This Row],[Protection Old]])</f>
        <v/>
      </c>
      <c r="AL551" s="136" t="str">
        <f>IF(OR(tblPiNHistorical[[#This Row],[CP Old ]]="", tblPiNHistorical[[#This Row],[CP Old ]]=0, tblPiNHistorical[[#This Row],[CP New]]="", tblPiNHistorical[[#This Row],[CP New]]=0), "", tblPiNHistorical[[#This Row],[CP New]]-tblPiNHistorical[[#This Row],[CP Old ]])</f>
        <v/>
      </c>
      <c r="AM551" s="83" t="str">
        <f>IF(OR(tblPiNHistorical[[#This Row],[GBV Old]]="", tblPiNHistorical[[#This Row],[GBV Old]]=0, tblPiNHistorical[[#This Row],[GBV New]]="", tblPiNHistorical[[#This Row],[GBV New]]=0), "", tblPiNHistorical[[#This Row],[GBV New]]-tblPiNHistorical[[#This Row],[GBV Old]])</f>
        <v/>
      </c>
      <c r="AN551" s="83" t="str">
        <f>IF(OR(tblPiNHistorical[[#This Row],[Mine Action Old]]="", tblPiNHistorical[[#This Row],[Mine Action Old]]=0, tblPiNHistorical[[#This Row],[Mine Action New]]="", tblPiNHistorical[[#This Row],[Mine Action New]]=0), "", tblPiNHistorical[[#This Row],[Mine Action New]]-tblPiNHistorical[[#This Row],[Mine Action Old]])</f>
        <v/>
      </c>
      <c r="AO551" s="136">
        <f>IF(OR(tblPiNHistorical[[#This Row],[Shelter NFI Old]]="", tblPiNHistorical[[#This Row],[Shelter NFI Old]]=0, tblPiNHistorical[[#This Row],[Shelter NFI New]]="", tblPiNHistorical[[#This Row],[Shelter NFI New]]=0), "", tblPiNHistorical[[#This Row],[Shelter NFI New]]-tblPiNHistorical[[#This Row],[Shelter NFI Old]])</f>
        <v>9941</v>
      </c>
      <c r="AP551" s="138" t="str">
        <f>IF(OR(tblPiNHistorical[[#This Row],[WASH Old]]="", tblPiNHistorical[[#This Row],[WASH Old]]=0, tblPiNHistorical[[#This Row],[WASH New]]="", tblPiNHistorical[[#This Row],[WASH New]]=0), "", tblPiNHistorical[[#This Row],[WASH New]]-tblPiNHistorical[[#This Row],[WASH Old]])</f>
        <v/>
      </c>
      <c r="AQ551" s="139" t="str">
        <f>IFERROR(ROUND((tblPiNHistorical[[#This Row],[Site Management - New]] - tblPiNHistorical[[#This Row],[Site Management - Old]])/tblPiNHistorical[[#This Row],[Site Management - Old]], 1), "")</f>
        <v/>
      </c>
      <c r="AR551" s="140">
        <f>IFERROR(ROUND((tblPiNHistorical[[#This Row],[Education New]]-tblPiNHistorical[[#This Row],[Education Old]])/tblPiNHistorical[[#This Row],[Education Old]], 1), "")</f>
        <v>-1</v>
      </c>
      <c r="AS551" s="141">
        <f>IFERROR(ROUND((tblPiNHistorical[[#This Row],[Food Security and Livlihoods New]]-tblPiNHistorical[[#This Row],[Food Security and Livlihoods Old]])/tblPiNHistorical[[#This Row],[Food Security and Livlihoods Old]], 1), "")</f>
        <v>-1</v>
      </c>
      <c r="AT551" s="142">
        <f>IFERROR(ROUND((tblPiNHistorical[[#This Row],[Health New]]-tblPiNHistorical[[#This Row],[Health Old]])/tblPiNHistorical[[#This Row],[Health Old]], 1), "")</f>
        <v>-1</v>
      </c>
      <c r="AU551" s="140">
        <f>IFERROR(ROUND((tblPiNHistorical[[#This Row],[Nutrition New]]-tblPiNHistorical[[#This Row],[Nutrition Old]])/tblPiNHistorical[[#This Row],[Nutrition Old]], 1), "")</f>
        <v>-1</v>
      </c>
      <c r="AV551" s="140">
        <f>IFERROR(ROUND((tblPiNHistorical[[#This Row],[Protection New]]-tblPiNHistorical[[#This Row],[Protection Old]])/tblPiNHistorical[[#This Row],[Protection Old]], 1), "")</f>
        <v>-1</v>
      </c>
      <c r="AW551" s="84">
        <f>IFERROR(ROUND((tblPiNHistorical[[#This Row],[CP New]]-tblPiNHistorical[[#This Row],[CP Old ]])/tblPiNHistorical[[#This Row],[CP Old ]], 1), "")</f>
        <v>-1</v>
      </c>
      <c r="AX551" s="84">
        <f>IFERROR(ROUND((tblPiNHistorical[[#This Row],[GBV New]]-tblPiNHistorical[[#This Row],[GBV Old]])/tblPiNHistorical[[#This Row],[GBV Old]], 1), "")</f>
        <v>-1</v>
      </c>
      <c r="AY551" s="84" t="str">
        <f>IFERROR(ROUND((tblPiNHistorical[[#This Row],[Mine Action New]]-tblPiNHistorical[[#This Row],[Mine Action Old]])/tblPiNHistorical[[#This Row],[Mine Action Old]], 1), "")</f>
        <v/>
      </c>
      <c r="AZ551" s="140">
        <f>IFERROR(ROUND((tblPiNHistorical[[#This Row],[Shelter NFI New]]-tblPiNHistorical[[#This Row],[Shelter NFI Old]])/tblPiNHistorical[[#This Row],[Shelter NFI Old]], 1), "")</f>
        <v>4.8</v>
      </c>
      <c r="BA551" s="31">
        <f>IFERROR(ROUND((tblPiNHistorical[[#This Row],[WASH New]]-tblPiNHistorical[[#This Row],[WASH Old]])/tblPiNHistorical[[#This Row],[WASH Old]], 1), "")</f>
        <v>-1</v>
      </c>
    </row>
    <row r="552" spans="1:53" ht="38.25" x14ac:dyDescent="0.25">
      <c r="A552"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Host CommunitySD18087</v>
      </c>
      <c r="B552" s="134" t="s">
        <v>194</v>
      </c>
      <c r="C552" s="124" t="s">
        <v>135</v>
      </c>
      <c r="D552" s="124" t="s">
        <v>552</v>
      </c>
      <c r="E552" s="59" t="s">
        <v>553</v>
      </c>
      <c r="F552" s="54"/>
      <c r="G552" s="29"/>
      <c r="H552" s="53">
        <v>21945</v>
      </c>
      <c r="I552" s="53" t="s">
        <v>87</v>
      </c>
      <c r="J552" s="34">
        <v>0</v>
      </c>
      <c r="K552" s="116">
        <v>0</v>
      </c>
      <c r="L552" s="114">
        <v>21945</v>
      </c>
      <c r="M552" s="114">
        <v>21945</v>
      </c>
      <c r="N552" s="114">
        <v>1809</v>
      </c>
      <c r="O552" s="114">
        <v>5792</v>
      </c>
      <c r="P552" s="114">
        <v>2414</v>
      </c>
      <c r="Q552" s="114">
        <v>5792</v>
      </c>
      <c r="R552" s="114">
        <v>0</v>
      </c>
      <c r="S552" s="114">
        <v>0</v>
      </c>
      <c r="T552" s="196">
        <v>18719.084999999999</v>
      </c>
      <c r="U552" s="52">
        <f>IFERROR(INDEX(tblPiNAnalysis[[Site Management ]], MATCH(tblPiNHistorical[[#This Row],[ID]], tblPiNAnalysis[ID], 0)), "")</f>
        <v>0</v>
      </c>
      <c r="V552" s="52">
        <f>IFERROR(INDEX(tblPiNAnalysis[Education], MATCH(tblPiNHistorical[[#This Row],[ID]], tblPiNAnalysis[ID], 0)), "")</f>
        <v>0</v>
      </c>
      <c r="W552" s="28">
        <f>IFERROR(INDEX(tblPiNAnalysis[Food Security and Livlihoods], MATCH(tblPiNHistorical[[#This Row],[ID]], tblPiNAnalysis[ID], 0)), "")</f>
        <v>0</v>
      </c>
      <c r="X552" s="28">
        <f>IFERROR(INDEX(tblPiNAnalysis[[Health ]], MATCH(tblPiNHistorical[[#This Row],[ID]], tblPiNAnalysis[ID], 0)), "")</f>
        <v>0</v>
      </c>
      <c r="Y552" s="28">
        <f>IFERROR(INDEX(tblPiNAnalysis[Nutrition], MATCH(tblPiNHistorical[[#This Row],[ID]], tblPiNAnalysis[ID], 0)), "")</f>
        <v>0</v>
      </c>
      <c r="Z552" s="28">
        <f>IFERROR(INDEX(tblPiNAnalysis[Protection], MATCH(tblPiNHistorical[[#This Row],[ID]], tblPiNAnalysis[ID], 0)), "")</f>
        <v>0</v>
      </c>
      <c r="AA552" s="28">
        <f>IFERROR(INDEX(tblPiNAnalysis[CP], MATCH(tblPiNHistorical[[#This Row],[ID]], tblPiNAnalysis[ID], 0)), "")</f>
        <v>0</v>
      </c>
      <c r="AB552" s="83">
        <f>IFERROR(INDEX(tblPiNAnalysis[GBV], MATCH(tblPiNHistorical[[#This Row],[ID]], tblPiNAnalysis[ID], 0)), "")</f>
        <v>0</v>
      </c>
      <c r="AC552" s="28">
        <f>IFERROR(INDEX(tblPiNAnalysis[Mine Action], MATCH(tblPiNHistorical[[#This Row],[ID]], tblPiNAnalysis[ID], 0)), "")</f>
        <v>0</v>
      </c>
      <c r="AD552" s="83">
        <f>IFERROR(INDEX(tblPiNAnalysis[[Shelter NFI ]], MATCH(tblPiNHistorical[[#This Row],[ID]], tblPiNAnalysis[ID], 0)), "")</f>
        <v>0</v>
      </c>
      <c r="AE552" s="28">
        <f>IFERROR(INDEX(tblPiNAnalysis[WASH], MATCH(tblPiNHistorical[[#This Row],[ID]], tblPiNAnalysis[ID], 0)), "")</f>
        <v>0</v>
      </c>
      <c r="AF552"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552" s="136" t="str">
        <f>IF(OR(tblPiNHistorical[[#This Row],[Education Old]]="", tblPiNHistorical[[#This Row],[Education Old]]=0, tblPiNHistorical[[#This Row],[Education New]]="", tblPiNHistorical[[#This Row],[Education New]]=0), "", tblPiNHistorical[[#This Row],[Education New]]-tblPiNHistorical[[#This Row],[Education Old]])</f>
        <v/>
      </c>
      <c r="AH552"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552" s="137" t="str">
        <f>IF(OR(tblPiNHistorical[[#This Row],[Health Old]]="", tblPiNHistorical[[#This Row],[Health Old]]=0, tblPiNHistorical[[#This Row],[Health New]]="", tblPiNHistorical[[#This Row],[Health New]]=0), "", tblPiNHistorical[[#This Row],[Health New]]-tblPiNHistorical[[#This Row],[Health Old]])</f>
        <v/>
      </c>
      <c r="AJ552" s="136" t="str">
        <f>IF(OR(tblPiNHistorical[[#This Row],[Nutrition Old]]="", tblPiNHistorical[[#This Row],[Nutrition Old]]=0, tblPiNHistorical[[#This Row],[Nutrition New]]="", tblPiNHistorical[[#This Row],[Nutrition New]]=0), "", tblPiNHistorical[[#This Row],[Nutrition New]]-tblPiNHistorical[[#This Row],[Nutrition Old]])</f>
        <v/>
      </c>
      <c r="AK552" s="136" t="str">
        <f>IF(OR(tblPiNHistorical[[#This Row],[Protection Old]]="", tblPiNHistorical[[#This Row],[Protection Old]]=0, tblPiNHistorical[[#This Row],[Protection New]]="", tblPiNHistorical[[#This Row],[Protection New]]=0), "", tblPiNHistorical[[#This Row],[Protection New]]-tblPiNHistorical[[#This Row],[Protection Old]])</f>
        <v/>
      </c>
      <c r="AL552" s="136" t="str">
        <f>IF(OR(tblPiNHistorical[[#This Row],[CP Old ]]="", tblPiNHistorical[[#This Row],[CP Old ]]=0, tblPiNHistorical[[#This Row],[CP New]]="", tblPiNHistorical[[#This Row],[CP New]]=0), "", tblPiNHistorical[[#This Row],[CP New]]-tblPiNHistorical[[#This Row],[CP Old ]])</f>
        <v/>
      </c>
      <c r="AM552" s="83" t="str">
        <f>IF(OR(tblPiNHistorical[[#This Row],[GBV Old]]="", tblPiNHistorical[[#This Row],[GBV Old]]=0, tblPiNHistorical[[#This Row],[GBV New]]="", tblPiNHistorical[[#This Row],[GBV New]]=0), "", tblPiNHistorical[[#This Row],[GBV New]]-tblPiNHistorical[[#This Row],[GBV Old]])</f>
        <v/>
      </c>
      <c r="AN552" s="83" t="str">
        <f>IF(OR(tblPiNHistorical[[#This Row],[Mine Action Old]]="", tblPiNHistorical[[#This Row],[Mine Action Old]]=0, tblPiNHistorical[[#This Row],[Mine Action New]]="", tblPiNHistorical[[#This Row],[Mine Action New]]=0), "", tblPiNHistorical[[#This Row],[Mine Action New]]-tblPiNHistorical[[#This Row],[Mine Action Old]])</f>
        <v/>
      </c>
      <c r="AO552" s="136" t="str">
        <f>IF(OR(tblPiNHistorical[[#This Row],[Shelter NFI Old]]="", tblPiNHistorical[[#This Row],[Shelter NFI Old]]=0, tblPiNHistorical[[#This Row],[Shelter NFI New]]="", tblPiNHistorical[[#This Row],[Shelter NFI New]]=0), "", tblPiNHistorical[[#This Row],[Shelter NFI New]]-tblPiNHistorical[[#This Row],[Shelter NFI Old]])</f>
        <v/>
      </c>
      <c r="AP552" s="138" t="str">
        <f>IF(OR(tblPiNHistorical[[#This Row],[WASH Old]]="", tblPiNHistorical[[#This Row],[WASH Old]]=0, tblPiNHistorical[[#This Row],[WASH New]]="", tblPiNHistorical[[#This Row],[WASH New]]=0), "", tblPiNHistorical[[#This Row],[WASH New]]-tblPiNHistorical[[#This Row],[WASH Old]])</f>
        <v/>
      </c>
      <c r="AQ552" s="139" t="str">
        <f>IFERROR(ROUND((tblPiNHistorical[[#This Row],[Site Management - New]] - tblPiNHistorical[[#This Row],[Site Management - Old]])/tblPiNHistorical[[#This Row],[Site Management - Old]], 1), "")</f>
        <v/>
      </c>
      <c r="AR552" s="140" t="str">
        <f>IFERROR(ROUND((tblPiNHistorical[[#This Row],[Education New]]-tblPiNHistorical[[#This Row],[Education Old]])/tblPiNHistorical[[#This Row],[Education Old]], 1), "")</f>
        <v/>
      </c>
      <c r="AS552" s="141">
        <f>IFERROR(ROUND((tblPiNHistorical[[#This Row],[Food Security and Livlihoods New]]-tblPiNHistorical[[#This Row],[Food Security and Livlihoods Old]])/tblPiNHistorical[[#This Row],[Food Security and Livlihoods Old]], 1), "")</f>
        <v>-1</v>
      </c>
      <c r="AT552" s="142">
        <f>IFERROR(ROUND((tblPiNHistorical[[#This Row],[Health New]]-tblPiNHistorical[[#This Row],[Health Old]])/tblPiNHistorical[[#This Row],[Health Old]], 1), "")</f>
        <v>-1</v>
      </c>
      <c r="AU552" s="140">
        <f>IFERROR(ROUND((tblPiNHistorical[[#This Row],[Nutrition New]]-tblPiNHistorical[[#This Row],[Nutrition Old]])/tblPiNHistorical[[#This Row],[Nutrition Old]], 1), "")</f>
        <v>-1</v>
      </c>
      <c r="AV552" s="140">
        <f>IFERROR(ROUND((tblPiNHistorical[[#This Row],[Protection New]]-tblPiNHistorical[[#This Row],[Protection Old]])/tblPiNHistorical[[#This Row],[Protection Old]], 1), "")</f>
        <v>-1</v>
      </c>
      <c r="AW552" s="84">
        <f>IFERROR(ROUND((tblPiNHistorical[[#This Row],[CP New]]-tblPiNHistorical[[#This Row],[CP Old ]])/tblPiNHistorical[[#This Row],[CP Old ]], 1), "")</f>
        <v>-1</v>
      </c>
      <c r="AX552" s="84">
        <f>IFERROR(ROUND((tblPiNHistorical[[#This Row],[GBV New]]-tblPiNHistorical[[#This Row],[GBV Old]])/tblPiNHistorical[[#This Row],[GBV Old]], 1), "")</f>
        <v>-1</v>
      </c>
      <c r="AY552" s="84" t="str">
        <f>IFERROR(ROUND((tblPiNHistorical[[#This Row],[Mine Action New]]-tblPiNHistorical[[#This Row],[Mine Action Old]])/tblPiNHistorical[[#This Row],[Mine Action Old]], 1), "")</f>
        <v/>
      </c>
      <c r="AZ552" s="140" t="str">
        <f>IFERROR(ROUND((tblPiNHistorical[[#This Row],[Shelter NFI New]]-tblPiNHistorical[[#This Row],[Shelter NFI Old]])/tblPiNHistorical[[#This Row],[Shelter NFI Old]], 1), "")</f>
        <v/>
      </c>
      <c r="BA552" s="31">
        <f>IFERROR(ROUND((tblPiNHistorical[[#This Row],[WASH New]]-tblPiNHistorical[[#This Row],[WASH Old]])/tblPiNHistorical[[#This Row],[WASH Old]], 1), "")</f>
        <v>-1</v>
      </c>
    </row>
    <row r="553" spans="1:53" ht="38.25" x14ac:dyDescent="0.25">
      <c r="A553"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Host CommunitySD18103</v>
      </c>
      <c r="B553" s="134" t="s">
        <v>194</v>
      </c>
      <c r="C553" s="124" t="s">
        <v>135</v>
      </c>
      <c r="D553" s="124" t="s">
        <v>560</v>
      </c>
      <c r="E553" s="59" t="s">
        <v>561</v>
      </c>
      <c r="F553" s="54"/>
      <c r="G553" s="29"/>
      <c r="H553" s="53">
        <v>8230</v>
      </c>
      <c r="I553" s="53" t="s">
        <v>87</v>
      </c>
      <c r="J553" s="34">
        <v>0</v>
      </c>
      <c r="K553" s="116">
        <v>3190.7709999999997</v>
      </c>
      <c r="L553" s="114">
        <v>8230</v>
      </c>
      <c r="M553" s="114">
        <v>8230</v>
      </c>
      <c r="N553" s="114">
        <v>1227</v>
      </c>
      <c r="O553" s="114">
        <v>2171</v>
      </c>
      <c r="P553" s="114">
        <v>905</v>
      </c>
      <c r="Q553" s="114">
        <v>2171</v>
      </c>
      <c r="R553" s="114">
        <v>0</v>
      </c>
      <c r="S553" s="114">
        <v>1646</v>
      </c>
      <c r="T553" s="196">
        <v>7115.6580000000004</v>
      </c>
      <c r="U553" s="52">
        <f>IFERROR(INDEX(tblPiNAnalysis[[Site Management ]], MATCH(tblPiNHistorical[[#This Row],[ID]], tblPiNAnalysis[ID], 0)), "")</f>
        <v>0</v>
      </c>
      <c r="V553" s="52">
        <f>IFERROR(INDEX(tblPiNAnalysis[Education], MATCH(tblPiNHistorical[[#This Row],[ID]], tblPiNAnalysis[ID], 0)), "")</f>
        <v>0</v>
      </c>
      <c r="W553" s="28">
        <f>IFERROR(INDEX(tblPiNAnalysis[Food Security and Livlihoods], MATCH(tblPiNHistorical[[#This Row],[ID]], tblPiNAnalysis[ID], 0)), "")</f>
        <v>0</v>
      </c>
      <c r="X553" s="28">
        <f>IFERROR(INDEX(tblPiNAnalysis[[Health ]], MATCH(tblPiNHistorical[[#This Row],[ID]], tblPiNAnalysis[ID], 0)), "")</f>
        <v>0</v>
      </c>
      <c r="Y553" s="28">
        <f>IFERROR(INDEX(tblPiNAnalysis[Nutrition], MATCH(tblPiNHistorical[[#This Row],[ID]], tblPiNAnalysis[ID], 0)), "")</f>
        <v>0</v>
      </c>
      <c r="Z553" s="28">
        <f>IFERROR(INDEX(tblPiNAnalysis[Protection], MATCH(tblPiNHistorical[[#This Row],[ID]], tblPiNAnalysis[ID], 0)), "")</f>
        <v>0</v>
      </c>
      <c r="AA553" s="28">
        <f>IFERROR(INDEX(tblPiNAnalysis[CP], MATCH(tblPiNHistorical[[#This Row],[ID]], tblPiNAnalysis[ID], 0)), "")</f>
        <v>0</v>
      </c>
      <c r="AB553" s="83">
        <f>IFERROR(INDEX(tblPiNAnalysis[GBV], MATCH(tblPiNHistorical[[#This Row],[ID]], tblPiNAnalysis[ID], 0)), "")</f>
        <v>0</v>
      </c>
      <c r="AC553" s="28">
        <f>IFERROR(INDEX(tblPiNAnalysis[Mine Action], MATCH(tblPiNHistorical[[#This Row],[ID]], tblPiNAnalysis[ID], 0)), "")</f>
        <v>0</v>
      </c>
      <c r="AD553" s="83">
        <f>IFERROR(INDEX(tblPiNAnalysis[[Shelter NFI ]], MATCH(tblPiNHistorical[[#This Row],[ID]], tblPiNAnalysis[ID], 0)), "")</f>
        <v>15597</v>
      </c>
      <c r="AE553" s="28">
        <f>IFERROR(INDEX(tblPiNAnalysis[WASH], MATCH(tblPiNHistorical[[#This Row],[ID]], tblPiNAnalysis[ID], 0)), "")</f>
        <v>0</v>
      </c>
      <c r="AF553"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553" s="136" t="str">
        <f>IF(OR(tblPiNHistorical[[#This Row],[Education Old]]="", tblPiNHistorical[[#This Row],[Education Old]]=0, tblPiNHistorical[[#This Row],[Education New]]="", tblPiNHistorical[[#This Row],[Education New]]=0), "", tblPiNHistorical[[#This Row],[Education New]]-tblPiNHistorical[[#This Row],[Education Old]])</f>
        <v/>
      </c>
      <c r="AH553"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553" s="137" t="str">
        <f>IF(OR(tblPiNHistorical[[#This Row],[Health Old]]="", tblPiNHistorical[[#This Row],[Health Old]]=0, tblPiNHistorical[[#This Row],[Health New]]="", tblPiNHistorical[[#This Row],[Health New]]=0), "", tblPiNHistorical[[#This Row],[Health New]]-tblPiNHistorical[[#This Row],[Health Old]])</f>
        <v/>
      </c>
      <c r="AJ553" s="136" t="str">
        <f>IF(OR(tblPiNHistorical[[#This Row],[Nutrition Old]]="", tblPiNHistorical[[#This Row],[Nutrition Old]]=0, tblPiNHistorical[[#This Row],[Nutrition New]]="", tblPiNHistorical[[#This Row],[Nutrition New]]=0), "", tblPiNHistorical[[#This Row],[Nutrition New]]-tblPiNHistorical[[#This Row],[Nutrition Old]])</f>
        <v/>
      </c>
      <c r="AK553" s="136" t="str">
        <f>IF(OR(tblPiNHistorical[[#This Row],[Protection Old]]="", tblPiNHistorical[[#This Row],[Protection Old]]=0, tblPiNHistorical[[#This Row],[Protection New]]="", tblPiNHistorical[[#This Row],[Protection New]]=0), "", tblPiNHistorical[[#This Row],[Protection New]]-tblPiNHistorical[[#This Row],[Protection Old]])</f>
        <v/>
      </c>
      <c r="AL553" s="136" t="str">
        <f>IF(OR(tblPiNHistorical[[#This Row],[CP Old ]]="", tblPiNHistorical[[#This Row],[CP Old ]]=0, tblPiNHistorical[[#This Row],[CP New]]="", tblPiNHistorical[[#This Row],[CP New]]=0), "", tblPiNHistorical[[#This Row],[CP New]]-tblPiNHistorical[[#This Row],[CP Old ]])</f>
        <v/>
      </c>
      <c r="AM553" s="83" t="str">
        <f>IF(OR(tblPiNHistorical[[#This Row],[GBV Old]]="", tblPiNHistorical[[#This Row],[GBV Old]]=0, tblPiNHistorical[[#This Row],[GBV New]]="", tblPiNHistorical[[#This Row],[GBV New]]=0), "", tblPiNHistorical[[#This Row],[GBV New]]-tblPiNHistorical[[#This Row],[GBV Old]])</f>
        <v/>
      </c>
      <c r="AN553" s="83" t="str">
        <f>IF(OR(tblPiNHistorical[[#This Row],[Mine Action Old]]="", tblPiNHistorical[[#This Row],[Mine Action Old]]=0, tblPiNHistorical[[#This Row],[Mine Action New]]="", tblPiNHistorical[[#This Row],[Mine Action New]]=0), "", tblPiNHistorical[[#This Row],[Mine Action New]]-tblPiNHistorical[[#This Row],[Mine Action Old]])</f>
        <v/>
      </c>
      <c r="AO553" s="136">
        <f>IF(OR(tblPiNHistorical[[#This Row],[Shelter NFI Old]]="", tblPiNHistorical[[#This Row],[Shelter NFI Old]]=0, tblPiNHistorical[[#This Row],[Shelter NFI New]]="", tblPiNHistorical[[#This Row],[Shelter NFI New]]=0), "", tblPiNHistorical[[#This Row],[Shelter NFI New]]-tblPiNHistorical[[#This Row],[Shelter NFI Old]])</f>
        <v>13951</v>
      </c>
      <c r="AP553" s="138" t="str">
        <f>IF(OR(tblPiNHistorical[[#This Row],[WASH Old]]="", tblPiNHistorical[[#This Row],[WASH Old]]=0, tblPiNHistorical[[#This Row],[WASH New]]="", tblPiNHistorical[[#This Row],[WASH New]]=0), "", tblPiNHistorical[[#This Row],[WASH New]]-tblPiNHistorical[[#This Row],[WASH Old]])</f>
        <v/>
      </c>
      <c r="AQ553" s="139" t="str">
        <f>IFERROR(ROUND((tblPiNHistorical[[#This Row],[Site Management - New]] - tblPiNHistorical[[#This Row],[Site Management - Old]])/tblPiNHistorical[[#This Row],[Site Management - Old]], 1), "")</f>
        <v/>
      </c>
      <c r="AR553" s="140">
        <f>IFERROR(ROUND((tblPiNHistorical[[#This Row],[Education New]]-tblPiNHistorical[[#This Row],[Education Old]])/tblPiNHistorical[[#This Row],[Education Old]], 1), "")</f>
        <v>-1</v>
      </c>
      <c r="AS553" s="141">
        <f>IFERROR(ROUND((tblPiNHistorical[[#This Row],[Food Security and Livlihoods New]]-tblPiNHistorical[[#This Row],[Food Security and Livlihoods Old]])/tblPiNHistorical[[#This Row],[Food Security and Livlihoods Old]], 1), "")</f>
        <v>-1</v>
      </c>
      <c r="AT553" s="142">
        <f>IFERROR(ROUND((tblPiNHistorical[[#This Row],[Health New]]-tblPiNHistorical[[#This Row],[Health Old]])/tblPiNHistorical[[#This Row],[Health Old]], 1), "")</f>
        <v>-1</v>
      </c>
      <c r="AU553" s="140">
        <f>IFERROR(ROUND((tblPiNHistorical[[#This Row],[Nutrition New]]-tblPiNHistorical[[#This Row],[Nutrition Old]])/tblPiNHistorical[[#This Row],[Nutrition Old]], 1), "")</f>
        <v>-1</v>
      </c>
      <c r="AV553" s="140">
        <f>IFERROR(ROUND((tblPiNHistorical[[#This Row],[Protection New]]-tblPiNHistorical[[#This Row],[Protection Old]])/tblPiNHistorical[[#This Row],[Protection Old]], 1), "")</f>
        <v>-1</v>
      </c>
      <c r="AW553" s="84">
        <f>IFERROR(ROUND((tblPiNHistorical[[#This Row],[CP New]]-tblPiNHistorical[[#This Row],[CP Old ]])/tblPiNHistorical[[#This Row],[CP Old ]], 1), "")</f>
        <v>-1</v>
      </c>
      <c r="AX553" s="84">
        <f>IFERROR(ROUND((tblPiNHistorical[[#This Row],[GBV New]]-tblPiNHistorical[[#This Row],[GBV Old]])/tblPiNHistorical[[#This Row],[GBV Old]], 1), "")</f>
        <v>-1</v>
      </c>
      <c r="AY553" s="84" t="str">
        <f>IFERROR(ROUND((tblPiNHistorical[[#This Row],[Mine Action New]]-tblPiNHistorical[[#This Row],[Mine Action Old]])/tblPiNHistorical[[#This Row],[Mine Action Old]], 1), "")</f>
        <v/>
      </c>
      <c r="AZ553" s="140">
        <f>IFERROR(ROUND((tblPiNHistorical[[#This Row],[Shelter NFI New]]-tblPiNHistorical[[#This Row],[Shelter NFI Old]])/tblPiNHistorical[[#This Row],[Shelter NFI Old]], 1), "")</f>
        <v>8.5</v>
      </c>
      <c r="BA553" s="31">
        <f>IFERROR(ROUND((tblPiNHistorical[[#This Row],[WASH New]]-tblPiNHistorical[[#This Row],[WASH Old]])/tblPiNHistorical[[#This Row],[WASH Old]], 1), "")</f>
        <v>-1</v>
      </c>
    </row>
    <row r="554" spans="1:53" ht="38.25" x14ac:dyDescent="0.25">
      <c r="A554"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Host CommunitySD18104</v>
      </c>
      <c r="B554" s="134" t="s">
        <v>194</v>
      </c>
      <c r="C554" s="124" t="s">
        <v>135</v>
      </c>
      <c r="D554" s="124" t="s">
        <v>562</v>
      </c>
      <c r="E554" s="59" t="s">
        <v>563</v>
      </c>
      <c r="F554" s="54"/>
      <c r="G554" s="29"/>
      <c r="H554" s="53">
        <v>34635</v>
      </c>
      <c r="I554" s="53" t="s">
        <v>87</v>
      </c>
      <c r="J554" s="34">
        <v>0</v>
      </c>
      <c r="K554" s="116">
        <v>0</v>
      </c>
      <c r="L554" s="114">
        <v>34635</v>
      </c>
      <c r="M554" s="114">
        <v>34635</v>
      </c>
      <c r="N554" s="114">
        <v>2801</v>
      </c>
      <c r="O554" s="114">
        <v>9140</v>
      </c>
      <c r="P554" s="114">
        <v>3810</v>
      </c>
      <c r="Q554" s="114">
        <v>9140</v>
      </c>
      <c r="R554" s="114">
        <v>0</v>
      </c>
      <c r="S554" s="114">
        <v>6927</v>
      </c>
      <c r="T554" s="196">
        <v>32293.673999999995</v>
      </c>
      <c r="U554" s="52">
        <f>IFERROR(INDEX(tblPiNAnalysis[[Site Management ]], MATCH(tblPiNHistorical[[#This Row],[ID]], tblPiNAnalysis[ID], 0)), "")</f>
        <v>0</v>
      </c>
      <c r="V554" s="52">
        <f>IFERROR(INDEX(tblPiNAnalysis[Education], MATCH(tblPiNHistorical[[#This Row],[ID]], tblPiNAnalysis[ID], 0)), "")</f>
        <v>0</v>
      </c>
      <c r="W554" s="28">
        <f>IFERROR(INDEX(tblPiNAnalysis[Food Security and Livlihoods], MATCH(tblPiNHistorical[[#This Row],[ID]], tblPiNAnalysis[ID], 0)), "")</f>
        <v>0</v>
      </c>
      <c r="X554" s="28">
        <f>IFERROR(INDEX(tblPiNAnalysis[[Health ]], MATCH(tblPiNHistorical[[#This Row],[ID]], tblPiNAnalysis[ID], 0)), "")</f>
        <v>0</v>
      </c>
      <c r="Y554" s="28">
        <f>IFERROR(INDEX(tblPiNAnalysis[Nutrition], MATCH(tblPiNHistorical[[#This Row],[ID]], tblPiNAnalysis[ID], 0)), "")</f>
        <v>0</v>
      </c>
      <c r="Z554" s="28">
        <f>IFERROR(INDEX(tblPiNAnalysis[Protection], MATCH(tblPiNHistorical[[#This Row],[ID]], tblPiNAnalysis[ID], 0)), "")</f>
        <v>0</v>
      </c>
      <c r="AA554" s="28">
        <f>IFERROR(INDEX(tblPiNAnalysis[CP], MATCH(tblPiNHistorical[[#This Row],[ID]], tblPiNAnalysis[ID], 0)), "")</f>
        <v>0</v>
      </c>
      <c r="AB554" s="83">
        <f>IFERROR(INDEX(tblPiNAnalysis[GBV], MATCH(tblPiNHistorical[[#This Row],[ID]], tblPiNAnalysis[ID], 0)), "")</f>
        <v>0</v>
      </c>
      <c r="AC554" s="28">
        <f>IFERROR(INDEX(tblPiNAnalysis[Mine Action], MATCH(tblPiNHistorical[[#This Row],[ID]], tblPiNAnalysis[ID], 0)), "")</f>
        <v>0</v>
      </c>
      <c r="AD554" s="83">
        <f>IFERROR(INDEX(tblPiNAnalysis[[Shelter NFI ]], MATCH(tblPiNHistorical[[#This Row],[ID]], tblPiNAnalysis[ID], 0)), "")</f>
        <v>24533</v>
      </c>
      <c r="AE554" s="28">
        <f>IFERROR(INDEX(tblPiNAnalysis[WASH], MATCH(tblPiNHistorical[[#This Row],[ID]], tblPiNAnalysis[ID], 0)), "")</f>
        <v>0</v>
      </c>
      <c r="AF554"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554" s="136" t="str">
        <f>IF(OR(tblPiNHistorical[[#This Row],[Education Old]]="", tblPiNHistorical[[#This Row],[Education Old]]=0, tblPiNHistorical[[#This Row],[Education New]]="", tblPiNHistorical[[#This Row],[Education New]]=0), "", tblPiNHistorical[[#This Row],[Education New]]-tblPiNHistorical[[#This Row],[Education Old]])</f>
        <v/>
      </c>
      <c r="AH554"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554" s="137" t="str">
        <f>IF(OR(tblPiNHistorical[[#This Row],[Health Old]]="", tblPiNHistorical[[#This Row],[Health Old]]=0, tblPiNHistorical[[#This Row],[Health New]]="", tblPiNHistorical[[#This Row],[Health New]]=0), "", tblPiNHistorical[[#This Row],[Health New]]-tblPiNHistorical[[#This Row],[Health Old]])</f>
        <v/>
      </c>
      <c r="AJ554" s="136" t="str">
        <f>IF(OR(tblPiNHistorical[[#This Row],[Nutrition Old]]="", tblPiNHistorical[[#This Row],[Nutrition Old]]=0, tblPiNHistorical[[#This Row],[Nutrition New]]="", tblPiNHistorical[[#This Row],[Nutrition New]]=0), "", tblPiNHistorical[[#This Row],[Nutrition New]]-tblPiNHistorical[[#This Row],[Nutrition Old]])</f>
        <v/>
      </c>
      <c r="AK554" s="136" t="str">
        <f>IF(OR(tblPiNHistorical[[#This Row],[Protection Old]]="", tblPiNHistorical[[#This Row],[Protection Old]]=0, tblPiNHistorical[[#This Row],[Protection New]]="", tblPiNHistorical[[#This Row],[Protection New]]=0), "", tblPiNHistorical[[#This Row],[Protection New]]-tblPiNHistorical[[#This Row],[Protection Old]])</f>
        <v/>
      </c>
      <c r="AL554" s="136" t="str">
        <f>IF(OR(tblPiNHistorical[[#This Row],[CP Old ]]="", tblPiNHistorical[[#This Row],[CP Old ]]=0, tblPiNHistorical[[#This Row],[CP New]]="", tblPiNHistorical[[#This Row],[CP New]]=0), "", tblPiNHistorical[[#This Row],[CP New]]-tblPiNHistorical[[#This Row],[CP Old ]])</f>
        <v/>
      </c>
      <c r="AM554" s="83" t="str">
        <f>IF(OR(tblPiNHistorical[[#This Row],[GBV Old]]="", tblPiNHistorical[[#This Row],[GBV Old]]=0, tblPiNHistorical[[#This Row],[GBV New]]="", tblPiNHistorical[[#This Row],[GBV New]]=0), "", tblPiNHistorical[[#This Row],[GBV New]]-tblPiNHistorical[[#This Row],[GBV Old]])</f>
        <v/>
      </c>
      <c r="AN554" s="83" t="str">
        <f>IF(OR(tblPiNHistorical[[#This Row],[Mine Action Old]]="", tblPiNHistorical[[#This Row],[Mine Action Old]]=0, tblPiNHistorical[[#This Row],[Mine Action New]]="", tblPiNHistorical[[#This Row],[Mine Action New]]=0), "", tblPiNHistorical[[#This Row],[Mine Action New]]-tblPiNHistorical[[#This Row],[Mine Action Old]])</f>
        <v/>
      </c>
      <c r="AO554" s="136">
        <f>IF(OR(tblPiNHistorical[[#This Row],[Shelter NFI Old]]="", tblPiNHistorical[[#This Row],[Shelter NFI Old]]=0, tblPiNHistorical[[#This Row],[Shelter NFI New]]="", tblPiNHistorical[[#This Row],[Shelter NFI New]]=0), "", tblPiNHistorical[[#This Row],[Shelter NFI New]]-tblPiNHistorical[[#This Row],[Shelter NFI Old]])</f>
        <v>17606</v>
      </c>
      <c r="AP554" s="138" t="str">
        <f>IF(OR(tblPiNHistorical[[#This Row],[WASH Old]]="", tblPiNHistorical[[#This Row],[WASH Old]]=0, tblPiNHistorical[[#This Row],[WASH New]]="", tblPiNHistorical[[#This Row],[WASH New]]=0), "", tblPiNHistorical[[#This Row],[WASH New]]-tblPiNHistorical[[#This Row],[WASH Old]])</f>
        <v/>
      </c>
      <c r="AQ554" s="139" t="str">
        <f>IFERROR(ROUND((tblPiNHistorical[[#This Row],[Site Management - New]] - tblPiNHistorical[[#This Row],[Site Management - Old]])/tblPiNHistorical[[#This Row],[Site Management - Old]], 1), "")</f>
        <v/>
      </c>
      <c r="AR554" s="140" t="str">
        <f>IFERROR(ROUND((tblPiNHistorical[[#This Row],[Education New]]-tblPiNHistorical[[#This Row],[Education Old]])/tblPiNHistorical[[#This Row],[Education Old]], 1), "")</f>
        <v/>
      </c>
      <c r="AS554" s="141">
        <f>IFERROR(ROUND((tblPiNHistorical[[#This Row],[Food Security and Livlihoods New]]-tblPiNHistorical[[#This Row],[Food Security and Livlihoods Old]])/tblPiNHistorical[[#This Row],[Food Security and Livlihoods Old]], 1), "")</f>
        <v>-1</v>
      </c>
      <c r="AT554" s="142">
        <f>IFERROR(ROUND((tblPiNHistorical[[#This Row],[Health New]]-tblPiNHistorical[[#This Row],[Health Old]])/tblPiNHistorical[[#This Row],[Health Old]], 1), "")</f>
        <v>-1</v>
      </c>
      <c r="AU554" s="140">
        <f>IFERROR(ROUND((tblPiNHistorical[[#This Row],[Nutrition New]]-tblPiNHistorical[[#This Row],[Nutrition Old]])/tblPiNHistorical[[#This Row],[Nutrition Old]], 1), "")</f>
        <v>-1</v>
      </c>
      <c r="AV554" s="140">
        <f>IFERROR(ROUND((tblPiNHistorical[[#This Row],[Protection New]]-tblPiNHistorical[[#This Row],[Protection Old]])/tblPiNHistorical[[#This Row],[Protection Old]], 1), "")</f>
        <v>-1</v>
      </c>
      <c r="AW554" s="84">
        <f>IFERROR(ROUND((tblPiNHistorical[[#This Row],[CP New]]-tblPiNHistorical[[#This Row],[CP Old ]])/tblPiNHistorical[[#This Row],[CP Old ]], 1), "")</f>
        <v>-1</v>
      </c>
      <c r="AX554" s="84">
        <f>IFERROR(ROUND((tblPiNHistorical[[#This Row],[GBV New]]-tblPiNHistorical[[#This Row],[GBV Old]])/tblPiNHistorical[[#This Row],[GBV Old]], 1), "")</f>
        <v>-1</v>
      </c>
      <c r="AY554" s="84" t="str">
        <f>IFERROR(ROUND((tblPiNHistorical[[#This Row],[Mine Action New]]-tblPiNHistorical[[#This Row],[Mine Action Old]])/tblPiNHistorical[[#This Row],[Mine Action Old]], 1), "")</f>
        <v/>
      </c>
      <c r="AZ554" s="140">
        <f>IFERROR(ROUND((tblPiNHistorical[[#This Row],[Shelter NFI New]]-tblPiNHistorical[[#This Row],[Shelter NFI Old]])/tblPiNHistorical[[#This Row],[Shelter NFI Old]], 1), "")</f>
        <v>2.5</v>
      </c>
      <c r="BA554" s="31">
        <f>IFERROR(ROUND((tblPiNHistorical[[#This Row],[WASH New]]-tblPiNHistorical[[#This Row],[WASH Old]])/tblPiNHistorical[[#This Row],[WASH Old]], 1), "")</f>
        <v>-1</v>
      </c>
    </row>
    <row r="555" spans="1:53" ht="38.25" x14ac:dyDescent="0.25">
      <c r="A555"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Host CommunitySD18105</v>
      </c>
      <c r="B555" s="134" t="s">
        <v>194</v>
      </c>
      <c r="C555" s="124" t="s">
        <v>135</v>
      </c>
      <c r="D555" s="124" t="s">
        <v>564</v>
      </c>
      <c r="E555" s="59" t="s">
        <v>565</v>
      </c>
      <c r="F555" s="54"/>
      <c r="G555" s="29"/>
      <c r="H555" s="53">
        <v>4108</v>
      </c>
      <c r="I555" s="53" t="s">
        <v>87</v>
      </c>
      <c r="J555" s="34">
        <v>0</v>
      </c>
      <c r="K555" s="116">
        <v>1592.6715999999999</v>
      </c>
      <c r="L555" s="114">
        <v>4108</v>
      </c>
      <c r="M555" s="114">
        <v>4108</v>
      </c>
      <c r="N555" s="114">
        <v>345</v>
      </c>
      <c r="O555" s="114">
        <v>1083</v>
      </c>
      <c r="P555" s="114">
        <v>452</v>
      </c>
      <c r="Q555" s="114">
        <v>1083</v>
      </c>
      <c r="R555" s="114">
        <v>0</v>
      </c>
      <c r="S555" s="114">
        <v>0</v>
      </c>
      <c r="T555" s="196">
        <v>2237.6275999999998</v>
      </c>
      <c r="U555" s="52">
        <f>IFERROR(INDEX(tblPiNAnalysis[[Site Management ]], MATCH(tblPiNHistorical[[#This Row],[ID]], tblPiNAnalysis[ID], 0)), "")</f>
        <v>0</v>
      </c>
      <c r="V555" s="52">
        <f>IFERROR(INDEX(tblPiNAnalysis[Education], MATCH(tblPiNHistorical[[#This Row],[ID]], tblPiNAnalysis[ID], 0)), "")</f>
        <v>0</v>
      </c>
      <c r="W555" s="28">
        <f>IFERROR(INDEX(tblPiNAnalysis[Food Security and Livlihoods], MATCH(tblPiNHistorical[[#This Row],[ID]], tblPiNAnalysis[ID], 0)), "")</f>
        <v>0</v>
      </c>
      <c r="X555" s="28">
        <f>IFERROR(INDEX(tblPiNAnalysis[[Health ]], MATCH(tblPiNHistorical[[#This Row],[ID]], tblPiNAnalysis[ID], 0)), "")</f>
        <v>0</v>
      </c>
      <c r="Y555" s="28">
        <f>IFERROR(INDEX(tblPiNAnalysis[Nutrition], MATCH(tblPiNHistorical[[#This Row],[ID]], tblPiNAnalysis[ID], 0)), "")</f>
        <v>0</v>
      </c>
      <c r="Z555" s="28">
        <f>IFERROR(INDEX(tblPiNAnalysis[Protection], MATCH(tblPiNHistorical[[#This Row],[ID]], tblPiNAnalysis[ID], 0)), "")</f>
        <v>0</v>
      </c>
      <c r="AA555" s="28">
        <f>IFERROR(INDEX(tblPiNAnalysis[CP], MATCH(tblPiNHistorical[[#This Row],[ID]], tblPiNAnalysis[ID], 0)), "")</f>
        <v>0</v>
      </c>
      <c r="AB555" s="83">
        <f>IFERROR(INDEX(tblPiNAnalysis[GBV], MATCH(tblPiNHistorical[[#This Row],[ID]], tblPiNAnalysis[ID], 0)), "")</f>
        <v>0</v>
      </c>
      <c r="AC555" s="28">
        <f>IFERROR(INDEX(tblPiNAnalysis[Mine Action], MATCH(tblPiNHistorical[[#This Row],[ID]], tblPiNAnalysis[ID], 0)), "")</f>
        <v>0</v>
      </c>
      <c r="AD555" s="83">
        <f>IFERROR(INDEX(tblPiNAnalysis[[Shelter NFI ]], MATCH(tblPiNHistorical[[#This Row],[ID]], tblPiNAnalysis[ID], 0)), "")</f>
        <v>1754</v>
      </c>
      <c r="AE555" s="28">
        <f>IFERROR(INDEX(tblPiNAnalysis[WASH], MATCH(tblPiNHistorical[[#This Row],[ID]], tblPiNAnalysis[ID], 0)), "")</f>
        <v>0</v>
      </c>
      <c r="AF555"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555" s="136" t="str">
        <f>IF(OR(tblPiNHistorical[[#This Row],[Education Old]]="", tblPiNHistorical[[#This Row],[Education Old]]=0, tblPiNHistorical[[#This Row],[Education New]]="", tblPiNHistorical[[#This Row],[Education New]]=0), "", tblPiNHistorical[[#This Row],[Education New]]-tblPiNHistorical[[#This Row],[Education Old]])</f>
        <v/>
      </c>
      <c r="AH555"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555" s="137" t="str">
        <f>IF(OR(tblPiNHistorical[[#This Row],[Health Old]]="", tblPiNHistorical[[#This Row],[Health Old]]=0, tblPiNHistorical[[#This Row],[Health New]]="", tblPiNHistorical[[#This Row],[Health New]]=0), "", tblPiNHistorical[[#This Row],[Health New]]-tblPiNHistorical[[#This Row],[Health Old]])</f>
        <v/>
      </c>
      <c r="AJ555" s="136" t="str">
        <f>IF(OR(tblPiNHistorical[[#This Row],[Nutrition Old]]="", tblPiNHistorical[[#This Row],[Nutrition Old]]=0, tblPiNHistorical[[#This Row],[Nutrition New]]="", tblPiNHistorical[[#This Row],[Nutrition New]]=0), "", tblPiNHistorical[[#This Row],[Nutrition New]]-tblPiNHistorical[[#This Row],[Nutrition Old]])</f>
        <v/>
      </c>
      <c r="AK555" s="136" t="str">
        <f>IF(OR(tblPiNHistorical[[#This Row],[Protection Old]]="", tblPiNHistorical[[#This Row],[Protection Old]]=0, tblPiNHistorical[[#This Row],[Protection New]]="", tblPiNHistorical[[#This Row],[Protection New]]=0), "", tblPiNHistorical[[#This Row],[Protection New]]-tblPiNHistorical[[#This Row],[Protection Old]])</f>
        <v/>
      </c>
      <c r="AL555" s="136" t="str">
        <f>IF(OR(tblPiNHistorical[[#This Row],[CP Old ]]="", tblPiNHistorical[[#This Row],[CP Old ]]=0, tblPiNHistorical[[#This Row],[CP New]]="", tblPiNHistorical[[#This Row],[CP New]]=0), "", tblPiNHistorical[[#This Row],[CP New]]-tblPiNHistorical[[#This Row],[CP Old ]])</f>
        <v/>
      </c>
      <c r="AM555" s="83" t="str">
        <f>IF(OR(tblPiNHistorical[[#This Row],[GBV Old]]="", tblPiNHistorical[[#This Row],[GBV Old]]=0, tblPiNHistorical[[#This Row],[GBV New]]="", tblPiNHistorical[[#This Row],[GBV New]]=0), "", tblPiNHistorical[[#This Row],[GBV New]]-tblPiNHistorical[[#This Row],[GBV Old]])</f>
        <v/>
      </c>
      <c r="AN555" s="83" t="str">
        <f>IF(OR(tblPiNHistorical[[#This Row],[Mine Action Old]]="", tblPiNHistorical[[#This Row],[Mine Action Old]]=0, tblPiNHistorical[[#This Row],[Mine Action New]]="", tblPiNHistorical[[#This Row],[Mine Action New]]=0), "", tblPiNHistorical[[#This Row],[Mine Action New]]-tblPiNHistorical[[#This Row],[Mine Action Old]])</f>
        <v/>
      </c>
      <c r="AO555" s="136" t="str">
        <f>IF(OR(tblPiNHistorical[[#This Row],[Shelter NFI Old]]="", tblPiNHistorical[[#This Row],[Shelter NFI Old]]=0, tblPiNHistorical[[#This Row],[Shelter NFI New]]="", tblPiNHistorical[[#This Row],[Shelter NFI New]]=0), "", tblPiNHistorical[[#This Row],[Shelter NFI New]]-tblPiNHistorical[[#This Row],[Shelter NFI Old]])</f>
        <v/>
      </c>
      <c r="AP555" s="138" t="str">
        <f>IF(OR(tblPiNHistorical[[#This Row],[WASH Old]]="", tblPiNHistorical[[#This Row],[WASH Old]]=0, tblPiNHistorical[[#This Row],[WASH New]]="", tblPiNHistorical[[#This Row],[WASH New]]=0), "", tblPiNHistorical[[#This Row],[WASH New]]-tblPiNHistorical[[#This Row],[WASH Old]])</f>
        <v/>
      </c>
      <c r="AQ555" s="139" t="str">
        <f>IFERROR(ROUND((tblPiNHistorical[[#This Row],[Site Management - New]] - tblPiNHistorical[[#This Row],[Site Management - Old]])/tblPiNHistorical[[#This Row],[Site Management - Old]], 1), "")</f>
        <v/>
      </c>
      <c r="AR555" s="140">
        <f>IFERROR(ROUND((tblPiNHistorical[[#This Row],[Education New]]-tblPiNHistorical[[#This Row],[Education Old]])/tblPiNHistorical[[#This Row],[Education Old]], 1), "")</f>
        <v>-1</v>
      </c>
      <c r="AS555" s="141">
        <f>IFERROR(ROUND((tblPiNHistorical[[#This Row],[Food Security and Livlihoods New]]-tblPiNHistorical[[#This Row],[Food Security and Livlihoods Old]])/tblPiNHistorical[[#This Row],[Food Security and Livlihoods Old]], 1), "")</f>
        <v>-1</v>
      </c>
      <c r="AT555" s="142">
        <f>IFERROR(ROUND((tblPiNHistorical[[#This Row],[Health New]]-tblPiNHistorical[[#This Row],[Health Old]])/tblPiNHistorical[[#This Row],[Health Old]], 1), "")</f>
        <v>-1</v>
      </c>
      <c r="AU555" s="140">
        <f>IFERROR(ROUND((tblPiNHistorical[[#This Row],[Nutrition New]]-tblPiNHistorical[[#This Row],[Nutrition Old]])/tblPiNHistorical[[#This Row],[Nutrition Old]], 1), "")</f>
        <v>-1</v>
      </c>
      <c r="AV555" s="140">
        <f>IFERROR(ROUND((tblPiNHistorical[[#This Row],[Protection New]]-tblPiNHistorical[[#This Row],[Protection Old]])/tblPiNHistorical[[#This Row],[Protection Old]], 1), "")</f>
        <v>-1</v>
      </c>
      <c r="AW555" s="84">
        <f>IFERROR(ROUND((tblPiNHistorical[[#This Row],[CP New]]-tblPiNHistorical[[#This Row],[CP Old ]])/tblPiNHistorical[[#This Row],[CP Old ]], 1), "")</f>
        <v>-1</v>
      </c>
      <c r="AX555" s="84">
        <f>IFERROR(ROUND((tblPiNHistorical[[#This Row],[GBV New]]-tblPiNHistorical[[#This Row],[GBV Old]])/tblPiNHistorical[[#This Row],[GBV Old]], 1), "")</f>
        <v>-1</v>
      </c>
      <c r="AY555" s="84" t="str">
        <f>IFERROR(ROUND((tblPiNHistorical[[#This Row],[Mine Action New]]-tblPiNHistorical[[#This Row],[Mine Action Old]])/tblPiNHistorical[[#This Row],[Mine Action Old]], 1), "")</f>
        <v/>
      </c>
      <c r="AZ555" s="140" t="str">
        <f>IFERROR(ROUND((tblPiNHistorical[[#This Row],[Shelter NFI New]]-tblPiNHistorical[[#This Row],[Shelter NFI Old]])/tblPiNHistorical[[#This Row],[Shelter NFI Old]], 1), "")</f>
        <v/>
      </c>
      <c r="BA555" s="31">
        <f>IFERROR(ROUND((tblPiNHistorical[[#This Row],[WASH New]]-tblPiNHistorical[[#This Row],[WASH Old]])/tblPiNHistorical[[#This Row],[WASH Old]], 1), "")</f>
        <v>-1</v>
      </c>
    </row>
    <row r="556" spans="1:53" ht="38.25" x14ac:dyDescent="0.25">
      <c r="A556"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Host CommunitySD18102</v>
      </c>
      <c r="B556" s="134" t="s">
        <v>194</v>
      </c>
      <c r="C556" s="124" t="s">
        <v>135</v>
      </c>
      <c r="D556" s="124" t="s">
        <v>558</v>
      </c>
      <c r="E556" s="59" t="s">
        <v>559</v>
      </c>
      <c r="F556" s="54"/>
      <c r="G556" s="29"/>
      <c r="H556" s="53">
        <v>21878</v>
      </c>
      <c r="I556" s="53" t="s">
        <v>87</v>
      </c>
      <c r="J556" s="34">
        <v>0</v>
      </c>
      <c r="K556" s="116">
        <v>8482.1005999999998</v>
      </c>
      <c r="L556" s="114">
        <v>21878</v>
      </c>
      <c r="M556" s="114">
        <v>21878</v>
      </c>
      <c r="N556" s="114">
        <v>2234</v>
      </c>
      <c r="O556" s="114">
        <v>5773</v>
      </c>
      <c r="P556" s="114">
        <v>2407</v>
      </c>
      <c r="Q556" s="114">
        <v>5773</v>
      </c>
      <c r="R556" s="114">
        <v>2187.8000000000002</v>
      </c>
      <c r="S556" s="114">
        <v>4376</v>
      </c>
      <c r="T556" s="196">
        <v>21438.252199999999</v>
      </c>
      <c r="U556" s="52">
        <f>IFERROR(INDEX(tblPiNAnalysis[[Site Management ]], MATCH(tblPiNHistorical[[#This Row],[ID]], tblPiNAnalysis[ID], 0)), "")</f>
        <v>0</v>
      </c>
      <c r="V556" s="52">
        <f>IFERROR(INDEX(tblPiNAnalysis[Education], MATCH(tblPiNHistorical[[#This Row],[ID]], tblPiNAnalysis[ID], 0)), "")</f>
        <v>0</v>
      </c>
      <c r="W556" s="28">
        <f>IFERROR(INDEX(tblPiNAnalysis[Food Security and Livlihoods], MATCH(tblPiNHistorical[[#This Row],[ID]], tblPiNAnalysis[ID], 0)), "")</f>
        <v>0</v>
      </c>
      <c r="X556" s="28">
        <f>IFERROR(INDEX(tblPiNAnalysis[[Health ]], MATCH(tblPiNHistorical[[#This Row],[ID]], tblPiNAnalysis[ID], 0)), "")</f>
        <v>0</v>
      </c>
      <c r="Y556" s="28">
        <f>IFERROR(INDEX(tblPiNAnalysis[Nutrition], MATCH(tblPiNHistorical[[#This Row],[ID]], tblPiNAnalysis[ID], 0)), "")</f>
        <v>0</v>
      </c>
      <c r="Z556" s="28">
        <f>IFERROR(INDEX(tblPiNAnalysis[Protection], MATCH(tblPiNHistorical[[#This Row],[ID]], tblPiNAnalysis[ID], 0)), "")</f>
        <v>0</v>
      </c>
      <c r="AA556" s="28">
        <f>IFERROR(INDEX(tblPiNAnalysis[CP], MATCH(tblPiNHistorical[[#This Row],[ID]], tblPiNAnalysis[ID], 0)), "")</f>
        <v>0</v>
      </c>
      <c r="AB556" s="83">
        <f>IFERROR(INDEX(tblPiNAnalysis[GBV], MATCH(tblPiNHistorical[[#This Row],[ID]], tblPiNAnalysis[ID], 0)), "")</f>
        <v>0</v>
      </c>
      <c r="AC556" s="28">
        <f>IFERROR(INDEX(tblPiNAnalysis[Mine Action], MATCH(tblPiNHistorical[[#This Row],[ID]], tblPiNAnalysis[ID], 0)), "")</f>
        <v>0</v>
      </c>
      <c r="AD556" s="83">
        <f>IFERROR(INDEX(tblPiNAnalysis[[Shelter NFI ]], MATCH(tblPiNHistorical[[#This Row],[ID]], tblPiNAnalysis[ID], 0)), "")</f>
        <v>15338</v>
      </c>
      <c r="AE556" s="28">
        <f>IFERROR(INDEX(tblPiNAnalysis[WASH], MATCH(tblPiNHistorical[[#This Row],[ID]], tblPiNAnalysis[ID], 0)), "")</f>
        <v>0</v>
      </c>
      <c r="AF556"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556" s="136" t="str">
        <f>IF(OR(tblPiNHistorical[[#This Row],[Education Old]]="", tblPiNHistorical[[#This Row],[Education Old]]=0, tblPiNHistorical[[#This Row],[Education New]]="", tblPiNHistorical[[#This Row],[Education New]]=0), "", tblPiNHistorical[[#This Row],[Education New]]-tblPiNHistorical[[#This Row],[Education Old]])</f>
        <v/>
      </c>
      <c r="AH556"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556" s="137" t="str">
        <f>IF(OR(tblPiNHistorical[[#This Row],[Health Old]]="", tblPiNHistorical[[#This Row],[Health Old]]=0, tblPiNHistorical[[#This Row],[Health New]]="", tblPiNHistorical[[#This Row],[Health New]]=0), "", tblPiNHistorical[[#This Row],[Health New]]-tblPiNHistorical[[#This Row],[Health Old]])</f>
        <v/>
      </c>
      <c r="AJ556" s="136" t="str">
        <f>IF(OR(tblPiNHistorical[[#This Row],[Nutrition Old]]="", tblPiNHistorical[[#This Row],[Nutrition Old]]=0, tblPiNHistorical[[#This Row],[Nutrition New]]="", tblPiNHistorical[[#This Row],[Nutrition New]]=0), "", tblPiNHistorical[[#This Row],[Nutrition New]]-tblPiNHistorical[[#This Row],[Nutrition Old]])</f>
        <v/>
      </c>
      <c r="AK556" s="136" t="str">
        <f>IF(OR(tblPiNHistorical[[#This Row],[Protection Old]]="", tblPiNHistorical[[#This Row],[Protection Old]]=0, tblPiNHistorical[[#This Row],[Protection New]]="", tblPiNHistorical[[#This Row],[Protection New]]=0), "", tblPiNHistorical[[#This Row],[Protection New]]-tblPiNHistorical[[#This Row],[Protection Old]])</f>
        <v/>
      </c>
      <c r="AL556" s="136" t="str">
        <f>IF(OR(tblPiNHistorical[[#This Row],[CP Old ]]="", tblPiNHistorical[[#This Row],[CP Old ]]=0, tblPiNHistorical[[#This Row],[CP New]]="", tblPiNHistorical[[#This Row],[CP New]]=0), "", tblPiNHistorical[[#This Row],[CP New]]-tblPiNHistorical[[#This Row],[CP Old ]])</f>
        <v/>
      </c>
      <c r="AM556" s="83" t="str">
        <f>IF(OR(tblPiNHistorical[[#This Row],[GBV Old]]="", tblPiNHistorical[[#This Row],[GBV Old]]=0, tblPiNHistorical[[#This Row],[GBV New]]="", tblPiNHistorical[[#This Row],[GBV New]]=0), "", tblPiNHistorical[[#This Row],[GBV New]]-tblPiNHistorical[[#This Row],[GBV Old]])</f>
        <v/>
      </c>
      <c r="AN556" s="83" t="str">
        <f>IF(OR(tblPiNHistorical[[#This Row],[Mine Action Old]]="", tblPiNHistorical[[#This Row],[Mine Action Old]]=0, tblPiNHistorical[[#This Row],[Mine Action New]]="", tblPiNHistorical[[#This Row],[Mine Action New]]=0), "", tblPiNHistorical[[#This Row],[Mine Action New]]-tblPiNHistorical[[#This Row],[Mine Action Old]])</f>
        <v/>
      </c>
      <c r="AO556" s="136">
        <f>IF(OR(tblPiNHistorical[[#This Row],[Shelter NFI Old]]="", tblPiNHistorical[[#This Row],[Shelter NFI Old]]=0, tblPiNHistorical[[#This Row],[Shelter NFI New]]="", tblPiNHistorical[[#This Row],[Shelter NFI New]]=0), "", tblPiNHistorical[[#This Row],[Shelter NFI New]]-tblPiNHistorical[[#This Row],[Shelter NFI Old]])</f>
        <v>10962</v>
      </c>
      <c r="AP556" s="138" t="str">
        <f>IF(OR(tblPiNHistorical[[#This Row],[WASH Old]]="", tblPiNHistorical[[#This Row],[WASH Old]]=0, tblPiNHistorical[[#This Row],[WASH New]]="", tblPiNHistorical[[#This Row],[WASH New]]=0), "", tblPiNHistorical[[#This Row],[WASH New]]-tblPiNHistorical[[#This Row],[WASH Old]])</f>
        <v/>
      </c>
      <c r="AQ556" s="139" t="str">
        <f>IFERROR(ROUND((tblPiNHistorical[[#This Row],[Site Management - New]] - tblPiNHistorical[[#This Row],[Site Management - Old]])/tblPiNHistorical[[#This Row],[Site Management - Old]], 1), "")</f>
        <v/>
      </c>
      <c r="AR556" s="140">
        <f>IFERROR(ROUND((tblPiNHistorical[[#This Row],[Education New]]-tblPiNHistorical[[#This Row],[Education Old]])/tblPiNHistorical[[#This Row],[Education Old]], 1), "")</f>
        <v>-1</v>
      </c>
      <c r="AS556" s="141">
        <f>IFERROR(ROUND((tblPiNHistorical[[#This Row],[Food Security and Livlihoods New]]-tblPiNHistorical[[#This Row],[Food Security and Livlihoods Old]])/tblPiNHistorical[[#This Row],[Food Security and Livlihoods Old]], 1), "")</f>
        <v>-1</v>
      </c>
      <c r="AT556" s="142">
        <f>IFERROR(ROUND((tblPiNHistorical[[#This Row],[Health New]]-tblPiNHistorical[[#This Row],[Health Old]])/tblPiNHistorical[[#This Row],[Health Old]], 1), "")</f>
        <v>-1</v>
      </c>
      <c r="AU556" s="140">
        <f>IFERROR(ROUND((tblPiNHistorical[[#This Row],[Nutrition New]]-tblPiNHistorical[[#This Row],[Nutrition Old]])/tblPiNHistorical[[#This Row],[Nutrition Old]], 1), "")</f>
        <v>-1</v>
      </c>
      <c r="AV556" s="140">
        <f>IFERROR(ROUND((tblPiNHistorical[[#This Row],[Protection New]]-tblPiNHistorical[[#This Row],[Protection Old]])/tblPiNHistorical[[#This Row],[Protection Old]], 1), "")</f>
        <v>-1</v>
      </c>
      <c r="AW556" s="84">
        <f>IFERROR(ROUND((tblPiNHistorical[[#This Row],[CP New]]-tblPiNHistorical[[#This Row],[CP Old ]])/tblPiNHistorical[[#This Row],[CP Old ]], 1), "")</f>
        <v>-1</v>
      </c>
      <c r="AX556" s="84">
        <f>IFERROR(ROUND((tblPiNHistorical[[#This Row],[GBV New]]-tblPiNHistorical[[#This Row],[GBV Old]])/tblPiNHistorical[[#This Row],[GBV Old]], 1), "")</f>
        <v>-1</v>
      </c>
      <c r="AY556" s="84">
        <f>IFERROR(ROUND((tblPiNHistorical[[#This Row],[Mine Action New]]-tblPiNHistorical[[#This Row],[Mine Action Old]])/tblPiNHistorical[[#This Row],[Mine Action Old]], 1), "")</f>
        <v>-1</v>
      </c>
      <c r="AZ556" s="140">
        <f>IFERROR(ROUND((tblPiNHistorical[[#This Row],[Shelter NFI New]]-tblPiNHistorical[[#This Row],[Shelter NFI Old]])/tblPiNHistorical[[#This Row],[Shelter NFI Old]], 1), "")</f>
        <v>2.5</v>
      </c>
      <c r="BA556" s="31">
        <f>IFERROR(ROUND((tblPiNHistorical[[#This Row],[WASH New]]-tblPiNHistorical[[#This Row],[WASH Old]])/tblPiNHistorical[[#This Row],[WASH Old]], 1), "")</f>
        <v>-1</v>
      </c>
    </row>
    <row r="557" spans="1:53" ht="38.25" x14ac:dyDescent="0.25">
      <c r="A557"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Host CommunitySD18106</v>
      </c>
      <c r="B557" s="134" t="s">
        <v>194</v>
      </c>
      <c r="C557" s="124" t="s">
        <v>135</v>
      </c>
      <c r="D557" s="124" t="s">
        <v>566</v>
      </c>
      <c r="E557" s="59" t="s">
        <v>567</v>
      </c>
      <c r="F557" s="54"/>
      <c r="G557" s="29"/>
      <c r="H557" s="53">
        <v>16081</v>
      </c>
      <c r="I557" s="53" t="s">
        <v>87</v>
      </c>
      <c r="J557" s="34">
        <v>0</v>
      </c>
      <c r="K557" s="116">
        <v>6234.6036999999997</v>
      </c>
      <c r="L557" s="114">
        <v>16081</v>
      </c>
      <c r="M557" s="114">
        <v>16081</v>
      </c>
      <c r="N557" s="114">
        <v>1538</v>
      </c>
      <c r="O557" s="114">
        <v>1768.9100000000003</v>
      </c>
      <c r="P557" s="114">
        <v>1769</v>
      </c>
      <c r="Q557" s="114">
        <v>0</v>
      </c>
      <c r="R557" s="114">
        <v>0</v>
      </c>
      <c r="S557" s="114">
        <v>0</v>
      </c>
      <c r="T557" s="196">
        <v>16081</v>
      </c>
      <c r="U557" s="52">
        <f>IFERROR(INDEX(tblPiNAnalysis[[Site Management ]], MATCH(tblPiNHistorical[[#This Row],[ID]], tblPiNAnalysis[ID], 0)), "")</f>
        <v>0</v>
      </c>
      <c r="V557" s="52">
        <f>IFERROR(INDEX(tblPiNAnalysis[Education], MATCH(tblPiNHistorical[[#This Row],[ID]], tblPiNAnalysis[ID], 0)), "")</f>
        <v>0</v>
      </c>
      <c r="W557" s="28">
        <f>IFERROR(INDEX(tblPiNAnalysis[Food Security and Livlihoods], MATCH(tblPiNHistorical[[#This Row],[ID]], tblPiNAnalysis[ID], 0)), "")</f>
        <v>0</v>
      </c>
      <c r="X557" s="28">
        <f>IFERROR(INDEX(tblPiNAnalysis[[Health ]], MATCH(tblPiNHistorical[[#This Row],[ID]], tblPiNAnalysis[ID], 0)), "")</f>
        <v>0</v>
      </c>
      <c r="Y557" s="28">
        <f>IFERROR(INDEX(tblPiNAnalysis[Nutrition], MATCH(tblPiNHistorical[[#This Row],[ID]], tblPiNAnalysis[ID], 0)), "")</f>
        <v>0</v>
      </c>
      <c r="Z557" s="28">
        <f>IFERROR(INDEX(tblPiNAnalysis[Protection], MATCH(tblPiNHistorical[[#This Row],[ID]], tblPiNAnalysis[ID], 0)), "")</f>
        <v>0</v>
      </c>
      <c r="AA557" s="28">
        <f>IFERROR(INDEX(tblPiNAnalysis[CP], MATCH(tblPiNHistorical[[#This Row],[ID]], tblPiNAnalysis[ID], 0)), "")</f>
        <v>0</v>
      </c>
      <c r="AB557" s="83">
        <f>IFERROR(INDEX(tblPiNAnalysis[GBV], MATCH(tblPiNHistorical[[#This Row],[ID]], tblPiNAnalysis[ID], 0)), "")</f>
        <v>0</v>
      </c>
      <c r="AC557" s="28">
        <f>IFERROR(INDEX(tblPiNAnalysis[Mine Action], MATCH(tblPiNHistorical[[#This Row],[ID]], tblPiNAnalysis[ID], 0)), "")</f>
        <v>0</v>
      </c>
      <c r="AD557" s="83">
        <f>IFERROR(INDEX(tblPiNAnalysis[[Shelter NFI ]], MATCH(tblPiNHistorical[[#This Row],[ID]], tblPiNAnalysis[ID], 0)), "")</f>
        <v>12228</v>
      </c>
      <c r="AE557" s="28">
        <f>IFERROR(INDEX(tblPiNAnalysis[WASH], MATCH(tblPiNHistorical[[#This Row],[ID]], tblPiNAnalysis[ID], 0)), "")</f>
        <v>0</v>
      </c>
      <c r="AF557"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557" s="136" t="str">
        <f>IF(OR(tblPiNHistorical[[#This Row],[Education Old]]="", tblPiNHistorical[[#This Row],[Education Old]]=0, tblPiNHistorical[[#This Row],[Education New]]="", tblPiNHistorical[[#This Row],[Education New]]=0), "", tblPiNHistorical[[#This Row],[Education New]]-tblPiNHistorical[[#This Row],[Education Old]])</f>
        <v/>
      </c>
      <c r="AH557"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557" s="137" t="str">
        <f>IF(OR(tblPiNHistorical[[#This Row],[Health Old]]="", tblPiNHistorical[[#This Row],[Health Old]]=0, tblPiNHistorical[[#This Row],[Health New]]="", tblPiNHistorical[[#This Row],[Health New]]=0), "", tblPiNHistorical[[#This Row],[Health New]]-tblPiNHistorical[[#This Row],[Health Old]])</f>
        <v/>
      </c>
      <c r="AJ557" s="136" t="str">
        <f>IF(OR(tblPiNHistorical[[#This Row],[Nutrition Old]]="", tblPiNHistorical[[#This Row],[Nutrition Old]]=0, tblPiNHistorical[[#This Row],[Nutrition New]]="", tblPiNHistorical[[#This Row],[Nutrition New]]=0), "", tblPiNHistorical[[#This Row],[Nutrition New]]-tblPiNHistorical[[#This Row],[Nutrition Old]])</f>
        <v/>
      </c>
      <c r="AK557" s="136" t="str">
        <f>IF(OR(tblPiNHistorical[[#This Row],[Protection Old]]="", tblPiNHistorical[[#This Row],[Protection Old]]=0, tblPiNHistorical[[#This Row],[Protection New]]="", tblPiNHistorical[[#This Row],[Protection New]]=0), "", tblPiNHistorical[[#This Row],[Protection New]]-tblPiNHistorical[[#This Row],[Protection Old]])</f>
        <v/>
      </c>
      <c r="AL557" s="136" t="str">
        <f>IF(OR(tblPiNHistorical[[#This Row],[CP Old ]]="", tblPiNHistorical[[#This Row],[CP Old ]]=0, tblPiNHistorical[[#This Row],[CP New]]="", tblPiNHistorical[[#This Row],[CP New]]=0), "", tblPiNHistorical[[#This Row],[CP New]]-tblPiNHistorical[[#This Row],[CP Old ]])</f>
        <v/>
      </c>
      <c r="AM557" s="83" t="str">
        <f>IF(OR(tblPiNHistorical[[#This Row],[GBV Old]]="", tblPiNHistorical[[#This Row],[GBV Old]]=0, tblPiNHistorical[[#This Row],[GBV New]]="", tblPiNHistorical[[#This Row],[GBV New]]=0), "", tblPiNHistorical[[#This Row],[GBV New]]-tblPiNHistorical[[#This Row],[GBV Old]])</f>
        <v/>
      </c>
      <c r="AN557" s="83" t="str">
        <f>IF(OR(tblPiNHistorical[[#This Row],[Mine Action Old]]="", tblPiNHistorical[[#This Row],[Mine Action Old]]=0, tblPiNHistorical[[#This Row],[Mine Action New]]="", tblPiNHistorical[[#This Row],[Mine Action New]]=0), "", tblPiNHistorical[[#This Row],[Mine Action New]]-tblPiNHistorical[[#This Row],[Mine Action Old]])</f>
        <v/>
      </c>
      <c r="AO557" s="136" t="str">
        <f>IF(OR(tblPiNHistorical[[#This Row],[Shelter NFI Old]]="", tblPiNHistorical[[#This Row],[Shelter NFI Old]]=0, tblPiNHistorical[[#This Row],[Shelter NFI New]]="", tblPiNHistorical[[#This Row],[Shelter NFI New]]=0), "", tblPiNHistorical[[#This Row],[Shelter NFI New]]-tblPiNHistorical[[#This Row],[Shelter NFI Old]])</f>
        <v/>
      </c>
      <c r="AP557" s="138" t="str">
        <f>IF(OR(tblPiNHistorical[[#This Row],[WASH Old]]="", tblPiNHistorical[[#This Row],[WASH Old]]=0, tblPiNHistorical[[#This Row],[WASH New]]="", tblPiNHistorical[[#This Row],[WASH New]]=0), "", tblPiNHistorical[[#This Row],[WASH New]]-tblPiNHistorical[[#This Row],[WASH Old]])</f>
        <v/>
      </c>
      <c r="AQ557" s="139" t="str">
        <f>IFERROR(ROUND((tblPiNHistorical[[#This Row],[Site Management - New]] - tblPiNHistorical[[#This Row],[Site Management - Old]])/tblPiNHistorical[[#This Row],[Site Management - Old]], 1), "")</f>
        <v/>
      </c>
      <c r="AR557" s="140">
        <f>IFERROR(ROUND((tblPiNHistorical[[#This Row],[Education New]]-tblPiNHistorical[[#This Row],[Education Old]])/tblPiNHistorical[[#This Row],[Education Old]], 1), "")</f>
        <v>-1</v>
      </c>
      <c r="AS557" s="141">
        <f>IFERROR(ROUND((tblPiNHistorical[[#This Row],[Food Security and Livlihoods New]]-tblPiNHistorical[[#This Row],[Food Security and Livlihoods Old]])/tblPiNHistorical[[#This Row],[Food Security and Livlihoods Old]], 1), "")</f>
        <v>-1</v>
      </c>
      <c r="AT557" s="142">
        <f>IFERROR(ROUND((tblPiNHistorical[[#This Row],[Health New]]-tblPiNHistorical[[#This Row],[Health Old]])/tblPiNHistorical[[#This Row],[Health Old]], 1), "")</f>
        <v>-1</v>
      </c>
      <c r="AU557" s="140">
        <f>IFERROR(ROUND((tblPiNHistorical[[#This Row],[Nutrition New]]-tblPiNHistorical[[#This Row],[Nutrition Old]])/tblPiNHistorical[[#This Row],[Nutrition Old]], 1), "")</f>
        <v>-1</v>
      </c>
      <c r="AV557" s="140">
        <f>IFERROR(ROUND((tblPiNHistorical[[#This Row],[Protection New]]-tblPiNHistorical[[#This Row],[Protection Old]])/tblPiNHistorical[[#This Row],[Protection Old]], 1), "")</f>
        <v>-1</v>
      </c>
      <c r="AW557" s="84">
        <f>IFERROR(ROUND((tblPiNHistorical[[#This Row],[CP New]]-tblPiNHistorical[[#This Row],[CP Old ]])/tblPiNHistorical[[#This Row],[CP Old ]], 1), "")</f>
        <v>-1</v>
      </c>
      <c r="AX557" s="84" t="str">
        <f>IFERROR(ROUND((tblPiNHistorical[[#This Row],[GBV New]]-tblPiNHistorical[[#This Row],[GBV Old]])/tblPiNHistorical[[#This Row],[GBV Old]], 1), "")</f>
        <v/>
      </c>
      <c r="AY557" s="84" t="str">
        <f>IFERROR(ROUND((tblPiNHistorical[[#This Row],[Mine Action New]]-tblPiNHistorical[[#This Row],[Mine Action Old]])/tblPiNHistorical[[#This Row],[Mine Action Old]], 1), "")</f>
        <v/>
      </c>
      <c r="AZ557" s="140" t="str">
        <f>IFERROR(ROUND((tblPiNHistorical[[#This Row],[Shelter NFI New]]-tblPiNHistorical[[#This Row],[Shelter NFI Old]])/tblPiNHistorical[[#This Row],[Shelter NFI Old]], 1), "")</f>
        <v/>
      </c>
      <c r="BA557" s="31">
        <f>IFERROR(ROUND((tblPiNHistorical[[#This Row],[WASH New]]-tblPiNHistorical[[#This Row],[WASH Old]])/tblPiNHistorical[[#This Row],[WASH Old]], 1), "")</f>
        <v>-1</v>
      </c>
    </row>
    <row r="558" spans="1:53" ht="38.25" x14ac:dyDescent="0.25">
      <c r="A558"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Host CommunitySD18022</v>
      </c>
      <c r="B558" s="134" t="s">
        <v>194</v>
      </c>
      <c r="C558" s="124" t="s">
        <v>135</v>
      </c>
      <c r="D558" s="124" t="s">
        <v>542</v>
      </c>
      <c r="E558" s="59" t="s">
        <v>543</v>
      </c>
      <c r="F558" s="54"/>
      <c r="G558" s="29"/>
      <c r="H558" s="53">
        <v>35968</v>
      </c>
      <c r="I558" s="53" t="s">
        <v>87</v>
      </c>
      <c r="J558" s="34">
        <v>0</v>
      </c>
      <c r="K558" s="116">
        <v>13944.793599999999</v>
      </c>
      <c r="L558" s="114">
        <v>35968</v>
      </c>
      <c r="M558" s="114">
        <v>35968</v>
      </c>
      <c r="N558" s="114">
        <v>4113</v>
      </c>
      <c r="O558" s="114">
        <v>9490</v>
      </c>
      <c r="P558" s="114">
        <v>3956</v>
      </c>
      <c r="Q558" s="114">
        <v>9490</v>
      </c>
      <c r="R558" s="114">
        <v>3596.8</v>
      </c>
      <c r="S558" s="114">
        <v>7194</v>
      </c>
      <c r="T558" s="196">
        <v>34086.873599999999</v>
      </c>
      <c r="U558" s="52">
        <f>IFERROR(INDEX(tblPiNAnalysis[[Site Management ]], MATCH(tblPiNHistorical[[#This Row],[ID]], tblPiNAnalysis[ID], 0)), "")</f>
        <v>0</v>
      </c>
      <c r="V558" s="52">
        <f>IFERROR(INDEX(tblPiNAnalysis[Education], MATCH(tblPiNHistorical[[#This Row],[ID]], tblPiNAnalysis[ID], 0)), "")</f>
        <v>0</v>
      </c>
      <c r="W558" s="28">
        <f>IFERROR(INDEX(tblPiNAnalysis[Food Security and Livlihoods], MATCH(tblPiNHistorical[[#This Row],[ID]], tblPiNAnalysis[ID], 0)), "")</f>
        <v>0</v>
      </c>
      <c r="X558" s="28">
        <f>IFERROR(INDEX(tblPiNAnalysis[[Health ]], MATCH(tblPiNHistorical[[#This Row],[ID]], tblPiNAnalysis[ID], 0)), "")</f>
        <v>0</v>
      </c>
      <c r="Y558" s="28">
        <f>IFERROR(INDEX(tblPiNAnalysis[Nutrition], MATCH(tblPiNHistorical[[#This Row],[ID]], tblPiNAnalysis[ID], 0)), "")</f>
        <v>0</v>
      </c>
      <c r="Z558" s="28">
        <f>IFERROR(INDEX(tblPiNAnalysis[Protection], MATCH(tblPiNHistorical[[#This Row],[ID]], tblPiNAnalysis[ID], 0)), "")</f>
        <v>0</v>
      </c>
      <c r="AA558" s="28">
        <f>IFERROR(INDEX(tblPiNAnalysis[CP], MATCH(tblPiNHistorical[[#This Row],[ID]], tblPiNAnalysis[ID], 0)), "")</f>
        <v>0</v>
      </c>
      <c r="AB558" s="83">
        <f>IFERROR(INDEX(tblPiNAnalysis[GBV], MATCH(tblPiNHistorical[[#This Row],[ID]], tblPiNAnalysis[ID], 0)), "")</f>
        <v>0</v>
      </c>
      <c r="AC558" s="28">
        <f>IFERROR(INDEX(tblPiNAnalysis[Mine Action], MATCH(tblPiNHistorical[[#This Row],[ID]], tblPiNAnalysis[ID], 0)), "")</f>
        <v>0</v>
      </c>
      <c r="AD558" s="83">
        <f>IFERROR(INDEX(tblPiNAnalysis[[Shelter NFI ]], MATCH(tblPiNHistorical[[#This Row],[ID]], tblPiNAnalysis[ID], 0)), "")</f>
        <v>18807</v>
      </c>
      <c r="AE558" s="28">
        <f>IFERROR(INDEX(tblPiNAnalysis[WASH], MATCH(tblPiNHistorical[[#This Row],[ID]], tblPiNAnalysis[ID], 0)), "")</f>
        <v>0</v>
      </c>
      <c r="AF558"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558" s="136" t="str">
        <f>IF(OR(tblPiNHistorical[[#This Row],[Education Old]]="", tblPiNHistorical[[#This Row],[Education Old]]=0, tblPiNHistorical[[#This Row],[Education New]]="", tblPiNHistorical[[#This Row],[Education New]]=0), "", tblPiNHistorical[[#This Row],[Education New]]-tblPiNHistorical[[#This Row],[Education Old]])</f>
        <v/>
      </c>
      <c r="AH558"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558" s="137" t="str">
        <f>IF(OR(tblPiNHistorical[[#This Row],[Health Old]]="", tblPiNHistorical[[#This Row],[Health Old]]=0, tblPiNHistorical[[#This Row],[Health New]]="", tblPiNHistorical[[#This Row],[Health New]]=0), "", tblPiNHistorical[[#This Row],[Health New]]-tblPiNHistorical[[#This Row],[Health Old]])</f>
        <v/>
      </c>
      <c r="AJ558" s="136" t="str">
        <f>IF(OR(tblPiNHistorical[[#This Row],[Nutrition Old]]="", tblPiNHistorical[[#This Row],[Nutrition Old]]=0, tblPiNHistorical[[#This Row],[Nutrition New]]="", tblPiNHistorical[[#This Row],[Nutrition New]]=0), "", tblPiNHistorical[[#This Row],[Nutrition New]]-tblPiNHistorical[[#This Row],[Nutrition Old]])</f>
        <v/>
      </c>
      <c r="AK558" s="136" t="str">
        <f>IF(OR(tblPiNHistorical[[#This Row],[Protection Old]]="", tblPiNHistorical[[#This Row],[Protection Old]]=0, tblPiNHistorical[[#This Row],[Protection New]]="", tblPiNHistorical[[#This Row],[Protection New]]=0), "", tblPiNHistorical[[#This Row],[Protection New]]-tblPiNHistorical[[#This Row],[Protection Old]])</f>
        <v/>
      </c>
      <c r="AL558" s="136" t="str">
        <f>IF(OR(tblPiNHistorical[[#This Row],[CP Old ]]="", tblPiNHistorical[[#This Row],[CP Old ]]=0, tblPiNHistorical[[#This Row],[CP New]]="", tblPiNHistorical[[#This Row],[CP New]]=0), "", tblPiNHistorical[[#This Row],[CP New]]-tblPiNHistorical[[#This Row],[CP Old ]])</f>
        <v/>
      </c>
      <c r="AM558" s="83" t="str">
        <f>IF(OR(tblPiNHistorical[[#This Row],[GBV Old]]="", tblPiNHistorical[[#This Row],[GBV Old]]=0, tblPiNHistorical[[#This Row],[GBV New]]="", tblPiNHistorical[[#This Row],[GBV New]]=0), "", tblPiNHistorical[[#This Row],[GBV New]]-tblPiNHistorical[[#This Row],[GBV Old]])</f>
        <v/>
      </c>
      <c r="AN558" s="83" t="str">
        <f>IF(OR(tblPiNHistorical[[#This Row],[Mine Action Old]]="", tblPiNHistorical[[#This Row],[Mine Action Old]]=0, tblPiNHistorical[[#This Row],[Mine Action New]]="", tblPiNHistorical[[#This Row],[Mine Action New]]=0), "", tblPiNHistorical[[#This Row],[Mine Action New]]-tblPiNHistorical[[#This Row],[Mine Action Old]])</f>
        <v/>
      </c>
      <c r="AO558" s="136">
        <f>IF(OR(tblPiNHistorical[[#This Row],[Shelter NFI Old]]="", tblPiNHistorical[[#This Row],[Shelter NFI Old]]=0, tblPiNHistorical[[#This Row],[Shelter NFI New]]="", tblPiNHistorical[[#This Row],[Shelter NFI New]]=0), "", tblPiNHistorical[[#This Row],[Shelter NFI New]]-tblPiNHistorical[[#This Row],[Shelter NFI Old]])</f>
        <v>11613</v>
      </c>
      <c r="AP558" s="138" t="str">
        <f>IF(OR(tblPiNHistorical[[#This Row],[WASH Old]]="", tblPiNHistorical[[#This Row],[WASH Old]]=0, tblPiNHistorical[[#This Row],[WASH New]]="", tblPiNHistorical[[#This Row],[WASH New]]=0), "", tblPiNHistorical[[#This Row],[WASH New]]-tblPiNHistorical[[#This Row],[WASH Old]])</f>
        <v/>
      </c>
      <c r="AQ558" s="139" t="str">
        <f>IFERROR(ROUND((tblPiNHistorical[[#This Row],[Site Management - New]] - tblPiNHistorical[[#This Row],[Site Management - Old]])/tblPiNHistorical[[#This Row],[Site Management - Old]], 1), "")</f>
        <v/>
      </c>
      <c r="AR558" s="140">
        <f>IFERROR(ROUND((tblPiNHistorical[[#This Row],[Education New]]-tblPiNHistorical[[#This Row],[Education Old]])/tblPiNHistorical[[#This Row],[Education Old]], 1), "")</f>
        <v>-1</v>
      </c>
      <c r="AS558" s="141">
        <f>IFERROR(ROUND((tblPiNHistorical[[#This Row],[Food Security and Livlihoods New]]-tblPiNHistorical[[#This Row],[Food Security and Livlihoods Old]])/tblPiNHistorical[[#This Row],[Food Security and Livlihoods Old]], 1), "")</f>
        <v>-1</v>
      </c>
      <c r="AT558" s="142">
        <f>IFERROR(ROUND((tblPiNHistorical[[#This Row],[Health New]]-tblPiNHistorical[[#This Row],[Health Old]])/tblPiNHistorical[[#This Row],[Health Old]], 1), "")</f>
        <v>-1</v>
      </c>
      <c r="AU558" s="140">
        <f>IFERROR(ROUND((tblPiNHistorical[[#This Row],[Nutrition New]]-tblPiNHistorical[[#This Row],[Nutrition Old]])/tblPiNHistorical[[#This Row],[Nutrition Old]], 1), "")</f>
        <v>-1</v>
      </c>
      <c r="AV558" s="140">
        <f>IFERROR(ROUND((tblPiNHistorical[[#This Row],[Protection New]]-tblPiNHistorical[[#This Row],[Protection Old]])/tblPiNHistorical[[#This Row],[Protection Old]], 1), "")</f>
        <v>-1</v>
      </c>
      <c r="AW558" s="84">
        <f>IFERROR(ROUND((tblPiNHistorical[[#This Row],[CP New]]-tblPiNHistorical[[#This Row],[CP Old ]])/tblPiNHistorical[[#This Row],[CP Old ]], 1), "")</f>
        <v>-1</v>
      </c>
      <c r="AX558" s="84">
        <f>IFERROR(ROUND((tblPiNHistorical[[#This Row],[GBV New]]-tblPiNHistorical[[#This Row],[GBV Old]])/tblPiNHistorical[[#This Row],[GBV Old]], 1), "")</f>
        <v>-1</v>
      </c>
      <c r="AY558" s="84">
        <f>IFERROR(ROUND((tblPiNHistorical[[#This Row],[Mine Action New]]-tblPiNHistorical[[#This Row],[Mine Action Old]])/tblPiNHistorical[[#This Row],[Mine Action Old]], 1), "")</f>
        <v>-1</v>
      </c>
      <c r="AZ558" s="140">
        <f>IFERROR(ROUND((tblPiNHistorical[[#This Row],[Shelter NFI New]]-tblPiNHistorical[[#This Row],[Shelter NFI Old]])/tblPiNHistorical[[#This Row],[Shelter NFI Old]], 1), "")</f>
        <v>1.6</v>
      </c>
      <c r="BA558" s="31">
        <f>IFERROR(ROUND((tblPiNHistorical[[#This Row],[WASH New]]-tblPiNHistorical[[#This Row],[WASH Old]])/tblPiNHistorical[[#This Row],[WASH Old]], 1), "")</f>
        <v>-1</v>
      </c>
    </row>
    <row r="559" spans="1:53" ht="38.25" x14ac:dyDescent="0.25">
      <c r="A559"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Host CommunitySD18086</v>
      </c>
      <c r="B559" s="134" t="s">
        <v>194</v>
      </c>
      <c r="C559" s="124" t="s">
        <v>135</v>
      </c>
      <c r="D559" s="124" t="s">
        <v>550</v>
      </c>
      <c r="E559" s="59" t="s">
        <v>551</v>
      </c>
      <c r="F559" s="54"/>
      <c r="G559" s="29"/>
      <c r="H559" s="53">
        <v>20589</v>
      </c>
      <c r="I559" s="53" t="s">
        <v>87</v>
      </c>
      <c r="J559" s="34">
        <v>0</v>
      </c>
      <c r="K559" s="116">
        <v>7982.3553000000002</v>
      </c>
      <c r="L559" s="114">
        <v>20589</v>
      </c>
      <c r="M559" s="114">
        <v>20589</v>
      </c>
      <c r="N559" s="114">
        <v>1544</v>
      </c>
      <c r="O559" s="114">
        <v>6520</v>
      </c>
      <c r="P559" s="114">
        <v>2265</v>
      </c>
      <c r="Q559" s="114">
        <v>6520</v>
      </c>
      <c r="R559" s="114">
        <v>2058.9</v>
      </c>
      <c r="S559" s="114">
        <v>4118</v>
      </c>
      <c r="T559" s="196">
        <v>11041.880700000002</v>
      </c>
      <c r="U559" s="52">
        <f>IFERROR(INDEX(tblPiNAnalysis[[Site Management ]], MATCH(tblPiNHistorical[[#This Row],[ID]], tblPiNAnalysis[ID], 0)), "")</f>
        <v>0</v>
      </c>
      <c r="V559" s="52">
        <f>IFERROR(INDEX(tblPiNAnalysis[Education], MATCH(tblPiNHistorical[[#This Row],[ID]], tblPiNAnalysis[ID], 0)), "")</f>
        <v>0</v>
      </c>
      <c r="W559" s="28">
        <f>IFERROR(INDEX(tblPiNAnalysis[Food Security and Livlihoods], MATCH(tblPiNHistorical[[#This Row],[ID]], tblPiNAnalysis[ID], 0)), "")</f>
        <v>0</v>
      </c>
      <c r="X559" s="28">
        <f>IFERROR(INDEX(tblPiNAnalysis[[Health ]], MATCH(tblPiNHistorical[[#This Row],[ID]], tblPiNAnalysis[ID], 0)), "")</f>
        <v>0</v>
      </c>
      <c r="Y559" s="28">
        <f>IFERROR(INDEX(tblPiNAnalysis[Nutrition], MATCH(tblPiNHistorical[[#This Row],[ID]], tblPiNAnalysis[ID], 0)), "")</f>
        <v>0</v>
      </c>
      <c r="Z559" s="28">
        <f>IFERROR(INDEX(tblPiNAnalysis[Protection], MATCH(tblPiNHistorical[[#This Row],[ID]], tblPiNAnalysis[ID], 0)), "")</f>
        <v>0</v>
      </c>
      <c r="AA559" s="28">
        <f>IFERROR(INDEX(tblPiNAnalysis[CP], MATCH(tblPiNHistorical[[#This Row],[ID]], tblPiNAnalysis[ID], 0)), "")</f>
        <v>0</v>
      </c>
      <c r="AB559" s="83">
        <f>IFERROR(INDEX(tblPiNAnalysis[GBV], MATCH(tblPiNHistorical[[#This Row],[ID]], tblPiNAnalysis[ID], 0)), "")</f>
        <v>0</v>
      </c>
      <c r="AC559" s="28">
        <f>IFERROR(INDEX(tblPiNAnalysis[Mine Action], MATCH(tblPiNHistorical[[#This Row],[ID]], tblPiNAnalysis[ID], 0)), "")</f>
        <v>0</v>
      </c>
      <c r="AD559" s="83">
        <f>IFERROR(INDEX(tblPiNAnalysis[[Shelter NFI ]], MATCH(tblPiNHistorical[[#This Row],[ID]], tblPiNAnalysis[ID], 0)), "")</f>
        <v>19013</v>
      </c>
      <c r="AE559" s="28">
        <f>IFERROR(INDEX(tblPiNAnalysis[WASH], MATCH(tblPiNHistorical[[#This Row],[ID]], tblPiNAnalysis[ID], 0)), "")</f>
        <v>0</v>
      </c>
      <c r="AF559"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559" s="136" t="str">
        <f>IF(OR(tblPiNHistorical[[#This Row],[Education Old]]="", tblPiNHistorical[[#This Row],[Education Old]]=0, tblPiNHistorical[[#This Row],[Education New]]="", tblPiNHistorical[[#This Row],[Education New]]=0), "", tblPiNHistorical[[#This Row],[Education New]]-tblPiNHistorical[[#This Row],[Education Old]])</f>
        <v/>
      </c>
      <c r="AH559"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559" s="137" t="str">
        <f>IF(OR(tblPiNHistorical[[#This Row],[Health Old]]="", tblPiNHistorical[[#This Row],[Health Old]]=0, tblPiNHistorical[[#This Row],[Health New]]="", tblPiNHistorical[[#This Row],[Health New]]=0), "", tblPiNHistorical[[#This Row],[Health New]]-tblPiNHistorical[[#This Row],[Health Old]])</f>
        <v/>
      </c>
      <c r="AJ559" s="136" t="str">
        <f>IF(OR(tblPiNHistorical[[#This Row],[Nutrition Old]]="", tblPiNHistorical[[#This Row],[Nutrition Old]]=0, tblPiNHistorical[[#This Row],[Nutrition New]]="", tblPiNHistorical[[#This Row],[Nutrition New]]=0), "", tblPiNHistorical[[#This Row],[Nutrition New]]-tblPiNHistorical[[#This Row],[Nutrition Old]])</f>
        <v/>
      </c>
      <c r="AK559" s="136" t="str">
        <f>IF(OR(tblPiNHistorical[[#This Row],[Protection Old]]="", tblPiNHistorical[[#This Row],[Protection Old]]=0, tblPiNHistorical[[#This Row],[Protection New]]="", tblPiNHistorical[[#This Row],[Protection New]]=0), "", tblPiNHistorical[[#This Row],[Protection New]]-tblPiNHistorical[[#This Row],[Protection Old]])</f>
        <v/>
      </c>
      <c r="AL559" s="136" t="str">
        <f>IF(OR(tblPiNHistorical[[#This Row],[CP Old ]]="", tblPiNHistorical[[#This Row],[CP Old ]]=0, tblPiNHistorical[[#This Row],[CP New]]="", tblPiNHistorical[[#This Row],[CP New]]=0), "", tblPiNHistorical[[#This Row],[CP New]]-tblPiNHistorical[[#This Row],[CP Old ]])</f>
        <v/>
      </c>
      <c r="AM559" s="83" t="str">
        <f>IF(OR(tblPiNHistorical[[#This Row],[GBV Old]]="", tblPiNHistorical[[#This Row],[GBV Old]]=0, tblPiNHistorical[[#This Row],[GBV New]]="", tblPiNHistorical[[#This Row],[GBV New]]=0), "", tblPiNHistorical[[#This Row],[GBV New]]-tblPiNHistorical[[#This Row],[GBV Old]])</f>
        <v/>
      </c>
      <c r="AN559" s="83" t="str">
        <f>IF(OR(tblPiNHistorical[[#This Row],[Mine Action Old]]="", tblPiNHistorical[[#This Row],[Mine Action Old]]=0, tblPiNHistorical[[#This Row],[Mine Action New]]="", tblPiNHistorical[[#This Row],[Mine Action New]]=0), "", tblPiNHistorical[[#This Row],[Mine Action New]]-tblPiNHistorical[[#This Row],[Mine Action Old]])</f>
        <v/>
      </c>
      <c r="AO559" s="136">
        <f>IF(OR(tblPiNHistorical[[#This Row],[Shelter NFI Old]]="", tblPiNHistorical[[#This Row],[Shelter NFI Old]]=0, tblPiNHistorical[[#This Row],[Shelter NFI New]]="", tblPiNHistorical[[#This Row],[Shelter NFI New]]=0), "", tblPiNHistorical[[#This Row],[Shelter NFI New]]-tblPiNHistorical[[#This Row],[Shelter NFI Old]])</f>
        <v>14895</v>
      </c>
      <c r="AP559" s="138" t="str">
        <f>IF(OR(tblPiNHistorical[[#This Row],[WASH Old]]="", tblPiNHistorical[[#This Row],[WASH Old]]=0, tblPiNHistorical[[#This Row],[WASH New]]="", tblPiNHistorical[[#This Row],[WASH New]]=0), "", tblPiNHistorical[[#This Row],[WASH New]]-tblPiNHistorical[[#This Row],[WASH Old]])</f>
        <v/>
      </c>
      <c r="AQ559" s="139" t="str">
        <f>IFERROR(ROUND((tblPiNHistorical[[#This Row],[Site Management - New]] - tblPiNHistorical[[#This Row],[Site Management - Old]])/tblPiNHistorical[[#This Row],[Site Management - Old]], 1), "")</f>
        <v/>
      </c>
      <c r="AR559" s="140">
        <f>IFERROR(ROUND((tblPiNHistorical[[#This Row],[Education New]]-tblPiNHistorical[[#This Row],[Education Old]])/tblPiNHistorical[[#This Row],[Education Old]], 1), "")</f>
        <v>-1</v>
      </c>
      <c r="AS559" s="141">
        <f>IFERROR(ROUND((tblPiNHistorical[[#This Row],[Food Security and Livlihoods New]]-tblPiNHistorical[[#This Row],[Food Security and Livlihoods Old]])/tblPiNHistorical[[#This Row],[Food Security and Livlihoods Old]], 1), "")</f>
        <v>-1</v>
      </c>
      <c r="AT559" s="142">
        <f>IFERROR(ROUND((tblPiNHistorical[[#This Row],[Health New]]-tblPiNHistorical[[#This Row],[Health Old]])/tblPiNHistorical[[#This Row],[Health Old]], 1), "")</f>
        <v>-1</v>
      </c>
      <c r="AU559" s="140">
        <f>IFERROR(ROUND((tblPiNHistorical[[#This Row],[Nutrition New]]-tblPiNHistorical[[#This Row],[Nutrition Old]])/tblPiNHistorical[[#This Row],[Nutrition Old]], 1), "")</f>
        <v>-1</v>
      </c>
      <c r="AV559" s="140">
        <f>IFERROR(ROUND((tblPiNHistorical[[#This Row],[Protection New]]-tblPiNHistorical[[#This Row],[Protection Old]])/tblPiNHistorical[[#This Row],[Protection Old]], 1), "")</f>
        <v>-1</v>
      </c>
      <c r="AW559" s="84">
        <f>IFERROR(ROUND((tblPiNHistorical[[#This Row],[CP New]]-tblPiNHistorical[[#This Row],[CP Old ]])/tblPiNHistorical[[#This Row],[CP Old ]], 1), "")</f>
        <v>-1</v>
      </c>
      <c r="AX559" s="84">
        <f>IFERROR(ROUND((tblPiNHistorical[[#This Row],[GBV New]]-tblPiNHistorical[[#This Row],[GBV Old]])/tblPiNHistorical[[#This Row],[GBV Old]], 1), "")</f>
        <v>-1</v>
      </c>
      <c r="AY559" s="84">
        <f>IFERROR(ROUND((tblPiNHistorical[[#This Row],[Mine Action New]]-tblPiNHistorical[[#This Row],[Mine Action Old]])/tblPiNHistorical[[#This Row],[Mine Action Old]], 1), "")</f>
        <v>-1</v>
      </c>
      <c r="AZ559" s="140">
        <f>IFERROR(ROUND((tblPiNHistorical[[#This Row],[Shelter NFI New]]-tblPiNHistorical[[#This Row],[Shelter NFI Old]])/tblPiNHistorical[[#This Row],[Shelter NFI Old]], 1), "")</f>
        <v>3.6</v>
      </c>
      <c r="BA559" s="31">
        <f>IFERROR(ROUND((tblPiNHistorical[[#This Row],[WASH New]]-tblPiNHistorical[[#This Row],[WASH Old]])/tblPiNHistorical[[#This Row],[WASH Old]], 1), "")</f>
        <v>-1</v>
      </c>
    </row>
    <row r="560" spans="1:53" ht="38.25" x14ac:dyDescent="0.25">
      <c r="A560"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Host CommunitySD18092</v>
      </c>
      <c r="B560" s="134" t="s">
        <v>194</v>
      </c>
      <c r="C560" s="124" t="s">
        <v>135</v>
      </c>
      <c r="D560" s="124" t="s">
        <v>554</v>
      </c>
      <c r="E560" s="59" t="s">
        <v>555</v>
      </c>
      <c r="F560" s="54"/>
      <c r="G560" s="29"/>
      <c r="H560" s="53">
        <v>7189</v>
      </c>
      <c r="I560" s="53" t="s">
        <v>87</v>
      </c>
      <c r="J560" s="34">
        <v>0</v>
      </c>
      <c r="K560" s="116">
        <v>2787.1752999999999</v>
      </c>
      <c r="L560" s="114">
        <v>7189</v>
      </c>
      <c r="M560" s="114">
        <v>7189</v>
      </c>
      <c r="N560" s="114">
        <v>688</v>
      </c>
      <c r="O560" s="114">
        <v>1897</v>
      </c>
      <c r="P560" s="114">
        <v>791</v>
      </c>
      <c r="Q560" s="114">
        <v>1897</v>
      </c>
      <c r="R560" s="114">
        <v>718.90000000000009</v>
      </c>
      <c r="S560" s="114">
        <v>1438</v>
      </c>
      <c r="T560" s="196">
        <v>6013.5985000000001</v>
      </c>
      <c r="U560" s="52">
        <f>IFERROR(INDEX(tblPiNAnalysis[[Site Management ]], MATCH(tblPiNHistorical[[#This Row],[ID]], tblPiNAnalysis[ID], 0)), "")</f>
        <v>0</v>
      </c>
      <c r="V560" s="52">
        <f>IFERROR(INDEX(tblPiNAnalysis[Education], MATCH(tblPiNHistorical[[#This Row],[ID]], tblPiNAnalysis[ID], 0)), "")</f>
        <v>0</v>
      </c>
      <c r="W560" s="28">
        <f>IFERROR(INDEX(tblPiNAnalysis[Food Security and Livlihoods], MATCH(tblPiNHistorical[[#This Row],[ID]], tblPiNAnalysis[ID], 0)), "")</f>
        <v>0</v>
      </c>
      <c r="X560" s="28">
        <f>IFERROR(INDEX(tblPiNAnalysis[[Health ]], MATCH(tblPiNHistorical[[#This Row],[ID]], tblPiNAnalysis[ID], 0)), "")</f>
        <v>0</v>
      </c>
      <c r="Y560" s="28">
        <f>IFERROR(INDEX(tblPiNAnalysis[Nutrition], MATCH(tblPiNHistorical[[#This Row],[ID]], tblPiNAnalysis[ID], 0)), "")</f>
        <v>0</v>
      </c>
      <c r="Z560" s="28">
        <f>IFERROR(INDEX(tblPiNAnalysis[Protection], MATCH(tblPiNHistorical[[#This Row],[ID]], tblPiNAnalysis[ID], 0)), "")</f>
        <v>0</v>
      </c>
      <c r="AA560" s="28">
        <f>IFERROR(INDEX(tblPiNAnalysis[CP], MATCH(tblPiNHistorical[[#This Row],[ID]], tblPiNAnalysis[ID], 0)), "")</f>
        <v>0</v>
      </c>
      <c r="AB560" s="83">
        <f>IFERROR(INDEX(tblPiNAnalysis[GBV], MATCH(tblPiNHistorical[[#This Row],[ID]], tblPiNAnalysis[ID], 0)), "")</f>
        <v>0</v>
      </c>
      <c r="AC560" s="28">
        <f>IFERROR(INDEX(tblPiNAnalysis[Mine Action], MATCH(tblPiNHistorical[[#This Row],[ID]], tblPiNAnalysis[ID], 0)), "")</f>
        <v>0</v>
      </c>
      <c r="AD560" s="83">
        <f>IFERROR(INDEX(tblPiNAnalysis[[Shelter NFI ]], MATCH(tblPiNHistorical[[#This Row],[ID]], tblPiNAnalysis[ID], 0)), "")</f>
        <v>4314</v>
      </c>
      <c r="AE560" s="28">
        <f>IFERROR(INDEX(tblPiNAnalysis[WASH], MATCH(tblPiNHistorical[[#This Row],[ID]], tblPiNAnalysis[ID], 0)), "")</f>
        <v>0</v>
      </c>
      <c r="AF560"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560" s="136" t="str">
        <f>IF(OR(tblPiNHistorical[[#This Row],[Education Old]]="", tblPiNHistorical[[#This Row],[Education Old]]=0, tblPiNHistorical[[#This Row],[Education New]]="", tblPiNHistorical[[#This Row],[Education New]]=0), "", tblPiNHistorical[[#This Row],[Education New]]-tblPiNHistorical[[#This Row],[Education Old]])</f>
        <v/>
      </c>
      <c r="AH560"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560" s="137" t="str">
        <f>IF(OR(tblPiNHistorical[[#This Row],[Health Old]]="", tblPiNHistorical[[#This Row],[Health Old]]=0, tblPiNHistorical[[#This Row],[Health New]]="", tblPiNHistorical[[#This Row],[Health New]]=0), "", tblPiNHistorical[[#This Row],[Health New]]-tblPiNHistorical[[#This Row],[Health Old]])</f>
        <v/>
      </c>
      <c r="AJ560" s="136" t="str">
        <f>IF(OR(tblPiNHistorical[[#This Row],[Nutrition Old]]="", tblPiNHistorical[[#This Row],[Nutrition Old]]=0, tblPiNHistorical[[#This Row],[Nutrition New]]="", tblPiNHistorical[[#This Row],[Nutrition New]]=0), "", tblPiNHistorical[[#This Row],[Nutrition New]]-tblPiNHistorical[[#This Row],[Nutrition Old]])</f>
        <v/>
      </c>
      <c r="AK560" s="136" t="str">
        <f>IF(OR(tblPiNHistorical[[#This Row],[Protection Old]]="", tblPiNHistorical[[#This Row],[Protection Old]]=0, tblPiNHistorical[[#This Row],[Protection New]]="", tblPiNHistorical[[#This Row],[Protection New]]=0), "", tblPiNHistorical[[#This Row],[Protection New]]-tblPiNHistorical[[#This Row],[Protection Old]])</f>
        <v/>
      </c>
      <c r="AL560" s="136" t="str">
        <f>IF(OR(tblPiNHistorical[[#This Row],[CP Old ]]="", tblPiNHistorical[[#This Row],[CP Old ]]=0, tblPiNHistorical[[#This Row],[CP New]]="", tblPiNHistorical[[#This Row],[CP New]]=0), "", tblPiNHistorical[[#This Row],[CP New]]-tblPiNHistorical[[#This Row],[CP Old ]])</f>
        <v/>
      </c>
      <c r="AM560" s="83" t="str">
        <f>IF(OR(tblPiNHistorical[[#This Row],[GBV Old]]="", tblPiNHistorical[[#This Row],[GBV Old]]=0, tblPiNHistorical[[#This Row],[GBV New]]="", tblPiNHistorical[[#This Row],[GBV New]]=0), "", tblPiNHistorical[[#This Row],[GBV New]]-tblPiNHistorical[[#This Row],[GBV Old]])</f>
        <v/>
      </c>
      <c r="AN560" s="83" t="str">
        <f>IF(OR(tblPiNHistorical[[#This Row],[Mine Action Old]]="", tblPiNHistorical[[#This Row],[Mine Action Old]]=0, tblPiNHistorical[[#This Row],[Mine Action New]]="", tblPiNHistorical[[#This Row],[Mine Action New]]=0), "", tblPiNHistorical[[#This Row],[Mine Action New]]-tblPiNHistorical[[#This Row],[Mine Action Old]])</f>
        <v/>
      </c>
      <c r="AO560" s="136">
        <f>IF(OR(tblPiNHistorical[[#This Row],[Shelter NFI Old]]="", tblPiNHistorical[[#This Row],[Shelter NFI Old]]=0, tblPiNHistorical[[#This Row],[Shelter NFI New]]="", tblPiNHistorical[[#This Row],[Shelter NFI New]]=0), "", tblPiNHistorical[[#This Row],[Shelter NFI New]]-tblPiNHistorical[[#This Row],[Shelter NFI Old]])</f>
        <v>2876</v>
      </c>
      <c r="AP560" s="138" t="str">
        <f>IF(OR(tblPiNHistorical[[#This Row],[WASH Old]]="", tblPiNHistorical[[#This Row],[WASH Old]]=0, tblPiNHistorical[[#This Row],[WASH New]]="", tblPiNHistorical[[#This Row],[WASH New]]=0), "", tblPiNHistorical[[#This Row],[WASH New]]-tblPiNHistorical[[#This Row],[WASH Old]])</f>
        <v/>
      </c>
      <c r="AQ560" s="139" t="str">
        <f>IFERROR(ROUND((tblPiNHistorical[[#This Row],[Site Management - New]] - tblPiNHistorical[[#This Row],[Site Management - Old]])/tblPiNHistorical[[#This Row],[Site Management - Old]], 1), "")</f>
        <v/>
      </c>
      <c r="AR560" s="140">
        <f>IFERROR(ROUND((tblPiNHistorical[[#This Row],[Education New]]-tblPiNHistorical[[#This Row],[Education Old]])/tblPiNHistorical[[#This Row],[Education Old]], 1), "")</f>
        <v>-1</v>
      </c>
      <c r="AS560" s="141">
        <f>IFERROR(ROUND((tblPiNHistorical[[#This Row],[Food Security and Livlihoods New]]-tblPiNHistorical[[#This Row],[Food Security and Livlihoods Old]])/tblPiNHistorical[[#This Row],[Food Security and Livlihoods Old]], 1), "")</f>
        <v>-1</v>
      </c>
      <c r="AT560" s="142">
        <f>IFERROR(ROUND((tblPiNHistorical[[#This Row],[Health New]]-tblPiNHistorical[[#This Row],[Health Old]])/tblPiNHistorical[[#This Row],[Health Old]], 1), "")</f>
        <v>-1</v>
      </c>
      <c r="AU560" s="140">
        <f>IFERROR(ROUND((tblPiNHistorical[[#This Row],[Nutrition New]]-tblPiNHistorical[[#This Row],[Nutrition Old]])/tblPiNHistorical[[#This Row],[Nutrition Old]], 1), "")</f>
        <v>-1</v>
      </c>
      <c r="AV560" s="140">
        <f>IFERROR(ROUND((tblPiNHistorical[[#This Row],[Protection New]]-tblPiNHistorical[[#This Row],[Protection Old]])/tblPiNHistorical[[#This Row],[Protection Old]], 1), "")</f>
        <v>-1</v>
      </c>
      <c r="AW560" s="84">
        <f>IFERROR(ROUND((tblPiNHistorical[[#This Row],[CP New]]-tblPiNHistorical[[#This Row],[CP Old ]])/tblPiNHistorical[[#This Row],[CP Old ]], 1), "")</f>
        <v>-1</v>
      </c>
      <c r="AX560" s="84">
        <f>IFERROR(ROUND((tblPiNHistorical[[#This Row],[GBV New]]-tblPiNHistorical[[#This Row],[GBV Old]])/tblPiNHistorical[[#This Row],[GBV Old]], 1), "")</f>
        <v>-1</v>
      </c>
      <c r="AY560" s="84">
        <f>IFERROR(ROUND((tblPiNHistorical[[#This Row],[Mine Action New]]-tblPiNHistorical[[#This Row],[Mine Action Old]])/tblPiNHistorical[[#This Row],[Mine Action Old]], 1), "")</f>
        <v>-1</v>
      </c>
      <c r="AZ560" s="140">
        <f>IFERROR(ROUND((tblPiNHistorical[[#This Row],[Shelter NFI New]]-tblPiNHistorical[[#This Row],[Shelter NFI Old]])/tblPiNHistorical[[#This Row],[Shelter NFI Old]], 1), "")</f>
        <v>2</v>
      </c>
      <c r="BA560" s="31">
        <f>IFERROR(ROUND((tblPiNHistorical[[#This Row],[WASH New]]-tblPiNHistorical[[#This Row],[WASH Old]])/tblPiNHistorical[[#This Row],[WASH Old]], 1), "")</f>
        <v>-1</v>
      </c>
    </row>
    <row r="561" spans="1:53" ht="38.25" x14ac:dyDescent="0.25">
      <c r="A561"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Host CommunitySD18100</v>
      </c>
      <c r="B561" s="134" t="s">
        <v>194</v>
      </c>
      <c r="C561" s="124" t="s">
        <v>135</v>
      </c>
      <c r="D561" s="124" t="s">
        <v>556</v>
      </c>
      <c r="E561" s="59" t="s">
        <v>557</v>
      </c>
      <c r="F561" s="54"/>
      <c r="G561" s="29"/>
      <c r="H561" s="53">
        <v>20273</v>
      </c>
      <c r="I561" s="53" t="s">
        <v>87</v>
      </c>
      <c r="J561" s="34">
        <v>0</v>
      </c>
      <c r="K561" s="116">
        <v>7859.8420999999998</v>
      </c>
      <c r="L561" s="114">
        <v>20273</v>
      </c>
      <c r="M561" s="114">
        <v>20273</v>
      </c>
      <c r="N561" s="114">
        <v>2189</v>
      </c>
      <c r="O561" s="114">
        <v>5348</v>
      </c>
      <c r="P561" s="114">
        <v>2230</v>
      </c>
      <c r="Q561" s="114">
        <v>5348</v>
      </c>
      <c r="R561" s="114">
        <v>0</v>
      </c>
      <c r="S561" s="114">
        <v>4055</v>
      </c>
      <c r="T561" s="196">
        <v>18328.819299999999</v>
      </c>
      <c r="U561" s="52">
        <f>IFERROR(INDEX(tblPiNAnalysis[[Site Management ]], MATCH(tblPiNHistorical[[#This Row],[ID]], tblPiNAnalysis[ID], 0)), "")</f>
        <v>0</v>
      </c>
      <c r="V561" s="52">
        <f>IFERROR(INDEX(tblPiNAnalysis[Education], MATCH(tblPiNHistorical[[#This Row],[ID]], tblPiNAnalysis[ID], 0)), "")</f>
        <v>0</v>
      </c>
      <c r="W561" s="28">
        <f>IFERROR(INDEX(tblPiNAnalysis[Food Security and Livlihoods], MATCH(tblPiNHistorical[[#This Row],[ID]], tblPiNAnalysis[ID], 0)), "")</f>
        <v>0</v>
      </c>
      <c r="X561" s="28">
        <f>IFERROR(INDEX(tblPiNAnalysis[[Health ]], MATCH(tblPiNHistorical[[#This Row],[ID]], tblPiNAnalysis[ID], 0)), "")</f>
        <v>0</v>
      </c>
      <c r="Y561" s="28">
        <f>IFERROR(INDEX(tblPiNAnalysis[Nutrition], MATCH(tblPiNHistorical[[#This Row],[ID]], tblPiNAnalysis[ID], 0)), "")</f>
        <v>0</v>
      </c>
      <c r="Z561" s="28">
        <f>IFERROR(INDEX(tblPiNAnalysis[Protection], MATCH(tblPiNHistorical[[#This Row],[ID]], tblPiNAnalysis[ID], 0)), "")</f>
        <v>0</v>
      </c>
      <c r="AA561" s="28">
        <f>IFERROR(INDEX(tblPiNAnalysis[CP], MATCH(tblPiNHistorical[[#This Row],[ID]], tblPiNAnalysis[ID], 0)), "")</f>
        <v>0</v>
      </c>
      <c r="AB561" s="83">
        <f>IFERROR(INDEX(tblPiNAnalysis[GBV], MATCH(tblPiNHistorical[[#This Row],[ID]], tblPiNAnalysis[ID], 0)), "")</f>
        <v>0</v>
      </c>
      <c r="AC561" s="28">
        <f>IFERROR(INDEX(tblPiNAnalysis[Mine Action], MATCH(tblPiNHistorical[[#This Row],[ID]], tblPiNAnalysis[ID], 0)), "")</f>
        <v>0</v>
      </c>
      <c r="AD561" s="83">
        <f>IFERROR(INDEX(tblPiNAnalysis[[Shelter NFI ]], MATCH(tblPiNHistorical[[#This Row],[ID]], tblPiNAnalysis[ID], 0)), "")</f>
        <v>31126</v>
      </c>
      <c r="AE561" s="28">
        <f>IFERROR(INDEX(tblPiNAnalysis[WASH], MATCH(tblPiNHistorical[[#This Row],[ID]], tblPiNAnalysis[ID], 0)), "")</f>
        <v>0</v>
      </c>
      <c r="AF561"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561" s="136" t="str">
        <f>IF(OR(tblPiNHistorical[[#This Row],[Education Old]]="", tblPiNHistorical[[#This Row],[Education Old]]=0, tblPiNHistorical[[#This Row],[Education New]]="", tblPiNHistorical[[#This Row],[Education New]]=0), "", tblPiNHistorical[[#This Row],[Education New]]-tblPiNHistorical[[#This Row],[Education Old]])</f>
        <v/>
      </c>
      <c r="AH561"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561" s="137" t="str">
        <f>IF(OR(tblPiNHistorical[[#This Row],[Health Old]]="", tblPiNHistorical[[#This Row],[Health Old]]=0, tblPiNHistorical[[#This Row],[Health New]]="", tblPiNHistorical[[#This Row],[Health New]]=0), "", tblPiNHistorical[[#This Row],[Health New]]-tblPiNHistorical[[#This Row],[Health Old]])</f>
        <v/>
      </c>
      <c r="AJ561" s="136" t="str">
        <f>IF(OR(tblPiNHistorical[[#This Row],[Nutrition Old]]="", tblPiNHistorical[[#This Row],[Nutrition Old]]=0, tblPiNHistorical[[#This Row],[Nutrition New]]="", tblPiNHistorical[[#This Row],[Nutrition New]]=0), "", tblPiNHistorical[[#This Row],[Nutrition New]]-tblPiNHistorical[[#This Row],[Nutrition Old]])</f>
        <v/>
      </c>
      <c r="AK561" s="136" t="str">
        <f>IF(OR(tblPiNHistorical[[#This Row],[Protection Old]]="", tblPiNHistorical[[#This Row],[Protection Old]]=0, tblPiNHistorical[[#This Row],[Protection New]]="", tblPiNHistorical[[#This Row],[Protection New]]=0), "", tblPiNHistorical[[#This Row],[Protection New]]-tblPiNHistorical[[#This Row],[Protection Old]])</f>
        <v/>
      </c>
      <c r="AL561" s="136" t="str">
        <f>IF(OR(tblPiNHistorical[[#This Row],[CP Old ]]="", tblPiNHistorical[[#This Row],[CP Old ]]=0, tblPiNHistorical[[#This Row],[CP New]]="", tblPiNHistorical[[#This Row],[CP New]]=0), "", tblPiNHistorical[[#This Row],[CP New]]-tblPiNHistorical[[#This Row],[CP Old ]])</f>
        <v/>
      </c>
      <c r="AM561" s="83" t="str">
        <f>IF(OR(tblPiNHistorical[[#This Row],[GBV Old]]="", tblPiNHistorical[[#This Row],[GBV Old]]=0, tblPiNHistorical[[#This Row],[GBV New]]="", tblPiNHistorical[[#This Row],[GBV New]]=0), "", tblPiNHistorical[[#This Row],[GBV New]]-tblPiNHistorical[[#This Row],[GBV Old]])</f>
        <v/>
      </c>
      <c r="AN561" s="83" t="str">
        <f>IF(OR(tblPiNHistorical[[#This Row],[Mine Action Old]]="", tblPiNHistorical[[#This Row],[Mine Action Old]]=0, tblPiNHistorical[[#This Row],[Mine Action New]]="", tblPiNHistorical[[#This Row],[Mine Action New]]=0), "", tblPiNHistorical[[#This Row],[Mine Action New]]-tblPiNHistorical[[#This Row],[Mine Action Old]])</f>
        <v/>
      </c>
      <c r="AO561" s="136">
        <f>IF(OR(tblPiNHistorical[[#This Row],[Shelter NFI Old]]="", tblPiNHistorical[[#This Row],[Shelter NFI Old]]=0, tblPiNHistorical[[#This Row],[Shelter NFI New]]="", tblPiNHistorical[[#This Row],[Shelter NFI New]]=0), "", tblPiNHistorical[[#This Row],[Shelter NFI New]]-tblPiNHistorical[[#This Row],[Shelter NFI Old]])</f>
        <v>27071</v>
      </c>
      <c r="AP561" s="138" t="str">
        <f>IF(OR(tblPiNHistorical[[#This Row],[WASH Old]]="", tblPiNHistorical[[#This Row],[WASH Old]]=0, tblPiNHistorical[[#This Row],[WASH New]]="", tblPiNHistorical[[#This Row],[WASH New]]=0), "", tblPiNHistorical[[#This Row],[WASH New]]-tblPiNHistorical[[#This Row],[WASH Old]])</f>
        <v/>
      </c>
      <c r="AQ561" s="139" t="str">
        <f>IFERROR(ROUND((tblPiNHistorical[[#This Row],[Site Management - New]] - tblPiNHistorical[[#This Row],[Site Management - Old]])/tblPiNHistorical[[#This Row],[Site Management - Old]], 1), "")</f>
        <v/>
      </c>
      <c r="AR561" s="140">
        <f>IFERROR(ROUND((tblPiNHistorical[[#This Row],[Education New]]-tblPiNHistorical[[#This Row],[Education Old]])/tblPiNHistorical[[#This Row],[Education Old]], 1), "")</f>
        <v>-1</v>
      </c>
      <c r="AS561" s="141">
        <f>IFERROR(ROUND((tblPiNHistorical[[#This Row],[Food Security and Livlihoods New]]-tblPiNHistorical[[#This Row],[Food Security and Livlihoods Old]])/tblPiNHistorical[[#This Row],[Food Security and Livlihoods Old]], 1), "")</f>
        <v>-1</v>
      </c>
      <c r="AT561" s="142">
        <f>IFERROR(ROUND((tblPiNHistorical[[#This Row],[Health New]]-tblPiNHistorical[[#This Row],[Health Old]])/tblPiNHistorical[[#This Row],[Health Old]], 1), "")</f>
        <v>-1</v>
      </c>
      <c r="AU561" s="140">
        <f>IFERROR(ROUND((tblPiNHistorical[[#This Row],[Nutrition New]]-tblPiNHistorical[[#This Row],[Nutrition Old]])/tblPiNHistorical[[#This Row],[Nutrition Old]], 1), "")</f>
        <v>-1</v>
      </c>
      <c r="AV561" s="140">
        <f>IFERROR(ROUND((tblPiNHistorical[[#This Row],[Protection New]]-tblPiNHistorical[[#This Row],[Protection Old]])/tblPiNHistorical[[#This Row],[Protection Old]], 1), "")</f>
        <v>-1</v>
      </c>
      <c r="AW561" s="84">
        <f>IFERROR(ROUND((tblPiNHistorical[[#This Row],[CP New]]-tblPiNHistorical[[#This Row],[CP Old ]])/tblPiNHistorical[[#This Row],[CP Old ]], 1), "")</f>
        <v>-1</v>
      </c>
      <c r="AX561" s="84">
        <f>IFERROR(ROUND((tblPiNHistorical[[#This Row],[GBV New]]-tblPiNHistorical[[#This Row],[GBV Old]])/tblPiNHistorical[[#This Row],[GBV Old]], 1), "")</f>
        <v>-1</v>
      </c>
      <c r="AY561" s="84" t="str">
        <f>IFERROR(ROUND((tblPiNHistorical[[#This Row],[Mine Action New]]-tblPiNHistorical[[#This Row],[Mine Action Old]])/tblPiNHistorical[[#This Row],[Mine Action Old]], 1), "")</f>
        <v/>
      </c>
      <c r="AZ561" s="140">
        <f>IFERROR(ROUND((tblPiNHistorical[[#This Row],[Shelter NFI New]]-tblPiNHistorical[[#This Row],[Shelter NFI Old]])/tblPiNHistorical[[#This Row],[Shelter NFI Old]], 1), "")</f>
        <v>6.7</v>
      </c>
      <c r="BA561" s="31">
        <f>IFERROR(ROUND((tblPiNHistorical[[#This Row],[WASH New]]-tblPiNHistorical[[#This Row],[WASH Old]])/tblPiNHistorical[[#This Row],[WASH Old]], 1), "")</f>
        <v>-1</v>
      </c>
    </row>
    <row r="562" spans="1:53" ht="38.25" x14ac:dyDescent="0.25">
      <c r="A562"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Host CommunitySD18021</v>
      </c>
      <c r="B562" s="134" t="s">
        <v>194</v>
      </c>
      <c r="C562" s="124" t="s">
        <v>135</v>
      </c>
      <c r="D562" s="124" t="s">
        <v>540</v>
      </c>
      <c r="E562" s="59" t="s">
        <v>541</v>
      </c>
      <c r="F562" s="54"/>
      <c r="G562" s="29"/>
      <c r="H562" s="53">
        <v>20041</v>
      </c>
      <c r="I562" s="53" t="s">
        <v>87</v>
      </c>
      <c r="J562" s="34">
        <v>0</v>
      </c>
      <c r="K562" s="116">
        <v>0</v>
      </c>
      <c r="L562" s="114">
        <v>20041</v>
      </c>
      <c r="M562" s="114">
        <v>20041</v>
      </c>
      <c r="N562" s="114">
        <v>2293</v>
      </c>
      <c r="O562" s="114">
        <v>5288</v>
      </c>
      <c r="P562" s="114">
        <v>2205</v>
      </c>
      <c r="Q562" s="114">
        <v>5288</v>
      </c>
      <c r="R562" s="114">
        <v>0</v>
      </c>
      <c r="S562" s="114">
        <v>4008</v>
      </c>
      <c r="T562" s="196">
        <v>19305.495299999999</v>
      </c>
      <c r="U562" s="52">
        <f>IFERROR(INDEX(tblPiNAnalysis[[Site Management ]], MATCH(tblPiNHistorical[[#This Row],[ID]], tblPiNAnalysis[ID], 0)), "")</f>
        <v>0</v>
      </c>
      <c r="V562" s="52">
        <f>IFERROR(INDEX(tblPiNAnalysis[Education], MATCH(tblPiNHistorical[[#This Row],[ID]], tblPiNAnalysis[ID], 0)), "")</f>
        <v>0</v>
      </c>
      <c r="W562" s="28">
        <f>IFERROR(INDEX(tblPiNAnalysis[Food Security and Livlihoods], MATCH(tblPiNHistorical[[#This Row],[ID]], tblPiNAnalysis[ID], 0)), "")</f>
        <v>0</v>
      </c>
      <c r="X562" s="28">
        <f>IFERROR(INDEX(tblPiNAnalysis[[Health ]], MATCH(tblPiNHistorical[[#This Row],[ID]], tblPiNAnalysis[ID], 0)), "")</f>
        <v>0</v>
      </c>
      <c r="Y562" s="28">
        <f>IFERROR(INDEX(tblPiNAnalysis[Nutrition], MATCH(tblPiNHistorical[[#This Row],[ID]], tblPiNAnalysis[ID], 0)), "")</f>
        <v>0</v>
      </c>
      <c r="Z562" s="28">
        <f>IFERROR(INDEX(tblPiNAnalysis[Protection], MATCH(tblPiNHistorical[[#This Row],[ID]], tblPiNAnalysis[ID], 0)), "")</f>
        <v>0</v>
      </c>
      <c r="AA562" s="28">
        <f>IFERROR(INDEX(tblPiNAnalysis[CP], MATCH(tblPiNHistorical[[#This Row],[ID]], tblPiNAnalysis[ID], 0)), "")</f>
        <v>0</v>
      </c>
      <c r="AB562" s="83">
        <f>IFERROR(INDEX(tblPiNAnalysis[GBV], MATCH(tblPiNHistorical[[#This Row],[ID]], tblPiNAnalysis[ID], 0)), "")</f>
        <v>0</v>
      </c>
      <c r="AC562" s="28">
        <f>IFERROR(INDEX(tblPiNAnalysis[Mine Action], MATCH(tblPiNHistorical[[#This Row],[ID]], tblPiNAnalysis[ID], 0)), "")</f>
        <v>0</v>
      </c>
      <c r="AD562" s="83">
        <f>IFERROR(INDEX(tblPiNAnalysis[[Shelter NFI ]], MATCH(tblPiNHistorical[[#This Row],[ID]], tblPiNAnalysis[ID], 0)), "")</f>
        <v>10740</v>
      </c>
      <c r="AE562" s="28">
        <f>IFERROR(INDEX(tblPiNAnalysis[WASH], MATCH(tblPiNHistorical[[#This Row],[ID]], tblPiNAnalysis[ID], 0)), "")</f>
        <v>0</v>
      </c>
      <c r="AF562"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562" s="136" t="str">
        <f>IF(OR(tblPiNHistorical[[#This Row],[Education Old]]="", tblPiNHistorical[[#This Row],[Education Old]]=0, tblPiNHistorical[[#This Row],[Education New]]="", tblPiNHistorical[[#This Row],[Education New]]=0), "", tblPiNHistorical[[#This Row],[Education New]]-tblPiNHistorical[[#This Row],[Education Old]])</f>
        <v/>
      </c>
      <c r="AH562"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562" s="137" t="str">
        <f>IF(OR(tblPiNHistorical[[#This Row],[Health Old]]="", tblPiNHistorical[[#This Row],[Health Old]]=0, tblPiNHistorical[[#This Row],[Health New]]="", tblPiNHistorical[[#This Row],[Health New]]=0), "", tblPiNHistorical[[#This Row],[Health New]]-tblPiNHistorical[[#This Row],[Health Old]])</f>
        <v/>
      </c>
      <c r="AJ562" s="136" t="str">
        <f>IF(OR(tblPiNHistorical[[#This Row],[Nutrition Old]]="", tblPiNHistorical[[#This Row],[Nutrition Old]]=0, tblPiNHistorical[[#This Row],[Nutrition New]]="", tblPiNHistorical[[#This Row],[Nutrition New]]=0), "", tblPiNHistorical[[#This Row],[Nutrition New]]-tblPiNHistorical[[#This Row],[Nutrition Old]])</f>
        <v/>
      </c>
      <c r="AK562" s="136" t="str">
        <f>IF(OR(tblPiNHistorical[[#This Row],[Protection Old]]="", tblPiNHistorical[[#This Row],[Protection Old]]=0, tblPiNHistorical[[#This Row],[Protection New]]="", tblPiNHistorical[[#This Row],[Protection New]]=0), "", tblPiNHistorical[[#This Row],[Protection New]]-tblPiNHistorical[[#This Row],[Protection Old]])</f>
        <v/>
      </c>
      <c r="AL562" s="136" t="str">
        <f>IF(OR(tblPiNHistorical[[#This Row],[CP Old ]]="", tblPiNHistorical[[#This Row],[CP Old ]]=0, tblPiNHistorical[[#This Row],[CP New]]="", tblPiNHistorical[[#This Row],[CP New]]=0), "", tblPiNHistorical[[#This Row],[CP New]]-tblPiNHistorical[[#This Row],[CP Old ]])</f>
        <v/>
      </c>
      <c r="AM562" s="83" t="str">
        <f>IF(OR(tblPiNHistorical[[#This Row],[GBV Old]]="", tblPiNHistorical[[#This Row],[GBV Old]]=0, tblPiNHistorical[[#This Row],[GBV New]]="", tblPiNHistorical[[#This Row],[GBV New]]=0), "", tblPiNHistorical[[#This Row],[GBV New]]-tblPiNHistorical[[#This Row],[GBV Old]])</f>
        <v/>
      </c>
      <c r="AN562" s="83" t="str">
        <f>IF(OR(tblPiNHistorical[[#This Row],[Mine Action Old]]="", tblPiNHistorical[[#This Row],[Mine Action Old]]=0, tblPiNHistorical[[#This Row],[Mine Action New]]="", tblPiNHistorical[[#This Row],[Mine Action New]]=0), "", tblPiNHistorical[[#This Row],[Mine Action New]]-tblPiNHistorical[[#This Row],[Mine Action Old]])</f>
        <v/>
      </c>
      <c r="AO562" s="136">
        <f>IF(OR(tblPiNHistorical[[#This Row],[Shelter NFI Old]]="", tblPiNHistorical[[#This Row],[Shelter NFI Old]]=0, tblPiNHistorical[[#This Row],[Shelter NFI New]]="", tblPiNHistorical[[#This Row],[Shelter NFI New]]=0), "", tblPiNHistorical[[#This Row],[Shelter NFI New]]-tblPiNHistorical[[#This Row],[Shelter NFI Old]])</f>
        <v>6732</v>
      </c>
      <c r="AP562" s="138" t="str">
        <f>IF(OR(tblPiNHistorical[[#This Row],[WASH Old]]="", tblPiNHistorical[[#This Row],[WASH Old]]=0, tblPiNHistorical[[#This Row],[WASH New]]="", tblPiNHistorical[[#This Row],[WASH New]]=0), "", tblPiNHistorical[[#This Row],[WASH New]]-tblPiNHistorical[[#This Row],[WASH Old]])</f>
        <v/>
      </c>
      <c r="AQ562" s="139" t="str">
        <f>IFERROR(ROUND((tblPiNHistorical[[#This Row],[Site Management - New]] - tblPiNHistorical[[#This Row],[Site Management - Old]])/tblPiNHistorical[[#This Row],[Site Management - Old]], 1), "")</f>
        <v/>
      </c>
      <c r="AR562" s="140" t="str">
        <f>IFERROR(ROUND((tblPiNHistorical[[#This Row],[Education New]]-tblPiNHistorical[[#This Row],[Education Old]])/tblPiNHistorical[[#This Row],[Education Old]], 1), "")</f>
        <v/>
      </c>
      <c r="AS562" s="141">
        <f>IFERROR(ROUND((tblPiNHistorical[[#This Row],[Food Security and Livlihoods New]]-tblPiNHistorical[[#This Row],[Food Security and Livlihoods Old]])/tblPiNHistorical[[#This Row],[Food Security and Livlihoods Old]], 1), "")</f>
        <v>-1</v>
      </c>
      <c r="AT562" s="142">
        <f>IFERROR(ROUND((tblPiNHistorical[[#This Row],[Health New]]-tblPiNHistorical[[#This Row],[Health Old]])/tblPiNHistorical[[#This Row],[Health Old]], 1), "")</f>
        <v>-1</v>
      </c>
      <c r="AU562" s="140">
        <f>IFERROR(ROUND((tblPiNHistorical[[#This Row],[Nutrition New]]-tblPiNHistorical[[#This Row],[Nutrition Old]])/tblPiNHistorical[[#This Row],[Nutrition Old]], 1), "")</f>
        <v>-1</v>
      </c>
      <c r="AV562" s="140">
        <f>IFERROR(ROUND((tblPiNHistorical[[#This Row],[Protection New]]-tblPiNHistorical[[#This Row],[Protection Old]])/tblPiNHistorical[[#This Row],[Protection Old]], 1), "")</f>
        <v>-1</v>
      </c>
      <c r="AW562" s="84">
        <f>IFERROR(ROUND((tblPiNHistorical[[#This Row],[CP New]]-tblPiNHistorical[[#This Row],[CP Old ]])/tblPiNHistorical[[#This Row],[CP Old ]], 1), "")</f>
        <v>-1</v>
      </c>
      <c r="AX562" s="84">
        <f>IFERROR(ROUND((tblPiNHistorical[[#This Row],[GBV New]]-tblPiNHistorical[[#This Row],[GBV Old]])/tblPiNHistorical[[#This Row],[GBV Old]], 1), "")</f>
        <v>-1</v>
      </c>
      <c r="AY562" s="84" t="str">
        <f>IFERROR(ROUND((tblPiNHistorical[[#This Row],[Mine Action New]]-tblPiNHistorical[[#This Row],[Mine Action Old]])/tblPiNHistorical[[#This Row],[Mine Action Old]], 1), "")</f>
        <v/>
      </c>
      <c r="AZ562" s="140">
        <f>IFERROR(ROUND((tblPiNHistorical[[#This Row],[Shelter NFI New]]-tblPiNHistorical[[#This Row],[Shelter NFI Old]])/tblPiNHistorical[[#This Row],[Shelter NFI Old]], 1), "")</f>
        <v>1.7</v>
      </c>
      <c r="BA562" s="31">
        <f>IFERROR(ROUND((tblPiNHistorical[[#This Row],[WASH New]]-tblPiNHistorical[[#This Row],[WASH Old]])/tblPiNHistorical[[#This Row],[WASH Old]], 1), "")</f>
        <v>-1</v>
      </c>
    </row>
    <row r="563" spans="1:53" ht="38.25" x14ac:dyDescent="0.25">
      <c r="A563"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Host CommunitySD18085</v>
      </c>
      <c r="B563" s="134" t="s">
        <v>194</v>
      </c>
      <c r="C563" s="124" t="s">
        <v>135</v>
      </c>
      <c r="D563" s="124" t="s">
        <v>548</v>
      </c>
      <c r="E563" s="59" t="s">
        <v>549</v>
      </c>
      <c r="F563" s="54"/>
      <c r="G563" s="29"/>
      <c r="H563" s="53">
        <v>20693</v>
      </c>
      <c r="I563" s="53" t="s">
        <v>87</v>
      </c>
      <c r="J563" s="34">
        <v>0</v>
      </c>
      <c r="K563" s="116">
        <v>8022.6760999999997</v>
      </c>
      <c r="L563" s="114">
        <v>20693</v>
      </c>
      <c r="M563" s="114">
        <v>20693</v>
      </c>
      <c r="N563" s="114">
        <v>1320</v>
      </c>
      <c r="O563" s="114">
        <v>2276.2300000000005</v>
      </c>
      <c r="P563" s="114">
        <v>2276</v>
      </c>
      <c r="Q563" s="114">
        <v>0</v>
      </c>
      <c r="R563" s="114">
        <v>0</v>
      </c>
      <c r="S563" s="114">
        <v>0</v>
      </c>
      <c r="T563" s="196">
        <v>7201.1639999999998</v>
      </c>
      <c r="U563" s="52">
        <f>IFERROR(INDEX(tblPiNAnalysis[[Site Management ]], MATCH(tblPiNHistorical[[#This Row],[ID]], tblPiNAnalysis[ID], 0)), "")</f>
        <v>0</v>
      </c>
      <c r="V563" s="52">
        <f>IFERROR(INDEX(tblPiNAnalysis[Education], MATCH(tblPiNHistorical[[#This Row],[ID]], tblPiNAnalysis[ID], 0)), "")</f>
        <v>0</v>
      </c>
      <c r="W563" s="28">
        <f>IFERROR(INDEX(tblPiNAnalysis[Food Security and Livlihoods], MATCH(tblPiNHistorical[[#This Row],[ID]], tblPiNAnalysis[ID], 0)), "")</f>
        <v>0</v>
      </c>
      <c r="X563" s="28">
        <f>IFERROR(INDEX(tblPiNAnalysis[[Health ]], MATCH(tblPiNHistorical[[#This Row],[ID]], tblPiNAnalysis[ID], 0)), "")</f>
        <v>0</v>
      </c>
      <c r="Y563" s="28">
        <f>IFERROR(INDEX(tblPiNAnalysis[Nutrition], MATCH(tblPiNHistorical[[#This Row],[ID]], tblPiNAnalysis[ID], 0)), "")</f>
        <v>0</v>
      </c>
      <c r="Z563" s="28">
        <f>IFERROR(INDEX(tblPiNAnalysis[Protection], MATCH(tblPiNHistorical[[#This Row],[ID]], tblPiNAnalysis[ID], 0)), "")</f>
        <v>0</v>
      </c>
      <c r="AA563" s="28">
        <f>IFERROR(INDEX(tblPiNAnalysis[CP], MATCH(tblPiNHistorical[[#This Row],[ID]], tblPiNAnalysis[ID], 0)), "")</f>
        <v>0</v>
      </c>
      <c r="AB563" s="83">
        <f>IFERROR(INDEX(tblPiNAnalysis[GBV], MATCH(tblPiNHistorical[[#This Row],[ID]], tblPiNAnalysis[ID], 0)), "")</f>
        <v>0</v>
      </c>
      <c r="AC563" s="28">
        <f>IFERROR(INDEX(tblPiNAnalysis[Mine Action], MATCH(tblPiNHistorical[[#This Row],[ID]], tblPiNAnalysis[ID], 0)), "")</f>
        <v>0</v>
      </c>
      <c r="AD563" s="83">
        <f>IFERROR(INDEX(tblPiNAnalysis[[Shelter NFI ]], MATCH(tblPiNHistorical[[#This Row],[ID]], tblPiNAnalysis[ID], 0)), "")</f>
        <v>16026</v>
      </c>
      <c r="AE563" s="28">
        <f>IFERROR(INDEX(tblPiNAnalysis[WASH], MATCH(tblPiNHistorical[[#This Row],[ID]], tblPiNAnalysis[ID], 0)), "")</f>
        <v>0</v>
      </c>
      <c r="AF563"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563" s="136" t="str">
        <f>IF(OR(tblPiNHistorical[[#This Row],[Education Old]]="", tblPiNHistorical[[#This Row],[Education Old]]=0, tblPiNHistorical[[#This Row],[Education New]]="", tblPiNHistorical[[#This Row],[Education New]]=0), "", tblPiNHistorical[[#This Row],[Education New]]-tblPiNHistorical[[#This Row],[Education Old]])</f>
        <v/>
      </c>
      <c r="AH563"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563" s="137" t="str">
        <f>IF(OR(tblPiNHistorical[[#This Row],[Health Old]]="", tblPiNHistorical[[#This Row],[Health Old]]=0, tblPiNHistorical[[#This Row],[Health New]]="", tblPiNHistorical[[#This Row],[Health New]]=0), "", tblPiNHistorical[[#This Row],[Health New]]-tblPiNHistorical[[#This Row],[Health Old]])</f>
        <v/>
      </c>
      <c r="AJ563" s="136" t="str">
        <f>IF(OR(tblPiNHistorical[[#This Row],[Nutrition Old]]="", tblPiNHistorical[[#This Row],[Nutrition Old]]=0, tblPiNHistorical[[#This Row],[Nutrition New]]="", tblPiNHistorical[[#This Row],[Nutrition New]]=0), "", tblPiNHistorical[[#This Row],[Nutrition New]]-tblPiNHistorical[[#This Row],[Nutrition Old]])</f>
        <v/>
      </c>
      <c r="AK563" s="136" t="str">
        <f>IF(OR(tblPiNHistorical[[#This Row],[Protection Old]]="", tblPiNHistorical[[#This Row],[Protection Old]]=0, tblPiNHistorical[[#This Row],[Protection New]]="", tblPiNHistorical[[#This Row],[Protection New]]=0), "", tblPiNHistorical[[#This Row],[Protection New]]-tblPiNHistorical[[#This Row],[Protection Old]])</f>
        <v/>
      </c>
      <c r="AL563" s="136" t="str">
        <f>IF(OR(tblPiNHistorical[[#This Row],[CP Old ]]="", tblPiNHistorical[[#This Row],[CP Old ]]=0, tblPiNHistorical[[#This Row],[CP New]]="", tblPiNHistorical[[#This Row],[CP New]]=0), "", tblPiNHistorical[[#This Row],[CP New]]-tblPiNHistorical[[#This Row],[CP Old ]])</f>
        <v/>
      </c>
      <c r="AM563" s="83" t="str">
        <f>IF(OR(tblPiNHistorical[[#This Row],[GBV Old]]="", tblPiNHistorical[[#This Row],[GBV Old]]=0, tblPiNHistorical[[#This Row],[GBV New]]="", tblPiNHistorical[[#This Row],[GBV New]]=0), "", tblPiNHistorical[[#This Row],[GBV New]]-tblPiNHistorical[[#This Row],[GBV Old]])</f>
        <v/>
      </c>
      <c r="AN563" s="83" t="str">
        <f>IF(OR(tblPiNHistorical[[#This Row],[Mine Action Old]]="", tblPiNHistorical[[#This Row],[Mine Action Old]]=0, tblPiNHistorical[[#This Row],[Mine Action New]]="", tblPiNHistorical[[#This Row],[Mine Action New]]=0), "", tblPiNHistorical[[#This Row],[Mine Action New]]-tblPiNHistorical[[#This Row],[Mine Action Old]])</f>
        <v/>
      </c>
      <c r="AO563" s="136" t="str">
        <f>IF(OR(tblPiNHistorical[[#This Row],[Shelter NFI Old]]="", tblPiNHistorical[[#This Row],[Shelter NFI Old]]=0, tblPiNHistorical[[#This Row],[Shelter NFI New]]="", tblPiNHistorical[[#This Row],[Shelter NFI New]]=0), "", tblPiNHistorical[[#This Row],[Shelter NFI New]]-tblPiNHistorical[[#This Row],[Shelter NFI Old]])</f>
        <v/>
      </c>
      <c r="AP563" s="138" t="str">
        <f>IF(OR(tblPiNHistorical[[#This Row],[WASH Old]]="", tblPiNHistorical[[#This Row],[WASH Old]]=0, tblPiNHistorical[[#This Row],[WASH New]]="", tblPiNHistorical[[#This Row],[WASH New]]=0), "", tblPiNHistorical[[#This Row],[WASH New]]-tblPiNHistorical[[#This Row],[WASH Old]])</f>
        <v/>
      </c>
      <c r="AQ563" s="139" t="str">
        <f>IFERROR(ROUND((tblPiNHistorical[[#This Row],[Site Management - New]] - tblPiNHistorical[[#This Row],[Site Management - Old]])/tblPiNHistorical[[#This Row],[Site Management - Old]], 1), "")</f>
        <v/>
      </c>
      <c r="AR563" s="140">
        <f>IFERROR(ROUND((tblPiNHistorical[[#This Row],[Education New]]-tblPiNHistorical[[#This Row],[Education Old]])/tblPiNHistorical[[#This Row],[Education Old]], 1), "")</f>
        <v>-1</v>
      </c>
      <c r="AS563" s="141">
        <f>IFERROR(ROUND((tblPiNHistorical[[#This Row],[Food Security and Livlihoods New]]-tblPiNHistorical[[#This Row],[Food Security and Livlihoods Old]])/tblPiNHistorical[[#This Row],[Food Security and Livlihoods Old]], 1), "")</f>
        <v>-1</v>
      </c>
      <c r="AT563" s="142">
        <f>IFERROR(ROUND((tblPiNHistorical[[#This Row],[Health New]]-tblPiNHistorical[[#This Row],[Health Old]])/tblPiNHistorical[[#This Row],[Health Old]], 1), "")</f>
        <v>-1</v>
      </c>
      <c r="AU563" s="140">
        <f>IFERROR(ROUND((tblPiNHistorical[[#This Row],[Nutrition New]]-tblPiNHistorical[[#This Row],[Nutrition Old]])/tblPiNHistorical[[#This Row],[Nutrition Old]], 1), "")</f>
        <v>-1</v>
      </c>
      <c r="AV563" s="140">
        <f>IFERROR(ROUND((tblPiNHistorical[[#This Row],[Protection New]]-tblPiNHistorical[[#This Row],[Protection Old]])/tblPiNHistorical[[#This Row],[Protection Old]], 1), "")</f>
        <v>-1</v>
      </c>
      <c r="AW563" s="84">
        <f>IFERROR(ROUND((tblPiNHistorical[[#This Row],[CP New]]-tblPiNHistorical[[#This Row],[CP Old ]])/tblPiNHistorical[[#This Row],[CP Old ]], 1), "")</f>
        <v>-1</v>
      </c>
      <c r="AX563" s="84" t="str">
        <f>IFERROR(ROUND((tblPiNHistorical[[#This Row],[GBV New]]-tblPiNHistorical[[#This Row],[GBV Old]])/tblPiNHistorical[[#This Row],[GBV Old]], 1), "")</f>
        <v/>
      </c>
      <c r="AY563" s="84" t="str">
        <f>IFERROR(ROUND((tblPiNHistorical[[#This Row],[Mine Action New]]-tblPiNHistorical[[#This Row],[Mine Action Old]])/tblPiNHistorical[[#This Row],[Mine Action Old]], 1), "")</f>
        <v/>
      </c>
      <c r="AZ563" s="140" t="str">
        <f>IFERROR(ROUND((tblPiNHistorical[[#This Row],[Shelter NFI New]]-tblPiNHistorical[[#This Row],[Shelter NFI Old]])/tblPiNHistorical[[#This Row],[Shelter NFI Old]], 1), "")</f>
        <v/>
      </c>
      <c r="BA563" s="31">
        <f>IFERROR(ROUND((tblPiNHistorical[[#This Row],[WASH New]]-tblPiNHistorical[[#This Row],[WASH Old]])/tblPiNHistorical[[#This Row],[WASH Old]], 1), "")</f>
        <v>-1</v>
      </c>
    </row>
    <row r="564" spans="1:53" ht="38.25" x14ac:dyDescent="0.25">
      <c r="A564"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Host CommunitySD18029</v>
      </c>
      <c r="B564" s="134" t="s">
        <v>194</v>
      </c>
      <c r="C564" s="124" t="s">
        <v>135</v>
      </c>
      <c r="D564" s="124" t="s">
        <v>546</v>
      </c>
      <c r="E564" s="59" t="s">
        <v>547</v>
      </c>
      <c r="F564" s="54"/>
      <c r="G564" s="29"/>
      <c r="H564" s="53">
        <v>4607</v>
      </c>
      <c r="I564" s="53" t="s">
        <v>87</v>
      </c>
      <c r="J564" s="34">
        <v>0</v>
      </c>
      <c r="K564" s="116">
        <v>0</v>
      </c>
      <c r="L564" s="114">
        <v>4607</v>
      </c>
      <c r="M564" s="114">
        <v>4607</v>
      </c>
      <c r="N564" s="114">
        <v>507</v>
      </c>
      <c r="O564" s="114">
        <v>1215</v>
      </c>
      <c r="P564" s="114">
        <v>507</v>
      </c>
      <c r="Q564" s="114">
        <v>1215</v>
      </c>
      <c r="R564" s="114">
        <v>0</v>
      </c>
      <c r="S564" s="114">
        <v>0</v>
      </c>
      <c r="T564" s="196">
        <v>3370.9418999999998</v>
      </c>
      <c r="U564" s="52">
        <f>IFERROR(INDEX(tblPiNAnalysis[[Site Management ]], MATCH(tblPiNHistorical[[#This Row],[ID]], tblPiNAnalysis[ID], 0)), "")</f>
        <v>0</v>
      </c>
      <c r="V564" s="52">
        <f>IFERROR(INDEX(tblPiNAnalysis[Education], MATCH(tblPiNHistorical[[#This Row],[ID]], tblPiNAnalysis[ID], 0)), "")</f>
        <v>0</v>
      </c>
      <c r="W564" s="28">
        <f>IFERROR(INDEX(tblPiNAnalysis[Food Security and Livlihoods], MATCH(tblPiNHistorical[[#This Row],[ID]], tblPiNAnalysis[ID], 0)), "")</f>
        <v>0</v>
      </c>
      <c r="X564" s="28">
        <f>IFERROR(INDEX(tblPiNAnalysis[[Health ]], MATCH(tblPiNHistorical[[#This Row],[ID]], tblPiNAnalysis[ID], 0)), "")</f>
        <v>0</v>
      </c>
      <c r="Y564" s="28">
        <f>IFERROR(INDEX(tblPiNAnalysis[Nutrition], MATCH(tblPiNHistorical[[#This Row],[ID]], tblPiNAnalysis[ID], 0)), "")</f>
        <v>0</v>
      </c>
      <c r="Z564" s="28">
        <f>IFERROR(INDEX(tblPiNAnalysis[Protection], MATCH(tblPiNHistorical[[#This Row],[ID]], tblPiNAnalysis[ID], 0)), "")</f>
        <v>0</v>
      </c>
      <c r="AA564" s="28">
        <f>IFERROR(INDEX(tblPiNAnalysis[CP], MATCH(tblPiNHistorical[[#This Row],[ID]], tblPiNAnalysis[ID], 0)), "")</f>
        <v>0</v>
      </c>
      <c r="AB564" s="83">
        <f>IFERROR(INDEX(tblPiNAnalysis[GBV], MATCH(tblPiNHistorical[[#This Row],[ID]], tblPiNAnalysis[ID], 0)), "")</f>
        <v>0</v>
      </c>
      <c r="AC564" s="28">
        <f>IFERROR(INDEX(tblPiNAnalysis[Mine Action], MATCH(tblPiNHistorical[[#This Row],[ID]], tblPiNAnalysis[ID], 0)), "")</f>
        <v>0</v>
      </c>
      <c r="AD564" s="83">
        <f>IFERROR(INDEX(tblPiNAnalysis[[Shelter NFI ]], MATCH(tblPiNHistorical[[#This Row],[ID]], tblPiNAnalysis[ID], 0)), "")</f>
        <v>3670</v>
      </c>
      <c r="AE564" s="28">
        <f>IFERROR(INDEX(tblPiNAnalysis[WASH], MATCH(tblPiNHistorical[[#This Row],[ID]], tblPiNAnalysis[ID], 0)), "")</f>
        <v>0</v>
      </c>
      <c r="AF564"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564" s="136" t="str">
        <f>IF(OR(tblPiNHistorical[[#This Row],[Education Old]]="", tblPiNHistorical[[#This Row],[Education Old]]=0, tblPiNHistorical[[#This Row],[Education New]]="", tblPiNHistorical[[#This Row],[Education New]]=0), "", tblPiNHistorical[[#This Row],[Education New]]-tblPiNHistorical[[#This Row],[Education Old]])</f>
        <v/>
      </c>
      <c r="AH564"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564" s="137" t="str">
        <f>IF(OR(tblPiNHistorical[[#This Row],[Health Old]]="", tblPiNHistorical[[#This Row],[Health Old]]=0, tblPiNHistorical[[#This Row],[Health New]]="", tblPiNHistorical[[#This Row],[Health New]]=0), "", tblPiNHistorical[[#This Row],[Health New]]-tblPiNHistorical[[#This Row],[Health Old]])</f>
        <v/>
      </c>
      <c r="AJ564" s="136" t="str">
        <f>IF(OR(tblPiNHistorical[[#This Row],[Nutrition Old]]="", tblPiNHistorical[[#This Row],[Nutrition Old]]=0, tblPiNHistorical[[#This Row],[Nutrition New]]="", tblPiNHistorical[[#This Row],[Nutrition New]]=0), "", tblPiNHistorical[[#This Row],[Nutrition New]]-tblPiNHistorical[[#This Row],[Nutrition Old]])</f>
        <v/>
      </c>
      <c r="AK564" s="136" t="str">
        <f>IF(OR(tblPiNHistorical[[#This Row],[Protection Old]]="", tblPiNHistorical[[#This Row],[Protection Old]]=0, tblPiNHistorical[[#This Row],[Protection New]]="", tblPiNHistorical[[#This Row],[Protection New]]=0), "", tblPiNHistorical[[#This Row],[Protection New]]-tblPiNHistorical[[#This Row],[Protection Old]])</f>
        <v/>
      </c>
      <c r="AL564" s="136" t="str">
        <f>IF(OR(tblPiNHistorical[[#This Row],[CP Old ]]="", tblPiNHistorical[[#This Row],[CP Old ]]=0, tblPiNHistorical[[#This Row],[CP New]]="", tblPiNHistorical[[#This Row],[CP New]]=0), "", tblPiNHistorical[[#This Row],[CP New]]-tblPiNHistorical[[#This Row],[CP Old ]])</f>
        <v/>
      </c>
      <c r="AM564" s="83" t="str">
        <f>IF(OR(tblPiNHistorical[[#This Row],[GBV Old]]="", tblPiNHistorical[[#This Row],[GBV Old]]=0, tblPiNHistorical[[#This Row],[GBV New]]="", tblPiNHistorical[[#This Row],[GBV New]]=0), "", tblPiNHistorical[[#This Row],[GBV New]]-tblPiNHistorical[[#This Row],[GBV Old]])</f>
        <v/>
      </c>
      <c r="AN564" s="83" t="str">
        <f>IF(OR(tblPiNHistorical[[#This Row],[Mine Action Old]]="", tblPiNHistorical[[#This Row],[Mine Action Old]]=0, tblPiNHistorical[[#This Row],[Mine Action New]]="", tblPiNHistorical[[#This Row],[Mine Action New]]=0), "", tblPiNHistorical[[#This Row],[Mine Action New]]-tblPiNHistorical[[#This Row],[Mine Action Old]])</f>
        <v/>
      </c>
      <c r="AO564" s="136" t="str">
        <f>IF(OR(tblPiNHistorical[[#This Row],[Shelter NFI Old]]="", tblPiNHistorical[[#This Row],[Shelter NFI Old]]=0, tblPiNHistorical[[#This Row],[Shelter NFI New]]="", tblPiNHistorical[[#This Row],[Shelter NFI New]]=0), "", tblPiNHistorical[[#This Row],[Shelter NFI New]]-tblPiNHistorical[[#This Row],[Shelter NFI Old]])</f>
        <v/>
      </c>
      <c r="AP564" s="138" t="str">
        <f>IF(OR(tblPiNHistorical[[#This Row],[WASH Old]]="", tblPiNHistorical[[#This Row],[WASH Old]]=0, tblPiNHistorical[[#This Row],[WASH New]]="", tblPiNHistorical[[#This Row],[WASH New]]=0), "", tblPiNHistorical[[#This Row],[WASH New]]-tblPiNHistorical[[#This Row],[WASH Old]])</f>
        <v/>
      </c>
      <c r="AQ564" s="139" t="str">
        <f>IFERROR(ROUND((tblPiNHistorical[[#This Row],[Site Management - New]] - tblPiNHistorical[[#This Row],[Site Management - Old]])/tblPiNHistorical[[#This Row],[Site Management - Old]], 1), "")</f>
        <v/>
      </c>
      <c r="AR564" s="140" t="str">
        <f>IFERROR(ROUND((tblPiNHistorical[[#This Row],[Education New]]-tblPiNHistorical[[#This Row],[Education Old]])/tblPiNHistorical[[#This Row],[Education Old]], 1), "")</f>
        <v/>
      </c>
      <c r="AS564" s="141">
        <f>IFERROR(ROUND((tblPiNHistorical[[#This Row],[Food Security and Livlihoods New]]-tblPiNHistorical[[#This Row],[Food Security and Livlihoods Old]])/tblPiNHistorical[[#This Row],[Food Security and Livlihoods Old]], 1), "")</f>
        <v>-1</v>
      </c>
      <c r="AT564" s="142">
        <f>IFERROR(ROUND((tblPiNHistorical[[#This Row],[Health New]]-tblPiNHistorical[[#This Row],[Health Old]])/tblPiNHistorical[[#This Row],[Health Old]], 1), "")</f>
        <v>-1</v>
      </c>
      <c r="AU564" s="140">
        <f>IFERROR(ROUND((tblPiNHistorical[[#This Row],[Nutrition New]]-tblPiNHistorical[[#This Row],[Nutrition Old]])/tblPiNHistorical[[#This Row],[Nutrition Old]], 1), "")</f>
        <v>-1</v>
      </c>
      <c r="AV564" s="140">
        <f>IFERROR(ROUND((tblPiNHistorical[[#This Row],[Protection New]]-tblPiNHistorical[[#This Row],[Protection Old]])/tblPiNHistorical[[#This Row],[Protection Old]], 1), "")</f>
        <v>-1</v>
      </c>
      <c r="AW564" s="84">
        <f>IFERROR(ROUND((tblPiNHistorical[[#This Row],[CP New]]-tblPiNHistorical[[#This Row],[CP Old ]])/tblPiNHistorical[[#This Row],[CP Old ]], 1), "")</f>
        <v>-1</v>
      </c>
      <c r="AX564" s="84">
        <f>IFERROR(ROUND((tblPiNHistorical[[#This Row],[GBV New]]-tblPiNHistorical[[#This Row],[GBV Old]])/tblPiNHistorical[[#This Row],[GBV Old]], 1), "")</f>
        <v>-1</v>
      </c>
      <c r="AY564" s="84" t="str">
        <f>IFERROR(ROUND((tblPiNHistorical[[#This Row],[Mine Action New]]-tblPiNHistorical[[#This Row],[Mine Action Old]])/tblPiNHistorical[[#This Row],[Mine Action Old]], 1), "")</f>
        <v/>
      </c>
      <c r="AZ564" s="140" t="str">
        <f>IFERROR(ROUND((tblPiNHistorical[[#This Row],[Shelter NFI New]]-tblPiNHistorical[[#This Row],[Shelter NFI Old]])/tblPiNHistorical[[#This Row],[Shelter NFI Old]], 1), "")</f>
        <v/>
      </c>
      <c r="BA564" s="31">
        <f>IFERROR(ROUND((tblPiNHistorical[[#This Row],[WASH New]]-tblPiNHistorical[[#This Row],[WASH Old]])/tblPiNHistorical[[#This Row],[WASH Old]], 1), "")</f>
        <v>-1</v>
      </c>
    </row>
    <row r="565" spans="1:53" ht="38.25" x14ac:dyDescent="0.25">
      <c r="A565"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Host CommunitySD09044</v>
      </c>
      <c r="B565" s="134" t="s">
        <v>197</v>
      </c>
      <c r="C565" s="124" t="s">
        <v>126</v>
      </c>
      <c r="D565" s="124" t="s">
        <v>384</v>
      </c>
      <c r="E565" s="59" t="s">
        <v>385</v>
      </c>
      <c r="F565" s="54"/>
      <c r="G565" s="29"/>
      <c r="H565" s="53">
        <v>70236</v>
      </c>
      <c r="I565" s="53" t="s">
        <v>87</v>
      </c>
      <c r="J565" s="34">
        <v>0</v>
      </c>
      <c r="K565" s="116">
        <v>27230.497199999998</v>
      </c>
      <c r="L565" s="114">
        <v>17559</v>
      </c>
      <c r="M565" s="114">
        <v>70236</v>
      </c>
      <c r="N565" s="114">
        <v>4543</v>
      </c>
      <c r="O565" s="114">
        <v>22240</v>
      </c>
      <c r="P565" s="114">
        <v>7726</v>
      </c>
      <c r="Q565" s="114">
        <v>22240</v>
      </c>
      <c r="R565" s="114">
        <v>0</v>
      </c>
      <c r="S565" s="114">
        <v>21071</v>
      </c>
      <c r="T565" s="196">
        <v>44276.774400000002</v>
      </c>
      <c r="U565" s="52">
        <f>IFERROR(INDEX(tblPiNAnalysis[[Site Management ]], MATCH(tblPiNHistorical[[#This Row],[ID]], tblPiNAnalysis[ID], 0)), "")</f>
        <v>0</v>
      </c>
      <c r="V565" s="52">
        <f>IFERROR(INDEX(tblPiNAnalysis[Education], MATCH(tblPiNHistorical[[#This Row],[ID]], tblPiNAnalysis[ID], 0)), "")</f>
        <v>0</v>
      </c>
      <c r="W565" s="28">
        <f>IFERROR(INDEX(tblPiNAnalysis[Food Security and Livlihoods], MATCH(tblPiNHistorical[[#This Row],[ID]], tblPiNAnalysis[ID], 0)), "")</f>
        <v>0</v>
      </c>
      <c r="X565" s="28">
        <f>IFERROR(INDEX(tblPiNAnalysis[[Health ]], MATCH(tblPiNHistorical[[#This Row],[ID]], tblPiNAnalysis[ID], 0)), "")</f>
        <v>0</v>
      </c>
      <c r="Y565" s="28">
        <f>IFERROR(INDEX(tblPiNAnalysis[Nutrition], MATCH(tblPiNHistorical[[#This Row],[ID]], tblPiNAnalysis[ID], 0)), "")</f>
        <v>0</v>
      </c>
      <c r="Z565" s="28">
        <f>IFERROR(INDEX(tblPiNAnalysis[Protection], MATCH(tblPiNHistorical[[#This Row],[ID]], tblPiNAnalysis[ID], 0)), "")</f>
        <v>0</v>
      </c>
      <c r="AA565" s="28">
        <f>IFERROR(INDEX(tblPiNAnalysis[CP], MATCH(tblPiNHistorical[[#This Row],[ID]], tblPiNAnalysis[ID], 0)), "")</f>
        <v>0</v>
      </c>
      <c r="AB565" s="83">
        <f>IFERROR(INDEX(tblPiNAnalysis[GBV], MATCH(tblPiNHistorical[[#This Row],[ID]], tblPiNAnalysis[ID], 0)), "")</f>
        <v>0</v>
      </c>
      <c r="AC565" s="28">
        <f>IFERROR(INDEX(tblPiNAnalysis[Mine Action], MATCH(tblPiNHistorical[[#This Row],[ID]], tblPiNAnalysis[ID], 0)), "")</f>
        <v>0</v>
      </c>
      <c r="AD565" s="83">
        <f>IFERROR(INDEX(tblPiNAnalysis[[Shelter NFI ]], MATCH(tblPiNHistorical[[#This Row],[ID]], tblPiNAnalysis[ID], 0)), "")</f>
        <v>52030</v>
      </c>
      <c r="AE565" s="28">
        <f>IFERROR(INDEX(tblPiNAnalysis[WASH], MATCH(tblPiNHistorical[[#This Row],[ID]], tblPiNAnalysis[ID], 0)), "")</f>
        <v>0</v>
      </c>
      <c r="AF565"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565" s="136" t="str">
        <f>IF(OR(tblPiNHistorical[[#This Row],[Education Old]]="", tblPiNHistorical[[#This Row],[Education Old]]=0, tblPiNHistorical[[#This Row],[Education New]]="", tblPiNHistorical[[#This Row],[Education New]]=0), "", tblPiNHistorical[[#This Row],[Education New]]-tblPiNHistorical[[#This Row],[Education Old]])</f>
        <v/>
      </c>
      <c r="AH565"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565" s="137" t="str">
        <f>IF(OR(tblPiNHistorical[[#This Row],[Health Old]]="", tblPiNHistorical[[#This Row],[Health Old]]=0, tblPiNHistorical[[#This Row],[Health New]]="", tblPiNHistorical[[#This Row],[Health New]]=0), "", tblPiNHistorical[[#This Row],[Health New]]-tblPiNHistorical[[#This Row],[Health Old]])</f>
        <v/>
      </c>
      <c r="AJ565" s="136" t="str">
        <f>IF(OR(tblPiNHistorical[[#This Row],[Nutrition Old]]="", tblPiNHistorical[[#This Row],[Nutrition Old]]=0, tblPiNHistorical[[#This Row],[Nutrition New]]="", tblPiNHistorical[[#This Row],[Nutrition New]]=0), "", tblPiNHistorical[[#This Row],[Nutrition New]]-tblPiNHistorical[[#This Row],[Nutrition Old]])</f>
        <v/>
      </c>
      <c r="AK565" s="136" t="str">
        <f>IF(OR(tblPiNHistorical[[#This Row],[Protection Old]]="", tblPiNHistorical[[#This Row],[Protection Old]]=0, tblPiNHistorical[[#This Row],[Protection New]]="", tblPiNHistorical[[#This Row],[Protection New]]=0), "", tblPiNHistorical[[#This Row],[Protection New]]-tblPiNHistorical[[#This Row],[Protection Old]])</f>
        <v/>
      </c>
      <c r="AL565" s="136" t="str">
        <f>IF(OR(tblPiNHistorical[[#This Row],[CP Old ]]="", tblPiNHistorical[[#This Row],[CP Old ]]=0, tblPiNHistorical[[#This Row],[CP New]]="", tblPiNHistorical[[#This Row],[CP New]]=0), "", tblPiNHistorical[[#This Row],[CP New]]-tblPiNHistorical[[#This Row],[CP Old ]])</f>
        <v/>
      </c>
      <c r="AM565" s="83" t="str">
        <f>IF(OR(tblPiNHistorical[[#This Row],[GBV Old]]="", tblPiNHistorical[[#This Row],[GBV Old]]=0, tblPiNHistorical[[#This Row],[GBV New]]="", tblPiNHistorical[[#This Row],[GBV New]]=0), "", tblPiNHistorical[[#This Row],[GBV New]]-tblPiNHistorical[[#This Row],[GBV Old]])</f>
        <v/>
      </c>
      <c r="AN565" s="83" t="str">
        <f>IF(OR(tblPiNHistorical[[#This Row],[Mine Action Old]]="", tblPiNHistorical[[#This Row],[Mine Action Old]]=0, tblPiNHistorical[[#This Row],[Mine Action New]]="", tblPiNHistorical[[#This Row],[Mine Action New]]=0), "", tblPiNHistorical[[#This Row],[Mine Action New]]-tblPiNHistorical[[#This Row],[Mine Action Old]])</f>
        <v/>
      </c>
      <c r="AO565" s="136">
        <f>IF(OR(tblPiNHistorical[[#This Row],[Shelter NFI Old]]="", tblPiNHistorical[[#This Row],[Shelter NFI Old]]=0, tblPiNHistorical[[#This Row],[Shelter NFI New]]="", tblPiNHistorical[[#This Row],[Shelter NFI New]]=0), "", tblPiNHistorical[[#This Row],[Shelter NFI New]]-tblPiNHistorical[[#This Row],[Shelter NFI Old]])</f>
        <v>30959</v>
      </c>
      <c r="AP565" s="138" t="str">
        <f>IF(OR(tblPiNHistorical[[#This Row],[WASH Old]]="", tblPiNHistorical[[#This Row],[WASH Old]]=0, tblPiNHistorical[[#This Row],[WASH New]]="", tblPiNHistorical[[#This Row],[WASH New]]=0), "", tblPiNHistorical[[#This Row],[WASH New]]-tblPiNHistorical[[#This Row],[WASH Old]])</f>
        <v/>
      </c>
      <c r="AQ565" s="139" t="str">
        <f>IFERROR(ROUND((tblPiNHistorical[[#This Row],[Site Management - New]] - tblPiNHistorical[[#This Row],[Site Management - Old]])/tblPiNHistorical[[#This Row],[Site Management - Old]], 1), "")</f>
        <v/>
      </c>
      <c r="AR565" s="140">
        <f>IFERROR(ROUND((tblPiNHistorical[[#This Row],[Education New]]-tblPiNHistorical[[#This Row],[Education Old]])/tblPiNHistorical[[#This Row],[Education Old]], 1), "")</f>
        <v>-1</v>
      </c>
      <c r="AS565" s="141">
        <f>IFERROR(ROUND((tblPiNHistorical[[#This Row],[Food Security and Livlihoods New]]-tblPiNHistorical[[#This Row],[Food Security and Livlihoods Old]])/tblPiNHistorical[[#This Row],[Food Security and Livlihoods Old]], 1), "")</f>
        <v>-1</v>
      </c>
      <c r="AT565" s="142">
        <f>IFERROR(ROUND((tblPiNHistorical[[#This Row],[Health New]]-tblPiNHistorical[[#This Row],[Health Old]])/tblPiNHistorical[[#This Row],[Health Old]], 1), "")</f>
        <v>-1</v>
      </c>
      <c r="AU565" s="140">
        <f>IFERROR(ROUND((tblPiNHistorical[[#This Row],[Nutrition New]]-tblPiNHistorical[[#This Row],[Nutrition Old]])/tblPiNHistorical[[#This Row],[Nutrition Old]], 1), "")</f>
        <v>-1</v>
      </c>
      <c r="AV565" s="140">
        <f>IFERROR(ROUND((tblPiNHistorical[[#This Row],[Protection New]]-tblPiNHistorical[[#This Row],[Protection Old]])/tblPiNHistorical[[#This Row],[Protection Old]], 1), "")</f>
        <v>-1</v>
      </c>
      <c r="AW565" s="84">
        <f>IFERROR(ROUND((tblPiNHistorical[[#This Row],[CP New]]-tblPiNHistorical[[#This Row],[CP Old ]])/tblPiNHistorical[[#This Row],[CP Old ]], 1), "")</f>
        <v>-1</v>
      </c>
      <c r="AX565" s="84">
        <f>IFERROR(ROUND((tblPiNHistorical[[#This Row],[GBV New]]-tblPiNHistorical[[#This Row],[GBV Old]])/tblPiNHistorical[[#This Row],[GBV Old]], 1), "")</f>
        <v>-1</v>
      </c>
      <c r="AY565" s="84" t="str">
        <f>IFERROR(ROUND((tblPiNHistorical[[#This Row],[Mine Action New]]-tblPiNHistorical[[#This Row],[Mine Action Old]])/tblPiNHistorical[[#This Row],[Mine Action Old]], 1), "")</f>
        <v/>
      </c>
      <c r="AZ565" s="140">
        <f>IFERROR(ROUND((tblPiNHistorical[[#This Row],[Shelter NFI New]]-tblPiNHistorical[[#This Row],[Shelter NFI Old]])/tblPiNHistorical[[#This Row],[Shelter NFI Old]], 1), "")</f>
        <v>1.5</v>
      </c>
      <c r="BA565" s="31">
        <f>IFERROR(ROUND((tblPiNHistorical[[#This Row],[WASH New]]-tblPiNHistorical[[#This Row],[WASH Old]])/tblPiNHistorical[[#This Row],[WASH Old]], 1), "")</f>
        <v>-1</v>
      </c>
    </row>
    <row r="566" spans="1:53" ht="38.25" x14ac:dyDescent="0.25">
      <c r="A566"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Host CommunitySD09051</v>
      </c>
      <c r="B566" s="134" t="s">
        <v>197</v>
      </c>
      <c r="C566" s="124" t="s">
        <v>126</v>
      </c>
      <c r="D566" s="124" t="s">
        <v>398</v>
      </c>
      <c r="E566" s="59" t="s">
        <v>399</v>
      </c>
      <c r="F566" s="54"/>
      <c r="G566" s="29"/>
      <c r="H566" s="53">
        <v>93002</v>
      </c>
      <c r="I566" s="53" t="s">
        <v>87</v>
      </c>
      <c r="J566" s="34">
        <v>0</v>
      </c>
      <c r="K566" s="116">
        <v>36056.875399999997</v>
      </c>
      <c r="L566" s="114">
        <v>93002</v>
      </c>
      <c r="M566" s="114">
        <v>93002</v>
      </c>
      <c r="N566" s="114">
        <v>8836</v>
      </c>
      <c r="O566" s="114">
        <v>29447</v>
      </c>
      <c r="P566" s="114">
        <v>10230</v>
      </c>
      <c r="Q566" s="114">
        <v>29447</v>
      </c>
      <c r="R566" s="114">
        <v>0</v>
      </c>
      <c r="S566" s="114">
        <v>18600</v>
      </c>
      <c r="T566" s="196">
        <v>56963.724999999999</v>
      </c>
      <c r="U566" s="52">
        <f>IFERROR(INDEX(tblPiNAnalysis[[Site Management ]], MATCH(tblPiNHistorical[[#This Row],[ID]], tblPiNAnalysis[ID], 0)), "")</f>
        <v>0</v>
      </c>
      <c r="V566" s="52">
        <f>IFERROR(INDEX(tblPiNAnalysis[Education], MATCH(tblPiNHistorical[[#This Row],[ID]], tblPiNAnalysis[ID], 0)), "")</f>
        <v>0</v>
      </c>
      <c r="W566" s="28">
        <f>IFERROR(INDEX(tblPiNAnalysis[Food Security and Livlihoods], MATCH(tblPiNHistorical[[#This Row],[ID]], tblPiNAnalysis[ID], 0)), "")</f>
        <v>0</v>
      </c>
      <c r="X566" s="28">
        <f>IFERROR(INDEX(tblPiNAnalysis[[Health ]], MATCH(tblPiNHistorical[[#This Row],[ID]], tblPiNAnalysis[ID], 0)), "")</f>
        <v>0</v>
      </c>
      <c r="Y566" s="28">
        <f>IFERROR(INDEX(tblPiNAnalysis[Nutrition], MATCH(tblPiNHistorical[[#This Row],[ID]], tblPiNAnalysis[ID], 0)), "")</f>
        <v>0</v>
      </c>
      <c r="Z566" s="28">
        <f>IFERROR(INDEX(tblPiNAnalysis[Protection], MATCH(tblPiNHistorical[[#This Row],[ID]], tblPiNAnalysis[ID], 0)), "")</f>
        <v>0</v>
      </c>
      <c r="AA566" s="28">
        <f>IFERROR(INDEX(tblPiNAnalysis[CP], MATCH(tblPiNHistorical[[#This Row],[ID]], tblPiNAnalysis[ID], 0)), "")</f>
        <v>0</v>
      </c>
      <c r="AB566" s="83">
        <f>IFERROR(INDEX(tblPiNAnalysis[GBV], MATCH(tblPiNHistorical[[#This Row],[ID]], tblPiNAnalysis[ID], 0)), "")</f>
        <v>0</v>
      </c>
      <c r="AC566" s="28">
        <f>IFERROR(INDEX(tblPiNAnalysis[Mine Action], MATCH(tblPiNHistorical[[#This Row],[ID]], tblPiNAnalysis[ID], 0)), "")</f>
        <v>0</v>
      </c>
      <c r="AD566" s="83">
        <f>IFERROR(INDEX(tblPiNAnalysis[[Shelter NFI ]], MATCH(tblPiNHistorical[[#This Row],[ID]], tblPiNAnalysis[ID], 0)), "")</f>
        <v>184424</v>
      </c>
      <c r="AE566" s="28">
        <f>IFERROR(INDEX(tblPiNAnalysis[WASH], MATCH(tblPiNHistorical[[#This Row],[ID]], tblPiNAnalysis[ID], 0)), "")</f>
        <v>0</v>
      </c>
      <c r="AF566"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566" s="136" t="str">
        <f>IF(OR(tblPiNHistorical[[#This Row],[Education Old]]="", tblPiNHistorical[[#This Row],[Education Old]]=0, tblPiNHistorical[[#This Row],[Education New]]="", tblPiNHistorical[[#This Row],[Education New]]=0), "", tblPiNHistorical[[#This Row],[Education New]]-tblPiNHistorical[[#This Row],[Education Old]])</f>
        <v/>
      </c>
      <c r="AH566"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566" s="137" t="str">
        <f>IF(OR(tblPiNHistorical[[#This Row],[Health Old]]="", tblPiNHistorical[[#This Row],[Health Old]]=0, tblPiNHistorical[[#This Row],[Health New]]="", tblPiNHistorical[[#This Row],[Health New]]=0), "", tblPiNHistorical[[#This Row],[Health New]]-tblPiNHistorical[[#This Row],[Health Old]])</f>
        <v/>
      </c>
      <c r="AJ566" s="136" t="str">
        <f>IF(OR(tblPiNHistorical[[#This Row],[Nutrition Old]]="", tblPiNHistorical[[#This Row],[Nutrition Old]]=0, tblPiNHistorical[[#This Row],[Nutrition New]]="", tblPiNHistorical[[#This Row],[Nutrition New]]=0), "", tblPiNHistorical[[#This Row],[Nutrition New]]-tblPiNHistorical[[#This Row],[Nutrition Old]])</f>
        <v/>
      </c>
      <c r="AK566" s="136" t="str">
        <f>IF(OR(tblPiNHistorical[[#This Row],[Protection Old]]="", tblPiNHistorical[[#This Row],[Protection Old]]=0, tblPiNHistorical[[#This Row],[Protection New]]="", tblPiNHistorical[[#This Row],[Protection New]]=0), "", tblPiNHistorical[[#This Row],[Protection New]]-tblPiNHistorical[[#This Row],[Protection Old]])</f>
        <v/>
      </c>
      <c r="AL566" s="136" t="str">
        <f>IF(OR(tblPiNHistorical[[#This Row],[CP Old ]]="", tblPiNHistorical[[#This Row],[CP Old ]]=0, tblPiNHistorical[[#This Row],[CP New]]="", tblPiNHistorical[[#This Row],[CP New]]=0), "", tblPiNHistorical[[#This Row],[CP New]]-tblPiNHistorical[[#This Row],[CP Old ]])</f>
        <v/>
      </c>
      <c r="AM566" s="83" t="str">
        <f>IF(OR(tblPiNHistorical[[#This Row],[GBV Old]]="", tblPiNHistorical[[#This Row],[GBV Old]]=0, tblPiNHistorical[[#This Row],[GBV New]]="", tblPiNHistorical[[#This Row],[GBV New]]=0), "", tblPiNHistorical[[#This Row],[GBV New]]-tblPiNHistorical[[#This Row],[GBV Old]])</f>
        <v/>
      </c>
      <c r="AN566" s="83" t="str">
        <f>IF(OR(tblPiNHistorical[[#This Row],[Mine Action Old]]="", tblPiNHistorical[[#This Row],[Mine Action Old]]=0, tblPiNHistorical[[#This Row],[Mine Action New]]="", tblPiNHistorical[[#This Row],[Mine Action New]]=0), "", tblPiNHistorical[[#This Row],[Mine Action New]]-tblPiNHistorical[[#This Row],[Mine Action Old]])</f>
        <v/>
      </c>
      <c r="AO566" s="136">
        <f>IF(OR(tblPiNHistorical[[#This Row],[Shelter NFI Old]]="", tblPiNHistorical[[#This Row],[Shelter NFI Old]]=0, tblPiNHistorical[[#This Row],[Shelter NFI New]]="", tblPiNHistorical[[#This Row],[Shelter NFI New]]=0), "", tblPiNHistorical[[#This Row],[Shelter NFI New]]-tblPiNHistorical[[#This Row],[Shelter NFI Old]])</f>
        <v>165824</v>
      </c>
      <c r="AP566" s="138" t="str">
        <f>IF(OR(tblPiNHistorical[[#This Row],[WASH Old]]="", tblPiNHistorical[[#This Row],[WASH Old]]=0, tblPiNHistorical[[#This Row],[WASH New]]="", tblPiNHistorical[[#This Row],[WASH New]]=0), "", tblPiNHistorical[[#This Row],[WASH New]]-tblPiNHistorical[[#This Row],[WASH Old]])</f>
        <v/>
      </c>
      <c r="AQ566" s="139" t="str">
        <f>IFERROR(ROUND((tblPiNHistorical[[#This Row],[Site Management - New]] - tblPiNHistorical[[#This Row],[Site Management - Old]])/tblPiNHistorical[[#This Row],[Site Management - Old]], 1), "")</f>
        <v/>
      </c>
      <c r="AR566" s="140">
        <f>IFERROR(ROUND((tblPiNHistorical[[#This Row],[Education New]]-tblPiNHistorical[[#This Row],[Education Old]])/tblPiNHistorical[[#This Row],[Education Old]], 1), "")</f>
        <v>-1</v>
      </c>
      <c r="AS566" s="141">
        <f>IFERROR(ROUND((tblPiNHistorical[[#This Row],[Food Security and Livlihoods New]]-tblPiNHistorical[[#This Row],[Food Security and Livlihoods Old]])/tblPiNHistorical[[#This Row],[Food Security and Livlihoods Old]], 1), "")</f>
        <v>-1</v>
      </c>
      <c r="AT566" s="142">
        <f>IFERROR(ROUND((tblPiNHistorical[[#This Row],[Health New]]-tblPiNHistorical[[#This Row],[Health Old]])/tblPiNHistorical[[#This Row],[Health Old]], 1), "")</f>
        <v>-1</v>
      </c>
      <c r="AU566" s="140">
        <f>IFERROR(ROUND((tblPiNHistorical[[#This Row],[Nutrition New]]-tblPiNHistorical[[#This Row],[Nutrition Old]])/tblPiNHistorical[[#This Row],[Nutrition Old]], 1), "")</f>
        <v>-1</v>
      </c>
      <c r="AV566" s="140">
        <f>IFERROR(ROUND((tblPiNHistorical[[#This Row],[Protection New]]-tblPiNHistorical[[#This Row],[Protection Old]])/tblPiNHistorical[[#This Row],[Protection Old]], 1), "")</f>
        <v>-1</v>
      </c>
      <c r="AW566" s="84">
        <f>IFERROR(ROUND((tblPiNHistorical[[#This Row],[CP New]]-tblPiNHistorical[[#This Row],[CP Old ]])/tblPiNHistorical[[#This Row],[CP Old ]], 1), "")</f>
        <v>-1</v>
      </c>
      <c r="AX566" s="84">
        <f>IFERROR(ROUND((tblPiNHistorical[[#This Row],[GBV New]]-tblPiNHistorical[[#This Row],[GBV Old]])/tblPiNHistorical[[#This Row],[GBV Old]], 1), "")</f>
        <v>-1</v>
      </c>
      <c r="AY566" s="84" t="str">
        <f>IFERROR(ROUND((tblPiNHistorical[[#This Row],[Mine Action New]]-tblPiNHistorical[[#This Row],[Mine Action Old]])/tblPiNHistorical[[#This Row],[Mine Action Old]], 1), "")</f>
        <v/>
      </c>
      <c r="AZ566" s="140">
        <f>IFERROR(ROUND((tblPiNHistorical[[#This Row],[Shelter NFI New]]-tblPiNHistorical[[#This Row],[Shelter NFI Old]])/tblPiNHistorical[[#This Row],[Shelter NFI Old]], 1), "")</f>
        <v>8.9</v>
      </c>
      <c r="BA566" s="31">
        <f>IFERROR(ROUND((tblPiNHistorical[[#This Row],[WASH New]]-tblPiNHistorical[[#This Row],[WASH Old]])/tblPiNHistorical[[#This Row],[WASH Old]], 1), "")</f>
        <v>-1</v>
      </c>
    </row>
    <row r="567" spans="1:53" ht="38.25" x14ac:dyDescent="0.25">
      <c r="A567"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Host CommunitySD09050</v>
      </c>
      <c r="B567" s="134" t="s">
        <v>197</v>
      </c>
      <c r="C567" s="124" t="s">
        <v>126</v>
      </c>
      <c r="D567" s="124" t="s">
        <v>396</v>
      </c>
      <c r="E567" s="59" t="s">
        <v>397</v>
      </c>
      <c r="F567" s="54"/>
      <c r="G567" s="29"/>
      <c r="H567" s="53">
        <v>168576</v>
      </c>
      <c r="I567" s="53" t="s">
        <v>87</v>
      </c>
      <c r="J567" s="34">
        <v>0</v>
      </c>
      <c r="K567" s="116">
        <v>0</v>
      </c>
      <c r="L567" s="114">
        <v>158576</v>
      </c>
      <c r="M567" s="114">
        <v>168576</v>
      </c>
      <c r="N567" s="114">
        <v>7747</v>
      </c>
      <c r="O567" s="114">
        <v>53379</v>
      </c>
      <c r="P567" s="114">
        <v>18543</v>
      </c>
      <c r="Q567" s="114">
        <v>53379</v>
      </c>
      <c r="R567" s="114">
        <v>0</v>
      </c>
      <c r="S567" s="114">
        <v>50573</v>
      </c>
      <c r="T567" s="196">
        <v>43290.316799999986</v>
      </c>
      <c r="U567" s="52">
        <f>IFERROR(INDEX(tblPiNAnalysis[[Site Management ]], MATCH(tblPiNHistorical[[#This Row],[ID]], tblPiNAnalysis[ID], 0)), "")</f>
        <v>0</v>
      </c>
      <c r="V567" s="52">
        <f>IFERROR(INDEX(tblPiNAnalysis[Education], MATCH(tblPiNHistorical[[#This Row],[ID]], tblPiNAnalysis[ID], 0)), "")</f>
        <v>0</v>
      </c>
      <c r="W567" s="28">
        <f>IFERROR(INDEX(tblPiNAnalysis[Food Security and Livlihoods], MATCH(tblPiNHistorical[[#This Row],[ID]], tblPiNAnalysis[ID], 0)), "")</f>
        <v>0</v>
      </c>
      <c r="X567" s="28">
        <f>IFERROR(INDEX(tblPiNAnalysis[[Health ]], MATCH(tblPiNHistorical[[#This Row],[ID]], tblPiNAnalysis[ID], 0)), "")</f>
        <v>0</v>
      </c>
      <c r="Y567" s="28">
        <f>IFERROR(INDEX(tblPiNAnalysis[Nutrition], MATCH(tblPiNHistorical[[#This Row],[ID]], tblPiNAnalysis[ID], 0)), "")</f>
        <v>0</v>
      </c>
      <c r="Z567" s="28">
        <f>IFERROR(INDEX(tblPiNAnalysis[Protection], MATCH(tblPiNHistorical[[#This Row],[ID]], tblPiNAnalysis[ID], 0)), "")</f>
        <v>0</v>
      </c>
      <c r="AA567" s="28">
        <f>IFERROR(INDEX(tblPiNAnalysis[CP], MATCH(tblPiNHistorical[[#This Row],[ID]], tblPiNAnalysis[ID], 0)), "")</f>
        <v>0</v>
      </c>
      <c r="AB567" s="83">
        <f>IFERROR(INDEX(tblPiNAnalysis[GBV], MATCH(tblPiNHistorical[[#This Row],[ID]], tblPiNAnalysis[ID], 0)), "")</f>
        <v>0</v>
      </c>
      <c r="AC567" s="28">
        <f>IFERROR(INDEX(tblPiNAnalysis[Mine Action], MATCH(tblPiNHistorical[[#This Row],[ID]], tblPiNAnalysis[ID], 0)), "")</f>
        <v>0</v>
      </c>
      <c r="AD567" s="83">
        <f>IFERROR(INDEX(tblPiNAnalysis[[Shelter NFI ]], MATCH(tblPiNHistorical[[#This Row],[ID]], tblPiNAnalysis[ID], 0)), "")</f>
        <v>9643</v>
      </c>
      <c r="AE567" s="28">
        <f>IFERROR(INDEX(tblPiNAnalysis[WASH], MATCH(tblPiNHistorical[[#This Row],[ID]], tblPiNAnalysis[ID], 0)), "")</f>
        <v>0</v>
      </c>
      <c r="AF567"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567" s="136" t="str">
        <f>IF(OR(tblPiNHistorical[[#This Row],[Education Old]]="", tblPiNHistorical[[#This Row],[Education Old]]=0, tblPiNHistorical[[#This Row],[Education New]]="", tblPiNHistorical[[#This Row],[Education New]]=0), "", tblPiNHistorical[[#This Row],[Education New]]-tblPiNHistorical[[#This Row],[Education Old]])</f>
        <v/>
      </c>
      <c r="AH567"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567" s="137" t="str">
        <f>IF(OR(tblPiNHistorical[[#This Row],[Health Old]]="", tblPiNHistorical[[#This Row],[Health Old]]=0, tblPiNHistorical[[#This Row],[Health New]]="", tblPiNHistorical[[#This Row],[Health New]]=0), "", tblPiNHistorical[[#This Row],[Health New]]-tblPiNHistorical[[#This Row],[Health Old]])</f>
        <v/>
      </c>
      <c r="AJ567" s="136" t="str">
        <f>IF(OR(tblPiNHistorical[[#This Row],[Nutrition Old]]="", tblPiNHistorical[[#This Row],[Nutrition Old]]=0, tblPiNHistorical[[#This Row],[Nutrition New]]="", tblPiNHistorical[[#This Row],[Nutrition New]]=0), "", tblPiNHistorical[[#This Row],[Nutrition New]]-tblPiNHistorical[[#This Row],[Nutrition Old]])</f>
        <v/>
      </c>
      <c r="AK567" s="136" t="str">
        <f>IF(OR(tblPiNHistorical[[#This Row],[Protection Old]]="", tblPiNHistorical[[#This Row],[Protection Old]]=0, tblPiNHistorical[[#This Row],[Protection New]]="", tblPiNHistorical[[#This Row],[Protection New]]=0), "", tblPiNHistorical[[#This Row],[Protection New]]-tblPiNHistorical[[#This Row],[Protection Old]])</f>
        <v/>
      </c>
      <c r="AL567" s="136" t="str">
        <f>IF(OR(tblPiNHistorical[[#This Row],[CP Old ]]="", tblPiNHistorical[[#This Row],[CP Old ]]=0, tblPiNHistorical[[#This Row],[CP New]]="", tblPiNHistorical[[#This Row],[CP New]]=0), "", tblPiNHistorical[[#This Row],[CP New]]-tblPiNHistorical[[#This Row],[CP Old ]])</f>
        <v/>
      </c>
      <c r="AM567" s="83" t="str">
        <f>IF(OR(tblPiNHistorical[[#This Row],[GBV Old]]="", tblPiNHistorical[[#This Row],[GBV Old]]=0, tblPiNHistorical[[#This Row],[GBV New]]="", tblPiNHistorical[[#This Row],[GBV New]]=0), "", tblPiNHistorical[[#This Row],[GBV New]]-tblPiNHistorical[[#This Row],[GBV Old]])</f>
        <v/>
      </c>
      <c r="AN567" s="83" t="str">
        <f>IF(OR(tblPiNHistorical[[#This Row],[Mine Action Old]]="", tblPiNHistorical[[#This Row],[Mine Action Old]]=0, tblPiNHistorical[[#This Row],[Mine Action New]]="", tblPiNHistorical[[#This Row],[Mine Action New]]=0), "", tblPiNHistorical[[#This Row],[Mine Action New]]-tblPiNHistorical[[#This Row],[Mine Action Old]])</f>
        <v/>
      </c>
      <c r="AO567" s="136">
        <f>IF(OR(tblPiNHistorical[[#This Row],[Shelter NFI Old]]="", tblPiNHistorical[[#This Row],[Shelter NFI Old]]=0, tblPiNHistorical[[#This Row],[Shelter NFI New]]="", tblPiNHistorical[[#This Row],[Shelter NFI New]]=0), "", tblPiNHistorical[[#This Row],[Shelter NFI New]]-tblPiNHistorical[[#This Row],[Shelter NFI Old]])</f>
        <v>-40930</v>
      </c>
      <c r="AP567" s="138" t="str">
        <f>IF(OR(tblPiNHistorical[[#This Row],[WASH Old]]="", tblPiNHistorical[[#This Row],[WASH Old]]=0, tblPiNHistorical[[#This Row],[WASH New]]="", tblPiNHistorical[[#This Row],[WASH New]]=0), "", tblPiNHistorical[[#This Row],[WASH New]]-tblPiNHistorical[[#This Row],[WASH Old]])</f>
        <v/>
      </c>
      <c r="AQ567" s="139" t="str">
        <f>IFERROR(ROUND((tblPiNHistorical[[#This Row],[Site Management - New]] - tblPiNHistorical[[#This Row],[Site Management - Old]])/tblPiNHistorical[[#This Row],[Site Management - Old]], 1), "")</f>
        <v/>
      </c>
      <c r="AR567" s="140" t="str">
        <f>IFERROR(ROUND((tblPiNHistorical[[#This Row],[Education New]]-tblPiNHistorical[[#This Row],[Education Old]])/tblPiNHistorical[[#This Row],[Education Old]], 1), "")</f>
        <v/>
      </c>
      <c r="AS567" s="141">
        <f>IFERROR(ROUND((tblPiNHistorical[[#This Row],[Food Security and Livlihoods New]]-tblPiNHistorical[[#This Row],[Food Security and Livlihoods Old]])/tblPiNHistorical[[#This Row],[Food Security and Livlihoods Old]], 1), "")</f>
        <v>-1</v>
      </c>
      <c r="AT567" s="142">
        <f>IFERROR(ROUND((tblPiNHistorical[[#This Row],[Health New]]-tblPiNHistorical[[#This Row],[Health Old]])/tblPiNHistorical[[#This Row],[Health Old]], 1), "")</f>
        <v>-1</v>
      </c>
      <c r="AU567" s="140">
        <f>IFERROR(ROUND((tblPiNHistorical[[#This Row],[Nutrition New]]-tblPiNHistorical[[#This Row],[Nutrition Old]])/tblPiNHistorical[[#This Row],[Nutrition Old]], 1), "")</f>
        <v>-1</v>
      </c>
      <c r="AV567" s="140">
        <f>IFERROR(ROUND((tblPiNHistorical[[#This Row],[Protection New]]-tblPiNHistorical[[#This Row],[Protection Old]])/tblPiNHistorical[[#This Row],[Protection Old]], 1), "")</f>
        <v>-1</v>
      </c>
      <c r="AW567" s="84">
        <f>IFERROR(ROUND((tblPiNHistorical[[#This Row],[CP New]]-tblPiNHistorical[[#This Row],[CP Old ]])/tblPiNHistorical[[#This Row],[CP Old ]], 1), "")</f>
        <v>-1</v>
      </c>
      <c r="AX567" s="84">
        <f>IFERROR(ROUND((tblPiNHistorical[[#This Row],[GBV New]]-tblPiNHistorical[[#This Row],[GBV Old]])/tblPiNHistorical[[#This Row],[GBV Old]], 1), "")</f>
        <v>-1</v>
      </c>
      <c r="AY567" s="84" t="str">
        <f>IFERROR(ROUND((tblPiNHistorical[[#This Row],[Mine Action New]]-tblPiNHistorical[[#This Row],[Mine Action Old]])/tblPiNHistorical[[#This Row],[Mine Action Old]], 1), "")</f>
        <v/>
      </c>
      <c r="AZ567" s="140">
        <f>IFERROR(ROUND((tblPiNHistorical[[#This Row],[Shelter NFI New]]-tblPiNHistorical[[#This Row],[Shelter NFI Old]])/tblPiNHistorical[[#This Row],[Shelter NFI Old]], 1), "")</f>
        <v>-0.8</v>
      </c>
      <c r="BA567" s="31">
        <f>IFERROR(ROUND((tblPiNHistorical[[#This Row],[WASH New]]-tblPiNHistorical[[#This Row],[WASH Old]])/tblPiNHistorical[[#This Row],[WASH Old]], 1), "")</f>
        <v>-1</v>
      </c>
    </row>
    <row r="568" spans="1:53" ht="38.25" x14ac:dyDescent="0.25">
      <c r="A568"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Host CommunitySD09049</v>
      </c>
      <c r="B568" s="134" t="s">
        <v>197</v>
      </c>
      <c r="C568" s="124" t="s">
        <v>126</v>
      </c>
      <c r="D568" s="124" t="s">
        <v>394</v>
      </c>
      <c r="E568" s="59" t="s">
        <v>395</v>
      </c>
      <c r="F568" s="54"/>
      <c r="G568" s="29"/>
      <c r="H568" s="53">
        <v>50397</v>
      </c>
      <c r="I568" s="53" t="s">
        <v>87</v>
      </c>
      <c r="J568" s="34">
        <v>0</v>
      </c>
      <c r="K568" s="116">
        <v>19538.9169</v>
      </c>
      <c r="L568" s="114">
        <v>50397</v>
      </c>
      <c r="M568" s="114">
        <v>50397</v>
      </c>
      <c r="N568" s="114">
        <v>4269</v>
      </c>
      <c r="O568" s="114">
        <v>15957</v>
      </c>
      <c r="P568" s="114">
        <v>5544</v>
      </c>
      <c r="Q568" s="114">
        <v>15957</v>
      </c>
      <c r="R568" s="114">
        <v>0</v>
      </c>
      <c r="S568" s="114">
        <v>10079</v>
      </c>
      <c r="T568" s="196">
        <v>46410.597300000001</v>
      </c>
      <c r="U568" s="52">
        <f>IFERROR(INDEX(tblPiNAnalysis[[Site Management ]], MATCH(tblPiNHistorical[[#This Row],[ID]], tblPiNAnalysis[ID], 0)), "")</f>
        <v>0</v>
      </c>
      <c r="V568" s="52">
        <f>IFERROR(INDEX(tblPiNAnalysis[Education], MATCH(tblPiNHistorical[[#This Row],[ID]], tblPiNAnalysis[ID], 0)), "")</f>
        <v>0</v>
      </c>
      <c r="W568" s="28">
        <f>IFERROR(INDEX(tblPiNAnalysis[Food Security and Livlihoods], MATCH(tblPiNHistorical[[#This Row],[ID]], tblPiNAnalysis[ID], 0)), "")</f>
        <v>0</v>
      </c>
      <c r="X568" s="28">
        <f>IFERROR(INDEX(tblPiNAnalysis[[Health ]], MATCH(tblPiNHistorical[[#This Row],[ID]], tblPiNAnalysis[ID], 0)), "")</f>
        <v>0</v>
      </c>
      <c r="Y568" s="28">
        <f>IFERROR(INDEX(tblPiNAnalysis[Nutrition], MATCH(tblPiNHistorical[[#This Row],[ID]], tblPiNAnalysis[ID], 0)), "")</f>
        <v>0</v>
      </c>
      <c r="Z568" s="28">
        <f>IFERROR(INDEX(tblPiNAnalysis[Protection], MATCH(tblPiNHistorical[[#This Row],[ID]], tblPiNAnalysis[ID], 0)), "")</f>
        <v>0</v>
      </c>
      <c r="AA568" s="28">
        <f>IFERROR(INDEX(tblPiNAnalysis[CP], MATCH(tblPiNHistorical[[#This Row],[ID]], tblPiNAnalysis[ID], 0)), "")</f>
        <v>0</v>
      </c>
      <c r="AB568" s="83">
        <f>IFERROR(INDEX(tblPiNAnalysis[GBV], MATCH(tblPiNHistorical[[#This Row],[ID]], tblPiNAnalysis[ID], 0)), "")</f>
        <v>0</v>
      </c>
      <c r="AC568" s="28">
        <f>IFERROR(INDEX(tblPiNAnalysis[Mine Action], MATCH(tblPiNHistorical[[#This Row],[ID]], tblPiNAnalysis[ID], 0)), "")</f>
        <v>0</v>
      </c>
      <c r="AD568" s="83">
        <f>IFERROR(INDEX(tblPiNAnalysis[[Shelter NFI ]], MATCH(tblPiNHistorical[[#This Row],[ID]], tblPiNAnalysis[ID], 0)), "")</f>
        <v>0</v>
      </c>
      <c r="AE568" s="28">
        <f>IFERROR(INDEX(tblPiNAnalysis[WASH], MATCH(tblPiNHistorical[[#This Row],[ID]], tblPiNAnalysis[ID], 0)), "")</f>
        <v>0</v>
      </c>
      <c r="AF568"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568" s="136" t="str">
        <f>IF(OR(tblPiNHistorical[[#This Row],[Education Old]]="", tblPiNHistorical[[#This Row],[Education Old]]=0, tblPiNHistorical[[#This Row],[Education New]]="", tblPiNHistorical[[#This Row],[Education New]]=0), "", tblPiNHistorical[[#This Row],[Education New]]-tblPiNHistorical[[#This Row],[Education Old]])</f>
        <v/>
      </c>
      <c r="AH568"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568" s="137" t="str">
        <f>IF(OR(tblPiNHistorical[[#This Row],[Health Old]]="", tblPiNHistorical[[#This Row],[Health Old]]=0, tblPiNHistorical[[#This Row],[Health New]]="", tblPiNHistorical[[#This Row],[Health New]]=0), "", tblPiNHistorical[[#This Row],[Health New]]-tblPiNHistorical[[#This Row],[Health Old]])</f>
        <v/>
      </c>
      <c r="AJ568" s="136" t="str">
        <f>IF(OR(tblPiNHistorical[[#This Row],[Nutrition Old]]="", tblPiNHistorical[[#This Row],[Nutrition Old]]=0, tblPiNHistorical[[#This Row],[Nutrition New]]="", tblPiNHistorical[[#This Row],[Nutrition New]]=0), "", tblPiNHistorical[[#This Row],[Nutrition New]]-tblPiNHistorical[[#This Row],[Nutrition Old]])</f>
        <v/>
      </c>
      <c r="AK568" s="136" t="str">
        <f>IF(OR(tblPiNHistorical[[#This Row],[Protection Old]]="", tblPiNHistorical[[#This Row],[Protection Old]]=0, tblPiNHistorical[[#This Row],[Protection New]]="", tblPiNHistorical[[#This Row],[Protection New]]=0), "", tblPiNHistorical[[#This Row],[Protection New]]-tblPiNHistorical[[#This Row],[Protection Old]])</f>
        <v/>
      </c>
      <c r="AL568" s="136" t="str">
        <f>IF(OR(tblPiNHistorical[[#This Row],[CP Old ]]="", tblPiNHistorical[[#This Row],[CP Old ]]=0, tblPiNHistorical[[#This Row],[CP New]]="", tblPiNHistorical[[#This Row],[CP New]]=0), "", tblPiNHistorical[[#This Row],[CP New]]-tblPiNHistorical[[#This Row],[CP Old ]])</f>
        <v/>
      </c>
      <c r="AM568" s="83" t="str">
        <f>IF(OR(tblPiNHistorical[[#This Row],[GBV Old]]="", tblPiNHistorical[[#This Row],[GBV Old]]=0, tblPiNHistorical[[#This Row],[GBV New]]="", tblPiNHistorical[[#This Row],[GBV New]]=0), "", tblPiNHistorical[[#This Row],[GBV New]]-tblPiNHistorical[[#This Row],[GBV Old]])</f>
        <v/>
      </c>
      <c r="AN568" s="83" t="str">
        <f>IF(OR(tblPiNHistorical[[#This Row],[Mine Action Old]]="", tblPiNHistorical[[#This Row],[Mine Action Old]]=0, tblPiNHistorical[[#This Row],[Mine Action New]]="", tblPiNHistorical[[#This Row],[Mine Action New]]=0), "", tblPiNHistorical[[#This Row],[Mine Action New]]-tblPiNHistorical[[#This Row],[Mine Action Old]])</f>
        <v/>
      </c>
      <c r="AO568" s="136" t="str">
        <f>IF(OR(tblPiNHistorical[[#This Row],[Shelter NFI Old]]="", tblPiNHistorical[[#This Row],[Shelter NFI Old]]=0, tblPiNHistorical[[#This Row],[Shelter NFI New]]="", tblPiNHistorical[[#This Row],[Shelter NFI New]]=0), "", tblPiNHistorical[[#This Row],[Shelter NFI New]]-tblPiNHistorical[[#This Row],[Shelter NFI Old]])</f>
        <v/>
      </c>
      <c r="AP568" s="138" t="str">
        <f>IF(OR(tblPiNHistorical[[#This Row],[WASH Old]]="", tblPiNHistorical[[#This Row],[WASH Old]]=0, tblPiNHistorical[[#This Row],[WASH New]]="", tblPiNHistorical[[#This Row],[WASH New]]=0), "", tblPiNHistorical[[#This Row],[WASH New]]-tblPiNHistorical[[#This Row],[WASH Old]])</f>
        <v/>
      </c>
      <c r="AQ568" s="139" t="str">
        <f>IFERROR(ROUND((tblPiNHistorical[[#This Row],[Site Management - New]] - tblPiNHistorical[[#This Row],[Site Management - Old]])/tblPiNHistorical[[#This Row],[Site Management - Old]], 1), "")</f>
        <v/>
      </c>
      <c r="AR568" s="140">
        <f>IFERROR(ROUND((tblPiNHistorical[[#This Row],[Education New]]-tblPiNHistorical[[#This Row],[Education Old]])/tblPiNHistorical[[#This Row],[Education Old]], 1), "")</f>
        <v>-1</v>
      </c>
      <c r="AS568" s="141">
        <f>IFERROR(ROUND((tblPiNHistorical[[#This Row],[Food Security and Livlihoods New]]-tblPiNHistorical[[#This Row],[Food Security and Livlihoods Old]])/tblPiNHistorical[[#This Row],[Food Security and Livlihoods Old]], 1), "")</f>
        <v>-1</v>
      </c>
      <c r="AT568" s="142">
        <f>IFERROR(ROUND((tblPiNHistorical[[#This Row],[Health New]]-tblPiNHistorical[[#This Row],[Health Old]])/tblPiNHistorical[[#This Row],[Health Old]], 1), "")</f>
        <v>-1</v>
      </c>
      <c r="AU568" s="140">
        <f>IFERROR(ROUND((tblPiNHistorical[[#This Row],[Nutrition New]]-tblPiNHistorical[[#This Row],[Nutrition Old]])/tblPiNHistorical[[#This Row],[Nutrition Old]], 1), "")</f>
        <v>-1</v>
      </c>
      <c r="AV568" s="140">
        <f>IFERROR(ROUND((tblPiNHistorical[[#This Row],[Protection New]]-tblPiNHistorical[[#This Row],[Protection Old]])/tblPiNHistorical[[#This Row],[Protection Old]], 1), "")</f>
        <v>-1</v>
      </c>
      <c r="AW568" s="84">
        <f>IFERROR(ROUND((tblPiNHistorical[[#This Row],[CP New]]-tblPiNHistorical[[#This Row],[CP Old ]])/tblPiNHistorical[[#This Row],[CP Old ]], 1), "")</f>
        <v>-1</v>
      </c>
      <c r="AX568" s="84">
        <f>IFERROR(ROUND((tblPiNHistorical[[#This Row],[GBV New]]-tblPiNHistorical[[#This Row],[GBV Old]])/tblPiNHistorical[[#This Row],[GBV Old]], 1), "")</f>
        <v>-1</v>
      </c>
      <c r="AY568" s="84" t="str">
        <f>IFERROR(ROUND((tblPiNHistorical[[#This Row],[Mine Action New]]-tblPiNHistorical[[#This Row],[Mine Action Old]])/tblPiNHistorical[[#This Row],[Mine Action Old]], 1), "")</f>
        <v/>
      </c>
      <c r="AZ568" s="140">
        <f>IFERROR(ROUND((tblPiNHistorical[[#This Row],[Shelter NFI New]]-tblPiNHistorical[[#This Row],[Shelter NFI Old]])/tblPiNHistorical[[#This Row],[Shelter NFI Old]], 1), "")</f>
        <v>-1</v>
      </c>
      <c r="BA568" s="31">
        <f>IFERROR(ROUND((tblPiNHistorical[[#This Row],[WASH New]]-tblPiNHistorical[[#This Row],[WASH Old]])/tblPiNHistorical[[#This Row],[WASH Old]], 1), "")</f>
        <v>-1</v>
      </c>
    </row>
    <row r="569" spans="1:53" ht="38.25" x14ac:dyDescent="0.25">
      <c r="A569"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Host CommunitySD09052</v>
      </c>
      <c r="B569" s="134" t="s">
        <v>197</v>
      </c>
      <c r="C569" s="124" t="s">
        <v>126</v>
      </c>
      <c r="D569" s="124" t="s">
        <v>400</v>
      </c>
      <c r="E569" s="59" t="s">
        <v>401</v>
      </c>
      <c r="F569" s="54"/>
      <c r="G569" s="29"/>
      <c r="H569" s="53">
        <v>223917</v>
      </c>
      <c r="I569" s="53" t="s">
        <v>87</v>
      </c>
      <c r="J569" s="34">
        <v>0</v>
      </c>
      <c r="K569" s="116">
        <v>0</v>
      </c>
      <c r="L569" s="114">
        <v>216917</v>
      </c>
      <c r="M569" s="114">
        <v>223917</v>
      </c>
      <c r="N569" s="114">
        <v>19151</v>
      </c>
      <c r="O569" s="114">
        <v>59085</v>
      </c>
      <c r="P569" s="114">
        <v>24631</v>
      </c>
      <c r="Q569" s="114">
        <v>59085</v>
      </c>
      <c r="R569" s="114">
        <v>0</v>
      </c>
      <c r="S569" s="114">
        <v>44783</v>
      </c>
      <c r="T569" s="196">
        <v>189209.86499999999</v>
      </c>
      <c r="U569" s="52">
        <f>IFERROR(INDEX(tblPiNAnalysis[[Site Management ]], MATCH(tblPiNHistorical[[#This Row],[ID]], tblPiNAnalysis[ID], 0)), "")</f>
        <v>0</v>
      </c>
      <c r="V569" s="52">
        <f>IFERROR(INDEX(tblPiNAnalysis[Education], MATCH(tblPiNHistorical[[#This Row],[ID]], tblPiNAnalysis[ID], 0)), "")</f>
        <v>0</v>
      </c>
      <c r="W569" s="28">
        <f>IFERROR(INDEX(tblPiNAnalysis[Food Security and Livlihoods], MATCH(tblPiNHistorical[[#This Row],[ID]], tblPiNAnalysis[ID], 0)), "")</f>
        <v>0</v>
      </c>
      <c r="X569" s="28">
        <f>IFERROR(INDEX(tblPiNAnalysis[[Health ]], MATCH(tblPiNHistorical[[#This Row],[ID]], tblPiNAnalysis[ID], 0)), "")</f>
        <v>0</v>
      </c>
      <c r="Y569" s="28">
        <f>IFERROR(INDEX(tblPiNAnalysis[Nutrition], MATCH(tblPiNHistorical[[#This Row],[ID]], tblPiNAnalysis[ID], 0)), "")</f>
        <v>0</v>
      </c>
      <c r="Z569" s="28">
        <f>IFERROR(INDEX(tblPiNAnalysis[Protection], MATCH(tblPiNHistorical[[#This Row],[ID]], tblPiNAnalysis[ID], 0)), "")</f>
        <v>0</v>
      </c>
      <c r="AA569" s="28">
        <f>IFERROR(INDEX(tblPiNAnalysis[CP], MATCH(tblPiNHistorical[[#This Row],[ID]], tblPiNAnalysis[ID], 0)), "")</f>
        <v>0</v>
      </c>
      <c r="AB569" s="83">
        <f>IFERROR(INDEX(tblPiNAnalysis[GBV], MATCH(tblPiNHistorical[[#This Row],[ID]], tblPiNAnalysis[ID], 0)), "")</f>
        <v>0</v>
      </c>
      <c r="AC569" s="28">
        <f>IFERROR(INDEX(tblPiNAnalysis[Mine Action], MATCH(tblPiNHistorical[[#This Row],[ID]], tblPiNAnalysis[ID], 0)), "")</f>
        <v>0</v>
      </c>
      <c r="AD569" s="83">
        <f>IFERROR(INDEX(tblPiNAnalysis[[Shelter NFI ]], MATCH(tblPiNHistorical[[#This Row],[ID]], tblPiNAnalysis[ID], 0)), "")</f>
        <v>16883</v>
      </c>
      <c r="AE569" s="28">
        <f>IFERROR(INDEX(tblPiNAnalysis[WASH], MATCH(tblPiNHistorical[[#This Row],[ID]], tblPiNAnalysis[ID], 0)), "")</f>
        <v>0</v>
      </c>
      <c r="AF569"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569" s="136" t="str">
        <f>IF(OR(tblPiNHistorical[[#This Row],[Education Old]]="", tblPiNHistorical[[#This Row],[Education Old]]=0, tblPiNHistorical[[#This Row],[Education New]]="", tblPiNHistorical[[#This Row],[Education New]]=0), "", tblPiNHistorical[[#This Row],[Education New]]-tblPiNHistorical[[#This Row],[Education Old]])</f>
        <v/>
      </c>
      <c r="AH569"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569" s="137" t="str">
        <f>IF(OR(tblPiNHistorical[[#This Row],[Health Old]]="", tblPiNHistorical[[#This Row],[Health Old]]=0, tblPiNHistorical[[#This Row],[Health New]]="", tblPiNHistorical[[#This Row],[Health New]]=0), "", tblPiNHistorical[[#This Row],[Health New]]-tblPiNHistorical[[#This Row],[Health Old]])</f>
        <v/>
      </c>
      <c r="AJ569" s="136" t="str">
        <f>IF(OR(tblPiNHistorical[[#This Row],[Nutrition Old]]="", tblPiNHistorical[[#This Row],[Nutrition Old]]=0, tblPiNHistorical[[#This Row],[Nutrition New]]="", tblPiNHistorical[[#This Row],[Nutrition New]]=0), "", tblPiNHistorical[[#This Row],[Nutrition New]]-tblPiNHistorical[[#This Row],[Nutrition Old]])</f>
        <v/>
      </c>
      <c r="AK569" s="136" t="str">
        <f>IF(OR(tblPiNHistorical[[#This Row],[Protection Old]]="", tblPiNHistorical[[#This Row],[Protection Old]]=0, tblPiNHistorical[[#This Row],[Protection New]]="", tblPiNHistorical[[#This Row],[Protection New]]=0), "", tblPiNHistorical[[#This Row],[Protection New]]-tblPiNHistorical[[#This Row],[Protection Old]])</f>
        <v/>
      </c>
      <c r="AL569" s="136" t="str">
        <f>IF(OR(tblPiNHistorical[[#This Row],[CP Old ]]="", tblPiNHistorical[[#This Row],[CP Old ]]=0, tblPiNHistorical[[#This Row],[CP New]]="", tblPiNHistorical[[#This Row],[CP New]]=0), "", tblPiNHistorical[[#This Row],[CP New]]-tblPiNHistorical[[#This Row],[CP Old ]])</f>
        <v/>
      </c>
      <c r="AM569" s="83" t="str">
        <f>IF(OR(tblPiNHistorical[[#This Row],[GBV Old]]="", tblPiNHistorical[[#This Row],[GBV Old]]=0, tblPiNHistorical[[#This Row],[GBV New]]="", tblPiNHistorical[[#This Row],[GBV New]]=0), "", tblPiNHistorical[[#This Row],[GBV New]]-tblPiNHistorical[[#This Row],[GBV Old]])</f>
        <v/>
      </c>
      <c r="AN569" s="83" t="str">
        <f>IF(OR(tblPiNHistorical[[#This Row],[Mine Action Old]]="", tblPiNHistorical[[#This Row],[Mine Action Old]]=0, tblPiNHistorical[[#This Row],[Mine Action New]]="", tblPiNHistorical[[#This Row],[Mine Action New]]=0), "", tblPiNHistorical[[#This Row],[Mine Action New]]-tblPiNHistorical[[#This Row],[Mine Action Old]])</f>
        <v/>
      </c>
      <c r="AO569" s="136">
        <f>IF(OR(tblPiNHistorical[[#This Row],[Shelter NFI Old]]="", tblPiNHistorical[[#This Row],[Shelter NFI Old]]=0, tblPiNHistorical[[#This Row],[Shelter NFI New]]="", tblPiNHistorical[[#This Row],[Shelter NFI New]]=0), "", tblPiNHistorical[[#This Row],[Shelter NFI New]]-tblPiNHistorical[[#This Row],[Shelter NFI Old]])</f>
        <v>-27900</v>
      </c>
      <c r="AP569" s="138" t="str">
        <f>IF(OR(tblPiNHistorical[[#This Row],[WASH Old]]="", tblPiNHistorical[[#This Row],[WASH Old]]=0, tblPiNHistorical[[#This Row],[WASH New]]="", tblPiNHistorical[[#This Row],[WASH New]]=0), "", tblPiNHistorical[[#This Row],[WASH New]]-tblPiNHistorical[[#This Row],[WASH Old]])</f>
        <v/>
      </c>
      <c r="AQ569" s="139" t="str">
        <f>IFERROR(ROUND((tblPiNHistorical[[#This Row],[Site Management - New]] - tblPiNHistorical[[#This Row],[Site Management - Old]])/tblPiNHistorical[[#This Row],[Site Management - Old]], 1), "")</f>
        <v/>
      </c>
      <c r="AR569" s="140" t="str">
        <f>IFERROR(ROUND((tblPiNHistorical[[#This Row],[Education New]]-tblPiNHistorical[[#This Row],[Education Old]])/tblPiNHistorical[[#This Row],[Education Old]], 1), "")</f>
        <v/>
      </c>
      <c r="AS569" s="141">
        <f>IFERROR(ROUND((tblPiNHistorical[[#This Row],[Food Security and Livlihoods New]]-tblPiNHistorical[[#This Row],[Food Security and Livlihoods Old]])/tblPiNHistorical[[#This Row],[Food Security and Livlihoods Old]], 1), "")</f>
        <v>-1</v>
      </c>
      <c r="AT569" s="142">
        <f>IFERROR(ROUND((tblPiNHistorical[[#This Row],[Health New]]-tblPiNHistorical[[#This Row],[Health Old]])/tblPiNHistorical[[#This Row],[Health Old]], 1), "")</f>
        <v>-1</v>
      </c>
      <c r="AU569" s="140">
        <f>IFERROR(ROUND((tblPiNHistorical[[#This Row],[Nutrition New]]-tblPiNHistorical[[#This Row],[Nutrition Old]])/tblPiNHistorical[[#This Row],[Nutrition Old]], 1), "")</f>
        <v>-1</v>
      </c>
      <c r="AV569" s="140">
        <f>IFERROR(ROUND((tblPiNHistorical[[#This Row],[Protection New]]-tblPiNHistorical[[#This Row],[Protection Old]])/tblPiNHistorical[[#This Row],[Protection Old]], 1), "")</f>
        <v>-1</v>
      </c>
      <c r="AW569" s="84">
        <f>IFERROR(ROUND((tblPiNHistorical[[#This Row],[CP New]]-tblPiNHistorical[[#This Row],[CP Old ]])/tblPiNHistorical[[#This Row],[CP Old ]], 1), "")</f>
        <v>-1</v>
      </c>
      <c r="AX569" s="84">
        <f>IFERROR(ROUND((tblPiNHistorical[[#This Row],[GBV New]]-tblPiNHistorical[[#This Row],[GBV Old]])/tblPiNHistorical[[#This Row],[GBV Old]], 1), "")</f>
        <v>-1</v>
      </c>
      <c r="AY569" s="84" t="str">
        <f>IFERROR(ROUND((tblPiNHistorical[[#This Row],[Mine Action New]]-tblPiNHistorical[[#This Row],[Mine Action Old]])/tblPiNHistorical[[#This Row],[Mine Action Old]], 1), "")</f>
        <v/>
      </c>
      <c r="AZ569" s="140">
        <f>IFERROR(ROUND((tblPiNHistorical[[#This Row],[Shelter NFI New]]-tblPiNHistorical[[#This Row],[Shelter NFI Old]])/tblPiNHistorical[[#This Row],[Shelter NFI Old]], 1), "")</f>
        <v>-0.6</v>
      </c>
      <c r="BA569" s="31">
        <f>IFERROR(ROUND((tblPiNHistorical[[#This Row],[WASH New]]-tblPiNHistorical[[#This Row],[WASH Old]])/tblPiNHistorical[[#This Row],[WASH Old]], 1), "")</f>
        <v>-1</v>
      </c>
    </row>
    <row r="570" spans="1:53" ht="38.25" x14ac:dyDescent="0.25">
      <c r="A570"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Host CommunitySD09047</v>
      </c>
      <c r="B570" s="134" t="s">
        <v>197</v>
      </c>
      <c r="C570" s="124" t="s">
        <v>126</v>
      </c>
      <c r="D570" s="124" t="s">
        <v>390</v>
      </c>
      <c r="E570" s="59" t="s">
        <v>391</v>
      </c>
      <c r="F570" s="54"/>
      <c r="G570" s="29"/>
      <c r="H570" s="53">
        <v>21256</v>
      </c>
      <c r="I570" s="53" t="s">
        <v>87</v>
      </c>
      <c r="J570" s="34">
        <v>0</v>
      </c>
      <c r="K570" s="116">
        <v>0</v>
      </c>
      <c r="L570" s="114">
        <v>21256</v>
      </c>
      <c r="M570" s="114">
        <v>21256</v>
      </c>
      <c r="N570" s="114">
        <v>2195</v>
      </c>
      <c r="O570" s="114">
        <v>6732</v>
      </c>
      <c r="P570" s="114">
        <v>2338</v>
      </c>
      <c r="Q570" s="114">
        <v>6732</v>
      </c>
      <c r="R570" s="114">
        <v>0</v>
      </c>
      <c r="S570" s="114">
        <v>4251</v>
      </c>
      <c r="T570" s="196">
        <v>11093.5064</v>
      </c>
      <c r="U570" s="52">
        <f>IFERROR(INDEX(tblPiNAnalysis[[Site Management ]], MATCH(tblPiNHistorical[[#This Row],[ID]], tblPiNAnalysis[ID], 0)), "")</f>
        <v>0</v>
      </c>
      <c r="V570" s="52">
        <f>IFERROR(INDEX(tblPiNAnalysis[Education], MATCH(tblPiNHistorical[[#This Row],[ID]], tblPiNAnalysis[ID], 0)), "")</f>
        <v>0</v>
      </c>
      <c r="W570" s="28">
        <f>IFERROR(INDEX(tblPiNAnalysis[Food Security and Livlihoods], MATCH(tblPiNHistorical[[#This Row],[ID]], tblPiNAnalysis[ID], 0)), "")</f>
        <v>0</v>
      </c>
      <c r="X570" s="28">
        <f>IFERROR(INDEX(tblPiNAnalysis[[Health ]], MATCH(tblPiNHistorical[[#This Row],[ID]], tblPiNAnalysis[ID], 0)), "")</f>
        <v>0</v>
      </c>
      <c r="Y570" s="28">
        <f>IFERROR(INDEX(tblPiNAnalysis[Nutrition], MATCH(tblPiNHistorical[[#This Row],[ID]], tblPiNAnalysis[ID], 0)), "")</f>
        <v>0</v>
      </c>
      <c r="Z570" s="28">
        <f>IFERROR(INDEX(tblPiNAnalysis[Protection], MATCH(tblPiNHistorical[[#This Row],[ID]], tblPiNAnalysis[ID], 0)), "")</f>
        <v>0</v>
      </c>
      <c r="AA570" s="28">
        <f>IFERROR(INDEX(tblPiNAnalysis[CP], MATCH(tblPiNHistorical[[#This Row],[ID]], tblPiNAnalysis[ID], 0)), "")</f>
        <v>0</v>
      </c>
      <c r="AB570" s="83">
        <f>IFERROR(INDEX(tblPiNAnalysis[GBV], MATCH(tblPiNHistorical[[#This Row],[ID]], tblPiNAnalysis[ID], 0)), "")</f>
        <v>0</v>
      </c>
      <c r="AC570" s="28">
        <f>IFERROR(INDEX(tblPiNAnalysis[Mine Action], MATCH(tblPiNHistorical[[#This Row],[ID]], tblPiNAnalysis[ID], 0)), "")</f>
        <v>0</v>
      </c>
      <c r="AD570" s="83">
        <f>IFERROR(INDEX(tblPiNAnalysis[[Shelter NFI ]], MATCH(tblPiNHistorical[[#This Row],[ID]], tblPiNAnalysis[ID], 0)), "")</f>
        <v>89755</v>
      </c>
      <c r="AE570" s="28">
        <f>IFERROR(INDEX(tblPiNAnalysis[WASH], MATCH(tblPiNHistorical[[#This Row],[ID]], tblPiNAnalysis[ID], 0)), "")</f>
        <v>0</v>
      </c>
      <c r="AF570"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570" s="136" t="str">
        <f>IF(OR(tblPiNHistorical[[#This Row],[Education Old]]="", tblPiNHistorical[[#This Row],[Education Old]]=0, tblPiNHistorical[[#This Row],[Education New]]="", tblPiNHistorical[[#This Row],[Education New]]=0), "", tblPiNHistorical[[#This Row],[Education New]]-tblPiNHistorical[[#This Row],[Education Old]])</f>
        <v/>
      </c>
      <c r="AH570"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570" s="137" t="str">
        <f>IF(OR(tblPiNHistorical[[#This Row],[Health Old]]="", tblPiNHistorical[[#This Row],[Health Old]]=0, tblPiNHistorical[[#This Row],[Health New]]="", tblPiNHistorical[[#This Row],[Health New]]=0), "", tblPiNHistorical[[#This Row],[Health New]]-tblPiNHistorical[[#This Row],[Health Old]])</f>
        <v/>
      </c>
      <c r="AJ570" s="136" t="str">
        <f>IF(OR(tblPiNHistorical[[#This Row],[Nutrition Old]]="", tblPiNHistorical[[#This Row],[Nutrition Old]]=0, tblPiNHistorical[[#This Row],[Nutrition New]]="", tblPiNHistorical[[#This Row],[Nutrition New]]=0), "", tblPiNHistorical[[#This Row],[Nutrition New]]-tblPiNHistorical[[#This Row],[Nutrition Old]])</f>
        <v/>
      </c>
      <c r="AK570" s="136" t="str">
        <f>IF(OR(tblPiNHistorical[[#This Row],[Protection Old]]="", tblPiNHistorical[[#This Row],[Protection Old]]=0, tblPiNHistorical[[#This Row],[Protection New]]="", tblPiNHistorical[[#This Row],[Protection New]]=0), "", tblPiNHistorical[[#This Row],[Protection New]]-tblPiNHistorical[[#This Row],[Protection Old]])</f>
        <v/>
      </c>
      <c r="AL570" s="136" t="str">
        <f>IF(OR(tblPiNHistorical[[#This Row],[CP Old ]]="", tblPiNHistorical[[#This Row],[CP Old ]]=0, tblPiNHistorical[[#This Row],[CP New]]="", tblPiNHistorical[[#This Row],[CP New]]=0), "", tblPiNHistorical[[#This Row],[CP New]]-tblPiNHistorical[[#This Row],[CP Old ]])</f>
        <v/>
      </c>
      <c r="AM570" s="83" t="str">
        <f>IF(OR(tblPiNHistorical[[#This Row],[GBV Old]]="", tblPiNHistorical[[#This Row],[GBV Old]]=0, tblPiNHistorical[[#This Row],[GBV New]]="", tblPiNHistorical[[#This Row],[GBV New]]=0), "", tblPiNHistorical[[#This Row],[GBV New]]-tblPiNHistorical[[#This Row],[GBV Old]])</f>
        <v/>
      </c>
      <c r="AN570" s="83" t="str">
        <f>IF(OR(tblPiNHistorical[[#This Row],[Mine Action Old]]="", tblPiNHistorical[[#This Row],[Mine Action Old]]=0, tblPiNHistorical[[#This Row],[Mine Action New]]="", tblPiNHistorical[[#This Row],[Mine Action New]]=0), "", tblPiNHistorical[[#This Row],[Mine Action New]]-tblPiNHistorical[[#This Row],[Mine Action Old]])</f>
        <v/>
      </c>
      <c r="AO570" s="136">
        <f>IF(OR(tblPiNHistorical[[#This Row],[Shelter NFI Old]]="", tblPiNHistorical[[#This Row],[Shelter NFI Old]]=0, tblPiNHistorical[[#This Row],[Shelter NFI New]]="", tblPiNHistorical[[#This Row],[Shelter NFI New]]=0), "", tblPiNHistorical[[#This Row],[Shelter NFI New]]-tblPiNHistorical[[#This Row],[Shelter NFI Old]])</f>
        <v>85504</v>
      </c>
      <c r="AP570" s="138" t="str">
        <f>IF(OR(tblPiNHistorical[[#This Row],[WASH Old]]="", tblPiNHistorical[[#This Row],[WASH Old]]=0, tblPiNHistorical[[#This Row],[WASH New]]="", tblPiNHistorical[[#This Row],[WASH New]]=0), "", tblPiNHistorical[[#This Row],[WASH New]]-tblPiNHistorical[[#This Row],[WASH Old]])</f>
        <v/>
      </c>
      <c r="AQ570" s="139" t="str">
        <f>IFERROR(ROUND((tblPiNHistorical[[#This Row],[Site Management - New]] - tblPiNHistorical[[#This Row],[Site Management - Old]])/tblPiNHistorical[[#This Row],[Site Management - Old]], 1), "")</f>
        <v/>
      </c>
      <c r="AR570" s="140" t="str">
        <f>IFERROR(ROUND((tblPiNHistorical[[#This Row],[Education New]]-tblPiNHistorical[[#This Row],[Education Old]])/tblPiNHistorical[[#This Row],[Education Old]], 1), "")</f>
        <v/>
      </c>
      <c r="AS570" s="141">
        <f>IFERROR(ROUND((tblPiNHistorical[[#This Row],[Food Security and Livlihoods New]]-tblPiNHistorical[[#This Row],[Food Security and Livlihoods Old]])/tblPiNHistorical[[#This Row],[Food Security and Livlihoods Old]], 1), "")</f>
        <v>-1</v>
      </c>
      <c r="AT570" s="142">
        <f>IFERROR(ROUND((tblPiNHistorical[[#This Row],[Health New]]-tblPiNHistorical[[#This Row],[Health Old]])/tblPiNHistorical[[#This Row],[Health Old]], 1), "")</f>
        <v>-1</v>
      </c>
      <c r="AU570" s="140">
        <f>IFERROR(ROUND((tblPiNHistorical[[#This Row],[Nutrition New]]-tblPiNHistorical[[#This Row],[Nutrition Old]])/tblPiNHistorical[[#This Row],[Nutrition Old]], 1), "")</f>
        <v>-1</v>
      </c>
      <c r="AV570" s="140">
        <f>IFERROR(ROUND((tblPiNHistorical[[#This Row],[Protection New]]-tblPiNHistorical[[#This Row],[Protection Old]])/tblPiNHistorical[[#This Row],[Protection Old]], 1), "")</f>
        <v>-1</v>
      </c>
      <c r="AW570" s="84">
        <f>IFERROR(ROUND((tblPiNHistorical[[#This Row],[CP New]]-tblPiNHistorical[[#This Row],[CP Old ]])/tblPiNHistorical[[#This Row],[CP Old ]], 1), "")</f>
        <v>-1</v>
      </c>
      <c r="AX570" s="84">
        <f>IFERROR(ROUND((tblPiNHistorical[[#This Row],[GBV New]]-tblPiNHistorical[[#This Row],[GBV Old]])/tblPiNHistorical[[#This Row],[GBV Old]], 1), "")</f>
        <v>-1</v>
      </c>
      <c r="AY570" s="84" t="str">
        <f>IFERROR(ROUND((tblPiNHistorical[[#This Row],[Mine Action New]]-tblPiNHistorical[[#This Row],[Mine Action Old]])/tblPiNHistorical[[#This Row],[Mine Action Old]], 1), "")</f>
        <v/>
      </c>
      <c r="AZ570" s="140">
        <f>IFERROR(ROUND((tblPiNHistorical[[#This Row],[Shelter NFI New]]-tblPiNHistorical[[#This Row],[Shelter NFI Old]])/tblPiNHistorical[[#This Row],[Shelter NFI Old]], 1), "")</f>
        <v>20.100000000000001</v>
      </c>
      <c r="BA570" s="31">
        <f>IFERROR(ROUND((tblPiNHistorical[[#This Row],[WASH New]]-tblPiNHistorical[[#This Row],[WASH Old]])/tblPiNHistorical[[#This Row],[WASH Old]], 1), "")</f>
        <v>-1</v>
      </c>
    </row>
    <row r="571" spans="1:53" ht="38.25" x14ac:dyDescent="0.25">
      <c r="A571"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Host CommunitySD09046</v>
      </c>
      <c r="B571" s="134" t="s">
        <v>197</v>
      </c>
      <c r="C571" s="124" t="s">
        <v>126</v>
      </c>
      <c r="D571" s="124" t="s">
        <v>388</v>
      </c>
      <c r="E571" s="59" t="s">
        <v>389</v>
      </c>
      <c r="F571" s="54"/>
      <c r="G571" s="29"/>
      <c r="H571" s="53">
        <v>80080</v>
      </c>
      <c r="I571" s="53" t="s">
        <v>87</v>
      </c>
      <c r="J571" s="34">
        <v>0</v>
      </c>
      <c r="K571" s="116">
        <v>0</v>
      </c>
      <c r="L571" s="114">
        <v>20020</v>
      </c>
      <c r="M571" s="114">
        <v>80080</v>
      </c>
      <c r="N571" s="114">
        <v>5793</v>
      </c>
      <c r="O571" s="114">
        <v>25358</v>
      </c>
      <c r="P571" s="114">
        <v>8809</v>
      </c>
      <c r="Q571" s="114">
        <v>25358</v>
      </c>
      <c r="R571" s="114">
        <v>0</v>
      </c>
      <c r="S571" s="114">
        <v>16016</v>
      </c>
      <c r="T571" s="196">
        <v>21885.863999999998</v>
      </c>
      <c r="U571" s="52">
        <f>IFERROR(INDEX(tblPiNAnalysis[[Site Management ]], MATCH(tblPiNHistorical[[#This Row],[ID]], tblPiNAnalysis[ID], 0)), "")</f>
        <v>0</v>
      </c>
      <c r="V571" s="52">
        <f>IFERROR(INDEX(tblPiNAnalysis[Education], MATCH(tblPiNHistorical[[#This Row],[ID]], tblPiNAnalysis[ID], 0)), "")</f>
        <v>0</v>
      </c>
      <c r="W571" s="28">
        <f>IFERROR(INDEX(tblPiNAnalysis[Food Security and Livlihoods], MATCH(tblPiNHistorical[[#This Row],[ID]], tblPiNAnalysis[ID], 0)), "")</f>
        <v>0</v>
      </c>
      <c r="X571" s="28">
        <f>IFERROR(INDEX(tblPiNAnalysis[[Health ]], MATCH(tblPiNHistorical[[#This Row],[ID]], tblPiNAnalysis[ID], 0)), "")</f>
        <v>0</v>
      </c>
      <c r="Y571" s="28">
        <f>IFERROR(INDEX(tblPiNAnalysis[Nutrition], MATCH(tblPiNHistorical[[#This Row],[ID]], tblPiNAnalysis[ID], 0)), "")</f>
        <v>0</v>
      </c>
      <c r="Z571" s="28">
        <f>IFERROR(INDEX(tblPiNAnalysis[Protection], MATCH(tblPiNHistorical[[#This Row],[ID]], tblPiNAnalysis[ID], 0)), "")</f>
        <v>0</v>
      </c>
      <c r="AA571" s="28">
        <f>IFERROR(INDEX(tblPiNAnalysis[CP], MATCH(tblPiNHistorical[[#This Row],[ID]], tblPiNAnalysis[ID], 0)), "")</f>
        <v>0</v>
      </c>
      <c r="AB571" s="83">
        <f>IFERROR(INDEX(tblPiNAnalysis[GBV], MATCH(tblPiNHistorical[[#This Row],[ID]], tblPiNAnalysis[ID], 0)), "")</f>
        <v>0</v>
      </c>
      <c r="AC571" s="28">
        <f>IFERROR(INDEX(tblPiNAnalysis[Mine Action], MATCH(tblPiNHistorical[[#This Row],[ID]], tblPiNAnalysis[ID], 0)), "")</f>
        <v>0</v>
      </c>
      <c r="AD571" s="83">
        <f>IFERROR(INDEX(tblPiNAnalysis[[Shelter NFI ]], MATCH(tblPiNHistorical[[#This Row],[ID]], tblPiNAnalysis[ID], 0)), "")</f>
        <v>85945</v>
      </c>
      <c r="AE571" s="28">
        <f>IFERROR(INDEX(tblPiNAnalysis[WASH], MATCH(tblPiNHistorical[[#This Row],[ID]], tblPiNAnalysis[ID], 0)), "")</f>
        <v>0</v>
      </c>
      <c r="AF571"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571" s="136" t="str">
        <f>IF(OR(tblPiNHistorical[[#This Row],[Education Old]]="", tblPiNHistorical[[#This Row],[Education Old]]=0, tblPiNHistorical[[#This Row],[Education New]]="", tblPiNHistorical[[#This Row],[Education New]]=0), "", tblPiNHistorical[[#This Row],[Education New]]-tblPiNHistorical[[#This Row],[Education Old]])</f>
        <v/>
      </c>
      <c r="AH571"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571" s="137" t="str">
        <f>IF(OR(tblPiNHistorical[[#This Row],[Health Old]]="", tblPiNHistorical[[#This Row],[Health Old]]=0, tblPiNHistorical[[#This Row],[Health New]]="", tblPiNHistorical[[#This Row],[Health New]]=0), "", tblPiNHistorical[[#This Row],[Health New]]-tblPiNHistorical[[#This Row],[Health Old]])</f>
        <v/>
      </c>
      <c r="AJ571" s="136" t="str">
        <f>IF(OR(tblPiNHistorical[[#This Row],[Nutrition Old]]="", tblPiNHistorical[[#This Row],[Nutrition Old]]=0, tblPiNHistorical[[#This Row],[Nutrition New]]="", tblPiNHistorical[[#This Row],[Nutrition New]]=0), "", tblPiNHistorical[[#This Row],[Nutrition New]]-tblPiNHistorical[[#This Row],[Nutrition Old]])</f>
        <v/>
      </c>
      <c r="AK571" s="136" t="str">
        <f>IF(OR(tblPiNHistorical[[#This Row],[Protection Old]]="", tblPiNHistorical[[#This Row],[Protection Old]]=0, tblPiNHistorical[[#This Row],[Protection New]]="", tblPiNHistorical[[#This Row],[Protection New]]=0), "", tblPiNHistorical[[#This Row],[Protection New]]-tblPiNHistorical[[#This Row],[Protection Old]])</f>
        <v/>
      </c>
      <c r="AL571" s="136" t="str">
        <f>IF(OR(tblPiNHistorical[[#This Row],[CP Old ]]="", tblPiNHistorical[[#This Row],[CP Old ]]=0, tblPiNHistorical[[#This Row],[CP New]]="", tblPiNHistorical[[#This Row],[CP New]]=0), "", tblPiNHistorical[[#This Row],[CP New]]-tblPiNHistorical[[#This Row],[CP Old ]])</f>
        <v/>
      </c>
      <c r="AM571" s="83" t="str">
        <f>IF(OR(tblPiNHistorical[[#This Row],[GBV Old]]="", tblPiNHistorical[[#This Row],[GBV Old]]=0, tblPiNHistorical[[#This Row],[GBV New]]="", tblPiNHistorical[[#This Row],[GBV New]]=0), "", tblPiNHistorical[[#This Row],[GBV New]]-tblPiNHistorical[[#This Row],[GBV Old]])</f>
        <v/>
      </c>
      <c r="AN571" s="83" t="str">
        <f>IF(OR(tblPiNHistorical[[#This Row],[Mine Action Old]]="", tblPiNHistorical[[#This Row],[Mine Action Old]]=0, tblPiNHistorical[[#This Row],[Mine Action New]]="", tblPiNHistorical[[#This Row],[Mine Action New]]=0), "", tblPiNHistorical[[#This Row],[Mine Action New]]-tblPiNHistorical[[#This Row],[Mine Action Old]])</f>
        <v/>
      </c>
      <c r="AO571" s="136">
        <f>IF(OR(tblPiNHistorical[[#This Row],[Shelter NFI Old]]="", tblPiNHistorical[[#This Row],[Shelter NFI Old]]=0, tblPiNHistorical[[#This Row],[Shelter NFI New]]="", tblPiNHistorical[[#This Row],[Shelter NFI New]]=0), "", tblPiNHistorical[[#This Row],[Shelter NFI New]]-tblPiNHistorical[[#This Row],[Shelter NFI Old]])</f>
        <v>69929</v>
      </c>
      <c r="AP571" s="138" t="str">
        <f>IF(OR(tblPiNHistorical[[#This Row],[WASH Old]]="", tblPiNHistorical[[#This Row],[WASH Old]]=0, tblPiNHistorical[[#This Row],[WASH New]]="", tblPiNHistorical[[#This Row],[WASH New]]=0), "", tblPiNHistorical[[#This Row],[WASH New]]-tblPiNHistorical[[#This Row],[WASH Old]])</f>
        <v/>
      </c>
      <c r="AQ571" s="139" t="str">
        <f>IFERROR(ROUND((tblPiNHistorical[[#This Row],[Site Management - New]] - tblPiNHistorical[[#This Row],[Site Management - Old]])/tblPiNHistorical[[#This Row],[Site Management - Old]], 1), "")</f>
        <v/>
      </c>
      <c r="AR571" s="140" t="str">
        <f>IFERROR(ROUND((tblPiNHistorical[[#This Row],[Education New]]-tblPiNHistorical[[#This Row],[Education Old]])/tblPiNHistorical[[#This Row],[Education Old]], 1), "")</f>
        <v/>
      </c>
      <c r="AS571" s="141">
        <f>IFERROR(ROUND((tblPiNHistorical[[#This Row],[Food Security and Livlihoods New]]-tblPiNHistorical[[#This Row],[Food Security and Livlihoods Old]])/tblPiNHistorical[[#This Row],[Food Security and Livlihoods Old]], 1), "")</f>
        <v>-1</v>
      </c>
      <c r="AT571" s="142">
        <f>IFERROR(ROUND((tblPiNHistorical[[#This Row],[Health New]]-tblPiNHistorical[[#This Row],[Health Old]])/tblPiNHistorical[[#This Row],[Health Old]], 1), "")</f>
        <v>-1</v>
      </c>
      <c r="AU571" s="140">
        <f>IFERROR(ROUND((tblPiNHistorical[[#This Row],[Nutrition New]]-tblPiNHistorical[[#This Row],[Nutrition Old]])/tblPiNHistorical[[#This Row],[Nutrition Old]], 1), "")</f>
        <v>-1</v>
      </c>
      <c r="AV571" s="140">
        <f>IFERROR(ROUND((tblPiNHistorical[[#This Row],[Protection New]]-tblPiNHistorical[[#This Row],[Protection Old]])/tblPiNHistorical[[#This Row],[Protection Old]], 1), "")</f>
        <v>-1</v>
      </c>
      <c r="AW571" s="84">
        <f>IFERROR(ROUND((tblPiNHistorical[[#This Row],[CP New]]-tblPiNHistorical[[#This Row],[CP Old ]])/tblPiNHistorical[[#This Row],[CP Old ]], 1), "")</f>
        <v>-1</v>
      </c>
      <c r="AX571" s="84">
        <f>IFERROR(ROUND((tblPiNHistorical[[#This Row],[GBV New]]-tblPiNHistorical[[#This Row],[GBV Old]])/tblPiNHistorical[[#This Row],[GBV Old]], 1), "")</f>
        <v>-1</v>
      </c>
      <c r="AY571" s="84" t="str">
        <f>IFERROR(ROUND((tblPiNHistorical[[#This Row],[Mine Action New]]-tblPiNHistorical[[#This Row],[Mine Action Old]])/tblPiNHistorical[[#This Row],[Mine Action Old]], 1), "")</f>
        <v/>
      </c>
      <c r="AZ571" s="140">
        <f>IFERROR(ROUND((tblPiNHistorical[[#This Row],[Shelter NFI New]]-tblPiNHistorical[[#This Row],[Shelter NFI Old]])/tblPiNHistorical[[#This Row],[Shelter NFI Old]], 1), "")</f>
        <v>4.4000000000000004</v>
      </c>
      <c r="BA571" s="31">
        <f>IFERROR(ROUND((tblPiNHistorical[[#This Row],[WASH New]]-tblPiNHistorical[[#This Row],[WASH Old]])/tblPiNHistorical[[#This Row],[WASH Old]], 1), "")</f>
        <v>-1</v>
      </c>
    </row>
    <row r="572" spans="1:53" ht="38.25" x14ac:dyDescent="0.25">
      <c r="A572"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Host CommunitySD09048</v>
      </c>
      <c r="B572" s="134" t="s">
        <v>197</v>
      </c>
      <c r="C572" s="124" t="s">
        <v>126</v>
      </c>
      <c r="D572" s="124" t="s">
        <v>392</v>
      </c>
      <c r="E572" s="59" t="s">
        <v>393</v>
      </c>
      <c r="F572" s="54"/>
      <c r="G572" s="29"/>
      <c r="H572" s="53">
        <v>19986</v>
      </c>
      <c r="I572" s="53" t="s">
        <v>87</v>
      </c>
      <c r="J572" s="34">
        <v>0</v>
      </c>
      <c r="K572" s="116">
        <v>0</v>
      </c>
      <c r="L572" s="114">
        <v>19986</v>
      </c>
      <c r="M572" s="114">
        <v>19986</v>
      </c>
      <c r="N572" s="114">
        <v>1095</v>
      </c>
      <c r="O572" s="114">
        <v>6329</v>
      </c>
      <c r="P572" s="114">
        <v>2198</v>
      </c>
      <c r="Q572" s="114">
        <v>6329</v>
      </c>
      <c r="R572" s="114">
        <v>0</v>
      </c>
      <c r="S572" s="114">
        <v>3997</v>
      </c>
      <c r="T572" s="196">
        <v>17359.839599999999</v>
      </c>
      <c r="U572" s="52">
        <f>IFERROR(INDEX(tblPiNAnalysis[[Site Management ]], MATCH(tblPiNHistorical[[#This Row],[ID]], tblPiNAnalysis[ID], 0)), "")</f>
        <v>0</v>
      </c>
      <c r="V572" s="52">
        <f>IFERROR(INDEX(tblPiNAnalysis[Education], MATCH(tblPiNHistorical[[#This Row],[ID]], tblPiNAnalysis[ID], 0)), "")</f>
        <v>0</v>
      </c>
      <c r="W572" s="28">
        <f>IFERROR(INDEX(tblPiNAnalysis[Food Security and Livlihoods], MATCH(tblPiNHistorical[[#This Row],[ID]], tblPiNAnalysis[ID], 0)), "")</f>
        <v>0</v>
      </c>
      <c r="X572" s="28">
        <f>IFERROR(INDEX(tblPiNAnalysis[[Health ]], MATCH(tblPiNHistorical[[#This Row],[ID]], tblPiNAnalysis[ID], 0)), "")</f>
        <v>0</v>
      </c>
      <c r="Y572" s="28">
        <f>IFERROR(INDEX(tblPiNAnalysis[Nutrition], MATCH(tblPiNHistorical[[#This Row],[ID]], tblPiNAnalysis[ID], 0)), "")</f>
        <v>0</v>
      </c>
      <c r="Z572" s="28">
        <f>IFERROR(INDEX(tblPiNAnalysis[Protection], MATCH(tblPiNHistorical[[#This Row],[ID]], tblPiNAnalysis[ID], 0)), "")</f>
        <v>0</v>
      </c>
      <c r="AA572" s="28">
        <f>IFERROR(INDEX(tblPiNAnalysis[CP], MATCH(tblPiNHistorical[[#This Row],[ID]], tblPiNAnalysis[ID], 0)), "")</f>
        <v>0</v>
      </c>
      <c r="AB572" s="83">
        <f>IFERROR(INDEX(tblPiNAnalysis[GBV], MATCH(tblPiNHistorical[[#This Row],[ID]], tblPiNAnalysis[ID], 0)), "")</f>
        <v>0</v>
      </c>
      <c r="AC572" s="28">
        <f>IFERROR(INDEX(tblPiNAnalysis[Mine Action], MATCH(tblPiNHistorical[[#This Row],[ID]], tblPiNAnalysis[ID], 0)), "")</f>
        <v>0</v>
      </c>
      <c r="AD572" s="83">
        <f>IFERROR(INDEX(tblPiNAnalysis[[Shelter NFI ]], MATCH(tblPiNHistorical[[#This Row],[ID]], tblPiNAnalysis[ID], 0)), "")</f>
        <v>5926</v>
      </c>
      <c r="AE572" s="28">
        <f>IFERROR(INDEX(tblPiNAnalysis[WASH], MATCH(tblPiNHistorical[[#This Row],[ID]], tblPiNAnalysis[ID], 0)), "")</f>
        <v>0</v>
      </c>
      <c r="AF572"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572" s="136" t="str">
        <f>IF(OR(tblPiNHistorical[[#This Row],[Education Old]]="", tblPiNHistorical[[#This Row],[Education Old]]=0, tblPiNHistorical[[#This Row],[Education New]]="", tblPiNHistorical[[#This Row],[Education New]]=0), "", tblPiNHistorical[[#This Row],[Education New]]-tblPiNHistorical[[#This Row],[Education Old]])</f>
        <v/>
      </c>
      <c r="AH572"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572" s="137" t="str">
        <f>IF(OR(tblPiNHistorical[[#This Row],[Health Old]]="", tblPiNHistorical[[#This Row],[Health Old]]=0, tblPiNHistorical[[#This Row],[Health New]]="", tblPiNHistorical[[#This Row],[Health New]]=0), "", tblPiNHistorical[[#This Row],[Health New]]-tblPiNHistorical[[#This Row],[Health Old]])</f>
        <v/>
      </c>
      <c r="AJ572" s="136" t="str">
        <f>IF(OR(tblPiNHistorical[[#This Row],[Nutrition Old]]="", tblPiNHistorical[[#This Row],[Nutrition Old]]=0, tblPiNHistorical[[#This Row],[Nutrition New]]="", tblPiNHistorical[[#This Row],[Nutrition New]]=0), "", tblPiNHistorical[[#This Row],[Nutrition New]]-tblPiNHistorical[[#This Row],[Nutrition Old]])</f>
        <v/>
      </c>
      <c r="AK572" s="136" t="str">
        <f>IF(OR(tblPiNHistorical[[#This Row],[Protection Old]]="", tblPiNHistorical[[#This Row],[Protection Old]]=0, tblPiNHistorical[[#This Row],[Protection New]]="", tblPiNHistorical[[#This Row],[Protection New]]=0), "", tblPiNHistorical[[#This Row],[Protection New]]-tblPiNHistorical[[#This Row],[Protection Old]])</f>
        <v/>
      </c>
      <c r="AL572" s="136" t="str">
        <f>IF(OR(tblPiNHistorical[[#This Row],[CP Old ]]="", tblPiNHistorical[[#This Row],[CP Old ]]=0, tblPiNHistorical[[#This Row],[CP New]]="", tblPiNHistorical[[#This Row],[CP New]]=0), "", tblPiNHistorical[[#This Row],[CP New]]-tblPiNHistorical[[#This Row],[CP Old ]])</f>
        <v/>
      </c>
      <c r="AM572" s="83" t="str">
        <f>IF(OR(tblPiNHistorical[[#This Row],[GBV Old]]="", tblPiNHistorical[[#This Row],[GBV Old]]=0, tblPiNHistorical[[#This Row],[GBV New]]="", tblPiNHistorical[[#This Row],[GBV New]]=0), "", tblPiNHistorical[[#This Row],[GBV New]]-tblPiNHistorical[[#This Row],[GBV Old]])</f>
        <v/>
      </c>
      <c r="AN572" s="83" t="str">
        <f>IF(OR(tblPiNHistorical[[#This Row],[Mine Action Old]]="", tblPiNHistorical[[#This Row],[Mine Action Old]]=0, tblPiNHistorical[[#This Row],[Mine Action New]]="", tblPiNHistorical[[#This Row],[Mine Action New]]=0), "", tblPiNHistorical[[#This Row],[Mine Action New]]-tblPiNHistorical[[#This Row],[Mine Action Old]])</f>
        <v/>
      </c>
      <c r="AO572" s="136">
        <f>IF(OR(tblPiNHistorical[[#This Row],[Shelter NFI Old]]="", tblPiNHistorical[[#This Row],[Shelter NFI Old]]=0, tblPiNHistorical[[#This Row],[Shelter NFI New]]="", tblPiNHistorical[[#This Row],[Shelter NFI New]]=0), "", tblPiNHistorical[[#This Row],[Shelter NFI New]]-tblPiNHistorical[[#This Row],[Shelter NFI Old]])</f>
        <v>1929</v>
      </c>
      <c r="AP572" s="138" t="str">
        <f>IF(OR(tblPiNHistorical[[#This Row],[WASH Old]]="", tblPiNHistorical[[#This Row],[WASH Old]]=0, tblPiNHistorical[[#This Row],[WASH New]]="", tblPiNHistorical[[#This Row],[WASH New]]=0), "", tblPiNHistorical[[#This Row],[WASH New]]-tblPiNHistorical[[#This Row],[WASH Old]])</f>
        <v/>
      </c>
      <c r="AQ572" s="139" t="str">
        <f>IFERROR(ROUND((tblPiNHistorical[[#This Row],[Site Management - New]] - tblPiNHistorical[[#This Row],[Site Management - Old]])/tblPiNHistorical[[#This Row],[Site Management - Old]], 1), "")</f>
        <v/>
      </c>
      <c r="AR572" s="140" t="str">
        <f>IFERROR(ROUND((tblPiNHistorical[[#This Row],[Education New]]-tblPiNHistorical[[#This Row],[Education Old]])/tblPiNHistorical[[#This Row],[Education Old]], 1), "")</f>
        <v/>
      </c>
      <c r="AS572" s="141">
        <f>IFERROR(ROUND((tblPiNHistorical[[#This Row],[Food Security and Livlihoods New]]-tblPiNHistorical[[#This Row],[Food Security and Livlihoods Old]])/tblPiNHistorical[[#This Row],[Food Security and Livlihoods Old]], 1), "")</f>
        <v>-1</v>
      </c>
      <c r="AT572" s="142">
        <f>IFERROR(ROUND((tblPiNHistorical[[#This Row],[Health New]]-tblPiNHistorical[[#This Row],[Health Old]])/tblPiNHistorical[[#This Row],[Health Old]], 1), "")</f>
        <v>-1</v>
      </c>
      <c r="AU572" s="140">
        <f>IFERROR(ROUND((tblPiNHistorical[[#This Row],[Nutrition New]]-tblPiNHistorical[[#This Row],[Nutrition Old]])/tblPiNHistorical[[#This Row],[Nutrition Old]], 1), "")</f>
        <v>-1</v>
      </c>
      <c r="AV572" s="140">
        <f>IFERROR(ROUND((tblPiNHistorical[[#This Row],[Protection New]]-tblPiNHistorical[[#This Row],[Protection Old]])/tblPiNHistorical[[#This Row],[Protection Old]], 1), "")</f>
        <v>-1</v>
      </c>
      <c r="AW572" s="84">
        <f>IFERROR(ROUND((tblPiNHistorical[[#This Row],[CP New]]-tblPiNHistorical[[#This Row],[CP Old ]])/tblPiNHistorical[[#This Row],[CP Old ]], 1), "")</f>
        <v>-1</v>
      </c>
      <c r="AX572" s="84">
        <f>IFERROR(ROUND((tblPiNHistorical[[#This Row],[GBV New]]-tblPiNHistorical[[#This Row],[GBV Old]])/tblPiNHistorical[[#This Row],[GBV Old]], 1), "")</f>
        <v>-1</v>
      </c>
      <c r="AY572" s="84" t="str">
        <f>IFERROR(ROUND((tblPiNHistorical[[#This Row],[Mine Action New]]-tblPiNHistorical[[#This Row],[Mine Action Old]])/tblPiNHistorical[[#This Row],[Mine Action Old]], 1), "")</f>
        <v/>
      </c>
      <c r="AZ572" s="140">
        <f>IFERROR(ROUND((tblPiNHistorical[[#This Row],[Shelter NFI New]]-tblPiNHistorical[[#This Row],[Shelter NFI Old]])/tblPiNHistorical[[#This Row],[Shelter NFI Old]], 1), "")</f>
        <v>0.5</v>
      </c>
      <c r="BA572" s="31">
        <f>IFERROR(ROUND((tblPiNHistorical[[#This Row],[WASH New]]-tblPiNHistorical[[#This Row],[WASH Old]])/tblPiNHistorical[[#This Row],[WASH Old]], 1), "")</f>
        <v>-1</v>
      </c>
    </row>
    <row r="573" spans="1:53" ht="38.25" x14ac:dyDescent="0.25">
      <c r="A573"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Host CommunitySD09045</v>
      </c>
      <c r="B573" s="134" t="s">
        <v>197</v>
      </c>
      <c r="C573" s="124" t="s">
        <v>126</v>
      </c>
      <c r="D573" s="124" t="s">
        <v>386</v>
      </c>
      <c r="E573" s="59" t="s">
        <v>387</v>
      </c>
      <c r="F573" s="54"/>
      <c r="G573" s="29"/>
      <c r="H573" s="53">
        <v>20067</v>
      </c>
      <c r="I573" s="53" t="s">
        <v>87</v>
      </c>
      <c r="J573" s="34">
        <v>0</v>
      </c>
      <c r="K573" s="116">
        <v>0</v>
      </c>
      <c r="L573" s="114">
        <v>20067</v>
      </c>
      <c r="M573" s="114">
        <v>20067</v>
      </c>
      <c r="N573" s="114">
        <v>735</v>
      </c>
      <c r="O573" s="114">
        <v>6355</v>
      </c>
      <c r="P573" s="114">
        <v>2207</v>
      </c>
      <c r="Q573" s="114">
        <v>6355</v>
      </c>
      <c r="R573" s="114">
        <v>0</v>
      </c>
      <c r="S573" s="114">
        <v>4013</v>
      </c>
      <c r="T573" s="196">
        <v>12758.598599999999</v>
      </c>
      <c r="U573" s="52">
        <f>IFERROR(INDEX(tblPiNAnalysis[[Site Management ]], MATCH(tblPiNHistorical[[#This Row],[ID]], tblPiNAnalysis[ID], 0)), "")</f>
        <v>0</v>
      </c>
      <c r="V573" s="52">
        <f>IFERROR(INDEX(tblPiNAnalysis[Education], MATCH(tblPiNHistorical[[#This Row],[ID]], tblPiNAnalysis[ID], 0)), "")</f>
        <v>0</v>
      </c>
      <c r="W573" s="28">
        <f>IFERROR(INDEX(tblPiNAnalysis[Food Security and Livlihoods], MATCH(tblPiNHistorical[[#This Row],[ID]], tblPiNAnalysis[ID], 0)), "")</f>
        <v>0</v>
      </c>
      <c r="X573" s="28">
        <f>IFERROR(INDEX(tblPiNAnalysis[[Health ]], MATCH(tblPiNHistorical[[#This Row],[ID]], tblPiNAnalysis[ID], 0)), "")</f>
        <v>0</v>
      </c>
      <c r="Y573" s="28">
        <f>IFERROR(INDEX(tblPiNAnalysis[Nutrition], MATCH(tblPiNHistorical[[#This Row],[ID]], tblPiNAnalysis[ID], 0)), "")</f>
        <v>0</v>
      </c>
      <c r="Z573" s="28">
        <f>IFERROR(INDEX(tblPiNAnalysis[Protection], MATCH(tblPiNHistorical[[#This Row],[ID]], tblPiNAnalysis[ID], 0)), "")</f>
        <v>0</v>
      </c>
      <c r="AA573" s="28">
        <f>IFERROR(INDEX(tblPiNAnalysis[CP], MATCH(tblPiNHistorical[[#This Row],[ID]], tblPiNAnalysis[ID], 0)), "")</f>
        <v>0</v>
      </c>
      <c r="AB573" s="83">
        <f>IFERROR(INDEX(tblPiNAnalysis[GBV], MATCH(tblPiNHistorical[[#This Row],[ID]], tblPiNAnalysis[ID], 0)), "")</f>
        <v>0</v>
      </c>
      <c r="AC573" s="28">
        <f>IFERROR(INDEX(tblPiNAnalysis[Mine Action], MATCH(tblPiNHistorical[[#This Row],[ID]], tblPiNAnalysis[ID], 0)), "")</f>
        <v>0</v>
      </c>
      <c r="AD573" s="83">
        <f>IFERROR(INDEX(tblPiNAnalysis[[Shelter NFI ]], MATCH(tblPiNHistorical[[#This Row],[ID]], tblPiNAnalysis[ID], 0)), "")</f>
        <v>5478</v>
      </c>
      <c r="AE573" s="28">
        <f>IFERROR(INDEX(tblPiNAnalysis[WASH], MATCH(tblPiNHistorical[[#This Row],[ID]], tblPiNAnalysis[ID], 0)), "")</f>
        <v>0</v>
      </c>
      <c r="AF573"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573" s="136" t="str">
        <f>IF(OR(tblPiNHistorical[[#This Row],[Education Old]]="", tblPiNHistorical[[#This Row],[Education Old]]=0, tblPiNHistorical[[#This Row],[Education New]]="", tblPiNHistorical[[#This Row],[Education New]]=0), "", tblPiNHistorical[[#This Row],[Education New]]-tblPiNHistorical[[#This Row],[Education Old]])</f>
        <v/>
      </c>
      <c r="AH573"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573" s="137" t="str">
        <f>IF(OR(tblPiNHistorical[[#This Row],[Health Old]]="", tblPiNHistorical[[#This Row],[Health Old]]=0, tblPiNHistorical[[#This Row],[Health New]]="", tblPiNHistorical[[#This Row],[Health New]]=0), "", tblPiNHistorical[[#This Row],[Health New]]-tblPiNHistorical[[#This Row],[Health Old]])</f>
        <v/>
      </c>
      <c r="AJ573" s="136" t="str">
        <f>IF(OR(tblPiNHistorical[[#This Row],[Nutrition Old]]="", tblPiNHistorical[[#This Row],[Nutrition Old]]=0, tblPiNHistorical[[#This Row],[Nutrition New]]="", tblPiNHistorical[[#This Row],[Nutrition New]]=0), "", tblPiNHistorical[[#This Row],[Nutrition New]]-tblPiNHistorical[[#This Row],[Nutrition Old]])</f>
        <v/>
      </c>
      <c r="AK573" s="136" t="str">
        <f>IF(OR(tblPiNHistorical[[#This Row],[Protection Old]]="", tblPiNHistorical[[#This Row],[Protection Old]]=0, tblPiNHistorical[[#This Row],[Protection New]]="", tblPiNHistorical[[#This Row],[Protection New]]=0), "", tblPiNHistorical[[#This Row],[Protection New]]-tblPiNHistorical[[#This Row],[Protection Old]])</f>
        <v/>
      </c>
      <c r="AL573" s="136" t="str">
        <f>IF(OR(tblPiNHistorical[[#This Row],[CP Old ]]="", tblPiNHistorical[[#This Row],[CP Old ]]=0, tblPiNHistorical[[#This Row],[CP New]]="", tblPiNHistorical[[#This Row],[CP New]]=0), "", tblPiNHistorical[[#This Row],[CP New]]-tblPiNHistorical[[#This Row],[CP Old ]])</f>
        <v/>
      </c>
      <c r="AM573" s="83" t="str">
        <f>IF(OR(tblPiNHistorical[[#This Row],[GBV Old]]="", tblPiNHistorical[[#This Row],[GBV Old]]=0, tblPiNHistorical[[#This Row],[GBV New]]="", tblPiNHistorical[[#This Row],[GBV New]]=0), "", tblPiNHistorical[[#This Row],[GBV New]]-tblPiNHistorical[[#This Row],[GBV Old]])</f>
        <v/>
      </c>
      <c r="AN573" s="83" t="str">
        <f>IF(OR(tblPiNHistorical[[#This Row],[Mine Action Old]]="", tblPiNHistorical[[#This Row],[Mine Action Old]]=0, tblPiNHistorical[[#This Row],[Mine Action New]]="", tblPiNHistorical[[#This Row],[Mine Action New]]=0), "", tblPiNHistorical[[#This Row],[Mine Action New]]-tblPiNHistorical[[#This Row],[Mine Action Old]])</f>
        <v/>
      </c>
      <c r="AO573" s="136">
        <f>IF(OR(tblPiNHistorical[[#This Row],[Shelter NFI Old]]="", tblPiNHistorical[[#This Row],[Shelter NFI Old]]=0, tblPiNHistorical[[#This Row],[Shelter NFI New]]="", tblPiNHistorical[[#This Row],[Shelter NFI New]]=0), "", tblPiNHistorical[[#This Row],[Shelter NFI New]]-tblPiNHistorical[[#This Row],[Shelter NFI Old]])</f>
        <v>1465</v>
      </c>
      <c r="AP573" s="138" t="str">
        <f>IF(OR(tblPiNHistorical[[#This Row],[WASH Old]]="", tblPiNHistorical[[#This Row],[WASH Old]]=0, tblPiNHistorical[[#This Row],[WASH New]]="", tblPiNHistorical[[#This Row],[WASH New]]=0), "", tblPiNHistorical[[#This Row],[WASH New]]-tblPiNHistorical[[#This Row],[WASH Old]])</f>
        <v/>
      </c>
      <c r="AQ573" s="139" t="str">
        <f>IFERROR(ROUND((tblPiNHistorical[[#This Row],[Site Management - New]] - tblPiNHistorical[[#This Row],[Site Management - Old]])/tblPiNHistorical[[#This Row],[Site Management - Old]], 1), "")</f>
        <v/>
      </c>
      <c r="AR573" s="140" t="str">
        <f>IFERROR(ROUND((tblPiNHistorical[[#This Row],[Education New]]-tblPiNHistorical[[#This Row],[Education Old]])/tblPiNHistorical[[#This Row],[Education Old]], 1), "")</f>
        <v/>
      </c>
      <c r="AS573" s="141">
        <f>IFERROR(ROUND((tblPiNHistorical[[#This Row],[Food Security and Livlihoods New]]-tblPiNHistorical[[#This Row],[Food Security and Livlihoods Old]])/tblPiNHistorical[[#This Row],[Food Security and Livlihoods Old]], 1), "")</f>
        <v>-1</v>
      </c>
      <c r="AT573" s="142">
        <f>IFERROR(ROUND((tblPiNHistorical[[#This Row],[Health New]]-tblPiNHistorical[[#This Row],[Health Old]])/tblPiNHistorical[[#This Row],[Health Old]], 1), "")</f>
        <v>-1</v>
      </c>
      <c r="AU573" s="140">
        <f>IFERROR(ROUND((tblPiNHistorical[[#This Row],[Nutrition New]]-tblPiNHistorical[[#This Row],[Nutrition Old]])/tblPiNHistorical[[#This Row],[Nutrition Old]], 1), "")</f>
        <v>-1</v>
      </c>
      <c r="AV573" s="140">
        <f>IFERROR(ROUND((tblPiNHistorical[[#This Row],[Protection New]]-tblPiNHistorical[[#This Row],[Protection Old]])/tblPiNHistorical[[#This Row],[Protection Old]], 1), "")</f>
        <v>-1</v>
      </c>
      <c r="AW573" s="84">
        <f>IFERROR(ROUND((tblPiNHistorical[[#This Row],[CP New]]-tblPiNHistorical[[#This Row],[CP Old ]])/tblPiNHistorical[[#This Row],[CP Old ]], 1), "")</f>
        <v>-1</v>
      </c>
      <c r="AX573" s="84">
        <f>IFERROR(ROUND((tblPiNHistorical[[#This Row],[GBV New]]-tblPiNHistorical[[#This Row],[GBV Old]])/tblPiNHistorical[[#This Row],[GBV Old]], 1), "")</f>
        <v>-1</v>
      </c>
      <c r="AY573" s="84" t="str">
        <f>IFERROR(ROUND((tblPiNHistorical[[#This Row],[Mine Action New]]-tblPiNHistorical[[#This Row],[Mine Action Old]])/tblPiNHistorical[[#This Row],[Mine Action Old]], 1), "")</f>
        <v/>
      </c>
      <c r="AZ573" s="140">
        <f>IFERROR(ROUND((tblPiNHistorical[[#This Row],[Shelter NFI New]]-tblPiNHistorical[[#This Row],[Shelter NFI Old]])/tblPiNHistorical[[#This Row],[Shelter NFI Old]], 1), "")</f>
        <v>0.4</v>
      </c>
      <c r="BA573" s="31">
        <f>IFERROR(ROUND((tblPiNHistorical[[#This Row],[WASH New]]-tblPiNHistorical[[#This Row],[WASH Old]])/tblPiNHistorical[[#This Row],[WASH Old]], 1), "")</f>
        <v>-1</v>
      </c>
    </row>
    <row r="574" spans="1:53" ht="38.25" x14ac:dyDescent="0.25">
      <c r="A574"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Non-displaced PopulationSD19101</v>
      </c>
      <c r="B574" s="134" t="s">
        <v>144</v>
      </c>
      <c r="C574" s="124" t="s">
        <v>136</v>
      </c>
      <c r="D574" s="124" t="s">
        <v>574</v>
      </c>
      <c r="E574" s="59" t="s">
        <v>573</v>
      </c>
      <c r="F574" s="54"/>
      <c r="G574" s="29"/>
      <c r="H574" s="53">
        <v>29245</v>
      </c>
      <c r="I574" s="53" t="s">
        <v>89</v>
      </c>
      <c r="J574" s="34">
        <v>0</v>
      </c>
      <c r="K574" s="116">
        <v>0</v>
      </c>
      <c r="L574" s="114">
        <v>0</v>
      </c>
      <c r="M574" s="114">
        <v>29245</v>
      </c>
      <c r="N574" s="114">
        <v>20945</v>
      </c>
      <c r="O574" s="114">
        <v>3216.9500000000007</v>
      </c>
      <c r="P574" s="114">
        <v>3217</v>
      </c>
      <c r="Q574" s="114">
        <v>1544</v>
      </c>
      <c r="R574" s="114">
        <v>0</v>
      </c>
      <c r="S574" s="114">
        <v>5849</v>
      </c>
      <c r="T574" s="196">
        <v>23483.735000000001</v>
      </c>
      <c r="U574" s="52" t="str">
        <f>IFERROR(INDEX(tblPiNAnalysis[[Site Management ]], MATCH(tblPiNHistorical[[#This Row],[ID]], tblPiNAnalysis[ID], 0)), "")</f>
        <v/>
      </c>
      <c r="V574" s="52" t="str">
        <f>IFERROR(INDEX(tblPiNAnalysis[Education], MATCH(tblPiNHistorical[[#This Row],[ID]], tblPiNAnalysis[ID], 0)), "")</f>
        <v/>
      </c>
      <c r="W574" s="28" t="str">
        <f>IFERROR(INDEX(tblPiNAnalysis[Food Security and Livlihoods], MATCH(tblPiNHistorical[[#This Row],[ID]], tblPiNAnalysis[ID], 0)), "")</f>
        <v/>
      </c>
      <c r="X574" s="28" t="str">
        <f>IFERROR(INDEX(tblPiNAnalysis[[Health ]], MATCH(tblPiNHistorical[[#This Row],[ID]], tblPiNAnalysis[ID], 0)), "")</f>
        <v/>
      </c>
      <c r="Y574" s="28" t="str">
        <f>IFERROR(INDEX(tblPiNAnalysis[Nutrition], MATCH(tblPiNHistorical[[#This Row],[ID]], tblPiNAnalysis[ID], 0)), "")</f>
        <v/>
      </c>
      <c r="Z574" s="28" t="str">
        <f>IFERROR(INDEX(tblPiNAnalysis[Protection], MATCH(tblPiNHistorical[[#This Row],[ID]], tblPiNAnalysis[ID], 0)), "")</f>
        <v/>
      </c>
      <c r="AA574" s="28" t="str">
        <f>IFERROR(INDEX(tblPiNAnalysis[CP], MATCH(tblPiNHistorical[[#This Row],[ID]], tblPiNAnalysis[ID], 0)), "")</f>
        <v/>
      </c>
      <c r="AB574" s="83" t="str">
        <f>IFERROR(INDEX(tblPiNAnalysis[GBV], MATCH(tblPiNHistorical[[#This Row],[ID]], tblPiNAnalysis[ID], 0)), "")</f>
        <v/>
      </c>
      <c r="AC574" s="28" t="str">
        <f>IFERROR(INDEX(tblPiNAnalysis[Mine Action], MATCH(tblPiNHistorical[[#This Row],[ID]], tblPiNAnalysis[ID], 0)), "")</f>
        <v/>
      </c>
      <c r="AD574" s="83" t="str">
        <f>IFERROR(INDEX(tblPiNAnalysis[[Shelter NFI ]], MATCH(tblPiNHistorical[[#This Row],[ID]], tblPiNAnalysis[ID], 0)), "")</f>
        <v/>
      </c>
      <c r="AE574" s="28" t="str">
        <f>IFERROR(INDEX(tblPiNAnalysis[WASH], MATCH(tblPiNHistorical[[#This Row],[ID]], tblPiNAnalysis[ID], 0)), "")</f>
        <v/>
      </c>
      <c r="AF574"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574" s="136" t="str">
        <f>IF(OR(tblPiNHistorical[[#This Row],[Education Old]]="", tblPiNHistorical[[#This Row],[Education Old]]=0, tblPiNHistorical[[#This Row],[Education New]]="", tblPiNHistorical[[#This Row],[Education New]]=0), "", tblPiNHistorical[[#This Row],[Education New]]-tblPiNHistorical[[#This Row],[Education Old]])</f>
        <v/>
      </c>
      <c r="AH574"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574" s="137" t="str">
        <f>IF(OR(tblPiNHistorical[[#This Row],[Health Old]]="", tblPiNHistorical[[#This Row],[Health Old]]=0, tblPiNHistorical[[#This Row],[Health New]]="", tblPiNHistorical[[#This Row],[Health New]]=0), "", tblPiNHistorical[[#This Row],[Health New]]-tblPiNHistorical[[#This Row],[Health Old]])</f>
        <v/>
      </c>
      <c r="AJ574" s="136" t="str">
        <f>IF(OR(tblPiNHistorical[[#This Row],[Nutrition Old]]="", tblPiNHistorical[[#This Row],[Nutrition Old]]=0, tblPiNHistorical[[#This Row],[Nutrition New]]="", tblPiNHistorical[[#This Row],[Nutrition New]]=0), "", tblPiNHistorical[[#This Row],[Nutrition New]]-tblPiNHistorical[[#This Row],[Nutrition Old]])</f>
        <v/>
      </c>
      <c r="AK574" s="136" t="str">
        <f>IF(OR(tblPiNHistorical[[#This Row],[Protection Old]]="", tblPiNHistorical[[#This Row],[Protection Old]]=0, tblPiNHistorical[[#This Row],[Protection New]]="", tblPiNHistorical[[#This Row],[Protection New]]=0), "", tblPiNHistorical[[#This Row],[Protection New]]-tblPiNHistorical[[#This Row],[Protection Old]])</f>
        <v/>
      </c>
      <c r="AL574" s="136" t="str">
        <f>IF(OR(tblPiNHistorical[[#This Row],[CP Old ]]="", tblPiNHistorical[[#This Row],[CP Old ]]=0, tblPiNHistorical[[#This Row],[CP New]]="", tblPiNHistorical[[#This Row],[CP New]]=0), "", tblPiNHistorical[[#This Row],[CP New]]-tblPiNHistorical[[#This Row],[CP Old ]])</f>
        <v/>
      </c>
      <c r="AM574" s="83" t="str">
        <f>IF(OR(tblPiNHistorical[[#This Row],[GBV Old]]="", tblPiNHistorical[[#This Row],[GBV Old]]=0, tblPiNHistorical[[#This Row],[GBV New]]="", tblPiNHistorical[[#This Row],[GBV New]]=0), "", tblPiNHistorical[[#This Row],[GBV New]]-tblPiNHistorical[[#This Row],[GBV Old]])</f>
        <v/>
      </c>
      <c r="AN574" s="83" t="str">
        <f>IF(OR(tblPiNHistorical[[#This Row],[Mine Action Old]]="", tblPiNHistorical[[#This Row],[Mine Action Old]]=0, tblPiNHistorical[[#This Row],[Mine Action New]]="", tblPiNHistorical[[#This Row],[Mine Action New]]=0), "", tblPiNHistorical[[#This Row],[Mine Action New]]-tblPiNHistorical[[#This Row],[Mine Action Old]])</f>
        <v/>
      </c>
      <c r="AO574" s="136" t="str">
        <f>IF(OR(tblPiNHistorical[[#This Row],[Shelter NFI Old]]="", tblPiNHistorical[[#This Row],[Shelter NFI Old]]=0, tblPiNHistorical[[#This Row],[Shelter NFI New]]="", tblPiNHistorical[[#This Row],[Shelter NFI New]]=0), "", tblPiNHistorical[[#This Row],[Shelter NFI New]]-tblPiNHistorical[[#This Row],[Shelter NFI Old]])</f>
        <v/>
      </c>
      <c r="AP574" s="138" t="str">
        <f>IF(OR(tblPiNHistorical[[#This Row],[WASH Old]]="", tblPiNHistorical[[#This Row],[WASH Old]]=0, tblPiNHistorical[[#This Row],[WASH New]]="", tblPiNHistorical[[#This Row],[WASH New]]=0), "", tblPiNHistorical[[#This Row],[WASH New]]-tblPiNHistorical[[#This Row],[WASH Old]])</f>
        <v/>
      </c>
      <c r="AQ574" s="139" t="str">
        <f>IFERROR(ROUND((tblPiNHistorical[[#This Row],[Site Management - New]] - tblPiNHistorical[[#This Row],[Site Management - Old]])/tblPiNHistorical[[#This Row],[Site Management - Old]], 1), "")</f>
        <v/>
      </c>
      <c r="AR574" s="140" t="str">
        <f>IFERROR(ROUND((tblPiNHistorical[[#This Row],[Education New]]-tblPiNHistorical[[#This Row],[Education Old]])/tblPiNHistorical[[#This Row],[Education Old]], 1), "")</f>
        <v/>
      </c>
      <c r="AS574" s="141" t="str">
        <f>IFERROR(ROUND((tblPiNHistorical[[#This Row],[Food Security and Livlihoods New]]-tblPiNHistorical[[#This Row],[Food Security and Livlihoods Old]])/tblPiNHistorical[[#This Row],[Food Security and Livlihoods Old]], 1), "")</f>
        <v/>
      </c>
      <c r="AT574" s="142" t="str">
        <f>IFERROR(ROUND((tblPiNHistorical[[#This Row],[Health New]]-tblPiNHistorical[[#This Row],[Health Old]])/tblPiNHistorical[[#This Row],[Health Old]], 1), "")</f>
        <v/>
      </c>
      <c r="AU574" s="140" t="str">
        <f>IFERROR(ROUND((tblPiNHistorical[[#This Row],[Nutrition New]]-tblPiNHistorical[[#This Row],[Nutrition Old]])/tblPiNHistorical[[#This Row],[Nutrition Old]], 1), "")</f>
        <v/>
      </c>
      <c r="AV574" s="140" t="str">
        <f>IFERROR(ROUND((tblPiNHistorical[[#This Row],[Protection New]]-tblPiNHistorical[[#This Row],[Protection Old]])/tblPiNHistorical[[#This Row],[Protection Old]], 1), "")</f>
        <v/>
      </c>
      <c r="AW574" s="84" t="str">
        <f>IFERROR(ROUND((tblPiNHistorical[[#This Row],[CP New]]-tblPiNHistorical[[#This Row],[CP Old ]])/tblPiNHistorical[[#This Row],[CP Old ]], 1), "")</f>
        <v/>
      </c>
      <c r="AX574" s="84" t="str">
        <f>IFERROR(ROUND((tblPiNHistorical[[#This Row],[GBV New]]-tblPiNHistorical[[#This Row],[GBV Old]])/tblPiNHistorical[[#This Row],[GBV Old]], 1), "")</f>
        <v/>
      </c>
      <c r="AY574" s="84" t="str">
        <f>IFERROR(ROUND((tblPiNHistorical[[#This Row],[Mine Action New]]-tblPiNHistorical[[#This Row],[Mine Action Old]])/tblPiNHistorical[[#This Row],[Mine Action Old]], 1), "")</f>
        <v/>
      </c>
      <c r="AZ574" s="140" t="str">
        <f>IFERROR(ROUND((tblPiNHistorical[[#This Row],[Shelter NFI New]]-tblPiNHistorical[[#This Row],[Shelter NFI Old]])/tblPiNHistorical[[#This Row],[Shelter NFI Old]], 1), "")</f>
        <v/>
      </c>
      <c r="BA574" s="31" t="str">
        <f>IFERROR(ROUND((tblPiNHistorical[[#This Row],[WASH New]]-tblPiNHistorical[[#This Row],[WASH Old]])/tblPiNHistorical[[#This Row],[WASH Old]], 1), "")</f>
        <v/>
      </c>
    </row>
    <row r="575" spans="1:53" ht="38.25" x14ac:dyDescent="0.25">
      <c r="A575"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Non-displaced PopulationSD15034</v>
      </c>
      <c r="B575" s="134" t="s">
        <v>147</v>
      </c>
      <c r="C575" s="124" t="s">
        <v>132</v>
      </c>
      <c r="D575" s="124" t="s">
        <v>504</v>
      </c>
      <c r="E575" s="59" t="s">
        <v>505</v>
      </c>
      <c r="F575" s="54"/>
      <c r="G575" s="29"/>
      <c r="H575" s="53">
        <v>256235</v>
      </c>
      <c r="I575" s="53" t="s">
        <v>89</v>
      </c>
      <c r="J575" s="34">
        <v>0</v>
      </c>
      <c r="K575" s="116">
        <v>0</v>
      </c>
      <c r="L575" s="114">
        <v>76870.5</v>
      </c>
      <c r="M575" s="114">
        <v>12200</v>
      </c>
      <c r="N575" s="114">
        <v>67812</v>
      </c>
      <c r="O575" s="114">
        <v>28185.850000000002</v>
      </c>
      <c r="P575" s="114">
        <v>28186</v>
      </c>
      <c r="Q575" s="114">
        <v>20285</v>
      </c>
      <c r="R575" s="114">
        <v>0</v>
      </c>
      <c r="S575" s="114">
        <v>76871</v>
      </c>
      <c r="T575" s="196">
        <v>187256.538</v>
      </c>
      <c r="U575" s="52" t="str">
        <f>IFERROR(INDEX(tblPiNAnalysis[[Site Management ]], MATCH(tblPiNHistorical[[#This Row],[ID]], tblPiNAnalysis[ID], 0)), "")</f>
        <v/>
      </c>
      <c r="V575" s="52" t="str">
        <f>IFERROR(INDEX(tblPiNAnalysis[Education], MATCH(tblPiNHistorical[[#This Row],[ID]], tblPiNAnalysis[ID], 0)), "")</f>
        <v/>
      </c>
      <c r="W575" s="28" t="str">
        <f>IFERROR(INDEX(tblPiNAnalysis[Food Security and Livlihoods], MATCH(tblPiNHistorical[[#This Row],[ID]], tblPiNAnalysis[ID], 0)), "")</f>
        <v/>
      </c>
      <c r="X575" s="28" t="str">
        <f>IFERROR(INDEX(tblPiNAnalysis[[Health ]], MATCH(tblPiNHistorical[[#This Row],[ID]], tblPiNAnalysis[ID], 0)), "")</f>
        <v/>
      </c>
      <c r="Y575" s="28" t="str">
        <f>IFERROR(INDEX(tblPiNAnalysis[Nutrition], MATCH(tblPiNHistorical[[#This Row],[ID]], tblPiNAnalysis[ID], 0)), "")</f>
        <v/>
      </c>
      <c r="Z575" s="28" t="str">
        <f>IFERROR(INDEX(tblPiNAnalysis[Protection], MATCH(tblPiNHistorical[[#This Row],[ID]], tblPiNAnalysis[ID], 0)), "")</f>
        <v/>
      </c>
      <c r="AA575" s="28" t="str">
        <f>IFERROR(INDEX(tblPiNAnalysis[CP], MATCH(tblPiNHistorical[[#This Row],[ID]], tblPiNAnalysis[ID], 0)), "")</f>
        <v/>
      </c>
      <c r="AB575" s="83" t="str">
        <f>IFERROR(INDEX(tblPiNAnalysis[GBV], MATCH(tblPiNHistorical[[#This Row],[ID]], tblPiNAnalysis[ID], 0)), "")</f>
        <v/>
      </c>
      <c r="AC575" s="28" t="str">
        <f>IFERROR(INDEX(tblPiNAnalysis[Mine Action], MATCH(tblPiNHistorical[[#This Row],[ID]], tblPiNAnalysis[ID], 0)), "")</f>
        <v/>
      </c>
      <c r="AD575" s="83" t="str">
        <f>IFERROR(INDEX(tblPiNAnalysis[[Shelter NFI ]], MATCH(tblPiNHistorical[[#This Row],[ID]], tblPiNAnalysis[ID], 0)), "")</f>
        <v/>
      </c>
      <c r="AE575" s="28" t="str">
        <f>IFERROR(INDEX(tblPiNAnalysis[WASH], MATCH(tblPiNHistorical[[#This Row],[ID]], tblPiNAnalysis[ID], 0)), "")</f>
        <v/>
      </c>
      <c r="AF575"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575" s="136" t="str">
        <f>IF(OR(tblPiNHistorical[[#This Row],[Education Old]]="", tblPiNHistorical[[#This Row],[Education Old]]=0, tblPiNHistorical[[#This Row],[Education New]]="", tblPiNHistorical[[#This Row],[Education New]]=0), "", tblPiNHistorical[[#This Row],[Education New]]-tblPiNHistorical[[#This Row],[Education Old]])</f>
        <v/>
      </c>
      <c r="AH575"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575" s="137" t="str">
        <f>IF(OR(tblPiNHistorical[[#This Row],[Health Old]]="", tblPiNHistorical[[#This Row],[Health Old]]=0, tblPiNHistorical[[#This Row],[Health New]]="", tblPiNHistorical[[#This Row],[Health New]]=0), "", tblPiNHistorical[[#This Row],[Health New]]-tblPiNHistorical[[#This Row],[Health Old]])</f>
        <v/>
      </c>
      <c r="AJ575" s="136" t="str">
        <f>IF(OR(tblPiNHistorical[[#This Row],[Nutrition Old]]="", tblPiNHistorical[[#This Row],[Nutrition Old]]=0, tblPiNHistorical[[#This Row],[Nutrition New]]="", tblPiNHistorical[[#This Row],[Nutrition New]]=0), "", tblPiNHistorical[[#This Row],[Nutrition New]]-tblPiNHistorical[[#This Row],[Nutrition Old]])</f>
        <v/>
      </c>
      <c r="AK575" s="136" t="str">
        <f>IF(OR(tblPiNHistorical[[#This Row],[Protection Old]]="", tblPiNHistorical[[#This Row],[Protection Old]]=0, tblPiNHistorical[[#This Row],[Protection New]]="", tblPiNHistorical[[#This Row],[Protection New]]=0), "", tblPiNHistorical[[#This Row],[Protection New]]-tblPiNHistorical[[#This Row],[Protection Old]])</f>
        <v/>
      </c>
      <c r="AL575" s="136" t="str">
        <f>IF(OR(tblPiNHistorical[[#This Row],[CP Old ]]="", tblPiNHistorical[[#This Row],[CP Old ]]=0, tblPiNHistorical[[#This Row],[CP New]]="", tblPiNHistorical[[#This Row],[CP New]]=0), "", tblPiNHistorical[[#This Row],[CP New]]-tblPiNHistorical[[#This Row],[CP Old ]])</f>
        <v/>
      </c>
      <c r="AM575" s="83" t="str">
        <f>IF(OR(tblPiNHistorical[[#This Row],[GBV Old]]="", tblPiNHistorical[[#This Row],[GBV Old]]=0, tblPiNHistorical[[#This Row],[GBV New]]="", tblPiNHistorical[[#This Row],[GBV New]]=0), "", tblPiNHistorical[[#This Row],[GBV New]]-tblPiNHistorical[[#This Row],[GBV Old]])</f>
        <v/>
      </c>
      <c r="AN575" s="83" t="str">
        <f>IF(OR(tblPiNHistorical[[#This Row],[Mine Action Old]]="", tblPiNHistorical[[#This Row],[Mine Action Old]]=0, tblPiNHistorical[[#This Row],[Mine Action New]]="", tblPiNHistorical[[#This Row],[Mine Action New]]=0), "", tblPiNHistorical[[#This Row],[Mine Action New]]-tblPiNHistorical[[#This Row],[Mine Action Old]])</f>
        <v/>
      </c>
      <c r="AO575" s="136" t="str">
        <f>IF(OR(tblPiNHistorical[[#This Row],[Shelter NFI Old]]="", tblPiNHistorical[[#This Row],[Shelter NFI Old]]=0, tblPiNHistorical[[#This Row],[Shelter NFI New]]="", tblPiNHistorical[[#This Row],[Shelter NFI New]]=0), "", tblPiNHistorical[[#This Row],[Shelter NFI New]]-tblPiNHistorical[[#This Row],[Shelter NFI Old]])</f>
        <v/>
      </c>
      <c r="AP575" s="138" t="str">
        <f>IF(OR(tblPiNHistorical[[#This Row],[WASH Old]]="", tblPiNHistorical[[#This Row],[WASH Old]]=0, tblPiNHistorical[[#This Row],[WASH New]]="", tblPiNHistorical[[#This Row],[WASH New]]=0), "", tblPiNHistorical[[#This Row],[WASH New]]-tblPiNHistorical[[#This Row],[WASH Old]])</f>
        <v/>
      </c>
      <c r="AQ575" s="139" t="str">
        <f>IFERROR(ROUND((tblPiNHistorical[[#This Row],[Site Management - New]] - tblPiNHistorical[[#This Row],[Site Management - Old]])/tblPiNHistorical[[#This Row],[Site Management - Old]], 1), "")</f>
        <v/>
      </c>
      <c r="AR575" s="140" t="str">
        <f>IFERROR(ROUND((tblPiNHistorical[[#This Row],[Education New]]-tblPiNHistorical[[#This Row],[Education Old]])/tblPiNHistorical[[#This Row],[Education Old]], 1), "")</f>
        <v/>
      </c>
      <c r="AS575" s="141" t="str">
        <f>IFERROR(ROUND((tblPiNHistorical[[#This Row],[Food Security and Livlihoods New]]-tblPiNHistorical[[#This Row],[Food Security and Livlihoods Old]])/tblPiNHistorical[[#This Row],[Food Security and Livlihoods Old]], 1), "")</f>
        <v/>
      </c>
      <c r="AT575" s="142" t="str">
        <f>IFERROR(ROUND((tblPiNHistorical[[#This Row],[Health New]]-tblPiNHistorical[[#This Row],[Health Old]])/tblPiNHistorical[[#This Row],[Health Old]], 1), "")</f>
        <v/>
      </c>
      <c r="AU575" s="140" t="str">
        <f>IFERROR(ROUND((tblPiNHistorical[[#This Row],[Nutrition New]]-tblPiNHistorical[[#This Row],[Nutrition Old]])/tblPiNHistorical[[#This Row],[Nutrition Old]], 1), "")</f>
        <v/>
      </c>
      <c r="AV575" s="140" t="str">
        <f>IFERROR(ROUND((tblPiNHistorical[[#This Row],[Protection New]]-tblPiNHistorical[[#This Row],[Protection Old]])/tblPiNHistorical[[#This Row],[Protection Old]], 1), "")</f>
        <v/>
      </c>
      <c r="AW575" s="84" t="str">
        <f>IFERROR(ROUND((tblPiNHistorical[[#This Row],[CP New]]-tblPiNHistorical[[#This Row],[CP Old ]])/tblPiNHistorical[[#This Row],[CP Old ]], 1), "")</f>
        <v/>
      </c>
      <c r="AX575" s="84" t="str">
        <f>IFERROR(ROUND((tblPiNHistorical[[#This Row],[GBV New]]-tblPiNHistorical[[#This Row],[GBV Old]])/tblPiNHistorical[[#This Row],[GBV Old]], 1), "")</f>
        <v/>
      </c>
      <c r="AY575" s="84" t="str">
        <f>IFERROR(ROUND((tblPiNHistorical[[#This Row],[Mine Action New]]-tblPiNHistorical[[#This Row],[Mine Action Old]])/tblPiNHistorical[[#This Row],[Mine Action Old]], 1), "")</f>
        <v/>
      </c>
      <c r="AZ575" s="140" t="str">
        <f>IFERROR(ROUND((tblPiNHistorical[[#This Row],[Shelter NFI New]]-tblPiNHistorical[[#This Row],[Shelter NFI Old]])/tblPiNHistorical[[#This Row],[Shelter NFI Old]], 1), "")</f>
        <v/>
      </c>
      <c r="BA575" s="31" t="str">
        <f>IFERROR(ROUND((tblPiNHistorical[[#This Row],[WASH New]]-tblPiNHistorical[[#This Row],[WASH Old]])/tblPiNHistorical[[#This Row],[WASH Old]], 1), "")</f>
        <v/>
      </c>
    </row>
    <row r="576" spans="1:53" ht="38.25" x14ac:dyDescent="0.25">
      <c r="A576"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Non-displaced PopulationSD15035</v>
      </c>
      <c r="B576" s="134" t="s">
        <v>147</v>
      </c>
      <c r="C576" s="124" t="s">
        <v>132</v>
      </c>
      <c r="D576" s="124" t="s">
        <v>506</v>
      </c>
      <c r="E576" s="59" t="s">
        <v>507</v>
      </c>
      <c r="F576" s="54"/>
      <c r="G576" s="29"/>
      <c r="H576" s="53">
        <v>177456</v>
      </c>
      <c r="I576" s="53" t="s">
        <v>89</v>
      </c>
      <c r="J576" s="34">
        <v>0</v>
      </c>
      <c r="K576" s="116">
        <v>68799.691200000001</v>
      </c>
      <c r="L576" s="114">
        <v>62109.599999999999</v>
      </c>
      <c r="M576" s="114">
        <v>13870</v>
      </c>
      <c r="N576" s="114">
        <v>28496</v>
      </c>
      <c r="O576" s="114">
        <v>19520.16</v>
      </c>
      <c r="P576" s="114">
        <v>19520</v>
      </c>
      <c r="Q576" s="114">
        <v>14049</v>
      </c>
      <c r="R576" s="114">
        <v>0</v>
      </c>
      <c r="S576" s="114">
        <v>35491</v>
      </c>
      <c r="T576" s="196">
        <v>146738.3664</v>
      </c>
      <c r="U576" s="52" t="str">
        <f>IFERROR(INDEX(tblPiNAnalysis[[Site Management ]], MATCH(tblPiNHistorical[[#This Row],[ID]], tblPiNAnalysis[ID], 0)), "")</f>
        <v/>
      </c>
      <c r="V576" s="52" t="str">
        <f>IFERROR(INDEX(tblPiNAnalysis[Education], MATCH(tblPiNHistorical[[#This Row],[ID]], tblPiNAnalysis[ID], 0)), "")</f>
        <v/>
      </c>
      <c r="W576" s="28" t="str">
        <f>IFERROR(INDEX(tblPiNAnalysis[Food Security and Livlihoods], MATCH(tblPiNHistorical[[#This Row],[ID]], tblPiNAnalysis[ID], 0)), "")</f>
        <v/>
      </c>
      <c r="X576" s="28" t="str">
        <f>IFERROR(INDEX(tblPiNAnalysis[[Health ]], MATCH(tblPiNHistorical[[#This Row],[ID]], tblPiNAnalysis[ID], 0)), "")</f>
        <v/>
      </c>
      <c r="Y576" s="28" t="str">
        <f>IFERROR(INDEX(tblPiNAnalysis[Nutrition], MATCH(tblPiNHistorical[[#This Row],[ID]], tblPiNAnalysis[ID], 0)), "")</f>
        <v/>
      </c>
      <c r="Z576" s="28" t="str">
        <f>IFERROR(INDEX(tblPiNAnalysis[Protection], MATCH(tblPiNHistorical[[#This Row],[ID]], tblPiNAnalysis[ID], 0)), "")</f>
        <v/>
      </c>
      <c r="AA576" s="28" t="str">
        <f>IFERROR(INDEX(tblPiNAnalysis[CP], MATCH(tblPiNHistorical[[#This Row],[ID]], tblPiNAnalysis[ID], 0)), "")</f>
        <v/>
      </c>
      <c r="AB576" s="83" t="str">
        <f>IFERROR(INDEX(tblPiNAnalysis[GBV], MATCH(tblPiNHistorical[[#This Row],[ID]], tblPiNAnalysis[ID], 0)), "")</f>
        <v/>
      </c>
      <c r="AC576" s="28" t="str">
        <f>IFERROR(INDEX(tblPiNAnalysis[Mine Action], MATCH(tblPiNHistorical[[#This Row],[ID]], tblPiNAnalysis[ID], 0)), "")</f>
        <v/>
      </c>
      <c r="AD576" s="83" t="str">
        <f>IFERROR(INDEX(tblPiNAnalysis[[Shelter NFI ]], MATCH(tblPiNHistorical[[#This Row],[ID]], tblPiNAnalysis[ID], 0)), "")</f>
        <v/>
      </c>
      <c r="AE576" s="28" t="str">
        <f>IFERROR(INDEX(tblPiNAnalysis[WASH], MATCH(tblPiNHistorical[[#This Row],[ID]], tblPiNAnalysis[ID], 0)), "")</f>
        <v/>
      </c>
      <c r="AF576"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576" s="136" t="str">
        <f>IF(OR(tblPiNHistorical[[#This Row],[Education Old]]="", tblPiNHistorical[[#This Row],[Education Old]]=0, tblPiNHistorical[[#This Row],[Education New]]="", tblPiNHistorical[[#This Row],[Education New]]=0), "", tblPiNHistorical[[#This Row],[Education New]]-tblPiNHistorical[[#This Row],[Education Old]])</f>
        <v/>
      </c>
      <c r="AH576"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576" s="137" t="str">
        <f>IF(OR(tblPiNHistorical[[#This Row],[Health Old]]="", tblPiNHistorical[[#This Row],[Health Old]]=0, tblPiNHistorical[[#This Row],[Health New]]="", tblPiNHistorical[[#This Row],[Health New]]=0), "", tblPiNHistorical[[#This Row],[Health New]]-tblPiNHistorical[[#This Row],[Health Old]])</f>
        <v/>
      </c>
      <c r="AJ576" s="136" t="str">
        <f>IF(OR(tblPiNHistorical[[#This Row],[Nutrition Old]]="", tblPiNHistorical[[#This Row],[Nutrition Old]]=0, tblPiNHistorical[[#This Row],[Nutrition New]]="", tblPiNHistorical[[#This Row],[Nutrition New]]=0), "", tblPiNHistorical[[#This Row],[Nutrition New]]-tblPiNHistorical[[#This Row],[Nutrition Old]])</f>
        <v/>
      </c>
      <c r="AK576" s="136" t="str">
        <f>IF(OR(tblPiNHistorical[[#This Row],[Protection Old]]="", tblPiNHistorical[[#This Row],[Protection Old]]=0, tblPiNHistorical[[#This Row],[Protection New]]="", tblPiNHistorical[[#This Row],[Protection New]]=0), "", tblPiNHistorical[[#This Row],[Protection New]]-tblPiNHistorical[[#This Row],[Protection Old]])</f>
        <v/>
      </c>
      <c r="AL576" s="136" t="str">
        <f>IF(OR(tblPiNHistorical[[#This Row],[CP Old ]]="", tblPiNHistorical[[#This Row],[CP Old ]]=0, tblPiNHistorical[[#This Row],[CP New]]="", tblPiNHistorical[[#This Row],[CP New]]=0), "", tblPiNHistorical[[#This Row],[CP New]]-tblPiNHistorical[[#This Row],[CP Old ]])</f>
        <v/>
      </c>
      <c r="AM576" s="83" t="str">
        <f>IF(OR(tblPiNHistorical[[#This Row],[GBV Old]]="", tblPiNHistorical[[#This Row],[GBV Old]]=0, tblPiNHistorical[[#This Row],[GBV New]]="", tblPiNHistorical[[#This Row],[GBV New]]=0), "", tblPiNHistorical[[#This Row],[GBV New]]-tblPiNHistorical[[#This Row],[GBV Old]])</f>
        <v/>
      </c>
      <c r="AN576" s="83" t="str">
        <f>IF(OR(tblPiNHistorical[[#This Row],[Mine Action Old]]="", tblPiNHistorical[[#This Row],[Mine Action Old]]=0, tblPiNHistorical[[#This Row],[Mine Action New]]="", tblPiNHistorical[[#This Row],[Mine Action New]]=0), "", tblPiNHistorical[[#This Row],[Mine Action New]]-tblPiNHistorical[[#This Row],[Mine Action Old]])</f>
        <v/>
      </c>
      <c r="AO576" s="136" t="str">
        <f>IF(OR(tblPiNHistorical[[#This Row],[Shelter NFI Old]]="", tblPiNHistorical[[#This Row],[Shelter NFI Old]]=0, tblPiNHistorical[[#This Row],[Shelter NFI New]]="", tblPiNHistorical[[#This Row],[Shelter NFI New]]=0), "", tblPiNHistorical[[#This Row],[Shelter NFI New]]-tblPiNHistorical[[#This Row],[Shelter NFI Old]])</f>
        <v/>
      </c>
      <c r="AP576" s="138" t="str">
        <f>IF(OR(tblPiNHistorical[[#This Row],[WASH Old]]="", tblPiNHistorical[[#This Row],[WASH Old]]=0, tblPiNHistorical[[#This Row],[WASH New]]="", tblPiNHistorical[[#This Row],[WASH New]]=0), "", tblPiNHistorical[[#This Row],[WASH New]]-tblPiNHistorical[[#This Row],[WASH Old]])</f>
        <v/>
      </c>
      <c r="AQ576" s="139" t="str">
        <f>IFERROR(ROUND((tblPiNHistorical[[#This Row],[Site Management - New]] - tblPiNHistorical[[#This Row],[Site Management - Old]])/tblPiNHistorical[[#This Row],[Site Management - Old]], 1), "")</f>
        <v/>
      </c>
      <c r="AR576" s="140" t="str">
        <f>IFERROR(ROUND((tblPiNHistorical[[#This Row],[Education New]]-tblPiNHistorical[[#This Row],[Education Old]])/tblPiNHistorical[[#This Row],[Education Old]], 1), "")</f>
        <v/>
      </c>
      <c r="AS576" s="141" t="str">
        <f>IFERROR(ROUND((tblPiNHistorical[[#This Row],[Food Security and Livlihoods New]]-tblPiNHistorical[[#This Row],[Food Security and Livlihoods Old]])/tblPiNHistorical[[#This Row],[Food Security and Livlihoods Old]], 1), "")</f>
        <v/>
      </c>
      <c r="AT576" s="142" t="str">
        <f>IFERROR(ROUND((tblPiNHistorical[[#This Row],[Health New]]-tblPiNHistorical[[#This Row],[Health Old]])/tblPiNHistorical[[#This Row],[Health Old]], 1), "")</f>
        <v/>
      </c>
      <c r="AU576" s="140" t="str">
        <f>IFERROR(ROUND((tblPiNHistorical[[#This Row],[Nutrition New]]-tblPiNHistorical[[#This Row],[Nutrition Old]])/tblPiNHistorical[[#This Row],[Nutrition Old]], 1), "")</f>
        <v/>
      </c>
      <c r="AV576" s="140" t="str">
        <f>IFERROR(ROUND((tblPiNHistorical[[#This Row],[Protection New]]-tblPiNHistorical[[#This Row],[Protection Old]])/tblPiNHistorical[[#This Row],[Protection Old]], 1), "")</f>
        <v/>
      </c>
      <c r="AW576" s="84" t="str">
        <f>IFERROR(ROUND((tblPiNHistorical[[#This Row],[CP New]]-tblPiNHistorical[[#This Row],[CP Old ]])/tblPiNHistorical[[#This Row],[CP Old ]], 1), "")</f>
        <v/>
      </c>
      <c r="AX576" s="84" t="str">
        <f>IFERROR(ROUND((tblPiNHistorical[[#This Row],[GBV New]]-tblPiNHistorical[[#This Row],[GBV Old]])/tblPiNHistorical[[#This Row],[GBV Old]], 1), "")</f>
        <v/>
      </c>
      <c r="AY576" s="84" t="str">
        <f>IFERROR(ROUND((tblPiNHistorical[[#This Row],[Mine Action New]]-tblPiNHistorical[[#This Row],[Mine Action Old]])/tblPiNHistorical[[#This Row],[Mine Action Old]], 1), "")</f>
        <v/>
      </c>
      <c r="AZ576" s="140" t="str">
        <f>IFERROR(ROUND((tblPiNHistorical[[#This Row],[Shelter NFI New]]-tblPiNHistorical[[#This Row],[Shelter NFI Old]])/tblPiNHistorical[[#This Row],[Shelter NFI Old]], 1), "")</f>
        <v/>
      </c>
      <c r="BA576" s="31" t="str">
        <f>IFERROR(ROUND((tblPiNHistorical[[#This Row],[WASH New]]-tblPiNHistorical[[#This Row],[WASH Old]])/tblPiNHistorical[[#This Row],[WASH Old]], 1), "")</f>
        <v/>
      </c>
    </row>
    <row r="577" spans="1:53" ht="38.25" x14ac:dyDescent="0.25">
      <c r="A577"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Non-displaced PopulationSD15036</v>
      </c>
      <c r="B577" s="134" t="s">
        <v>147</v>
      </c>
      <c r="C577" s="124" t="s">
        <v>132</v>
      </c>
      <c r="D577" s="124" t="s">
        <v>508</v>
      </c>
      <c r="E577" s="59" t="s">
        <v>509</v>
      </c>
      <c r="F577" s="54"/>
      <c r="G577" s="29"/>
      <c r="H577" s="53">
        <v>243909</v>
      </c>
      <c r="I577" s="53" t="s">
        <v>89</v>
      </c>
      <c r="J577" s="34">
        <v>0</v>
      </c>
      <c r="K577" s="116">
        <v>0</v>
      </c>
      <c r="L577" s="114">
        <v>73172.7</v>
      </c>
      <c r="M577" s="114">
        <v>8715</v>
      </c>
      <c r="N577" s="114">
        <v>78049</v>
      </c>
      <c r="O577" s="114">
        <v>26829.990000000005</v>
      </c>
      <c r="P577" s="114">
        <v>26830</v>
      </c>
      <c r="Q577" s="114">
        <v>19309</v>
      </c>
      <c r="R577" s="114">
        <v>0</v>
      </c>
      <c r="S577" s="114">
        <v>48782</v>
      </c>
      <c r="T577" s="196">
        <v>163345.8573</v>
      </c>
      <c r="U577" s="52" t="str">
        <f>IFERROR(INDEX(tblPiNAnalysis[[Site Management ]], MATCH(tblPiNHistorical[[#This Row],[ID]], tblPiNAnalysis[ID], 0)), "")</f>
        <v/>
      </c>
      <c r="V577" s="52" t="str">
        <f>IFERROR(INDEX(tblPiNAnalysis[Education], MATCH(tblPiNHistorical[[#This Row],[ID]], tblPiNAnalysis[ID], 0)), "")</f>
        <v/>
      </c>
      <c r="W577" s="28" t="str">
        <f>IFERROR(INDEX(tblPiNAnalysis[Food Security and Livlihoods], MATCH(tblPiNHistorical[[#This Row],[ID]], tblPiNAnalysis[ID], 0)), "")</f>
        <v/>
      </c>
      <c r="X577" s="28" t="str">
        <f>IFERROR(INDEX(tblPiNAnalysis[[Health ]], MATCH(tblPiNHistorical[[#This Row],[ID]], tblPiNAnalysis[ID], 0)), "")</f>
        <v/>
      </c>
      <c r="Y577" s="28" t="str">
        <f>IFERROR(INDEX(tblPiNAnalysis[Nutrition], MATCH(tblPiNHistorical[[#This Row],[ID]], tblPiNAnalysis[ID], 0)), "")</f>
        <v/>
      </c>
      <c r="Z577" s="28" t="str">
        <f>IFERROR(INDEX(tblPiNAnalysis[Protection], MATCH(tblPiNHistorical[[#This Row],[ID]], tblPiNAnalysis[ID], 0)), "")</f>
        <v/>
      </c>
      <c r="AA577" s="28" t="str">
        <f>IFERROR(INDEX(tblPiNAnalysis[CP], MATCH(tblPiNHistorical[[#This Row],[ID]], tblPiNAnalysis[ID], 0)), "")</f>
        <v/>
      </c>
      <c r="AB577" s="83" t="str">
        <f>IFERROR(INDEX(tblPiNAnalysis[GBV], MATCH(tblPiNHistorical[[#This Row],[ID]], tblPiNAnalysis[ID], 0)), "")</f>
        <v/>
      </c>
      <c r="AC577" s="28" t="str">
        <f>IFERROR(INDEX(tblPiNAnalysis[Mine Action], MATCH(tblPiNHistorical[[#This Row],[ID]], tblPiNAnalysis[ID], 0)), "")</f>
        <v/>
      </c>
      <c r="AD577" s="83" t="str">
        <f>IFERROR(INDEX(tblPiNAnalysis[[Shelter NFI ]], MATCH(tblPiNHistorical[[#This Row],[ID]], tblPiNAnalysis[ID], 0)), "")</f>
        <v/>
      </c>
      <c r="AE577" s="28" t="str">
        <f>IFERROR(INDEX(tblPiNAnalysis[WASH], MATCH(tblPiNHistorical[[#This Row],[ID]], tblPiNAnalysis[ID], 0)), "")</f>
        <v/>
      </c>
      <c r="AF577"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577" s="136" t="str">
        <f>IF(OR(tblPiNHistorical[[#This Row],[Education Old]]="", tblPiNHistorical[[#This Row],[Education Old]]=0, tblPiNHistorical[[#This Row],[Education New]]="", tblPiNHistorical[[#This Row],[Education New]]=0), "", tblPiNHistorical[[#This Row],[Education New]]-tblPiNHistorical[[#This Row],[Education Old]])</f>
        <v/>
      </c>
      <c r="AH577"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577" s="137" t="str">
        <f>IF(OR(tblPiNHistorical[[#This Row],[Health Old]]="", tblPiNHistorical[[#This Row],[Health Old]]=0, tblPiNHistorical[[#This Row],[Health New]]="", tblPiNHistorical[[#This Row],[Health New]]=0), "", tblPiNHistorical[[#This Row],[Health New]]-tblPiNHistorical[[#This Row],[Health Old]])</f>
        <v/>
      </c>
      <c r="AJ577" s="136" t="str">
        <f>IF(OR(tblPiNHistorical[[#This Row],[Nutrition Old]]="", tblPiNHistorical[[#This Row],[Nutrition Old]]=0, tblPiNHistorical[[#This Row],[Nutrition New]]="", tblPiNHistorical[[#This Row],[Nutrition New]]=0), "", tblPiNHistorical[[#This Row],[Nutrition New]]-tblPiNHistorical[[#This Row],[Nutrition Old]])</f>
        <v/>
      </c>
      <c r="AK577" s="136" t="str">
        <f>IF(OR(tblPiNHistorical[[#This Row],[Protection Old]]="", tblPiNHistorical[[#This Row],[Protection Old]]=0, tblPiNHistorical[[#This Row],[Protection New]]="", tblPiNHistorical[[#This Row],[Protection New]]=0), "", tblPiNHistorical[[#This Row],[Protection New]]-tblPiNHistorical[[#This Row],[Protection Old]])</f>
        <v/>
      </c>
      <c r="AL577" s="136" t="str">
        <f>IF(OR(tblPiNHistorical[[#This Row],[CP Old ]]="", tblPiNHistorical[[#This Row],[CP Old ]]=0, tblPiNHistorical[[#This Row],[CP New]]="", tblPiNHistorical[[#This Row],[CP New]]=0), "", tblPiNHistorical[[#This Row],[CP New]]-tblPiNHistorical[[#This Row],[CP Old ]])</f>
        <v/>
      </c>
      <c r="AM577" s="83" t="str">
        <f>IF(OR(tblPiNHistorical[[#This Row],[GBV Old]]="", tblPiNHistorical[[#This Row],[GBV Old]]=0, tblPiNHistorical[[#This Row],[GBV New]]="", tblPiNHistorical[[#This Row],[GBV New]]=0), "", tblPiNHistorical[[#This Row],[GBV New]]-tblPiNHistorical[[#This Row],[GBV Old]])</f>
        <v/>
      </c>
      <c r="AN577" s="83" t="str">
        <f>IF(OR(tblPiNHistorical[[#This Row],[Mine Action Old]]="", tblPiNHistorical[[#This Row],[Mine Action Old]]=0, tblPiNHistorical[[#This Row],[Mine Action New]]="", tblPiNHistorical[[#This Row],[Mine Action New]]=0), "", tblPiNHistorical[[#This Row],[Mine Action New]]-tblPiNHistorical[[#This Row],[Mine Action Old]])</f>
        <v/>
      </c>
      <c r="AO577" s="136" t="str">
        <f>IF(OR(tblPiNHistorical[[#This Row],[Shelter NFI Old]]="", tblPiNHistorical[[#This Row],[Shelter NFI Old]]=0, tblPiNHistorical[[#This Row],[Shelter NFI New]]="", tblPiNHistorical[[#This Row],[Shelter NFI New]]=0), "", tblPiNHistorical[[#This Row],[Shelter NFI New]]-tblPiNHistorical[[#This Row],[Shelter NFI Old]])</f>
        <v/>
      </c>
      <c r="AP577" s="138" t="str">
        <f>IF(OR(tblPiNHistorical[[#This Row],[WASH Old]]="", tblPiNHistorical[[#This Row],[WASH Old]]=0, tblPiNHistorical[[#This Row],[WASH New]]="", tblPiNHistorical[[#This Row],[WASH New]]=0), "", tblPiNHistorical[[#This Row],[WASH New]]-tblPiNHistorical[[#This Row],[WASH Old]])</f>
        <v/>
      </c>
      <c r="AQ577" s="139" t="str">
        <f>IFERROR(ROUND((tblPiNHistorical[[#This Row],[Site Management - New]] - tblPiNHistorical[[#This Row],[Site Management - Old]])/tblPiNHistorical[[#This Row],[Site Management - Old]], 1), "")</f>
        <v/>
      </c>
      <c r="AR577" s="140" t="str">
        <f>IFERROR(ROUND((tblPiNHistorical[[#This Row],[Education New]]-tblPiNHistorical[[#This Row],[Education Old]])/tblPiNHistorical[[#This Row],[Education Old]], 1), "")</f>
        <v/>
      </c>
      <c r="AS577" s="141" t="str">
        <f>IFERROR(ROUND((tblPiNHistorical[[#This Row],[Food Security and Livlihoods New]]-tblPiNHistorical[[#This Row],[Food Security and Livlihoods Old]])/tblPiNHistorical[[#This Row],[Food Security and Livlihoods Old]], 1), "")</f>
        <v/>
      </c>
      <c r="AT577" s="142" t="str">
        <f>IFERROR(ROUND((tblPiNHistorical[[#This Row],[Health New]]-tblPiNHistorical[[#This Row],[Health Old]])/tblPiNHistorical[[#This Row],[Health Old]], 1), "")</f>
        <v/>
      </c>
      <c r="AU577" s="140" t="str">
        <f>IFERROR(ROUND((tblPiNHistorical[[#This Row],[Nutrition New]]-tblPiNHistorical[[#This Row],[Nutrition Old]])/tblPiNHistorical[[#This Row],[Nutrition Old]], 1), "")</f>
        <v/>
      </c>
      <c r="AV577" s="140" t="str">
        <f>IFERROR(ROUND((tblPiNHistorical[[#This Row],[Protection New]]-tblPiNHistorical[[#This Row],[Protection Old]])/tblPiNHistorical[[#This Row],[Protection Old]], 1), "")</f>
        <v/>
      </c>
      <c r="AW577" s="84" t="str">
        <f>IFERROR(ROUND((tblPiNHistorical[[#This Row],[CP New]]-tblPiNHistorical[[#This Row],[CP Old ]])/tblPiNHistorical[[#This Row],[CP Old ]], 1), "")</f>
        <v/>
      </c>
      <c r="AX577" s="84" t="str">
        <f>IFERROR(ROUND((tblPiNHistorical[[#This Row],[GBV New]]-tblPiNHistorical[[#This Row],[GBV Old]])/tblPiNHistorical[[#This Row],[GBV Old]], 1), "")</f>
        <v/>
      </c>
      <c r="AY577" s="84" t="str">
        <f>IFERROR(ROUND((tblPiNHistorical[[#This Row],[Mine Action New]]-tblPiNHistorical[[#This Row],[Mine Action Old]])/tblPiNHistorical[[#This Row],[Mine Action Old]], 1), "")</f>
        <v/>
      </c>
      <c r="AZ577" s="140" t="str">
        <f>IFERROR(ROUND((tblPiNHistorical[[#This Row],[Shelter NFI New]]-tblPiNHistorical[[#This Row],[Shelter NFI Old]])/tblPiNHistorical[[#This Row],[Shelter NFI Old]], 1), "")</f>
        <v/>
      </c>
      <c r="BA577" s="31" t="str">
        <f>IFERROR(ROUND((tblPiNHistorical[[#This Row],[WASH New]]-tblPiNHistorical[[#This Row],[WASH Old]])/tblPiNHistorical[[#This Row],[WASH Old]], 1), "")</f>
        <v/>
      </c>
    </row>
    <row r="578" spans="1:53" ht="38.25" x14ac:dyDescent="0.25">
      <c r="A578"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Non-displaced PopulationSD15037</v>
      </c>
      <c r="B578" s="134" t="s">
        <v>147</v>
      </c>
      <c r="C578" s="124" t="s">
        <v>132</v>
      </c>
      <c r="D578" s="124" t="s">
        <v>510</v>
      </c>
      <c r="E578" s="59" t="s">
        <v>511</v>
      </c>
      <c r="F578" s="54"/>
      <c r="G578" s="29"/>
      <c r="H578" s="53">
        <v>154176</v>
      </c>
      <c r="I578" s="53" t="s">
        <v>89</v>
      </c>
      <c r="J578" s="34">
        <v>0</v>
      </c>
      <c r="K578" s="116">
        <v>0</v>
      </c>
      <c r="L578" s="114">
        <v>46252.800000000003</v>
      </c>
      <c r="M578" s="114">
        <v>11265</v>
      </c>
      <c r="N578" s="114">
        <v>47127</v>
      </c>
      <c r="O578" s="114">
        <v>16959.36</v>
      </c>
      <c r="P578" s="114">
        <v>16959</v>
      </c>
      <c r="Q578" s="114">
        <v>8136</v>
      </c>
      <c r="R578" s="114">
        <v>0</v>
      </c>
      <c r="S578" s="114">
        <v>30835</v>
      </c>
      <c r="T578" s="196">
        <v>73911.974399999992</v>
      </c>
      <c r="U578" s="52" t="str">
        <f>IFERROR(INDEX(tblPiNAnalysis[[Site Management ]], MATCH(tblPiNHistorical[[#This Row],[ID]], tblPiNAnalysis[ID], 0)), "")</f>
        <v/>
      </c>
      <c r="V578" s="52" t="str">
        <f>IFERROR(INDEX(tblPiNAnalysis[Education], MATCH(tblPiNHistorical[[#This Row],[ID]], tblPiNAnalysis[ID], 0)), "")</f>
        <v/>
      </c>
      <c r="W578" s="28" t="str">
        <f>IFERROR(INDEX(tblPiNAnalysis[Food Security and Livlihoods], MATCH(tblPiNHistorical[[#This Row],[ID]], tblPiNAnalysis[ID], 0)), "")</f>
        <v/>
      </c>
      <c r="X578" s="28" t="str">
        <f>IFERROR(INDEX(tblPiNAnalysis[[Health ]], MATCH(tblPiNHistorical[[#This Row],[ID]], tblPiNAnalysis[ID], 0)), "")</f>
        <v/>
      </c>
      <c r="Y578" s="28" t="str">
        <f>IFERROR(INDEX(tblPiNAnalysis[Nutrition], MATCH(tblPiNHistorical[[#This Row],[ID]], tblPiNAnalysis[ID], 0)), "")</f>
        <v/>
      </c>
      <c r="Z578" s="28" t="str">
        <f>IFERROR(INDEX(tblPiNAnalysis[Protection], MATCH(tblPiNHistorical[[#This Row],[ID]], tblPiNAnalysis[ID], 0)), "")</f>
        <v/>
      </c>
      <c r="AA578" s="28" t="str">
        <f>IFERROR(INDEX(tblPiNAnalysis[CP], MATCH(tblPiNHistorical[[#This Row],[ID]], tblPiNAnalysis[ID], 0)), "")</f>
        <v/>
      </c>
      <c r="AB578" s="83" t="str">
        <f>IFERROR(INDEX(tblPiNAnalysis[GBV], MATCH(tblPiNHistorical[[#This Row],[ID]], tblPiNAnalysis[ID], 0)), "")</f>
        <v/>
      </c>
      <c r="AC578" s="28" t="str">
        <f>IFERROR(INDEX(tblPiNAnalysis[Mine Action], MATCH(tblPiNHistorical[[#This Row],[ID]], tblPiNAnalysis[ID], 0)), "")</f>
        <v/>
      </c>
      <c r="AD578" s="83" t="str">
        <f>IFERROR(INDEX(tblPiNAnalysis[[Shelter NFI ]], MATCH(tblPiNHistorical[[#This Row],[ID]], tblPiNAnalysis[ID], 0)), "")</f>
        <v/>
      </c>
      <c r="AE578" s="28" t="str">
        <f>IFERROR(INDEX(tblPiNAnalysis[WASH], MATCH(tblPiNHistorical[[#This Row],[ID]], tblPiNAnalysis[ID], 0)), "")</f>
        <v/>
      </c>
      <c r="AF578"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578" s="136" t="str">
        <f>IF(OR(tblPiNHistorical[[#This Row],[Education Old]]="", tblPiNHistorical[[#This Row],[Education Old]]=0, tblPiNHistorical[[#This Row],[Education New]]="", tblPiNHistorical[[#This Row],[Education New]]=0), "", tblPiNHistorical[[#This Row],[Education New]]-tblPiNHistorical[[#This Row],[Education Old]])</f>
        <v/>
      </c>
      <c r="AH578"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578" s="137" t="str">
        <f>IF(OR(tblPiNHistorical[[#This Row],[Health Old]]="", tblPiNHistorical[[#This Row],[Health Old]]=0, tblPiNHistorical[[#This Row],[Health New]]="", tblPiNHistorical[[#This Row],[Health New]]=0), "", tblPiNHistorical[[#This Row],[Health New]]-tblPiNHistorical[[#This Row],[Health Old]])</f>
        <v/>
      </c>
      <c r="AJ578" s="136" t="str">
        <f>IF(OR(tblPiNHistorical[[#This Row],[Nutrition Old]]="", tblPiNHistorical[[#This Row],[Nutrition Old]]=0, tblPiNHistorical[[#This Row],[Nutrition New]]="", tblPiNHistorical[[#This Row],[Nutrition New]]=0), "", tblPiNHistorical[[#This Row],[Nutrition New]]-tblPiNHistorical[[#This Row],[Nutrition Old]])</f>
        <v/>
      </c>
      <c r="AK578" s="136" t="str">
        <f>IF(OR(tblPiNHistorical[[#This Row],[Protection Old]]="", tblPiNHistorical[[#This Row],[Protection Old]]=0, tblPiNHistorical[[#This Row],[Protection New]]="", tblPiNHistorical[[#This Row],[Protection New]]=0), "", tblPiNHistorical[[#This Row],[Protection New]]-tblPiNHistorical[[#This Row],[Protection Old]])</f>
        <v/>
      </c>
      <c r="AL578" s="136" t="str">
        <f>IF(OR(tblPiNHistorical[[#This Row],[CP Old ]]="", tblPiNHistorical[[#This Row],[CP Old ]]=0, tblPiNHistorical[[#This Row],[CP New]]="", tblPiNHistorical[[#This Row],[CP New]]=0), "", tblPiNHistorical[[#This Row],[CP New]]-tblPiNHistorical[[#This Row],[CP Old ]])</f>
        <v/>
      </c>
      <c r="AM578" s="83" t="str">
        <f>IF(OR(tblPiNHistorical[[#This Row],[GBV Old]]="", tblPiNHistorical[[#This Row],[GBV Old]]=0, tblPiNHistorical[[#This Row],[GBV New]]="", tblPiNHistorical[[#This Row],[GBV New]]=0), "", tblPiNHistorical[[#This Row],[GBV New]]-tblPiNHistorical[[#This Row],[GBV Old]])</f>
        <v/>
      </c>
      <c r="AN578" s="83" t="str">
        <f>IF(OR(tblPiNHistorical[[#This Row],[Mine Action Old]]="", tblPiNHistorical[[#This Row],[Mine Action Old]]=0, tblPiNHistorical[[#This Row],[Mine Action New]]="", tblPiNHistorical[[#This Row],[Mine Action New]]=0), "", tblPiNHistorical[[#This Row],[Mine Action New]]-tblPiNHistorical[[#This Row],[Mine Action Old]])</f>
        <v/>
      </c>
      <c r="AO578" s="136" t="str">
        <f>IF(OR(tblPiNHistorical[[#This Row],[Shelter NFI Old]]="", tblPiNHistorical[[#This Row],[Shelter NFI Old]]=0, tblPiNHistorical[[#This Row],[Shelter NFI New]]="", tblPiNHistorical[[#This Row],[Shelter NFI New]]=0), "", tblPiNHistorical[[#This Row],[Shelter NFI New]]-tblPiNHistorical[[#This Row],[Shelter NFI Old]])</f>
        <v/>
      </c>
      <c r="AP578" s="138" t="str">
        <f>IF(OR(tblPiNHistorical[[#This Row],[WASH Old]]="", tblPiNHistorical[[#This Row],[WASH Old]]=0, tblPiNHistorical[[#This Row],[WASH New]]="", tblPiNHistorical[[#This Row],[WASH New]]=0), "", tblPiNHistorical[[#This Row],[WASH New]]-tblPiNHistorical[[#This Row],[WASH Old]])</f>
        <v/>
      </c>
      <c r="AQ578" s="139" t="str">
        <f>IFERROR(ROUND((tblPiNHistorical[[#This Row],[Site Management - New]] - tblPiNHistorical[[#This Row],[Site Management - Old]])/tblPiNHistorical[[#This Row],[Site Management - Old]], 1), "")</f>
        <v/>
      </c>
      <c r="AR578" s="140" t="str">
        <f>IFERROR(ROUND((tblPiNHistorical[[#This Row],[Education New]]-tblPiNHistorical[[#This Row],[Education Old]])/tblPiNHistorical[[#This Row],[Education Old]], 1), "")</f>
        <v/>
      </c>
      <c r="AS578" s="141" t="str">
        <f>IFERROR(ROUND((tblPiNHistorical[[#This Row],[Food Security and Livlihoods New]]-tblPiNHistorical[[#This Row],[Food Security and Livlihoods Old]])/tblPiNHistorical[[#This Row],[Food Security and Livlihoods Old]], 1), "")</f>
        <v/>
      </c>
      <c r="AT578" s="142" t="str">
        <f>IFERROR(ROUND((tblPiNHistorical[[#This Row],[Health New]]-tblPiNHistorical[[#This Row],[Health Old]])/tblPiNHistorical[[#This Row],[Health Old]], 1), "")</f>
        <v/>
      </c>
      <c r="AU578" s="140" t="str">
        <f>IFERROR(ROUND((tblPiNHistorical[[#This Row],[Nutrition New]]-tblPiNHistorical[[#This Row],[Nutrition Old]])/tblPiNHistorical[[#This Row],[Nutrition Old]], 1), "")</f>
        <v/>
      </c>
      <c r="AV578" s="140" t="str">
        <f>IFERROR(ROUND((tblPiNHistorical[[#This Row],[Protection New]]-tblPiNHistorical[[#This Row],[Protection Old]])/tblPiNHistorical[[#This Row],[Protection Old]], 1), "")</f>
        <v/>
      </c>
      <c r="AW578" s="84" t="str">
        <f>IFERROR(ROUND((tblPiNHistorical[[#This Row],[CP New]]-tblPiNHistorical[[#This Row],[CP Old ]])/tblPiNHistorical[[#This Row],[CP Old ]], 1), "")</f>
        <v/>
      </c>
      <c r="AX578" s="84" t="str">
        <f>IFERROR(ROUND((tblPiNHistorical[[#This Row],[GBV New]]-tblPiNHistorical[[#This Row],[GBV Old]])/tblPiNHistorical[[#This Row],[GBV Old]], 1), "")</f>
        <v/>
      </c>
      <c r="AY578" s="84" t="str">
        <f>IFERROR(ROUND((tblPiNHistorical[[#This Row],[Mine Action New]]-tblPiNHistorical[[#This Row],[Mine Action Old]])/tblPiNHistorical[[#This Row],[Mine Action Old]], 1), "")</f>
        <v/>
      </c>
      <c r="AZ578" s="140" t="str">
        <f>IFERROR(ROUND((tblPiNHistorical[[#This Row],[Shelter NFI New]]-tblPiNHistorical[[#This Row],[Shelter NFI Old]])/tblPiNHistorical[[#This Row],[Shelter NFI Old]], 1), "")</f>
        <v/>
      </c>
      <c r="BA578" s="31" t="str">
        <f>IFERROR(ROUND((tblPiNHistorical[[#This Row],[WASH New]]-tblPiNHistorical[[#This Row],[WASH Old]])/tblPiNHistorical[[#This Row],[WASH Old]], 1), "")</f>
        <v/>
      </c>
    </row>
    <row r="579" spans="1:53" ht="38.25" x14ac:dyDescent="0.25">
      <c r="A579"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Non-displaced PopulationSD15031</v>
      </c>
      <c r="B579" s="134" t="s">
        <v>147</v>
      </c>
      <c r="C579" s="124" t="s">
        <v>132</v>
      </c>
      <c r="D579" s="124" t="s">
        <v>498</v>
      </c>
      <c r="E579" s="59" t="s">
        <v>499</v>
      </c>
      <c r="F579" s="54"/>
      <c r="G579" s="29"/>
      <c r="H579" s="53">
        <v>206181</v>
      </c>
      <c r="I579" s="53" t="s">
        <v>89</v>
      </c>
      <c r="J579" s="34">
        <v>0</v>
      </c>
      <c r="K579" s="116">
        <v>0</v>
      </c>
      <c r="L579" s="114">
        <v>51545.25</v>
      </c>
      <c r="M579" s="114">
        <v>6420</v>
      </c>
      <c r="N579" s="114">
        <v>56254</v>
      </c>
      <c r="O579" s="114">
        <v>22679.910000000003</v>
      </c>
      <c r="P579" s="114">
        <v>22680</v>
      </c>
      <c r="Q579" s="114">
        <v>16321</v>
      </c>
      <c r="R579" s="114">
        <v>0</v>
      </c>
      <c r="S579" s="114">
        <v>41236</v>
      </c>
      <c r="T579" s="196">
        <v>114595.39979999998</v>
      </c>
      <c r="U579" s="52" t="str">
        <f>IFERROR(INDEX(tblPiNAnalysis[[Site Management ]], MATCH(tblPiNHistorical[[#This Row],[ID]], tblPiNAnalysis[ID], 0)), "")</f>
        <v/>
      </c>
      <c r="V579" s="52" t="str">
        <f>IFERROR(INDEX(tblPiNAnalysis[Education], MATCH(tblPiNHistorical[[#This Row],[ID]], tblPiNAnalysis[ID], 0)), "")</f>
        <v/>
      </c>
      <c r="W579" s="28" t="str">
        <f>IFERROR(INDEX(tblPiNAnalysis[Food Security and Livlihoods], MATCH(tblPiNHistorical[[#This Row],[ID]], tblPiNAnalysis[ID], 0)), "")</f>
        <v/>
      </c>
      <c r="X579" s="28" t="str">
        <f>IFERROR(INDEX(tblPiNAnalysis[[Health ]], MATCH(tblPiNHistorical[[#This Row],[ID]], tblPiNAnalysis[ID], 0)), "")</f>
        <v/>
      </c>
      <c r="Y579" s="28" t="str">
        <f>IFERROR(INDEX(tblPiNAnalysis[Nutrition], MATCH(tblPiNHistorical[[#This Row],[ID]], tblPiNAnalysis[ID], 0)), "")</f>
        <v/>
      </c>
      <c r="Z579" s="28" t="str">
        <f>IFERROR(INDEX(tblPiNAnalysis[Protection], MATCH(tblPiNHistorical[[#This Row],[ID]], tblPiNAnalysis[ID], 0)), "")</f>
        <v/>
      </c>
      <c r="AA579" s="28" t="str">
        <f>IFERROR(INDEX(tblPiNAnalysis[CP], MATCH(tblPiNHistorical[[#This Row],[ID]], tblPiNAnalysis[ID], 0)), "")</f>
        <v/>
      </c>
      <c r="AB579" s="83" t="str">
        <f>IFERROR(INDEX(tblPiNAnalysis[GBV], MATCH(tblPiNHistorical[[#This Row],[ID]], tblPiNAnalysis[ID], 0)), "")</f>
        <v/>
      </c>
      <c r="AC579" s="28" t="str">
        <f>IFERROR(INDEX(tblPiNAnalysis[Mine Action], MATCH(tblPiNHistorical[[#This Row],[ID]], tblPiNAnalysis[ID], 0)), "")</f>
        <v/>
      </c>
      <c r="AD579" s="83" t="str">
        <f>IFERROR(INDEX(tblPiNAnalysis[[Shelter NFI ]], MATCH(tblPiNHistorical[[#This Row],[ID]], tblPiNAnalysis[ID], 0)), "")</f>
        <v/>
      </c>
      <c r="AE579" s="28" t="str">
        <f>IFERROR(INDEX(tblPiNAnalysis[WASH], MATCH(tblPiNHistorical[[#This Row],[ID]], tblPiNAnalysis[ID], 0)), "")</f>
        <v/>
      </c>
      <c r="AF579"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579" s="136" t="str">
        <f>IF(OR(tblPiNHistorical[[#This Row],[Education Old]]="", tblPiNHistorical[[#This Row],[Education Old]]=0, tblPiNHistorical[[#This Row],[Education New]]="", tblPiNHistorical[[#This Row],[Education New]]=0), "", tblPiNHistorical[[#This Row],[Education New]]-tblPiNHistorical[[#This Row],[Education Old]])</f>
        <v/>
      </c>
      <c r="AH579"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579" s="137" t="str">
        <f>IF(OR(tblPiNHistorical[[#This Row],[Health Old]]="", tblPiNHistorical[[#This Row],[Health Old]]=0, tblPiNHistorical[[#This Row],[Health New]]="", tblPiNHistorical[[#This Row],[Health New]]=0), "", tblPiNHistorical[[#This Row],[Health New]]-tblPiNHistorical[[#This Row],[Health Old]])</f>
        <v/>
      </c>
      <c r="AJ579" s="136" t="str">
        <f>IF(OR(tblPiNHistorical[[#This Row],[Nutrition Old]]="", tblPiNHistorical[[#This Row],[Nutrition Old]]=0, tblPiNHistorical[[#This Row],[Nutrition New]]="", tblPiNHistorical[[#This Row],[Nutrition New]]=0), "", tblPiNHistorical[[#This Row],[Nutrition New]]-tblPiNHistorical[[#This Row],[Nutrition Old]])</f>
        <v/>
      </c>
      <c r="AK579" s="136" t="str">
        <f>IF(OR(tblPiNHistorical[[#This Row],[Protection Old]]="", tblPiNHistorical[[#This Row],[Protection Old]]=0, tblPiNHistorical[[#This Row],[Protection New]]="", tblPiNHistorical[[#This Row],[Protection New]]=0), "", tblPiNHistorical[[#This Row],[Protection New]]-tblPiNHistorical[[#This Row],[Protection Old]])</f>
        <v/>
      </c>
      <c r="AL579" s="136" t="str">
        <f>IF(OR(tblPiNHistorical[[#This Row],[CP Old ]]="", tblPiNHistorical[[#This Row],[CP Old ]]=0, tblPiNHistorical[[#This Row],[CP New]]="", tblPiNHistorical[[#This Row],[CP New]]=0), "", tblPiNHistorical[[#This Row],[CP New]]-tblPiNHistorical[[#This Row],[CP Old ]])</f>
        <v/>
      </c>
      <c r="AM579" s="83" t="str">
        <f>IF(OR(tblPiNHistorical[[#This Row],[GBV Old]]="", tblPiNHistorical[[#This Row],[GBV Old]]=0, tblPiNHistorical[[#This Row],[GBV New]]="", tblPiNHistorical[[#This Row],[GBV New]]=0), "", tblPiNHistorical[[#This Row],[GBV New]]-tblPiNHistorical[[#This Row],[GBV Old]])</f>
        <v/>
      </c>
      <c r="AN579" s="83" t="str">
        <f>IF(OR(tblPiNHistorical[[#This Row],[Mine Action Old]]="", tblPiNHistorical[[#This Row],[Mine Action Old]]=0, tblPiNHistorical[[#This Row],[Mine Action New]]="", tblPiNHistorical[[#This Row],[Mine Action New]]=0), "", tblPiNHistorical[[#This Row],[Mine Action New]]-tblPiNHistorical[[#This Row],[Mine Action Old]])</f>
        <v/>
      </c>
      <c r="AO579" s="136" t="str">
        <f>IF(OR(tblPiNHistorical[[#This Row],[Shelter NFI Old]]="", tblPiNHistorical[[#This Row],[Shelter NFI Old]]=0, tblPiNHistorical[[#This Row],[Shelter NFI New]]="", tblPiNHistorical[[#This Row],[Shelter NFI New]]=0), "", tblPiNHistorical[[#This Row],[Shelter NFI New]]-tblPiNHistorical[[#This Row],[Shelter NFI Old]])</f>
        <v/>
      </c>
      <c r="AP579" s="138" t="str">
        <f>IF(OR(tblPiNHistorical[[#This Row],[WASH Old]]="", tblPiNHistorical[[#This Row],[WASH Old]]=0, tblPiNHistorical[[#This Row],[WASH New]]="", tblPiNHistorical[[#This Row],[WASH New]]=0), "", tblPiNHistorical[[#This Row],[WASH New]]-tblPiNHistorical[[#This Row],[WASH Old]])</f>
        <v/>
      </c>
      <c r="AQ579" s="139" t="str">
        <f>IFERROR(ROUND((tblPiNHistorical[[#This Row],[Site Management - New]] - tblPiNHistorical[[#This Row],[Site Management - Old]])/tblPiNHistorical[[#This Row],[Site Management - Old]], 1), "")</f>
        <v/>
      </c>
      <c r="AR579" s="140" t="str">
        <f>IFERROR(ROUND((tblPiNHistorical[[#This Row],[Education New]]-tblPiNHistorical[[#This Row],[Education Old]])/tblPiNHistorical[[#This Row],[Education Old]], 1), "")</f>
        <v/>
      </c>
      <c r="AS579" s="141" t="str">
        <f>IFERROR(ROUND((tblPiNHistorical[[#This Row],[Food Security and Livlihoods New]]-tblPiNHistorical[[#This Row],[Food Security and Livlihoods Old]])/tblPiNHistorical[[#This Row],[Food Security and Livlihoods Old]], 1), "")</f>
        <v/>
      </c>
      <c r="AT579" s="142" t="str">
        <f>IFERROR(ROUND((tblPiNHistorical[[#This Row],[Health New]]-tblPiNHistorical[[#This Row],[Health Old]])/tblPiNHistorical[[#This Row],[Health Old]], 1), "")</f>
        <v/>
      </c>
      <c r="AU579" s="140" t="str">
        <f>IFERROR(ROUND((tblPiNHistorical[[#This Row],[Nutrition New]]-tblPiNHistorical[[#This Row],[Nutrition Old]])/tblPiNHistorical[[#This Row],[Nutrition Old]], 1), "")</f>
        <v/>
      </c>
      <c r="AV579" s="140" t="str">
        <f>IFERROR(ROUND((tblPiNHistorical[[#This Row],[Protection New]]-tblPiNHistorical[[#This Row],[Protection Old]])/tblPiNHistorical[[#This Row],[Protection Old]], 1), "")</f>
        <v/>
      </c>
      <c r="AW579" s="84" t="str">
        <f>IFERROR(ROUND((tblPiNHistorical[[#This Row],[CP New]]-tblPiNHistorical[[#This Row],[CP Old ]])/tblPiNHistorical[[#This Row],[CP Old ]], 1), "")</f>
        <v/>
      </c>
      <c r="AX579" s="84" t="str">
        <f>IFERROR(ROUND((tblPiNHistorical[[#This Row],[GBV New]]-tblPiNHistorical[[#This Row],[GBV Old]])/tblPiNHistorical[[#This Row],[GBV Old]], 1), "")</f>
        <v/>
      </c>
      <c r="AY579" s="84" t="str">
        <f>IFERROR(ROUND((tblPiNHistorical[[#This Row],[Mine Action New]]-tblPiNHistorical[[#This Row],[Mine Action Old]])/tblPiNHistorical[[#This Row],[Mine Action Old]], 1), "")</f>
        <v/>
      </c>
      <c r="AZ579" s="140" t="str">
        <f>IFERROR(ROUND((tblPiNHistorical[[#This Row],[Shelter NFI New]]-tblPiNHistorical[[#This Row],[Shelter NFI Old]])/tblPiNHistorical[[#This Row],[Shelter NFI Old]], 1), "")</f>
        <v/>
      </c>
      <c r="BA579" s="31" t="str">
        <f>IFERROR(ROUND((tblPiNHistorical[[#This Row],[WASH New]]-tblPiNHistorical[[#This Row],[WASH Old]])/tblPiNHistorical[[#This Row],[WASH Old]], 1), "")</f>
        <v/>
      </c>
    </row>
    <row r="580" spans="1:53" ht="38.25" x14ac:dyDescent="0.25">
      <c r="A580"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Non-displaced PopulationSD15030</v>
      </c>
      <c r="B580" s="134" t="s">
        <v>147</v>
      </c>
      <c r="C580" s="124" t="s">
        <v>132</v>
      </c>
      <c r="D580" s="124" t="s">
        <v>496</v>
      </c>
      <c r="E580" s="59" t="s">
        <v>497</v>
      </c>
      <c r="F580" s="54"/>
      <c r="G580" s="29"/>
      <c r="H580" s="53">
        <v>49297</v>
      </c>
      <c r="I580" s="53" t="s">
        <v>89</v>
      </c>
      <c r="J580" s="34">
        <v>0</v>
      </c>
      <c r="K580" s="116">
        <v>19112.446899999999</v>
      </c>
      <c r="L580" s="114">
        <v>34371.717611</v>
      </c>
      <c r="M580" s="114">
        <v>3810</v>
      </c>
      <c r="N580" s="114">
        <v>39378</v>
      </c>
      <c r="O580" s="114">
        <v>5422.670000000001</v>
      </c>
      <c r="P580" s="114">
        <v>5423</v>
      </c>
      <c r="Q580" s="114">
        <v>3902</v>
      </c>
      <c r="R580" s="114">
        <v>0</v>
      </c>
      <c r="S580" s="114">
        <v>0</v>
      </c>
      <c r="T580" s="196">
        <v>19768.097000000002</v>
      </c>
      <c r="U580" s="52" t="str">
        <f>IFERROR(INDEX(tblPiNAnalysis[[Site Management ]], MATCH(tblPiNHistorical[[#This Row],[ID]], tblPiNAnalysis[ID], 0)), "")</f>
        <v/>
      </c>
      <c r="V580" s="52" t="str">
        <f>IFERROR(INDEX(tblPiNAnalysis[Education], MATCH(tblPiNHistorical[[#This Row],[ID]], tblPiNAnalysis[ID], 0)), "")</f>
        <v/>
      </c>
      <c r="W580" s="28" t="str">
        <f>IFERROR(INDEX(tblPiNAnalysis[Food Security and Livlihoods], MATCH(tblPiNHistorical[[#This Row],[ID]], tblPiNAnalysis[ID], 0)), "")</f>
        <v/>
      </c>
      <c r="X580" s="28" t="str">
        <f>IFERROR(INDEX(tblPiNAnalysis[[Health ]], MATCH(tblPiNHistorical[[#This Row],[ID]], tblPiNAnalysis[ID], 0)), "")</f>
        <v/>
      </c>
      <c r="Y580" s="28" t="str">
        <f>IFERROR(INDEX(tblPiNAnalysis[Nutrition], MATCH(tblPiNHistorical[[#This Row],[ID]], tblPiNAnalysis[ID], 0)), "")</f>
        <v/>
      </c>
      <c r="Z580" s="28" t="str">
        <f>IFERROR(INDEX(tblPiNAnalysis[Protection], MATCH(tblPiNHistorical[[#This Row],[ID]], tblPiNAnalysis[ID], 0)), "")</f>
        <v/>
      </c>
      <c r="AA580" s="28" t="str">
        <f>IFERROR(INDEX(tblPiNAnalysis[CP], MATCH(tblPiNHistorical[[#This Row],[ID]], tblPiNAnalysis[ID], 0)), "")</f>
        <v/>
      </c>
      <c r="AB580" s="83" t="str">
        <f>IFERROR(INDEX(tblPiNAnalysis[GBV], MATCH(tblPiNHistorical[[#This Row],[ID]], tblPiNAnalysis[ID], 0)), "")</f>
        <v/>
      </c>
      <c r="AC580" s="28" t="str">
        <f>IFERROR(INDEX(tblPiNAnalysis[Mine Action], MATCH(tblPiNHistorical[[#This Row],[ID]], tblPiNAnalysis[ID], 0)), "")</f>
        <v/>
      </c>
      <c r="AD580" s="83" t="str">
        <f>IFERROR(INDEX(tblPiNAnalysis[[Shelter NFI ]], MATCH(tblPiNHistorical[[#This Row],[ID]], tblPiNAnalysis[ID], 0)), "")</f>
        <v/>
      </c>
      <c r="AE580" s="28" t="str">
        <f>IFERROR(INDEX(tblPiNAnalysis[WASH], MATCH(tblPiNHistorical[[#This Row],[ID]], tblPiNAnalysis[ID], 0)), "")</f>
        <v/>
      </c>
      <c r="AF580"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580" s="136" t="str">
        <f>IF(OR(tblPiNHistorical[[#This Row],[Education Old]]="", tblPiNHistorical[[#This Row],[Education Old]]=0, tblPiNHistorical[[#This Row],[Education New]]="", tblPiNHistorical[[#This Row],[Education New]]=0), "", tblPiNHistorical[[#This Row],[Education New]]-tblPiNHistorical[[#This Row],[Education Old]])</f>
        <v/>
      </c>
      <c r="AH580"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580" s="137" t="str">
        <f>IF(OR(tblPiNHistorical[[#This Row],[Health Old]]="", tblPiNHistorical[[#This Row],[Health Old]]=0, tblPiNHistorical[[#This Row],[Health New]]="", tblPiNHistorical[[#This Row],[Health New]]=0), "", tblPiNHistorical[[#This Row],[Health New]]-tblPiNHistorical[[#This Row],[Health Old]])</f>
        <v/>
      </c>
      <c r="AJ580" s="136" t="str">
        <f>IF(OR(tblPiNHistorical[[#This Row],[Nutrition Old]]="", tblPiNHistorical[[#This Row],[Nutrition Old]]=0, tblPiNHistorical[[#This Row],[Nutrition New]]="", tblPiNHistorical[[#This Row],[Nutrition New]]=0), "", tblPiNHistorical[[#This Row],[Nutrition New]]-tblPiNHistorical[[#This Row],[Nutrition Old]])</f>
        <v/>
      </c>
      <c r="AK580" s="136" t="str">
        <f>IF(OR(tblPiNHistorical[[#This Row],[Protection Old]]="", tblPiNHistorical[[#This Row],[Protection Old]]=0, tblPiNHistorical[[#This Row],[Protection New]]="", tblPiNHistorical[[#This Row],[Protection New]]=0), "", tblPiNHistorical[[#This Row],[Protection New]]-tblPiNHistorical[[#This Row],[Protection Old]])</f>
        <v/>
      </c>
      <c r="AL580" s="136" t="str">
        <f>IF(OR(tblPiNHistorical[[#This Row],[CP Old ]]="", tblPiNHistorical[[#This Row],[CP Old ]]=0, tblPiNHistorical[[#This Row],[CP New]]="", tblPiNHistorical[[#This Row],[CP New]]=0), "", tblPiNHistorical[[#This Row],[CP New]]-tblPiNHistorical[[#This Row],[CP Old ]])</f>
        <v/>
      </c>
      <c r="AM580" s="83" t="str">
        <f>IF(OR(tblPiNHistorical[[#This Row],[GBV Old]]="", tblPiNHistorical[[#This Row],[GBV Old]]=0, tblPiNHistorical[[#This Row],[GBV New]]="", tblPiNHistorical[[#This Row],[GBV New]]=0), "", tblPiNHistorical[[#This Row],[GBV New]]-tblPiNHistorical[[#This Row],[GBV Old]])</f>
        <v/>
      </c>
      <c r="AN580" s="83" t="str">
        <f>IF(OR(tblPiNHistorical[[#This Row],[Mine Action Old]]="", tblPiNHistorical[[#This Row],[Mine Action Old]]=0, tblPiNHistorical[[#This Row],[Mine Action New]]="", tblPiNHistorical[[#This Row],[Mine Action New]]=0), "", tblPiNHistorical[[#This Row],[Mine Action New]]-tblPiNHistorical[[#This Row],[Mine Action Old]])</f>
        <v/>
      </c>
      <c r="AO580" s="136" t="str">
        <f>IF(OR(tblPiNHistorical[[#This Row],[Shelter NFI Old]]="", tblPiNHistorical[[#This Row],[Shelter NFI Old]]=0, tblPiNHistorical[[#This Row],[Shelter NFI New]]="", tblPiNHistorical[[#This Row],[Shelter NFI New]]=0), "", tblPiNHistorical[[#This Row],[Shelter NFI New]]-tblPiNHistorical[[#This Row],[Shelter NFI Old]])</f>
        <v/>
      </c>
      <c r="AP580" s="138" t="str">
        <f>IF(OR(tblPiNHistorical[[#This Row],[WASH Old]]="", tblPiNHistorical[[#This Row],[WASH Old]]=0, tblPiNHistorical[[#This Row],[WASH New]]="", tblPiNHistorical[[#This Row],[WASH New]]=0), "", tblPiNHistorical[[#This Row],[WASH New]]-tblPiNHistorical[[#This Row],[WASH Old]])</f>
        <v/>
      </c>
      <c r="AQ580" s="139" t="str">
        <f>IFERROR(ROUND((tblPiNHistorical[[#This Row],[Site Management - New]] - tblPiNHistorical[[#This Row],[Site Management - Old]])/tblPiNHistorical[[#This Row],[Site Management - Old]], 1), "")</f>
        <v/>
      </c>
      <c r="AR580" s="140" t="str">
        <f>IFERROR(ROUND((tblPiNHistorical[[#This Row],[Education New]]-tblPiNHistorical[[#This Row],[Education Old]])/tblPiNHistorical[[#This Row],[Education Old]], 1), "")</f>
        <v/>
      </c>
      <c r="AS580" s="141" t="str">
        <f>IFERROR(ROUND((tblPiNHistorical[[#This Row],[Food Security and Livlihoods New]]-tblPiNHistorical[[#This Row],[Food Security and Livlihoods Old]])/tblPiNHistorical[[#This Row],[Food Security and Livlihoods Old]], 1), "")</f>
        <v/>
      </c>
      <c r="AT580" s="142" t="str">
        <f>IFERROR(ROUND((tblPiNHistorical[[#This Row],[Health New]]-tblPiNHistorical[[#This Row],[Health Old]])/tblPiNHistorical[[#This Row],[Health Old]], 1), "")</f>
        <v/>
      </c>
      <c r="AU580" s="140" t="str">
        <f>IFERROR(ROUND((tblPiNHistorical[[#This Row],[Nutrition New]]-tblPiNHistorical[[#This Row],[Nutrition Old]])/tblPiNHistorical[[#This Row],[Nutrition Old]], 1), "")</f>
        <v/>
      </c>
      <c r="AV580" s="140" t="str">
        <f>IFERROR(ROUND((tblPiNHistorical[[#This Row],[Protection New]]-tblPiNHistorical[[#This Row],[Protection Old]])/tblPiNHistorical[[#This Row],[Protection Old]], 1), "")</f>
        <v/>
      </c>
      <c r="AW580" s="84" t="str">
        <f>IFERROR(ROUND((tblPiNHistorical[[#This Row],[CP New]]-tblPiNHistorical[[#This Row],[CP Old ]])/tblPiNHistorical[[#This Row],[CP Old ]], 1), "")</f>
        <v/>
      </c>
      <c r="AX580" s="84" t="str">
        <f>IFERROR(ROUND((tblPiNHistorical[[#This Row],[GBV New]]-tblPiNHistorical[[#This Row],[GBV Old]])/tblPiNHistorical[[#This Row],[GBV Old]], 1), "")</f>
        <v/>
      </c>
      <c r="AY580" s="84" t="str">
        <f>IFERROR(ROUND((tblPiNHistorical[[#This Row],[Mine Action New]]-tblPiNHistorical[[#This Row],[Mine Action Old]])/tblPiNHistorical[[#This Row],[Mine Action Old]], 1), "")</f>
        <v/>
      </c>
      <c r="AZ580" s="140" t="str">
        <f>IFERROR(ROUND((tblPiNHistorical[[#This Row],[Shelter NFI New]]-tblPiNHistorical[[#This Row],[Shelter NFI Old]])/tblPiNHistorical[[#This Row],[Shelter NFI Old]], 1), "")</f>
        <v/>
      </c>
      <c r="BA580" s="31" t="str">
        <f>IFERROR(ROUND((tblPiNHistorical[[#This Row],[WASH New]]-tblPiNHistorical[[#This Row],[WASH Old]])/tblPiNHistorical[[#This Row],[WASH Old]], 1), "")</f>
        <v/>
      </c>
    </row>
    <row r="581" spans="1:53" ht="38.25" x14ac:dyDescent="0.25">
      <c r="A581"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Non-displaced PopulationSD15033</v>
      </c>
      <c r="B581" s="134" t="s">
        <v>147</v>
      </c>
      <c r="C581" s="124" t="s">
        <v>132</v>
      </c>
      <c r="D581" s="124" t="s">
        <v>502</v>
      </c>
      <c r="E581" s="59" t="s">
        <v>503</v>
      </c>
      <c r="F581" s="54"/>
      <c r="G581" s="29"/>
      <c r="H581" s="53">
        <v>252048</v>
      </c>
      <c r="I581" s="53" t="s">
        <v>89</v>
      </c>
      <c r="J581" s="34">
        <v>0</v>
      </c>
      <c r="K581" s="116">
        <v>0</v>
      </c>
      <c r="L581" s="114">
        <v>88216.8</v>
      </c>
      <c r="M581" s="114">
        <v>17990</v>
      </c>
      <c r="N581" s="114">
        <v>52269</v>
      </c>
      <c r="O581" s="114">
        <v>27725.280000000006</v>
      </c>
      <c r="P581" s="114">
        <v>27725</v>
      </c>
      <c r="Q581" s="114">
        <v>19953</v>
      </c>
      <c r="R581" s="114">
        <v>0</v>
      </c>
      <c r="S581" s="114">
        <v>50410</v>
      </c>
      <c r="T581" s="196">
        <v>118210.51199999997</v>
      </c>
      <c r="U581" s="52" t="str">
        <f>IFERROR(INDEX(tblPiNAnalysis[[Site Management ]], MATCH(tblPiNHistorical[[#This Row],[ID]], tblPiNAnalysis[ID], 0)), "")</f>
        <v/>
      </c>
      <c r="V581" s="52" t="str">
        <f>IFERROR(INDEX(tblPiNAnalysis[Education], MATCH(tblPiNHistorical[[#This Row],[ID]], tblPiNAnalysis[ID], 0)), "")</f>
        <v/>
      </c>
      <c r="W581" s="28" t="str">
        <f>IFERROR(INDEX(tblPiNAnalysis[Food Security and Livlihoods], MATCH(tblPiNHistorical[[#This Row],[ID]], tblPiNAnalysis[ID], 0)), "")</f>
        <v/>
      </c>
      <c r="X581" s="28" t="str">
        <f>IFERROR(INDEX(tblPiNAnalysis[[Health ]], MATCH(tblPiNHistorical[[#This Row],[ID]], tblPiNAnalysis[ID], 0)), "")</f>
        <v/>
      </c>
      <c r="Y581" s="28" t="str">
        <f>IFERROR(INDEX(tblPiNAnalysis[Nutrition], MATCH(tblPiNHistorical[[#This Row],[ID]], tblPiNAnalysis[ID], 0)), "")</f>
        <v/>
      </c>
      <c r="Z581" s="28" t="str">
        <f>IFERROR(INDEX(tblPiNAnalysis[Protection], MATCH(tblPiNHistorical[[#This Row],[ID]], tblPiNAnalysis[ID], 0)), "")</f>
        <v/>
      </c>
      <c r="AA581" s="28" t="str">
        <f>IFERROR(INDEX(tblPiNAnalysis[CP], MATCH(tblPiNHistorical[[#This Row],[ID]], tblPiNAnalysis[ID], 0)), "")</f>
        <v/>
      </c>
      <c r="AB581" s="83" t="str">
        <f>IFERROR(INDEX(tblPiNAnalysis[GBV], MATCH(tblPiNHistorical[[#This Row],[ID]], tblPiNAnalysis[ID], 0)), "")</f>
        <v/>
      </c>
      <c r="AC581" s="28" t="str">
        <f>IFERROR(INDEX(tblPiNAnalysis[Mine Action], MATCH(tblPiNHistorical[[#This Row],[ID]], tblPiNAnalysis[ID], 0)), "")</f>
        <v/>
      </c>
      <c r="AD581" s="83" t="str">
        <f>IFERROR(INDEX(tblPiNAnalysis[[Shelter NFI ]], MATCH(tblPiNHistorical[[#This Row],[ID]], tblPiNAnalysis[ID], 0)), "")</f>
        <v/>
      </c>
      <c r="AE581" s="28" t="str">
        <f>IFERROR(INDEX(tblPiNAnalysis[WASH], MATCH(tblPiNHistorical[[#This Row],[ID]], tblPiNAnalysis[ID], 0)), "")</f>
        <v/>
      </c>
      <c r="AF581"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581" s="136" t="str">
        <f>IF(OR(tblPiNHistorical[[#This Row],[Education Old]]="", tblPiNHistorical[[#This Row],[Education Old]]=0, tblPiNHistorical[[#This Row],[Education New]]="", tblPiNHistorical[[#This Row],[Education New]]=0), "", tblPiNHistorical[[#This Row],[Education New]]-tblPiNHistorical[[#This Row],[Education Old]])</f>
        <v/>
      </c>
      <c r="AH581"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581" s="137" t="str">
        <f>IF(OR(tblPiNHistorical[[#This Row],[Health Old]]="", tblPiNHistorical[[#This Row],[Health Old]]=0, tblPiNHistorical[[#This Row],[Health New]]="", tblPiNHistorical[[#This Row],[Health New]]=0), "", tblPiNHistorical[[#This Row],[Health New]]-tblPiNHistorical[[#This Row],[Health Old]])</f>
        <v/>
      </c>
      <c r="AJ581" s="136" t="str">
        <f>IF(OR(tblPiNHistorical[[#This Row],[Nutrition Old]]="", tblPiNHistorical[[#This Row],[Nutrition Old]]=0, tblPiNHistorical[[#This Row],[Nutrition New]]="", tblPiNHistorical[[#This Row],[Nutrition New]]=0), "", tblPiNHistorical[[#This Row],[Nutrition New]]-tblPiNHistorical[[#This Row],[Nutrition Old]])</f>
        <v/>
      </c>
      <c r="AK581" s="136" t="str">
        <f>IF(OR(tblPiNHistorical[[#This Row],[Protection Old]]="", tblPiNHistorical[[#This Row],[Protection Old]]=0, tblPiNHistorical[[#This Row],[Protection New]]="", tblPiNHistorical[[#This Row],[Protection New]]=0), "", tblPiNHistorical[[#This Row],[Protection New]]-tblPiNHistorical[[#This Row],[Protection Old]])</f>
        <v/>
      </c>
      <c r="AL581" s="136" t="str">
        <f>IF(OR(tblPiNHistorical[[#This Row],[CP Old ]]="", tblPiNHistorical[[#This Row],[CP Old ]]=0, tblPiNHistorical[[#This Row],[CP New]]="", tblPiNHistorical[[#This Row],[CP New]]=0), "", tblPiNHistorical[[#This Row],[CP New]]-tblPiNHistorical[[#This Row],[CP Old ]])</f>
        <v/>
      </c>
      <c r="AM581" s="83" t="str">
        <f>IF(OR(tblPiNHistorical[[#This Row],[GBV Old]]="", tblPiNHistorical[[#This Row],[GBV Old]]=0, tblPiNHistorical[[#This Row],[GBV New]]="", tblPiNHistorical[[#This Row],[GBV New]]=0), "", tblPiNHistorical[[#This Row],[GBV New]]-tblPiNHistorical[[#This Row],[GBV Old]])</f>
        <v/>
      </c>
      <c r="AN581" s="83" t="str">
        <f>IF(OR(tblPiNHistorical[[#This Row],[Mine Action Old]]="", tblPiNHistorical[[#This Row],[Mine Action Old]]=0, tblPiNHistorical[[#This Row],[Mine Action New]]="", tblPiNHistorical[[#This Row],[Mine Action New]]=0), "", tblPiNHistorical[[#This Row],[Mine Action New]]-tblPiNHistorical[[#This Row],[Mine Action Old]])</f>
        <v/>
      </c>
      <c r="AO581" s="136" t="str">
        <f>IF(OR(tblPiNHistorical[[#This Row],[Shelter NFI Old]]="", tblPiNHistorical[[#This Row],[Shelter NFI Old]]=0, tblPiNHistorical[[#This Row],[Shelter NFI New]]="", tblPiNHistorical[[#This Row],[Shelter NFI New]]=0), "", tblPiNHistorical[[#This Row],[Shelter NFI New]]-tblPiNHistorical[[#This Row],[Shelter NFI Old]])</f>
        <v/>
      </c>
      <c r="AP581" s="138" t="str">
        <f>IF(OR(tblPiNHistorical[[#This Row],[WASH Old]]="", tblPiNHistorical[[#This Row],[WASH Old]]=0, tblPiNHistorical[[#This Row],[WASH New]]="", tblPiNHistorical[[#This Row],[WASH New]]=0), "", tblPiNHistorical[[#This Row],[WASH New]]-tblPiNHistorical[[#This Row],[WASH Old]])</f>
        <v/>
      </c>
      <c r="AQ581" s="139" t="str">
        <f>IFERROR(ROUND((tblPiNHistorical[[#This Row],[Site Management - New]] - tblPiNHistorical[[#This Row],[Site Management - Old]])/tblPiNHistorical[[#This Row],[Site Management - Old]], 1), "")</f>
        <v/>
      </c>
      <c r="AR581" s="140" t="str">
        <f>IFERROR(ROUND((tblPiNHistorical[[#This Row],[Education New]]-tblPiNHistorical[[#This Row],[Education Old]])/tblPiNHistorical[[#This Row],[Education Old]], 1), "")</f>
        <v/>
      </c>
      <c r="AS581" s="141" t="str">
        <f>IFERROR(ROUND((tblPiNHistorical[[#This Row],[Food Security and Livlihoods New]]-tblPiNHistorical[[#This Row],[Food Security and Livlihoods Old]])/tblPiNHistorical[[#This Row],[Food Security and Livlihoods Old]], 1), "")</f>
        <v/>
      </c>
      <c r="AT581" s="142" t="str">
        <f>IFERROR(ROUND((tblPiNHistorical[[#This Row],[Health New]]-tblPiNHistorical[[#This Row],[Health Old]])/tblPiNHistorical[[#This Row],[Health Old]], 1), "")</f>
        <v/>
      </c>
      <c r="AU581" s="140" t="str">
        <f>IFERROR(ROUND((tblPiNHistorical[[#This Row],[Nutrition New]]-tblPiNHistorical[[#This Row],[Nutrition Old]])/tblPiNHistorical[[#This Row],[Nutrition Old]], 1), "")</f>
        <v/>
      </c>
      <c r="AV581" s="140" t="str">
        <f>IFERROR(ROUND((tblPiNHistorical[[#This Row],[Protection New]]-tblPiNHistorical[[#This Row],[Protection Old]])/tblPiNHistorical[[#This Row],[Protection Old]], 1), "")</f>
        <v/>
      </c>
      <c r="AW581" s="84" t="str">
        <f>IFERROR(ROUND((tblPiNHistorical[[#This Row],[CP New]]-tblPiNHistorical[[#This Row],[CP Old ]])/tblPiNHistorical[[#This Row],[CP Old ]], 1), "")</f>
        <v/>
      </c>
      <c r="AX581" s="84" t="str">
        <f>IFERROR(ROUND((tblPiNHistorical[[#This Row],[GBV New]]-tblPiNHistorical[[#This Row],[GBV Old]])/tblPiNHistorical[[#This Row],[GBV Old]], 1), "")</f>
        <v/>
      </c>
      <c r="AY581" s="84" t="str">
        <f>IFERROR(ROUND((tblPiNHistorical[[#This Row],[Mine Action New]]-tblPiNHistorical[[#This Row],[Mine Action Old]])/tblPiNHistorical[[#This Row],[Mine Action Old]], 1), "")</f>
        <v/>
      </c>
      <c r="AZ581" s="140" t="str">
        <f>IFERROR(ROUND((tblPiNHistorical[[#This Row],[Shelter NFI New]]-tblPiNHistorical[[#This Row],[Shelter NFI Old]])/tblPiNHistorical[[#This Row],[Shelter NFI Old]], 1), "")</f>
        <v/>
      </c>
      <c r="BA581" s="31" t="str">
        <f>IFERROR(ROUND((tblPiNHistorical[[#This Row],[WASH New]]-tblPiNHistorical[[#This Row],[WASH Old]])/tblPiNHistorical[[#This Row],[WASH Old]], 1), "")</f>
        <v/>
      </c>
    </row>
    <row r="582" spans="1:53" ht="38.25" x14ac:dyDescent="0.25">
      <c r="A582"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Non-displaced PopulationSD15032</v>
      </c>
      <c r="B582" s="134" t="s">
        <v>147</v>
      </c>
      <c r="C582" s="124" t="s">
        <v>132</v>
      </c>
      <c r="D582" s="124" t="s">
        <v>500</v>
      </c>
      <c r="E582" s="59" t="s">
        <v>501</v>
      </c>
      <c r="F582" s="54"/>
      <c r="G582" s="29"/>
      <c r="H582" s="53">
        <v>92918</v>
      </c>
      <c r="I582" s="53" t="s">
        <v>89</v>
      </c>
      <c r="J582" s="34">
        <v>0</v>
      </c>
      <c r="K582" s="116">
        <v>36024.308599999997</v>
      </c>
      <c r="L582" s="114">
        <v>32521.3</v>
      </c>
      <c r="M582" s="114">
        <v>24895</v>
      </c>
      <c r="N582" s="114">
        <v>26356</v>
      </c>
      <c r="O582" s="114">
        <v>10220.980000000001</v>
      </c>
      <c r="P582" s="114">
        <v>10221</v>
      </c>
      <c r="Q582" s="114">
        <v>7356</v>
      </c>
      <c r="R582" s="114">
        <v>0</v>
      </c>
      <c r="S582" s="114">
        <v>0</v>
      </c>
      <c r="T582" s="196">
        <v>48763.366399999999</v>
      </c>
      <c r="U582" s="52" t="str">
        <f>IFERROR(INDEX(tblPiNAnalysis[[Site Management ]], MATCH(tblPiNHistorical[[#This Row],[ID]], tblPiNAnalysis[ID], 0)), "")</f>
        <v/>
      </c>
      <c r="V582" s="52" t="str">
        <f>IFERROR(INDEX(tblPiNAnalysis[Education], MATCH(tblPiNHistorical[[#This Row],[ID]], tblPiNAnalysis[ID], 0)), "")</f>
        <v/>
      </c>
      <c r="W582" s="28" t="str">
        <f>IFERROR(INDEX(tblPiNAnalysis[Food Security and Livlihoods], MATCH(tblPiNHistorical[[#This Row],[ID]], tblPiNAnalysis[ID], 0)), "")</f>
        <v/>
      </c>
      <c r="X582" s="28" t="str">
        <f>IFERROR(INDEX(tblPiNAnalysis[[Health ]], MATCH(tblPiNHistorical[[#This Row],[ID]], tblPiNAnalysis[ID], 0)), "")</f>
        <v/>
      </c>
      <c r="Y582" s="28" t="str">
        <f>IFERROR(INDEX(tblPiNAnalysis[Nutrition], MATCH(tblPiNHistorical[[#This Row],[ID]], tblPiNAnalysis[ID], 0)), "")</f>
        <v/>
      </c>
      <c r="Z582" s="28" t="str">
        <f>IFERROR(INDEX(tblPiNAnalysis[Protection], MATCH(tblPiNHistorical[[#This Row],[ID]], tblPiNAnalysis[ID], 0)), "")</f>
        <v/>
      </c>
      <c r="AA582" s="28" t="str">
        <f>IFERROR(INDEX(tblPiNAnalysis[CP], MATCH(tblPiNHistorical[[#This Row],[ID]], tblPiNAnalysis[ID], 0)), "")</f>
        <v/>
      </c>
      <c r="AB582" s="83" t="str">
        <f>IFERROR(INDEX(tblPiNAnalysis[GBV], MATCH(tblPiNHistorical[[#This Row],[ID]], tblPiNAnalysis[ID], 0)), "")</f>
        <v/>
      </c>
      <c r="AC582" s="28" t="str">
        <f>IFERROR(INDEX(tblPiNAnalysis[Mine Action], MATCH(tblPiNHistorical[[#This Row],[ID]], tblPiNAnalysis[ID], 0)), "")</f>
        <v/>
      </c>
      <c r="AD582" s="83" t="str">
        <f>IFERROR(INDEX(tblPiNAnalysis[[Shelter NFI ]], MATCH(tblPiNHistorical[[#This Row],[ID]], tblPiNAnalysis[ID], 0)), "")</f>
        <v/>
      </c>
      <c r="AE582" s="28" t="str">
        <f>IFERROR(INDEX(tblPiNAnalysis[WASH], MATCH(tblPiNHistorical[[#This Row],[ID]], tblPiNAnalysis[ID], 0)), "")</f>
        <v/>
      </c>
      <c r="AF582"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582" s="136" t="str">
        <f>IF(OR(tblPiNHistorical[[#This Row],[Education Old]]="", tblPiNHistorical[[#This Row],[Education Old]]=0, tblPiNHistorical[[#This Row],[Education New]]="", tblPiNHistorical[[#This Row],[Education New]]=0), "", tblPiNHistorical[[#This Row],[Education New]]-tblPiNHistorical[[#This Row],[Education Old]])</f>
        <v/>
      </c>
      <c r="AH582"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582" s="137" t="str">
        <f>IF(OR(tblPiNHistorical[[#This Row],[Health Old]]="", tblPiNHistorical[[#This Row],[Health Old]]=0, tblPiNHistorical[[#This Row],[Health New]]="", tblPiNHistorical[[#This Row],[Health New]]=0), "", tblPiNHistorical[[#This Row],[Health New]]-tblPiNHistorical[[#This Row],[Health Old]])</f>
        <v/>
      </c>
      <c r="AJ582" s="136" t="str">
        <f>IF(OR(tblPiNHistorical[[#This Row],[Nutrition Old]]="", tblPiNHistorical[[#This Row],[Nutrition Old]]=0, tblPiNHistorical[[#This Row],[Nutrition New]]="", tblPiNHistorical[[#This Row],[Nutrition New]]=0), "", tblPiNHistorical[[#This Row],[Nutrition New]]-tblPiNHistorical[[#This Row],[Nutrition Old]])</f>
        <v/>
      </c>
      <c r="AK582" s="136" t="str">
        <f>IF(OR(tblPiNHistorical[[#This Row],[Protection Old]]="", tblPiNHistorical[[#This Row],[Protection Old]]=0, tblPiNHistorical[[#This Row],[Protection New]]="", tblPiNHistorical[[#This Row],[Protection New]]=0), "", tblPiNHistorical[[#This Row],[Protection New]]-tblPiNHistorical[[#This Row],[Protection Old]])</f>
        <v/>
      </c>
      <c r="AL582" s="136" t="str">
        <f>IF(OR(tblPiNHistorical[[#This Row],[CP Old ]]="", tblPiNHistorical[[#This Row],[CP Old ]]=0, tblPiNHistorical[[#This Row],[CP New]]="", tblPiNHistorical[[#This Row],[CP New]]=0), "", tblPiNHistorical[[#This Row],[CP New]]-tblPiNHistorical[[#This Row],[CP Old ]])</f>
        <v/>
      </c>
      <c r="AM582" s="83" t="str">
        <f>IF(OR(tblPiNHistorical[[#This Row],[GBV Old]]="", tblPiNHistorical[[#This Row],[GBV Old]]=0, tblPiNHistorical[[#This Row],[GBV New]]="", tblPiNHistorical[[#This Row],[GBV New]]=0), "", tblPiNHistorical[[#This Row],[GBV New]]-tblPiNHistorical[[#This Row],[GBV Old]])</f>
        <v/>
      </c>
      <c r="AN582" s="83" t="str">
        <f>IF(OR(tblPiNHistorical[[#This Row],[Mine Action Old]]="", tblPiNHistorical[[#This Row],[Mine Action Old]]=0, tblPiNHistorical[[#This Row],[Mine Action New]]="", tblPiNHistorical[[#This Row],[Mine Action New]]=0), "", tblPiNHistorical[[#This Row],[Mine Action New]]-tblPiNHistorical[[#This Row],[Mine Action Old]])</f>
        <v/>
      </c>
      <c r="AO582" s="136" t="str">
        <f>IF(OR(tblPiNHistorical[[#This Row],[Shelter NFI Old]]="", tblPiNHistorical[[#This Row],[Shelter NFI Old]]=0, tblPiNHistorical[[#This Row],[Shelter NFI New]]="", tblPiNHistorical[[#This Row],[Shelter NFI New]]=0), "", tblPiNHistorical[[#This Row],[Shelter NFI New]]-tblPiNHistorical[[#This Row],[Shelter NFI Old]])</f>
        <v/>
      </c>
      <c r="AP582" s="138" t="str">
        <f>IF(OR(tblPiNHistorical[[#This Row],[WASH Old]]="", tblPiNHistorical[[#This Row],[WASH Old]]=0, tblPiNHistorical[[#This Row],[WASH New]]="", tblPiNHistorical[[#This Row],[WASH New]]=0), "", tblPiNHistorical[[#This Row],[WASH New]]-tblPiNHistorical[[#This Row],[WASH Old]])</f>
        <v/>
      </c>
      <c r="AQ582" s="139" t="str">
        <f>IFERROR(ROUND((tblPiNHistorical[[#This Row],[Site Management - New]] - tblPiNHistorical[[#This Row],[Site Management - Old]])/tblPiNHistorical[[#This Row],[Site Management - Old]], 1), "")</f>
        <v/>
      </c>
      <c r="AR582" s="140" t="str">
        <f>IFERROR(ROUND((tblPiNHistorical[[#This Row],[Education New]]-tblPiNHistorical[[#This Row],[Education Old]])/tblPiNHistorical[[#This Row],[Education Old]], 1), "")</f>
        <v/>
      </c>
      <c r="AS582" s="141" t="str">
        <f>IFERROR(ROUND((tblPiNHistorical[[#This Row],[Food Security and Livlihoods New]]-tblPiNHistorical[[#This Row],[Food Security and Livlihoods Old]])/tblPiNHistorical[[#This Row],[Food Security and Livlihoods Old]], 1), "")</f>
        <v/>
      </c>
      <c r="AT582" s="142" t="str">
        <f>IFERROR(ROUND((tblPiNHistorical[[#This Row],[Health New]]-tblPiNHistorical[[#This Row],[Health Old]])/tblPiNHistorical[[#This Row],[Health Old]], 1), "")</f>
        <v/>
      </c>
      <c r="AU582" s="140" t="str">
        <f>IFERROR(ROUND((tblPiNHistorical[[#This Row],[Nutrition New]]-tblPiNHistorical[[#This Row],[Nutrition Old]])/tblPiNHistorical[[#This Row],[Nutrition Old]], 1), "")</f>
        <v/>
      </c>
      <c r="AV582" s="140" t="str">
        <f>IFERROR(ROUND((tblPiNHistorical[[#This Row],[Protection New]]-tblPiNHistorical[[#This Row],[Protection Old]])/tblPiNHistorical[[#This Row],[Protection Old]], 1), "")</f>
        <v/>
      </c>
      <c r="AW582" s="84" t="str">
        <f>IFERROR(ROUND((tblPiNHistorical[[#This Row],[CP New]]-tblPiNHistorical[[#This Row],[CP Old ]])/tblPiNHistorical[[#This Row],[CP Old ]], 1), "")</f>
        <v/>
      </c>
      <c r="AX582" s="84" t="str">
        <f>IFERROR(ROUND((tblPiNHistorical[[#This Row],[GBV New]]-tblPiNHistorical[[#This Row],[GBV Old]])/tblPiNHistorical[[#This Row],[GBV Old]], 1), "")</f>
        <v/>
      </c>
      <c r="AY582" s="84" t="str">
        <f>IFERROR(ROUND((tblPiNHistorical[[#This Row],[Mine Action New]]-tblPiNHistorical[[#This Row],[Mine Action Old]])/tblPiNHistorical[[#This Row],[Mine Action Old]], 1), "")</f>
        <v/>
      </c>
      <c r="AZ582" s="140" t="str">
        <f>IFERROR(ROUND((tblPiNHistorical[[#This Row],[Shelter NFI New]]-tblPiNHistorical[[#This Row],[Shelter NFI Old]])/tblPiNHistorical[[#This Row],[Shelter NFI Old]], 1), "")</f>
        <v/>
      </c>
      <c r="BA582" s="31" t="str">
        <f>IFERROR(ROUND((tblPiNHistorical[[#This Row],[WASH New]]-tblPiNHistorical[[#This Row],[WASH Old]])/tblPiNHistorical[[#This Row],[WASH Old]], 1), "")</f>
        <v/>
      </c>
    </row>
    <row r="583" spans="1:53" ht="38.25" x14ac:dyDescent="0.25">
      <c r="A583"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Non-displaced PopulationSD08106</v>
      </c>
      <c r="B583" s="134" t="s">
        <v>150</v>
      </c>
      <c r="C583" s="124" t="s">
        <v>125</v>
      </c>
      <c r="D583" s="124" t="s">
        <v>374</v>
      </c>
      <c r="E583" s="59" t="s">
        <v>375</v>
      </c>
      <c r="F583" s="54"/>
      <c r="G583" s="29"/>
      <c r="H583" s="53">
        <v>58956</v>
      </c>
      <c r="I583" s="53" t="s">
        <v>89</v>
      </c>
      <c r="J583" s="34">
        <v>0</v>
      </c>
      <c r="K583" s="116">
        <v>22857.2412</v>
      </c>
      <c r="L583" s="114">
        <v>23582.400000000001</v>
      </c>
      <c r="M583" s="114">
        <v>0</v>
      </c>
      <c r="N583" s="114">
        <v>13152</v>
      </c>
      <c r="O583" s="114">
        <v>23582.400000000001</v>
      </c>
      <c r="P583" s="114">
        <v>6485</v>
      </c>
      <c r="Q583" s="114">
        <v>3111</v>
      </c>
      <c r="R583" s="114">
        <v>23582.400000000001</v>
      </c>
      <c r="S583" s="114">
        <v>11791</v>
      </c>
      <c r="T583" s="196">
        <v>42112.270799999998</v>
      </c>
      <c r="U583" s="52" t="str">
        <f>IFERROR(INDEX(tblPiNAnalysis[[Site Management ]], MATCH(tblPiNHistorical[[#This Row],[ID]], tblPiNAnalysis[ID], 0)), "")</f>
        <v/>
      </c>
      <c r="V583" s="52" t="str">
        <f>IFERROR(INDEX(tblPiNAnalysis[Education], MATCH(tblPiNHistorical[[#This Row],[ID]], tblPiNAnalysis[ID], 0)), "")</f>
        <v/>
      </c>
      <c r="W583" s="28" t="str">
        <f>IFERROR(INDEX(tblPiNAnalysis[Food Security and Livlihoods], MATCH(tblPiNHistorical[[#This Row],[ID]], tblPiNAnalysis[ID], 0)), "")</f>
        <v/>
      </c>
      <c r="X583" s="28" t="str">
        <f>IFERROR(INDEX(tblPiNAnalysis[[Health ]], MATCH(tblPiNHistorical[[#This Row],[ID]], tblPiNAnalysis[ID], 0)), "")</f>
        <v/>
      </c>
      <c r="Y583" s="28" t="str">
        <f>IFERROR(INDEX(tblPiNAnalysis[Nutrition], MATCH(tblPiNHistorical[[#This Row],[ID]], tblPiNAnalysis[ID], 0)), "")</f>
        <v/>
      </c>
      <c r="Z583" s="28" t="str">
        <f>IFERROR(INDEX(tblPiNAnalysis[Protection], MATCH(tblPiNHistorical[[#This Row],[ID]], tblPiNAnalysis[ID], 0)), "")</f>
        <v/>
      </c>
      <c r="AA583" s="28" t="str">
        <f>IFERROR(INDEX(tblPiNAnalysis[CP], MATCH(tblPiNHistorical[[#This Row],[ID]], tblPiNAnalysis[ID], 0)), "")</f>
        <v/>
      </c>
      <c r="AB583" s="83" t="str">
        <f>IFERROR(INDEX(tblPiNAnalysis[GBV], MATCH(tblPiNHistorical[[#This Row],[ID]], tblPiNAnalysis[ID], 0)), "")</f>
        <v/>
      </c>
      <c r="AC583" s="28" t="str">
        <f>IFERROR(INDEX(tblPiNAnalysis[Mine Action], MATCH(tblPiNHistorical[[#This Row],[ID]], tblPiNAnalysis[ID], 0)), "")</f>
        <v/>
      </c>
      <c r="AD583" s="83" t="str">
        <f>IFERROR(INDEX(tblPiNAnalysis[[Shelter NFI ]], MATCH(tblPiNHistorical[[#This Row],[ID]], tblPiNAnalysis[ID], 0)), "")</f>
        <v/>
      </c>
      <c r="AE583" s="28" t="str">
        <f>IFERROR(INDEX(tblPiNAnalysis[WASH], MATCH(tblPiNHistorical[[#This Row],[ID]], tblPiNAnalysis[ID], 0)), "")</f>
        <v/>
      </c>
      <c r="AF583"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583" s="136" t="str">
        <f>IF(OR(tblPiNHistorical[[#This Row],[Education Old]]="", tblPiNHistorical[[#This Row],[Education Old]]=0, tblPiNHistorical[[#This Row],[Education New]]="", tblPiNHistorical[[#This Row],[Education New]]=0), "", tblPiNHistorical[[#This Row],[Education New]]-tblPiNHistorical[[#This Row],[Education Old]])</f>
        <v/>
      </c>
      <c r="AH583"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583" s="137" t="str">
        <f>IF(OR(tblPiNHistorical[[#This Row],[Health Old]]="", tblPiNHistorical[[#This Row],[Health Old]]=0, tblPiNHistorical[[#This Row],[Health New]]="", tblPiNHistorical[[#This Row],[Health New]]=0), "", tblPiNHistorical[[#This Row],[Health New]]-tblPiNHistorical[[#This Row],[Health Old]])</f>
        <v/>
      </c>
      <c r="AJ583" s="136" t="str">
        <f>IF(OR(tblPiNHistorical[[#This Row],[Nutrition Old]]="", tblPiNHistorical[[#This Row],[Nutrition Old]]=0, tblPiNHistorical[[#This Row],[Nutrition New]]="", tblPiNHistorical[[#This Row],[Nutrition New]]=0), "", tblPiNHistorical[[#This Row],[Nutrition New]]-tblPiNHistorical[[#This Row],[Nutrition Old]])</f>
        <v/>
      </c>
      <c r="AK583" s="136" t="str">
        <f>IF(OR(tblPiNHistorical[[#This Row],[Protection Old]]="", tblPiNHistorical[[#This Row],[Protection Old]]=0, tblPiNHistorical[[#This Row],[Protection New]]="", tblPiNHistorical[[#This Row],[Protection New]]=0), "", tblPiNHistorical[[#This Row],[Protection New]]-tblPiNHistorical[[#This Row],[Protection Old]])</f>
        <v/>
      </c>
      <c r="AL583" s="136" t="str">
        <f>IF(OR(tblPiNHistorical[[#This Row],[CP Old ]]="", tblPiNHistorical[[#This Row],[CP Old ]]=0, tblPiNHistorical[[#This Row],[CP New]]="", tblPiNHistorical[[#This Row],[CP New]]=0), "", tblPiNHistorical[[#This Row],[CP New]]-tblPiNHistorical[[#This Row],[CP Old ]])</f>
        <v/>
      </c>
      <c r="AM583" s="83" t="str">
        <f>IF(OR(tblPiNHistorical[[#This Row],[GBV Old]]="", tblPiNHistorical[[#This Row],[GBV Old]]=0, tblPiNHistorical[[#This Row],[GBV New]]="", tblPiNHistorical[[#This Row],[GBV New]]=0), "", tblPiNHistorical[[#This Row],[GBV New]]-tblPiNHistorical[[#This Row],[GBV Old]])</f>
        <v/>
      </c>
      <c r="AN583" s="83" t="str">
        <f>IF(OR(tblPiNHistorical[[#This Row],[Mine Action Old]]="", tblPiNHistorical[[#This Row],[Mine Action Old]]=0, tblPiNHistorical[[#This Row],[Mine Action New]]="", tblPiNHistorical[[#This Row],[Mine Action New]]=0), "", tblPiNHistorical[[#This Row],[Mine Action New]]-tblPiNHistorical[[#This Row],[Mine Action Old]])</f>
        <v/>
      </c>
      <c r="AO583" s="136" t="str">
        <f>IF(OR(tblPiNHistorical[[#This Row],[Shelter NFI Old]]="", tblPiNHistorical[[#This Row],[Shelter NFI Old]]=0, tblPiNHistorical[[#This Row],[Shelter NFI New]]="", tblPiNHistorical[[#This Row],[Shelter NFI New]]=0), "", tblPiNHistorical[[#This Row],[Shelter NFI New]]-tblPiNHistorical[[#This Row],[Shelter NFI Old]])</f>
        <v/>
      </c>
      <c r="AP583" s="138" t="str">
        <f>IF(OR(tblPiNHistorical[[#This Row],[WASH Old]]="", tblPiNHistorical[[#This Row],[WASH Old]]=0, tblPiNHistorical[[#This Row],[WASH New]]="", tblPiNHistorical[[#This Row],[WASH New]]=0), "", tblPiNHistorical[[#This Row],[WASH New]]-tblPiNHistorical[[#This Row],[WASH Old]])</f>
        <v/>
      </c>
      <c r="AQ583" s="139" t="str">
        <f>IFERROR(ROUND((tblPiNHistorical[[#This Row],[Site Management - New]] - tblPiNHistorical[[#This Row],[Site Management - Old]])/tblPiNHistorical[[#This Row],[Site Management - Old]], 1), "")</f>
        <v/>
      </c>
      <c r="AR583" s="140" t="str">
        <f>IFERROR(ROUND((tblPiNHistorical[[#This Row],[Education New]]-tblPiNHistorical[[#This Row],[Education Old]])/tblPiNHistorical[[#This Row],[Education Old]], 1), "")</f>
        <v/>
      </c>
      <c r="AS583" s="141" t="str">
        <f>IFERROR(ROUND((tblPiNHistorical[[#This Row],[Food Security and Livlihoods New]]-tblPiNHistorical[[#This Row],[Food Security and Livlihoods Old]])/tblPiNHistorical[[#This Row],[Food Security and Livlihoods Old]], 1), "")</f>
        <v/>
      </c>
      <c r="AT583" s="142" t="str">
        <f>IFERROR(ROUND((tblPiNHistorical[[#This Row],[Health New]]-tblPiNHistorical[[#This Row],[Health Old]])/tblPiNHistorical[[#This Row],[Health Old]], 1), "")</f>
        <v/>
      </c>
      <c r="AU583" s="140" t="str">
        <f>IFERROR(ROUND((tblPiNHistorical[[#This Row],[Nutrition New]]-tblPiNHistorical[[#This Row],[Nutrition Old]])/tblPiNHistorical[[#This Row],[Nutrition Old]], 1), "")</f>
        <v/>
      </c>
      <c r="AV583" s="140" t="str">
        <f>IFERROR(ROUND((tblPiNHistorical[[#This Row],[Protection New]]-tblPiNHistorical[[#This Row],[Protection Old]])/tblPiNHistorical[[#This Row],[Protection Old]], 1), "")</f>
        <v/>
      </c>
      <c r="AW583" s="84" t="str">
        <f>IFERROR(ROUND((tblPiNHistorical[[#This Row],[CP New]]-tblPiNHistorical[[#This Row],[CP Old ]])/tblPiNHistorical[[#This Row],[CP Old ]], 1), "")</f>
        <v/>
      </c>
      <c r="AX583" s="84" t="str">
        <f>IFERROR(ROUND((tblPiNHistorical[[#This Row],[GBV New]]-tblPiNHistorical[[#This Row],[GBV Old]])/tblPiNHistorical[[#This Row],[GBV Old]], 1), "")</f>
        <v/>
      </c>
      <c r="AY583" s="84" t="str">
        <f>IFERROR(ROUND((tblPiNHistorical[[#This Row],[Mine Action New]]-tblPiNHistorical[[#This Row],[Mine Action Old]])/tblPiNHistorical[[#This Row],[Mine Action Old]], 1), "")</f>
        <v/>
      </c>
      <c r="AZ583" s="140" t="str">
        <f>IFERROR(ROUND((tblPiNHistorical[[#This Row],[Shelter NFI New]]-tblPiNHistorical[[#This Row],[Shelter NFI Old]])/tblPiNHistorical[[#This Row],[Shelter NFI Old]], 1), "")</f>
        <v/>
      </c>
      <c r="BA583" s="31" t="str">
        <f>IFERROR(ROUND((tblPiNHistorical[[#This Row],[WASH New]]-tblPiNHistorical[[#This Row],[WASH Old]])/tblPiNHistorical[[#This Row],[WASH Old]], 1), "")</f>
        <v/>
      </c>
    </row>
    <row r="584" spans="1:53" ht="38.25" x14ac:dyDescent="0.25">
      <c r="A584"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Non-displaced PopulationSD08107</v>
      </c>
      <c r="B584" s="134" t="s">
        <v>150</v>
      </c>
      <c r="C584" s="124" t="s">
        <v>125</v>
      </c>
      <c r="D584" s="124" t="s">
        <v>376</v>
      </c>
      <c r="E584" s="59" t="s">
        <v>377</v>
      </c>
      <c r="F584" s="54"/>
      <c r="G584" s="29"/>
      <c r="H584" s="53">
        <v>50874</v>
      </c>
      <c r="I584" s="53" t="s">
        <v>89</v>
      </c>
      <c r="J584" s="34">
        <v>0</v>
      </c>
      <c r="K584" s="116">
        <v>0</v>
      </c>
      <c r="L584" s="114">
        <v>15262.2</v>
      </c>
      <c r="M584" s="114">
        <v>38165</v>
      </c>
      <c r="N584" s="114">
        <v>14167</v>
      </c>
      <c r="O584" s="114">
        <v>5596.14</v>
      </c>
      <c r="P584" s="114">
        <v>5596</v>
      </c>
      <c r="Q584" s="114">
        <v>4028</v>
      </c>
      <c r="R584" s="114">
        <v>0</v>
      </c>
      <c r="S584" s="114">
        <v>10175</v>
      </c>
      <c r="T584" s="196">
        <v>28453.8282</v>
      </c>
      <c r="U584" s="52" t="str">
        <f>IFERROR(INDEX(tblPiNAnalysis[[Site Management ]], MATCH(tblPiNHistorical[[#This Row],[ID]], tblPiNAnalysis[ID], 0)), "")</f>
        <v/>
      </c>
      <c r="V584" s="52" t="str">
        <f>IFERROR(INDEX(tblPiNAnalysis[Education], MATCH(tblPiNHistorical[[#This Row],[ID]], tblPiNAnalysis[ID], 0)), "")</f>
        <v/>
      </c>
      <c r="W584" s="28" t="str">
        <f>IFERROR(INDEX(tblPiNAnalysis[Food Security and Livlihoods], MATCH(tblPiNHistorical[[#This Row],[ID]], tblPiNAnalysis[ID], 0)), "")</f>
        <v/>
      </c>
      <c r="X584" s="28" t="str">
        <f>IFERROR(INDEX(tblPiNAnalysis[[Health ]], MATCH(tblPiNHistorical[[#This Row],[ID]], tblPiNAnalysis[ID], 0)), "")</f>
        <v/>
      </c>
      <c r="Y584" s="28" t="str">
        <f>IFERROR(INDEX(tblPiNAnalysis[Nutrition], MATCH(tblPiNHistorical[[#This Row],[ID]], tblPiNAnalysis[ID], 0)), "")</f>
        <v/>
      </c>
      <c r="Z584" s="28" t="str">
        <f>IFERROR(INDEX(tblPiNAnalysis[Protection], MATCH(tblPiNHistorical[[#This Row],[ID]], tblPiNAnalysis[ID], 0)), "")</f>
        <v/>
      </c>
      <c r="AA584" s="28" t="str">
        <f>IFERROR(INDEX(tblPiNAnalysis[CP], MATCH(tblPiNHistorical[[#This Row],[ID]], tblPiNAnalysis[ID], 0)), "")</f>
        <v/>
      </c>
      <c r="AB584" s="83" t="str">
        <f>IFERROR(INDEX(tblPiNAnalysis[GBV], MATCH(tblPiNHistorical[[#This Row],[ID]], tblPiNAnalysis[ID], 0)), "")</f>
        <v/>
      </c>
      <c r="AC584" s="28" t="str">
        <f>IFERROR(INDEX(tblPiNAnalysis[Mine Action], MATCH(tblPiNHistorical[[#This Row],[ID]], tblPiNAnalysis[ID], 0)), "")</f>
        <v/>
      </c>
      <c r="AD584" s="83" t="str">
        <f>IFERROR(INDEX(tblPiNAnalysis[[Shelter NFI ]], MATCH(tblPiNHistorical[[#This Row],[ID]], tblPiNAnalysis[ID], 0)), "")</f>
        <v/>
      </c>
      <c r="AE584" s="28" t="str">
        <f>IFERROR(INDEX(tblPiNAnalysis[WASH], MATCH(tblPiNHistorical[[#This Row],[ID]], tblPiNAnalysis[ID], 0)), "")</f>
        <v/>
      </c>
      <c r="AF584"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584" s="136" t="str">
        <f>IF(OR(tblPiNHistorical[[#This Row],[Education Old]]="", tblPiNHistorical[[#This Row],[Education Old]]=0, tblPiNHistorical[[#This Row],[Education New]]="", tblPiNHistorical[[#This Row],[Education New]]=0), "", tblPiNHistorical[[#This Row],[Education New]]-tblPiNHistorical[[#This Row],[Education Old]])</f>
        <v/>
      </c>
      <c r="AH584"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584" s="137" t="str">
        <f>IF(OR(tblPiNHistorical[[#This Row],[Health Old]]="", tblPiNHistorical[[#This Row],[Health Old]]=0, tblPiNHistorical[[#This Row],[Health New]]="", tblPiNHistorical[[#This Row],[Health New]]=0), "", tblPiNHistorical[[#This Row],[Health New]]-tblPiNHistorical[[#This Row],[Health Old]])</f>
        <v/>
      </c>
      <c r="AJ584" s="136" t="str">
        <f>IF(OR(tblPiNHistorical[[#This Row],[Nutrition Old]]="", tblPiNHistorical[[#This Row],[Nutrition Old]]=0, tblPiNHistorical[[#This Row],[Nutrition New]]="", tblPiNHistorical[[#This Row],[Nutrition New]]=0), "", tblPiNHistorical[[#This Row],[Nutrition New]]-tblPiNHistorical[[#This Row],[Nutrition Old]])</f>
        <v/>
      </c>
      <c r="AK584" s="136" t="str">
        <f>IF(OR(tblPiNHistorical[[#This Row],[Protection Old]]="", tblPiNHistorical[[#This Row],[Protection Old]]=0, tblPiNHistorical[[#This Row],[Protection New]]="", tblPiNHistorical[[#This Row],[Protection New]]=0), "", tblPiNHistorical[[#This Row],[Protection New]]-tblPiNHistorical[[#This Row],[Protection Old]])</f>
        <v/>
      </c>
      <c r="AL584" s="136" t="str">
        <f>IF(OR(tblPiNHistorical[[#This Row],[CP Old ]]="", tblPiNHistorical[[#This Row],[CP Old ]]=0, tblPiNHistorical[[#This Row],[CP New]]="", tblPiNHistorical[[#This Row],[CP New]]=0), "", tblPiNHistorical[[#This Row],[CP New]]-tblPiNHistorical[[#This Row],[CP Old ]])</f>
        <v/>
      </c>
      <c r="AM584" s="83" t="str">
        <f>IF(OR(tblPiNHistorical[[#This Row],[GBV Old]]="", tblPiNHistorical[[#This Row],[GBV Old]]=0, tblPiNHistorical[[#This Row],[GBV New]]="", tblPiNHistorical[[#This Row],[GBV New]]=0), "", tblPiNHistorical[[#This Row],[GBV New]]-tblPiNHistorical[[#This Row],[GBV Old]])</f>
        <v/>
      </c>
      <c r="AN584" s="83" t="str">
        <f>IF(OR(tblPiNHistorical[[#This Row],[Mine Action Old]]="", tblPiNHistorical[[#This Row],[Mine Action Old]]=0, tblPiNHistorical[[#This Row],[Mine Action New]]="", tblPiNHistorical[[#This Row],[Mine Action New]]=0), "", tblPiNHistorical[[#This Row],[Mine Action New]]-tblPiNHistorical[[#This Row],[Mine Action Old]])</f>
        <v/>
      </c>
      <c r="AO584" s="136" t="str">
        <f>IF(OR(tblPiNHistorical[[#This Row],[Shelter NFI Old]]="", tblPiNHistorical[[#This Row],[Shelter NFI Old]]=0, tblPiNHistorical[[#This Row],[Shelter NFI New]]="", tblPiNHistorical[[#This Row],[Shelter NFI New]]=0), "", tblPiNHistorical[[#This Row],[Shelter NFI New]]-tblPiNHistorical[[#This Row],[Shelter NFI Old]])</f>
        <v/>
      </c>
      <c r="AP584" s="138" t="str">
        <f>IF(OR(tblPiNHistorical[[#This Row],[WASH Old]]="", tblPiNHistorical[[#This Row],[WASH Old]]=0, tblPiNHistorical[[#This Row],[WASH New]]="", tblPiNHistorical[[#This Row],[WASH New]]=0), "", tblPiNHistorical[[#This Row],[WASH New]]-tblPiNHistorical[[#This Row],[WASH Old]])</f>
        <v/>
      </c>
      <c r="AQ584" s="139" t="str">
        <f>IFERROR(ROUND((tblPiNHistorical[[#This Row],[Site Management - New]] - tblPiNHistorical[[#This Row],[Site Management - Old]])/tblPiNHistorical[[#This Row],[Site Management - Old]], 1), "")</f>
        <v/>
      </c>
      <c r="AR584" s="140" t="str">
        <f>IFERROR(ROUND((tblPiNHistorical[[#This Row],[Education New]]-tblPiNHistorical[[#This Row],[Education Old]])/tblPiNHistorical[[#This Row],[Education Old]], 1), "")</f>
        <v/>
      </c>
      <c r="AS584" s="141" t="str">
        <f>IFERROR(ROUND((tblPiNHistorical[[#This Row],[Food Security and Livlihoods New]]-tblPiNHistorical[[#This Row],[Food Security and Livlihoods Old]])/tblPiNHistorical[[#This Row],[Food Security and Livlihoods Old]], 1), "")</f>
        <v/>
      </c>
      <c r="AT584" s="142" t="str">
        <f>IFERROR(ROUND((tblPiNHistorical[[#This Row],[Health New]]-tblPiNHistorical[[#This Row],[Health Old]])/tblPiNHistorical[[#This Row],[Health Old]], 1), "")</f>
        <v/>
      </c>
      <c r="AU584" s="140" t="str">
        <f>IFERROR(ROUND((tblPiNHistorical[[#This Row],[Nutrition New]]-tblPiNHistorical[[#This Row],[Nutrition Old]])/tblPiNHistorical[[#This Row],[Nutrition Old]], 1), "")</f>
        <v/>
      </c>
      <c r="AV584" s="140" t="str">
        <f>IFERROR(ROUND((tblPiNHistorical[[#This Row],[Protection New]]-tblPiNHistorical[[#This Row],[Protection Old]])/tblPiNHistorical[[#This Row],[Protection Old]], 1), "")</f>
        <v/>
      </c>
      <c r="AW584" s="84" t="str">
        <f>IFERROR(ROUND((tblPiNHistorical[[#This Row],[CP New]]-tblPiNHistorical[[#This Row],[CP Old ]])/tblPiNHistorical[[#This Row],[CP Old ]], 1), "")</f>
        <v/>
      </c>
      <c r="AX584" s="84" t="str">
        <f>IFERROR(ROUND((tblPiNHistorical[[#This Row],[GBV New]]-tblPiNHistorical[[#This Row],[GBV Old]])/tblPiNHistorical[[#This Row],[GBV Old]], 1), "")</f>
        <v/>
      </c>
      <c r="AY584" s="84" t="str">
        <f>IFERROR(ROUND((tblPiNHistorical[[#This Row],[Mine Action New]]-tblPiNHistorical[[#This Row],[Mine Action Old]])/tblPiNHistorical[[#This Row],[Mine Action Old]], 1), "")</f>
        <v/>
      </c>
      <c r="AZ584" s="140" t="str">
        <f>IFERROR(ROUND((tblPiNHistorical[[#This Row],[Shelter NFI New]]-tblPiNHistorical[[#This Row],[Shelter NFI Old]])/tblPiNHistorical[[#This Row],[Shelter NFI Old]], 1), "")</f>
        <v/>
      </c>
      <c r="BA584" s="31" t="str">
        <f>IFERROR(ROUND((tblPiNHistorical[[#This Row],[WASH New]]-tblPiNHistorical[[#This Row],[WASH Old]])/tblPiNHistorical[[#This Row],[WASH Old]], 1), "")</f>
        <v/>
      </c>
    </row>
    <row r="585" spans="1:53" ht="38.25" x14ac:dyDescent="0.25">
      <c r="A585"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Non-displaced PopulationSD08108</v>
      </c>
      <c r="B585" s="134" t="s">
        <v>150</v>
      </c>
      <c r="C585" s="124" t="s">
        <v>125</v>
      </c>
      <c r="D585" s="124" t="s">
        <v>378</v>
      </c>
      <c r="E585" s="59" t="s">
        <v>379</v>
      </c>
      <c r="F585" s="54"/>
      <c r="G585" s="29"/>
      <c r="H585" s="53">
        <v>17486</v>
      </c>
      <c r="I585" s="53" t="s">
        <v>89</v>
      </c>
      <c r="J585" s="34">
        <v>0</v>
      </c>
      <c r="K585" s="116">
        <v>0</v>
      </c>
      <c r="L585" s="114">
        <v>4371.5</v>
      </c>
      <c r="M585" s="114">
        <v>7500</v>
      </c>
      <c r="N585" s="114">
        <v>6845</v>
      </c>
      <c r="O585" s="114">
        <v>1923.4600000000003</v>
      </c>
      <c r="P585" s="114">
        <v>1923</v>
      </c>
      <c r="Q585" s="114">
        <v>922</v>
      </c>
      <c r="R585" s="114">
        <v>1748.6000000000001</v>
      </c>
      <c r="S585" s="114">
        <v>3497</v>
      </c>
      <c r="T585" s="196">
        <v>17486</v>
      </c>
      <c r="U585" s="52" t="str">
        <f>IFERROR(INDEX(tblPiNAnalysis[[Site Management ]], MATCH(tblPiNHistorical[[#This Row],[ID]], tblPiNAnalysis[ID], 0)), "")</f>
        <v/>
      </c>
      <c r="V585" s="52" t="str">
        <f>IFERROR(INDEX(tblPiNAnalysis[Education], MATCH(tblPiNHistorical[[#This Row],[ID]], tblPiNAnalysis[ID], 0)), "")</f>
        <v/>
      </c>
      <c r="W585" s="28" t="str">
        <f>IFERROR(INDEX(tblPiNAnalysis[Food Security and Livlihoods], MATCH(tblPiNHistorical[[#This Row],[ID]], tblPiNAnalysis[ID], 0)), "")</f>
        <v/>
      </c>
      <c r="X585" s="28" t="str">
        <f>IFERROR(INDEX(tblPiNAnalysis[[Health ]], MATCH(tblPiNHistorical[[#This Row],[ID]], tblPiNAnalysis[ID], 0)), "")</f>
        <v/>
      </c>
      <c r="Y585" s="28" t="str">
        <f>IFERROR(INDEX(tblPiNAnalysis[Nutrition], MATCH(tblPiNHistorical[[#This Row],[ID]], tblPiNAnalysis[ID], 0)), "")</f>
        <v/>
      </c>
      <c r="Z585" s="28" t="str">
        <f>IFERROR(INDEX(tblPiNAnalysis[Protection], MATCH(tblPiNHistorical[[#This Row],[ID]], tblPiNAnalysis[ID], 0)), "")</f>
        <v/>
      </c>
      <c r="AA585" s="28" t="str">
        <f>IFERROR(INDEX(tblPiNAnalysis[CP], MATCH(tblPiNHistorical[[#This Row],[ID]], tblPiNAnalysis[ID], 0)), "")</f>
        <v/>
      </c>
      <c r="AB585" s="83" t="str">
        <f>IFERROR(INDEX(tblPiNAnalysis[GBV], MATCH(tblPiNHistorical[[#This Row],[ID]], tblPiNAnalysis[ID], 0)), "")</f>
        <v/>
      </c>
      <c r="AC585" s="28" t="str">
        <f>IFERROR(INDEX(tblPiNAnalysis[Mine Action], MATCH(tblPiNHistorical[[#This Row],[ID]], tblPiNAnalysis[ID], 0)), "")</f>
        <v/>
      </c>
      <c r="AD585" s="83" t="str">
        <f>IFERROR(INDEX(tblPiNAnalysis[[Shelter NFI ]], MATCH(tblPiNHistorical[[#This Row],[ID]], tblPiNAnalysis[ID], 0)), "")</f>
        <v/>
      </c>
      <c r="AE585" s="28" t="str">
        <f>IFERROR(INDEX(tblPiNAnalysis[WASH], MATCH(tblPiNHistorical[[#This Row],[ID]], tblPiNAnalysis[ID], 0)), "")</f>
        <v/>
      </c>
      <c r="AF585"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585" s="136" t="str">
        <f>IF(OR(tblPiNHistorical[[#This Row],[Education Old]]="", tblPiNHistorical[[#This Row],[Education Old]]=0, tblPiNHistorical[[#This Row],[Education New]]="", tblPiNHistorical[[#This Row],[Education New]]=0), "", tblPiNHistorical[[#This Row],[Education New]]-tblPiNHistorical[[#This Row],[Education Old]])</f>
        <v/>
      </c>
      <c r="AH585"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585" s="137" t="str">
        <f>IF(OR(tblPiNHistorical[[#This Row],[Health Old]]="", tblPiNHistorical[[#This Row],[Health Old]]=0, tblPiNHistorical[[#This Row],[Health New]]="", tblPiNHistorical[[#This Row],[Health New]]=0), "", tblPiNHistorical[[#This Row],[Health New]]-tblPiNHistorical[[#This Row],[Health Old]])</f>
        <v/>
      </c>
      <c r="AJ585" s="136" t="str">
        <f>IF(OR(tblPiNHistorical[[#This Row],[Nutrition Old]]="", tblPiNHistorical[[#This Row],[Nutrition Old]]=0, tblPiNHistorical[[#This Row],[Nutrition New]]="", tblPiNHistorical[[#This Row],[Nutrition New]]=0), "", tblPiNHistorical[[#This Row],[Nutrition New]]-tblPiNHistorical[[#This Row],[Nutrition Old]])</f>
        <v/>
      </c>
      <c r="AK585" s="136" t="str">
        <f>IF(OR(tblPiNHistorical[[#This Row],[Protection Old]]="", tblPiNHistorical[[#This Row],[Protection Old]]=0, tblPiNHistorical[[#This Row],[Protection New]]="", tblPiNHistorical[[#This Row],[Protection New]]=0), "", tblPiNHistorical[[#This Row],[Protection New]]-tblPiNHistorical[[#This Row],[Protection Old]])</f>
        <v/>
      </c>
      <c r="AL585" s="136" t="str">
        <f>IF(OR(tblPiNHistorical[[#This Row],[CP Old ]]="", tblPiNHistorical[[#This Row],[CP Old ]]=0, tblPiNHistorical[[#This Row],[CP New]]="", tblPiNHistorical[[#This Row],[CP New]]=0), "", tblPiNHistorical[[#This Row],[CP New]]-tblPiNHistorical[[#This Row],[CP Old ]])</f>
        <v/>
      </c>
      <c r="AM585" s="83" t="str">
        <f>IF(OR(tblPiNHistorical[[#This Row],[GBV Old]]="", tblPiNHistorical[[#This Row],[GBV Old]]=0, tblPiNHistorical[[#This Row],[GBV New]]="", tblPiNHistorical[[#This Row],[GBV New]]=0), "", tblPiNHistorical[[#This Row],[GBV New]]-tblPiNHistorical[[#This Row],[GBV Old]])</f>
        <v/>
      </c>
      <c r="AN585" s="83" t="str">
        <f>IF(OR(tblPiNHistorical[[#This Row],[Mine Action Old]]="", tblPiNHistorical[[#This Row],[Mine Action Old]]=0, tblPiNHistorical[[#This Row],[Mine Action New]]="", tblPiNHistorical[[#This Row],[Mine Action New]]=0), "", tblPiNHistorical[[#This Row],[Mine Action New]]-tblPiNHistorical[[#This Row],[Mine Action Old]])</f>
        <v/>
      </c>
      <c r="AO585" s="136" t="str">
        <f>IF(OR(tblPiNHistorical[[#This Row],[Shelter NFI Old]]="", tblPiNHistorical[[#This Row],[Shelter NFI Old]]=0, tblPiNHistorical[[#This Row],[Shelter NFI New]]="", tblPiNHistorical[[#This Row],[Shelter NFI New]]=0), "", tblPiNHistorical[[#This Row],[Shelter NFI New]]-tblPiNHistorical[[#This Row],[Shelter NFI Old]])</f>
        <v/>
      </c>
      <c r="AP585" s="138" t="str">
        <f>IF(OR(tblPiNHistorical[[#This Row],[WASH Old]]="", tblPiNHistorical[[#This Row],[WASH Old]]=0, tblPiNHistorical[[#This Row],[WASH New]]="", tblPiNHistorical[[#This Row],[WASH New]]=0), "", tblPiNHistorical[[#This Row],[WASH New]]-tblPiNHistorical[[#This Row],[WASH Old]])</f>
        <v/>
      </c>
      <c r="AQ585" s="139" t="str">
        <f>IFERROR(ROUND((tblPiNHistorical[[#This Row],[Site Management - New]] - tblPiNHistorical[[#This Row],[Site Management - Old]])/tblPiNHistorical[[#This Row],[Site Management - Old]], 1), "")</f>
        <v/>
      </c>
      <c r="AR585" s="140" t="str">
        <f>IFERROR(ROUND((tblPiNHistorical[[#This Row],[Education New]]-tblPiNHistorical[[#This Row],[Education Old]])/tblPiNHistorical[[#This Row],[Education Old]], 1), "")</f>
        <v/>
      </c>
      <c r="AS585" s="141" t="str">
        <f>IFERROR(ROUND((tblPiNHistorical[[#This Row],[Food Security and Livlihoods New]]-tblPiNHistorical[[#This Row],[Food Security and Livlihoods Old]])/tblPiNHistorical[[#This Row],[Food Security and Livlihoods Old]], 1), "")</f>
        <v/>
      </c>
      <c r="AT585" s="142" t="str">
        <f>IFERROR(ROUND((tblPiNHistorical[[#This Row],[Health New]]-tblPiNHistorical[[#This Row],[Health Old]])/tblPiNHistorical[[#This Row],[Health Old]], 1), "")</f>
        <v/>
      </c>
      <c r="AU585" s="140" t="str">
        <f>IFERROR(ROUND((tblPiNHistorical[[#This Row],[Nutrition New]]-tblPiNHistorical[[#This Row],[Nutrition Old]])/tblPiNHistorical[[#This Row],[Nutrition Old]], 1), "")</f>
        <v/>
      </c>
      <c r="AV585" s="140" t="str">
        <f>IFERROR(ROUND((tblPiNHistorical[[#This Row],[Protection New]]-tblPiNHistorical[[#This Row],[Protection Old]])/tblPiNHistorical[[#This Row],[Protection Old]], 1), "")</f>
        <v/>
      </c>
      <c r="AW585" s="84" t="str">
        <f>IFERROR(ROUND((tblPiNHistorical[[#This Row],[CP New]]-tblPiNHistorical[[#This Row],[CP Old ]])/tblPiNHistorical[[#This Row],[CP Old ]], 1), "")</f>
        <v/>
      </c>
      <c r="AX585" s="84" t="str">
        <f>IFERROR(ROUND((tblPiNHistorical[[#This Row],[GBV New]]-tblPiNHistorical[[#This Row],[GBV Old]])/tblPiNHistorical[[#This Row],[GBV Old]], 1), "")</f>
        <v/>
      </c>
      <c r="AY585" s="84" t="str">
        <f>IFERROR(ROUND((tblPiNHistorical[[#This Row],[Mine Action New]]-tblPiNHistorical[[#This Row],[Mine Action Old]])/tblPiNHistorical[[#This Row],[Mine Action Old]], 1), "")</f>
        <v/>
      </c>
      <c r="AZ585" s="140" t="str">
        <f>IFERROR(ROUND((tblPiNHistorical[[#This Row],[Shelter NFI New]]-tblPiNHistorical[[#This Row],[Shelter NFI Old]])/tblPiNHistorical[[#This Row],[Shelter NFI Old]], 1), "")</f>
        <v/>
      </c>
      <c r="BA585" s="31" t="str">
        <f>IFERROR(ROUND((tblPiNHistorical[[#This Row],[WASH New]]-tblPiNHistorical[[#This Row],[WASH Old]])/tblPiNHistorical[[#This Row],[WASH Old]], 1), "")</f>
        <v/>
      </c>
    </row>
    <row r="586" spans="1:53" ht="38.25" x14ac:dyDescent="0.25">
      <c r="A586"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Non-displaced PopulationSD08104</v>
      </c>
      <c r="B586" s="134" t="s">
        <v>150</v>
      </c>
      <c r="C586" s="124" t="s">
        <v>125</v>
      </c>
      <c r="D586" s="124" t="s">
        <v>370</v>
      </c>
      <c r="E586" s="59" t="s">
        <v>371</v>
      </c>
      <c r="F586" s="54"/>
      <c r="G586" s="29"/>
      <c r="H586" s="53">
        <v>25152</v>
      </c>
      <c r="I586" s="53" t="s">
        <v>89</v>
      </c>
      <c r="J586" s="34">
        <v>0</v>
      </c>
      <c r="K586" s="116">
        <v>9751.4303999999993</v>
      </c>
      <c r="L586" s="114">
        <v>9824.1566249999996</v>
      </c>
      <c r="M586" s="114">
        <v>4860</v>
      </c>
      <c r="N586" s="114">
        <v>4023</v>
      </c>
      <c r="O586" s="114">
        <v>10060.800000000001</v>
      </c>
      <c r="P586" s="114">
        <v>2767</v>
      </c>
      <c r="Q586" s="114">
        <v>1328</v>
      </c>
      <c r="R586" s="114">
        <v>10060.800000000001</v>
      </c>
      <c r="S586" s="114">
        <v>5030</v>
      </c>
      <c r="T586" s="196">
        <v>16939.871999999996</v>
      </c>
      <c r="U586" s="52" t="str">
        <f>IFERROR(INDEX(tblPiNAnalysis[[Site Management ]], MATCH(tblPiNHistorical[[#This Row],[ID]], tblPiNAnalysis[ID], 0)), "")</f>
        <v/>
      </c>
      <c r="V586" s="52" t="str">
        <f>IFERROR(INDEX(tblPiNAnalysis[Education], MATCH(tblPiNHistorical[[#This Row],[ID]], tblPiNAnalysis[ID], 0)), "")</f>
        <v/>
      </c>
      <c r="W586" s="28" t="str">
        <f>IFERROR(INDEX(tblPiNAnalysis[Food Security and Livlihoods], MATCH(tblPiNHistorical[[#This Row],[ID]], tblPiNAnalysis[ID], 0)), "")</f>
        <v/>
      </c>
      <c r="X586" s="28" t="str">
        <f>IFERROR(INDEX(tblPiNAnalysis[[Health ]], MATCH(tblPiNHistorical[[#This Row],[ID]], tblPiNAnalysis[ID], 0)), "")</f>
        <v/>
      </c>
      <c r="Y586" s="28" t="str">
        <f>IFERROR(INDEX(tblPiNAnalysis[Nutrition], MATCH(tblPiNHistorical[[#This Row],[ID]], tblPiNAnalysis[ID], 0)), "")</f>
        <v/>
      </c>
      <c r="Z586" s="28" t="str">
        <f>IFERROR(INDEX(tblPiNAnalysis[Protection], MATCH(tblPiNHistorical[[#This Row],[ID]], tblPiNAnalysis[ID], 0)), "")</f>
        <v/>
      </c>
      <c r="AA586" s="28" t="str">
        <f>IFERROR(INDEX(tblPiNAnalysis[CP], MATCH(tblPiNHistorical[[#This Row],[ID]], tblPiNAnalysis[ID], 0)), "")</f>
        <v/>
      </c>
      <c r="AB586" s="83" t="str">
        <f>IFERROR(INDEX(tblPiNAnalysis[GBV], MATCH(tblPiNHistorical[[#This Row],[ID]], tblPiNAnalysis[ID], 0)), "")</f>
        <v/>
      </c>
      <c r="AC586" s="28" t="str">
        <f>IFERROR(INDEX(tblPiNAnalysis[Mine Action], MATCH(tblPiNHistorical[[#This Row],[ID]], tblPiNAnalysis[ID], 0)), "")</f>
        <v/>
      </c>
      <c r="AD586" s="83" t="str">
        <f>IFERROR(INDEX(tblPiNAnalysis[[Shelter NFI ]], MATCH(tblPiNHistorical[[#This Row],[ID]], tblPiNAnalysis[ID], 0)), "")</f>
        <v/>
      </c>
      <c r="AE586" s="28" t="str">
        <f>IFERROR(INDEX(tblPiNAnalysis[WASH], MATCH(tblPiNHistorical[[#This Row],[ID]], tblPiNAnalysis[ID], 0)), "")</f>
        <v/>
      </c>
      <c r="AF586"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586" s="136" t="str">
        <f>IF(OR(tblPiNHistorical[[#This Row],[Education Old]]="", tblPiNHistorical[[#This Row],[Education Old]]=0, tblPiNHistorical[[#This Row],[Education New]]="", tblPiNHistorical[[#This Row],[Education New]]=0), "", tblPiNHistorical[[#This Row],[Education New]]-tblPiNHistorical[[#This Row],[Education Old]])</f>
        <v/>
      </c>
      <c r="AH586"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586" s="137" t="str">
        <f>IF(OR(tblPiNHistorical[[#This Row],[Health Old]]="", tblPiNHistorical[[#This Row],[Health Old]]=0, tblPiNHistorical[[#This Row],[Health New]]="", tblPiNHistorical[[#This Row],[Health New]]=0), "", tblPiNHistorical[[#This Row],[Health New]]-tblPiNHistorical[[#This Row],[Health Old]])</f>
        <v/>
      </c>
      <c r="AJ586" s="136" t="str">
        <f>IF(OR(tblPiNHistorical[[#This Row],[Nutrition Old]]="", tblPiNHistorical[[#This Row],[Nutrition Old]]=0, tblPiNHistorical[[#This Row],[Nutrition New]]="", tblPiNHistorical[[#This Row],[Nutrition New]]=0), "", tblPiNHistorical[[#This Row],[Nutrition New]]-tblPiNHistorical[[#This Row],[Nutrition Old]])</f>
        <v/>
      </c>
      <c r="AK586" s="136" t="str">
        <f>IF(OR(tblPiNHistorical[[#This Row],[Protection Old]]="", tblPiNHistorical[[#This Row],[Protection Old]]=0, tblPiNHistorical[[#This Row],[Protection New]]="", tblPiNHistorical[[#This Row],[Protection New]]=0), "", tblPiNHistorical[[#This Row],[Protection New]]-tblPiNHistorical[[#This Row],[Protection Old]])</f>
        <v/>
      </c>
      <c r="AL586" s="136" t="str">
        <f>IF(OR(tblPiNHistorical[[#This Row],[CP Old ]]="", tblPiNHistorical[[#This Row],[CP Old ]]=0, tblPiNHistorical[[#This Row],[CP New]]="", tblPiNHistorical[[#This Row],[CP New]]=0), "", tblPiNHistorical[[#This Row],[CP New]]-tblPiNHistorical[[#This Row],[CP Old ]])</f>
        <v/>
      </c>
      <c r="AM586" s="83" t="str">
        <f>IF(OR(tblPiNHistorical[[#This Row],[GBV Old]]="", tblPiNHistorical[[#This Row],[GBV Old]]=0, tblPiNHistorical[[#This Row],[GBV New]]="", tblPiNHistorical[[#This Row],[GBV New]]=0), "", tblPiNHistorical[[#This Row],[GBV New]]-tblPiNHistorical[[#This Row],[GBV Old]])</f>
        <v/>
      </c>
      <c r="AN586" s="83" t="str">
        <f>IF(OR(tblPiNHistorical[[#This Row],[Mine Action Old]]="", tblPiNHistorical[[#This Row],[Mine Action Old]]=0, tblPiNHistorical[[#This Row],[Mine Action New]]="", tblPiNHistorical[[#This Row],[Mine Action New]]=0), "", tblPiNHistorical[[#This Row],[Mine Action New]]-tblPiNHistorical[[#This Row],[Mine Action Old]])</f>
        <v/>
      </c>
      <c r="AO586" s="136" t="str">
        <f>IF(OR(tblPiNHistorical[[#This Row],[Shelter NFI Old]]="", tblPiNHistorical[[#This Row],[Shelter NFI Old]]=0, tblPiNHistorical[[#This Row],[Shelter NFI New]]="", tblPiNHistorical[[#This Row],[Shelter NFI New]]=0), "", tblPiNHistorical[[#This Row],[Shelter NFI New]]-tblPiNHistorical[[#This Row],[Shelter NFI Old]])</f>
        <v/>
      </c>
      <c r="AP586" s="138" t="str">
        <f>IF(OR(tblPiNHistorical[[#This Row],[WASH Old]]="", tblPiNHistorical[[#This Row],[WASH Old]]=0, tblPiNHistorical[[#This Row],[WASH New]]="", tblPiNHistorical[[#This Row],[WASH New]]=0), "", tblPiNHistorical[[#This Row],[WASH New]]-tblPiNHistorical[[#This Row],[WASH Old]])</f>
        <v/>
      </c>
      <c r="AQ586" s="139" t="str">
        <f>IFERROR(ROUND((tblPiNHistorical[[#This Row],[Site Management - New]] - tblPiNHistorical[[#This Row],[Site Management - Old]])/tblPiNHistorical[[#This Row],[Site Management - Old]], 1), "")</f>
        <v/>
      </c>
      <c r="AR586" s="140" t="str">
        <f>IFERROR(ROUND((tblPiNHistorical[[#This Row],[Education New]]-tblPiNHistorical[[#This Row],[Education Old]])/tblPiNHistorical[[#This Row],[Education Old]], 1), "")</f>
        <v/>
      </c>
      <c r="AS586" s="141" t="str">
        <f>IFERROR(ROUND((tblPiNHistorical[[#This Row],[Food Security and Livlihoods New]]-tblPiNHistorical[[#This Row],[Food Security and Livlihoods Old]])/tblPiNHistorical[[#This Row],[Food Security and Livlihoods Old]], 1), "")</f>
        <v/>
      </c>
      <c r="AT586" s="142" t="str">
        <f>IFERROR(ROUND((tblPiNHistorical[[#This Row],[Health New]]-tblPiNHistorical[[#This Row],[Health Old]])/tblPiNHistorical[[#This Row],[Health Old]], 1), "")</f>
        <v/>
      </c>
      <c r="AU586" s="140" t="str">
        <f>IFERROR(ROUND((tblPiNHistorical[[#This Row],[Nutrition New]]-tblPiNHistorical[[#This Row],[Nutrition Old]])/tblPiNHistorical[[#This Row],[Nutrition Old]], 1), "")</f>
        <v/>
      </c>
      <c r="AV586" s="140" t="str">
        <f>IFERROR(ROUND((tblPiNHistorical[[#This Row],[Protection New]]-tblPiNHistorical[[#This Row],[Protection Old]])/tblPiNHistorical[[#This Row],[Protection Old]], 1), "")</f>
        <v/>
      </c>
      <c r="AW586" s="84" t="str">
        <f>IFERROR(ROUND((tblPiNHistorical[[#This Row],[CP New]]-tblPiNHistorical[[#This Row],[CP Old ]])/tblPiNHistorical[[#This Row],[CP Old ]], 1), "")</f>
        <v/>
      </c>
      <c r="AX586" s="84" t="str">
        <f>IFERROR(ROUND((tblPiNHistorical[[#This Row],[GBV New]]-tblPiNHistorical[[#This Row],[GBV Old]])/tblPiNHistorical[[#This Row],[GBV Old]], 1), "")</f>
        <v/>
      </c>
      <c r="AY586" s="84" t="str">
        <f>IFERROR(ROUND((tblPiNHistorical[[#This Row],[Mine Action New]]-tblPiNHistorical[[#This Row],[Mine Action Old]])/tblPiNHistorical[[#This Row],[Mine Action Old]], 1), "")</f>
        <v/>
      </c>
      <c r="AZ586" s="140" t="str">
        <f>IFERROR(ROUND((tblPiNHistorical[[#This Row],[Shelter NFI New]]-tblPiNHistorical[[#This Row],[Shelter NFI Old]])/tblPiNHistorical[[#This Row],[Shelter NFI Old]], 1), "")</f>
        <v/>
      </c>
      <c r="BA586" s="31" t="str">
        <f>IFERROR(ROUND((tblPiNHistorical[[#This Row],[WASH New]]-tblPiNHistorical[[#This Row],[WASH Old]])/tblPiNHistorical[[#This Row],[WASH Old]], 1), "")</f>
        <v/>
      </c>
    </row>
    <row r="587" spans="1:53" ht="38.25" x14ac:dyDescent="0.25">
      <c r="A587"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Non-displaced PopulationSD08105</v>
      </c>
      <c r="B587" s="134" t="s">
        <v>150</v>
      </c>
      <c r="C587" s="124" t="s">
        <v>125</v>
      </c>
      <c r="D587" s="124" t="s">
        <v>372</v>
      </c>
      <c r="E587" s="59" t="s">
        <v>373</v>
      </c>
      <c r="F587" s="54"/>
      <c r="G587" s="29"/>
      <c r="H587" s="53">
        <v>37914</v>
      </c>
      <c r="I587" s="53" t="s">
        <v>89</v>
      </c>
      <c r="J587" s="34">
        <v>0</v>
      </c>
      <c r="K587" s="116">
        <v>0</v>
      </c>
      <c r="L587" s="114">
        <v>16249.683689999998</v>
      </c>
      <c r="M587" s="114">
        <v>20050</v>
      </c>
      <c r="N587" s="114">
        <v>15227</v>
      </c>
      <c r="O587" s="114">
        <v>4170.54</v>
      </c>
      <c r="P587" s="114">
        <v>4171</v>
      </c>
      <c r="Q587" s="114">
        <v>3002</v>
      </c>
      <c r="R587" s="114">
        <v>3791.4</v>
      </c>
      <c r="S587" s="114">
        <v>7583</v>
      </c>
      <c r="T587" s="196">
        <v>24257.377199999995</v>
      </c>
      <c r="U587" s="52" t="str">
        <f>IFERROR(INDEX(tblPiNAnalysis[[Site Management ]], MATCH(tblPiNHistorical[[#This Row],[ID]], tblPiNAnalysis[ID], 0)), "")</f>
        <v/>
      </c>
      <c r="V587" s="52" t="str">
        <f>IFERROR(INDEX(tblPiNAnalysis[Education], MATCH(tblPiNHistorical[[#This Row],[ID]], tblPiNAnalysis[ID], 0)), "")</f>
        <v/>
      </c>
      <c r="W587" s="28" t="str">
        <f>IFERROR(INDEX(tblPiNAnalysis[Food Security and Livlihoods], MATCH(tblPiNHistorical[[#This Row],[ID]], tblPiNAnalysis[ID], 0)), "")</f>
        <v/>
      </c>
      <c r="X587" s="28" t="str">
        <f>IFERROR(INDEX(tblPiNAnalysis[[Health ]], MATCH(tblPiNHistorical[[#This Row],[ID]], tblPiNAnalysis[ID], 0)), "")</f>
        <v/>
      </c>
      <c r="Y587" s="28" t="str">
        <f>IFERROR(INDEX(tblPiNAnalysis[Nutrition], MATCH(tblPiNHistorical[[#This Row],[ID]], tblPiNAnalysis[ID], 0)), "")</f>
        <v/>
      </c>
      <c r="Z587" s="28" t="str">
        <f>IFERROR(INDEX(tblPiNAnalysis[Protection], MATCH(tblPiNHistorical[[#This Row],[ID]], tblPiNAnalysis[ID], 0)), "")</f>
        <v/>
      </c>
      <c r="AA587" s="28" t="str">
        <f>IFERROR(INDEX(tblPiNAnalysis[CP], MATCH(tblPiNHistorical[[#This Row],[ID]], tblPiNAnalysis[ID], 0)), "")</f>
        <v/>
      </c>
      <c r="AB587" s="83" t="str">
        <f>IFERROR(INDEX(tblPiNAnalysis[GBV], MATCH(tblPiNHistorical[[#This Row],[ID]], tblPiNAnalysis[ID], 0)), "")</f>
        <v/>
      </c>
      <c r="AC587" s="28" t="str">
        <f>IFERROR(INDEX(tblPiNAnalysis[Mine Action], MATCH(tblPiNHistorical[[#This Row],[ID]], tblPiNAnalysis[ID], 0)), "")</f>
        <v/>
      </c>
      <c r="AD587" s="83" t="str">
        <f>IFERROR(INDEX(tblPiNAnalysis[[Shelter NFI ]], MATCH(tblPiNHistorical[[#This Row],[ID]], tblPiNAnalysis[ID], 0)), "")</f>
        <v/>
      </c>
      <c r="AE587" s="28" t="str">
        <f>IFERROR(INDEX(tblPiNAnalysis[WASH], MATCH(tblPiNHistorical[[#This Row],[ID]], tblPiNAnalysis[ID], 0)), "")</f>
        <v/>
      </c>
      <c r="AF587"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587" s="136" t="str">
        <f>IF(OR(tblPiNHistorical[[#This Row],[Education Old]]="", tblPiNHistorical[[#This Row],[Education Old]]=0, tblPiNHistorical[[#This Row],[Education New]]="", tblPiNHistorical[[#This Row],[Education New]]=0), "", tblPiNHistorical[[#This Row],[Education New]]-tblPiNHistorical[[#This Row],[Education Old]])</f>
        <v/>
      </c>
      <c r="AH587"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587" s="137" t="str">
        <f>IF(OR(tblPiNHistorical[[#This Row],[Health Old]]="", tblPiNHistorical[[#This Row],[Health Old]]=0, tblPiNHistorical[[#This Row],[Health New]]="", tblPiNHistorical[[#This Row],[Health New]]=0), "", tblPiNHistorical[[#This Row],[Health New]]-tblPiNHistorical[[#This Row],[Health Old]])</f>
        <v/>
      </c>
      <c r="AJ587" s="136" t="str">
        <f>IF(OR(tblPiNHistorical[[#This Row],[Nutrition Old]]="", tblPiNHistorical[[#This Row],[Nutrition Old]]=0, tblPiNHistorical[[#This Row],[Nutrition New]]="", tblPiNHistorical[[#This Row],[Nutrition New]]=0), "", tblPiNHistorical[[#This Row],[Nutrition New]]-tblPiNHistorical[[#This Row],[Nutrition Old]])</f>
        <v/>
      </c>
      <c r="AK587" s="136" t="str">
        <f>IF(OR(tblPiNHistorical[[#This Row],[Protection Old]]="", tblPiNHistorical[[#This Row],[Protection Old]]=0, tblPiNHistorical[[#This Row],[Protection New]]="", tblPiNHistorical[[#This Row],[Protection New]]=0), "", tblPiNHistorical[[#This Row],[Protection New]]-tblPiNHistorical[[#This Row],[Protection Old]])</f>
        <v/>
      </c>
      <c r="AL587" s="136" t="str">
        <f>IF(OR(tblPiNHistorical[[#This Row],[CP Old ]]="", tblPiNHistorical[[#This Row],[CP Old ]]=0, tblPiNHistorical[[#This Row],[CP New]]="", tblPiNHistorical[[#This Row],[CP New]]=0), "", tblPiNHistorical[[#This Row],[CP New]]-tblPiNHistorical[[#This Row],[CP Old ]])</f>
        <v/>
      </c>
      <c r="AM587" s="83" t="str">
        <f>IF(OR(tblPiNHistorical[[#This Row],[GBV Old]]="", tblPiNHistorical[[#This Row],[GBV Old]]=0, tblPiNHistorical[[#This Row],[GBV New]]="", tblPiNHistorical[[#This Row],[GBV New]]=0), "", tblPiNHistorical[[#This Row],[GBV New]]-tblPiNHistorical[[#This Row],[GBV Old]])</f>
        <v/>
      </c>
      <c r="AN587" s="83" t="str">
        <f>IF(OR(tblPiNHistorical[[#This Row],[Mine Action Old]]="", tblPiNHistorical[[#This Row],[Mine Action Old]]=0, tblPiNHistorical[[#This Row],[Mine Action New]]="", tblPiNHistorical[[#This Row],[Mine Action New]]=0), "", tblPiNHistorical[[#This Row],[Mine Action New]]-tblPiNHistorical[[#This Row],[Mine Action Old]])</f>
        <v/>
      </c>
      <c r="AO587" s="136" t="str">
        <f>IF(OR(tblPiNHistorical[[#This Row],[Shelter NFI Old]]="", tblPiNHistorical[[#This Row],[Shelter NFI Old]]=0, tblPiNHistorical[[#This Row],[Shelter NFI New]]="", tblPiNHistorical[[#This Row],[Shelter NFI New]]=0), "", tblPiNHistorical[[#This Row],[Shelter NFI New]]-tblPiNHistorical[[#This Row],[Shelter NFI Old]])</f>
        <v/>
      </c>
      <c r="AP587" s="138" t="str">
        <f>IF(OR(tblPiNHistorical[[#This Row],[WASH Old]]="", tblPiNHistorical[[#This Row],[WASH Old]]=0, tblPiNHistorical[[#This Row],[WASH New]]="", tblPiNHistorical[[#This Row],[WASH New]]=0), "", tblPiNHistorical[[#This Row],[WASH New]]-tblPiNHistorical[[#This Row],[WASH Old]])</f>
        <v/>
      </c>
      <c r="AQ587" s="139" t="str">
        <f>IFERROR(ROUND((tblPiNHistorical[[#This Row],[Site Management - New]] - tblPiNHistorical[[#This Row],[Site Management - Old]])/tblPiNHistorical[[#This Row],[Site Management - Old]], 1), "")</f>
        <v/>
      </c>
      <c r="AR587" s="140" t="str">
        <f>IFERROR(ROUND((tblPiNHistorical[[#This Row],[Education New]]-tblPiNHistorical[[#This Row],[Education Old]])/tblPiNHistorical[[#This Row],[Education Old]], 1), "")</f>
        <v/>
      </c>
      <c r="AS587" s="141" t="str">
        <f>IFERROR(ROUND((tblPiNHistorical[[#This Row],[Food Security and Livlihoods New]]-tblPiNHistorical[[#This Row],[Food Security and Livlihoods Old]])/tblPiNHistorical[[#This Row],[Food Security and Livlihoods Old]], 1), "")</f>
        <v/>
      </c>
      <c r="AT587" s="142" t="str">
        <f>IFERROR(ROUND((tblPiNHistorical[[#This Row],[Health New]]-tblPiNHistorical[[#This Row],[Health Old]])/tblPiNHistorical[[#This Row],[Health Old]], 1), "")</f>
        <v/>
      </c>
      <c r="AU587" s="140" t="str">
        <f>IFERROR(ROUND((tblPiNHistorical[[#This Row],[Nutrition New]]-tblPiNHistorical[[#This Row],[Nutrition Old]])/tblPiNHistorical[[#This Row],[Nutrition Old]], 1), "")</f>
        <v/>
      </c>
      <c r="AV587" s="140" t="str">
        <f>IFERROR(ROUND((tblPiNHistorical[[#This Row],[Protection New]]-tblPiNHistorical[[#This Row],[Protection Old]])/tblPiNHistorical[[#This Row],[Protection Old]], 1), "")</f>
        <v/>
      </c>
      <c r="AW587" s="84" t="str">
        <f>IFERROR(ROUND((tblPiNHistorical[[#This Row],[CP New]]-tblPiNHistorical[[#This Row],[CP Old ]])/tblPiNHistorical[[#This Row],[CP Old ]], 1), "")</f>
        <v/>
      </c>
      <c r="AX587" s="84" t="str">
        <f>IFERROR(ROUND((tblPiNHistorical[[#This Row],[GBV New]]-tblPiNHistorical[[#This Row],[GBV Old]])/tblPiNHistorical[[#This Row],[GBV Old]], 1), "")</f>
        <v/>
      </c>
      <c r="AY587" s="84" t="str">
        <f>IFERROR(ROUND((tblPiNHistorical[[#This Row],[Mine Action New]]-tblPiNHistorical[[#This Row],[Mine Action Old]])/tblPiNHistorical[[#This Row],[Mine Action Old]], 1), "")</f>
        <v/>
      </c>
      <c r="AZ587" s="140" t="str">
        <f>IFERROR(ROUND((tblPiNHistorical[[#This Row],[Shelter NFI New]]-tblPiNHistorical[[#This Row],[Shelter NFI Old]])/tblPiNHistorical[[#This Row],[Shelter NFI Old]], 1), "")</f>
        <v/>
      </c>
      <c r="BA587" s="31" t="str">
        <f>IFERROR(ROUND((tblPiNHistorical[[#This Row],[WASH New]]-tblPiNHistorical[[#This Row],[WASH Old]])/tblPiNHistorical[[#This Row],[WASH Old]], 1), "")</f>
        <v/>
      </c>
    </row>
    <row r="588" spans="1:53" ht="38.25" x14ac:dyDescent="0.25">
      <c r="A588"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Non-displaced PopulationSD08109</v>
      </c>
      <c r="B588" s="134" t="s">
        <v>150</v>
      </c>
      <c r="C588" s="124" t="s">
        <v>125</v>
      </c>
      <c r="D588" s="124" t="s">
        <v>380</v>
      </c>
      <c r="E588" s="59" t="s">
        <v>381</v>
      </c>
      <c r="F588" s="54"/>
      <c r="G588" s="29"/>
      <c r="H588" s="53">
        <v>17065</v>
      </c>
      <c r="I588" s="53" t="s">
        <v>89</v>
      </c>
      <c r="J588" s="34">
        <v>0</v>
      </c>
      <c r="K588" s="116">
        <v>6616.1004999999996</v>
      </c>
      <c r="L588" s="114">
        <v>5119.5</v>
      </c>
      <c r="M588" s="114">
        <v>6475</v>
      </c>
      <c r="N588" s="114">
        <v>3944</v>
      </c>
      <c r="O588" s="114">
        <v>6826</v>
      </c>
      <c r="P588" s="114">
        <v>1877</v>
      </c>
      <c r="Q588" s="114">
        <v>901</v>
      </c>
      <c r="R588" s="114">
        <v>6826</v>
      </c>
      <c r="S588" s="114">
        <v>3413</v>
      </c>
      <c r="T588" s="196">
        <v>10901.121999999999</v>
      </c>
      <c r="U588" s="52" t="str">
        <f>IFERROR(INDEX(tblPiNAnalysis[[Site Management ]], MATCH(tblPiNHistorical[[#This Row],[ID]], tblPiNAnalysis[ID], 0)), "")</f>
        <v/>
      </c>
      <c r="V588" s="52" t="str">
        <f>IFERROR(INDEX(tblPiNAnalysis[Education], MATCH(tblPiNHistorical[[#This Row],[ID]], tblPiNAnalysis[ID], 0)), "")</f>
        <v/>
      </c>
      <c r="W588" s="28" t="str">
        <f>IFERROR(INDEX(tblPiNAnalysis[Food Security and Livlihoods], MATCH(tblPiNHistorical[[#This Row],[ID]], tblPiNAnalysis[ID], 0)), "")</f>
        <v/>
      </c>
      <c r="X588" s="28" t="str">
        <f>IFERROR(INDEX(tblPiNAnalysis[[Health ]], MATCH(tblPiNHistorical[[#This Row],[ID]], tblPiNAnalysis[ID], 0)), "")</f>
        <v/>
      </c>
      <c r="Y588" s="28" t="str">
        <f>IFERROR(INDEX(tblPiNAnalysis[Nutrition], MATCH(tblPiNHistorical[[#This Row],[ID]], tblPiNAnalysis[ID], 0)), "")</f>
        <v/>
      </c>
      <c r="Z588" s="28" t="str">
        <f>IFERROR(INDEX(tblPiNAnalysis[Protection], MATCH(tblPiNHistorical[[#This Row],[ID]], tblPiNAnalysis[ID], 0)), "")</f>
        <v/>
      </c>
      <c r="AA588" s="28" t="str">
        <f>IFERROR(INDEX(tblPiNAnalysis[CP], MATCH(tblPiNHistorical[[#This Row],[ID]], tblPiNAnalysis[ID], 0)), "")</f>
        <v/>
      </c>
      <c r="AB588" s="83" t="str">
        <f>IFERROR(INDEX(tblPiNAnalysis[GBV], MATCH(tblPiNHistorical[[#This Row],[ID]], tblPiNAnalysis[ID], 0)), "")</f>
        <v/>
      </c>
      <c r="AC588" s="28" t="str">
        <f>IFERROR(INDEX(tblPiNAnalysis[Mine Action], MATCH(tblPiNHistorical[[#This Row],[ID]], tblPiNAnalysis[ID], 0)), "")</f>
        <v/>
      </c>
      <c r="AD588" s="83" t="str">
        <f>IFERROR(INDEX(tblPiNAnalysis[[Shelter NFI ]], MATCH(tblPiNHistorical[[#This Row],[ID]], tblPiNAnalysis[ID], 0)), "")</f>
        <v/>
      </c>
      <c r="AE588" s="28" t="str">
        <f>IFERROR(INDEX(tblPiNAnalysis[WASH], MATCH(tblPiNHistorical[[#This Row],[ID]], tblPiNAnalysis[ID], 0)), "")</f>
        <v/>
      </c>
      <c r="AF588"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588" s="136" t="str">
        <f>IF(OR(tblPiNHistorical[[#This Row],[Education Old]]="", tblPiNHistorical[[#This Row],[Education Old]]=0, tblPiNHistorical[[#This Row],[Education New]]="", tblPiNHistorical[[#This Row],[Education New]]=0), "", tblPiNHistorical[[#This Row],[Education New]]-tblPiNHistorical[[#This Row],[Education Old]])</f>
        <v/>
      </c>
      <c r="AH588"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588" s="137" t="str">
        <f>IF(OR(tblPiNHistorical[[#This Row],[Health Old]]="", tblPiNHistorical[[#This Row],[Health Old]]=0, tblPiNHistorical[[#This Row],[Health New]]="", tblPiNHistorical[[#This Row],[Health New]]=0), "", tblPiNHistorical[[#This Row],[Health New]]-tblPiNHistorical[[#This Row],[Health Old]])</f>
        <v/>
      </c>
      <c r="AJ588" s="136" t="str">
        <f>IF(OR(tblPiNHistorical[[#This Row],[Nutrition Old]]="", tblPiNHistorical[[#This Row],[Nutrition Old]]=0, tblPiNHistorical[[#This Row],[Nutrition New]]="", tblPiNHistorical[[#This Row],[Nutrition New]]=0), "", tblPiNHistorical[[#This Row],[Nutrition New]]-tblPiNHistorical[[#This Row],[Nutrition Old]])</f>
        <v/>
      </c>
      <c r="AK588" s="136" t="str">
        <f>IF(OR(tblPiNHistorical[[#This Row],[Protection Old]]="", tblPiNHistorical[[#This Row],[Protection Old]]=0, tblPiNHistorical[[#This Row],[Protection New]]="", tblPiNHistorical[[#This Row],[Protection New]]=0), "", tblPiNHistorical[[#This Row],[Protection New]]-tblPiNHistorical[[#This Row],[Protection Old]])</f>
        <v/>
      </c>
      <c r="AL588" s="136" t="str">
        <f>IF(OR(tblPiNHistorical[[#This Row],[CP Old ]]="", tblPiNHistorical[[#This Row],[CP Old ]]=0, tblPiNHistorical[[#This Row],[CP New]]="", tblPiNHistorical[[#This Row],[CP New]]=0), "", tblPiNHistorical[[#This Row],[CP New]]-tblPiNHistorical[[#This Row],[CP Old ]])</f>
        <v/>
      </c>
      <c r="AM588" s="83" t="str">
        <f>IF(OR(tblPiNHistorical[[#This Row],[GBV Old]]="", tblPiNHistorical[[#This Row],[GBV Old]]=0, tblPiNHistorical[[#This Row],[GBV New]]="", tblPiNHistorical[[#This Row],[GBV New]]=0), "", tblPiNHistorical[[#This Row],[GBV New]]-tblPiNHistorical[[#This Row],[GBV Old]])</f>
        <v/>
      </c>
      <c r="AN588" s="83" t="str">
        <f>IF(OR(tblPiNHistorical[[#This Row],[Mine Action Old]]="", tblPiNHistorical[[#This Row],[Mine Action Old]]=0, tblPiNHistorical[[#This Row],[Mine Action New]]="", tblPiNHistorical[[#This Row],[Mine Action New]]=0), "", tblPiNHistorical[[#This Row],[Mine Action New]]-tblPiNHistorical[[#This Row],[Mine Action Old]])</f>
        <v/>
      </c>
      <c r="AO588" s="136" t="str">
        <f>IF(OR(tblPiNHistorical[[#This Row],[Shelter NFI Old]]="", tblPiNHistorical[[#This Row],[Shelter NFI Old]]=0, tblPiNHistorical[[#This Row],[Shelter NFI New]]="", tblPiNHistorical[[#This Row],[Shelter NFI New]]=0), "", tblPiNHistorical[[#This Row],[Shelter NFI New]]-tblPiNHistorical[[#This Row],[Shelter NFI Old]])</f>
        <v/>
      </c>
      <c r="AP588" s="138" t="str">
        <f>IF(OR(tblPiNHistorical[[#This Row],[WASH Old]]="", tblPiNHistorical[[#This Row],[WASH Old]]=0, tblPiNHistorical[[#This Row],[WASH New]]="", tblPiNHistorical[[#This Row],[WASH New]]=0), "", tblPiNHistorical[[#This Row],[WASH New]]-tblPiNHistorical[[#This Row],[WASH Old]])</f>
        <v/>
      </c>
      <c r="AQ588" s="139" t="str">
        <f>IFERROR(ROUND((tblPiNHistorical[[#This Row],[Site Management - New]] - tblPiNHistorical[[#This Row],[Site Management - Old]])/tblPiNHistorical[[#This Row],[Site Management - Old]], 1), "")</f>
        <v/>
      </c>
      <c r="AR588" s="140" t="str">
        <f>IFERROR(ROUND((tblPiNHistorical[[#This Row],[Education New]]-tblPiNHistorical[[#This Row],[Education Old]])/tblPiNHistorical[[#This Row],[Education Old]], 1), "")</f>
        <v/>
      </c>
      <c r="AS588" s="141" t="str">
        <f>IFERROR(ROUND((tblPiNHistorical[[#This Row],[Food Security and Livlihoods New]]-tblPiNHistorical[[#This Row],[Food Security and Livlihoods Old]])/tblPiNHistorical[[#This Row],[Food Security and Livlihoods Old]], 1), "")</f>
        <v/>
      </c>
      <c r="AT588" s="142" t="str">
        <f>IFERROR(ROUND((tblPiNHistorical[[#This Row],[Health New]]-tblPiNHistorical[[#This Row],[Health Old]])/tblPiNHistorical[[#This Row],[Health Old]], 1), "")</f>
        <v/>
      </c>
      <c r="AU588" s="140" t="str">
        <f>IFERROR(ROUND((tblPiNHistorical[[#This Row],[Nutrition New]]-tblPiNHistorical[[#This Row],[Nutrition Old]])/tblPiNHistorical[[#This Row],[Nutrition Old]], 1), "")</f>
        <v/>
      </c>
      <c r="AV588" s="140" t="str">
        <f>IFERROR(ROUND((tblPiNHistorical[[#This Row],[Protection New]]-tblPiNHistorical[[#This Row],[Protection Old]])/tblPiNHistorical[[#This Row],[Protection Old]], 1), "")</f>
        <v/>
      </c>
      <c r="AW588" s="84" t="str">
        <f>IFERROR(ROUND((tblPiNHistorical[[#This Row],[CP New]]-tblPiNHistorical[[#This Row],[CP Old ]])/tblPiNHistorical[[#This Row],[CP Old ]], 1), "")</f>
        <v/>
      </c>
      <c r="AX588" s="84" t="str">
        <f>IFERROR(ROUND((tblPiNHistorical[[#This Row],[GBV New]]-tblPiNHistorical[[#This Row],[GBV Old]])/tblPiNHistorical[[#This Row],[GBV Old]], 1), "")</f>
        <v/>
      </c>
      <c r="AY588" s="84" t="str">
        <f>IFERROR(ROUND((tblPiNHistorical[[#This Row],[Mine Action New]]-tblPiNHistorical[[#This Row],[Mine Action Old]])/tblPiNHistorical[[#This Row],[Mine Action Old]], 1), "")</f>
        <v/>
      </c>
      <c r="AZ588" s="140" t="str">
        <f>IFERROR(ROUND((tblPiNHistorical[[#This Row],[Shelter NFI New]]-tblPiNHistorical[[#This Row],[Shelter NFI Old]])/tblPiNHistorical[[#This Row],[Shelter NFI Old]], 1), "")</f>
        <v/>
      </c>
      <c r="BA588" s="31" t="str">
        <f>IFERROR(ROUND((tblPiNHistorical[[#This Row],[WASH New]]-tblPiNHistorical[[#This Row],[WASH Old]])/tblPiNHistorical[[#This Row],[WASH Old]], 1), "")</f>
        <v/>
      </c>
    </row>
    <row r="589" spans="1:53" ht="38.25" x14ac:dyDescent="0.25">
      <c r="A589"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Non-displaced PopulationSD08110</v>
      </c>
      <c r="B589" s="134" t="s">
        <v>150</v>
      </c>
      <c r="C589" s="124" t="s">
        <v>125</v>
      </c>
      <c r="D589" s="124" t="s">
        <v>382</v>
      </c>
      <c r="E589" s="59" t="s">
        <v>383</v>
      </c>
      <c r="F589" s="54"/>
      <c r="G589" s="29"/>
      <c r="H589" s="53">
        <v>28988</v>
      </c>
      <c r="I589" s="53" t="s">
        <v>89</v>
      </c>
      <c r="J589" s="34">
        <v>0</v>
      </c>
      <c r="K589" s="116">
        <v>11238.6476</v>
      </c>
      <c r="L589" s="114">
        <v>13044.6</v>
      </c>
      <c r="M589" s="114">
        <v>9575</v>
      </c>
      <c r="N589" s="114">
        <v>4907</v>
      </c>
      <c r="O589" s="114">
        <v>3188.6800000000003</v>
      </c>
      <c r="P589" s="114">
        <v>3189</v>
      </c>
      <c r="Q589" s="114">
        <v>1529</v>
      </c>
      <c r="R589" s="114">
        <v>0</v>
      </c>
      <c r="S589" s="114">
        <v>5798</v>
      </c>
      <c r="T589" s="196">
        <v>14357.7564</v>
      </c>
      <c r="U589" s="52" t="str">
        <f>IFERROR(INDEX(tblPiNAnalysis[[Site Management ]], MATCH(tblPiNHistorical[[#This Row],[ID]], tblPiNAnalysis[ID], 0)), "")</f>
        <v/>
      </c>
      <c r="V589" s="52" t="str">
        <f>IFERROR(INDEX(tblPiNAnalysis[Education], MATCH(tblPiNHistorical[[#This Row],[ID]], tblPiNAnalysis[ID], 0)), "")</f>
        <v/>
      </c>
      <c r="W589" s="28" t="str">
        <f>IFERROR(INDEX(tblPiNAnalysis[Food Security and Livlihoods], MATCH(tblPiNHistorical[[#This Row],[ID]], tblPiNAnalysis[ID], 0)), "")</f>
        <v/>
      </c>
      <c r="X589" s="28" t="str">
        <f>IFERROR(INDEX(tblPiNAnalysis[[Health ]], MATCH(tblPiNHistorical[[#This Row],[ID]], tblPiNAnalysis[ID], 0)), "")</f>
        <v/>
      </c>
      <c r="Y589" s="28" t="str">
        <f>IFERROR(INDEX(tblPiNAnalysis[Nutrition], MATCH(tblPiNHistorical[[#This Row],[ID]], tblPiNAnalysis[ID], 0)), "")</f>
        <v/>
      </c>
      <c r="Z589" s="28" t="str">
        <f>IFERROR(INDEX(tblPiNAnalysis[Protection], MATCH(tblPiNHistorical[[#This Row],[ID]], tblPiNAnalysis[ID], 0)), "")</f>
        <v/>
      </c>
      <c r="AA589" s="28" t="str">
        <f>IFERROR(INDEX(tblPiNAnalysis[CP], MATCH(tblPiNHistorical[[#This Row],[ID]], tblPiNAnalysis[ID], 0)), "")</f>
        <v/>
      </c>
      <c r="AB589" s="83" t="str">
        <f>IFERROR(INDEX(tblPiNAnalysis[GBV], MATCH(tblPiNHistorical[[#This Row],[ID]], tblPiNAnalysis[ID], 0)), "")</f>
        <v/>
      </c>
      <c r="AC589" s="28" t="str">
        <f>IFERROR(INDEX(tblPiNAnalysis[Mine Action], MATCH(tblPiNHistorical[[#This Row],[ID]], tblPiNAnalysis[ID], 0)), "")</f>
        <v/>
      </c>
      <c r="AD589" s="83" t="str">
        <f>IFERROR(INDEX(tblPiNAnalysis[[Shelter NFI ]], MATCH(tblPiNHistorical[[#This Row],[ID]], tblPiNAnalysis[ID], 0)), "")</f>
        <v/>
      </c>
      <c r="AE589" s="28" t="str">
        <f>IFERROR(INDEX(tblPiNAnalysis[WASH], MATCH(tblPiNHistorical[[#This Row],[ID]], tblPiNAnalysis[ID], 0)), "")</f>
        <v/>
      </c>
      <c r="AF589"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589" s="136" t="str">
        <f>IF(OR(tblPiNHistorical[[#This Row],[Education Old]]="", tblPiNHistorical[[#This Row],[Education Old]]=0, tblPiNHistorical[[#This Row],[Education New]]="", tblPiNHistorical[[#This Row],[Education New]]=0), "", tblPiNHistorical[[#This Row],[Education New]]-tblPiNHistorical[[#This Row],[Education Old]])</f>
        <v/>
      </c>
      <c r="AH589"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589" s="137" t="str">
        <f>IF(OR(tblPiNHistorical[[#This Row],[Health Old]]="", tblPiNHistorical[[#This Row],[Health Old]]=0, tblPiNHistorical[[#This Row],[Health New]]="", tblPiNHistorical[[#This Row],[Health New]]=0), "", tblPiNHistorical[[#This Row],[Health New]]-tblPiNHistorical[[#This Row],[Health Old]])</f>
        <v/>
      </c>
      <c r="AJ589" s="136" t="str">
        <f>IF(OR(tblPiNHistorical[[#This Row],[Nutrition Old]]="", tblPiNHistorical[[#This Row],[Nutrition Old]]=0, tblPiNHistorical[[#This Row],[Nutrition New]]="", tblPiNHistorical[[#This Row],[Nutrition New]]=0), "", tblPiNHistorical[[#This Row],[Nutrition New]]-tblPiNHistorical[[#This Row],[Nutrition Old]])</f>
        <v/>
      </c>
      <c r="AK589" s="136" t="str">
        <f>IF(OR(tblPiNHistorical[[#This Row],[Protection Old]]="", tblPiNHistorical[[#This Row],[Protection Old]]=0, tblPiNHistorical[[#This Row],[Protection New]]="", tblPiNHistorical[[#This Row],[Protection New]]=0), "", tblPiNHistorical[[#This Row],[Protection New]]-tblPiNHistorical[[#This Row],[Protection Old]])</f>
        <v/>
      </c>
      <c r="AL589" s="136" t="str">
        <f>IF(OR(tblPiNHistorical[[#This Row],[CP Old ]]="", tblPiNHistorical[[#This Row],[CP Old ]]=0, tblPiNHistorical[[#This Row],[CP New]]="", tblPiNHistorical[[#This Row],[CP New]]=0), "", tblPiNHistorical[[#This Row],[CP New]]-tblPiNHistorical[[#This Row],[CP Old ]])</f>
        <v/>
      </c>
      <c r="AM589" s="83" t="str">
        <f>IF(OR(tblPiNHistorical[[#This Row],[GBV Old]]="", tblPiNHistorical[[#This Row],[GBV Old]]=0, tblPiNHistorical[[#This Row],[GBV New]]="", tblPiNHistorical[[#This Row],[GBV New]]=0), "", tblPiNHistorical[[#This Row],[GBV New]]-tblPiNHistorical[[#This Row],[GBV Old]])</f>
        <v/>
      </c>
      <c r="AN589" s="83" t="str">
        <f>IF(OR(tblPiNHistorical[[#This Row],[Mine Action Old]]="", tblPiNHistorical[[#This Row],[Mine Action Old]]=0, tblPiNHistorical[[#This Row],[Mine Action New]]="", tblPiNHistorical[[#This Row],[Mine Action New]]=0), "", tblPiNHistorical[[#This Row],[Mine Action New]]-tblPiNHistorical[[#This Row],[Mine Action Old]])</f>
        <v/>
      </c>
      <c r="AO589" s="136" t="str">
        <f>IF(OR(tblPiNHistorical[[#This Row],[Shelter NFI Old]]="", tblPiNHistorical[[#This Row],[Shelter NFI Old]]=0, tblPiNHistorical[[#This Row],[Shelter NFI New]]="", tblPiNHistorical[[#This Row],[Shelter NFI New]]=0), "", tblPiNHistorical[[#This Row],[Shelter NFI New]]-tblPiNHistorical[[#This Row],[Shelter NFI Old]])</f>
        <v/>
      </c>
      <c r="AP589" s="138" t="str">
        <f>IF(OR(tblPiNHistorical[[#This Row],[WASH Old]]="", tblPiNHistorical[[#This Row],[WASH Old]]=0, tblPiNHistorical[[#This Row],[WASH New]]="", tblPiNHistorical[[#This Row],[WASH New]]=0), "", tblPiNHistorical[[#This Row],[WASH New]]-tblPiNHistorical[[#This Row],[WASH Old]])</f>
        <v/>
      </c>
      <c r="AQ589" s="139" t="str">
        <f>IFERROR(ROUND((tblPiNHistorical[[#This Row],[Site Management - New]] - tblPiNHistorical[[#This Row],[Site Management - Old]])/tblPiNHistorical[[#This Row],[Site Management - Old]], 1), "")</f>
        <v/>
      </c>
      <c r="AR589" s="140" t="str">
        <f>IFERROR(ROUND((tblPiNHistorical[[#This Row],[Education New]]-tblPiNHistorical[[#This Row],[Education Old]])/tblPiNHistorical[[#This Row],[Education Old]], 1), "")</f>
        <v/>
      </c>
      <c r="AS589" s="141" t="str">
        <f>IFERROR(ROUND((tblPiNHistorical[[#This Row],[Food Security and Livlihoods New]]-tblPiNHistorical[[#This Row],[Food Security and Livlihoods Old]])/tblPiNHistorical[[#This Row],[Food Security and Livlihoods Old]], 1), "")</f>
        <v/>
      </c>
      <c r="AT589" s="142" t="str">
        <f>IFERROR(ROUND((tblPiNHistorical[[#This Row],[Health New]]-tblPiNHistorical[[#This Row],[Health Old]])/tblPiNHistorical[[#This Row],[Health Old]], 1), "")</f>
        <v/>
      </c>
      <c r="AU589" s="140" t="str">
        <f>IFERROR(ROUND((tblPiNHistorical[[#This Row],[Nutrition New]]-tblPiNHistorical[[#This Row],[Nutrition Old]])/tblPiNHistorical[[#This Row],[Nutrition Old]], 1), "")</f>
        <v/>
      </c>
      <c r="AV589" s="140" t="str">
        <f>IFERROR(ROUND((tblPiNHistorical[[#This Row],[Protection New]]-tblPiNHistorical[[#This Row],[Protection Old]])/tblPiNHistorical[[#This Row],[Protection Old]], 1), "")</f>
        <v/>
      </c>
      <c r="AW589" s="84" t="str">
        <f>IFERROR(ROUND((tblPiNHistorical[[#This Row],[CP New]]-tblPiNHistorical[[#This Row],[CP Old ]])/tblPiNHistorical[[#This Row],[CP Old ]], 1), "")</f>
        <v/>
      </c>
      <c r="AX589" s="84" t="str">
        <f>IFERROR(ROUND((tblPiNHistorical[[#This Row],[GBV New]]-tblPiNHistorical[[#This Row],[GBV Old]])/tblPiNHistorical[[#This Row],[GBV Old]], 1), "")</f>
        <v/>
      </c>
      <c r="AY589" s="84" t="str">
        <f>IFERROR(ROUND((tblPiNHistorical[[#This Row],[Mine Action New]]-tblPiNHistorical[[#This Row],[Mine Action Old]])/tblPiNHistorical[[#This Row],[Mine Action Old]], 1), "")</f>
        <v/>
      </c>
      <c r="AZ589" s="140" t="str">
        <f>IFERROR(ROUND((tblPiNHistorical[[#This Row],[Shelter NFI New]]-tblPiNHistorical[[#This Row],[Shelter NFI Old]])/tblPiNHistorical[[#This Row],[Shelter NFI Old]], 1), "")</f>
        <v/>
      </c>
      <c r="BA589" s="31" t="str">
        <f>IFERROR(ROUND((tblPiNHistorical[[#This Row],[WASH New]]-tblPiNHistorical[[#This Row],[WASH Old]])/tblPiNHistorical[[#This Row],[WASH Old]], 1), "")</f>
        <v/>
      </c>
    </row>
    <row r="590" spans="1:53" ht="38.25" x14ac:dyDescent="0.25">
      <c r="A590"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Non-displaced PopulationSD06110</v>
      </c>
      <c r="B590" s="134" t="s">
        <v>141</v>
      </c>
      <c r="C590" s="124" t="s">
        <v>123</v>
      </c>
      <c r="D590" s="124" t="s">
        <v>143</v>
      </c>
      <c r="E590" s="59" t="s">
        <v>142</v>
      </c>
      <c r="F590" s="54"/>
      <c r="G590" s="29"/>
      <c r="H590" s="53">
        <v>0</v>
      </c>
      <c r="I590" s="53" t="s">
        <v>89</v>
      </c>
      <c r="J590" s="34">
        <v>0</v>
      </c>
      <c r="K590" s="116">
        <v>0</v>
      </c>
      <c r="L590" s="114">
        <v>0</v>
      </c>
      <c r="M590" s="114">
        <v>6054</v>
      </c>
      <c r="N590" s="114">
        <v>0</v>
      </c>
      <c r="O590" s="114">
        <v>0</v>
      </c>
      <c r="P590" s="114">
        <v>0</v>
      </c>
      <c r="Q590" s="114">
        <v>0</v>
      </c>
      <c r="R590" s="114">
        <v>0</v>
      </c>
      <c r="S590" s="114">
        <v>0</v>
      </c>
      <c r="T590" s="196">
        <v>0</v>
      </c>
      <c r="U590" s="52" t="str">
        <f>IFERROR(INDEX(tblPiNAnalysis[[Site Management ]], MATCH(tblPiNHistorical[[#This Row],[ID]], tblPiNAnalysis[ID], 0)), "")</f>
        <v/>
      </c>
      <c r="V590" s="52" t="str">
        <f>IFERROR(INDEX(tblPiNAnalysis[Education], MATCH(tblPiNHistorical[[#This Row],[ID]], tblPiNAnalysis[ID], 0)), "")</f>
        <v/>
      </c>
      <c r="W590" s="28" t="str">
        <f>IFERROR(INDEX(tblPiNAnalysis[Food Security and Livlihoods], MATCH(tblPiNHistorical[[#This Row],[ID]], tblPiNAnalysis[ID], 0)), "")</f>
        <v/>
      </c>
      <c r="X590" s="28" t="str">
        <f>IFERROR(INDEX(tblPiNAnalysis[[Health ]], MATCH(tblPiNHistorical[[#This Row],[ID]], tblPiNAnalysis[ID], 0)), "")</f>
        <v/>
      </c>
      <c r="Y590" s="28" t="str">
        <f>IFERROR(INDEX(tblPiNAnalysis[Nutrition], MATCH(tblPiNHistorical[[#This Row],[ID]], tblPiNAnalysis[ID], 0)), "")</f>
        <v/>
      </c>
      <c r="Z590" s="28" t="str">
        <f>IFERROR(INDEX(tblPiNAnalysis[Protection], MATCH(tblPiNHistorical[[#This Row],[ID]], tblPiNAnalysis[ID], 0)), "")</f>
        <v/>
      </c>
      <c r="AA590" s="28" t="str">
        <f>IFERROR(INDEX(tblPiNAnalysis[CP], MATCH(tblPiNHistorical[[#This Row],[ID]], tblPiNAnalysis[ID], 0)), "")</f>
        <v/>
      </c>
      <c r="AB590" s="83" t="str">
        <f>IFERROR(INDEX(tblPiNAnalysis[GBV], MATCH(tblPiNHistorical[[#This Row],[ID]], tblPiNAnalysis[ID], 0)), "")</f>
        <v/>
      </c>
      <c r="AC590" s="28" t="str">
        <f>IFERROR(INDEX(tblPiNAnalysis[Mine Action], MATCH(tblPiNHistorical[[#This Row],[ID]], tblPiNAnalysis[ID], 0)), "")</f>
        <v/>
      </c>
      <c r="AD590" s="83" t="str">
        <f>IFERROR(INDEX(tblPiNAnalysis[[Shelter NFI ]], MATCH(tblPiNHistorical[[#This Row],[ID]], tblPiNAnalysis[ID], 0)), "")</f>
        <v/>
      </c>
      <c r="AE590" s="28" t="str">
        <f>IFERROR(INDEX(tblPiNAnalysis[WASH], MATCH(tblPiNHistorical[[#This Row],[ID]], tblPiNAnalysis[ID], 0)), "")</f>
        <v/>
      </c>
      <c r="AF590"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590" s="136" t="str">
        <f>IF(OR(tblPiNHistorical[[#This Row],[Education Old]]="", tblPiNHistorical[[#This Row],[Education Old]]=0, tblPiNHistorical[[#This Row],[Education New]]="", tblPiNHistorical[[#This Row],[Education New]]=0), "", tblPiNHistorical[[#This Row],[Education New]]-tblPiNHistorical[[#This Row],[Education Old]])</f>
        <v/>
      </c>
      <c r="AH590"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590" s="137" t="str">
        <f>IF(OR(tblPiNHistorical[[#This Row],[Health Old]]="", tblPiNHistorical[[#This Row],[Health Old]]=0, tblPiNHistorical[[#This Row],[Health New]]="", tblPiNHistorical[[#This Row],[Health New]]=0), "", tblPiNHistorical[[#This Row],[Health New]]-tblPiNHistorical[[#This Row],[Health Old]])</f>
        <v/>
      </c>
      <c r="AJ590" s="136" t="str">
        <f>IF(OR(tblPiNHistorical[[#This Row],[Nutrition Old]]="", tblPiNHistorical[[#This Row],[Nutrition Old]]=0, tblPiNHistorical[[#This Row],[Nutrition New]]="", tblPiNHistorical[[#This Row],[Nutrition New]]=0), "", tblPiNHistorical[[#This Row],[Nutrition New]]-tblPiNHistorical[[#This Row],[Nutrition Old]])</f>
        <v/>
      </c>
      <c r="AK590" s="136" t="str">
        <f>IF(OR(tblPiNHistorical[[#This Row],[Protection Old]]="", tblPiNHistorical[[#This Row],[Protection Old]]=0, tblPiNHistorical[[#This Row],[Protection New]]="", tblPiNHistorical[[#This Row],[Protection New]]=0), "", tblPiNHistorical[[#This Row],[Protection New]]-tblPiNHistorical[[#This Row],[Protection Old]])</f>
        <v/>
      </c>
      <c r="AL590" s="136" t="str">
        <f>IF(OR(tblPiNHistorical[[#This Row],[CP Old ]]="", tblPiNHistorical[[#This Row],[CP Old ]]=0, tblPiNHistorical[[#This Row],[CP New]]="", tblPiNHistorical[[#This Row],[CP New]]=0), "", tblPiNHistorical[[#This Row],[CP New]]-tblPiNHistorical[[#This Row],[CP Old ]])</f>
        <v/>
      </c>
      <c r="AM590" s="83" t="str">
        <f>IF(OR(tblPiNHistorical[[#This Row],[GBV Old]]="", tblPiNHistorical[[#This Row],[GBV Old]]=0, tblPiNHistorical[[#This Row],[GBV New]]="", tblPiNHistorical[[#This Row],[GBV New]]=0), "", tblPiNHistorical[[#This Row],[GBV New]]-tblPiNHistorical[[#This Row],[GBV Old]])</f>
        <v/>
      </c>
      <c r="AN590" s="83" t="str">
        <f>IF(OR(tblPiNHistorical[[#This Row],[Mine Action Old]]="", tblPiNHistorical[[#This Row],[Mine Action Old]]=0, tblPiNHistorical[[#This Row],[Mine Action New]]="", tblPiNHistorical[[#This Row],[Mine Action New]]=0), "", tblPiNHistorical[[#This Row],[Mine Action New]]-tblPiNHistorical[[#This Row],[Mine Action Old]])</f>
        <v/>
      </c>
      <c r="AO590" s="136" t="str">
        <f>IF(OR(tblPiNHistorical[[#This Row],[Shelter NFI Old]]="", tblPiNHistorical[[#This Row],[Shelter NFI Old]]=0, tblPiNHistorical[[#This Row],[Shelter NFI New]]="", tblPiNHistorical[[#This Row],[Shelter NFI New]]=0), "", tblPiNHistorical[[#This Row],[Shelter NFI New]]-tblPiNHistorical[[#This Row],[Shelter NFI Old]])</f>
        <v/>
      </c>
      <c r="AP590" s="138" t="str">
        <f>IF(OR(tblPiNHistorical[[#This Row],[WASH Old]]="", tblPiNHistorical[[#This Row],[WASH Old]]=0, tblPiNHistorical[[#This Row],[WASH New]]="", tblPiNHistorical[[#This Row],[WASH New]]=0), "", tblPiNHistorical[[#This Row],[WASH New]]-tblPiNHistorical[[#This Row],[WASH Old]])</f>
        <v/>
      </c>
      <c r="AQ590" s="139" t="str">
        <f>IFERROR(ROUND((tblPiNHistorical[[#This Row],[Site Management - New]] - tblPiNHistorical[[#This Row],[Site Management - Old]])/tblPiNHistorical[[#This Row],[Site Management - Old]], 1), "")</f>
        <v/>
      </c>
      <c r="AR590" s="140" t="str">
        <f>IFERROR(ROUND((tblPiNHistorical[[#This Row],[Education New]]-tblPiNHistorical[[#This Row],[Education Old]])/tblPiNHistorical[[#This Row],[Education Old]], 1), "")</f>
        <v/>
      </c>
      <c r="AS590" s="141" t="str">
        <f>IFERROR(ROUND((tblPiNHistorical[[#This Row],[Food Security and Livlihoods New]]-tblPiNHistorical[[#This Row],[Food Security and Livlihoods Old]])/tblPiNHistorical[[#This Row],[Food Security and Livlihoods Old]], 1), "")</f>
        <v/>
      </c>
      <c r="AT590" s="142" t="str">
        <f>IFERROR(ROUND((tblPiNHistorical[[#This Row],[Health New]]-tblPiNHistorical[[#This Row],[Health Old]])/tblPiNHistorical[[#This Row],[Health Old]], 1), "")</f>
        <v/>
      </c>
      <c r="AU590" s="140" t="str">
        <f>IFERROR(ROUND((tblPiNHistorical[[#This Row],[Nutrition New]]-tblPiNHistorical[[#This Row],[Nutrition Old]])/tblPiNHistorical[[#This Row],[Nutrition Old]], 1), "")</f>
        <v/>
      </c>
      <c r="AV590" s="140" t="str">
        <f>IFERROR(ROUND((tblPiNHistorical[[#This Row],[Protection New]]-tblPiNHistorical[[#This Row],[Protection Old]])/tblPiNHistorical[[#This Row],[Protection Old]], 1), "")</f>
        <v/>
      </c>
      <c r="AW590" s="84" t="str">
        <f>IFERROR(ROUND((tblPiNHistorical[[#This Row],[CP New]]-tblPiNHistorical[[#This Row],[CP Old ]])/tblPiNHistorical[[#This Row],[CP Old ]], 1), "")</f>
        <v/>
      </c>
      <c r="AX590" s="84" t="str">
        <f>IFERROR(ROUND((tblPiNHistorical[[#This Row],[GBV New]]-tblPiNHistorical[[#This Row],[GBV Old]])/tblPiNHistorical[[#This Row],[GBV Old]], 1), "")</f>
        <v/>
      </c>
      <c r="AY590" s="84" t="str">
        <f>IFERROR(ROUND((tblPiNHistorical[[#This Row],[Mine Action New]]-tblPiNHistorical[[#This Row],[Mine Action Old]])/tblPiNHistorical[[#This Row],[Mine Action Old]], 1), "")</f>
        <v/>
      </c>
      <c r="AZ590" s="140" t="str">
        <f>IFERROR(ROUND((tblPiNHistorical[[#This Row],[Shelter NFI New]]-tblPiNHistorical[[#This Row],[Shelter NFI Old]])/tblPiNHistorical[[#This Row],[Shelter NFI Old]], 1), "")</f>
        <v/>
      </c>
      <c r="BA590" s="31" t="str">
        <f>IFERROR(ROUND((tblPiNHistorical[[#This Row],[WASH New]]-tblPiNHistorical[[#This Row],[WASH Old]])/tblPiNHistorical[[#This Row],[WASH Old]], 1), "")</f>
        <v/>
      </c>
    </row>
    <row r="591" spans="1:53" ht="38.25" x14ac:dyDescent="0.25">
      <c r="A591"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Non-displaced PopulationSD06112</v>
      </c>
      <c r="B591" s="134" t="s">
        <v>141</v>
      </c>
      <c r="C591" s="124" t="s">
        <v>123</v>
      </c>
      <c r="D591" s="124" t="s">
        <v>146</v>
      </c>
      <c r="E591" s="59" t="s">
        <v>145</v>
      </c>
      <c r="F591" s="54"/>
      <c r="G591" s="29"/>
      <c r="H591" s="53">
        <v>32239</v>
      </c>
      <c r="I591" s="53" t="s">
        <v>89</v>
      </c>
      <c r="J591" s="34">
        <v>0</v>
      </c>
      <c r="K591" s="116">
        <v>12499.060299999999</v>
      </c>
      <c r="L591" s="114">
        <v>16119.5</v>
      </c>
      <c r="M591" s="114">
        <v>14589</v>
      </c>
      <c r="N591" s="114">
        <v>6837</v>
      </c>
      <c r="O591" s="114">
        <v>3546.2900000000004</v>
      </c>
      <c r="P591" s="114">
        <v>3546</v>
      </c>
      <c r="Q591" s="114">
        <v>2551</v>
      </c>
      <c r="R591" s="114">
        <v>3223.9</v>
      </c>
      <c r="S591" s="114">
        <v>6448</v>
      </c>
      <c r="T591" s="196">
        <v>15945.4094</v>
      </c>
      <c r="U591" s="52" t="str">
        <f>IFERROR(INDEX(tblPiNAnalysis[[Site Management ]], MATCH(tblPiNHistorical[[#This Row],[ID]], tblPiNAnalysis[ID], 0)), "")</f>
        <v/>
      </c>
      <c r="V591" s="52" t="str">
        <f>IFERROR(INDEX(tblPiNAnalysis[Education], MATCH(tblPiNHistorical[[#This Row],[ID]], tblPiNAnalysis[ID], 0)), "")</f>
        <v/>
      </c>
      <c r="W591" s="28" t="str">
        <f>IFERROR(INDEX(tblPiNAnalysis[Food Security and Livlihoods], MATCH(tblPiNHistorical[[#This Row],[ID]], tblPiNAnalysis[ID], 0)), "")</f>
        <v/>
      </c>
      <c r="X591" s="28" t="str">
        <f>IFERROR(INDEX(tblPiNAnalysis[[Health ]], MATCH(tblPiNHistorical[[#This Row],[ID]], tblPiNAnalysis[ID], 0)), "")</f>
        <v/>
      </c>
      <c r="Y591" s="28" t="str">
        <f>IFERROR(INDEX(tblPiNAnalysis[Nutrition], MATCH(tblPiNHistorical[[#This Row],[ID]], tblPiNAnalysis[ID], 0)), "")</f>
        <v/>
      </c>
      <c r="Z591" s="28" t="str">
        <f>IFERROR(INDEX(tblPiNAnalysis[Protection], MATCH(tblPiNHistorical[[#This Row],[ID]], tblPiNAnalysis[ID], 0)), "")</f>
        <v/>
      </c>
      <c r="AA591" s="28" t="str">
        <f>IFERROR(INDEX(tblPiNAnalysis[CP], MATCH(tblPiNHistorical[[#This Row],[ID]], tblPiNAnalysis[ID], 0)), "")</f>
        <v/>
      </c>
      <c r="AB591" s="83" t="str">
        <f>IFERROR(INDEX(tblPiNAnalysis[GBV], MATCH(tblPiNHistorical[[#This Row],[ID]], tblPiNAnalysis[ID], 0)), "")</f>
        <v/>
      </c>
      <c r="AC591" s="28" t="str">
        <f>IFERROR(INDEX(tblPiNAnalysis[Mine Action], MATCH(tblPiNHistorical[[#This Row],[ID]], tblPiNAnalysis[ID], 0)), "")</f>
        <v/>
      </c>
      <c r="AD591" s="83" t="str">
        <f>IFERROR(INDEX(tblPiNAnalysis[[Shelter NFI ]], MATCH(tblPiNHistorical[[#This Row],[ID]], tblPiNAnalysis[ID], 0)), "")</f>
        <v/>
      </c>
      <c r="AE591" s="28" t="str">
        <f>IFERROR(INDEX(tblPiNAnalysis[WASH], MATCH(tblPiNHistorical[[#This Row],[ID]], tblPiNAnalysis[ID], 0)), "")</f>
        <v/>
      </c>
      <c r="AF591"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591" s="136" t="str">
        <f>IF(OR(tblPiNHistorical[[#This Row],[Education Old]]="", tblPiNHistorical[[#This Row],[Education Old]]=0, tblPiNHistorical[[#This Row],[Education New]]="", tblPiNHistorical[[#This Row],[Education New]]=0), "", tblPiNHistorical[[#This Row],[Education New]]-tblPiNHistorical[[#This Row],[Education Old]])</f>
        <v/>
      </c>
      <c r="AH591"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591" s="137" t="str">
        <f>IF(OR(tblPiNHistorical[[#This Row],[Health Old]]="", tblPiNHistorical[[#This Row],[Health Old]]=0, tblPiNHistorical[[#This Row],[Health New]]="", tblPiNHistorical[[#This Row],[Health New]]=0), "", tblPiNHistorical[[#This Row],[Health New]]-tblPiNHistorical[[#This Row],[Health Old]])</f>
        <v/>
      </c>
      <c r="AJ591" s="136" t="str">
        <f>IF(OR(tblPiNHistorical[[#This Row],[Nutrition Old]]="", tblPiNHistorical[[#This Row],[Nutrition Old]]=0, tblPiNHistorical[[#This Row],[Nutrition New]]="", tblPiNHistorical[[#This Row],[Nutrition New]]=0), "", tblPiNHistorical[[#This Row],[Nutrition New]]-tblPiNHistorical[[#This Row],[Nutrition Old]])</f>
        <v/>
      </c>
      <c r="AK591" s="136" t="str">
        <f>IF(OR(tblPiNHistorical[[#This Row],[Protection Old]]="", tblPiNHistorical[[#This Row],[Protection Old]]=0, tblPiNHistorical[[#This Row],[Protection New]]="", tblPiNHistorical[[#This Row],[Protection New]]=0), "", tblPiNHistorical[[#This Row],[Protection New]]-tblPiNHistorical[[#This Row],[Protection Old]])</f>
        <v/>
      </c>
      <c r="AL591" s="136" t="str">
        <f>IF(OR(tblPiNHistorical[[#This Row],[CP Old ]]="", tblPiNHistorical[[#This Row],[CP Old ]]=0, tblPiNHistorical[[#This Row],[CP New]]="", tblPiNHistorical[[#This Row],[CP New]]=0), "", tblPiNHistorical[[#This Row],[CP New]]-tblPiNHistorical[[#This Row],[CP Old ]])</f>
        <v/>
      </c>
      <c r="AM591" s="83" t="str">
        <f>IF(OR(tblPiNHistorical[[#This Row],[GBV Old]]="", tblPiNHistorical[[#This Row],[GBV Old]]=0, tblPiNHistorical[[#This Row],[GBV New]]="", tblPiNHistorical[[#This Row],[GBV New]]=0), "", tblPiNHistorical[[#This Row],[GBV New]]-tblPiNHistorical[[#This Row],[GBV Old]])</f>
        <v/>
      </c>
      <c r="AN591" s="83" t="str">
        <f>IF(OR(tblPiNHistorical[[#This Row],[Mine Action Old]]="", tblPiNHistorical[[#This Row],[Mine Action Old]]=0, tblPiNHistorical[[#This Row],[Mine Action New]]="", tblPiNHistorical[[#This Row],[Mine Action New]]=0), "", tblPiNHistorical[[#This Row],[Mine Action New]]-tblPiNHistorical[[#This Row],[Mine Action Old]])</f>
        <v/>
      </c>
      <c r="AO591" s="136" t="str">
        <f>IF(OR(tblPiNHistorical[[#This Row],[Shelter NFI Old]]="", tblPiNHistorical[[#This Row],[Shelter NFI Old]]=0, tblPiNHistorical[[#This Row],[Shelter NFI New]]="", tblPiNHistorical[[#This Row],[Shelter NFI New]]=0), "", tblPiNHistorical[[#This Row],[Shelter NFI New]]-tblPiNHistorical[[#This Row],[Shelter NFI Old]])</f>
        <v/>
      </c>
      <c r="AP591" s="138" t="str">
        <f>IF(OR(tblPiNHistorical[[#This Row],[WASH Old]]="", tblPiNHistorical[[#This Row],[WASH Old]]=0, tblPiNHistorical[[#This Row],[WASH New]]="", tblPiNHistorical[[#This Row],[WASH New]]=0), "", tblPiNHistorical[[#This Row],[WASH New]]-tblPiNHistorical[[#This Row],[WASH Old]])</f>
        <v/>
      </c>
      <c r="AQ591" s="139" t="str">
        <f>IFERROR(ROUND((tblPiNHistorical[[#This Row],[Site Management - New]] - tblPiNHistorical[[#This Row],[Site Management - Old]])/tblPiNHistorical[[#This Row],[Site Management - Old]], 1), "")</f>
        <v/>
      </c>
      <c r="AR591" s="140" t="str">
        <f>IFERROR(ROUND((tblPiNHistorical[[#This Row],[Education New]]-tblPiNHistorical[[#This Row],[Education Old]])/tblPiNHistorical[[#This Row],[Education Old]], 1), "")</f>
        <v/>
      </c>
      <c r="AS591" s="141" t="str">
        <f>IFERROR(ROUND((tblPiNHistorical[[#This Row],[Food Security and Livlihoods New]]-tblPiNHistorical[[#This Row],[Food Security and Livlihoods Old]])/tblPiNHistorical[[#This Row],[Food Security and Livlihoods Old]], 1), "")</f>
        <v/>
      </c>
      <c r="AT591" s="142" t="str">
        <f>IFERROR(ROUND((tblPiNHistorical[[#This Row],[Health New]]-tblPiNHistorical[[#This Row],[Health Old]])/tblPiNHistorical[[#This Row],[Health Old]], 1), "")</f>
        <v/>
      </c>
      <c r="AU591" s="140" t="str">
        <f>IFERROR(ROUND((tblPiNHistorical[[#This Row],[Nutrition New]]-tblPiNHistorical[[#This Row],[Nutrition Old]])/tblPiNHistorical[[#This Row],[Nutrition Old]], 1), "")</f>
        <v/>
      </c>
      <c r="AV591" s="140" t="str">
        <f>IFERROR(ROUND((tblPiNHistorical[[#This Row],[Protection New]]-tblPiNHistorical[[#This Row],[Protection Old]])/tblPiNHistorical[[#This Row],[Protection Old]], 1), "")</f>
        <v/>
      </c>
      <c r="AW591" s="84" t="str">
        <f>IFERROR(ROUND((tblPiNHistorical[[#This Row],[CP New]]-tblPiNHistorical[[#This Row],[CP Old ]])/tblPiNHistorical[[#This Row],[CP Old ]], 1), "")</f>
        <v/>
      </c>
      <c r="AX591" s="84" t="str">
        <f>IFERROR(ROUND((tblPiNHistorical[[#This Row],[GBV New]]-tblPiNHistorical[[#This Row],[GBV Old]])/tblPiNHistorical[[#This Row],[GBV Old]], 1), "")</f>
        <v/>
      </c>
      <c r="AY591" s="84" t="str">
        <f>IFERROR(ROUND((tblPiNHistorical[[#This Row],[Mine Action New]]-tblPiNHistorical[[#This Row],[Mine Action Old]])/tblPiNHistorical[[#This Row],[Mine Action Old]], 1), "")</f>
        <v/>
      </c>
      <c r="AZ591" s="140" t="str">
        <f>IFERROR(ROUND((tblPiNHistorical[[#This Row],[Shelter NFI New]]-tblPiNHistorical[[#This Row],[Shelter NFI Old]])/tblPiNHistorical[[#This Row],[Shelter NFI Old]], 1), "")</f>
        <v/>
      </c>
      <c r="BA591" s="31" t="str">
        <f>IFERROR(ROUND((tblPiNHistorical[[#This Row],[WASH New]]-tblPiNHistorical[[#This Row],[WASH Old]])/tblPiNHistorical[[#This Row],[WASH Old]], 1), "")</f>
        <v/>
      </c>
    </row>
    <row r="592" spans="1:53" ht="38.25" x14ac:dyDescent="0.25">
      <c r="A592"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Non-displaced PopulationSD06131</v>
      </c>
      <c r="B592" s="134" t="s">
        <v>141</v>
      </c>
      <c r="C592" s="124" t="s">
        <v>123</v>
      </c>
      <c r="D592" s="124" t="s">
        <v>152</v>
      </c>
      <c r="E592" s="59" t="s">
        <v>151</v>
      </c>
      <c r="F592" s="54"/>
      <c r="G592" s="29"/>
      <c r="H592" s="53">
        <v>117768</v>
      </c>
      <c r="I592" s="53" t="s">
        <v>89</v>
      </c>
      <c r="J592" s="34">
        <v>0</v>
      </c>
      <c r="K592" s="116">
        <v>45658.653599999998</v>
      </c>
      <c r="L592" s="114">
        <v>70660.800000000003</v>
      </c>
      <c r="M592" s="114">
        <v>2935</v>
      </c>
      <c r="N592" s="114">
        <v>15921</v>
      </c>
      <c r="O592" s="114">
        <v>17665.2</v>
      </c>
      <c r="P592" s="114">
        <v>12954</v>
      </c>
      <c r="Q592" s="114">
        <v>9322</v>
      </c>
      <c r="R592" s="114">
        <v>17665.2</v>
      </c>
      <c r="S592" s="114">
        <v>23554</v>
      </c>
      <c r="T592" s="196">
        <v>86653.694399999993</v>
      </c>
      <c r="U592" s="52" t="str">
        <f>IFERROR(INDEX(tblPiNAnalysis[[Site Management ]], MATCH(tblPiNHistorical[[#This Row],[ID]], tblPiNAnalysis[ID], 0)), "")</f>
        <v/>
      </c>
      <c r="V592" s="52" t="str">
        <f>IFERROR(INDEX(tblPiNAnalysis[Education], MATCH(tblPiNHistorical[[#This Row],[ID]], tblPiNAnalysis[ID], 0)), "")</f>
        <v/>
      </c>
      <c r="W592" s="28" t="str">
        <f>IFERROR(INDEX(tblPiNAnalysis[Food Security and Livlihoods], MATCH(tblPiNHistorical[[#This Row],[ID]], tblPiNAnalysis[ID], 0)), "")</f>
        <v/>
      </c>
      <c r="X592" s="28" t="str">
        <f>IFERROR(INDEX(tblPiNAnalysis[[Health ]], MATCH(tblPiNHistorical[[#This Row],[ID]], tblPiNAnalysis[ID], 0)), "")</f>
        <v/>
      </c>
      <c r="Y592" s="28" t="str">
        <f>IFERROR(INDEX(tblPiNAnalysis[Nutrition], MATCH(tblPiNHistorical[[#This Row],[ID]], tblPiNAnalysis[ID], 0)), "")</f>
        <v/>
      </c>
      <c r="Z592" s="28" t="str">
        <f>IFERROR(INDEX(tblPiNAnalysis[Protection], MATCH(tblPiNHistorical[[#This Row],[ID]], tblPiNAnalysis[ID], 0)), "")</f>
        <v/>
      </c>
      <c r="AA592" s="28" t="str">
        <f>IFERROR(INDEX(tblPiNAnalysis[CP], MATCH(tblPiNHistorical[[#This Row],[ID]], tblPiNAnalysis[ID], 0)), "")</f>
        <v/>
      </c>
      <c r="AB592" s="83" t="str">
        <f>IFERROR(INDEX(tblPiNAnalysis[GBV], MATCH(tblPiNHistorical[[#This Row],[ID]], tblPiNAnalysis[ID], 0)), "")</f>
        <v/>
      </c>
      <c r="AC592" s="28" t="str">
        <f>IFERROR(INDEX(tblPiNAnalysis[Mine Action], MATCH(tblPiNHistorical[[#This Row],[ID]], tblPiNAnalysis[ID], 0)), "")</f>
        <v/>
      </c>
      <c r="AD592" s="83" t="str">
        <f>IFERROR(INDEX(tblPiNAnalysis[[Shelter NFI ]], MATCH(tblPiNHistorical[[#This Row],[ID]], tblPiNAnalysis[ID], 0)), "")</f>
        <v/>
      </c>
      <c r="AE592" s="28" t="str">
        <f>IFERROR(INDEX(tblPiNAnalysis[WASH], MATCH(tblPiNHistorical[[#This Row],[ID]], tblPiNAnalysis[ID], 0)), "")</f>
        <v/>
      </c>
      <c r="AF592"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592" s="136" t="str">
        <f>IF(OR(tblPiNHistorical[[#This Row],[Education Old]]="", tblPiNHistorical[[#This Row],[Education Old]]=0, tblPiNHistorical[[#This Row],[Education New]]="", tblPiNHistorical[[#This Row],[Education New]]=0), "", tblPiNHistorical[[#This Row],[Education New]]-tblPiNHistorical[[#This Row],[Education Old]])</f>
        <v/>
      </c>
      <c r="AH592"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592" s="137" t="str">
        <f>IF(OR(tblPiNHistorical[[#This Row],[Health Old]]="", tblPiNHistorical[[#This Row],[Health Old]]=0, tblPiNHistorical[[#This Row],[Health New]]="", tblPiNHistorical[[#This Row],[Health New]]=0), "", tblPiNHistorical[[#This Row],[Health New]]-tblPiNHistorical[[#This Row],[Health Old]])</f>
        <v/>
      </c>
      <c r="AJ592" s="136" t="str">
        <f>IF(OR(tblPiNHistorical[[#This Row],[Nutrition Old]]="", tblPiNHistorical[[#This Row],[Nutrition Old]]=0, tblPiNHistorical[[#This Row],[Nutrition New]]="", tblPiNHistorical[[#This Row],[Nutrition New]]=0), "", tblPiNHistorical[[#This Row],[Nutrition New]]-tblPiNHistorical[[#This Row],[Nutrition Old]])</f>
        <v/>
      </c>
      <c r="AK592" s="136" t="str">
        <f>IF(OR(tblPiNHistorical[[#This Row],[Protection Old]]="", tblPiNHistorical[[#This Row],[Protection Old]]=0, tblPiNHistorical[[#This Row],[Protection New]]="", tblPiNHistorical[[#This Row],[Protection New]]=0), "", tblPiNHistorical[[#This Row],[Protection New]]-tblPiNHistorical[[#This Row],[Protection Old]])</f>
        <v/>
      </c>
      <c r="AL592" s="136" t="str">
        <f>IF(OR(tblPiNHistorical[[#This Row],[CP Old ]]="", tblPiNHistorical[[#This Row],[CP Old ]]=0, tblPiNHistorical[[#This Row],[CP New]]="", tblPiNHistorical[[#This Row],[CP New]]=0), "", tblPiNHistorical[[#This Row],[CP New]]-tblPiNHistorical[[#This Row],[CP Old ]])</f>
        <v/>
      </c>
      <c r="AM592" s="83" t="str">
        <f>IF(OR(tblPiNHistorical[[#This Row],[GBV Old]]="", tblPiNHistorical[[#This Row],[GBV Old]]=0, tblPiNHistorical[[#This Row],[GBV New]]="", tblPiNHistorical[[#This Row],[GBV New]]=0), "", tblPiNHistorical[[#This Row],[GBV New]]-tblPiNHistorical[[#This Row],[GBV Old]])</f>
        <v/>
      </c>
      <c r="AN592" s="83" t="str">
        <f>IF(OR(tblPiNHistorical[[#This Row],[Mine Action Old]]="", tblPiNHistorical[[#This Row],[Mine Action Old]]=0, tblPiNHistorical[[#This Row],[Mine Action New]]="", tblPiNHistorical[[#This Row],[Mine Action New]]=0), "", tblPiNHistorical[[#This Row],[Mine Action New]]-tblPiNHistorical[[#This Row],[Mine Action Old]])</f>
        <v/>
      </c>
      <c r="AO592" s="136" t="str">
        <f>IF(OR(tblPiNHistorical[[#This Row],[Shelter NFI Old]]="", tblPiNHistorical[[#This Row],[Shelter NFI Old]]=0, tblPiNHistorical[[#This Row],[Shelter NFI New]]="", tblPiNHistorical[[#This Row],[Shelter NFI New]]=0), "", tblPiNHistorical[[#This Row],[Shelter NFI New]]-tblPiNHistorical[[#This Row],[Shelter NFI Old]])</f>
        <v/>
      </c>
      <c r="AP592" s="138" t="str">
        <f>IF(OR(tblPiNHistorical[[#This Row],[WASH Old]]="", tblPiNHistorical[[#This Row],[WASH Old]]=0, tblPiNHistorical[[#This Row],[WASH New]]="", tblPiNHistorical[[#This Row],[WASH New]]=0), "", tblPiNHistorical[[#This Row],[WASH New]]-tblPiNHistorical[[#This Row],[WASH Old]])</f>
        <v/>
      </c>
      <c r="AQ592" s="139" t="str">
        <f>IFERROR(ROUND((tblPiNHistorical[[#This Row],[Site Management - New]] - tblPiNHistorical[[#This Row],[Site Management - Old]])/tblPiNHistorical[[#This Row],[Site Management - Old]], 1), "")</f>
        <v/>
      </c>
      <c r="AR592" s="140" t="str">
        <f>IFERROR(ROUND((tblPiNHistorical[[#This Row],[Education New]]-tblPiNHistorical[[#This Row],[Education Old]])/tblPiNHistorical[[#This Row],[Education Old]], 1), "")</f>
        <v/>
      </c>
      <c r="AS592" s="141" t="str">
        <f>IFERROR(ROUND((tblPiNHistorical[[#This Row],[Food Security and Livlihoods New]]-tblPiNHistorical[[#This Row],[Food Security and Livlihoods Old]])/tblPiNHistorical[[#This Row],[Food Security and Livlihoods Old]], 1), "")</f>
        <v/>
      </c>
      <c r="AT592" s="142" t="str">
        <f>IFERROR(ROUND((tblPiNHistorical[[#This Row],[Health New]]-tblPiNHistorical[[#This Row],[Health Old]])/tblPiNHistorical[[#This Row],[Health Old]], 1), "")</f>
        <v/>
      </c>
      <c r="AU592" s="140" t="str">
        <f>IFERROR(ROUND((tblPiNHistorical[[#This Row],[Nutrition New]]-tblPiNHistorical[[#This Row],[Nutrition Old]])/tblPiNHistorical[[#This Row],[Nutrition Old]], 1), "")</f>
        <v/>
      </c>
      <c r="AV592" s="140" t="str">
        <f>IFERROR(ROUND((tblPiNHistorical[[#This Row],[Protection New]]-tblPiNHistorical[[#This Row],[Protection Old]])/tblPiNHistorical[[#This Row],[Protection Old]], 1), "")</f>
        <v/>
      </c>
      <c r="AW592" s="84" t="str">
        <f>IFERROR(ROUND((tblPiNHistorical[[#This Row],[CP New]]-tblPiNHistorical[[#This Row],[CP Old ]])/tblPiNHistorical[[#This Row],[CP Old ]], 1), "")</f>
        <v/>
      </c>
      <c r="AX592" s="84" t="str">
        <f>IFERROR(ROUND((tblPiNHistorical[[#This Row],[GBV New]]-tblPiNHistorical[[#This Row],[GBV Old]])/tblPiNHistorical[[#This Row],[GBV Old]], 1), "")</f>
        <v/>
      </c>
      <c r="AY592" s="84" t="str">
        <f>IFERROR(ROUND((tblPiNHistorical[[#This Row],[Mine Action New]]-tblPiNHistorical[[#This Row],[Mine Action Old]])/tblPiNHistorical[[#This Row],[Mine Action Old]], 1), "")</f>
        <v/>
      </c>
      <c r="AZ592" s="140" t="str">
        <f>IFERROR(ROUND((tblPiNHistorical[[#This Row],[Shelter NFI New]]-tblPiNHistorical[[#This Row],[Shelter NFI Old]])/tblPiNHistorical[[#This Row],[Shelter NFI Old]], 1), "")</f>
        <v/>
      </c>
      <c r="BA592" s="31" t="str">
        <f>IFERROR(ROUND((tblPiNHistorical[[#This Row],[WASH New]]-tblPiNHistorical[[#This Row],[WASH Old]])/tblPiNHistorical[[#This Row],[WASH Old]], 1), "")</f>
        <v/>
      </c>
    </row>
    <row r="593" spans="1:53" ht="38.25" x14ac:dyDescent="0.25">
      <c r="A593"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Non-displaced PopulationSD06130</v>
      </c>
      <c r="B593" s="134" t="s">
        <v>141</v>
      </c>
      <c r="C593" s="124" t="s">
        <v>123</v>
      </c>
      <c r="D593" s="124" t="s">
        <v>149</v>
      </c>
      <c r="E593" s="59" t="s">
        <v>148</v>
      </c>
      <c r="F593" s="54"/>
      <c r="G593" s="29"/>
      <c r="H593" s="53">
        <v>54375</v>
      </c>
      <c r="I593" s="53" t="s">
        <v>89</v>
      </c>
      <c r="J593" s="34">
        <v>0</v>
      </c>
      <c r="K593" s="116">
        <v>21081.1875</v>
      </c>
      <c r="L593" s="114">
        <v>27187.5</v>
      </c>
      <c r="M593" s="114">
        <v>3680</v>
      </c>
      <c r="N593" s="114">
        <v>9505</v>
      </c>
      <c r="O593" s="114">
        <v>5981.2500000000009</v>
      </c>
      <c r="P593" s="114">
        <v>5981</v>
      </c>
      <c r="Q593" s="114">
        <v>4304</v>
      </c>
      <c r="R593" s="114">
        <v>0</v>
      </c>
      <c r="S593" s="114">
        <v>10875</v>
      </c>
      <c r="T593" s="196">
        <v>48372.000000000007</v>
      </c>
      <c r="U593" s="52" t="str">
        <f>IFERROR(INDEX(tblPiNAnalysis[[Site Management ]], MATCH(tblPiNHistorical[[#This Row],[ID]], tblPiNAnalysis[ID], 0)), "")</f>
        <v/>
      </c>
      <c r="V593" s="52" t="str">
        <f>IFERROR(INDEX(tblPiNAnalysis[Education], MATCH(tblPiNHistorical[[#This Row],[ID]], tblPiNAnalysis[ID], 0)), "")</f>
        <v/>
      </c>
      <c r="W593" s="28" t="str">
        <f>IFERROR(INDEX(tblPiNAnalysis[Food Security and Livlihoods], MATCH(tblPiNHistorical[[#This Row],[ID]], tblPiNAnalysis[ID], 0)), "")</f>
        <v/>
      </c>
      <c r="X593" s="28" t="str">
        <f>IFERROR(INDEX(tblPiNAnalysis[[Health ]], MATCH(tblPiNHistorical[[#This Row],[ID]], tblPiNAnalysis[ID], 0)), "")</f>
        <v/>
      </c>
      <c r="Y593" s="28" t="str">
        <f>IFERROR(INDEX(tblPiNAnalysis[Nutrition], MATCH(tblPiNHistorical[[#This Row],[ID]], tblPiNAnalysis[ID], 0)), "")</f>
        <v/>
      </c>
      <c r="Z593" s="28" t="str">
        <f>IFERROR(INDEX(tblPiNAnalysis[Protection], MATCH(tblPiNHistorical[[#This Row],[ID]], tblPiNAnalysis[ID], 0)), "")</f>
        <v/>
      </c>
      <c r="AA593" s="28" t="str">
        <f>IFERROR(INDEX(tblPiNAnalysis[CP], MATCH(tblPiNHistorical[[#This Row],[ID]], tblPiNAnalysis[ID], 0)), "")</f>
        <v/>
      </c>
      <c r="AB593" s="83" t="str">
        <f>IFERROR(INDEX(tblPiNAnalysis[GBV], MATCH(tblPiNHistorical[[#This Row],[ID]], tblPiNAnalysis[ID], 0)), "")</f>
        <v/>
      </c>
      <c r="AC593" s="28" t="str">
        <f>IFERROR(INDEX(tblPiNAnalysis[Mine Action], MATCH(tblPiNHistorical[[#This Row],[ID]], tblPiNAnalysis[ID], 0)), "")</f>
        <v/>
      </c>
      <c r="AD593" s="83" t="str">
        <f>IFERROR(INDEX(tblPiNAnalysis[[Shelter NFI ]], MATCH(tblPiNHistorical[[#This Row],[ID]], tblPiNAnalysis[ID], 0)), "")</f>
        <v/>
      </c>
      <c r="AE593" s="28" t="str">
        <f>IFERROR(INDEX(tblPiNAnalysis[WASH], MATCH(tblPiNHistorical[[#This Row],[ID]], tblPiNAnalysis[ID], 0)), "")</f>
        <v/>
      </c>
      <c r="AF593"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593" s="136" t="str">
        <f>IF(OR(tblPiNHistorical[[#This Row],[Education Old]]="", tblPiNHistorical[[#This Row],[Education Old]]=0, tblPiNHistorical[[#This Row],[Education New]]="", tblPiNHistorical[[#This Row],[Education New]]=0), "", tblPiNHistorical[[#This Row],[Education New]]-tblPiNHistorical[[#This Row],[Education Old]])</f>
        <v/>
      </c>
      <c r="AH593"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593" s="137" t="str">
        <f>IF(OR(tblPiNHistorical[[#This Row],[Health Old]]="", tblPiNHistorical[[#This Row],[Health Old]]=0, tblPiNHistorical[[#This Row],[Health New]]="", tblPiNHistorical[[#This Row],[Health New]]=0), "", tblPiNHistorical[[#This Row],[Health New]]-tblPiNHistorical[[#This Row],[Health Old]])</f>
        <v/>
      </c>
      <c r="AJ593" s="136" t="str">
        <f>IF(OR(tblPiNHistorical[[#This Row],[Nutrition Old]]="", tblPiNHistorical[[#This Row],[Nutrition Old]]=0, tblPiNHistorical[[#This Row],[Nutrition New]]="", tblPiNHistorical[[#This Row],[Nutrition New]]=0), "", tblPiNHistorical[[#This Row],[Nutrition New]]-tblPiNHistorical[[#This Row],[Nutrition Old]])</f>
        <v/>
      </c>
      <c r="AK593" s="136" t="str">
        <f>IF(OR(tblPiNHistorical[[#This Row],[Protection Old]]="", tblPiNHistorical[[#This Row],[Protection Old]]=0, tblPiNHistorical[[#This Row],[Protection New]]="", tblPiNHistorical[[#This Row],[Protection New]]=0), "", tblPiNHistorical[[#This Row],[Protection New]]-tblPiNHistorical[[#This Row],[Protection Old]])</f>
        <v/>
      </c>
      <c r="AL593" s="136" t="str">
        <f>IF(OR(tblPiNHistorical[[#This Row],[CP Old ]]="", tblPiNHistorical[[#This Row],[CP Old ]]=0, tblPiNHistorical[[#This Row],[CP New]]="", tblPiNHistorical[[#This Row],[CP New]]=0), "", tblPiNHistorical[[#This Row],[CP New]]-tblPiNHistorical[[#This Row],[CP Old ]])</f>
        <v/>
      </c>
      <c r="AM593" s="83" t="str">
        <f>IF(OR(tblPiNHistorical[[#This Row],[GBV Old]]="", tblPiNHistorical[[#This Row],[GBV Old]]=0, tblPiNHistorical[[#This Row],[GBV New]]="", tblPiNHistorical[[#This Row],[GBV New]]=0), "", tblPiNHistorical[[#This Row],[GBV New]]-tblPiNHistorical[[#This Row],[GBV Old]])</f>
        <v/>
      </c>
      <c r="AN593" s="83" t="str">
        <f>IF(OR(tblPiNHistorical[[#This Row],[Mine Action Old]]="", tblPiNHistorical[[#This Row],[Mine Action Old]]=0, tblPiNHistorical[[#This Row],[Mine Action New]]="", tblPiNHistorical[[#This Row],[Mine Action New]]=0), "", tblPiNHistorical[[#This Row],[Mine Action New]]-tblPiNHistorical[[#This Row],[Mine Action Old]])</f>
        <v/>
      </c>
      <c r="AO593" s="136" t="str">
        <f>IF(OR(tblPiNHistorical[[#This Row],[Shelter NFI Old]]="", tblPiNHistorical[[#This Row],[Shelter NFI Old]]=0, tblPiNHistorical[[#This Row],[Shelter NFI New]]="", tblPiNHistorical[[#This Row],[Shelter NFI New]]=0), "", tblPiNHistorical[[#This Row],[Shelter NFI New]]-tblPiNHistorical[[#This Row],[Shelter NFI Old]])</f>
        <v/>
      </c>
      <c r="AP593" s="138" t="str">
        <f>IF(OR(tblPiNHistorical[[#This Row],[WASH Old]]="", tblPiNHistorical[[#This Row],[WASH Old]]=0, tblPiNHistorical[[#This Row],[WASH New]]="", tblPiNHistorical[[#This Row],[WASH New]]=0), "", tblPiNHistorical[[#This Row],[WASH New]]-tblPiNHistorical[[#This Row],[WASH Old]])</f>
        <v/>
      </c>
      <c r="AQ593" s="139" t="str">
        <f>IFERROR(ROUND((tblPiNHistorical[[#This Row],[Site Management - New]] - tblPiNHistorical[[#This Row],[Site Management - Old]])/tblPiNHistorical[[#This Row],[Site Management - Old]], 1), "")</f>
        <v/>
      </c>
      <c r="AR593" s="140" t="str">
        <f>IFERROR(ROUND((tblPiNHistorical[[#This Row],[Education New]]-tblPiNHistorical[[#This Row],[Education Old]])/tblPiNHistorical[[#This Row],[Education Old]], 1), "")</f>
        <v/>
      </c>
      <c r="AS593" s="141" t="str">
        <f>IFERROR(ROUND((tblPiNHistorical[[#This Row],[Food Security and Livlihoods New]]-tblPiNHistorical[[#This Row],[Food Security and Livlihoods Old]])/tblPiNHistorical[[#This Row],[Food Security and Livlihoods Old]], 1), "")</f>
        <v/>
      </c>
      <c r="AT593" s="142" t="str">
        <f>IFERROR(ROUND((tblPiNHistorical[[#This Row],[Health New]]-tblPiNHistorical[[#This Row],[Health Old]])/tblPiNHistorical[[#This Row],[Health Old]], 1), "")</f>
        <v/>
      </c>
      <c r="AU593" s="140" t="str">
        <f>IFERROR(ROUND((tblPiNHistorical[[#This Row],[Nutrition New]]-tblPiNHistorical[[#This Row],[Nutrition Old]])/tblPiNHistorical[[#This Row],[Nutrition Old]], 1), "")</f>
        <v/>
      </c>
      <c r="AV593" s="140" t="str">
        <f>IFERROR(ROUND((tblPiNHistorical[[#This Row],[Protection New]]-tblPiNHistorical[[#This Row],[Protection Old]])/tblPiNHistorical[[#This Row],[Protection Old]], 1), "")</f>
        <v/>
      </c>
      <c r="AW593" s="84" t="str">
        <f>IFERROR(ROUND((tblPiNHistorical[[#This Row],[CP New]]-tblPiNHistorical[[#This Row],[CP Old ]])/tblPiNHistorical[[#This Row],[CP Old ]], 1), "")</f>
        <v/>
      </c>
      <c r="AX593" s="84" t="str">
        <f>IFERROR(ROUND((tblPiNHistorical[[#This Row],[GBV New]]-tblPiNHistorical[[#This Row],[GBV Old]])/tblPiNHistorical[[#This Row],[GBV Old]], 1), "")</f>
        <v/>
      </c>
      <c r="AY593" s="84" t="str">
        <f>IFERROR(ROUND((tblPiNHistorical[[#This Row],[Mine Action New]]-tblPiNHistorical[[#This Row],[Mine Action Old]])/tblPiNHistorical[[#This Row],[Mine Action Old]], 1), "")</f>
        <v/>
      </c>
      <c r="AZ593" s="140" t="str">
        <f>IFERROR(ROUND((tblPiNHistorical[[#This Row],[Shelter NFI New]]-tblPiNHistorical[[#This Row],[Shelter NFI Old]])/tblPiNHistorical[[#This Row],[Shelter NFI Old]], 1), "")</f>
        <v/>
      </c>
      <c r="BA593" s="31" t="str">
        <f>IFERROR(ROUND((tblPiNHistorical[[#This Row],[WASH New]]-tblPiNHistorical[[#This Row],[WASH Old]])/tblPiNHistorical[[#This Row],[WASH Old]], 1), "")</f>
        <v/>
      </c>
    </row>
    <row r="594" spans="1:53" ht="38.25" x14ac:dyDescent="0.25">
      <c r="A594"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Non-displaced PopulationSD06132</v>
      </c>
      <c r="B594" s="134" t="s">
        <v>141</v>
      </c>
      <c r="C594" s="124" t="s">
        <v>123</v>
      </c>
      <c r="D594" s="124" t="s">
        <v>154</v>
      </c>
      <c r="E594" s="59" t="s">
        <v>153</v>
      </c>
      <c r="F594" s="54"/>
      <c r="G594" s="29"/>
      <c r="H594" s="53">
        <v>6368</v>
      </c>
      <c r="I594" s="53" t="s">
        <v>89</v>
      </c>
      <c r="J594" s="34">
        <v>0</v>
      </c>
      <c r="K594" s="116">
        <v>2468.8735999999999</v>
      </c>
      <c r="L594" s="114">
        <v>5287.2880800000003</v>
      </c>
      <c r="M594" s="114">
        <v>1156</v>
      </c>
      <c r="N594" s="114">
        <v>620</v>
      </c>
      <c r="O594" s="114">
        <v>955.19999999999993</v>
      </c>
      <c r="P594" s="114">
        <v>700</v>
      </c>
      <c r="Q594" s="114">
        <v>503</v>
      </c>
      <c r="R594" s="114">
        <v>955.19999999999993</v>
      </c>
      <c r="S594" s="114">
        <v>1274</v>
      </c>
      <c r="T594" s="196">
        <v>6306.8672000000006</v>
      </c>
      <c r="U594" s="52" t="str">
        <f>IFERROR(INDEX(tblPiNAnalysis[[Site Management ]], MATCH(tblPiNHistorical[[#This Row],[ID]], tblPiNAnalysis[ID], 0)), "")</f>
        <v/>
      </c>
      <c r="V594" s="52" t="str">
        <f>IFERROR(INDEX(tblPiNAnalysis[Education], MATCH(tblPiNHistorical[[#This Row],[ID]], tblPiNAnalysis[ID], 0)), "")</f>
        <v/>
      </c>
      <c r="W594" s="28" t="str">
        <f>IFERROR(INDEX(tblPiNAnalysis[Food Security and Livlihoods], MATCH(tblPiNHistorical[[#This Row],[ID]], tblPiNAnalysis[ID], 0)), "")</f>
        <v/>
      </c>
      <c r="X594" s="28" t="str">
        <f>IFERROR(INDEX(tblPiNAnalysis[[Health ]], MATCH(tblPiNHistorical[[#This Row],[ID]], tblPiNAnalysis[ID], 0)), "")</f>
        <v/>
      </c>
      <c r="Y594" s="28" t="str">
        <f>IFERROR(INDEX(tblPiNAnalysis[Nutrition], MATCH(tblPiNHistorical[[#This Row],[ID]], tblPiNAnalysis[ID], 0)), "")</f>
        <v/>
      </c>
      <c r="Z594" s="28" t="str">
        <f>IFERROR(INDEX(tblPiNAnalysis[Protection], MATCH(tblPiNHistorical[[#This Row],[ID]], tblPiNAnalysis[ID], 0)), "")</f>
        <v/>
      </c>
      <c r="AA594" s="28" t="str">
        <f>IFERROR(INDEX(tblPiNAnalysis[CP], MATCH(tblPiNHistorical[[#This Row],[ID]], tblPiNAnalysis[ID], 0)), "")</f>
        <v/>
      </c>
      <c r="AB594" s="83" t="str">
        <f>IFERROR(INDEX(tblPiNAnalysis[GBV], MATCH(tblPiNHistorical[[#This Row],[ID]], tblPiNAnalysis[ID], 0)), "")</f>
        <v/>
      </c>
      <c r="AC594" s="28" t="str">
        <f>IFERROR(INDEX(tblPiNAnalysis[Mine Action], MATCH(tblPiNHistorical[[#This Row],[ID]], tblPiNAnalysis[ID], 0)), "")</f>
        <v/>
      </c>
      <c r="AD594" s="83" t="str">
        <f>IFERROR(INDEX(tblPiNAnalysis[[Shelter NFI ]], MATCH(tblPiNHistorical[[#This Row],[ID]], tblPiNAnalysis[ID], 0)), "")</f>
        <v/>
      </c>
      <c r="AE594" s="28" t="str">
        <f>IFERROR(INDEX(tblPiNAnalysis[WASH], MATCH(tblPiNHistorical[[#This Row],[ID]], tblPiNAnalysis[ID], 0)), "")</f>
        <v/>
      </c>
      <c r="AF594"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594" s="136" t="str">
        <f>IF(OR(tblPiNHistorical[[#This Row],[Education Old]]="", tblPiNHistorical[[#This Row],[Education Old]]=0, tblPiNHistorical[[#This Row],[Education New]]="", tblPiNHistorical[[#This Row],[Education New]]=0), "", tblPiNHistorical[[#This Row],[Education New]]-tblPiNHistorical[[#This Row],[Education Old]])</f>
        <v/>
      </c>
      <c r="AH594"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594" s="137" t="str">
        <f>IF(OR(tblPiNHistorical[[#This Row],[Health Old]]="", tblPiNHistorical[[#This Row],[Health Old]]=0, tblPiNHistorical[[#This Row],[Health New]]="", tblPiNHistorical[[#This Row],[Health New]]=0), "", tblPiNHistorical[[#This Row],[Health New]]-tblPiNHistorical[[#This Row],[Health Old]])</f>
        <v/>
      </c>
      <c r="AJ594" s="136" t="str">
        <f>IF(OR(tblPiNHistorical[[#This Row],[Nutrition Old]]="", tblPiNHistorical[[#This Row],[Nutrition Old]]=0, tblPiNHistorical[[#This Row],[Nutrition New]]="", tblPiNHistorical[[#This Row],[Nutrition New]]=0), "", tblPiNHistorical[[#This Row],[Nutrition New]]-tblPiNHistorical[[#This Row],[Nutrition Old]])</f>
        <v/>
      </c>
      <c r="AK594" s="136" t="str">
        <f>IF(OR(tblPiNHistorical[[#This Row],[Protection Old]]="", tblPiNHistorical[[#This Row],[Protection Old]]=0, tblPiNHistorical[[#This Row],[Protection New]]="", tblPiNHistorical[[#This Row],[Protection New]]=0), "", tblPiNHistorical[[#This Row],[Protection New]]-tblPiNHistorical[[#This Row],[Protection Old]])</f>
        <v/>
      </c>
      <c r="AL594" s="136" t="str">
        <f>IF(OR(tblPiNHistorical[[#This Row],[CP Old ]]="", tblPiNHistorical[[#This Row],[CP Old ]]=0, tblPiNHistorical[[#This Row],[CP New]]="", tblPiNHistorical[[#This Row],[CP New]]=0), "", tblPiNHistorical[[#This Row],[CP New]]-tblPiNHistorical[[#This Row],[CP Old ]])</f>
        <v/>
      </c>
      <c r="AM594" s="83" t="str">
        <f>IF(OR(tblPiNHistorical[[#This Row],[GBV Old]]="", tblPiNHistorical[[#This Row],[GBV Old]]=0, tblPiNHistorical[[#This Row],[GBV New]]="", tblPiNHistorical[[#This Row],[GBV New]]=0), "", tblPiNHistorical[[#This Row],[GBV New]]-tblPiNHistorical[[#This Row],[GBV Old]])</f>
        <v/>
      </c>
      <c r="AN594" s="83" t="str">
        <f>IF(OR(tblPiNHistorical[[#This Row],[Mine Action Old]]="", tblPiNHistorical[[#This Row],[Mine Action Old]]=0, tblPiNHistorical[[#This Row],[Mine Action New]]="", tblPiNHistorical[[#This Row],[Mine Action New]]=0), "", tblPiNHistorical[[#This Row],[Mine Action New]]-tblPiNHistorical[[#This Row],[Mine Action Old]])</f>
        <v/>
      </c>
      <c r="AO594" s="136" t="str">
        <f>IF(OR(tblPiNHistorical[[#This Row],[Shelter NFI Old]]="", tblPiNHistorical[[#This Row],[Shelter NFI Old]]=0, tblPiNHistorical[[#This Row],[Shelter NFI New]]="", tblPiNHistorical[[#This Row],[Shelter NFI New]]=0), "", tblPiNHistorical[[#This Row],[Shelter NFI New]]-tblPiNHistorical[[#This Row],[Shelter NFI Old]])</f>
        <v/>
      </c>
      <c r="AP594" s="138" t="str">
        <f>IF(OR(tblPiNHistorical[[#This Row],[WASH Old]]="", tblPiNHistorical[[#This Row],[WASH Old]]=0, tblPiNHistorical[[#This Row],[WASH New]]="", tblPiNHistorical[[#This Row],[WASH New]]=0), "", tblPiNHistorical[[#This Row],[WASH New]]-tblPiNHistorical[[#This Row],[WASH Old]])</f>
        <v/>
      </c>
      <c r="AQ594" s="139" t="str">
        <f>IFERROR(ROUND((tblPiNHistorical[[#This Row],[Site Management - New]] - tblPiNHistorical[[#This Row],[Site Management - Old]])/tblPiNHistorical[[#This Row],[Site Management - Old]], 1), "")</f>
        <v/>
      </c>
      <c r="AR594" s="140" t="str">
        <f>IFERROR(ROUND((tblPiNHistorical[[#This Row],[Education New]]-tblPiNHistorical[[#This Row],[Education Old]])/tblPiNHistorical[[#This Row],[Education Old]], 1), "")</f>
        <v/>
      </c>
      <c r="AS594" s="141" t="str">
        <f>IFERROR(ROUND((tblPiNHistorical[[#This Row],[Food Security and Livlihoods New]]-tblPiNHistorical[[#This Row],[Food Security and Livlihoods Old]])/tblPiNHistorical[[#This Row],[Food Security and Livlihoods Old]], 1), "")</f>
        <v/>
      </c>
      <c r="AT594" s="142" t="str">
        <f>IFERROR(ROUND((tblPiNHistorical[[#This Row],[Health New]]-tblPiNHistorical[[#This Row],[Health Old]])/tblPiNHistorical[[#This Row],[Health Old]], 1), "")</f>
        <v/>
      </c>
      <c r="AU594" s="140" t="str">
        <f>IFERROR(ROUND((tblPiNHistorical[[#This Row],[Nutrition New]]-tblPiNHistorical[[#This Row],[Nutrition Old]])/tblPiNHistorical[[#This Row],[Nutrition Old]], 1), "")</f>
        <v/>
      </c>
      <c r="AV594" s="140" t="str">
        <f>IFERROR(ROUND((tblPiNHistorical[[#This Row],[Protection New]]-tblPiNHistorical[[#This Row],[Protection Old]])/tblPiNHistorical[[#This Row],[Protection Old]], 1), "")</f>
        <v/>
      </c>
      <c r="AW594" s="84" t="str">
        <f>IFERROR(ROUND((tblPiNHistorical[[#This Row],[CP New]]-tblPiNHistorical[[#This Row],[CP Old ]])/tblPiNHistorical[[#This Row],[CP Old ]], 1), "")</f>
        <v/>
      </c>
      <c r="AX594" s="84" t="str">
        <f>IFERROR(ROUND((tblPiNHistorical[[#This Row],[GBV New]]-tblPiNHistorical[[#This Row],[GBV Old]])/tblPiNHistorical[[#This Row],[GBV Old]], 1), "")</f>
        <v/>
      </c>
      <c r="AY594" s="84" t="str">
        <f>IFERROR(ROUND((tblPiNHistorical[[#This Row],[Mine Action New]]-tblPiNHistorical[[#This Row],[Mine Action Old]])/tblPiNHistorical[[#This Row],[Mine Action Old]], 1), "")</f>
        <v/>
      </c>
      <c r="AZ594" s="140" t="str">
        <f>IFERROR(ROUND((tblPiNHistorical[[#This Row],[Shelter NFI New]]-tblPiNHistorical[[#This Row],[Shelter NFI Old]])/tblPiNHistorical[[#This Row],[Shelter NFI Old]], 1), "")</f>
        <v/>
      </c>
      <c r="BA594" s="31" t="str">
        <f>IFERROR(ROUND((tblPiNHistorical[[#This Row],[WASH New]]-tblPiNHistorical[[#This Row],[WASH Old]])/tblPiNHistorical[[#This Row],[WASH Old]], 1), "")</f>
        <v/>
      </c>
    </row>
    <row r="595" spans="1:53" ht="38.25" x14ac:dyDescent="0.25">
      <c r="A595"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Non-displaced PopulationSD06135</v>
      </c>
      <c r="B595" s="134" t="s">
        <v>141</v>
      </c>
      <c r="C595" s="124" t="s">
        <v>123</v>
      </c>
      <c r="D595" s="124" t="s">
        <v>157</v>
      </c>
      <c r="E595" s="59" t="s">
        <v>156</v>
      </c>
      <c r="F595" s="54"/>
      <c r="G595" s="29"/>
      <c r="H595" s="53">
        <v>19675</v>
      </c>
      <c r="I595" s="53" t="s">
        <v>89</v>
      </c>
      <c r="J595" s="34">
        <v>0</v>
      </c>
      <c r="K595" s="116">
        <v>7627.9974999999995</v>
      </c>
      <c r="L595" s="114">
        <v>8856.1697999999997</v>
      </c>
      <c r="M595" s="114">
        <v>5155</v>
      </c>
      <c r="N595" s="114">
        <v>10278</v>
      </c>
      <c r="O595" s="114">
        <v>7870</v>
      </c>
      <c r="P595" s="114">
        <v>2164</v>
      </c>
      <c r="Q595" s="114">
        <v>1558</v>
      </c>
      <c r="R595" s="114">
        <v>7870</v>
      </c>
      <c r="S595" s="114">
        <v>3935</v>
      </c>
      <c r="T595" s="196">
        <v>19639.584999999999</v>
      </c>
      <c r="U595" s="52" t="str">
        <f>IFERROR(INDEX(tblPiNAnalysis[[Site Management ]], MATCH(tblPiNHistorical[[#This Row],[ID]], tblPiNAnalysis[ID], 0)), "")</f>
        <v/>
      </c>
      <c r="V595" s="52" t="str">
        <f>IFERROR(INDEX(tblPiNAnalysis[Education], MATCH(tblPiNHistorical[[#This Row],[ID]], tblPiNAnalysis[ID], 0)), "")</f>
        <v/>
      </c>
      <c r="W595" s="28" t="str">
        <f>IFERROR(INDEX(tblPiNAnalysis[Food Security and Livlihoods], MATCH(tblPiNHistorical[[#This Row],[ID]], tblPiNAnalysis[ID], 0)), "")</f>
        <v/>
      </c>
      <c r="X595" s="28" t="str">
        <f>IFERROR(INDEX(tblPiNAnalysis[[Health ]], MATCH(tblPiNHistorical[[#This Row],[ID]], tblPiNAnalysis[ID], 0)), "")</f>
        <v/>
      </c>
      <c r="Y595" s="28" t="str">
        <f>IFERROR(INDEX(tblPiNAnalysis[Nutrition], MATCH(tblPiNHistorical[[#This Row],[ID]], tblPiNAnalysis[ID], 0)), "")</f>
        <v/>
      </c>
      <c r="Z595" s="28" t="str">
        <f>IFERROR(INDEX(tblPiNAnalysis[Protection], MATCH(tblPiNHistorical[[#This Row],[ID]], tblPiNAnalysis[ID], 0)), "")</f>
        <v/>
      </c>
      <c r="AA595" s="28" t="str">
        <f>IFERROR(INDEX(tblPiNAnalysis[CP], MATCH(tblPiNHistorical[[#This Row],[ID]], tblPiNAnalysis[ID], 0)), "")</f>
        <v/>
      </c>
      <c r="AB595" s="83" t="str">
        <f>IFERROR(INDEX(tblPiNAnalysis[GBV], MATCH(tblPiNHistorical[[#This Row],[ID]], tblPiNAnalysis[ID], 0)), "")</f>
        <v/>
      </c>
      <c r="AC595" s="28" t="str">
        <f>IFERROR(INDEX(tblPiNAnalysis[Mine Action], MATCH(tblPiNHistorical[[#This Row],[ID]], tblPiNAnalysis[ID], 0)), "")</f>
        <v/>
      </c>
      <c r="AD595" s="83" t="str">
        <f>IFERROR(INDEX(tblPiNAnalysis[[Shelter NFI ]], MATCH(tblPiNHistorical[[#This Row],[ID]], tblPiNAnalysis[ID], 0)), "")</f>
        <v/>
      </c>
      <c r="AE595" s="28" t="str">
        <f>IFERROR(INDEX(tblPiNAnalysis[WASH], MATCH(tblPiNHistorical[[#This Row],[ID]], tblPiNAnalysis[ID], 0)), "")</f>
        <v/>
      </c>
      <c r="AF595"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595" s="136" t="str">
        <f>IF(OR(tblPiNHistorical[[#This Row],[Education Old]]="", tblPiNHistorical[[#This Row],[Education Old]]=0, tblPiNHistorical[[#This Row],[Education New]]="", tblPiNHistorical[[#This Row],[Education New]]=0), "", tblPiNHistorical[[#This Row],[Education New]]-tblPiNHistorical[[#This Row],[Education Old]])</f>
        <v/>
      </c>
      <c r="AH595"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595" s="137" t="str">
        <f>IF(OR(tblPiNHistorical[[#This Row],[Health Old]]="", tblPiNHistorical[[#This Row],[Health Old]]=0, tblPiNHistorical[[#This Row],[Health New]]="", tblPiNHistorical[[#This Row],[Health New]]=0), "", tblPiNHistorical[[#This Row],[Health New]]-tblPiNHistorical[[#This Row],[Health Old]])</f>
        <v/>
      </c>
      <c r="AJ595" s="136" t="str">
        <f>IF(OR(tblPiNHistorical[[#This Row],[Nutrition Old]]="", tblPiNHistorical[[#This Row],[Nutrition Old]]=0, tblPiNHistorical[[#This Row],[Nutrition New]]="", tblPiNHistorical[[#This Row],[Nutrition New]]=0), "", tblPiNHistorical[[#This Row],[Nutrition New]]-tblPiNHistorical[[#This Row],[Nutrition Old]])</f>
        <v/>
      </c>
      <c r="AK595" s="136" t="str">
        <f>IF(OR(tblPiNHistorical[[#This Row],[Protection Old]]="", tblPiNHistorical[[#This Row],[Protection Old]]=0, tblPiNHistorical[[#This Row],[Protection New]]="", tblPiNHistorical[[#This Row],[Protection New]]=0), "", tblPiNHistorical[[#This Row],[Protection New]]-tblPiNHistorical[[#This Row],[Protection Old]])</f>
        <v/>
      </c>
      <c r="AL595" s="136" t="str">
        <f>IF(OR(tblPiNHistorical[[#This Row],[CP Old ]]="", tblPiNHistorical[[#This Row],[CP Old ]]=0, tblPiNHistorical[[#This Row],[CP New]]="", tblPiNHistorical[[#This Row],[CP New]]=0), "", tblPiNHistorical[[#This Row],[CP New]]-tblPiNHistorical[[#This Row],[CP Old ]])</f>
        <v/>
      </c>
      <c r="AM595" s="83" t="str">
        <f>IF(OR(tblPiNHistorical[[#This Row],[GBV Old]]="", tblPiNHistorical[[#This Row],[GBV Old]]=0, tblPiNHistorical[[#This Row],[GBV New]]="", tblPiNHistorical[[#This Row],[GBV New]]=0), "", tblPiNHistorical[[#This Row],[GBV New]]-tblPiNHistorical[[#This Row],[GBV Old]])</f>
        <v/>
      </c>
      <c r="AN595" s="83" t="str">
        <f>IF(OR(tblPiNHistorical[[#This Row],[Mine Action Old]]="", tblPiNHistorical[[#This Row],[Mine Action Old]]=0, tblPiNHistorical[[#This Row],[Mine Action New]]="", tblPiNHistorical[[#This Row],[Mine Action New]]=0), "", tblPiNHistorical[[#This Row],[Mine Action New]]-tblPiNHistorical[[#This Row],[Mine Action Old]])</f>
        <v/>
      </c>
      <c r="AO595" s="136" t="str">
        <f>IF(OR(tblPiNHistorical[[#This Row],[Shelter NFI Old]]="", tblPiNHistorical[[#This Row],[Shelter NFI Old]]=0, tblPiNHistorical[[#This Row],[Shelter NFI New]]="", tblPiNHistorical[[#This Row],[Shelter NFI New]]=0), "", tblPiNHistorical[[#This Row],[Shelter NFI New]]-tblPiNHistorical[[#This Row],[Shelter NFI Old]])</f>
        <v/>
      </c>
      <c r="AP595" s="138" t="str">
        <f>IF(OR(tblPiNHistorical[[#This Row],[WASH Old]]="", tblPiNHistorical[[#This Row],[WASH Old]]=0, tblPiNHistorical[[#This Row],[WASH New]]="", tblPiNHistorical[[#This Row],[WASH New]]=0), "", tblPiNHistorical[[#This Row],[WASH New]]-tblPiNHistorical[[#This Row],[WASH Old]])</f>
        <v/>
      </c>
      <c r="AQ595" s="139" t="str">
        <f>IFERROR(ROUND((tblPiNHistorical[[#This Row],[Site Management - New]] - tblPiNHistorical[[#This Row],[Site Management - Old]])/tblPiNHistorical[[#This Row],[Site Management - Old]], 1), "")</f>
        <v/>
      </c>
      <c r="AR595" s="140" t="str">
        <f>IFERROR(ROUND((tblPiNHistorical[[#This Row],[Education New]]-tblPiNHistorical[[#This Row],[Education Old]])/tblPiNHistorical[[#This Row],[Education Old]], 1), "")</f>
        <v/>
      </c>
      <c r="AS595" s="141" t="str">
        <f>IFERROR(ROUND((tblPiNHistorical[[#This Row],[Food Security and Livlihoods New]]-tblPiNHistorical[[#This Row],[Food Security and Livlihoods Old]])/tblPiNHistorical[[#This Row],[Food Security and Livlihoods Old]], 1), "")</f>
        <v/>
      </c>
      <c r="AT595" s="142" t="str">
        <f>IFERROR(ROUND((tblPiNHistorical[[#This Row],[Health New]]-tblPiNHistorical[[#This Row],[Health Old]])/tblPiNHistorical[[#This Row],[Health Old]], 1), "")</f>
        <v/>
      </c>
      <c r="AU595" s="140" t="str">
        <f>IFERROR(ROUND((tblPiNHistorical[[#This Row],[Nutrition New]]-tblPiNHistorical[[#This Row],[Nutrition Old]])/tblPiNHistorical[[#This Row],[Nutrition Old]], 1), "")</f>
        <v/>
      </c>
      <c r="AV595" s="140" t="str">
        <f>IFERROR(ROUND((tblPiNHistorical[[#This Row],[Protection New]]-tblPiNHistorical[[#This Row],[Protection Old]])/tblPiNHistorical[[#This Row],[Protection Old]], 1), "")</f>
        <v/>
      </c>
      <c r="AW595" s="84" t="str">
        <f>IFERROR(ROUND((tblPiNHistorical[[#This Row],[CP New]]-tblPiNHistorical[[#This Row],[CP Old ]])/tblPiNHistorical[[#This Row],[CP Old ]], 1), "")</f>
        <v/>
      </c>
      <c r="AX595" s="84" t="str">
        <f>IFERROR(ROUND((tblPiNHistorical[[#This Row],[GBV New]]-tblPiNHistorical[[#This Row],[GBV Old]])/tblPiNHistorical[[#This Row],[GBV Old]], 1), "")</f>
        <v/>
      </c>
      <c r="AY595" s="84" t="str">
        <f>IFERROR(ROUND((tblPiNHistorical[[#This Row],[Mine Action New]]-tblPiNHistorical[[#This Row],[Mine Action Old]])/tblPiNHistorical[[#This Row],[Mine Action Old]], 1), "")</f>
        <v/>
      </c>
      <c r="AZ595" s="140" t="str">
        <f>IFERROR(ROUND((tblPiNHistorical[[#This Row],[Shelter NFI New]]-tblPiNHistorical[[#This Row],[Shelter NFI Old]])/tblPiNHistorical[[#This Row],[Shelter NFI Old]], 1), "")</f>
        <v/>
      </c>
      <c r="BA595" s="31" t="str">
        <f>IFERROR(ROUND((tblPiNHistorical[[#This Row],[WASH New]]-tblPiNHistorical[[#This Row],[WASH Old]])/tblPiNHistorical[[#This Row],[WASH Old]], 1), "")</f>
        <v/>
      </c>
    </row>
    <row r="596" spans="1:53" ht="38.25" x14ac:dyDescent="0.25">
      <c r="A596"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Non-displaced PopulationSD06137</v>
      </c>
      <c r="B596" s="134" t="s">
        <v>141</v>
      </c>
      <c r="C596" s="124" t="s">
        <v>123</v>
      </c>
      <c r="D596" s="124" t="s">
        <v>160</v>
      </c>
      <c r="E596" s="59" t="s">
        <v>159</v>
      </c>
      <c r="F596" s="54"/>
      <c r="G596" s="29"/>
      <c r="H596" s="53">
        <v>119424.2</v>
      </c>
      <c r="I596" s="53" t="s">
        <v>89</v>
      </c>
      <c r="J596" s="34">
        <v>0</v>
      </c>
      <c r="K596" s="116">
        <v>46300.762340000001</v>
      </c>
      <c r="L596" s="114">
        <v>52712.1</v>
      </c>
      <c r="M596" s="114">
        <v>7450</v>
      </c>
      <c r="N596" s="114">
        <v>28763</v>
      </c>
      <c r="O596" s="114">
        <v>13136.662</v>
      </c>
      <c r="P596" s="114">
        <v>13137</v>
      </c>
      <c r="Q596" s="114">
        <v>9454</v>
      </c>
      <c r="R596" s="114">
        <v>11942.42</v>
      </c>
      <c r="S596" s="114">
        <v>23885</v>
      </c>
      <c r="T596" s="196">
        <v>67176.112499999988</v>
      </c>
      <c r="U596" s="52" t="str">
        <f>IFERROR(INDEX(tblPiNAnalysis[[Site Management ]], MATCH(tblPiNHistorical[[#This Row],[ID]], tblPiNAnalysis[ID], 0)), "")</f>
        <v/>
      </c>
      <c r="V596" s="52" t="str">
        <f>IFERROR(INDEX(tblPiNAnalysis[Education], MATCH(tblPiNHistorical[[#This Row],[ID]], tblPiNAnalysis[ID], 0)), "")</f>
        <v/>
      </c>
      <c r="W596" s="28" t="str">
        <f>IFERROR(INDEX(tblPiNAnalysis[Food Security and Livlihoods], MATCH(tblPiNHistorical[[#This Row],[ID]], tblPiNAnalysis[ID], 0)), "")</f>
        <v/>
      </c>
      <c r="X596" s="28" t="str">
        <f>IFERROR(INDEX(tblPiNAnalysis[[Health ]], MATCH(tblPiNHistorical[[#This Row],[ID]], tblPiNAnalysis[ID], 0)), "")</f>
        <v/>
      </c>
      <c r="Y596" s="28" t="str">
        <f>IFERROR(INDEX(tblPiNAnalysis[Nutrition], MATCH(tblPiNHistorical[[#This Row],[ID]], tblPiNAnalysis[ID], 0)), "")</f>
        <v/>
      </c>
      <c r="Z596" s="28" t="str">
        <f>IFERROR(INDEX(tblPiNAnalysis[Protection], MATCH(tblPiNHistorical[[#This Row],[ID]], tblPiNAnalysis[ID], 0)), "")</f>
        <v/>
      </c>
      <c r="AA596" s="28" t="str">
        <f>IFERROR(INDEX(tblPiNAnalysis[CP], MATCH(tblPiNHistorical[[#This Row],[ID]], tblPiNAnalysis[ID], 0)), "")</f>
        <v/>
      </c>
      <c r="AB596" s="83" t="str">
        <f>IFERROR(INDEX(tblPiNAnalysis[GBV], MATCH(tblPiNHistorical[[#This Row],[ID]], tblPiNAnalysis[ID], 0)), "")</f>
        <v/>
      </c>
      <c r="AC596" s="28" t="str">
        <f>IFERROR(INDEX(tblPiNAnalysis[Mine Action], MATCH(tblPiNHistorical[[#This Row],[ID]], tblPiNAnalysis[ID], 0)), "")</f>
        <v/>
      </c>
      <c r="AD596" s="83" t="str">
        <f>IFERROR(INDEX(tblPiNAnalysis[[Shelter NFI ]], MATCH(tblPiNHistorical[[#This Row],[ID]], tblPiNAnalysis[ID], 0)), "")</f>
        <v/>
      </c>
      <c r="AE596" s="28" t="str">
        <f>IFERROR(INDEX(tblPiNAnalysis[WASH], MATCH(tblPiNHistorical[[#This Row],[ID]], tblPiNAnalysis[ID], 0)), "")</f>
        <v/>
      </c>
      <c r="AF596"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596" s="136" t="str">
        <f>IF(OR(tblPiNHistorical[[#This Row],[Education Old]]="", tblPiNHistorical[[#This Row],[Education Old]]=0, tblPiNHistorical[[#This Row],[Education New]]="", tblPiNHistorical[[#This Row],[Education New]]=0), "", tblPiNHistorical[[#This Row],[Education New]]-tblPiNHistorical[[#This Row],[Education Old]])</f>
        <v/>
      </c>
      <c r="AH596"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596" s="137" t="str">
        <f>IF(OR(tblPiNHistorical[[#This Row],[Health Old]]="", tblPiNHistorical[[#This Row],[Health Old]]=0, tblPiNHistorical[[#This Row],[Health New]]="", tblPiNHistorical[[#This Row],[Health New]]=0), "", tblPiNHistorical[[#This Row],[Health New]]-tblPiNHistorical[[#This Row],[Health Old]])</f>
        <v/>
      </c>
      <c r="AJ596" s="136" t="str">
        <f>IF(OR(tblPiNHistorical[[#This Row],[Nutrition Old]]="", tblPiNHistorical[[#This Row],[Nutrition Old]]=0, tblPiNHistorical[[#This Row],[Nutrition New]]="", tblPiNHistorical[[#This Row],[Nutrition New]]=0), "", tblPiNHistorical[[#This Row],[Nutrition New]]-tblPiNHistorical[[#This Row],[Nutrition Old]])</f>
        <v/>
      </c>
      <c r="AK596" s="136" t="str">
        <f>IF(OR(tblPiNHistorical[[#This Row],[Protection Old]]="", tblPiNHistorical[[#This Row],[Protection Old]]=0, tblPiNHistorical[[#This Row],[Protection New]]="", tblPiNHistorical[[#This Row],[Protection New]]=0), "", tblPiNHistorical[[#This Row],[Protection New]]-tblPiNHistorical[[#This Row],[Protection Old]])</f>
        <v/>
      </c>
      <c r="AL596" s="136" t="str">
        <f>IF(OR(tblPiNHistorical[[#This Row],[CP Old ]]="", tblPiNHistorical[[#This Row],[CP Old ]]=0, tblPiNHistorical[[#This Row],[CP New]]="", tblPiNHistorical[[#This Row],[CP New]]=0), "", tblPiNHistorical[[#This Row],[CP New]]-tblPiNHistorical[[#This Row],[CP Old ]])</f>
        <v/>
      </c>
      <c r="AM596" s="83" t="str">
        <f>IF(OR(tblPiNHistorical[[#This Row],[GBV Old]]="", tblPiNHistorical[[#This Row],[GBV Old]]=0, tblPiNHistorical[[#This Row],[GBV New]]="", tblPiNHistorical[[#This Row],[GBV New]]=0), "", tblPiNHistorical[[#This Row],[GBV New]]-tblPiNHistorical[[#This Row],[GBV Old]])</f>
        <v/>
      </c>
      <c r="AN596" s="83" t="str">
        <f>IF(OR(tblPiNHistorical[[#This Row],[Mine Action Old]]="", tblPiNHistorical[[#This Row],[Mine Action Old]]=0, tblPiNHistorical[[#This Row],[Mine Action New]]="", tblPiNHistorical[[#This Row],[Mine Action New]]=0), "", tblPiNHistorical[[#This Row],[Mine Action New]]-tblPiNHistorical[[#This Row],[Mine Action Old]])</f>
        <v/>
      </c>
      <c r="AO596" s="136" t="str">
        <f>IF(OR(tblPiNHistorical[[#This Row],[Shelter NFI Old]]="", tblPiNHistorical[[#This Row],[Shelter NFI Old]]=0, tblPiNHistorical[[#This Row],[Shelter NFI New]]="", tblPiNHistorical[[#This Row],[Shelter NFI New]]=0), "", tblPiNHistorical[[#This Row],[Shelter NFI New]]-tblPiNHistorical[[#This Row],[Shelter NFI Old]])</f>
        <v/>
      </c>
      <c r="AP596" s="138" t="str">
        <f>IF(OR(tblPiNHistorical[[#This Row],[WASH Old]]="", tblPiNHistorical[[#This Row],[WASH Old]]=0, tblPiNHistorical[[#This Row],[WASH New]]="", tblPiNHistorical[[#This Row],[WASH New]]=0), "", tblPiNHistorical[[#This Row],[WASH New]]-tblPiNHistorical[[#This Row],[WASH Old]])</f>
        <v/>
      </c>
      <c r="AQ596" s="139" t="str">
        <f>IFERROR(ROUND((tblPiNHistorical[[#This Row],[Site Management - New]] - tblPiNHistorical[[#This Row],[Site Management - Old]])/tblPiNHistorical[[#This Row],[Site Management - Old]], 1), "")</f>
        <v/>
      </c>
      <c r="AR596" s="140" t="str">
        <f>IFERROR(ROUND((tblPiNHistorical[[#This Row],[Education New]]-tblPiNHistorical[[#This Row],[Education Old]])/tblPiNHistorical[[#This Row],[Education Old]], 1), "")</f>
        <v/>
      </c>
      <c r="AS596" s="141" t="str">
        <f>IFERROR(ROUND((tblPiNHistorical[[#This Row],[Food Security and Livlihoods New]]-tblPiNHistorical[[#This Row],[Food Security and Livlihoods Old]])/tblPiNHistorical[[#This Row],[Food Security and Livlihoods Old]], 1), "")</f>
        <v/>
      </c>
      <c r="AT596" s="142" t="str">
        <f>IFERROR(ROUND((tblPiNHistorical[[#This Row],[Health New]]-tblPiNHistorical[[#This Row],[Health Old]])/tblPiNHistorical[[#This Row],[Health Old]], 1), "")</f>
        <v/>
      </c>
      <c r="AU596" s="140" t="str">
        <f>IFERROR(ROUND((tblPiNHistorical[[#This Row],[Nutrition New]]-tblPiNHistorical[[#This Row],[Nutrition Old]])/tblPiNHistorical[[#This Row],[Nutrition Old]], 1), "")</f>
        <v/>
      </c>
      <c r="AV596" s="140" t="str">
        <f>IFERROR(ROUND((tblPiNHistorical[[#This Row],[Protection New]]-tblPiNHistorical[[#This Row],[Protection Old]])/tblPiNHistorical[[#This Row],[Protection Old]], 1), "")</f>
        <v/>
      </c>
      <c r="AW596" s="84" t="str">
        <f>IFERROR(ROUND((tblPiNHistorical[[#This Row],[CP New]]-tblPiNHistorical[[#This Row],[CP Old ]])/tblPiNHistorical[[#This Row],[CP Old ]], 1), "")</f>
        <v/>
      </c>
      <c r="AX596" s="84" t="str">
        <f>IFERROR(ROUND((tblPiNHistorical[[#This Row],[GBV New]]-tblPiNHistorical[[#This Row],[GBV Old]])/tblPiNHistorical[[#This Row],[GBV Old]], 1), "")</f>
        <v/>
      </c>
      <c r="AY596" s="84" t="str">
        <f>IFERROR(ROUND((tblPiNHistorical[[#This Row],[Mine Action New]]-tblPiNHistorical[[#This Row],[Mine Action Old]])/tblPiNHistorical[[#This Row],[Mine Action Old]], 1), "")</f>
        <v/>
      </c>
      <c r="AZ596" s="140" t="str">
        <f>IFERROR(ROUND((tblPiNHistorical[[#This Row],[Shelter NFI New]]-tblPiNHistorical[[#This Row],[Shelter NFI Old]])/tblPiNHistorical[[#This Row],[Shelter NFI Old]], 1), "")</f>
        <v/>
      </c>
      <c r="BA596" s="31" t="str">
        <f>IFERROR(ROUND((tblPiNHistorical[[#This Row],[WASH New]]-tblPiNHistorical[[#This Row],[WASH Old]])/tblPiNHistorical[[#This Row],[WASH Old]], 1), "")</f>
        <v/>
      </c>
    </row>
    <row r="597" spans="1:53" ht="38.25" x14ac:dyDescent="0.25">
      <c r="A597"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Non-displaced PopulationSD06139</v>
      </c>
      <c r="B597" s="134" t="s">
        <v>141</v>
      </c>
      <c r="C597" s="124" t="s">
        <v>123</v>
      </c>
      <c r="D597" s="124" t="s">
        <v>166</v>
      </c>
      <c r="E597" s="59" t="s">
        <v>165</v>
      </c>
      <c r="F597" s="54"/>
      <c r="G597" s="29"/>
      <c r="H597" s="53">
        <v>18103.75</v>
      </c>
      <c r="I597" s="53" t="s">
        <v>89</v>
      </c>
      <c r="J597" s="34">
        <v>0</v>
      </c>
      <c r="K597" s="116">
        <v>7018.823875</v>
      </c>
      <c r="L597" s="114">
        <v>9957.0625</v>
      </c>
      <c r="M597" s="114">
        <v>0</v>
      </c>
      <c r="N597" s="114">
        <v>1885</v>
      </c>
      <c r="O597" s="114">
        <v>2715.5625</v>
      </c>
      <c r="P597" s="114">
        <v>1991</v>
      </c>
      <c r="Q597" s="114">
        <v>1433</v>
      </c>
      <c r="R597" s="114">
        <v>2715.5625</v>
      </c>
      <c r="S597" s="114">
        <v>3621</v>
      </c>
      <c r="T597" s="196">
        <v>12189.254875000001</v>
      </c>
      <c r="U597" s="52" t="str">
        <f>IFERROR(INDEX(tblPiNAnalysis[[Site Management ]], MATCH(tblPiNHistorical[[#This Row],[ID]], tblPiNAnalysis[ID], 0)), "")</f>
        <v/>
      </c>
      <c r="V597" s="52" t="str">
        <f>IFERROR(INDEX(tblPiNAnalysis[Education], MATCH(tblPiNHistorical[[#This Row],[ID]], tblPiNAnalysis[ID], 0)), "")</f>
        <v/>
      </c>
      <c r="W597" s="28" t="str">
        <f>IFERROR(INDEX(tblPiNAnalysis[Food Security and Livlihoods], MATCH(tblPiNHistorical[[#This Row],[ID]], tblPiNAnalysis[ID], 0)), "")</f>
        <v/>
      </c>
      <c r="X597" s="28" t="str">
        <f>IFERROR(INDEX(tblPiNAnalysis[[Health ]], MATCH(tblPiNHistorical[[#This Row],[ID]], tblPiNAnalysis[ID], 0)), "")</f>
        <v/>
      </c>
      <c r="Y597" s="28" t="str">
        <f>IFERROR(INDEX(tblPiNAnalysis[Nutrition], MATCH(tblPiNHistorical[[#This Row],[ID]], tblPiNAnalysis[ID], 0)), "")</f>
        <v/>
      </c>
      <c r="Z597" s="28" t="str">
        <f>IFERROR(INDEX(tblPiNAnalysis[Protection], MATCH(tblPiNHistorical[[#This Row],[ID]], tblPiNAnalysis[ID], 0)), "")</f>
        <v/>
      </c>
      <c r="AA597" s="28" t="str">
        <f>IFERROR(INDEX(tblPiNAnalysis[CP], MATCH(tblPiNHistorical[[#This Row],[ID]], tblPiNAnalysis[ID], 0)), "")</f>
        <v/>
      </c>
      <c r="AB597" s="83" t="str">
        <f>IFERROR(INDEX(tblPiNAnalysis[GBV], MATCH(tblPiNHistorical[[#This Row],[ID]], tblPiNAnalysis[ID], 0)), "")</f>
        <v/>
      </c>
      <c r="AC597" s="28" t="str">
        <f>IFERROR(INDEX(tblPiNAnalysis[Mine Action], MATCH(tblPiNHistorical[[#This Row],[ID]], tblPiNAnalysis[ID], 0)), "")</f>
        <v/>
      </c>
      <c r="AD597" s="83" t="str">
        <f>IFERROR(INDEX(tblPiNAnalysis[[Shelter NFI ]], MATCH(tblPiNHistorical[[#This Row],[ID]], tblPiNAnalysis[ID], 0)), "")</f>
        <v/>
      </c>
      <c r="AE597" s="28" t="str">
        <f>IFERROR(INDEX(tblPiNAnalysis[WASH], MATCH(tblPiNHistorical[[#This Row],[ID]], tblPiNAnalysis[ID], 0)), "")</f>
        <v/>
      </c>
      <c r="AF597"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597" s="136" t="str">
        <f>IF(OR(tblPiNHistorical[[#This Row],[Education Old]]="", tblPiNHistorical[[#This Row],[Education Old]]=0, tblPiNHistorical[[#This Row],[Education New]]="", tblPiNHistorical[[#This Row],[Education New]]=0), "", tblPiNHistorical[[#This Row],[Education New]]-tblPiNHistorical[[#This Row],[Education Old]])</f>
        <v/>
      </c>
      <c r="AH597"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597" s="137" t="str">
        <f>IF(OR(tblPiNHistorical[[#This Row],[Health Old]]="", tblPiNHistorical[[#This Row],[Health Old]]=0, tblPiNHistorical[[#This Row],[Health New]]="", tblPiNHistorical[[#This Row],[Health New]]=0), "", tblPiNHistorical[[#This Row],[Health New]]-tblPiNHistorical[[#This Row],[Health Old]])</f>
        <v/>
      </c>
      <c r="AJ597" s="136" t="str">
        <f>IF(OR(tblPiNHistorical[[#This Row],[Nutrition Old]]="", tblPiNHistorical[[#This Row],[Nutrition Old]]=0, tblPiNHistorical[[#This Row],[Nutrition New]]="", tblPiNHistorical[[#This Row],[Nutrition New]]=0), "", tblPiNHistorical[[#This Row],[Nutrition New]]-tblPiNHistorical[[#This Row],[Nutrition Old]])</f>
        <v/>
      </c>
      <c r="AK597" s="136" t="str">
        <f>IF(OR(tblPiNHistorical[[#This Row],[Protection Old]]="", tblPiNHistorical[[#This Row],[Protection Old]]=0, tblPiNHistorical[[#This Row],[Protection New]]="", tblPiNHistorical[[#This Row],[Protection New]]=0), "", tblPiNHistorical[[#This Row],[Protection New]]-tblPiNHistorical[[#This Row],[Protection Old]])</f>
        <v/>
      </c>
      <c r="AL597" s="136" t="str">
        <f>IF(OR(tblPiNHistorical[[#This Row],[CP Old ]]="", tblPiNHistorical[[#This Row],[CP Old ]]=0, tblPiNHistorical[[#This Row],[CP New]]="", tblPiNHistorical[[#This Row],[CP New]]=0), "", tblPiNHistorical[[#This Row],[CP New]]-tblPiNHistorical[[#This Row],[CP Old ]])</f>
        <v/>
      </c>
      <c r="AM597" s="83" t="str">
        <f>IF(OR(tblPiNHistorical[[#This Row],[GBV Old]]="", tblPiNHistorical[[#This Row],[GBV Old]]=0, tblPiNHistorical[[#This Row],[GBV New]]="", tblPiNHistorical[[#This Row],[GBV New]]=0), "", tblPiNHistorical[[#This Row],[GBV New]]-tblPiNHistorical[[#This Row],[GBV Old]])</f>
        <v/>
      </c>
      <c r="AN597" s="83" t="str">
        <f>IF(OR(tblPiNHistorical[[#This Row],[Mine Action Old]]="", tblPiNHistorical[[#This Row],[Mine Action Old]]=0, tblPiNHistorical[[#This Row],[Mine Action New]]="", tblPiNHistorical[[#This Row],[Mine Action New]]=0), "", tblPiNHistorical[[#This Row],[Mine Action New]]-tblPiNHistorical[[#This Row],[Mine Action Old]])</f>
        <v/>
      </c>
      <c r="AO597" s="136" t="str">
        <f>IF(OR(tblPiNHistorical[[#This Row],[Shelter NFI Old]]="", tblPiNHistorical[[#This Row],[Shelter NFI Old]]=0, tblPiNHistorical[[#This Row],[Shelter NFI New]]="", tblPiNHistorical[[#This Row],[Shelter NFI New]]=0), "", tblPiNHistorical[[#This Row],[Shelter NFI New]]-tblPiNHistorical[[#This Row],[Shelter NFI Old]])</f>
        <v/>
      </c>
      <c r="AP597" s="138" t="str">
        <f>IF(OR(tblPiNHistorical[[#This Row],[WASH Old]]="", tblPiNHistorical[[#This Row],[WASH Old]]=0, tblPiNHistorical[[#This Row],[WASH New]]="", tblPiNHistorical[[#This Row],[WASH New]]=0), "", tblPiNHistorical[[#This Row],[WASH New]]-tblPiNHistorical[[#This Row],[WASH Old]])</f>
        <v/>
      </c>
      <c r="AQ597" s="139" t="str">
        <f>IFERROR(ROUND((tblPiNHistorical[[#This Row],[Site Management - New]] - tblPiNHistorical[[#This Row],[Site Management - Old]])/tblPiNHistorical[[#This Row],[Site Management - Old]], 1), "")</f>
        <v/>
      </c>
      <c r="AR597" s="140" t="str">
        <f>IFERROR(ROUND((tblPiNHistorical[[#This Row],[Education New]]-tblPiNHistorical[[#This Row],[Education Old]])/tblPiNHistorical[[#This Row],[Education Old]], 1), "")</f>
        <v/>
      </c>
      <c r="AS597" s="141" t="str">
        <f>IFERROR(ROUND((tblPiNHistorical[[#This Row],[Food Security and Livlihoods New]]-tblPiNHistorical[[#This Row],[Food Security and Livlihoods Old]])/tblPiNHistorical[[#This Row],[Food Security and Livlihoods Old]], 1), "")</f>
        <v/>
      </c>
      <c r="AT597" s="142" t="str">
        <f>IFERROR(ROUND((tblPiNHistorical[[#This Row],[Health New]]-tblPiNHistorical[[#This Row],[Health Old]])/tblPiNHistorical[[#This Row],[Health Old]], 1), "")</f>
        <v/>
      </c>
      <c r="AU597" s="140" t="str">
        <f>IFERROR(ROUND((tblPiNHistorical[[#This Row],[Nutrition New]]-tblPiNHistorical[[#This Row],[Nutrition Old]])/tblPiNHistorical[[#This Row],[Nutrition Old]], 1), "")</f>
        <v/>
      </c>
      <c r="AV597" s="140" t="str">
        <f>IFERROR(ROUND((tblPiNHistorical[[#This Row],[Protection New]]-tblPiNHistorical[[#This Row],[Protection Old]])/tblPiNHistorical[[#This Row],[Protection Old]], 1), "")</f>
        <v/>
      </c>
      <c r="AW597" s="84" t="str">
        <f>IFERROR(ROUND((tblPiNHistorical[[#This Row],[CP New]]-tblPiNHistorical[[#This Row],[CP Old ]])/tblPiNHistorical[[#This Row],[CP Old ]], 1), "")</f>
        <v/>
      </c>
      <c r="AX597" s="84" t="str">
        <f>IFERROR(ROUND((tblPiNHistorical[[#This Row],[GBV New]]-tblPiNHistorical[[#This Row],[GBV Old]])/tblPiNHistorical[[#This Row],[GBV Old]], 1), "")</f>
        <v/>
      </c>
      <c r="AY597" s="84" t="str">
        <f>IFERROR(ROUND((tblPiNHistorical[[#This Row],[Mine Action New]]-tblPiNHistorical[[#This Row],[Mine Action Old]])/tblPiNHistorical[[#This Row],[Mine Action Old]], 1), "")</f>
        <v/>
      </c>
      <c r="AZ597" s="140" t="str">
        <f>IFERROR(ROUND((tblPiNHistorical[[#This Row],[Shelter NFI New]]-tblPiNHistorical[[#This Row],[Shelter NFI Old]])/tblPiNHistorical[[#This Row],[Shelter NFI Old]], 1), "")</f>
        <v/>
      </c>
      <c r="BA597" s="31" t="str">
        <f>IFERROR(ROUND((tblPiNHistorical[[#This Row],[WASH New]]-tblPiNHistorical[[#This Row],[WASH Old]])/tblPiNHistorical[[#This Row],[WASH Old]], 1), "")</f>
        <v/>
      </c>
    </row>
    <row r="598" spans="1:53" ht="38.25" x14ac:dyDescent="0.25">
      <c r="A598"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Non-displaced PopulationSD06138</v>
      </c>
      <c r="B598" s="134" t="s">
        <v>141</v>
      </c>
      <c r="C598" s="124" t="s">
        <v>123</v>
      </c>
      <c r="D598" s="124" t="s">
        <v>163</v>
      </c>
      <c r="E598" s="59" t="s">
        <v>162</v>
      </c>
      <c r="F598" s="54"/>
      <c r="G598" s="29"/>
      <c r="H598" s="53">
        <v>0</v>
      </c>
      <c r="I598" s="53" t="s">
        <v>89</v>
      </c>
      <c r="J598" s="34">
        <v>0</v>
      </c>
      <c r="K598" s="116">
        <v>0</v>
      </c>
      <c r="L598" s="114">
        <v>0</v>
      </c>
      <c r="M598" s="114">
        <v>10325</v>
      </c>
      <c r="N598" s="114">
        <v>0</v>
      </c>
      <c r="O598" s="114">
        <v>0</v>
      </c>
      <c r="P598" s="114">
        <v>0</v>
      </c>
      <c r="Q598" s="114">
        <v>0</v>
      </c>
      <c r="R598" s="114">
        <v>0</v>
      </c>
      <c r="S598" s="114">
        <v>0</v>
      </c>
      <c r="T598" s="196">
        <v>0</v>
      </c>
      <c r="U598" s="52" t="str">
        <f>IFERROR(INDEX(tblPiNAnalysis[[Site Management ]], MATCH(tblPiNHistorical[[#This Row],[ID]], tblPiNAnalysis[ID], 0)), "")</f>
        <v/>
      </c>
      <c r="V598" s="52" t="str">
        <f>IFERROR(INDEX(tblPiNAnalysis[Education], MATCH(tblPiNHistorical[[#This Row],[ID]], tblPiNAnalysis[ID], 0)), "")</f>
        <v/>
      </c>
      <c r="W598" s="28" t="str">
        <f>IFERROR(INDEX(tblPiNAnalysis[Food Security and Livlihoods], MATCH(tblPiNHistorical[[#This Row],[ID]], tblPiNAnalysis[ID], 0)), "")</f>
        <v/>
      </c>
      <c r="X598" s="28" t="str">
        <f>IFERROR(INDEX(tblPiNAnalysis[[Health ]], MATCH(tblPiNHistorical[[#This Row],[ID]], tblPiNAnalysis[ID], 0)), "")</f>
        <v/>
      </c>
      <c r="Y598" s="28" t="str">
        <f>IFERROR(INDEX(tblPiNAnalysis[Nutrition], MATCH(tblPiNHistorical[[#This Row],[ID]], tblPiNAnalysis[ID], 0)), "")</f>
        <v/>
      </c>
      <c r="Z598" s="28" t="str">
        <f>IFERROR(INDEX(tblPiNAnalysis[Protection], MATCH(tblPiNHistorical[[#This Row],[ID]], tblPiNAnalysis[ID], 0)), "")</f>
        <v/>
      </c>
      <c r="AA598" s="28" t="str">
        <f>IFERROR(INDEX(tblPiNAnalysis[CP], MATCH(tblPiNHistorical[[#This Row],[ID]], tblPiNAnalysis[ID], 0)), "")</f>
        <v/>
      </c>
      <c r="AB598" s="83" t="str">
        <f>IFERROR(INDEX(tblPiNAnalysis[GBV], MATCH(tblPiNHistorical[[#This Row],[ID]], tblPiNAnalysis[ID], 0)), "")</f>
        <v/>
      </c>
      <c r="AC598" s="28" t="str">
        <f>IFERROR(INDEX(tblPiNAnalysis[Mine Action], MATCH(tblPiNHistorical[[#This Row],[ID]], tblPiNAnalysis[ID], 0)), "")</f>
        <v/>
      </c>
      <c r="AD598" s="83" t="str">
        <f>IFERROR(INDEX(tblPiNAnalysis[[Shelter NFI ]], MATCH(tblPiNHistorical[[#This Row],[ID]], tblPiNAnalysis[ID], 0)), "")</f>
        <v/>
      </c>
      <c r="AE598" s="28" t="str">
        <f>IFERROR(INDEX(tblPiNAnalysis[WASH], MATCH(tblPiNHistorical[[#This Row],[ID]], tblPiNAnalysis[ID], 0)), "")</f>
        <v/>
      </c>
      <c r="AF598"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598" s="136" t="str">
        <f>IF(OR(tblPiNHistorical[[#This Row],[Education Old]]="", tblPiNHistorical[[#This Row],[Education Old]]=0, tblPiNHistorical[[#This Row],[Education New]]="", tblPiNHistorical[[#This Row],[Education New]]=0), "", tblPiNHistorical[[#This Row],[Education New]]-tblPiNHistorical[[#This Row],[Education Old]])</f>
        <v/>
      </c>
      <c r="AH598"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598" s="137" t="str">
        <f>IF(OR(tblPiNHistorical[[#This Row],[Health Old]]="", tblPiNHistorical[[#This Row],[Health Old]]=0, tblPiNHistorical[[#This Row],[Health New]]="", tblPiNHistorical[[#This Row],[Health New]]=0), "", tblPiNHistorical[[#This Row],[Health New]]-tblPiNHistorical[[#This Row],[Health Old]])</f>
        <v/>
      </c>
      <c r="AJ598" s="136" t="str">
        <f>IF(OR(tblPiNHistorical[[#This Row],[Nutrition Old]]="", tblPiNHistorical[[#This Row],[Nutrition Old]]=0, tblPiNHistorical[[#This Row],[Nutrition New]]="", tblPiNHistorical[[#This Row],[Nutrition New]]=0), "", tblPiNHistorical[[#This Row],[Nutrition New]]-tblPiNHistorical[[#This Row],[Nutrition Old]])</f>
        <v/>
      </c>
      <c r="AK598" s="136" t="str">
        <f>IF(OR(tblPiNHistorical[[#This Row],[Protection Old]]="", tblPiNHistorical[[#This Row],[Protection Old]]=0, tblPiNHistorical[[#This Row],[Protection New]]="", tblPiNHistorical[[#This Row],[Protection New]]=0), "", tblPiNHistorical[[#This Row],[Protection New]]-tblPiNHistorical[[#This Row],[Protection Old]])</f>
        <v/>
      </c>
      <c r="AL598" s="136" t="str">
        <f>IF(OR(tblPiNHistorical[[#This Row],[CP Old ]]="", tblPiNHistorical[[#This Row],[CP Old ]]=0, tblPiNHistorical[[#This Row],[CP New]]="", tblPiNHistorical[[#This Row],[CP New]]=0), "", tblPiNHistorical[[#This Row],[CP New]]-tblPiNHistorical[[#This Row],[CP Old ]])</f>
        <v/>
      </c>
      <c r="AM598" s="83" t="str">
        <f>IF(OR(tblPiNHistorical[[#This Row],[GBV Old]]="", tblPiNHistorical[[#This Row],[GBV Old]]=0, tblPiNHistorical[[#This Row],[GBV New]]="", tblPiNHistorical[[#This Row],[GBV New]]=0), "", tblPiNHistorical[[#This Row],[GBV New]]-tblPiNHistorical[[#This Row],[GBV Old]])</f>
        <v/>
      </c>
      <c r="AN598" s="83" t="str">
        <f>IF(OR(tblPiNHistorical[[#This Row],[Mine Action Old]]="", tblPiNHistorical[[#This Row],[Mine Action Old]]=0, tblPiNHistorical[[#This Row],[Mine Action New]]="", tblPiNHistorical[[#This Row],[Mine Action New]]=0), "", tblPiNHistorical[[#This Row],[Mine Action New]]-tblPiNHistorical[[#This Row],[Mine Action Old]])</f>
        <v/>
      </c>
      <c r="AO598" s="136" t="str">
        <f>IF(OR(tblPiNHistorical[[#This Row],[Shelter NFI Old]]="", tblPiNHistorical[[#This Row],[Shelter NFI Old]]=0, tblPiNHistorical[[#This Row],[Shelter NFI New]]="", tblPiNHistorical[[#This Row],[Shelter NFI New]]=0), "", tblPiNHistorical[[#This Row],[Shelter NFI New]]-tblPiNHistorical[[#This Row],[Shelter NFI Old]])</f>
        <v/>
      </c>
      <c r="AP598" s="138" t="str">
        <f>IF(OR(tblPiNHistorical[[#This Row],[WASH Old]]="", tblPiNHistorical[[#This Row],[WASH Old]]=0, tblPiNHistorical[[#This Row],[WASH New]]="", tblPiNHistorical[[#This Row],[WASH New]]=0), "", tblPiNHistorical[[#This Row],[WASH New]]-tblPiNHistorical[[#This Row],[WASH Old]])</f>
        <v/>
      </c>
      <c r="AQ598" s="139" t="str">
        <f>IFERROR(ROUND((tblPiNHistorical[[#This Row],[Site Management - New]] - tblPiNHistorical[[#This Row],[Site Management - Old]])/tblPiNHistorical[[#This Row],[Site Management - Old]], 1), "")</f>
        <v/>
      </c>
      <c r="AR598" s="140" t="str">
        <f>IFERROR(ROUND((tblPiNHistorical[[#This Row],[Education New]]-tblPiNHistorical[[#This Row],[Education Old]])/tblPiNHistorical[[#This Row],[Education Old]], 1), "")</f>
        <v/>
      </c>
      <c r="AS598" s="141" t="str">
        <f>IFERROR(ROUND((tblPiNHistorical[[#This Row],[Food Security and Livlihoods New]]-tblPiNHistorical[[#This Row],[Food Security and Livlihoods Old]])/tblPiNHistorical[[#This Row],[Food Security and Livlihoods Old]], 1), "")</f>
        <v/>
      </c>
      <c r="AT598" s="142" t="str">
        <f>IFERROR(ROUND((tblPiNHistorical[[#This Row],[Health New]]-tblPiNHistorical[[#This Row],[Health Old]])/tblPiNHistorical[[#This Row],[Health Old]], 1), "")</f>
        <v/>
      </c>
      <c r="AU598" s="140" t="str">
        <f>IFERROR(ROUND((tblPiNHistorical[[#This Row],[Nutrition New]]-tblPiNHistorical[[#This Row],[Nutrition Old]])/tblPiNHistorical[[#This Row],[Nutrition Old]], 1), "")</f>
        <v/>
      </c>
      <c r="AV598" s="140" t="str">
        <f>IFERROR(ROUND((tblPiNHistorical[[#This Row],[Protection New]]-tblPiNHistorical[[#This Row],[Protection Old]])/tblPiNHistorical[[#This Row],[Protection Old]], 1), "")</f>
        <v/>
      </c>
      <c r="AW598" s="84" t="str">
        <f>IFERROR(ROUND((tblPiNHistorical[[#This Row],[CP New]]-tblPiNHistorical[[#This Row],[CP Old ]])/tblPiNHistorical[[#This Row],[CP Old ]], 1), "")</f>
        <v/>
      </c>
      <c r="AX598" s="84" t="str">
        <f>IFERROR(ROUND((tblPiNHistorical[[#This Row],[GBV New]]-tblPiNHistorical[[#This Row],[GBV Old]])/tblPiNHistorical[[#This Row],[GBV Old]], 1), "")</f>
        <v/>
      </c>
      <c r="AY598" s="84" t="str">
        <f>IFERROR(ROUND((tblPiNHistorical[[#This Row],[Mine Action New]]-tblPiNHistorical[[#This Row],[Mine Action Old]])/tblPiNHistorical[[#This Row],[Mine Action Old]], 1), "")</f>
        <v/>
      </c>
      <c r="AZ598" s="140" t="str">
        <f>IFERROR(ROUND((tblPiNHistorical[[#This Row],[Shelter NFI New]]-tblPiNHistorical[[#This Row],[Shelter NFI Old]])/tblPiNHistorical[[#This Row],[Shelter NFI Old]], 1), "")</f>
        <v/>
      </c>
      <c r="BA598" s="31" t="str">
        <f>IFERROR(ROUND((tblPiNHistorical[[#This Row],[WASH New]]-tblPiNHistorical[[#This Row],[WASH Old]])/tblPiNHistorical[[#This Row],[WASH Old]], 1), "")</f>
        <v/>
      </c>
    </row>
    <row r="599" spans="1:53" ht="38.25" x14ac:dyDescent="0.25">
      <c r="A599"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Non-displaced PopulationSD05140</v>
      </c>
      <c r="B599" s="134" t="s">
        <v>155</v>
      </c>
      <c r="C599" s="124" t="s">
        <v>122</v>
      </c>
      <c r="D599" s="124" t="s">
        <v>172</v>
      </c>
      <c r="E599" s="59" t="s">
        <v>171</v>
      </c>
      <c r="F599" s="54"/>
      <c r="G599" s="29"/>
      <c r="H599" s="53">
        <v>3407</v>
      </c>
      <c r="I599" s="53" t="s">
        <v>89</v>
      </c>
      <c r="J599" s="34">
        <v>0</v>
      </c>
      <c r="K599" s="116">
        <v>1320.8939</v>
      </c>
      <c r="L599" s="114">
        <v>3364</v>
      </c>
      <c r="M599" s="114">
        <v>0</v>
      </c>
      <c r="N599" s="114">
        <v>526</v>
      </c>
      <c r="O599" s="114">
        <v>374.77000000000004</v>
      </c>
      <c r="P599" s="114">
        <v>375</v>
      </c>
      <c r="Q599" s="114">
        <v>270</v>
      </c>
      <c r="R599" s="114">
        <v>0</v>
      </c>
      <c r="S599" s="114">
        <v>681</v>
      </c>
      <c r="T599" s="196">
        <v>3364.4124999999999</v>
      </c>
      <c r="U599" s="52" t="str">
        <f>IFERROR(INDEX(tblPiNAnalysis[[Site Management ]], MATCH(tblPiNHistorical[[#This Row],[ID]], tblPiNAnalysis[ID], 0)), "")</f>
        <v/>
      </c>
      <c r="V599" s="52" t="str">
        <f>IFERROR(INDEX(tblPiNAnalysis[Education], MATCH(tblPiNHistorical[[#This Row],[ID]], tblPiNAnalysis[ID], 0)), "")</f>
        <v/>
      </c>
      <c r="W599" s="28" t="str">
        <f>IFERROR(INDEX(tblPiNAnalysis[Food Security and Livlihoods], MATCH(tblPiNHistorical[[#This Row],[ID]], tblPiNAnalysis[ID], 0)), "")</f>
        <v/>
      </c>
      <c r="X599" s="28" t="str">
        <f>IFERROR(INDEX(tblPiNAnalysis[[Health ]], MATCH(tblPiNHistorical[[#This Row],[ID]], tblPiNAnalysis[ID], 0)), "")</f>
        <v/>
      </c>
      <c r="Y599" s="28" t="str">
        <f>IFERROR(INDEX(tblPiNAnalysis[Nutrition], MATCH(tblPiNHistorical[[#This Row],[ID]], tblPiNAnalysis[ID], 0)), "")</f>
        <v/>
      </c>
      <c r="Z599" s="28" t="str">
        <f>IFERROR(INDEX(tblPiNAnalysis[Protection], MATCH(tblPiNHistorical[[#This Row],[ID]], tblPiNAnalysis[ID], 0)), "")</f>
        <v/>
      </c>
      <c r="AA599" s="28" t="str">
        <f>IFERROR(INDEX(tblPiNAnalysis[CP], MATCH(tblPiNHistorical[[#This Row],[ID]], tblPiNAnalysis[ID], 0)), "")</f>
        <v/>
      </c>
      <c r="AB599" s="83" t="str">
        <f>IFERROR(INDEX(tblPiNAnalysis[GBV], MATCH(tblPiNHistorical[[#This Row],[ID]], tblPiNAnalysis[ID], 0)), "")</f>
        <v/>
      </c>
      <c r="AC599" s="28" t="str">
        <f>IFERROR(INDEX(tblPiNAnalysis[Mine Action], MATCH(tblPiNHistorical[[#This Row],[ID]], tblPiNAnalysis[ID], 0)), "")</f>
        <v/>
      </c>
      <c r="AD599" s="83" t="str">
        <f>IFERROR(INDEX(tblPiNAnalysis[[Shelter NFI ]], MATCH(tblPiNHistorical[[#This Row],[ID]], tblPiNAnalysis[ID], 0)), "")</f>
        <v/>
      </c>
      <c r="AE599" s="28" t="str">
        <f>IFERROR(INDEX(tblPiNAnalysis[WASH], MATCH(tblPiNHistorical[[#This Row],[ID]], tblPiNAnalysis[ID], 0)), "")</f>
        <v/>
      </c>
      <c r="AF599"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599" s="136" t="str">
        <f>IF(OR(tblPiNHistorical[[#This Row],[Education Old]]="", tblPiNHistorical[[#This Row],[Education Old]]=0, tblPiNHistorical[[#This Row],[Education New]]="", tblPiNHistorical[[#This Row],[Education New]]=0), "", tblPiNHistorical[[#This Row],[Education New]]-tblPiNHistorical[[#This Row],[Education Old]])</f>
        <v/>
      </c>
      <c r="AH599"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599" s="137" t="str">
        <f>IF(OR(tblPiNHistorical[[#This Row],[Health Old]]="", tblPiNHistorical[[#This Row],[Health Old]]=0, tblPiNHistorical[[#This Row],[Health New]]="", tblPiNHistorical[[#This Row],[Health New]]=0), "", tblPiNHistorical[[#This Row],[Health New]]-tblPiNHistorical[[#This Row],[Health Old]])</f>
        <v/>
      </c>
      <c r="AJ599" s="136" t="str">
        <f>IF(OR(tblPiNHistorical[[#This Row],[Nutrition Old]]="", tblPiNHistorical[[#This Row],[Nutrition Old]]=0, tblPiNHistorical[[#This Row],[Nutrition New]]="", tblPiNHistorical[[#This Row],[Nutrition New]]=0), "", tblPiNHistorical[[#This Row],[Nutrition New]]-tblPiNHistorical[[#This Row],[Nutrition Old]])</f>
        <v/>
      </c>
      <c r="AK599" s="136" t="str">
        <f>IF(OR(tblPiNHistorical[[#This Row],[Protection Old]]="", tblPiNHistorical[[#This Row],[Protection Old]]=0, tblPiNHistorical[[#This Row],[Protection New]]="", tblPiNHistorical[[#This Row],[Protection New]]=0), "", tblPiNHistorical[[#This Row],[Protection New]]-tblPiNHistorical[[#This Row],[Protection Old]])</f>
        <v/>
      </c>
      <c r="AL599" s="136" t="str">
        <f>IF(OR(tblPiNHistorical[[#This Row],[CP Old ]]="", tblPiNHistorical[[#This Row],[CP Old ]]=0, tblPiNHistorical[[#This Row],[CP New]]="", tblPiNHistorical[[#This Row],[CP New]]=0), "", tblPiNHistorical[[#This Row],[CP New]]-tblPiNHistorical[[#This Row],[CP Old ]])</f>
        <v/>
      </c>
      <c r="AM599" s="83" t="str">
        <f>IF(OR(tblPiNHistorical[[#This Row],[GBV Old]]="", tblPiNHistorical[[#This Row],[GBV Old]]=0, tblPiNHistorical[[#This Row],[GBV New]]="", tblPiNHistorical[[#This Row],[GBV New]]=0), "", tblPiNHistorical[[#This Row],[GBV New]]-tblPiNHistorical[[#This Row],[GBV Old]])</f>
        <v/>
      </c>
      <c r="AN599" s="83" t="str">
        <f>IF(OR(tblPiNHistorical[[#This Row],[Mine Action Old]]="", tblPiNHistorical[[#This Row],[Mine Action Old]]=0, tblPiNHistorical[[#This Row],[Mine Action New]]="", tblPiNHistorical[[#This Row],[Mine Action New]]=0), "", tblPiNHistorical[[#This Row],[Mine Action New]]-tblPiNHistorical[[#This Row],[Mine Action Old]])</f>
        <v/>
      </c>
      <c r="AO599" s="136" t="str">
        <f>IF(OR(tblPiNHistorical[[#This Row],[Shelter NFI Old]]="", tblPiNHistorical[[#This Row],[Shelter NFI Old]]=0, tblPiNHistorical[[#This Row],[Shelter NFI New]]="", tblPiNHistorical[[#This Row],[Shelter NFI New]]=0), "", tblPiNHistorical[[#This Row],[Shelter NFI New]]-tblPiNHistorical[[#This Row],[Shelter NFI Old]])</f>
        <v/>
      </c>
      <c r="AP599" s="138" t="str">
        <f>IF(OR(tblPiNHistorical[[#This Row],[WASH Old]]="", tblPiNHistorical[[#This Row],[WASH Old]]=0, tblPiNHistorical[[#This Row],[WASH New]]="", tblPiNHistorical[[#This Row],[WASH New]]=0), "", tblPiNHistorical[[#This Row],[WASH New]]-tblPiNHistorical[[#This Row],[WASH Old]])</f>
        <v/>
      </c>
      <c r="AQ599" s="139" t="str">
        <f>IFERROR(ROUND((tblPiNHistorical[[#This Row],[Site Management - New]] - tblPiNHistorical[[#This Row],[Site Management - Old]])/tblPiNHistorical[[#This Row],[Site Management - Old]], 1), "")</f>
        <v/>
      </c>
      <c r="AR599" s="140" t="str">
        <f>IFERROR(ROUND((tblPiNHistorical[[#This Row],[Education New]]-tblPiNHistorical[[#This Row],[Education Old]])/tblPiNHistorical[[#This Row],[Education Old]], 1), "")</f>
        <v/>
      </c>
      <c r="AS599" s="141" t="str">
        <f>IFERROR(ROUND((tblPiNHistorical[[#This Row],[Food Security and Livlihoods New]]-tblPiNHistorical[[#This Row],[Food Security and Livlihoods Old]])/tblPiNHistorical[[#This Row],[Food Security and Livlihoods Old]], 1), "")</f>
        <v/>
      </c>
      <c r="AT599" s="142" t="str">
        <f>IFERROR(ROUND((tblPiNHistorical[[#This Row],[Health New]]-tblPiNHistorical[[#This Row],[Health Old]])/tblPiNHistorical[[#This Row],[Health Old]], 1), "")</f>
        <v/>
      </c>
      <c r="AU599" s="140" t="str">
        <f>IFERROR(ROUND((tblPiNHistorical[[#This Row],[Nutrition New]]-tblPiNHistorical[[#This Row],[Nutrition Old]])/tblPiNHistorical[[#This Row],[Nutrition Old]], 1), "")</f>
        <v/>
      </c>
      <c r="AV599" s="140" t="str">
        <f>IFERROR(ROUND((tblPiNHistorical[[#This Row],[Protection New]]-tblPiNHistorical[[#This Row],[Protection Old]])/tblPiNHistorical[[#This Row],[Protection Old]], 1), "")</f>
        <v/>
      </c>
      <c r="AW599" s="84" t="str">
        <f>IFERROR(ROUND((tblPiNHistorical[[#This Row],[CP New]]-tblPiNHistorical[[#This Row],[CP Old ]])/tblPiNHistorical[[#This Row],[CP Old ]], 1), "")</f>
        <v/>
      </c>
      <c r="AX599" s="84" t="str">
        <f>IFERROR(ROUND((tblPiNHistorical[[#This Row],[GBV New]]-tblPiNHistorical[[#This Row],[GBV Old]])/tblPiNHistorical[[#This Row],[GBV Old]], 1), "")</f>
        <v/>
      </c>
      <c r="AY599" s="84" t="str">
        <f>IFERROR(ROUND((tblPiNHistorical[[#This Row],[Mine Action New]]-tblPiNHistorical[[#This Row],[Mine Action Old]])/tblPiNHistorical[[#This Row],[Mine Action Old]], 1), "")</f>
        <v/>
      </c>
      <c r="AZ599" s="140" t="str">
        <f>IFERROR(ROUND((tblPiNHistorical[[#This Row],[Shelter NFI New]]-tblPiNHistorical[[#This Row],[Shelter NFI Old]])/tblPiNHistorical[[#This Row],[Shelter NFI Old]], 1), "")</f>
        <v/>
      </c>
      <c r="BA599" s="31" t="str">
        <f>IFERROR(ROUND((tblPiNHistorical[[#This Row],[WASH New]]-tblPiNHistorical[[#This Row],[WASH Old]])/tblPiNHistorical[[#This Row],[WASH Old]], 1), "")</f>
        <v/>
      </c>
    </row>
    <row r="600" spans="1:53" ht="38.25" x14ac:dyDescent="0.25">
      <c r="A600"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Non-displaced PopulationSD05155</v>
      </c>
      <c r="B600" s="134" t="s">
        <v>155</v>
      </c>
      <c r="C600" s="124" t="s">
        <v>122</v>
      </c>
      <c r="D600" s="124" t="s">
        <v>184</v>
      </c>
      <c r="E600" s="59" t="s">
        <v>183</v>
      </c>
      <c r="F600" s="54"/>
      <c r="G600" s="29"/>
      <c r="H600" s="53">
        <v>51451</v>
      </c>
      <c r="I600" s="53" t="s">
        <v>89</v>
      </c>
      <c r="J600" s="34">
        <v>0</v>
      </c>
      <c r="K600" s="116">
        <v>19947.5527</v>
      </c>
      <c r="L600" s="114">
        <v>25725.5</v>
      </c>
      <c r="M600" s="114">
        <v>0</v>
      </c>
      <c r="N600" s="114">
        <v>13710</v>
      </c>
      <c r="O600" s="114">
        <v>5659.6100000000006</v>
      </c>
      <c r="P600" s="114">
        <v>5660</v>
      </c>
      <c r="Q600" s="114">
        <v>4073</v>
      </c>
      <c r="R600" s="114">
        <v>0</v>
      </c>
      <c r="S600" s="114">
        <v>10290</v>
      </c>
      <c r="T600" s="196">
        <v>39972.281899999994</v>
      </c>
      <c r="U600" s="52" t="str">
        <f>IFERROR(INDEX(tblPiNAnalysis[[Site Management ]], MATCH(tblPiNHistorical[[#This Row],[ID]], tblPiNAnalysis[ID], 0)), "")</f>
        <v/>
      </c>
      <c r="V600" s="52" t="str">
        <f>IFERROR(INDEX(tblPiNAnalysis[Education], MATCH(tblPiNHistorical[[#This Row],[ID]], tblPiNAnalysis[ID], 0)), "")</f>
        <v/>
      </c>
      <c r="W600" s="28" t="str">
        <f>IFERROR(INDEX(tblPiNAnalysis[Food Security and Livlihoods], MATCH(tblPiNHistorical[[#This Row],[ID]], tblPiNAnalysis[ID], 0)), "")</f>
        <v/>
      </c>
      <c r="X600" s="28" t="str">
        <f>IFERROR(INDEX(tblPiNAnalysis[[Health ]], MATCH(tblPiNHistorical[[#This Row],[ID]], tblPiNAnalysis[ID], 0)), "")</f>
        <v/>
      </c>
      <c r="Y600" s="28" t="str">
        <f>IFERROR(INDEX(tblPiNAnalysis[Nutrition], MATCH(tblPiNHistorical[[#This Row],[ID]], tblPiNAnalysis[ID], 0)), "")</f>
        <v/>
      </c>
      <c r="Z600" s="28" t="str">
        <f>IFERROR(INDEX(tblPiNAnalysis[Protection], MATCH(tblPiNHistorical[[#This Row],[ID]], tblPiNAnalysis[ID], 0)), "")</f>
        <v/>
      </c>
      <c r="AA600" s="28" t="str">
        <f>IFERROR(INDEX(tblPiNAnalysis[CP], MATCH(tblPiNHistorical[[#This Row],[ID]], tblPiNAnalysis[ID], 0)), "")</f>
        <v/>
      </c>
      <c r="AB600" s="83" t="str">
        <f>IFERROR(INDEX(tblPiNAnalysis[GBV], MATCH(tblPiNHistorical[[#This Row],[ID]], tblPiNAnalysis[ID], 0)), "")</f>
        <v/>
      </c>
      <c r="AC600" s="28" t="str">
        <f>IFERROR(INDEX(tblPiNAnalysis[Mine Action], MATCH(tblPiNHistorical[[#This Row],[ID]], tblPiNAnalysis[ID], 0)), "")</f>
        <v/>
      </c>
      <c r="AD600" s="83" t="str">
        <f>IFERROR(INDEX(tblPiNAnalysis[[Shelter NFI ]], MATCH(tblPiNHistorical[[#This Row],[ID]], tblPiNAnalysis[ID], 0)), "")</f>
        <v/>
      </c>
      <c r="AE600" s="28" t="str">
        <f>IFERROR(INDEX(tblPiNAnalysis[WASH], MATCH(tblPiNHistorical[[#This Row],[ID]], tblPiNAnalysis[ID], 0)), "")</f>
        <v/>
      </c>
      <c r="AF600"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600" s="136" t="str">
        <f>IF(OR(tblPiNHistorical[[#This Row],[Education Old]]="", tblPiNHistorical[[#This Row],[Education Old]]=0, tblPiNHistorical[[#This Row],[Education New]]="", tblPiNHistorical[[#This Row],[Education New]]=0), "", tblPiNHistorical[[#This Row],[Education New]]-tblPiNHistorical[[#This Row],[Education Old]])</f>
        <v/>
      </c>
      <c r="AH600"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600" s="137" t="str">
        <f>IF(OR(tblPiNHistorical[[#This Row],[Health Old]]="", tblPiNHistorical[[#This Row],[Health Old]]=0, tblPiNHistorical[[#This Row],[Health New]]="", tblPiNHistorical[[#This Row],[Health New]]=0), "", tblPiNHistorical[[#This Row],[Health New]]-tblPiNHistorical[[#This Row],[Health Old]])</f>
        <v/>
      </c>
      <c r="AJ600" s="136" t="str">
        <f>IF(OR(tblPiNHistorical[[#This Row],[Nutrition Old]]="", tblPiNHistorical[[#This Row],[Nutrition Old]]=0, tblPiNHistorical[[#This Row],[Nutrition New]]="", tblPiNHistorical[[#This Row],[Nutrition New]]=0), "", tblPiNHistorical[[#This Row],[Nutrition New]]-tblPiNHistorical[[#This Row],[Nutrition Old]])</f>
        <v/>
      </c>
      <c r="AK600" s="136" t="str">
        <f>IF(OR(tblPiNHistorical[[#This Row],[Protection Old]]="", tblPiNHistorical[[#This Row],[Protection Old]]=0, tblPiNHistorical[[#This Row],[Protection New]]="", tblPiNHistorical[[#This Row],[Protection New]]=0), "", tblPiNHistorical[[#This Row],[Protection New]]-tblPiNHistorical[[#This Row],[Protection Old]])</f>
        <v/>
      </c>
      <c r="AL600" s="136" t="str">
        <f>IF(OR(tblPiNHistorical[[#This Row],[CP Old ]]="", tblPiNHistorical[[#This Row],[CP Old ]]=0, tblPiNHistorical[[#This Row],[CP New]]="", tblPiNHistorical[[#This Row],[CP New]]=0), "", tblPiNHistorical[[#This Row],[CP New]]-tblPiNHistorical[[#This Row],[CP Old ]])</f>
        <v/>
      </c>
      <c r="AM600" s="83" t="str">
        <f>IF(OR(tblPiNHistorical[[#This Row],[GBV Old]]="", tblPiNHistorical[[#This Row],[GBV Old]]=0, tblPiNHistorical[[#This Row],[GBV New]]="", tblPiNHistorical[[#This Row],[GBV New]]=0), "", tblPiNHistorical[[#This Row],[GBV New]]-tblPiNHistorical[[#This Row],[GBV Old]])</f>
        <v/>
      </c>
      <c r="AN600" s="83" t="str">
        <f>IF(OR(tblPiNHistorical[[#This Row],[Mine Action Old]]="", tblPiNHistorical[[#This Row],[Mine Action Old]]=0, tblPiNHistorical[[#This Row],[Mine Action New]]="", tblPiNHistorical[[#This Row],[Mine Action New]]=0), "", tblPiNHistorical[[#This Row],[Mine Action New]]-tblPiNHistorical[[#This Row],[Mine Action Old]])</f>
        <v/>
      </c>
      <c r="AO600" s="136" t="str">
        <f>IF(OR(tblPiNHistorical[[#This Row],[Shelter NFI Old]]="", tblPiNHistorical[[#This Row],[Shelter NFI Old]]=0, tblPiNHistorical[[#This Row],[Shelter NFI New]]="", tblPiNHistorical[[#This Row],[Shelter NFI New]]=0), "", tblPiNHistorical[[#This Row],[Shelter NFI New]]-tblPiNHistorical[[#This Row],[Shelter NFI Old]])</f>
        <v/>
      </c>
      <c r="AP600" s="138" t="str">
        <f>IF(OR(tblPiNHistorical[[#This Row],[WASH Old]]="", tblPiNHistorical[[#This Row],[WASH Old]]=0, tblPiNHistorical[[#This Row],[WASH New]]="", tblPiNHistorical[[#This Row],[WASH New]]=0), "", tblPiNHistorical[[#This Row],[WASH New]]-tblPiNHistorical[[#This Row],[WASH Old]])</f>
        <v/>
      </c>
      <c r="AQ600" s="139" t="str">
        <f>IFERROR(ROUND((tblPiNHistorical[[#This Row],[Site Management - New]] - tblPiNHistorical[[#This Row],[Site Management - Old]])/tblPiNHistorical[[#This Row],[Site Management - Old]], 1), "")</f>
        <v/>
      </c>
      <c r="AR600" s="140" t="str">
        <f>IFERROR(ROUND((tblPiNHistorical[[#This Row],[Education New]]-tblPiNHistorical[[#This Row],[Education Old]])/tblPiNHistorical[[#This Row],[Education Old]], 1), "")</f>
        <v/>
      </c>
      <c r="AS600" s="141" t="str">
        <f>IFERROR(ROUND((tblPiNHistorical[[#This Row],[Food Security and Livlihoods New]]-tblPiNHistorical[[#This Row],[Food Security and Livlihoods Old]])/tblPiNHistorical[[#This Row],[Food Security and Livlihoods Old]], 1), "")</f>
        <v/>
      </c>
      <c r="AT600" s="142" t="str">
        <f>IFERROR(ROUND((tblPiNHistorical[[#This Row],[Health New]]-tblPiNHistorical[[#This Row],[Health Old]])/tblPiNHistorical[[#This Row],[Health Old]], 1), "")</f>
        <v/>
      </c>
      <c r="AU600" s="140" t="str">
        <f>IFERROR(ROUND((tblPiNHistorical[[#This Row],[Nutrition New]]-tblPiNHistorical[[#This Row],[Nutrition Old]])/tblPiNHistorical[[#This Row],[Nutrition Old]], 1), "")</f>
        <v/>
      </c>
      <c r="AV600" s="140" t="str">
        <f>IFERROR(ROUND((tblPiNHistorical[[#This Row],[Protection New]]-tblPiNHistorical[[#This Row],[Protection Old]])/tblPiNHistorical[[#This Row],[Protection Old]], 1), "")</f>
        <v/>
      </c>
      <c r="AW600" s="84" t="str">
        <f>IFERROR(ROUND((tblPiNHistorical[[#This Row],[CP New]]-tblPiNHistorical[[#This Row],[CP Old ]])/tblPiNHistorical[[#This Row],[CP Old ]], 1), "")</f>
        <v/>
      </c>
      <c r="AX600" s="84" t="str">
        <f>IFERROR(ROUND((tblPiNHistorical[[#This Row],[GBV New]]-tblPiNHistorical[[#This Row],[GBV Old]])/tblPiNHistorical[[#This Row],[GBV Old]], 1), "")</f>
        <v/>
      </c>
      <c r="AY600" s="84" t="str">
        <f>IFERROR(ROUND((tblPiNHistorical[[#This Row],[Mine Action New]]-tblPiNHistorical[[#This Row],[Mine Action Old]])/tblPiNHistorical[[#This Row],[Mine Action Old]], 1), "")</f>
        <v/>
      </c>
      <c r="AZ600" s="140" t="str">
        <f>IFERROR(ROUND((tblPiNHistorical[[#This Row],[Shelter NFI New]]-tblPiNHistorical[[#This Row],[Shelter NFI Old]])/tblPiNHistorical[[#This Row],[Shelter NFI Old]], 1), "")</f>
        <v/>
      </c>
      <c r="BA600" s="31" t="str">
        <f>IFERROR(ROUND((tblPiNHistorical[[#This Row],[WASH New]]-tblPiNHistorical[[#This Row],[WASH Old]])/tblPiNHistorical[[#This Row],[WASH Old]], 1), "")</f>
        <v/>
      </c>
    </row>
    <row r="601" spans="1:53" ht="38.25" x14ac:dyDescent="0.25">
      <c r="A601"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Non-displaced PopulationSD05142</v>
      </c>
      <c r="B601" s="134" t="s">
        <v>155</v>
      </c>
      <c r="C601" s="124" t="s">
        <v>122</v>
      </c>
      <c r="D601" s="124" t="s">
        <v>175</v>
      </c>
      <c r="E601" s="59" t="s">
        <v>174</v>
      </c>
      <c r="F601" s="54"/>
      <c r="G601" s="29"/>
      <c r="H601" s="53">
        <v>0</v>
      </c>
      <c r="I601" s="53" t="s">
        <v>89</v>
      </c>
      <c r="J601" s="34">
        <v>0</v>
      </c>
      <c r="K601" s="116">
        <v>0</v>
      </c>
      <c r="L601" s="114">
        <v>0</v>
      </c>
      <c r="M601" s="114">
        <v>5790</v>
      </c>
      <c r="N601" s="114">
        <v>0</v>
      </c>
      <c r="O601" s="114">
        <v>0</v>
      </c>
      <c r="P601" s="114">
        <v>0</v>
      </c>
      <c r="Q601" s="114">
        <v>0</v>
      </c>
      <c r="R601" s="114">
        <v>0</v>
      </c>
      <c r="S601" s="114">
        <v>0</v>
      </c>
      <c r="T601" s="196">
        <v>0</v>
      </c>
      <c r="U601" s="52" t="str">
        <f>IFERROR(INDEX(tblPiNAnalysis[[Site Management ]], MATCH(tblPiNHistorical[[#This Row],[ID]], tblPiNAnalysis[ID], 0)), "")</f>
        <v/>
      </c>
      <c r="V601" s="52" t="str">
        <f>IFERROR(INDEX(tblPiNAnalysis[Education], MATCH(tblPiNHistorical[[#This Row],[ID]], tblPiNAnalysis[ID], 0)), "")</f>
        <v/>
      </c>
      <c r="W601" s="28" t="str">
        <f>IFERROR(INDEX(tblPiNAnalysis[Food Security and Livlihoods], MATCH(tblPiNHistorical[[#This Row],[ID]], tblPiNAnalysis[ID], 0)), "")</f>
        <v/>
      </c>
      <c r="X601" s="28" t="str">
        <f>IFERROR(INDEX(tblPiNAnalysis[[Health ]], MATCH(tblPiNHistorical[[#This Row],[ID]], tblPiNAnalysis[ID], 0)), "")</f>
        <v/>
      </c>
      <c r="Y601" s="28" t="str">
        <f>IFERROR(INDEX(tblPiNAnalysis[Nutrition], MATCH(tblPiNHistorical[[#This Row],[ID]], tblPiNAnalysis[ID], 0)), "")</f>
        <v/>
      </c>
      <c r="Z601" s="28" t="str">
        <f>IFERROR(INDEX(tblPiNAnalysis[Protection], MATCH(tblPiNHistorical[[#This Row],[ID]], tblPiNAnalysis[ID], 0)), "")</f>
        <v/>
      </c>
      <c r="AA601" s="28" t="str">
        <f>IFERROR(INDEX(tblPiNAnalysis[CP], MATCH(tblPiNHistorical[[#This Row],[ID]], tblPiNAnalysis[ID], 0)), "")</f>
        <v/>
      </c>
      <c r="AB601" s="83" t="str">
        <f>IFERROR(INDEX(tblPiNAnalysis[GBV], MATCH(tblPiNHistorical[[#This Row],[ID]], tblPiNAnalysis[ID], 0)), "")</f>
        <v/>
      </c>
      <c r="AC601" s="28" t="str">
        <f>IFERROR(INDEX(tblPiNAnalysis[Mine Action], MATCH(tblPiNHistorical[[#This Row],[ID]], tblPiNAnalysis[ID], 0)), "")</f>
        <v/>
      </c>
      <c r="AD601" s="83" t="str">
        <f>IFERROR(INDEX(tblPiNAnalysis[[Shelter NFI ]], MATCH(tblPiNHistorical[[#This Row],[ID]], tblPiNAnalysis[ID], 0)), "")</f>
        <v/>
      </c>
      <c r="AE601" s="28" t="str">
        <f>IFERROR(INDEX(tblPiNAnalysis[WASH], MATCH(tblPiNHistorical[[#This Row],[ID]], tblPiNAnalysis[ID], 0)), "")</f>
        <v/>
      </c>
      <c r="AF601"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601" s="136" t="str">
        <f>IF(OR(tblPiNHistorical[[#This Row],[Education Old]]="", tblPiNHistorical[[#This Row],[Education Old]]=0, tblPiNHistorical[[#This Row],[Education New]]="", tblPiNHistorical[[#This Row],[Education New]]=0), "", tblPiNHistorical[[#This Row],[Education New]]-tblPiNHistorical[[#This Row],[Education Old]])</f>
        <v/>
      </c>
      <c r="AH601"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601" s="137" t="str">
        <f>IF(OR(tblPiNHistorical[[#This Row],[Health Old]]="", tblPiNHistorical[[#This Row],[Health Old]]=0, tblPiNHistorical[[#This Row],[Health New]]="", tblPiNHistorical[[#This Row],[Health New]]=0), "", tblPiNHistorical[[#This Row],[Health New]]-tblPiNHistorical[[#This Row],[Health Old]])</f>
        <v/>
      </c>
      <c r="AJ601" s="136" t="str">
        <f>IF(OR(tblPiNHistorical[[#This Row],[Nutrition Old]]="", tblPiNHistorical[[#This Row],[Nutrition Old]]=0, tblPiNHistorical[[#This Row],[Nutrition New]]="", tblPiNHistorical[[#This Row],[Nutrition New]]=0), "", tblPiNHistorical[[#This Row],[Nutrition New]]-tblPiNHistorical[[#This Row],[Nutrition Old]])</f>
        <v/>
      </c>
      <c r="AK601" s="136" t="str">
        <f>IF(OR(tblPiNHistorical[[#This Row],[Protection Old]]="", tblPiNHistorical[[#This Row],[Protection Old]]=0, tblPiNHistorical[[#This Row],[Protection New]]="", tblPiNHistorical[[#This Row],[Protection New]]=0), "", tblPiNHistorical[[#This Row],[Protection New]]-tblPiNHistorical[[#This Row],[Protection Old]])</f>
        <v/>
      </c>
      <c r="AL601" s="136" t="str">
        <f>IF(OR(tblPiNHistorical[[#This Row],[CP Old ]]="", tblPiNHistorical[[#This Row],[CP Old ]]=0, tblPiNHistorical[[#This Row],[CP New]]="", tblPiNHistorical[[#This Row],[CP New]]=0), "", tblPiNHistorical[[#This Row],[CP New]]-tblPiNHistorical[[#This Row],[CP Old ]])</f>
        <v/>
      </c>
      <c r="AM601" s="83" t="str">
        <f>IF(OR(tblPiNHistorical[[#This Row],[GBV Old]]="", tblPiNHistorical[[#This Row],[GBV Old]]=0, tblPiNHistorical[[#This Row],[GBV New]]="", tblPiNHistorical[[#This Row],[GBV New]]=0), "", tblPiNHistorical[[#This Row],[GBV New]]-tblPiNHistorical[[#This Row],[GBV Old]])</f>
        <v/>
      </c>
      <c r="AN601" s="83" t="str">
        <f>IF(OR(tblPiNHistorical[[#This Row],[Mine Action Old]]="", tblPiNHistorical[[#This Row],[Mine Action Old]]=0, tblPiNHistorical[[#This Row],[Mine Action New]]="", tblPiNHistorical[[#This Row],[Mine Action New]]=0), "", tblPiNHistorical[[#This Row],[Mine Action New]]-tblPiNHistorical[[#This Row],[Mine Action Old]])</f>
        <v/>
      </c>
      <c r="AO601" s="136" t="str">
        <f>IF(OR(tblPiNHistorical[[#This Row],[Shelter NFI Old]]="", tblPiNHistorical[[#This Row],[Shelter NFI Old]]=0, tblPiNHistorical[[#This Row],[Shelter NFI New]]="", tblPiNHistorical[[#This Row],[Shelter NFI New]]=0), "", tblPiNHistorical[[#This Row],[Shelter NFI New]]-tblPiNHistorical[[#This Row],[Shelter NFI Old]])</f>
        <v/>
      </c>
      <c r="AP601" s="138" t="str">
        <f>IF(OR(tblPiNHistorical[[#This Row],[WASH Old]]="", tblPiNHistorical[[#This Row],[WASH Old]]=0, tblPiNHistorical[[#This Row],[WASH New]]="", tblPiNHistorical[[#This Row],[WASH New]]=0), "", tblPiNHistorical[[#This Row],[WASH New]]-tblPiNHistorical[[#This Row],[WASH Old]])</f>
        <v/>
      </c>
      <c r="AQ601" s="139" t="str">
        <f>IFERROR(ROUND((tblPiNHistorical[[#This Row],[Site Management - New]] - tblPiNHistorical[[#This Row],[Site Management - Old]])/tblPiNHistorical[[#This Row],[Site Management - Old]], 1), "")</f>
        <v/>
      </c>
      <c r="AR601" s="140" t="str">
        <f>IFERROR(ROUND((tblPiNHistorical[[#This Row],[Education New]]-tblPiNHistorical[[#This Row],[Education Old]])/tblPiNHistorical[[#This Row],[Education Old]], 1), "")</f>
        <v/>
      </c>
      <c r="AS601" s="141" t="str">
        <f>IFERROR(ROUND((tblPiNHistorical[[#This Row],[Food Security and Livlihoods New]]-tblPiNHistorical[[#This Row],[Food Security and Livlihoods Old]])/tblPiNHistorical[[#This Row],[Food Security and Livlihoods Old]], 1), "")</f>
        <v/>
      </c>
      <c r="AT601" s="142" t="str">
        <f>IFERROR(ROUND((tblPiNHistorical[[#This Row],[Health New]]-tblPiNHistorical[[#This Row],[Health Old]])/tblPiNHistorical[[#This Row],[Health Old]], 1), "")</f>
        <v/>
      </c>
      <c r="AU601" s="140" t="str">
        <f>IFERROR(ROUND((tblPiNHistorical[[#This Row],[Nutrition New]]-tblPiNHistorical[[#This Row],[Nutrition Old]])/tblPiNHistorical[[#This Row],[Nutrition Old]], 1), "")</f>
        <v/>
      </c>
      <c r="AV601" s="140" t="str">
        <f>IFERROR(ROUND((tblPiNHistorical[[#This Row],[Protection New]]-tblPiNHistorical[[#This Row],[Protection Old]])/tblPiNHistorical[[#This Row],[Protection Old]], 1), "")</f>
        <v/>
      </c>
      <c r="AW601" s="84" t="str">
        <f>IFERROR(ROUND((tblPiNHistorical[[#This Row],[CP New]]-tblPiNHistorical[[#This Row],[CP Old ]])/tblPiNHistorical[[#This Row],[CP Old ]], 1), "")</f>
        <v/>
      </c>
      <c r="AX601" s="84" t="str">
        <f>IFERROR(ROUND((tblPiNHistorical[[#This Row],[GBV New]]-tblPiNHistorical[[#This Row],[GBV Old]])/tblPiNHistorical[[#This Row],[GBV Old]], 1), "")</f>
        <v/>
      </c>
      <c r="AY601" s="84" t="str">
        <f>IFERROR(ROUND((tblPiNHistorical[[#This Row],[Mine Action New]]-tblPiNHistorical[[#This Row],[Mine Action Old]])/tblPiNHistorical[[#This Row],[Mine Action Old]], 1), "")</f>
        <v/>
      </c>
      <c r="AZ601" s="140" t="str">
        <f>IFERROR(ROUND((tblPiNHistorical[[#This Row],[Shelter NFI New]]-tblPiNHistorical[[#This Row],[Shelter NFI Old]])/tblPiNHistorical[[#This Row],[Shelter NFI Old]], 1), "")</f>
        <v/>
      </c>
      <c r="BA601" s="31" t="str">
        <f>IFERROR(ROUND((tblPiNHistorical[[#This Row],[WASH New]]-tblPiNHistorical[[#This Row],[WASH Old]])/tblPiNHistorical[[#This Row],[WASH Old]], 1), "")</f>
        <v/>
      </c>
    </row>
    <row r="602" spans="1:53" ht="38.25" x14ac:dyDescent="0.25">
      <c r="A602"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Non-displaced PopulationSD05139</v>
      </c>
      <c r="B602" s="134" t="s">
        <v>155</v>
      </c>
      <c r="C602" s="124" t="s">
        <v>122</v>
      </c>
      <c r="D602" s="124" t="s">
        <v>169</v>
      </c>
      <c r="E602" s="59" t="s">
        <v>168</v>
      </c>
      <c r="F602" s="54"/>
      <c r="G602" s="29"/>
      <c r="H602" s="53">
        <v>17192</v>
      </c>
      <c r="I602" s="53" t="s">
        <v>89</v>
      </c>
      <c r="J602" s="34">
        <v>0</v>
      </c>
      <c r="K602" s="116">
        <v>6665.3383999999996</v>
      </c>
      <c r="L602" s="114">
        <v>8596</v>
      </c>
      <c r="M602" s="114">
        <v>0</v>
      </c>
      <c r="N602" s="114">
        <v>5879</v>
      </c>
      <c r="O602" s="114">
        <v>1891.1200000000001</v>
      </c>
      <c r="P602" s="114">
        <v>1891</v>
      </c>
      <c r="Q602" s="114">
        <v>1361</v>
      </c>
      <c r="R602" s="114">
        <v>1719.2</v>
      </c>
      <c r="S602" s="114">
        <v>3438</v>
      </c>
      <c r="T602" s="196">
        <v>0</v>
      </c>
      <c r="U602" s="52" t="str">
        <f>IFERROR(INDEX(tblPiNAnalysis[[Site Management ]], MATCH(tblPiNHistorical[[#This Row],[ID]], tblPiNAnalysis[ID], 0)), "")</f>
        <v/>
      </c>
      <c r="V602" s="52" t="str">
        <f>IFERROR(INDEX(tblPiNAnalysis[Education], MATCH(tblPiNHistorical[[#This Row],[ID]], tblPiNAnalysis[ID], 0)), "")</f>
        <v/>
      </c>
      <c r="W602" s="28" t="str">
        <f>IFERROR(INDEX(tblPiNAnalysis[Food Security and Livlihoods], MATCH(tblPiNHistorical[[#This Row],[ID]], tblPiNAnalysis[ID], 0)), "")</f>
        <v/>
      </c>
      <c r="X602" s="28" t="str">
        <f>IFERROR(INDEX(tblPiNAnalysis[[Health ]], MATCH(tblPiNHistorical[[#This Row],[ID]], tblPiNAnalysis[ID], 0)), "")</f>
        <v/>
      </c>
      <c r="Y602" s="28" t="str">
        <f>IFERROR(INDEX(tblPiNAnalysis[Nutrition], MATCH(tblPiNHistorical[[#This Row],[ID]], tblPiNAnalysis[ID], 0)), "")</f>
        <v/>
      </c>
      <c r="Z602" s="28" t="str">
        <f>IFERROR(INDEX(tblPiNAnalysis[Protection], MATCH(tblPiNHistorical[[#This Row],[ID]], tblPiNAnalysis[ID], 0)), "")</f>
        <v/>
      </c>
      <c r="AA602" s="28" t="str">
        <f>IFERROR(INDEX(tblPiNAnalysis[CP], MATCH(tblPiNHistorical[[#This Row],[ID]], tblPiNAnalysis[ID], 0)), "")</f>
        <v/>
      </c>
      <c r="AB602" s="83" t="str">
        <f>IFERROR(INDEX(tblPiNAnalysis[GBV], MATCH(tblPiNHistorical[[#This Row],[ID]], tblPiNAnalysis[ID], 0)), "")</f>
        <v/>
      </c>
      <c r="AC602" s="28" t="str">
        <f>IFERROR(INDEX(tblPiNAnalysis[Mine Action], MATCH(tblPiNHistorical[[#This Row],[ID]], tblPiNAnalysis[ID], 0)), "")</f>
        <v/>
      </c>
      <c r="AD602" s="83" t="str">
        <f>IFERROR(INDEX(tblPiNAnalysis[[Shelter NFI ]], MATCH(tblPiNHistorical[[#This Row],[ID]], tblPiNAnalysis[ID], 0)), "")</f>
        <v/>
      </c>
      <c r="AE602" s="28" t="str">
        <f>IFERROR(INDEX(tblPiNAnalysis[WASH], MATCH(tblPiNHistorical[[#This Row],[ID]], tblPiNAnalysis[ID], 0)), "")</f>
        <v/>
      </c>
      <c r="AF602"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602" s="136" t="str">
        <f>IF(OR(tblPiNHistorical[[#This Row],[Education Old]]="", tblPiNHistorical[[#This Row],[Education Old]]=0, tblPiNHistorical[[#This Row],[Education New]]="", tblPiNHistorical[[#This Row],[Education New]]=0), "", tblPiNHistorical[[#This Row],[Education New]]-tblPiNHistorical[[#This Row],[Education Old]])</f>
        <v/>
      </c>
      <c r="AH602"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602" s="137" t="str">
        <f>IF(OR(tblPiNHistorical[[#This Row],[Health Old]]="", tblPiNHistorical[[#This Row],[Health Old]]=0, tblPiNHistorical[[#This Row],[Health New]]="", tblPiNHistorical[[#This Row],[Health New]]=0), "", tblPiNHistorical[[#This Row],[Health New]]-tblPiNHistorical[[#This Row],[Health Old]])</f>
        <v/>
      </c>
      <c r="AJ602" s="136" t="str">
        <f>IF(OR(tblPiNHistorical[[#This Row],[Nutrition Old]]="", tblPiNHistorical[[#This Row],[Nutrition Old]]=0, tblPiNHistorical[[#This Row],[Nutrition New]]="", tblPiNHistorical[[#This Row],[Nutrition New]]=0), "", tblPiNHistorical[[#This Row],[Nutrition New]]-tblPiNHistorical[[#This Row],[Nutrition Old]])</f>
        <v/>
      </c>
      <c r="AK602" s="136" t="str">
        <f>IF(OR(tblPiNHistorical[[#This Row],[Protection Old]]="", tblPiNHistorical[[#This Row],[Protection Old]]=0, tblPiNHistorical[[#This Row],[Protection New]]="", tblPiNHistorical[[#This Row],[Protection New]]=0), "", tblPiNHistorical[[#This Row],[Protection New]]-tblPiNHistorical[[#This Row],[Protection Old]])</f>
        <v/>
      </c>
      <c r="AL602" s="136" t="str">
        <f>IF(OR(tblPiNHistorical[[#This Row],[CP Old ]]="", tblPiNHistorical[[#This Row],[CP Old ]]=0, tblPiNHistorical[[#This Row],[CP New]]="", tblPiNHistorical[[#This Row],[CP New]]=0), "", tblPiNHistorical[[#This Row],[CP New]]-tblPiNHistorical[[#This Row],[CP Old ]])</f>
        <v/>
      </c>
      <c r="AM602" s="83" t="str">
        <f>IF(OR(tblPiNHistorical[[#This Row],[GBV Old]]="", tblPiNHistorical[[#This Row],[GBV Old]]=0, tblPiNHistorical[[#This Row],[GBV New]]="", tblPiNHistorical[[#This Row],[GBV New]]=0), "", tblPiNHistorical[[#This Row],[GBV New]]-tblPiNHistorical[[#This Row],[GBV Old]])</f>
        <v/>
      </c>
      <c r="AN602" s="83" t="str">
        <f>IF(OR(tblPiNHistorical[[#This Row],[Mine Action Old]]="", tblPiNHistorical[[#This Row],[Mine Action Old]]=0, tblPiNHistorical[[#This Row],[Mine Action New]]="", tblPiNHistorical[[#This Row],[Mine Action New]]=0), "", tblPiNHistorical[[#This Row],[Mine Action New]]-tblPiNHistorical[[#This Row],[Mine Action Old]])</f>
        <v/>
      </c>
      <c r="AO602" s="136" t="str">
        <f>IF(OR(tblPiNHistorical[[#This Row],[Shelter NFI Old]]="", tblPiNHistorical[[#This Row],[Shelter NFI Old]]=0, tblPiNHistorical[[#This Row],[Shelter NFI New]]="", tblPiNHistorical[[#This Row],[Shelter NFI New]]=0), "", tblPiNHistorical[[#This Row],[Shelter NFI New]]-tblPiNHistorical[[#This Row],[Shelter NFI Old]])</f>
        <v/>
      </c>
      <c r="AP602" s="138" t="str">
        <f>IF(OR(tblPiNHistorical[[#This Row],[WASH Old]]="", tblPiNHistorical[[#This Row],[WASH Old]]=0, tblPiNHistorical[[#This Row],[WASH New]]="", tblPiNHistorical[[#This Row],[WASH New]]=0), "", tblPiNHistorical[[#This Row],[WASH New]]-tblPiNHistorical[[#This Row],[WASH Old]])</f>
        <v/>
      </c>
      <c r="AQ602" s="139" t="str">
        <f>IFERROR(ROUND((tblPiNHistorical[[#This Row],[Site Management - New]] - tblPiNHistorical[[#This Row],[Site Management - Old]])/tblPiNHistorical[[#This Row],[Site Management - Old]], 1), "")</f>
        <v/>
      </c>
      <c r="AR602" s="140" t="str">
        <f>IFERROR(ROUND((tblPiNHistorical[[#This Row],[Education New]]-tblPiNHistorical[[#This Row],[Education Old]])/tblPiNHistorical[[#This Row],[Education Old]], 1), "")</f>
        <v/>
      </c>
      <c r="AS602" s="141" t="str">
        <f>IFERROR(ROUND((tblPiNHistorical[[#This Row],[Food Security and Livlihoods New]]-tblPiNHistorical[[#This Row],[Food Security and Livlihoods Old]])/tblPiNHistorical[[#This Row],[Food Security and Livlihoods Old]], 1), "")</f>
        <v/>
      </c>
      <c r="AT602" s="142" t="str">
        <f>IFERROR(ROUND((tblPiNHistorical[[#This Row],[Health New]]-tblPiNHistorical[[#This Row],[Health Old]])/tblPiNHistorical[[#This Row],[Health Old]], 1), "")</f>
        <v/>
      </c>
      <c r="AU602" s="140" t="str">
        <f>IFERROR(ROUND((tblPiNHistorical[[#This Row],[Nutrition New]]-tblPiNHistorical[[#This Row],[Nutrition Old]])/tblPiNHistorical[[#This Row],[Nutrition Old]], 1), "")</f>
        <v/>
      </c>
      <c r="AV602" s="140" t="str">
        <f>IFERROR(ROUND((tblPiNHistorical[[#This Row],[Protection New]]-tblPiNHistorical[[#This Row],[Protection Old]])/tblPiNHistorical[[#This Row],[Protection Old]], 1), "")</f>
        <v/>
      </c>
      <c r="AW602" s="84" t="str">
        <f>IFERROR(ROUND((tblPiNHistorical[[#This Row],[CP New]]-tblPiNHistorical[[#This Row],[CP Old ]])/tblPiNHistorical[[#This Row],[CP Old ]], 1), "")</f>
        <v/>
      </c>
      <c r="AX602" s="84" t="str">
        <f>IFERROR(ROUND((tblPiNHistorical[[#This Row],[GBV New]]-tblPiNHistorical[[#This Row],[GBV Old]])/tblPiNHistorical[[#This Row],[GBV Old]], 1), "")</f>
        <v/>
      </c>
      <c r="AY602" s="84" t="str">
        <f>IFERROR(ROUND((tblPiNHistorical[[#This Row],[Mine Action New]]-tblPiNHistorical[[#This Row],[Mine Action Old]])/tblPiNHistorical[[#This Row],[Mine Action Old]], 1), "")</f>
        <v/>
      </c>
      <c r="AZ602" s="140" t="str">
        <f>IFERROR(ROUND((tblPiNHistorical[[#This Row],[Shelter NFI New]]-tblPiNHistorical[[#This Row],[Shelter NFI Old]])/tblPiNHistorical[[#This Row],[Shelter NFI Old]], 1), "")</f>
        <v/>
      </c>
      <c r="BA602" s="31" t="str">
        <f>IFERROR(ROUND((tblPiNHistorical[[#This Row],[WASH New]]-tblPiNHistorical[[#This Row],[WASH Old]])/tblPiNHistorical[[#This Row],[WASH Old]], 1), "")</f>
        <v/>
      </c>
    </row>
    <row r="603" spans="1:53" ht="38.25" x14ac:dyDescent="0.25">
      <c r="A603"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Non-displaced PopulationSD05152</v>
      </c>
      <c r="B603" s="134" t="s">
        <v>155</v>
      </c>
      <c r="C603" s="124" t="s">
        <v>122</v>
      </c>
      <c r="D603" s="124" t="s">
        <v>181</v>
      </c>
      <c r="E603" s="59" t="s">
        <v>180</v>
      </c>
      <c r="F603" s="54"/>
      <c r="G603" s="29"/>
      <c r="H603" s="53">
        <v>53221</v>
      </c>
      <c r="I603" s="53" t="s">
        <v>89</v>
      </c>
      <c r="J603" s="34">
        <v>0</v>
      </c>
      <c r="K603" s="116">
        <v>20633.7817</v>
      </c>
      <c r="L603" s="114">
        <v>29271.55</v>
      </c>
      <c r="M603" s="114">
        <v>22765</v>
      </c>
      <c r="N603" s="114">
        <v>6343</v>
      </c>
      <c r="O603" s="114">
        <v>5854.3100000000013</v>
      </c>
      <c r="P603" s="114">
        <v>5854</v>
      </c>
      <c r="Q603" s="114">
        <v>4213</v>
      </c>
      <c r="R603" s="114">
        <v>0</v>
      </c>
      <c r="S603" s="114">
        <v>10644</v>
      </c>
      <c r="T603" s="196">
        <v>51219.890399999989</v>
      </c>
      <c r="U603" s="52" t="str">
        <f>IFERROR(INDEX(tblPiNAnalysis[[Site Management ]], MATCH(tblPiNHistorical[[#This Row],[ID]], tblPiNAnalysis[ID], 0)), "")</f>
        <v/>
      </c>
      <c r="V603" s="52" t="str">
        <f>IFERROR(INDEX(tblPiNAnalysis[Education], MATCH(tblPiNHistorical[[#This Row],[ID]], tblPiNAnalysis[ID], 0)), "")</f>
        <v/>
      </c>
      <c r="W603" s="28" t="str">
        <f>IFERROR(INDEX(tblPiNAnalysis[Food Security and Livlihoods], MATCH(tblPiNHistorical[[#This Row],[ID]], tblPiNAnalysis[ID], 0)), "")</f>
        <v/>
      </c>
      <c r="X603" s="28" t="str">
        <f>IFERROR(INDEX(tblPiNAnalysis[[Health ]], MATCH(tblPiNHistorical[[#This Row],[ID]], tblPiNAnalysis[ID], 0)), "")</f>
        <v/>
      </c>
      <c r="Y603" s="28" t="str">
        <f>IFERROR(INDEX(tblPiNAnalysis[Nutrition], MATCH(tblPiNHistorical[[#This Row],[ID]], tblPiNAnalysis[ID], 0)), "")</f>
        <v/>
      </c>
      <c r="Z603" s="28" t="str">
        <f>IFERROR(INDEX(tblPiNAnalysis[Protection], MATCH(tblPiNHistorical[[#This Row],[ID]], tblPiNAnalysis[ID], 0)), "")</f>
        <v/>
      </c>
      <c r="AA603" s="28" t="str">
        <f>IFERROR(INDEX(tblPiNAnalysis[CP], MATCH(tblPiNHistorical[[#This Row],[ID]], tblPiNAnalysis[ID], 0)), "")</f>
        <v/>
      </c>
      <c r="AB603" s="83" t="str">
        <f>IFERROR(INDEX(tblPiNAnalysis[GBV], MATCH(tblPiNHistorical[[#This Row],[ID]], tblPiNAnalysis[ID], 0)), "")</f>
        <v/>
      </c>
      <c r="AC603" s="28" t="str">
        <f>IFERROR(INDEX(tblPiNAnalysis[Mine Action], MATCH(tblPiNHistorical[[#This Row],[ID]], tblPiNAnalysis[ID], 0)), "")</f>
        <v/>
      </c>
      <c r="AD603" s="83" t="str">
        <f>IFERROR(INDEX(tblPiNAnalysis[[Shelter NFI ]], MATCH(tblPiNHistorical[[#This Row],[ID]], tblPiNAnalysis[ID], 0)), "")</f>
        <v/>
      </c>
      <c r="AE603" s="28" t="str">
        <f>IFERROR(INDEX(tblPiNAnalysis[WASH], MATCH(tblPiNHistorical[[#This Row],[ID]], tblPiNAnalysis[ID], 0)), "")</f>
        <v/>
      </c>
      <c r="AF603"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603" s="136" t="str">
        <f>IF(OR(tblPiNHistorical[[#This Row],[Education Old]]="", tblPiNHistorical[[#This Row],[Education Old]]=0, tblPiNHistorical[[#This Row],[Education New]]="", tblPiNHistorical[[#This Row],[Education New]]=0), "", tblPiNHistorical[[#This Row],[Education New]]-tblPiNHistorical[[#This Row],[Education Old]])</f>
        <v/>
      </c>
      <c r="AH603"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603" s="137" t="str">
        <f>IF(OR(tblPiNHistorical[[#This Row],[Health Old]]="", tblPiNHistorical[[#This Row],[Health Old]]=0, tblPiNHistorical[[#This Row],[Health New]]="", tblPiNHistorical[[#This Row],[Health New]]=0), "", tblPiNHistorical[[#This Row],[Health New]]-tblPiNHistorical[[#This Row],[Health Old]])</f>
        <v/>
      </c>
      <c r="AJ603" s="136" t="str">
        <f>IF(OR(tblPiNHistorical[[#This Row],[Nutrition Old]]="", tblPiNHistorical[[#This Row],[Nutrition Old]]=0, tblPiNHistorical[[#This Row],[Nutrition New]]="", tblPiNHistorical[[#This Row],[Nutrition New]]=0), "", tblPiNHistorical[[#This Row],[Nutrition New]]-tblPiNHistorical[[#This Row],[Nutrition Old]])</f>
        <v/>
      </c>
      <c r="AK603" s="136" t="str">
        <f>IF(OR(tblPiNHistorical[[#This Row],[Protection Old]]="", tblPiNHistorical[[#This Row],[Protection Old]]=0, tblPiNHistorical[[#This Row],[Protection New]]="", tblPiNHistorical[[#This Row],[Protection New]]=0), "", tblPiNHistorical[[#This Row],[Protection New]]-tblPiNHistorical[[#This Row],[Protection Old]])</f>
        <v/>
      </c>
      <c r="AL603" s="136" t="str">
        <f>IF(OR(tblPiNHistorical[[#This Row],[CP Old ]]="", tblPiNHistorical[[#This Row],[CP Old ]]=0, tblPiNHistorical[[#This Row],[CP New]]="", tblPiNHistorical[[#This Row],[CP New]]=0), "", tblPiNHistorical[[#This Row],[CP New]]-tblPiNHistorical[[#This Row],[CP Old ]])</f>
        <v/>
      </c>
      <c r="AM603" s="83" t="str">
        <f>IF(OR(tblPiNHistorical[[#This Row],[GBV Old]]="", tblPiNHistorical[[#This Row],[GBV Old]]=0, tblPiNHistorical[[#This Row],[GBV New]]="", tblPiNHistorical[[#This Row],[GBV New]]=0), "", tblPiNHistorical[[#This Row],[GBV New]]-tblPiNHistorical[[#This Row],[GBV Old]])</f>
        <v/>
      </c>
      <c r="AN603" s="83" t="str">
        <f>IF(OR(tblPiNHistorical[[#This Row],[Mine Action Old]]="", tblPiNHistorical[[#This Row],[Mine Action Old]]=0, tblPiNHistorical[[#This Row],[Mine Action New]]="", tblPiNHistorical[[#This Row],[Mine Action New]]=0), "", tblPiNHistorical[[#This Row],[Mine Action New]]-tblPiNHistorical[[#This Row],[Mine Action Old]])</f>
        <v/>
      </c>
      <c r="AO603" s="136" t="str">
        <f>IF(OR(tblPiNHistorical[[#This Row],[Shelter NFI Old]]="", tblPiNHistorical[[#This Row],[Shelter NFI Old]]=0, tblPiNHistorical[[#This Row],[Shelter NFI New]]="", tblPiNHistorical[[#This Row],[Shelter NFI New]]=0), "", tblPiNHistorical[[#This Row],[Shelter NFI New]]-tblPiNHistorical[[#This Row],[Shelter NFI Old]])</f>
        <v/>
      </c>
      <c r="AP603" s="138" t="str">
        <f>IF(OR(tblPiNHistorical[[#This Row],[WASH Old]]="", tblPiNHistorical[[#This Row],[WASH Old]]=0, tblPiNHistorical[[#This Row],[WASH New]]="", tblPiNHistorical[[#This Row],[WASH New]]=0), "", tblPiNHistorical[[#This Row],[WASH New]]-tblPiNHistorical[[#This Row],[WASH Old]])</f>
        <v/>
      </c>
      <c r="AQ603" s="139" t="str">
        <f>IFERROR(ROUND((tblPiNHistorical[[#This Row],[Site Management - New]] - tblPiNHistorical[[#This Row],[Site Management - Old]])/tblPiNHistorical[[#This Row],[Site Management - Old]], 1), "")</f>
        <v/>
      </c>
      <c r="AR603" s="140" t="str">
        <f>IFERROR(ROUND((tblPiNHistorical[[#This Row],[Education New]]-tblPiNHistorical[[#This Row],[Education Old]])/tblPiNHistorical[[#This Row],[Education Old]], 1), "")</f>
        <v/>
      </c>
      <c r="AS603" s="141" t="str">
        <f>IFERROR(ROUND((tblPiNHistorical[[#This Row],[Food Security and Livlihoods New]]-tblPiNHistorical[[#This Row],[Food Security and Livlihoods Old]])/tblPiNHistorical[[#This Row],[Food Security and Livlihoods Old]], 1), "")</f>
        <v/>
      </c>
      <c r="AT603" s="142" t="str">
        <f>IFERROR(ROUND((tblPiNHistorical[[#This Row],[Health New]]-tblPiNHistorical[[#This Row],[Health Old]])/tblPiNHistorical[[#This Row],[Health Old]], 1), "")</f>
        <v/>
      </c>
      <c r="AU603" s="140" t="str">
        <f>IFERROR(ROUND((tblPiNHistorical[[#This Row],[Nutrition New]]-tblPiNHistorical[[#This Row],[Nutrition Old]])/tblPiNHistorical[[#This Row],[Nutrition Old]], 1), "")</f>
        <v/>
      </c>
      <c r="AV603" s="140" t="str">
        <f>IFERROR(ROUND((tblPiNHistorical[[#This Row],[Protection New]]-tblPiNHistorical[[#This Row],[Protection Old]])/tblPiNHistorical[[#This Row],[Protection Old]], 1), "")</f>
        <v/>
      </c>
      <c r="AW603" s="84" t="str">
        <f>IFERROR(ROUND((tblPiNHistorical[[#This Row],[CP New]]-tblPiNHistorical[[#This Row],[CP Old ]])/tblPiNHistorical[[#This Row],[CP Old ]], 1), "")</f>
        <v/>
      </c>
      <c r="AX603" s="84" t="str">
        <f>IFERROR(ROUND((tblPiNHistorical[[#This Row],[GBV New]]-tblPiNHistorical[[#This Row],[GBV Old]])/tblPiNHistorical[[#This Row],[GBV Old]], 1), "")</f>
        <v/>
      </c>
      <c r="AY603" s="84" t="str">
        <f>IFERROR(ROUND((tblPiNHistorical[[#This Row],[Mine Action New]]-tblPiNHistorical[[#This Row],[Mine Action Old]])/tblPiNHistorical[[#This Row],[Mine Action Old]], 1), "")</f>
        <v/>
      </c>
      <c r="AZ603" s="140" t="str">
        <f>IFERROR(ROUND((tblPiNHistorical[[#This Row],[Shelter NFI New]]-tblPiNHistorical[[#This Row],[Shelter NFI Old]])/tblPiNHistorical[[#This Row],[Shelter NFI Old]], 1), "")</f>
        <v/>
      </c>
      <c r="BA603" s="31" t="str">
        <f>IFERROR(ROUND((tblPiNHistorical[[#This Row],[WASH New]]-tblPiNHistorical[[#This Row],[WASH Old]])/tblPiNHistorical[[#This Row],[WASH Old]], 1), "")</f>
        <v/>
      </c>
    </row>
    <row r="604" spans="1:53" ht="38.25" x14ac:dyDescent="0.25">
      <c r="A604"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Non-displaced PopulationSD05163</v>
      </c>
      <c r="B604" s="134" t="s">
        <v>155</v>
      </c>
      <c r="C604" s="124" t="s">
        <v>122</v>
      </c>
      <c r="D604" s="124" t="s">
        <v>190</v>
      </c>
      <c r="E604" s="59" t="s">
        <v>189</v>
      </c>
      <c r="F604" s="54"/>
      <c r="G604" s="29"/>
      <c r="H604" s="53">
        <v>53523</v>
      </c>
      <c r="I604" s="53" t="s">
        <v>89</v>
      </c>
      <c r="J604" s="34">
        <v>0</v>
      </c>
      <c r="K604" s="116">
        <v>20750.867099999999</v>
      </c>
      <c r="L604" s="114">
        <v>26761.5</v>
      </c>
      <c r="M604" s="114">
        <v>0</v>
      </c>
      <c r="N604" s="114">
        <v>13718</v>
      </c>
      <c r="O604" s="114">
        <v>5887.5300000000007</v>
      </c>
      <c r="P604" s="114">
        <v>5888</v>
      </c>
      <c r="Q604" s="114">
        <v>4237</v>
      </c>
      <c r="R604" s="114">
        <v>0</v>
      </c>
      <c r="S604" s="114">
        <v>10705</v>
      </c>
      <c r="T604" s="196">
        <v>53250.032699999996</v>
      </c>
      <c r="U604" s="52" t="str">
        <f>IFERROR(INDEX(tblPiNAnalysis[[Site Management ]], MATCH(tblPiNHistorical[[#This Row],[ID]], tblPiNAnalysis[ID], 0)), "")</f>
        <v/>
      </c>
      <c r="V604" s="52" t="str">
        <f>IFERROR(INDEX(tblPiNAnalysis[Education], MATCH(tblPiNHistorical[[#This Row],[ID]], tblPiNAnalysis[ID], 0)), "")</f>
        <v/>
      </c>
      <c r="W604" s="28" t="str">
        <f>IFERROR(INDEX(tblPiNAnalysis[Food Security and Livlihoods], MATCH(tblPiNHistorical[[#This Row],[ID]], tblPiNAnalysis[ID], 0)), "")</f>
        <v/>
      </c>
      <c r="X604" s="28" t="str">
        <f>IFERROR(INDEX(tblPiNAnalysis[[Health ]], MATCH(tblPiNHistorical[[#This Row],[ID]], tblPiNAnalysis[ID], 0)), "")</f>
        <v/>
      </c>
      <c r="Y604" s="28" t="str">
        <f>IFERROR(INDEX(tblPiNAnalysis[Nutrition], MATCH(tblPiNHistorical[[#This Row],[ID]], tblPiNAnalysis[ID], 0)), "")</f>
        <v/>
      </c>
      <c r="Z604" s="28" t="str">
        <f>IFERROR(INDEX(tblPiNAnalysis[Protection], MATCH(tblPiNHistorical[[#This Row],[ID]], tblPiNAnalysis[ID], 0)), "")</f>
        <v/>
      </c>
      <c r="AA604" s="28" t="str">
        <f>IFERROR(INDEX(tblPiNAnalysis[CP], MATCH(tblPiNHistorical[[#This Row],[ID]], tblPiNAnalysis[ID], 0)), "")</f>
        <v/>
      </c>
      <c r="AB604" s="83" t="str">
        <f>IFERROR(INDEX(tblPiNAnalysis[GBV], MATCH(tblPiNHistorical[[#This Row],[ID]], tblPiNAnalysis[ID], 0)), "")</f>
        <v/>
      </c>
      <c r="AC604" s="28" t="str">
        <f>IFERROR(INDEX(tblPiNAnalysis[Mine Action], MATCH(tblPiNHistorical[[#This Row],[ID]], tblPiNAnalysis[ID], 0)), "")</f>
        <v/>
      </c>
      <c r="AD604" s="83" t="str">
        <f>IFERROR(INDEX(tblPiNAnalysis[[Shelter NFI ]], MATCH(tblPiNHistorical[[#This Row],[ID]], tblPiNAnalysis[ID], 0)), "")</f>
        <v/>
      </c>
      <c r="AE604" s="28" t="str">
        <f>IFERROR(INDEX(tblPiNAnalysis[WASH], MATCH(tblPiNHistorical[[#This Row],[ID]], tblPiNAnalysis[ID], 0)), "")</f>
        <v/>
      </c>
      <c r="AF604"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604" s="136" t="str">
        <f>IF(OR(tblPiNHistorical[[#This Row],[Education Old]]="", tblPiNHistorical[[#This Row],[Education Old]]=0, tblPiNHistorical[[#This Row],[Education New]]="", tblPiNHistorical[[#This Row],[Education New]]=0), "", tblPiNHistorical[[#This Row],[Education New]]-tblPiNHistorical[[#This Row],[Education Old]])</f>
        <v/>
      </c>
      <c r="AH604"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604" s="137" t="str">
        <f>IF(OR(tblPiNHistorical[[#This Row],[Health Old]]="", tblPiNHistorical[[#This Row],[Health Old]]=0, tblPiNHistorical[[#This Row],[Health New]]="", tblPiNHistorical[[#This Row],[Health New]]=0), "", tblPiNHistorical[[#This Row],[Health New]]-tblPiNHistorical[[#This Row],[Health Old]])</f>
        <v/>
      </c>
      <c r="AJ604" s="136" t="str">
        <f>IF(OR(tblPiNHistorical[[#This Row],[Nutrition Old]]="", tblPiNHistorical[[#This Row],[Nutrition Old]]=0, tblPiNHistorical[[#This Row],[Nutrition New]]="", tblPiNHistorical[[#This Row],[Nutrition New]]=0), "", tblPiNHistorical[[#This Row],[Nutrition New]]-tblPiNHistorical[[#This Row],[Nutrition Old]])</f>
        <v/>
      </c>
      <c r="AK604" s="136" t="str">
        <f>IF(OR(tblPiNHistorical[[#This Row],[Protection Old]]="", tblPiNHistorical[[#This Row],[Protection Old]]=0, tblPiNHistorical[[#This Row],[Protection New]]="", tblPiNHistorical[[#This Row],[Protection New]]=0), "", tblPiNHistorical[[#This Row],[Protection New]]-tblPiNHistorical[[#This Row],[Protection Old]])</f>
        <v/>
      </c>
      <c r="AL604" s="136" t="str">
        <f>IF(OR(tblPiNHistorical[[#This Row],[CP Old ]]="", tblPiNHistorical[[#This Row],[CP Old ]]=0, tblPiNHistorical[[#This Row],[CP New]]="", tblPiNHistorical[[#This Row],[CP New]]=0), "", tblPiNHistorical[[#This Row],[CP New]]-tblPiNHistorical[[#This Row],[CP Old ]])</f>
        <v/>
      </c>
      <c r="AM604" s="83" t="str">
        <f>IF(OR(tblPiNHistorical[[#This Row],[GBV Old]]="", tblPiNHistorical[[#This Row],[GBV Old]]=0, tblPiNHistorical[[#This Row],[GBV New]]="", tblPiNHistorical[[#This Row],[GBV New]]=0), "", tblPiNHistorical[[#This Row],[GBV New]]-tblPiNHistorical[[#This Row],[GBV Old]])</f>
        <v/>
      </c>
      <c r="AN604" s="83" t="str">
        <f>IF(OR(tblPiNHistorical[[#This Row],[Mine Action Old]]="", tblPiNHistorical[[#This Row],[Mine Action Old]]=0, tblPiNHistorical[[#This Row],[Mine Action New]]="", tblPiNHistorical[[#This Row],[Mine Action New]]=0), "", tblPiNHistorical[[#This Row],[Mine Action New]]-tblPiNHistorical[[#This Row],[Mine Action Old]])</f>
        <v/>
      </c>
      <c r="AO604" s="136" t="str">
        <f>IF(OR(tblPiNHistorical[[#This Row],[Shelter NFI Old]]="", tblPiNHistorical[[#This Row],[Shelter NFI Old]]=0, tblPiNHistorical[[#This Row],[Shelter NFI New]]="", tblPiNHistorical[[#This Row],[Shelter NFI New]]=0), "", tblPiNHistorical[[#This Row],[Shelter NFI New]]-tblPiNHistorical[[#This Row],[Shelter NFI Old]])</f>
        <v/>
      </c>
      <c r="AP604" s="138" t="str">
        <f>IF(OR(tblPiNHistorical[[#This Row],[WASH Old]]="", tblPiNHistorical[[#This Row],[WASH Old]]=0, tblPiNHistorical[[#This Row],[WASH New]]="", tblPiNHistorical[[#This Row],[WASH New]]=0), "", tblPiNHistorical[[#This Row],[WASH New]]-tblPiNHistorical[[#This Row],[WASH Old]])</f>
        <v/>
      </c>
      <c r="AQ604" s="139" t="str">
        <f>IFERROR(ROUND((tblPiNHistorical[[#This Row],[Site Management - New]] - tblPiNHistorical[[#This Row],[Site Management - Old]])/tblPiNHistorical[[#This Row],[Site Management - Old]], 1), "")</f>
        <v/>
      </c>
      <c r="AR604" s="140" t="str">
        <f>IFERROR(ROUND((tblPiNHistorical[[#This Row],[Education New]]-tblPiNHistorical[[#This Row],[Education Old]])/tblPiNHistorical[[#This Row],[Education Old]], 1), "")</f>
        <v/>
      </c>
      <c r="AS604" s="141" t="str">
        <f>IFERROR(ROUND((tblPiNHistorical[[#This Row],[Food Security and Livlihoods New]]-tblPiNHistorical[[#This Row],[Food Security and Livlihoods Old]])/tblPiNHistorical[[#This Row],[Food Security and Livlihoods Old]], 1), "")</f>
        <v/>
      </c>
      <c r="AT604" s="142" t="str">
        <f>IFERROR(ROUND((tblPiNHistorical[[#This Row],[Health New]]-tblPiNHistorical[[#This Row],[Health Old]])/tblPiNHistorical[[#This Row],[Health Old]], 1), "")</f>
        <v/>
      </c>
      <c r="AU604" s="140" t="str">
        <f>IFERROR(ROUND((tblPiNHistorical[[#This Row],[Nutrition New]]-tblPiNHistorical[[#This Row],[Nutrition Old]])/tblPiNHistorical[[#This Row],[Nutrition Old]], 1), "")</f>
        <v/>
      </c>
      <c r="AV604" s="140" t="str">
        <f>IFERROR(ROUND((tblPiNHistorical[[#This Row],[Protection New]]-tblPiNHistorical[[#This Row],[Protection Old]])/tblPiNHistorical[[#This Row],[Protection Old]], 1), "")</f>
        <v/>
      </c>
      <c r="AW604" s="84" t="str">
        <f>IFERROR(ROUND((tblPiNHistorical[[#This Row],[CP New]]-tblPiNHistorical[[#This Row],[CP Old ]])/tblPiNHistorical[[#This Row],[CP Old ]], 1), "")</f>
        <v/>
      </c>
      <c r="AX604" s="84" t="str">
        <f>IFERROR(ROUND((tblPiNHistorical[[#This Row],[GBV New]]-tblPiNHistorical[[#This Row],[GBV Old]])/tblPiNHistorical[[#This Row],[GBV Old]], 1), "")</f>
        <v/>
      </c>
      <c r="AY604" s="84" t="str">
        <f>IFERROR(ROUND((tblPiNHistorical[[#This Row],[Mine Action New]]-tblPiNHistorical[[#This Row],[Mine Action Old]])/tblPiNHistorical[[#This Row],[Mine Action Old]], 1), "")</f>
        <v/>
      </c>
      <c r="AZ604" s="140" t="str">
        <f>IFERROR(ROUND((tblPiNHistorical[[#This Row],[Shelter NFI New]]-tblPiNHistorical[[#This Row],[Shelter NFI Old]])/tblPiNHistorical[[#This Row],[Shelter NFI Old]], 1), "")</f>
        <v/>
      </c>
      <c r="BA604" s="31" t="str">
        <f>IFERROR(ROUND((tblPiNHistorical[[#This Row],[WASH New]]-tblPiNHistorical[[#This Row],[WASH Old]])/tblPiNHistorical[[#This Row],[WASH Old]], 1), "")</f>
        <v/>
      </c>
    </row>
    <row r="605" spans="1:53" ht="38.25" x14ac:dyDescent="0.25">
      <c r="A605"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Non-displaced PopulationSD05160</v>
      </c>
      <c r="B605" s="134" t="s">
        <v>155</v>
      </c>
      <c r="C605" s="124" t="s">
        <v>122</v>
      </c>
      <c r="D605" s="124" t="s">
        <v>187</v>
      </c>
      <c r="E605" s="59" t="s">
        <v>186</v>
      </c>
      <c r="F605" s="54"/>
      <c r="G605" s="29"/>
      <c r="H605" s="53">
        <v>21894</v>
      </c>
      <c r="I605" s="53" t="s">
        <v>89</v>
      </c>
      <c r="J605" s="34">
        <v>0</v>
      </c>
      <c r="K605" s="116">
        <v>8488.3037999999997</v>
      </c>
      <c r="L605" s="114">
        <v>12041.7</v>
      </c>
      <c r="M605" s="114">
        <v>0</v>
      </c>
      <c r="N605" s="114">
        <v>9065</v>
      </c>
      <c r="O605" s="114">
        <v>2408.34</v>
      </c>
      <c r="P605" s="114">
        <v>2408</v>
      </c>
      <c r="Q605" s="114">
        <v>1733</v>
      </c>
      <c r="R605" s="114">
        <v>2189.4</v>
      </c>
      <c r="S605" s="114">
        <v>4379</v>
      </c>
      <c r="T605" s="196">
        <v>20438.048999999999</v>
      </c>
      <c r="U605" s="52" t="str">
        <f>IFERROR(INDEX(tblPiNAnalysis[[Site Management ]], MATCH(tblPiNHistorical[[#This Row],[ID]], tblPiNAnalysis[ID], 0)), "")</f>
        <v/>
      </c>
      <c r="V605" s="52" t="str">
        <f>IFERROR(INDEX(tblPiNAnalysis[Education], MATCH(tblPiNHistorical[[#This Row],[ID]], tblPiNAnalysis[ID], 0)), "")</f>
        <v/>
      </c>
      <c r="W605" s="28" t="str">
        <f>IFERROR(INDEX(tblPiNAnalysis[Food Security and Livlihoods], MATCH(tblPiNHistorical[[#This Row],[ID]], tblPiNAnalysis[ID], 0)), "")</f>
        <v/>
      </c>
      <c r="X605" s="28" t="str">
        <f>IFERROR(INDEX(tblPiNAnalysis[[Health ]], MATCH(tblPiNHistorical[[#This Row],[ID]], tblPiNAnalysis[ID], 0)), "")</f>
        <v/>
      </c>
      <c r="Y605" s="28" t="str">
        <f>IFERROR(INDEX(tblPiNAnalysis[Nutrition], MATCH(tblPiNHistorical[[#This Row],[ID]], tblPiNAnalysis[ID], 0)), "")</f>
        <v/>
      </c>
      <c r="Z605" s="28" t="str">
        <f>IFERROR(INDEX(tblPiNAnalysis[Protection], MATCH(tblPiNHistorical[[#This Row],[ID]], tblPiNAnalysis[ID], 0)), "")</f>
        <v/>
      </c>
      <c r="AA605" s="28" t="str">
        <f>IFERROR(INDEX(tblPiNAnalysis[CP], MATCH(tblPiNHistorical[[#This Row],[ID]], tblPiNAnalysis[ID], 0)), "")</f>
        <v/>
      </c>
      <c r="AB605" s="83" t="str">
        <f>IFERROR(INDEX(tblPiNAnalysis[GBV], MATCH(tblPiNHistorical[[#This Row],[ID]], tblPiNAnalysis[ID], 0)), "")</f>
        <v/>
      </c>
      <c r="AC605" s="28" t="str">
        <f>IFERROR(INDEX(tblPiNAnalysis[Mine Action], MATCH(tblPiNHistorical[[#This Row],[ID]], tblPiNAnalysis[ID], 0)), "")</f>
        <v/>
      </c>
      <c r="AD605" s="83" t="str">
        <f>IFERROR(INDEX(tblPiNAnalysis[[Shelter NFI ]], MATCH(tblPiNHistorical[[#This Row],[ID]], tblPiNAnalysis[ID], 0)), "")</f>
        <v/>
      </c>
      <c r="AE605" s="28" t="str">
        <f>IFERROR(INDEX(tblPiNAnalysis[WASH], MATCH(tblPiNHistorical[[#This Row],[ID]], tblPiNAnalysis[ID], 0)), "")</f>
        <v/>
      </c>
      <c r="AF605"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605" s="136" t="str">
        <f>IF(OR(tblPiNHistorical[[#This Row],[Education Old]]="", tblPiNHistorical[[#This Row],[Education Old]]=0, tblPiNHistorical[[#This Row],[Education New]]="", tblPiNHistorical[[#This Row],[Education New]]=0), "", tblPiNHistorical[[#This Row],[Education New]]-tblPiNHistorical[[#This Row],[Education Old]])</f>
        <v/>
      </c>
      <c r="AH605"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605" s="137" t="str">
        <f>IF(OR(tblPiNHistorical[[#This Row],[Health Old]]="", tblPiNHistorical[[#This Row],[Health Old]]=0, tblPiNHistorical[[#This Row],[Health New]]="", tblPiNHistorical[[#This Row],[Health New]]=0), "", tblPiNHistorical[[#This Row],[Health New]]-tblPiNHistorical[[#This Row],[Health Old]])</f>
        <v/>
      </c>
      <c r="AJ605" s="136" t="str">
        <f>IF(OR(tblPiNHistorical[[#This Row],[Nutrition Old]]="", tblPiNHistorical[[#This Row],[Nutrition Old]]=0, tblPiNHistorical[[#This Row],[Nutrition New]]="", tblPiNHistorical[[#This Row],[Nutrition New]]=0), "", tblPiNHistorical[[#This Row],[Nutrition New]]-tblPiNHistorical[[#This Row],[Nutrition Old]])</f>
        <v/>
      </c>
      <c r="AK605" s="136" t="str">
        <f>IF(OR(tblPiNHistorical[[#This Row],[Protection Old]]="", tblPiNHistorical[[#This Row],[Protection Old]]=0, tblPiNHistorical[[#This Row],[Protection New]]="", tblPiNHistorical[[#This Row],[Protection New]]=0), "", tblPiNHistorical[[#This Row],[Protection New]]-tblPiNHistorical[[#This Row],[Protection Old]])</f>
        <v/>
      </c>
      <c r="AL605" s="136" t="str">
        <f>IF(OR(tblPiNHistorical[[#This Row],[CP Old ]]="", tblPiNHistorical[[#This Row],[CP Old ]]=0, tblPiNHistorical[[#This Row],[CP New]]="", tblPiNHistorical[[#This Row],[CP New]]=0), "", tblPiNHistorical[[#This Row],[CP New]]-tblPiNHistorical[[#This Row],[CP Old ]])</f>
        <v/>
      </c>
      <c r="AM605" s="83" t="str">
        <f>IF(OR(tblPiNHistorical[[#This Row],[GBV Old]]="", tblPiNHistorical[[#This Row],[GBV Old]]=0, tblPiNHistorical[[#This Row],[GBV New]]="", tblPiNHistorical[[#This Row],[GBV New]]=0), "", tblPiNHistorical[[#This Row],[GBV New]]-tblPiNHistorical[[#This Row],[GBV Old]])</f>
        <v/>
      </c>
      <c r="AN605" s="83" t="str">
        <f>IF(OR(tblPiNHistorical[[#This Row],[Mine Action Old]]="", tblPiNHistorical[[#This Row],[Mine Action Old]]=0, tblPiNHistorical[[#This Row],[Mine Action New]]="", tblPiNHistorical[[#This Row],[Mine Action New]]=0), "", tblPiNHistorical[[#This Row],[Mine Action New]]-tblPiNHistorical[[#This Row],[Mine Action Old]])</f>
        <v/>
      </c>
      <c r="AO605" s="136" t="str">
        <f>IF(OR(tblPiNHistorical[[#This Row],[Shelter NFI Old]]="", tblPiNHistorical[[#This Row],[Shelter NFI Old]]=0, tblPiNHistorical[[#This Row],[Shelter NFI New]]="", tblPiNHistorical[[#This Row],[Shelter NFI New]]=0), "", tblPiNHistorical[[#This Row],[Shelter NFI New]]-tblPiNHistorical[[#This Row],[Shelter NFI Old]])</f>
        <v/>
      </c>
      <c r="AP605" s="138" t="str">
        <f>IF(OR(tblPiNHistorical[[#This Row],[WASH Old]]="", tblPiNHistorical[[#This Row],[WASH Old]]=0, tblPiNHistorical[[#This Row],[WASH New]]="", tblPiNHistorical[[#This Row],[WASH New]]=0), "", tblPiNHistorical[[#This Row],[WASH New]]-tblPiNHistorical[[#This Row],[WASH Old]])</f>
        <v/>
      </c>
      <c r="AQ605" s="139" t="str">
        <f>IFERROR(ROUND((tblPiNHistorical[[#This Row],[Site Management - New]] - tblPiNHistorical[[#This Row],[Site Management - Old]])/tblPiNHistorical[[#This Row],[Site Management - Old]], 1), "")</f>
        <v/>
      </c>
      <c r="AR605" s="140" t="str">
        <f>IFERROR(ROUND((tblPiNHistorical[[#This Row],[Education New]]-tblPiNHistorical[[#This Row],[Education Old]])/tblPiNHistorical[[#This Row],[Education Old]], 1), "")</f>
        <v/>
      </c>
      <c r="AS605" s="141" t="str">
        <f>IFERROR(ROUND((tblPiNHistorical[[#This Row],[Food Security and Livlihoods New]]-tblPiNHistorical[[#This Row],[Food Security and Livlihoods Old]])/tblPiNHistorical[[#This Row],[Food Security and Livlihoods Old]], 1), "")</f>
        <v/>
      </c>
      <c r="AT605" s="142" t="str">
        <f>IFERROR(ROUND((tblPiNHistorical[[#This Row],[Health New]]-tblPiNHistorical[[#This Row],[Health Old]])/tblPiNHistorical[[#This Row],[Health Old]], 1), "")</f>
        <v/>
      </c>
      <c r="AU605" s="140" t="str">
        <f>IFERROR(ROUND((tblPiNHistorical[[#This Row],[Nutrition New]]-tblPiNHistorical[[#This Row],[Nutrition Old]])/tblPiNHistorical[[#This Row],[Nutrition Old]], 1), "")</f>
        <v/>
      </c>
      <c r="AV605" s="140" t="str">
        <f>IFERROR(ROUND((tblPiNHistorical[[#This Row],[Protection New]]-tblPiNHistorical[[#This Row],[Protection Old]])/tblPiNHistorical[[#This Row],[Protection Old]], 1), "")</f>
        <v/>
      </c>
      <c r="AW605" s="84" t="str">
        <f>IFERROR(ROUND((tblPiNHistorical[[#This Row],[CP New]]-tblPiNHistorical[[#This Row],[CP Old ]])/tblPiNHistorical[[#This Row],[CP Old ]], 1), "")</f>
        <v/>
      </c>
      <c r="AX605" s="84" t="str">
        <f>IFERROR(ROUND((tblPiNHistorical[[#This Row],[GBV New]]-tblPiNHistorical[[#This Row],[GBV Old]])/tblPiNHistorical[[#This Row],[GBV Old]], 1), "")</f>
        <v/>
      </c>
      <c r="AY605" s="84" t="str">
        <f>IFERROR(ROUND((tblPiNHistorical[[#This Row],[Mine Action New]]-tblPiNHistorical[[#This Row],[Mine Action Old]])/tblPiNHistorical[[#This Row],[Mine Action Old]], 1), "")</f>
        <v/>
      </c>
      <c r="AZ605" s="140" t="str">
        <f>IFERROR(ROUND((tblPiNHistorical[[#This Row],[Shelter NFI New]]-tblPiNHistorical[[#This Row],[Shelter NFI Old]])/tblPiNHistorical[[#This Row],[Shelter NFI Old]], 1), "")</f>
        <v/>
      </c>
      <c r="BA605" s="31" t="str">
        <f>IFERROR(ROUND((tblPiNHistorical[[#This Row],[WASH New]]-tblPiNHistorical[[#This Row],[WASH Old]])/tblPiNHistorical[[#This Row],[WASH Old]], 1), "")</f>
        <v/>
      </c>
    </row>
    <row r="606" spans="1:53" ht="38.25" x14ac:dyDescent="0.25">
      <c r="A606"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Non-displaced PopulationSD05148</v>
      </c>
      <c r="B606" s="134" t="s">
        <v>155</v>
      </c>
      <c r="C606" s="124" t="s">
        <v>122</v>
      </c>
      <c r="D606" s="124" t="s">
        <v>178</v>
      </c>
      <c r="E606" s="59" t="s">
        <v>177</v>
      </c>
      <c r="F606" s="54"/>
      <c r="G606" s="29"/>
      <c r="H606" s="53">
        <v>40634</v>
      </c>
      <c r="I606" s="53" t="s">
        <v>89</v>
      </c>
      <c r="J606" s="34">
        <v>0</v>
      </c>
      <c r="K606" s="116">
        <v>15753.801799999999</v>
      </c>
      <c r="L606" s="114">
        <v>22348.7</v>
      </c>
      <c r="M606" s="114">
        <v>0</v>
      </c>
      <c r="N606" s="114">
        <v>11417</v>
      </c>
      <c r="O606" s="114">
        <v>6095.0999999999995</v>
      </c>
      <c r="P606" s="114">
        <v>4470</v>
      </c>
      <c r="Q606" s="114">
        <v>3217</v>
      </c>
      <c r="R606" s="114">
        <v>6095.0999999999995</v>
      </c>
      <c r="S606" s="114">
        <v>8127</v>
      </c>
      <c r="T606" s="196">
        <v>39910.714800000002</v>
      </c>
      <c r="U606" s="52" t="str">
        <f>IFERROR(INDEX(tblPiNAnalysis[[Site Management ]], MATCH(tblPiNHistorical[[#This Row],[ID]], tblPiNAnalysis[ID], 0)), "")</f>
        <v/>
      </c>
      <c r="V606" s="52" t="str">
        <f>IFERROR(INDEX(tblPiNAnalysis[Education], MATCH(tblPiNHistorical[[#This Row],[ID]], tblPiNAnalysis[ID], 0)), "")</f>
        <v/>
      </c>
      <c r="W606" s="28" t="str">
        <f>IFERROR(INDEX(tblPiNAnalysis[Food Security and Livlihoods], MATCH(tblPiNHistorical[[#This Row],[ID]], tblPiNAnalysis[ID], 0)), "")</f>
        <v/>
      </c>
      <c r="X606" s="28" t="str">
        <f>IFERROR(INDEX(tblPiNAnalysis[[Health ]], MATCH(tblPiNHistorical[[#This Row],[ID]], tblPiNAnalysis[ID], 0)), "")</f>
        <v/>
      </c>
      <c r="Y606" s="28" t="str">
        <f>IFERROR(INDEX(tblPiNAnalysis[Nutrition], MATCH(tblPiNHistorical[[#This Row],[ID]], tblPiNAnalysis[ID], 0)), "")</f>
        <v/>
      </c>
      <c r="Z606" s="28" t="str">
        <f>IFERROR(INDEX(tblPiNAnalysis[Protection], MATCH(tblPiNHistorical[[#This Row],[ID]], tblPiNAnalysis[ID], 0)), "")</f>
        <v/>
      </c>
      <c r="AA606" s="28" t="str">
        <f>IFERROR(INDEX(tblPiNAnalysis[CP], MATCH(tblPiNHistorical[[#This Row],[ID]], tblPiNAnalysis[ID], 0)), "")</f>
        <v/>
      </c>
      <c r="AB606" s="83" t="str">
        <f>IFERROR(INDEX(tblPiNAnalysis[GBV], MATCH(tblPiNHistorical[[#This Row],[ID]], tblPiNAnalysis[ID], 0)), "")</f>
        <v/>
      </c>
      <c r="AC606" s="28" t="str">
        <f>IFERROR(INDEX(tblPiNAnalysis[Mine Action], MATCH(tblPiNHistorical[[#This Row],[ID]], tblPiNAnalysis[ID], 0)), "")</f>
        <v/>
      </c>
      <c r="AD606" s="83" t="str">
        <f>IFERROR(INDEX(tblPiNAnalysis[[Shelter NFI ]], MATCH(tblPiNHistorical[[#This Row],[ID]], tblPiNAnalysis[ID], 0)), "")</f>
        <v/>
      </c>
      <c r="AE606" s="28" t="str">
        <f>IFERROR(INDEX(tblPiNAnalysis[WASH], MATCH(tblPiNHistorical[[#This Row],[ID]], tblPiNAnalysis[ID], 0)), "")</f>
        <v/>
      </c>
      <c r="AF606"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606" s="136" t="str">
        <f>IF(OR(tblPiNHistorical[[#This Row],[Education Old]]="", tblPiNHistorical[[#This Row],[Education Old]]=0, tblPiNHistorical[[#This Row],[Education New]]="", tblPiNHistorical[[#This Row],[Education New]]=0), "", tblPiNHistorical[[#This Row],[Education New]]-tblPiNHistorical[[#This Row],[Education Old]])</f>
        <v/>
      </c>
      <c r="AH606"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606" s="137" t="str">
        <f>IF(OR(tblPiNHistorical[[#This Row],[Health Old]]="", tblPiNHistorical[[#This Row],[Health Old]]=0, tblPiNHistorical[[#This Row],[Health New]]="", tblPiNHistorical[[#This Row],[Health New]]=0), "", tblPiNHistorical[[#This Row],[Health New]]-tblPiNHistorical[[#This Row],[Health Old]])</f>
        <v/>
      </c>
      <c r="AJ606" s="136" t="str">
        <f>IF(OR(tblPiNHistorical[[#This Row],[Nutrition Old]]="", tblPiNHistorical[[#This Row],[Nutrition Old]]=0, tblPiNHistorical[[#This Row],[Nutrition New]]="", tblPiNHistorical[[#This Row],[Nutrition New]]=0), "", tblPiNHistorical[[#This Row],[Nutrition New]]-tblPiNHistorical[[#This Row],[Nutrition Old]])</f>
        <v/>
      </c>
      <c r="AK606" s="136" t="str">
        <f>IF(OR(tblPiNHistorical[[#This Row],[Protection Old]]="", tblPiNHistorical[[#This Row],[Protection Old]]=0, tblPiNHistorical[[#This Row],[Protection New]]="", tblPiNHistorical[[#This Row],[Protection New]]=0), "", tblPiNHistorical[[#This Row],[Protection New]]-tblPiNHistorical[[#This Row],[Protection Old]])</f>
        <v/>
      </c>
      <c r="AL606" s="136" t="str">
        <f>IF(OR(tblPiNHistorical[[#This Row],[CP Old ]]="", tblPiNHistorical[[#This Row],[CP Old ]]=0, tblPiNHistorical[[#This Row],[CP New]]="", tblPiNHistorical[[#This Row],[CP New]]=0), "", tblPiNHistorical[[#This Row],[CP New]]-tblPiNHistorical[[#This Row],[CP Old ]])</f>
        <v/>
      </c>
      <c r="AM606" s="83" t="str">
        <f>IF(OR(tblPiNHistorical[[#This Row],[GBV Old]]="", tblPiNHistorical[[#This Row],[GBV Old]]=0, tblPiNHistorical[[#This Row],[GBV New]]="", tblPiNHistorical[[#This Row],[GBV New]]=0), "", tblPiNHistorical[[#This Row],[GBV New]]-tblPiNHistorical[[#This Row],[GBV Old]])</f>
        <v/>
      </c>
      <c r="AN606" s="83" t="str">
        <f>IF(OR(tblPiNHistorical[[#This Row],[Mine Action Old]]="", tblPiNHistorical[[#This Row],[Mine Action Old]]=0, tblPiNHistorical[[#This Row],[Mine Action New]]="", tblPiNHistorical[[#This Row],[Mine Action New]]=0), "", tblPiNHistorical[[#This Row],[Mine Action New]]-tblPiNHistorical[[#This Row],[Mine Action Old]])</f>
        <v/>
      </c>
      <c r="AO606" s="136" t="str">
        <f>IF(OR(tblPiNHistorical[[#This Row],[Shelter NFI Old]]="", tblPiNHistorical[[#This Row],[Shelter NFI Old]]=0, tblPiNHistorical[[#This Row],[Shelter NFI New]]="", tblPiNHistorical[[#This Row],[Shelter NFI New]]=0), "", tblPiNHistorical[[#This Row],[Shelter NFI New]]-tblPiNHistorical[[#This Row],[Shelter NFI Old]])</f>
        <v/>
      </c>
      <c r="AP606" s="138" t="str">
        <f>IF(OR(tblPiNHistorical[[#This Row],[WASH Old]]="", tblPiNHistorical[[#This Row],[WASH Old]]=0, tblPiNHistorical[[#This Row],[WASH New]]="", tblPiNHistorical[[#This Row],[WASH New]]=0), "", tblPiNHistorical[[#This Row],[WASH New]]-tblPiNHistorical[[#This Row],[WASH Old]])</f>
        <v/>
      </c>
      <c r="AQ606" s="139" t="str">
        <f>IFERROR(ROUND((tblPiNHistorical[[#This Row],[Site Management - New]] - tblPiNHistorical[[#This Row],[Site Management - Old]])/tblPiNHistorical[[#This Row],[Site Management - Old]], 1), "")</f>
        <v/>
      </c>
      <c r="AR606" s="140" t="str">
        <f>IFERROR(ROUND((tblPiNHistorical[[#This Row],[Education New]]-tblPiNHistorical[[#This Row],[Education Old]])/tblPiNHistorical[[#This Row],[Education Old]], 1), "")</f>
        <v/>
      </c>
      <c r="AS606" s="141" t="str">
        <f>IFERROR(ROUND((tblPiNHistorical[[#This Row],[Food Security and Livlihoods New]]-tblPiNHistorical[[#This Row],[Food Security and Livlihoods Old]])/tblPiNHistorical[[#This Row],[Food Security and Livlihoods Old]], 1), "")</f>
        <v/>
      </c>
      <c r="AT606" s="142" t="str">
        <f>IFERROR(ROUND((tblPiNHistorical[[#This Row],[Health New]]-tblPiNHistorical[[#This Row],[Health Old]])/tblPiNHistorical[[#This Row],[Health Old]], 1), "")</f>
        <v/>
      </c>
      <c r="AU606" s="140" t="str">
        <f>IFERROR(ROUND((tblPiNHistorical[[#This Row],[Nutrition New]]-tblPiNHistorical[[#This Row],[Nutrition Old]])/tblPiNHistorical[[#This Row],[Nutrition Old]], 1), "")</f>
        <v/>
      </c>
      <c r="AV606" s="140" t="str">
        <f>IFERROR(ROUND((tblPiNHistorical[[#This Row],[Protection New]]-tblPiNHistorical[[#This Row],[Protection Old]])/tblPiNHistorical[[#This Row],[Protection Old]], 1), "")</f>
        <v/>
      </c>
      <c r="AW606" s="84" t="str">
        <f>IFERROR(ROUND((tblPiNHistorical[[#This Row],[CP New]]-tblPiNHistorical[[#This Row],[CP Old ]])/tblPiNHistorical[[#This Row],[CP Old ]], 1), "")</f>
        <v/>
      </c>
      <c r="AX606" s="84" t="str">
        <f>IFERROR(ROUND((tblPiNHistorical[[#This Row],[GBV New]]-tblPiNHistorical[[#This Row],[GBV Old]])/tblPiNHistorical[[#This Row],[GBV Old]], 1), "")</f>
        <v/>
      </c>
      <c r="AY606" s="84" t="str">
        <f>IFERROR(ROUND((tblPiNHistorical[[#This Row],[Mine Action New]]-tblPiNHistorical[[#This Row],[Mine Action Old]])/tblPiNHistorical[[#This Row],[Mine Action Old]], 1), "")</f>
        <v/>
      </c>
      <c r="AZ606" s="140" t="str">
        <f>IFERROR(ROUND((tblPiNHistorical[[#This Row],[Shelter NFI New]]-tblPiNHistorical[[#This Row],[Shelter NFI Old]])/tblPiNHistorical[[#This Row],[Shelter NFI Old]], 1), "")</f>
        <v/>
      </c>
      <c r="BA606" s="31" t="str">
        <f>IFERROR(ROUND((tblPiNHistorical[[#This Row],[WASH New]]-tblPiNHistorical[[#This Row],[WASH Old]])/tblPiNHistorical[[#This Row],[WASH Old]], 1), "")</f>
        <v/>
      </c>
    </row>
    <row r="607" spans="1:53" ht="38.25" x14ac:dyDescent="0.25">
      <c r="A607"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Non-displaced PopulationSD05165</v>
      </c>
      <c r="B607" s="134" t="s">
        <v>155</v>
      </c>
      <c r="C607" s="124" t="s">
        <v>122</v>
      </c>
      <c r="D607" s="124" t="s">
        <v>193</v>
      </c>
      <c r="E607" s="59" t="s">
        <v>192</v>
      </c>
      <c r="F607" s="54"/>
      <c r="G607" s="29"/>
      <c r="H607" s="53">
        <v>39832.1</v>
      </c>
      <c r="I607" s="53" t="s">
        <v>89</v>
      </c>
      <c r="J607" s="34">
        <v>0</v>
      </c>
      <c r="K607" s="116">
        <v>15442.905169999998</v>
      </c>
      <c r="L607" s="114">
        <v>23899.26</v>
      </c>
      <c r="M607" s="114">
        <v>0</v>
      </c>
      <c r="N607" s="114">
        <v>5675</v>
      </c>
      <c r="O607" s="114">
        <v>4381.5310000000009</v>
      </c>
      <c r="P607" s="114">
        <v>4382</v>
      </c>
      <c r="Q607" s="114">
        <v>3153</v>
      </c>
      <c r="R607" s="114">
        <v>3983.21</v>
      </c>
      <c r="S607" s="114">
        <v>0</v>
      </c>
      <c r="T607" s="196">
        <v>38071.521179999996</v>
      </c>
      <c r="U607" s="52" t="str">
        <f>IFERROR(INDEX(tblPiNAnalysis[[Site Management ]], MATCH(tblPiNHistorical[[#This Row],[ID]], tblPiNAnalysis[ID], 0)), "")</f>
        <v/>
      </c>
      <c r="V607" s="52" t="str">
        <f>IFERROR(INDEX(tblPiNAnalysis[Education], MATCH(tblPiNHistorical[[#This Row],[ID]], tblPiNAnalysis[ID], 0)), "")</f>
        <v/>
      </c>
      <c r="W607" s="28" t="str">
        <f>IFERROR(INDEX(tblPiNAnalysis[Food Security and Livlihoods], MATCH(tblPiNHistorical[[#This Row],[ID]], tblPiNAnalysis[ID], 0)), "")</f>
        <v/>
      </c>
      <c r="X607" s="28" t="str">
        <f>IFERROR(INDEX(tblPiNAnalysis[[Health ]], MATCH(tblPiNHistorical[[#This Row],[ID]], tblPiNAnalysis[ID], 0)), "")</f>
        <v/>
      </c>
      <c r="Y607" s="28" t="str">
        <f>IFERROR(INDEX(tblPiNAnalysis[Nutrition], MATCH(tblPiNHistorical[[#This Row],[ID]], tblPiNAnalysis[ID], 0)), "")</f>
        <v/>
      </c>
      <c r="Z607" s="28" t="str">
        <f>IFERROR(INDEX(tblPiNAnalysis[Protection], MATCH(tblPiNHistorical[[#This Row],[ID]], tblPiNAnalysis[ID], 0)), "")</f>
        <v/>
      </c>
      <c r="AA607" s="28" t="str">
        <f>IFERROR(INDEX(tblPiNAnalysis[CP], MATCH(tblPiNHistorical[[#This Row],[ID]], tblPiNAnalysis[ID], 0)), "")</f>
        <v/>
      </c>
      <c r="AB607" s="83" t="str">
        <f>IFERROR(INDEX(tblPiNAnalysis[GBV], MATCH(tblPiNHistorical[[#This Row],[ID]], tblPiNAnalysis[ID], 0)), "")</f>
        <v/>
      </c>
      <c r="AC607" s="28" t="str">
        <f>IFERROR(INDEX(tblPiNAnalysis[Mine Action], MATCH(tblPiNHistorical[[#This Row],[ID]], tblPiNAnalysis[ID], 0)), "")</f>
        <v/>
      </c>
      <c r="AD607" s="83" t="str">
        <f>IFERROR(INDEX(tblPiNAnalysis[[Shelter NFI ]], MATCH(tblPiNHistorical[[#This Row],[ID]], tblPiNAnalysis[ID], 0)), "")</f>
        <v/>
      </c>
      <c r="AE607" s="28" t="str">
        <f>IFERROR(INDEX(tblPiNAnalysis[WASH], MATCH(tblPiNHistorical[[#This Row],[ID]], tblPiNAnalysis[ID], 0)), "")</f>
        <v/>
      </c>
      <c r="AF607"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607" s="136" t="str">
        <f>IF(OR(tblPiNHistorical[[#This Row],[Education Old]]="", tblPiNHistorical[[#This Row],[Education Old]]=0, tblPiNHistorical[[#This Row],[Education New]]="", tblPiNHistorical[[#This Row],[Education New]]=0), "", tblPiNHistorical[[#This Row],[Education New]]-tblPiNHistorical[[#This Row],[Education Old]])</f>
        <v/>
      </c>
      <c r="AH607"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607" s="137" t="str">
        <f>IF(OR(tblPiNHistorical[[#This Row],[Health Old]]="", tblPiNHistorical[[#This Row],[Health Old]]=0, tblPiNHistorical[[#This Row],[Health New]]="", tblPiNHistorical[[#This Row],[Health New]]=0), "", tblPiNHistorical[[#This Row],[Health New]]-tblPiNHistorical[[#This Row],[Health Old]])</f>
        <v/>
      </c>
      <c r="AJ607" s="136" t="str">
        <f>IF(OR(tblPiNHistorical[[#This Row],[Nutrition Old]]="", tblPiNHistorical[[#This Row],[Nutrition Old]]=0, tblPiNHistorical[[#This Row],[Nutrition New]]="", tblPiNHistorical[[#This Row],[Nutrition New]]=0), "", tblPiNHistorical[[#This Row],[Nutrition New]]-tblPiNHistorical[[#This Row],[Nutrition Old]])</f>
        <v/>
      </c>
      <c r="AK607" s="136" t="str">
        <f>IF(OR(tblPiNHistorical[[#This Row],[Protection Old]]="", tblPiNHistorical[[#This Row],[Protection Old]]=0, tblPiNHistorical[[#This Row],[Protection New]]="", tblPiNHistorical[[#This Row],[Protection New]]=0), "", tblPiNHistorical[[#This Row],[Protection New]]-tblPiNHistorical[[#This Row],[Protection Old]])</f>
        <v/>
      </c>
      <c r="AL607" s="136" t="str">
        <f>IF(OR(tblPiNHistorical[[#This Row],[CP Old ]]="", tblPiNHistorical[[#This Row],[CP Old ]]=0, tblPiNHistorical[[#This Row],[CP New]]="", tblPiNHistorical[[#This Row],[CP New]]=0), "", tblPiNHistorical[[#This Row],[CP New]]-tblPiNHistorical[[#This Row],[CP Old ]])</f>
        <v/>
      </c>
      <c r="AM607" s="83" t="str">
        <f>IF(OR(tblPiNHistorical[[#This Row],[GBV Old]]="", tblPiNHistorical[[#This Row],[GBV Old]]=0, tblPiNHistorical[[#This Row],[GBV New]]="", tblPiNHistorical[[#This Row],[GBV New]]=0), "", tblPiNHistorical[[#This Row],[GBV New]]-tblPiNHistorical[[#This Row],[GBV Old]])</f>
        <v/>
      </c>
      <c r="AN607" s="83" t="str">
        <f>IF(OR(tblPiNHistorical[[#This Row],[Mine Action Old]]="", tblPiNHistorical[[#This Row],[Mine Action Old]]=0, tblPiNHistorical[[#This Row],[Mine Action New]]="", tblPiNHistorical[[#This Row],[Mine Action New]]=0), "", tblPiNHistorical[[#This Row],[Mine Action New]]-tblPiNHistorical[[#This Row],[Mine Action Old]])</f>
        <v/>
      </c>
      <c r="AO607" s="136" t="str">
        <f>IF(OR(tblPiNHistorical[[#This Row],[Shelter NFI Old]]="", tblPiNHistorical[[#This Row],[Shelter NFI Old]]=0, tblPiNHistorical[[#This Row],[Shelter NFI New]]="", tblPiNHistorical[[#This Row],[Shelter NFI New]]=0), "", tblPiNHistorical[[#This Row],[Shelter NFI New]]-tblPiNHistorical[[#This Row],[Shelter NFI Old]])</f>
        <v/>
      </c>
      <c r="AP607" s="138" t="str">
        <f>IF(OR(tblPiNHistorical[[#This Row],[WASH Old]]="", tblPiNHistorical[[#This Row],[WASH Old]]=0, tblPiNHistorical[[#This Row],[WASH New]]="", tblPiNHistorical[[#This Row],[WASH New]]=0), "", tblPiNHistorical[[#This Row],[WASH New]]-tblPiNHistorical[[#This Row],[WASH Old]])</f>
        <v/>
      </c>
      <c r="AQ607" s="139" t="str">
        <f>IFERROR(ROUND((tblPiNHistorical[[#This Row],[Site Management - New]] - tblPiNHistorical[[#This Row],[Site Management - Old]])/tblPiNHistorical[[#This Row],[Site Management - Old]], 1), "")</f>
        <v/>
      </c>
      <c r="AR607" s="140" t="str">
        <f>IFERROR(ROUND((tblPiNHistorical[[#This Row],[Education New]]-tblPiNHistorical[[#This Row],[Education Old]])/tblPiNHistorical[[#This Row],[Education Old]], 1), "")</f>
        <v/>
      </c>
      <c r="AS607" s="141" t="str">
        <f>IFERROR(ROUND((tblPiNHistorical[[#This Row],[Food Security and Livlihoods New]]-tblPiNHistorical[[#This Row],[Food Security and Livlihoods Old]])/tblPiNHistorical[[#This Row],[Food Security and Livlihoods Old]], 1), "")</f>
        <v/>
      </c>
      <c r="AT607" s="142" t="str">
        <f>IFERROR(ROUND((tblPiNHistorical[[#This Row],[Health New]]-tblPiNHistorical[[#This Row],[Health Old]])/tblPiNHistorical[[#This Row],[Health Old]], 1), "")</f>
        <v/>
      </c>
      <c r="AU607" s="140" t="str">
        <f>IFERROR(ROUND((tblPiNHistorical[[#This Row],[Nutrition New]]-tblPiNHistorical[[#This Row],[Nutrition Old]])/tblPiNHistorical[[#This Row],[Nutrition Old]], 1), "")</f>
        <v/>
      </c>
      <c r="AV607" s="140" t="str">
        <f>IFERROR(ROUND((tblPiNHistorical[[#This Row],[Protection New]]-tblPiNHistorical[[#This Row],[Protection Old]])/tblPiNHistorical[[#This Row],[Protection Old]], 1), "")</f>
        <v/>
      </c>
      <c r="AW607" s="84" t="str">
        <f>IFERROR(ROUND((tblPiNHistorical[[#This Row],[CP New]]-tblPiNHistorical[[#This Row],[CP Old ]])/tblPiNHistorical[[#This Row],[CP Old ]], 1), "")</f>
        <v/>
      </c>
      <c r="AX607" s="84" t="str">
        <f>IFERROR(ROUND((tblPiNHistorical[[#This Row],[GBV New]]-tblPiNHistorical[[#This Row],[GBV Old]])/tblPiNHistorical[[#This Row],[GBV Old]], 1), "")</f>
        <v/>
      </c>
      <c r="AY607" s="84" t="str">
        <f>IFERROR(ROUND((tblPiNHistorical[[#This Row],[Mine Action New]]-tblPiNHistorical[[#This Row],[Mine Action Old]])/tblPiNHistorical[[#This Row],[Mine Action Old]], 1), "")</f>
        <v/>
      </c>
      <c r="AZ607" s="140" t="str">
        <f>IFERROR(ROUND((tblPiNHistorical[[#This Row],[Shelter NFI New]]-tblPiNHistorical[[#This Row],[Shelter NFI Old]])/tblPiNHistorical[[#This Row],[Shelter NFI Old]], 1), "")</f>
        <v/>
      </c>
      <c r="BA607" s="31" t="str">
        <f>IFERROR(ROUND((tblPiNHistorical[[#This Row],[WASH New]]-tblPiNHistorical[[#This Row],[WASH Old]])/tblPiNHistorical[[#This Row],[WASH Old]], 1), "")</f>
        <v/>
      </c>
    </row>
    <row r="608" spans="1:53" ht="38.25" x14ac:dyDescent="0.25">
      <c r="A608"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Non-displaced PopulationSD12073</v>
      </c>
      <c r="B608" s="134" t="s">
        <v>158</v>
      </c>
      <c r="C608" s="124" t="s">
        <v>129</v>
      </c>
      <c r="D608" s="124" t="s">
        <v>444</v>
      </c>
      <c r="E608" s="59" t="s">
        <v>445</v>
      </c>
      <c r="F608" s="54"/>
      <c r="G608" s="29"/>
      <c r="H608" s="53">
        <v>49070</v>
      </c>
      <c r="I608" s="53" t="s">
        <v>89</v>
      </c>
      <c r="J608" s="34">
        <v>0</v>
      </c>
      <c r="K608" s="116">
        <v>0</v>
      </c>
      <c r="L608" s="114">
        <v>17174.5</v>
      </c>
      <c r="M608" s="114">
        <v>25</v>
      </c>
      <c r="N608" s="114">
        <v>13083</v>
      </c>
      <c r="O608" s="114">
        <v>5397.7000000000007</v>
      </c>
      <c r="P608" s="114">
        <v>5398</v>
      </c>
      <c r="Q608" s="114">
        <v>2590</v>
      </c>
      <c r="R608" s="114">
        <v>0</v>
      </c>
      <c r="S608" s="114">
        <v>0</v>
      </c>
      <c r="T608" s="196">
        <v>48142.577000000005</v>
      </c>
      <c r="U608" s="52" t="str">
        <f>IFERROR(INDEX(tblPiNAnalysis[[Site Management ]], MATCH(tblPiNHistorical[[#This Row],[ID]], tblPiNAnalysis[ID], 0)), "")</f>
        <v/>
      </c>
      <c r="V608" s="52" t="str">
        <f>IFERROR(INDEX(tblPiNAnalysis[Education], MATCH(tblPiNHistorical[[#This Row],[ID]], tblPiNAnalysis[ID], 0)), "")</f>
        <v/>
      </c>
      <c r="W608" s="28" t="str">
        <f>IFERROR(INDEX(tblPiNAnalysis[Food Security and Livlihoods], MATCH(tblPiNHistorical[[#This Row],[ID]], tblPiNAnalysis[ID], 0)), "")</f>
        <v/>
      </c>
      <c r="X608" s="28" t="str">
        <f>IFERROR(INDEX(tblPiNAnalysis[[Health ]], MATCH(tblPiNHistorical[[#This Row],[ID]], tblPiNAnalysis[ID], 0)), "")</f>
        <v/>
      </c>
      <c r="Y608" s="28" t="str">
        <f>IFERROR(INDEX(tblPiNAnalysis[Nutrition], MATCH(tblPiNHistorical[[#This Row],[ID]], tblPiNAnalysis[ID], 0)), "")</f>
        <v/>
      </c>
      <c r="Z608" s="28" t="str">
        <f>IFERROR(INDEX(tblPiNAnalysis[Protection], MATCH(tblPiNHistorical[[#This Row],[ID]], tblPiNAnalysis[ID], 0)), "")</f>
        <v/>
      </c>
      <c r="AA608" s="28" t="str">
        <f>IFERROR(INDEX(tblPiNAnalysis[CP], MATCH(tblPiNHistorical[[#This Row],[ID]], tblPiNAnalysis[ID], 0)), "")</f>
        <v/>
      </c>
      <c r="AB608" s="83" t="str">
        <f>IFERROR(INDEX(tblPiNAnalysis[GBV], MATCH(tblPiNHistorical[[#This Row],[ID]], tblPiNAnalysis[ID], 0)), "")</f>
        <v/>
      </c>
      <c r="AC608" s="28" t="str">
        <f>IFERROR(INDEX(tblPiNAnalysis[Mine Action], MATCH(tblPiNHistorical[[#This Row],[ID]], tblPiNAnalysis[ID], 0)), "")</f>
        <v/>
      </c>
      <c r="AD608" s="83" t="str">
        <f>IFERROR(INDEX(tblPiNAnalysis[[Shelter NFI ]], MATCH(tblPiNHistorical[[#This Row],[ID]], tblPiNAnalysis[ID], 0)), "")</f>
        <v/>
      </c>
      <c r="AE608" s="28" t="str">
        <f>IFERROR(INDEX(tblPiNAnalysis[WASH], MATCH(tblPiNHistorical[[#This Row],[ID]], tblPiNAnalysis[ID], 0)), "")</f>
        <v/>
      </c>
      <c r="AF608"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608" s="136" t="str">
        <f>IF(OR(tblPiNHistorical[[#This Row],[Education Old]]="", tblPiNHistorical[[#This Row],[Education Old]]=0, tblPiNHistorical[[#This Row],[Education New]]="", tblPiNHistorical[[#This Row],[Education New]]=0), "", tblPiNHistorical[[#This Row],[Education New]]-tblPiNHistorical[[#This Row],[Education Old]])</f>
        <v/>
      </c>
      <c r="AH608"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608" s="137" t="str">
        <f>IF(OR(tblPiNHistorical[[#This Row],[Health Old]]="", tblPiNHistorical[[#This Row],[Health Old]]=0, tblPiNHistorical[[#This Row],[Health New]]="", tblPiNHistorical[[#This Row],[Health New]]=0), "", tblPiNHistorical[[#This Row],[Health New]]-tblPiNHistorical[[#This Row],[Health Old]])</f>
        <v/>
      </c>
      <c r="AJ608" s="136" t="str">
        <f>IF(OR(tblPiNHistorical[[#This Row],[Nutrition Old]]="", tblPiNHistorical[[#This Row],[Nutrition Old]]=0, tblPiNHistorical[[#This Row],[Nutrition New]]="", tblPiNHistorical[[#This Row],[Nutrition New]]=0), "", tblPiNHistorical[[#This Row],[Nutrition New]]-tblPiNHistorical[[#This Row],[Nutrition Old]])</f>
        <v/>
      </c>
      <c r="AK608" s="136" t="str">
        <f>IF(OR(tblPiNHistorical[[#This Row],[Protection Old]]="", tblPiNHistorical[[#This Row],[Protection Old]]=0, tblPiNHistorical[[#This Row],[Protection New]]="", tblPiNHistorical[[#This Row],[Protection New]]=0), "", tblPiNHistorical[[#This Row],[Protection New]]-tblPiNHistorical[[#This Row],[Protection Old]])</f>
        <v/>
      </c>
      <c r="AL608" s="136" t="str">
        <f>IF(OR(tblPiNHistorical[[#This Row],[CP Old ]]="", tblPiNHistorical[[#This Row],[CP Old ]]=0, tblPiNHistorical[[#This Row],[CP New]]="", tblPiNHistorical[[#This Row],[CP New]]=0), "", tblPiNHistorical[[#This Row],[CP New]]-tblPiNHistorical[[#This Row],[CP Old ]])</f>
        <v/>
      </c>
      <c r="AM608" s="83" t="str">
        <f>IF(OR(tblPiNHistorical[[#This Row],[GBV Old]]="", tblPiNHistorical[[#This Row],[GBV Old]]=0, tblPiNHistorical[[#This Row],[GBV New]]="", tblPiNHistorical[[#This Row],[GBV New]]=0), "", tblPiNHistorical[[#This Row],[GBV New]]-tblPiNHistorical[[#This Row],[GBV Old]])</f>
        <v/>
      </c>
      <c r="AN608" s="83" t="str">
        <f>IF(OR(tblPiNHistorical[[#This Row],[Mine Action Old]]="", tblPiNHistorical[[#This Row],[Mine Action Old]]=0, tblPiNHistorical[[#This Row],[Mine Action New]]="", tblPiNHistorical[[#This Row],[Mine Action New]]=0), "", tblPiNHistorical[[#This Row],[Mine Action New]]-tblPiNHistorical[[#This Row],[Mine Action Old]])</f>
        <v/>
      </c>
      <c r="AO608" s="136" t="str">
        <f>IF(OR(tblPiNHistorical[[#This Row],[Shelter NFI Old]]="", tblPiNHistorical[[#This Row],[Shelter NFI Old]]=0, tblPiNHistorical[[#This Row],[Shelter NFI New]]="", tblPiNHistorical[[#This Row],[Shelter NFI New]]=0), "", tblPiNHistorical[[#This Row],[Shelter NFI New]]-tblPiNHistorical[[#This Row],[Shelter NFI Old]])</f>
        <v/>
      </c>
      <c r="AP608" s="138" t="str">
        <f>IF(OR(tblPiNHistorical[[#This Row],[WASH Old]]="", tblPiNHistorical[[#This Row],[WASH Old]]=0, tblPiNHistorical[[#This Row],[WASH New]]="", tblPiNHistorical[[#This Row],[WASH New]]=0), "", tblPiNHistorical[[#This Row],[WASH New]]-tblPiNHistorical[[#This Row],[WASH Old]])</f>
        <v/>
      </c>
      <c r="AQ608" s="139" t="str">
        <f>IFERROR(ROUND((tblPiNHistorical[[#This Row],[Site Management - New]] - tblPiNHistorical[[#This Row],[Site Management - Old]])/tblPiNHistorical[[#This Row],[Site Management - Old]], 1), "")</f>
        <v/>
      </c>
      <c r="AR608" s="140" t="str">
        <f>IFERROR(ROUND((tblPiNHistorical[[#This Row],[Education New]]-tblPiNHistorical[[#This Row],[Education Old]])/tblPiNHistorical[[#This Row],[Education Old]], 1), "")</f>
        <v/>
      </c>
      <c r="AS608" s="141" t="str">
        <f>IFERROR(ROUND((tblPiNHistorical[[#This Row],[Food Security and Livlihoods New]]-tblPiNHistorical[[#This Row],[Food Security and Livlihoods Old]])/tblPiNHistorical[[#This Row],[Food Security and Livlihoods Old]], 1), "")</f>
        <v/>
      </c>
      <c r="AT608" s="142" t="str">
        <f>IFERROR(ROUND((tblPiNHistorical[[#This Row],[Health New]]-tblPiNHistorical[[#This Row],[Health Old]])/tblPiNHistorical[[#This Row],[Health Old]], 1), "")</f>
        <v/>
      </c>
      <c r="AU608" s="140" t="str">
        <f>IFERROR(ROUND((tblPiNHistorical[[#This Row],[Nutrition New]]-tblPiNHistorical[[#This Row],[Nutrition Old]])/tblPiNHistorical[[#This Row],[Nutrition Old]], 1), "")</f>
        <v/>
      </c>
      <c r="AV608" s="140" t="str">
        <f>IFERROR(ROUND((tblPiNHistorical[[#This Row],[Protection New]]-tblPiNHistorical[[#This Row],[Protection Old]])/tblPiNHistorical[[#This Row],[Protection Old]], 1), "")</f>
        <v/>
      </c>
      <c r="AW608" s="84" t="str">
        <f>IFERROR(ROUND((tblPiNHistorical[[#This Row],[CP New]]-tblPiNHistorical[[#This Row],[CP Old ]])/tblPiNHistorical[[#This Row],[CP Old ]], 1), "")</f>
        <v/>
      </c>
      <c r="AX608" s="84" t="str">
        <f>IFERROR(ROUND((tblPiNHistorical[[#This Row],[GBV New]]-tblPiNHistorical[[#This Row],[GBV Old]])/tblPiNHistorical[[#This Row],[GBV Old]], 1), "")</f>
        <v/>
      </c>
      <c r="AY608" s="84" t="str">
        <f>IFERROR(ROUND((tblPiNHistorical[[#This Row],[Mine Action New]]-tblPiNHistorical[[#This Row],[Mine Action Old]])/tblPiNHistorical[[#This Row],[Mine Action Old]], 1), "")</f>
        <v/>
      </c>
      <c r="AZ608" s="140" t="str">
        <f>IFERROR(ROUND((tblPiNHistorical[[#This Row],[Shelter NFI New]]-tblPiNHistorical[[#This Row],[Shelter NFI Old]])/tblPiNHistorical[[#This Row],[Shelter NFI Old]], 1), "")</f>
        <v/>
      </c>
      <c r="BA608" s="31" t="str">
        <f>IFERROR(ROUND((tblPiNHistorical[[#This Row],[WASH New]]-tblPiNHistorical[[#This Row],[WASH Old]])/tblPiNHistorical[[#This Row],[WASH Old]], 1), "")</f>
        <v/>
      </c>
    </row>
    <row r="609" spans="1:53" ht="38.25" x14ac:dyDescent="0.25">
      <c r="A609"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Non-displaced PopulationSD12074</v>
      </c>
      <c r="B609" s="134" t="s">
        <v>158</v>
      </c>
      <c r="C609" s="124" t="s">
        <v>129</v>
      </c>
      <c r="D609" s="124" t="s">
        <v>446</v>
      </c>
      <c r="E609" s="59" t="s">
        <v>447</v>
      </c>
      <c r="F609" s="54"/>
      <c r="G609" s="29"/>
      <c r="H609" s="53">
        <v>63051</v>
      </c>
      <c r="I609" s="53" t="s">
        <v>89</v>
      </c>
      <c r="J609" s="34">
        <v>0</v>
      </c>
      <c r="K609" s="116">
        <v>0</v>
      </c>
      <c r="L609" s="114">
        <v>12610.2</v>
      </c>
      <c r="M609" s="114">
        <v>45270</v>
      </c>
      <c r="N609" s="114">
        <v>27367</v>
      </c>
      <c r="O609" s="114">
        <v>6935.6100000000006</v>
      </c>
      <c r="P609" s="114">
        <v>6936</v>
      </c>
      <c r="Q609" s="114">
        <v>4992</v>
      </c>
      <c r="R609" s="114">
        <v>0</v>
      </c>
      <c r="S609" s="114">
        <v>0</v>
      </c>
      <c r="T609" s="196">
        <v>55339.862699999998</v>
      </c>
      <c r="U609" s="52" t="str">
        <f>IFERROR(INDEX(tblPiNAnalysis[[Site Management ]], MATCH(tblPiNHistorical[[#This Row],[ID]], tblPiNAnalysis[ID], 0)), "")</f>
        <v/>
      </c>
      <c r="V609" s="52" t="str">
        <f>IFERROR(INDEX(tblPiNAnalysis[Education], MATCH(tblPiNHistorical[[#This Row],[ID]], tblPiNAnalysis[ID], 0)), "")</f>
        <v/>
      </c>
      <c r="W609" s="28" t="str">
        <f>IFERROR(INDEX(tblPiNAnalysis[Food Security and Livlihoods], MATCH(tblPiNHistorical[[#This Row],[ID]], tblPiNAnalysis[ID], 0)), "")</f>
        <v/>
      </c>
      <c r="X609" s="28" t="str">
        <f>IFERROR(INDEX(tblPiNAnalysis[[Health ]], MATCH(tblPiNHistorical[[#This Row],[ID]], tblPiNAnalysis[ID], 0)), "")</f>
        <v/>
      </c>
      <c r="Y609" s="28" t="str">
        <f>IFERROR(INDEX(tblPiNAnalysis[Nutrition], MATCH(tblPiNHistorical[[#This Row],[ID]], tblPiNAnalysis[ID], 0)), "")</f>
        <v/>
      </c>
      <c r="Z609" s="28" t="str">
        <f>IFERROR(INDEX(tblPiNAnalysis[Protection], MATCH(tblPiNHistorical[[#This Row],[ID]], tblPiNAnalysis[ID], 0)), "")</f>
        <v/>
      </c>
      <c r="AA609" s="28" t="str">
        <f>IFERROR(INDEX(tblPiNAnalysis[CP], MATCH(tblPiNHistorical[[#This Row],[ID]], tblPiNAnalysis[ID], 0)), "")</f>
        <v/>
      </c>
      <c r="AB609" s="83" t="str">
        <f>IFERROR(INDEX(tblPiNAnalysis[GBV], MATCH(tblPiNHistorical[[#This Row],[ID]], tblPiNAnalysis[ID], 0)), "")</f>
        <v/>
      </c>
      <c r="AC609" s="28" t="str">
        <f>IFERROR(INDEX(tblPiNAnalysis[Mine Action], MATCH(tblPiNHistorical[[#This Row],[ID]], tblPiNAnalysis[ID], 0)), "")</f>
        <v/>
      </c>
      <c r="AD609" s="83" t="str">
        <f>IFERROR(INDEX(tblPiNAnalysis[[Shelter NFI ]], MATCH(tblPiNHistorical[[#This Row],[ID]], tblPiNAnalysis[ID], 0)), "")</f>
        <v/>
      </c>
      <c r="AE609" s="28" t="str">
        <f>IFERROR(INDEX(tblPiNAnalysis[WASH], MATCH(tblPiNHistorical[[#This Row],[ID]], tblPiNAnalysis[ID], 0)), "")</f>
        <v/>
      </c>
      <c r="AF609"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609" s="136" t="str">
        <f>IF(OR(tblPiNHistorical[[#This Row],[Education Old]]="", tblPiNHistorical[[#This Row],[Education Old]]=0, tblPiNHistorical[[#This Row],[Education New]]="", tblPiNHistorical[[#This Row],[Education New]]=0), "", tblPiNHistorical[[#This Row],[Education New]]-tblPiNHistorical[[#This Row],[Education Old]])</f>
        <v/>
      </c>
      <c r="AH609"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609" s="137" t="str">
        <f>IF(OR(tblPiNHistorical[[#This Row],[Health Old]]="", tblPiNHistorical[[#This Row],[Health Old]]=0, tblPiNHistorical[[#This Row],[Health New]]="", tblPiNHistorical[[#This Row],[Health New]]=0), "", tblPiNHistorical[[#This Row],[Health New]]-tblPiNHistorical[[#This Row],[Health Old]])</f>
        <v/>
      </c>
      <c r="AJ609" s="136" t="str">
        <f>IF(OR(tblPiNHistorical[[#This Row],[Nutrition Old]]="", tblPiNHistorical[[#This Row],[Nutrition Old]]=0, tblPiNHistorical[[#This Row],[Nutrition New]]="", tblPiNHistorical[[#This Row],[Nutrition New]]=0), "", tblPiNHistorical[[#This Row],[Nutrition New]]-tblPiNHistorical[[#This Row],[Nutrition Old]])</f>
        <v/>
      </c>
      <c r="AK609" s="136" t="str">
        <f>IF(OR(tblPiNHistorical[[#This Row],[Protection Old]]="", tblPiNHistorical[[#This Row],[Protection Old]]=0, tblPiNHistorical[[#This Row],[Protection New]]="", tblPiNHistorical[[#This Row],[Protection New]]=0), "", tblPiNHistorical[[#This Row],[Protection New]]-tblPiNHistorical[[#This Row],[Protection Old]])</f>
        <v/>
      </c>
      <c r="AL609" s="136" t="str">
        <f>IF(OR(tblPiNHistorical[[#This Row],[CP Old ]]="", tblPiNHistorical[[#This Row],[CP Old ]]=0, tblPiNHistorical[[#This Row],[CP New]]="", tblPiNHistorical[[#This Row],[CP New]]=0), "", tblPiNHistorical[[#This Row],[CP New]]-tblPiNHistorical[[#This Row],[CP Old ]])</f>
        <v/>
      </c>
      <c r="AM609" s="83" t="str">
        <f>IF(OR(tblPiNHistorical[[#This Row],[GBV Old]]="", tblPiNHistorical[[#This Row],[GBV Old]]=0, tblPiNHistorical[[#This Row],[GBV New]]="", tblPiNHistorical[[#This Row],[GBV New]]=0), "", tblPiNHistorical[[#This Row],[GBV New]]-tblPiNHistorical[[#This Row],[GBV Old]])</f>
        <v/>
      </c>
      <c r="AN609" s="83" t="str">
        <f>IF(OR(tblPiNHistorical[[#This Row],[Mine Action Old]]="", tblPiNHistorical[[#This Row],[Mine Action Old]]=0, tblPiNHistorical[[#This Row],[Mine Action New]]="", tblPiNHistorical[[#This Row],[Mine Action New]]=0), "", tblPiNHistorical[[#This Row],[Mine Action New]]-tblPiNHistorical[[#This Row],[Mine Action Old]])</f>
        <v/>
      </c>
      <c r="AO609" s="136" t="str">
        <f>IF(OR(tblPiNHistorical[[#This Row],[Shelter NFI Old]]="", tblPiNHistorical[[#This Row],[Shelter NFI Old]]=0, tblPiNHistorical[[#This Row],[Shelter NFI New]]="", tblPiNHistorical[[#This Row],[Shelter NFI New]]=0), "", tblPiNHistorical[[#This Row],[Shelter NFI New]]-tblPiNHistorical[[#This Row],[Shelter NFI Old]])</f>
        <v/>
      </c>
      <c r="AP609" s="138" t="str">
        <f>IF(OR(tblPiNHistorical[[#This Row],[WASH Old]]="", tblPiNHistorical[[#This Row],[WASH Old]]=0, tblPiNHistorical[[#This Row],[WASH New]]="", tblPiNHistorical[[#This Row],[WASH New]]=0), "", tblPiNHistorical[[#This Row],[WASH New]]-tblPiNHistorical[[#This Row],[WASH Old]])</f>
        <v/>
      </c>
      <c r="AQ609" s="139" t="str">
        <f>IFERROR(ROUND((tblPiNHistorical[[#This Row],[Site Management - New]] - tblPiNHistorical[[#This Row],[Site Management - Old]])/tblPiNHistorical[[#This Row],[Site Management - Old]], 1), "")</f>
        <v/>
      </c>
      <c r="AR609" s="140" t="str">
        <f>IFERROR(ROUND((tblPiNHistorical[[#This Row],[Education New]]-tblPiNHistorical[[#This Row],[Education Old]])/tblPiNHistorical[[#This Row],[Education Old]], 1), "")</f>
        <v/>
      </c>
      <c r="AS609" s="141" t="str">
        <f>IFERROR(ROUND((tblPiNHistorical[[#This Row],[Food Security and Livlihoods New]]-tblPiNHistorical[[#This Row],[Food Security and Livlihoods Old]])/tblPiNHistorical[[#This Row],[Food Security and Livlihoods Old]], 1), "")</f>
        <v/>
      </c>
      <c r="AT609" s="142" t="str">
        <f>IFERROR(ROUND((tblPiNHistorical[[#This Row],[Health New]]-tblPiNHistorical[[#This Row],[Health Old]])/tblPiNHistorical[[#This Row],[Health Old]], 1), "")</f>
        <v/>
      </c>
      <c r="AU609" s="140" t="str">
        <f>IFERROR(ROUND((tblPiNHistorical[[#This Row],[Nutrition New]]-tblPiNHistorical[[#This Row],[Nutrition Old]])/tblPiNHistorical[[#This Row],[Nutrition Old]], 1), "")</f>
        <v/>
      </c>
      <c r="AV609" s="140" t="str">
        <f>IFERROR(ROUND((tblPiNHistorical[[#This Row],[Protection New]]-tblPiNHistorical[[#This Row],[Protection Old]])/tblPiNHistorical[[#This Row],[Protection Old]], 1), "")</f>
        <v/>
      </c>
      <c r="AW609" s="84" t="str">
        <f>IFERROR(ROUND((tblPiNHistorical[[#This Row],[CP New]]-tblPiNHistorical[[#This Row],[CP Old ]])/tblPiNHistorical[[#This Row],[CP Old ]], 1), "")</f>
        <v/>
      </c>
      <c r="AX609" s="84" t="str">
        <f>IFERROR(ROUND((tblPiNHistorical[[#This Row],[GBV New]]-tblPiNHistorical[[#This Row],[GBV Old]])/tblPiNHistorical[[#This Row],[GBV Old]], 1), "")</f>
        <v/>
      </c>
      <c r="AY609" s="84" t="str">
        <f>IFERROR(ROUND((tblPiNHistorical[[#This Row],[Mine Action New]]-tblPiNHistorical[[#This Row],[Mine Action Old]])/tblPiNHistorical[[#This Row],[Mine Action Old]], 1), "")</f>
        <v/>
      </c>
      <c r="AZ609" s="140" t="str">
        <f>IFERROR(ROUND((tblPiNHistorical[[#This Row],[Shelter NFI New]]-tblPiNHistorical[[#This Row],[Shelter NFI Old]])/tblPiNHistorical[[#This Row],[Shelter NFI Old]], 1), "")</f>
        <v/>
      </c>
      <c r="BA609" s="31" t="str">
        <f>IFERROR(ROUND((tblPiNHistorical[[#This Row],[WASH New]]-tblPiNHistorical[[#This Row],[WASH Old]])/tblPiNHistorical[[#This Row],[WASH Old]], 1), "")</f>
        <v/>
      </c>
    </row>
    <row r="610" spans="1:53" ht="38.25" x14ac:dyDescent="0.25">
      <c r="A610"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Non-displaced PopulationSD12075</v>
      </c>
      <c r="B610" s="134" t="s">
        <v>158</v>
      </c>
      <c r="C610" s="124" t="s">
        <v>129</v>
      </c>
      <c r="D610" s="124" t="s">
        <v>448</v>
      </c>
      <c r="E610" s="59" t="s">
        <v>449</v>
      </c>
      <c r="F610" s="54"/>
      <c r="G610" s="29"/>
      <c r="H610" s="53">
        <v>24788</v>
      </c>
      <c r="I610" s="53" t="s">
        <v>89</v>
      </c>
      <c r="J610" s="34">
        <v>0</v>
      </c>
      <c r="K610" s="116">
        <v>0</v>
      </c>
      <c r="L610" s="114">
        <v>11304.674877846131</v>
      </c>
      <c r="M610" s="114">
        <v>11930</v>
      </c>
      <c r="N610" s="114">
        <v>7365</v>
      </c>
      <c r="O610" s="114">
        <v>2726.6800000000003</v>
      </c>
      <c r="P610" s="114">
        <v>2727</v>
      </c>
      <c r="Q610" s="114">
        <v>1962</v>
      </c>
      <c r="R610" s="114">
        <v>0</v>
      </c>
      <c r="S610" s="114">
        <v>0</v>
      </c>
      <c r="T610" s="196">
        <v>18199.349600000001</v>
      </c>
      <c r="U610" s="52" t="str">
        <f>IFERROR(INDEX(tblPiNAnalysis[[Site Management ]], MATCH(tblPiNHistorical[[#This Row],[ID]], tblPiNAnalysis[ID], 0)), "")</f>
        <v/>
      </c>
      <c r="V610" s="52" t="str">
        <f>IFERROR(INDEX(tblPiNAnalysis[Education], MATCH(tblPiNHistorical[[#This Row],[ID]], tblPiNAnalysis[ID], 0)), "")</f>
        <v/>
      </c>
      <c r="W610" s="28" t="str">
        <f>IFERROR(INDEX(tblPiNAnalysis[Food Security and Livlihoods], MATCH(tblPiNHistorical[[#This Row],[ID]], tblPiNAnalysis[ID], 0)), "")</f>
        <v/>
      </c>
      <c r="X610" s="28" t="str">
        <f>IFERROR(INDEX(tblPiNAnalysis[[Health ]], MATCH(tblPiNHistorical[[#This Row],[ID]], tblPiNAnalysis[ID], 0)), "")</f>
        <v/>
      </c>
      <c r="Y610" s="28" t="str">
        <f>IFERROR(INDEX(tblPiNAnalysis[Nutrition], MATCH(tblPiNHistorical[[#This Row],[ID]], tblPiNAnalysis[ID], 0)), "")</f>
        <v/>
      </c>
      <c r="Z610" s="28" t="str">
        <f>IFERROR(INDEX(tblPiNAnalysis[Protection], MATCH(tblPiNHistorical[[#This Row],[ID]], tblPiNAnalysis[ID], 0)), "")</f>
        <v/>
      </c>
      <c r="AA610" s="28" t="str">
        <f>IFERROR(INDEX(tblPiNAnalysis[CP], MATCH(tblPiNHistorical[[#This Row],[ID]], tblPiNAnalysis[ID], 0)), "")</f>
        <v/>
      </c>
      <c r="AB610" s="83" t="str">
        <f>IFERROR(INDEX(tblPiNAnalysis[GBV], MATCH(tblPiNHistorical[[#This Row],[ID]], tblPiNAnalysis[ID], 0)), "")</f>
        <v/>
      </c>
      <c r="AC610" s="28" t="str">
        <f>IFERROR(INDEX(tblPiNAnalysis[Mine Action], MATCH(tblPiNHistorical[[#This Row],[ID]], tblPiNAnalysis[ID], 0)), "")</f>
        <v/>
      </c>
      <c r="AD610" s="83" t="str">
        <f>IFERROR(INDEX(tblPiNAnalysis[[Shelter NFI ]], MATCH(tblPiNHistorical[[#This Row],[ID]], tblPiNAnalysis[ID], 0)), "")</f>
        <v/>
      </c>
      <c r="AE610" s="28" t="str">
        <f>IFERROR(INDEX(tblPiNAnalysis[WASH], MATCH(tblPiNHistorical[[#This Row],[ID]], tblPiNAnalysis[ID], 0)), "")</f>
        <v/>
      </c>
      <c r="AF610"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610" s="136" t="str">
        <f>IF(OR(tblPiNHistorical[[#This Row],[Education Old]]="", tblPiNHistorical[[#This Row],[Education Old]]=0, tblPiNHistorical[[#This Row],[Education New]]="", tblPiNHistorical[[#This Row],[Education New]]=0), "", tblPiNHistorical[[#This Row],[Education New]]-tblPiNHistorical[[#This Row],[Education Old]])</f>
        <v/>
      </c>
      <c r="AH610"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610" s="137" t="str">
        <f>IF(OR(tblPiNHistorical[[#This Row],[Health Old]]="", tblPiNHistorical[[#This Row],[Health Old]]=0, tblPiNHistorical[[#This Row],[Health New]]="", tblPiNHistorical[[#This Row],[Health New]]=0), "", tblPiNHistorical[[#This Row],[Health New]]-tblPiNHistorical[[#This Row],[Health Old]])</f>
        <v/>
      </c>
      <c r="AJ610" s="136" t="str">
        <f>IF(OR(tblPiNHistorical[[#This Row],[Nutrition Old]]="", tblPiNHistorical[[#This Row],[Nutrition Old]]=0, tblPiNHistorical[[#This Row],[Nutrition New]]="", tblPiNHistorical[[#This Row],[Nutrition New]]=0), "", tblPiNHistorical[[#This Row],[Nutrition New]]-tblPiNHistorical[[#This Row],[Nutrition Old]])</f>
        <v/>
      </c>
      <c r="AK610" s="136" t="str">
        <f>IF(OR(tblPiNHistorical[[#This Row],[Protection Old]]="", tblPiNHistorical[[#This Row],[Protection Old]]=0, tblPiNHistorical[[#This Row],[Protection New]]="", tblPiNHistorical[[#This Row],[Protection New]]=0), "", tblPiNHistorical[[#This Row],[Protection New]]-tblPiNHistorical[[#This Row],[Protection Old]])</f>
        <v/>
      </c>
      <c r="AL610" s="136" t="str">
        <f>IF(OR(tblPiNHistorical[[#This Row],[CP Old ]]="", tblPiNHistorical[[#This Row],[CP Old ]]=0, tblPiNHistorical[[#This Row],[CP New]]="", tblPiNHistorical[[#This Row],[CP New]]=0), "", tblPiNHistorical[[#This Row],[CP New]]-tblPiNHistorical[[#This Row],[CP Old ]])</f>
        <v/>
      </c>
      <c r="AM610" s="83" t="str">
        <f>IF(OR(tblPiNHistorical[[#This Row],[GBV Old]]="", tblPiNHistorical[[#This Row],[GBV Old]]=0, tblPiNHistorical[[#This Row],[GBV New]]="", tblPiNHistorical[[#This Row],[GBV New]]=0), "", tblPiNHistorical[[#This Row],[GBV New]]-tblPiNHistorical[[#This Row],[GBV Old]])</f>
        <v/>
      </c>
      <c r="AN610" s="83" t="str">
        <f>IF(OR(tblPiNHistorical[[#This Row],[Mine Action Old]]="", tblPiNHistorical[[#This Row],[Mine Action Old]]=0, tblPiNHistorical[[#This Row],[Mine Action New]]="", tblPiNHistorical[[#This Row],[Mine Action New]]=0), "", tblPiNHistorical[[#This Row],[Mine Action New]]-tblPiNHistorical[[#This Row],[Mine Action Old]])</f>
        <v/>
      </c>
      <c r="AO610" s="136" t="str">
        <f>IF(OR(tblPiNHistorical[[#This Row],[Shelter NFI Old]]="", tblPiNHistorical[[#This Row],[Shelter NFI Old]]=0, tblPiNHistorical[[#This Row],[Shelter NFI New]]="", tblPiNHistorical[[#This Row],[Shelter NFI New]]=0), "", tblPiNHistorical[[#This Row],[Shelter NFI New]]-tblPiNHistorical[[#This Row],[Shelter NFI Old]])</f>
        <v/>
      </c>
      <c r="AP610" s="138" t="str">
        <f>IF(OR(tblPiNHistorical[[#This Row],[WASH Old]]="", tblPiNHistorical[[#This Row],[WASH Old]]=0, tblPiNHistorical[[#This Row],[WASH New]]="", tblPiNHistorical[[#This Row],[WASH New]]=0), "", tblPiNHistorical[[#This Row],[WASH New]]-tblPiNHistorical[[#This Row],[WASH Old]])</f>
        <v/>
      </c>
      <c r="AQ610" s="139" t="str">
        <f>IFERROR(ROUND((tblPiNHistorical[[#This Row],[Site Management - New]] - tblPiNHistorical[[#This Row],[Site Management - Old]])/tblPiNHistorical[[#This Row],[Site Management - Old]], 1), "")</f>
        <v/>
      </c>
      <c r="AR610" s="140" t="str">
        <f>IFERROR(ROUND((tblPiNHistorical[[#This Row],[Education New]]-tblPiNHistorical[[#This Row],[Education Old]])/tblPiNHistorical[[#This Row],[Education Old]], 1), "")</f>
        <v/>
      </c>
      <c r="AS610" s="141" t="str">
        <f>IFERROR(ROUND((tblPiNHistorical[[#This Row],[Food Security and Livlihoods New]]-tblPiNHistorical[[#This Row],[Food Security and Livlihoods Old]])/tblPiNHistorical[[#This Row],[Food Security and Livlihoods Old]], 1), "")</f>
        <v/>
      </c>
      <c r="AT610" s="142" t="str">
        <f>IFERROR(ROUND((tblPiNHistorical[[#This Row],[Health New]]-tblPiNHistorical[[#This Row],[Health Old]])/tblPiNHistorical[[#This Row],[Health Old]], 1), "")</f>
        <v/>
      </c>
      <c r="AU610" s="140" t="str">
        <f>IFERROR(ROUND((tblPiNHistorical[[#This Row],[Nutrition New]]-tblPiNHistorical[[#This Row],[Nutrition Old]])/tblPiNHistorical[[#This Row],[Nutrition Old]], 1), "")</f>
        <v/>
      </c>
      <c r="AV610" s="140" t="str">
        <f>IFERROR(ROUND((tblPiNHistorical[[#This Row],[Protection New]]-tblPiNHistorical[[#This Row],[Protection Old]])/tblPiNHistorical[[#This Row],[Protection Old]], 1), "")</f>
        <v/>
      </c>
      <c r="AW610" s="84" t="str">
        <f>IFERROR(ROUND((tblPiNHistorical[[#This Row],[CP New]]-tblPiNHistorical[[#This Row],[CP Old ]])/tblPiNHistorical[[#This Row],[CP Old ]], 1), "")</f>
        <v/>
      </c>
      <c r="AX610" s="84" t="str">
        <f>IFERROR(ROUND((tblPiNHistorical[[#This Row],[GBV New]]-tblPiNHistorical[[#This Row],[GBV Old]])/tblPiNHistorical[[#This Row],[GBV Old]], 1), "")</f>
        <v/>
      </c>
      <c r="AY610" s="84" t="str">
        <f>IFERROR(ROUND((tblPiNHistorical[[#This Row],[Mine Action New]]-tblPiNHistorical[[#This Row],[Mine Action Old]])/tblPiNHistorical[[#This Row],[Mine Action Old]], 1), "")</f>
        <v/>
      </c>
      <c r="AZ610" s="140" t="str">
        <f>IFERROR(ROUND((tblPiNHistorical[[#This Row],[Shelter NFI New]]-tblPiNHistorical[[#This Row],[Shelter NFI Old]])/tblPiNHistorical[[#This Row],[Shelter NFI Old]], 1), "")</f>
        <v/>
      </c>
      <c r="BA610" s="31" t="str">
        <f>IFERROR(ROUND((tblPiNHistorical[[#This Row],[WASH New]]-tblPiNHistorical[[#This Row],[WASH Old]])/tblPiNHistorical[[#This Row],[WASH Old]], 1), "")</f>
        <v/>
      </c>
    </row>
    <row r="611" spans="1:53" ht="42.75" x14ac:dyDescent="0.25">
      <c r="A611"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Non-displaced PopulationSD12078</v>
      </c>
      <c r="B611" s="134" t="s">
        <v>158</v>
      </c>
      <c r="C611" s="124" t="s">
        <v>129</v>
      </c>
      <c r="D611" s="124" t="s">
        <v>454</v>
      </c>
      <c r="E611" s="59" t="s">
        <v>455</v>
      </c>
      <c r="F611" s="54"/>
      <c r="G611" s="29"/>
      <c r="H611" s="53">
        <v>50699</v>
      </c>
      <c r="I611" s="53" t="s">
        <v>89</v>
      </c>
      <c r="J611" s="34">
        <v>0</v>
      </c>
      <c r="K611" s="116">
        <v>19656.0023</v>
      </c>
      <c r="L611" s="114">
        <v>15209.7</v>
      </c>
      <c r="M611" s="114">
        <v>13665</v>
      </c>
      <c r="N611" s="114">
        <v>20456</v>
      </c>
      <c r="O611" s="114">
        <v>5576.89</v>
      </c>
      <c r="P611" s="114">
        <v>5577</v>
      </c>
      <c r="Q611" s="114">
        <v>2676</v>
      </c>
      <c r="R611" s="114">
        <v>0</v>
      </c>
      <c r="S611" s="114">
        <v>0</v>
      </c>
      <c r="T611" s="196">
        <v>48762.298200000005</v>
      </c>
      <c r="U611" s="52" t="str">
        <f>IFERROR(INDEX(tblPiNAnalysis[[Site Management ]], MATCH(tblPiNHistorical[[#This Row],[ID]], tblPiNAnalysis[ID], 0)), "")</f>
        <v/>
      </c>
      <c r="V611" s="52" t="str">
        <f>IFERROR(INDEX(tblPiNAnalysis[Education], MATCH(tblPiNHistorical[[#This Row],[ID]], tblPiNAnalysis[ID], 0)), "")</f>
        <v/>
      </c>
      <c r="W611" s="28" t="str">
        <f>IFERROR(INDEX(tblPiNAnalysis[Food Security and Livlihoods], MATCH(tblPiNHistorical[[#This Row],[ID]], tblPiNAnalysis[ID], 0)), "")</f>
        <v/>
      </c>
      <c r="X611" s="28" t="str">
        <f>IFERROR(INDEX(tblPiNAnalysis[[Health ]], MATCH(tblPiNHistorical[[#This Row],[ID]], tblPiNAnalysis[ID], 0)), "")</f>
        <v/>
      </c>
      <c r="Y611" s="28" t="str">
        <f>IFERROR(INDEX(tblPiNAnalysis[Nutrition], MATCH(tblPiNHistorical[[#This Row],[ID]], tblPiNAnalysis[ID], 0)), "")</f>
        <v/>
      </c>
      <c r="Z611" s="28" t="str">
        <f>IFERROR(INDEX(tblPiNAnalysis[Protection], MATCH(tblPiNHistorical[[#This Row],[ID]], tblPiNAnalysis[ID], 0)), "")</f>
        <v/>
      </c>
      <c r="AA611" s="28" t="str">
        <f>IFERROR(INDEX(tblPiNAnalysis[CP], MATCH(tblPiNHistorical[[#This Row],[ID]], tblPiNAnalysis[ID], 0)), "")</f>
        <v/>
      </c>
      <c r="AB611" s="83" t="str">
        <f>IFERROR(INDEX(tblPiNAnalysis[GBV], MATCH(tblPiNHistorical[[#This Row],[ID]], tblPiNAnalysis[ID], 0)), "")</f>
        <v/>
      </c>
      <c r="AC611" s="28" t="str">
        <f>IFERROR(INDEX(tblPiNAnalysis[Mine Action], MATCH(tblPiNHistorical[[#This Row],[ID]], tblPiNAnalysis[ID], 0)), "")</f>
        <v/>
      </c>
      <c r="AD611" s="83" t="str">
        <f>IFERROR(INDEX(tblPiNAnalysis[[Shelter NFI ]], MATCH(tblPiNHistorical[[#This Row],[ID]], tblPiNAnalysis[ID], 0)), "")</f>
        <v/>
      </c>
      <c r="AE611" s="28" t="str">
        <f>IFERROR(INDEX(tblPiNAnalysis[WASH], MATCH(tblPiNHistorical[[#This Row],[ID]], tblPiNAnalysis[ID], 0)), "")</f>
        <v/>
      </c>
      <c r="AF611"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611" s="136" t="str">
        <f>IF(OR(tblPiNHistorical[[#This Row],[Education Old]]="", tblPiNHistorical[[#This Row],[Education Old]]=0, tblPiNHistorical[[#This Row],[Education New]]="", tblPiNHistorical[[#This Row],[Education New]]=0), "", tblPiNHistorical[[#This Row],[Education New]]-tblPiNHistorical[[#This Row],[Education Old]])</f>
        <v/>
      </c>
      <c r="AH611"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611" s="137" t="str">
        <f>IF(OR(tblPiNHistorical[[#This Row],[Health Old]]="", tblPiNHistorical[[#This Row],[Health Old]]=0, tblPiNHistorical[[#This Row],[Health New]]="", tblPiNHistorical[[#This Row],[Health New]]=0), "", tblPiNHistorical[[#This Row],[Health New]]-tblPiNHistorical[[#This Row],[Health Old]])</f>
        <v/>
      </c>
      <c r="AJ611" s="136" t="str">
        <f>IF(OR(tblPiNHistorical[[#This Row],[Nutrition Old]]="", tblPiNHistorical[[#This Row],[Nutrition Old]]=0, tblPiNHistorical[[#This Row],[Nutrition New]]="", tblPiNHistorical[[#This Row],[Nutrition New]]=0), "", tblPiNHistorical[[#This Row],[Nutrition New]]-tblPiNHistorical[[#This Row],[Nutrition Old]])</f>
        <v/>
      </c>
      <c r="AK611" s="136" t="str">
        <f>IF(OR(tblPiNHistorical[[#This Row],[Protection Old]]="", tblPiNHistorical[[#This Row],[Protection Old]]=0, tblPiNHistorical[[#This Row],[Protection New]]="", tblPiNHistorical[[#This Row],[Protection New]]=0), "", tblPiNHistorical[[#This Row],[Protection New]]-tblPiNHistorical[[#This Row],[Protection Old]])</f>
        <v/>
      </c>
      <c r="AL611" s="136" t="str">
        <f>IF(OR(tblPiNHistorical[[#This Row],[CP Old ]]="", tblPiNHistorical[[#This Row],[CP Old ]]=0, tblPiNHistorical[[#This Row],[CP New]]="", tblPiNHistorical[[#This Row],[CP New]]=0), "", tblPiNHistorical[[#This Row],[CP New]]-tblPiNHistorical[[#This Row],[CP Old ]])</f>
        <v/>
      </c>
      <c r="AM611" s="83" t="str">
        <f>IF(OR(tblPiNHistorical[[#This Row],[GBV Old]]="", tblPiNHistorical[[#This Row],[GBV Old]]=0, tblPiNHistorical[[#This Row],[GBV New]]="", tblPiNHistorical[[#This Row],[GBV New]]=0), "", tblPiNHistorical[[#This Row],[GBV New]]-tblPiNHistorical[[#This Row],[GBV Old]])</f>
        <v/>
      </c>
      <c r="AN611" s="83" t="str">
        <f>IF(OR(tblPiNHistorical[[#This Row],[Mine Action Old]]="", tblPiNHistorical[[#This Row],[Mine Action Old]]=0, tblPiNHistorical[[#This Row],[Mine Action New]]="", tblPiNHistorical[[#This Row],[Mine Action New]]=0), "", tblPiNHistorical[[#This Row],[Mine Action New]]-tblPiNHistorical[[#This Row],[Mine Action Old]])</f>
        <v/>
      </c>
      <c r="AO611" s="136" t="str">
        <f>IF(OR(tblPiNHistorical[[#This Row],[Shelter NFI Old]]="", tblPiNHistorical[[#This Row],[Shelter NFI Old]]=0, tblPiNHistorical[[#This Row],[Shelter NFI New]]="", tblPiNHistorical[[#This Row],[Shelter NFI New]]=0), "", tblPiNHistorical[[#This Row],[Shelter NFI New]]-tblPiNHistorical[[#This Row],[Shelter NFI Old]])</f>
        <v/>
      </c>
      <c r="AP611" s="138" t="str">
        <f>IF(OR(tblPiNHistorical[[#This Row],[WASH Old]]="", tblPiNHistorical[[#This Row],[WASH Old]]=0, tblPiNHistorical[[#This Row],[WASH New]]="", tblPiNHistorical[[#This Row],[WASH New]]=0), "", tblPiNHistorical[[#This Row],[WASH New]]-tblPiNHistorical[[#This Row],[WASH Old]])</f>
        <v/>
      </c>
      <c r="AQ611" s="139" t="str">
        <f>IFERROR(ROUND((tblPiNHistorical[[#This Row],[Site Management - New]] - tblPiNHistorical[[#This Row],[Site Management - Old]])/tblPiNHistorical[[#This Row],[Site Management - Old]], 1), "")</f>
        <v/>
      </c>
      <c r="AR611" s="140" t="str">
        <f>IFERROR(ROUND((tblPiNHistorical[[#This Row],[Education New]]-tblPiNHistorical[[#This Row],[Education Old]])/tblPiNHistorical[[#This Row],[Education Old]], 1), "")</f>
        <v/>
      </c>
      <c r="AS611" s="141" t="str">
        <f>IFERROR(ROUND((tblPiNHistorical[[#This Row],[Food Security and Livlihoods New]]-tblPiNHistorical[[#This Row],[Food Security and Livlihoods Old]])/tblPiNHistorical[[#This Row],[Food Security and Livlihoods Old]], 1), "")</f>
        <v/>
      </c>
      <c r="AT611" s="142" t="str">
        <f>IFERROR(ROUND((tblPiNHistorical[[#This Row],[Health New]]-tblPiNHistorical[[#This Row],[Health Old]])/tblPiNHistorical[[#This Row],[Health Old]], 1), "")</f>
        <v/>
      </c>
      <c r="AU611" s="140" t="str">
        <f>IFERROR(ROUND((tblPiNHistorical[[#This Row],[Nutrition New]]-tblPiNHistorical[[#This Row],[Nutrition Old]])/tblPiNHistorical[[#This Row],[Nutrition Old]], 1), "")</f>
        <v/>
      </c>
      <c r="AV611" s="140" t="str">
        <f>IFERROR(ROUND((tblPiNHistorical[[#This Row],[Protection New]]-tblPiNHistorical[[#This Row],[Protection Old]])/tblPiNHistorical[[#This Row],[Protection Old]], 1), "")</f>
        <v/>
      </c>
      <c r="AW611" s="84" t="str">
        <f>IFERROR(ROUND((tblPiNHistorical[[#This Row],[CP New]]-tblPiNHistorical[[#This Row],[CP Old ]])/tblPiNHistorical[[#This Row],[CP Old ]], 1), "")</f>
        <v/>
      </c>
      <c r="AX611" s="84" t="str">
        <f>IFERROR(ROUND((tblPiNHistorical[[#This Row],[GBV New]]-tblPiNHistorical[[#This Row],[GBV Old]])/tblPiNHistorical[[#This Row],[GBV Old]], 1), "")</f>
        <v/>
      </c>
      <c r="AY611" s="84" t="str">
        <f>IFERROR(ROUND((tblPiNHistorical[[#This Row],[Mine Action New]]-tblPiNHistorical[[#This Row],[Mine Action Old]])/tblPiNHistorical[[#This Row],[Mine Action Old]], 1), "")</f>
        <v/>
      </c>
      <c r="AZ611" s="140" t="str">
        <f>IFERROR(ROUND((tblPiNHistorical[[#This Row],[Shelter NFI New]]-tblPiNHistorical[[#This Row],[Shelter NFI Old]])/tblPiNHistorical[[#This Row],[Shelter NFI Old]], 1), "")</f>
        <v/>
      </c>
      <c r="BA611" s="31" t="str">
        <f>IFERROR(ROUND((tblPiNHistorical[[#This Row],[WASH New]]-tblPiNHistorical[[#This Row],[WASH Old]])/tblPiNHistorical[[#This Row],[WASH Old]], 1), "")</f>
        <v/>
      </c>
    </row>
    <row r="612" spans="1:53" ht="38.25" x14ac:dyDescent="0.25">
      <c r="A612"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Non-displaced PopulationSD12082</v>
      </c>
      <c r="B612" s="134" t="s">
        <v>158</v>
      </c>
      <c r="C612" s="124" t="s">
        <v>129</v>
      </c>
      <c r="D612" s="124" t="s">
        <v>462</v>
      </c>
      <c r="E612" s="59" t="s">
        <v>463</v>
      </c>
      <c r="F612" s="54"/>
      <c r="G612" s="29"/>
      <c r="H612" s="53">
        <v>4586</v>
      </c>
      <c r="I612" s="53" t="s">
        <v>89</v>
      </c>
      <c r="J612" s="34">
        <v>0</v>
      </c>
      <c r="K612" s="116">
        <v>1777.9921999999999</v>
      </c>
      <c r="L612" s="114">
        <v>4046</v>
      </c>
      <c r="M612" s="114">
        <v>0</v>
      </c>
      <c r="N612" s="114">
        <v>3857</v>
      </c>
      <c r="O612" s="114">
        <v>504.46000000000004</v>
      </c>
      <c r="P612" s="114">
        <v>504</v>
      </c>
      <c r="Q612" s="114">
        <v>364</v>
      </c>
      <c r="R612" s="114">
        <v>0</v>
      </c>
      <c r="S612" s="114">
        <v>0</v>
      </c>
      <c r="T612" s="196">
        <v>4045.7692000000002</v>
      </c>
      <c r="U612" s="52" t="str">
        <f>IFERROR(INDEX(tblPiNAnalysis[[Site Management ]], MATCH(tblPiNHistorical[[#This Row],[ID]], tblPiNAnalysis[ID], 0)), "")</f>
        <v/>
      </c>
      <c r="V612" s="52" t="str">
        <f>IFERROR(INDEX(tblPiNAnalysis[Education], MATCH(tblPiNHistorical[[#This Row],[ID]], tblPiNAnalysis[ID], 0)), "")</f>
        <v/>
      </c>
      <c r="W612" s="28" t="str">
        <f>IFERROR(INDEX(tblPiNAnalysis[Food Security and Livlihoods], MATCH(tblPiNHistorical[[#This Row],[ID]], tblPiNAnalysis[ID], 0)), "")</f>
        <v/>
      </c>
      <c r="X612" s="28" t="str">
        <f>IFERROR(INDEX(tblPiNAnalysis[[Health ]], MATCH(tblPiNHistorical[[#This Row],[ID]], tblPiNAnalysis[ID], 0)), "")</f>
        <v/>
      </c>
      <c r="Y612" s="28" t="str">
        <f>IFERROR(INDEX(tblPiNAnalysis[Nutrition], MATCH(tblPiNHistorical[[#This Row],[ID]], tblPiNAnalysis[ID], 0)), "")</f>
        <v/>
      </c>
      <c r="Z612" s="28" t="str">
        <f>IFERROR(INDEX(tblPiNAnalysis[Protection], MATCH(tblPiNHistorical[[#This Row],[ID]], tblPiNAnalysis[ID], 0)), "")</f>
        <v/>
      </c>
      <c r="AA612" s="28" t="str">
        <f>IFERROR(INDEX(tblPiNAnalysis[CP], MATCH(tblPiNHistorical[[#This Row],[ID]], tblPiNAnalysis[ID], 0)), "")</f>
        <v/>
      </c>
      <c r="AB612" s="83" t="str">
        <f>IFERROR(INDEX(tblPiNAnalysis[GBV], MATCH(tblPiNHistorical[[#This Row],[ID]], tblPiNAnalysis[ID], 0)), "")</f>
        <v/>
      </c>
      <c r="AC612" s="28" t="str">
        <f>IFERROR(INDEX(tblPiNAnalysis[Mine Action], MATCH(tblPiNHistorical[[#This Row],[ID]], tblPiNAnalysis[ID], 0)), "")</f>
        <v/>
      </c>
      <c r="AD612" s="83" t="str">
        <f>IFERROR(INDEX(tblPiNAnalysis[[Shelter NFI ]], MATCH(tblPiNHistorical[[#This Row],[ID]], tblPiNAnalysis[ID], 0)), "")</f>
        <v/>
      </c>
      <c r="AE612" s="28" t="str">
        <f>IFERROR(INDEX(tblPiNAnalysis[WASH], MATCH(tblPiNHistorical[[#This Row],[ID]], tblPiNAnalysis[ID], 0)), "")</f>
        <v/>
      </c>
      <c r="AF612"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612" s="136" t="str">
        <f>IF(OR(tblPiNHistorical[[#This Row],[Education Old]]="", tblPiNHistorical[[#This Row],[Education Old]]=0, tblPiNHistorical[[#This Row],[Education New]]="", tblPiNHistorical[[#This Row],[Education New]]=0), "", tblPiNHistorical[[#This Row],[Education New]]-tblPiNHistorical[[#This Row],[Education Old]])</f>
        <v/>
      </c>
      <c r="AH612"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612" s="137" t="str">
        <f>IF(OR(tblPiNHistorical[[#This Row],[Health Old]]="", tblPiNHistorical[[#This Row],[Health Old]]=0, tblPiNHistorical[[#This Row],[Health New]]="", tblPiNHistorical[[#This Row],[Health New]]=0), "", tblPiNHistorical[[#This Row],[Health New]]-tblPiNHistorical[[#This Row],[Health Old]])</f>
        <v/>
      </c>
      <c r="AJ612" s="136" t="str">
        <f>IF(OR(tblPiNHistorical[[#This Row],[Nutrition Old]]="", tblPiNHistorical[[#This Row],[Nutrition Old]]=0, tblPiNHistorical[[#This Row],[Nutrition New]]="", tblPiNHistorical[[#This Row],[Nutrition New]]=0), "", tblPiNHistorical[[#This Row],[Nutrition New]]-tblPiNHistorical[[#This Row],[Nutrition Old]])</f>
        <v/>
      </c>
      <c r="AK612" s="136" t="str">
        <f>IF(OR(tblPiNHistorical[[#This Row],[Protection Old]]="", tblPiNHistorical[[#This Row],[Protection Old]]=0, tblPiNHistorical[[#This Row],[Protection New]]="", tblPiNHistorical[[#This Row],[Protection New]]=0), "", tblPiNHistorical[[#This Row],[Protection New]]-tblPiNHistorical[[#This Row],[Protection Old]])</f>
        <v/>
      </c>
      <c r="AL612" s="136" t="str">
        <f>IF(OR(tblPiNHistorical[[#This Row],[CP Old ]]="", tblPiNHistorical[[#This Row],[CP Old ]]=0, tblPiNHistorical[[#This Row],[CP New]]="", tblPiNHistorical[[#This Row],[CP New]]=0), "", tblPiNHistorical[[#This Row],[CP New]]-tblPiNHistorical[[#This Row],[CP Old ]])</f>
        <v/>
      </c>
      <c r="AM612" s="83" t="str">
        <f>IF(OR(tblPiNHistorical[[#This Row],[GBV Old]]="", tblPiNHistorical[[#This Row],[GBV Old]]=0, tblPiNHistorical[[#This Row],[GBV New]]="", tblPiNHistorical[[#This Row],[GBV New]]=0), "", tblPiNHistorical[[#This Row],[GBV New]]-tblPiNHistorical[[#This Row],[GBV Old]])</f>
        <v/>
      </c>
      <c r="AN612" s="83" t="str">
        <f>IF(OR(tblPiNHistorical[[#This Row],[Mine Action Old]]="", tblPiNHistorical[[#This Row],[Mine Action Old]]=0, tblPiNHistorical[[#This Row],[Mine Action New]]="", tblPiNHistorical[[#This Row],[Mine Action New]]=0), "", tblPiNHistorical[[#This Row],[Mine Action New]]-tblPiNHistorical[[#This Row],[Mine Action Old]])</f>
        <v/>
      </c>
      <c r="AO612" s="136" t="str">
        <f>IF(OR(tblPiNHistorical[[#This Row],[Shelter NFI Old]]="", tblPiNHistorical[[#This Row],[Shelter NFI Old]]=0, tblPiNHistorical[[#This Row],[Shelter NFI New]]="", tblPiNHistorical[[#This Row],[Shelter NFI New]]=0), "", tblPiNHistorical[[#This Row],[Shelter NFI New]]-tblPiNHistorical[[#This Row],[Shelter NFI Old]])</f>
        <v/>
      </c>
      <c r="AP612" s="138" t="str">
        <f>IF(OR(tblPiNHistorical[[#This Row],[WASH Old]]="", tblPiNHistorical[[#This Row],[WASH Old]]=0, tblPiNHistorical[[#This Row],[WASH New]]="", tblPiNHistorical[[#This Row],[WASH New]]=0), "", tblPiNHistorical[[#This Row],[WASH New]]-tblPiNHistorical[[#This Row],[WASH Old]])</f>
        <v/>
      </c>
      <c r="AQ612" s="139" t="str">
        <f>IFERROR(ROUND((tblPiNHistorical[[#This Row],[Site Management - New]] - tblPiNHistorical[[#This Row],[Site Management - Old]])/tblPiNHistorical[[#This Row],[Site Management - Old]], 1), "")</f>
        <v/>
      </c>
      <c r="AR612" s="140" t="str">
        <f>IFERROR(ROUND((tblPiNHistorical[[#This Row],[Education New]]-tblPiNHistorical[[#This Row],[Education Old]])/tblPiNHistorical[[#This Row],[Education Old]], 1), "")</f>
        <v/>
      </c>
      <c r="AS612" s="141" t="str">
        <f>IFERROR(ROUND((tblPiNHistorical[[#This Row],[Food Security and Livlihoods New]]-tblPiNHistorical[[#This Row],[Food Security and Livlihoods Old]])/tblPiNHistorical[[#This Row],[Food Security and Livlihoods Old]], 1), "")</f>
        <v/>
      </c>
      <c r="AT612" s="142" t="str">
        <f>IFERROR(ROUND((tblPiNHistorical[[#This Row],[Health New]]-tblPiNHistorical[[#This Row],[Health Old]])/tblPiNHistorical[[#This Row],[Health Old]], 1), "")</f>
        <v/>
      </c>
      <c r="AU612" s="140" t="str">
        <f>IFERROR(ROUND((tblPiNHistorical[[#This Row],[Nutrition New]]-tblPiNHistorical[[#This Row],[Nutrition Old]])/tblPiNHistorical[[#This Row],[Nutrition Old]], 1), "")</f>
        <v/>
      </c>
      <c r="AV612" s="140" t="str">
        <f>IFERROR(ROUND((tblPiNHistorical[[#This Row],[Protection New]]-tblPiNHistorical[[#This Row],[Protection Old]])/tblPiNHistorical[[#This Row],[Protection Old]], 1), "")</f>
        <v/>
      </c>
      <c r="AW612" s="84" t="str">
        <f>IFERROR(ROUND((tblPiNHistorical[[#This Row],[CP New]]-tblPiNHistorical[[#This Row],[CP Old ]])/tblPiNHistorical[[#This Row],[CP Old ]], 1), "")</f>
        <v/>
      </c>
      <c r="AX612" s="84" t="str">
        <f>IFERROR(ROUND((tblPiNHistorical[[#This Row],[GBV New]]-tblPiNHistorical[[#This Row],[GBV Old]])/tblPiNHistorical[[#This Row],[GBV Old]], 1), "")</f>
        <v/>
      </c>
      <c r="AY612" s="84" t="str">
        <f>IFERROR(ROUND((tblPiNHistorical[[#This Row],[Mine Action New]]-tblPiNHistorical[[#This Row],[Mine Action Old]])/tblPiNHistorical[[#This Row],[Mine Action Old]], 1), "")</f>
        <v/>
      </c>
      <c r="AZ612" s="140" t="str">
        <f>IFERROR(ROUND((tblPiNHistorical[[#This Row],[Shelter NFI New]]-tblPiNHistorical[[#This Row],[Shelter NFI Old]])/tblPiNHistorical[[#This Row],[Shelter NFI Old]], 1), "")</f>
        <v/>
      </c>
      <c r="BA612" s="31" t="str">
        <f>IFERROR(ROUND((tblPiNHistorical[[#This Row],[WASH New]]-tblPiNHistorical[[#This Row],[WASH Old]])/tblPiNHistorical[[#This Row],[WASH Old]], 1), "")</f>
        <v/>
      </c>
    </row>
    <row r="613" spans="1:53" ht="38.25" x14ac:dyDescent="0.25">
      <c r="A613"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Non-displaced PopulationSD12076</v>
      </c>
      <c r="B613" s="134" t="s">
        <v>158</v>
      </c>
      <c r="C613" s="124" t="s">
        <v>129</v>
      </c>
      <c r="D613" s="124" t="s">
        <v>450</v>
      </c>
      <c r="E613" s="59" t="s">
        <v>451</v>
      </c>
      <c r="F613" s="54"/>
      <c r="G613" s="29"/>
      <c r="H613" s="53">
        <v>38875</v>
      </c>
      <c r="I613" s="53" t="s">
        <v>89</v>
      </c>
      <c r="J613" s="34">
        <v>0</v>
      </c>
      <c r="K613" s="116">
        <v>15071.8375</v>
      </c>
      <c r="L613" s="114">
        <v>13606.25</v>
      </c>
      <c r="M613" s="114">
        <v>15245</v>
      </c>
      <c r="N613" s="114">
        <v>6441</v>
      </c>
      <c r="O613" s="114">
        <v>4276.25</v>
      </c>
      <c r="P613" s="114">
        <v>4276</v>
      </c>
      <c r="Q613" s="114">
        <v>3078</v>
      </c>
      <c r="R613" s="114">
        <v>0</v>
      </c>
      <c r="S613" s="114">
        <v>0</v>
      </c>
      <c r="T613" s="196">
        <v>28017.212499999994</v>
      </c>
      <c r="U613" s="52" t="str">
        <f>IFERROR(INDEX(tblPiNAnalysis[[Site Management ]], MATCH(tblPiNHistorical[[#This Row],[ID]], tblPiNAnalysis[ID], 0)), "")</f>
        <v/>
      </c>
      <c r="V613" s="52" t="str">
        <f>IFERROR(INDEX(tblPiNAnalysis[Education], MATCH(tblPiNHistorical[[#This Row],[ID]], tblPiNAnalysis[ID], 0)), "")</f>
        <v/>
      </c>
      <c r="W613" s="28" t="str">
        <f>IFERROR(INDEX(tblPiNAnalysis[Food Security and Livlihoods], MATCH(tblPiNHistorical[[#This Row],[ID]], tblPiNAnalysis[ID], 0)), "")</f>
        <v/>
      </c>
      <c r="X613" s="28" t="str">
        <f>IFERROR(INDEX(tblPiNAnalysis[[Health ]], MATCH(tblPiNHistorical[[#This Row],[ID]], tblPiNAnalysis[ID], 0)), "")</f>
        <v/>
      </c>
      <c r="Y613" s="28" t="str">
        <f>IFERROR(INDEX(tblPiNAnalysis[Nutrition], MATCH(tblPiNHistorical[[#This Row],[ID]], tblPiNAnalysis[ID], 0)), "")</f>
        <v/>
      </c>
      <c r="Z613" s="28" t="str">
        <f>IFERROR(INDEX(tblPiNAnalysis[Protection], MATCH(tblPiNHistorical[[#This Row],[ID]], tblPiNAnalysis[ID], 0)), "")</f>
        <v/>
      </c>
      <c r="AA613" s="28" t="str">
        <f>IFERROR(INDEX(tblPiNAnalysis[CP], MATCH(tblPiNHistorical[[#This Row],[ID]], tblPiNAnalysis[ID], 0)), "")</f>
        <v/>
      </c>
      <c r="AB613" s="83" t="str">
        <f>IFERROR(INDEX(tblPiNAnalysis[GBV], MATCH(tblPiNHistorical[[#This Row],[ID]], tblPiNAnalysis[ID], 0)), "")</f>
        <v/>
      </c>
      <c r="AC613" s="28" t="str">
        <f>IFERROR(INDEX(tblPiNAnalysis[Mine Action], MATCH(tblPiNHistorical[[#This Row],[ID]], tblPiNAnalysis[ID], 0)), "")</f>
        <v/>
      </c>
      <c r="AD613" s="83" t="str">
        <f>IFERROR(INDEX(tblPiNAnalysis[[Shelter NFI ]], MATCH(tblPiNHistorical[[#This Row],[ID]], tblPiNAnalysis[ID], 0)), "")</f>
        <v/>
      </c>
      <c r="AE613" s="28" t="str">
        <f>IFERROR(INDEX(tblPiNAnalysis[WASH], MATCH(tblPiNHistorical[[#This Row],[ID]], tblPiNAnalysis[ID], 0)), "")</f>
        <v/>
      </c>
      <c r="AF613"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613" s="136" t="str">
        <f>IF(OR(tblPiNHistorical[[#This Row],[Education Old]]="", tblPiNHistorical[[#This Row],[Education Old]]=0, tblPiNHistorical[[#This Row],[Education New]]="", tblPiNHistorical[[#This Row],[Education New]]=0), "", tblPiNHistorical[[#This Row],[Education New]]-tblPiNHistorical[[#This Row],[Education Old]])</f>
        <v/>
      </c>
      <c r="AH613"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613" s="137" t="str">
        <f>IF(OR(tblPiNHistorical[[#This Row],[Health Old]]="", tblPiNHistorical[[#This Row],[Health Old]]=0, tblPiNHistorical[[#This Row],[Health New]]="", tblPiNHistorical[[#This Row],[Health New]]=0), "", tblPiNHistorical[[#This Row],[Health New]]-tblPiNHistorical[[#This Row],[Health Old]])</f>
        <v/>
      </c>
      <c r="AJ613" s="136" t="str">
        <f>IF(OR(tblPiNHistorical[[#This Row],[Nutrition Old]]="", tblPiNHistorical[[#This Row],[Nutrition Old]]=0, tblPiNHistorical[[#This Row],[Nutrition New]]="", tblPiNHistorical[[#This Row],[Nutrition New]]=0), "", tblPiNHistorical[[#This Row],[Nutrition New]]-tblPiNHistorical[[#This Row],[Nutrition Old]])</f>
        <v/>
      </c>
      <c r="AK613" s="136" t="str">
        <f>IF(OR(tblPiNHistorical[[#This Row],[Protection Old]]="", tblPiNHistorical[[#This Row],[Protection Old]]=0, tblPiNHistorical[[#This Row],[Protection New]]="", tblPiNHistorical[[#This Row],[Protection New]]=0), "", tblPiNHistorical[[#This Row],[Protection New]]-tblPiNHistorical[[#This Row],[Protection Old]])</f>
        <v/>
      </c>
      <c r="AL613" s="136" t="str">
        <f>IF(OR(tblPiNHistorical[[#This Row],[CP Old ]]="", tblPiNHistorical[[#This Row],[CP Old ]]=0, tblPiNHistorical[[#This Row],[CP New]]="", tblPiNHistorical[[#This Row],[CP New]]=0), "", tblPiNHistorical[[#This Row],[CP New]]-tblPiNHistorical[[#This Row],[CP Old ]])</f>
        <v/>
      </c>
      <c r="AM613" s="83" t="str">
        <f>IF(OR(tblPiNHistorical[[#This Row],[GBV Old]]="", tblPiNHistorical[[#This Row],[GBV Old]]=0, tblPiNHistorical[[#This Row],[GBV New]]="", tblPiNHistorical[[#This Row],[GBV New]]=0), "", tblPiNHistorical[[#This Row],[GBV New]]-tblPiNHistorical[[#This Row],[GBV Old]])</f>
        <v/>
      </c>
      <c r="AN613" s="83" t="str">
        <f>IF(OR(tblPiNHistorical[[#This Row],[Mine Action Old]]="", tblPiNHistorical[[#This Row],[Mine Action Old]]=0, tblPiNHistorical[[#This Row],[Mine Action New]]="", tblPiNHistorical[[#This Row],[Mine Action New]]=0), "", tblPiNHistorical[[#This Row],[Mine Action New]]-tblPiNHistorical[[#This Row],[Mine Action Old]])</f>
        <v/>
      </c>
      <c r="AO613" s="136" t="str">
        <f>IF(OR(tblPiNHistorical[[#This Row],[Shelter NFI Old]]="", tblPiNHistorical[[#This Row],[Shelter NFI Old]]=0, tblPiNHistorical[[#This Row],[Shelter NFI New]]="", tblPiNHistorical[[#This Row],[Shelter NFI New]]=0), "", tblPiNHistorical[[#This Row],[Shelter NFI New]]-tblPiNHistorical[[#This Row],[Shelter NFI Old]])</f>
        <v/>
      </c>
      <c r="AP613" s="138" t="str">
        <f>IF(OR(tblPiNHistorical[[#This Row],[WASH Old]]="", tblPiNHistorical[[#This Row],[WASH Old]]=0, tblPiNHistorical[[#This Row],[WASH New]]="", tblPiNHistorical[[#This Row],[WASH New]]=0), "", tblPiNHistorical[[#This Row],[WASH New]]-tblPiNHistorical[[#This Row],[WASH Old]])</f>
        <v/>
      </c>
      <c r="AQ613" s="139" t="str">
        <f>IFERROR(ROUND((tblPiNHistorical[[#This Row],[Site Management - New]] - tblPiNHistorical[[#This Row],[Site Management - Old]])/tblPiNHistorical[[#This Row],[Site Management - Old]], 1), "")</f>
        <v/>
      </c>
      <c r="AR613" s="140" t="str">
        <f>IFERROR(ROUND((tblPiNHistorical[[#This Row],[Education New]]-tblPiNHistorical[[#This Row],[Education Old]])/tblPiNHistorical[[#This Row],[Education Old]], 1), "")</f>
        <v/>
      </c>
      <c r="AS613" s="141" t="str">
        <f>IFERROR(ROUND((tblPiNHistorical[[#This Row],[Food Security and Livlihoods New]]-tblPiNHistorical[[#This Row],[Food Security and Livlihoods Old]])/tblPiNHistorical[[#This Row],[Food Security and Livlihoods Old]], 1), "")</f>
        <v/>
      </c>
      <c r="AT613" s="142" t="str">
        <f>IFERROR(ROUND((tblPiNHistorical[[#This Row],[Health New]]-tblPiNHistorical[[#This Row],[Health Old]])/tblPiNHistorical[[#This Row],[Health Old]], 1), "")</f>
        <v/>
      </c>
      <c r="AU613" s="140" t="str">
        <f>IFERROR(ROUND((tblPiNHistorical[[#This Row],[Nutrition New]]-tblPiNHistorical[[#This Row],[Nutrition Old]])/tblPiNHistorical[[#This Row],[Nutrition Old]], 1), "")</f>
        <v/>
      </c>
      <c r="AV613" s="140" t="str">
        <f>IFERROR(ROUND((tblPiNHistorical[[#This Row],[Protection New]]-tblPiNHistorical[[#This Row],[Protection Old]])/tblPiNHistorical[[#This Row],[Protection Old]], 1), "")</f>
        <v/>
      </c>
      <c r="AW613" s="84" t="str">
        <f>IFERROR(ROUND((tblPiNHistorical[[#This Row],[CP New]]-tblPiNHistorical[[#This Row],[CP Old ]])/tblPiNHistorical[[#This Row],[CP Old ]], 1), "")</f>
        <v/>
      </c>
      <c r="AX613" s="84" t="str">
        <f>IFERROR(ROUND((tblPiNHistorical[[#This Row],[GBV New]]-tblPiNHistorical[[#This Row],[GBV Old]])/tblPiNHistorical[[#This Row],[GBV Old]], 1), "")</f>
        <v/>
      </c>
      <c r="AY613" s="84" t="str">
        <f>IFERROR(ROUND((tblPiNHistorical[[#This Row],[Mine Action New]]-tblPiNHistorical[[#This Row],[Mine Action Old]])/tblPiNHistorical[[#This Row],[Mine Action Old]], 1), "")</f>
        <v/>
      </c>
      <c r="AZ613" s="140" t="str">
        <f>IFERROR(ROUND((tblPiNHistorical[[#This Row],[Shelter NFI New]]-tblPiNHistorical[[#This Row],[Shelter NFI Old]])/tblPiNHistorical[[#This Row],[Shelter NFI Old]], 1), "")</f>
        <v/>
      </c>
      <c r="BA613" s="31" t="str">
        <f>IFERROR(ROUND((tblPiNHistorical[[#This Row],[WASH New]]-tblPiNHistorical[[#This Row],[WASH Old]])/tblPiNHistorical[[#This Row],[WASH Old]], 1), "")</f>
        <v/>
      </c>
    </row>
    <row r="614" spans="1:53" ht="38.25" x14ac:dyDescent="0.25">
      <c r="A614"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Non-displaced PopulationSD12084</v>
      </c>
      <c r="B614" s="134" t="s">
        <v>158</v>
      </c>
      <c r="C614" s="124" t="s">
        <v>129</v>
      </c>
      <c r="D614" s="124" t="s">
        <v>466</v>
      </c>
      <c r="E614" s="59" t="s">
        <v>467</v>
      </c>
      <c r="F614" s="54"/>
      <c r="G614" s="29"/>
      <c r="H614" s="53">
        <v>51463</v>
      </c>
      <c r="I614" s="53" t="s">
        <v>89</v>
      </c>
      <c r="J614" s="34">
        <v>0</v>
      </c>
      <c r="K614" s="116">
        <v>0</v>
      </c>
      <c r="L614" s="114">
        <v>15438.9</v>
      </c>
      <c r="M614" s="114">
        <v>6186</v>
      </c>
      <c r="N614" s="114">
        <v>12276</v>
      </c>
      <c r="O614" s="114">
        <v>5660.93</v>
      </c>
      <c r="P614" s="114">
        <v>5661</v>
      </c>
      <c r="Q614" s="114">
        <v>4074</v>
      </c>
      <c r="R614" s="114">
        <v>0</v>
      </c>
      <c r="S614" s="114">
        <v>10293</v>
      </c>
      <c r="T614" s="196">
        <v>40985.133200000004</v>
      </c>
      <c r="U614" s="52" t="str">
        <f>IFERROR(INDEX(tblPiNAnalysis[[Site Management ]], MATCH(tblPiNHistorical[[#This Row],[ID]], tblPiNAnalysis[ID], 0)), "")</f>
        <v/>
      </c>
      <c r="V614" s="52" t="str">
        <f>IFERROR(INDEX(tblPiNAnalysis[Education], MATCH(tblPiNHistorical[[#This Row],[ID]], tblPiNAnalysis[ID], 0)), "")</f>
        <v/>
      </c>
      <c r="W614" s="28" t="str">
        <f>IFERROR(INDEX(tblPiNAnalysis[Food Security and Livlihoods], MATCH(tblPiNHistorical[[#This Row],[ID]], tblPiNAnalysis[ID], 0)), "")</f>
        <v/>
      </c>
      <c r="X614" s="28" t="str">
        <f>IFERROR(INDEX(tblPiNAnalysis[[Health ]], MATCH(tblPiNHistorical[[#This Row],[ID]], tblPiNAnalysis[ID], 0)), "")</f>
        <v/>
      </c>
      <c r="Y614" s="28" t="str">
        <f>IFERROR(INDEX(tblPiNAnalysis[Nutrition], MATCH(tblPiNHistorical[[#This Row],[ID]], tblPiNAnalysis[ID], 0)), "")</f>
        <v/>
      </c>
      <c r="Z614" s="28" t="str">
        <f>IFERROR(INDEX(tblPiNAnalysis[Protection], MATCH(tblPiNHistorical[[#This Row],[ID]], tblPiNAnalysis[ID], 0)), "")</f>
        <v/>
      </c>
      <c r="AA614" s="28" t="str">
        <f>IFERROR(INDEX(tblPiNAnalysis[CP], MATCH(tblPiNHistorical[[#This Row],[ID]], tblPiNAnalysis[ID], 0)), "")</f>
        <v/>
      </c>
      <c r="AB614" s="83" t="str">
        <f>IFERROR(INDEX(tblPiNAnalysis[GBV], MATCH(tblPiNHistorical[[#This Row],[ID]], tblPiNAnalysis[ID], 0)), "")</f>
        <v/>
      </c>
      <c r="AC614" s="28" t="str">
        <f>IFERROR(INDEX(tblPiNAnalysis[Mine Action], MATCH(tblPiNHistorical[[#This Row],[ID]], tblPiNAnalysis[ID], 0)), "")</f>
        <v/>
      </c>
      <c r="AD614" s="83" t="str">
        <f>IFERROR(INDEX(tblPiNAnalysis[[Shelter NFI ]], MATCH(tblPiNHistorical[[#This Row],[ID]], tblPiNAnalysis[ID], 0)), "")</f>
        <v/>
      </c>
      <c r="AE614" s="28" t="str">
        <f>IFERROR(INDEX(tblPiNAnalysis[WASH], MATCH(tblPiNHistorical[[#This Row],[ID]], tblPiNAnalysis[ID], 0)), "")</f>
        <v/>
      </c>
      <c r="AF614"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614" s="136" t="str">
        <f>IF(OR(tblPiNHistorical[[#This Row],[Education Old]]="", tblPiNHistorical[[#This Row],[Education Old]]=0, tblPiNHistorical[[#This Row],[Education New]]="", tblPiNHistorical[[#This Row],[Education New]]=0), "", tblPiNHistorical[[#This Row],[Education New]]-tblPiNHistorical[[#This Row],[Education Old]])</f>
        <v/>
      </c>
      <c r="AH614"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614" s="137" t="str">
        <f>IF(OR(tblPiNHistorical[[#This Row],[Health Old]]="", tblPiNHistorical[[#This Row],[Health Old]]=0, tblPiNHistorical[[#This Row],[Health New]]="", tblPiNHistorical[[#This Row],[Health New]]=0), "", tblPiNHistorical[[#This Row],[Health New]]-tblPiNHistorical[[#This Row],[Health Old]])</f>
        <v/>
      </c>
      <c r="AJ614" s="136" t="str">
        <f>IF(OR(tblPiNHistorical[[#This Row],[Nutrition Old]]="", tblPiNHistorical[[#This Row],[Nutrition Old]]=0, tblPiNHistorical[[#This Row],[Nutrition New]]="", tblPiNHistorical[[#This Row],[Nutrition New]]=0), "", tblPiNHistorical[[#This Row],[Nutrition New]]-tblPiNHistorical[[#This Row],[Nutrition Old]])</f>
        <v/>
      </c>
      <c r="AK614" s="136" t="str">
        <f>IF(OR(tblPiNHistorical[[#This Row],[Protection Old]]="", tblPiNHistorical[[#This Row],[Protection Old]]=0, tblPiNHistorical[[#This Row],[Protection New]]="", tblPiNHistorical[[#This Row],[Protection New]]=0), "", tblPiNHistorical[[#This Row],[Protection New]]-tblPiNHistorical[[#This Row],[Protection Old]])</f>
        <v/>
      </c>
      <c r="AL614" s="136" t="str">
        <f>IF(OR(tblPiNHistorical[[#This Row],[CP Old ]]="", tblPiNHistorical[[#This Row],[CP Old ]]=0, tblPiNHistorical[[#This Row],[CP New]]="", tblPiNHistorical[[#This Row],[CP New]]=0), "", tblPiNHistorical[[#This Row],[CP New]]-tblPiNHistorical[[#This Row],[CP Old ]])</f>
        <v/>
      </c>
      <c r="AM614" s="83" t="str">
        <f>IF(OR(tblPiNHistorical[[#This Row],[GBV Old]]="", tblPiNHistorical[[#This Row],[GBV Old]]=0, tblPiNHistorical[[#This Row],[GBV New]]="", tblPiNHistorical[[#This Row],[GBV New]]=0), "", tblPiNHistorical[[#This Row],[GBV New]]-tblPiNHistorical[[#This Row],[GBV Old]])</f>
        <v/>
      </c>
      <c r="AN614" s="83" t="str">
        <f>IF(OR(tblPiNHistorical[[#This Row],[Mine Action Old]]="", tblPiNHistorical[[#This Row],[Mine Action Old]]=0, tblPiNHistorical[[#This Row],[Mine Action New]]="", tblPiNHistorical[[#This Row],[Mine Action New]]=0), "", tblPiNHistorical[[#This Row],[Mine Action New]]-tblPiNHistorical[[#This Row],[Mine Action Old]])</f>
        <v/>
      </c>
      <c r="AO614" s="136" t="str">
        <f>IF(OR(tblPiNHistorical[[#This Row],[Shelter NFI Old]]="", tblPiNHistorical[[#This Row],[Shelter NFI Old]]=0, tblPiNHistorical[[#This Row],[Shelter NFI New]]="", tblPiNHistorical[[#This Row],[Shelter NFI New]]=0), "", tblPiNHistorical[[#This Row],[Shelter NFI New]]-tblPiNHistorical[[#This Row],[Shelter NFI Old]])</f>
        <v/>
      </c>
      <c r="AP614" s="138" t="str">
        <f>IF(OR(tblPiNHistorical[[#This Row],[WASH Old]]="", tblPiNHistorical[[#This Row],[WASH Old]]=0, tblPiNHistorical[[#This Row],[WASH New]]="", tblPiNHistorical[[#This Row],[WASH New]]=0), "", tblPiNHistorical[[#This Row],[WASH New]]-tblPiNHistorical[[#This Row],[WASH Old]])</f>
        <v/>
      </c>
      <c r="AQ614" s="139" t="str">
        <f>IFERROR(ROUND((tblPiNHistorical[[#This Row],[Site Management - New]] - tblPiNHistorical[[#This Row],[Site Management - Old]])/tblPiNHistorical[[#This Row],[Site Management - Old]], 1), "")</f>
        <v/>
      </c>
      <c r="AR614" s="140" t="str">
        <f>IFERROR(ROUND((tblPiNHistorical[[#This Row],[Education New]]-tblPiNHistorical[[#This Row],[Education Old]])/tblPiNHistorical[[#This Row],[Education Old]], 1), "")</f>
        <v/>
      </c>
      <c r="AS614" s="141" t="str">
        <f>IFERROR(ROUND((tblPiNHistorical[[#This Row],[Food Security and Livlihoods New]]-tblPiNHistorical[[#This Row],[Food Security and Livlihoods Old]])/tblPiNHistorical[[#This Row],[Food Security and Livlihoods Old]], 1), "")</f>
        <v/>
      </c>
      <c r="AT614" s="142" t="str">
        <f>IFERROR(ROUND((tblPiNHistorical[[#This Row],[Health New]]-tblPiNHistorical[[#This Row],[Health Old]])/tblPiNHistorical[[#This Row],[Health Old]], 1), "")</f>
        <v/>
      </c>
      <c r="AU614" s="140" t="str">
        <f>IFERROR(ROUND((tblPiNHistorical[[#This Row],[Nutrition New]]-tblPiNHistorical[[#This Row],[Nutrition Old]])/tblPiNHistorical[[#This Row],[Nutrition Old]], 1), "")</f>
        <v/>
      </c>
      <c r="AV614" s="140" t="str">
        <f>IFERROR(ROUND((tblPiNHistorical[[#This Row],[Protection New]]-tblPiNHistorical[[#This Row],[Protection Old]])/tblPiNHistorical[[#This Row],[Protection Old]], 1), "")</f>
        <v/>
      </c>
      <c r="AW614" s="84" t="str">
        <f>IFERROR(ROUND((tblPiNHistorical[[#This Row],[CP New]]-tblPiNHistorical[[#This Row],[CP Old ]])/tblPiNHistorical[[#This Row],[CP Old ]], 1), "")</f>
        <v/>
      </c>
      <c r="AX614" s="84" t="str">
        <f>IFERROR(ROUND((tblPiNHistorical[[#This Row],[GBV New]]-tblPiNHistorical[[#This Row],[GBV Old]])/tblPiNHistorical[[#This Row],[GBV Old]], 1), "")</f>
        <v/>
      </c>
      <c r="AY614" s="84" t="str">
        <f>IFERROR(ROUND((tblPiNHistorical[[#This Row],[Mine Action New]]-tblPiNHistorical[[#This Row],[Mine Action Old]])/tblPiNHistorical[[#This Row],[Mine Action Old]], 1), "")</f>
        <v/>
      </c>
      <c r="AZ614" s="140" t="str">
        <f>IFERROR(ROUND((tblPiNHistorical[[#This Row],[Shelter NFI New]]-tblPiNHistorical[[#This Row],[Shelter NFI Old]])/tblPiNHistorical[[#This Row],[Shelter NFI Old]], 1), "")</f>
        <v/>
      </c>
      <c r="BA614" s="31" t="str">
        <f>IFERROR(ROUND((tblPiNHistorical[[#This Row],[WASH New]]-tblPiNHistorical[[#This Row],[WASH Old]])/tblPiNHistorical[[#This Row],[WASH Old]], 1), "")</f>
        <v/>
      </c>
    </row>
    <row r="615" spans="1:53" ht="38.25" x14ac:dyDescent="0.25">
      <c r="A615"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Non-displaced PopulationSD12077</v>
      </c>
      <c r="B615" s="134" t="s">
        <v>158</v>
      </c>
      <c r="C615" s="124" t="s">
        <v>129</v>
      </c>
      <c r="D615" s="124" t="s">
        <v>452</v>
      </c>
      <c r="E615" s="59" t="s">
        <v>453</v>
      </c>
      <c r="F615" s="54"/>
      <c r="G615" s="29"/>
      <c r="H615" s="53">
        <v>7677</v>
      </c>
      <c r="I615" s="53" t="s">
        <v>89</v>
      </c>
      <c r="J615" s="34">
        <v>0</v>
      </c>
      <c r="K615" s="116">
        <v>2976.3728999999998</v>
      </c>
      <c r="L615" s="114">
        <v>7217</v>
      </c>
      <c r="M615" s="114">
        <v>0</v>
      </c>
      <c r="N615" s="114">
        <v>5199</v>
      </c>
      <c r="O615" s="114">
        <v>844.47000000000014</v>
      </c>
      <c r="P615" s="114">
        <v>844</v>
      </c>
      <c r="Q615" s="114">
        <v>608</v>
      </c>
      <c r="R615" s="114">
        <v>0</v>
      </c>
      <c r="S615" s="114">
        <v>1535</v>
      </c>
      <c r="T615" s="196">
        <v>7217.1477000000004</v>
      </c>
      <c r="U615" s="52" t="str">
        <f>IFERROR(INDEX(tblPiNAnalysis[[Site Management ]], MATCH(tblPiNHistorical[[#This Row],[ID]], tblPiNAnalysis[ID], 0)), "")</f>
        <v/>
      </c>
      <c r="V615" s="52" t="str">
        <f>IFERROR(INDEX(tblPiNAnalysis[Education], MATCH(tblPiNHistorical[[#This Row],[ID]], tblPiNAnalysis[ID], 0)), "")</f>
        <v/>
      </c>
      <c r="W615" s="28" t="str">
        <f>IFERROR(INDEX(tblPiNAnalysis[Food Security and Livlihoods], MATCH(tblPiNHistorical[[#This Row],[ID]], tblPiNAnalysis[ID], 0)), "")</f>
        <v/>
      </c>
      <c r="X615" s="28" t="str">
        <f>IFERROR(INDEX(tblPiNAnalysis[[Health ]], MATCH(tblPiNHistorical[[#This Row],[ID]], tblPiNAnalysis[ID], 0)), "")</f>
        <v/>
      </c>
      <c r="Y615" s="28" t="str">
        <f>IFERROR(INDEX(tblPiNAnalysis[Nutrition], MATCH(tblPiNHistorical[[#This Row],[ID]], tblPiNAnalysis[ID], 0)), "")</f>
        <v/>
      </c>
      <c r="Z615" s="28" t="str">
        <f>IFERROR(INDEX(tblPiNAnalysis[Protection], MATCH(tblPiNHistorical[[#This Row],[ID]], tblPiNAnalysis[ID], 0)), "")</f>
        <v/>
      </c>
      <c r="AA615" s="28" t="str">
        <f>IFERROR(INDEX(tblPiNAnalysis[CP], MATCH(tblPiNHistorical[[#This Row],[ID]], tblPiNAnalysis[ID], 0)), "")</f>
        <v/>
      </c>
      <c r="AB615" s="83" t="str">
        <f>IFERROR(INDEX(tblPiNAnalysis[GBV], MATCH(tblPiNHistorical[[#This Row],[ID]], tblPiNAnalysis[ID], 0)), "")</f>
        <v/>
      </c>
      <c r="AC615" s="28" t="str">
        <f>IFERROR(INDEX(tblPiNAnalysis[Mine Action], MATCH(tblPiNHistorical[[#This Row],[ID]], tblPiNAnalysis[ID], 0)), "")</f>
        <v/>
      </c>
      <c r="AD615" s="83" t="str">
        <f>IFERROR(INDEX(tblPiNAnalysis[[Shelter NFI ]], MATCH(tblPiNHistorical[[#This Row],[ID]], tblPiNAnalysis[ID], 0)), "")</f>
        <v/>
      </c>
      <c r="AE615" s="28" t="str">
        <f>IFERROR(INDEX(tblPiNAnalysis[WASH], MATCH(tblPiNHistorical[[#This Row],[ID]], tblPiNAnalysis[ID], 0)), "")</f>
        <v/>
      </c>
      <c r="AF615"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615" s="136" t="str">
        <f>IF(OR(tblPiNHistorical[[#This Row],[Education Old]]="", tblPiNHistorical[[#This Row],[Education Old]]=0, tblPiNHistorical[[#This Row],[Education New]]="", tblPiNHistorical[[#This Row],[Education New]]=0), "", tblPiNHistorical[[#This Row],[Education New]]-tblPiNHistorical[[#This Row],[Education Old]])</f>
        <v/>
      </c>
      <c r="AH615"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615" s="137" t="str">
        <f>IF(OR(tblPiNHistorical[[#This Row],[Health Old]]="", tblPiNHistorical[[#This Row],[Health Old]]=0, tblPiNHistorical[[#This Row],[Health New]]="", tblPiNHistorical[[#This Row],[Health New]]=0), "", tblPiNHistorical[[#This Row],[Health New]]-tblPiNHistorical[[#This Row],[Health Old]])</f>
        <v/>
      </c>
      <c r="AJ615" s="136" t="str">
        <f>IF(OR(tblPiNHistorical[[#This Row],[Nutrition Old]]="", tblPiNHistorical[[#This Row],[Nutrition Old]]=0, tblPiNHistorical[[#This Row],[Nutrition New]]="", tblPiNHistorical[[#This Row],[Nutrition New]]=0), "", tblPiNHistorical[[#This Row],[Nutrition New]]-tblPiNHistorical[[#This Row],[Nutrition Old]])</f>
        <v/>
      </c>
      <c r="AK615" s="136" t="str">
        <f>IF(OR(tblPiNHistorical[[#This Row],[Protection Old]]="", tblPiNHistorical[[#This Row],[Protection Old]]=0, tblPiNHistorical[[#This Row],[Protection New]]="", tblPiNHistorical[[#This Row],[Protection New]]=0), "", tblPiNHistorical[[#This Row],[Protection New]]-tblPiNHistorical[[#This Row],[Protection Old]])</f>
        <v/>
      </c>
      <c r="AL615" s="136" t="str">
        <f>IF(OR(tblPiNHistorical[[#This Row],[CP Old ]]="", tblPiNHistorical[[#This Row],[CP Old ]]=0, tblPiNHistorical[[#This Row],[CP New]]="", tblPiNHistorical[[#This Row],[CP New]]=0), "", tblPiNHistorical[[#This Row],[CP New]]-tblPiNHistorical[[#This Row],[CP Old ]])</f>
        <v/>
      </c>
      <c r="AM615" s="83" t="str">
        <f>IF(OR(tblPiNHistorical[[#This Row],[GBV Old]]="", tblPiNHistorical[[#This Row],[GBV Old]]=0, tblPiNHistorical[[#This Row],[GBV New]]="", tblPiNHistorical[[#This Row],[GBV New]]=0), "", tblPiNHistorical[[#This Row],[GBV New]]-tblPiNHistorical[[#This Row],[GBV Old]])</f>
        <v/>
      </c>
      <c r="AN615" s="83" t="str">
        <f>IF(OR(tblPiNHistorical[[#This Row],[Mine Action Old]]="", tblPiNHistorical[[#This Row],[Mine Action Old]]=0, tblPiNHistorical[[#This Row],[Mine Action New]]="", tblPiNHistorical[[#This Row],[Mine Action New]]=0), "", tblPiNHistorical[[#This Row],[Mine Action New]]-tblPiNHistorical[[#This Row],[Mine Action Old]])</f>
        <v/>
      </c>
      <c r="AO615" s="136" t="str">
        <f>IF(OR(tblPiNHistorical[[#This Row],[Shelter NFI Old]]="", tblPiNHistorical[[#This Row],[Shelter NFI Old]]=0, tblPiNHistorical[[#This Row],[Shelter NFI New]]="", tblPiNHistorical[[#This Row],[Shelter NFI New]]=0), "", tblPiNHistorical[[#This Row],[Shelter NFI New]]-tblPiNHistorical[[#This Row],[Shelter NFI Old]])</f>
        <v/>
      </c>
      <c r="AP615" s="138" t="str">
        <f>IF(OR(tblPiNHistorical[[#This Row],[WASH Old]]="", tblPiNHistorical[[#This Row],[WASH Old]]=0, tblPiNHistorical[[#This Row],[WASH New]]="", tblPiNHistorical[[#This Row],[WASH New]]=0), "", tblPiNHistorical[[#This Row],[WASH New]]-tblPiNHistorical[[#This Row],[WASH Old]])</f>
        <v/>
      </c>
      <c r="AQ615" s="139" t="str">
        <f>IFERROR(ROUND((tblPiNHistorical[[#This Row],[Site Management - New]] - tblPiNHistorical[[#This Row],[Site Management - Old]])/tblPiNHistorical[[#This Row],[Site Management - Old]], 1), "")</f>
        <v/>
      </c>
      <c r="AR615" s="140" t="str">
        <f>IFERROR(ROUND((tblPiNHistorical[[#This Row],[Education New]]-tblPiNHistorical[[#This Row],[Education Old]])/tblPiNHistorical[[#This Row],[Education Old]], 1), "")</f>
        <v/>
      </c>
      <c r="AS615" s="141" t="str">
        <f>IFERROR(ROUND((tblPiNHistorical[[#This Row],[Food Security and Livlihoods New]]-tblPiNHistorical[[#This Row],[Food Security and Livlihoods Old]])/tblPiNHistorical[[#This Row],[Food Security and Livlihoods Old]], 1), "")</f>
        <v/>
      </c>
      <c r="AT615" s="142" t="str">
        <f>IFERROR(ROUND((tblPiNHistorical[[#This Row],[Health New]]-tblPiNHistorical[[#This Row],[Health Old]])/tblPiNHistorical[[#This Row],[Health Old]], 1), "")</f>
        <v/>
      </c>
      <c r="AU615" s="140" t="str">
        <f>IFERROR(ROUND((tblPiNHistorical[[#This Row],[Nutrition New]]-tblPiNHistorical[[#This Row],[Nutrition Old]])/tblPiNHistorical[[#This Row],[Nutrition Old]], 1), "")</f>
        <v/>
      </c>
      <c r="AV615" s="140" t="str">
        <f>IFERROR(ROUND((tblPiNHistorical[[#This Row],[Protection New]]-tblPiNHistorical[[#This Row],[Protection Old]])/tblPiNHistorical[[#This Row],[Protection Old]], 1), "")</f>
        <v/>
      </c>
      <c r="AW615" s="84" t="str">
        <f>IFERROR(ROUND((tblPiNHistorical[[#This Row],[CP New]]-tblPiNHistorical[[#This Row],[CP Old ]])/tblPiNHistorical[[#This Row],[CP Old ]], 1), "")</f>
        <v/>
      </c>
      <c r="AX615" s="84" t="str">
        <f>IFERROR(ROUND((tblPiNHistorical[[#This Row],[GBV New]]-tblPiNHistorical[[#This Row],[GBV Old]])/tblPiNHistorical[[#This Row],[GBV Old]], 1), "")</f>
        <v/>
      </c>
      <c r="AY615" s="84" t="str">
        <f>IFERROR(ROUND((tblPiNHistorical[[#This Row],[Mine Action New]]-tblPiNHistorical[[#This Row],[Mine Action Old]])/tblPiNHistorical[[#This Row],[Mine Action Old]], 1), "")</f>
        <v/>
      </c>
      <c r="AZ615" s="140" t="str">
        <f>IFERROR(ROUND((tblPiNHistorical[[#This Row],[Shelter NFI New]]-tblPiNHistorical[[#This Row],[Shelter NFI Old]])/tblPiNHistorical[[#This Row],[Shelter NFI Old]], 1), "")</f>
        <v/>
      </c>
      <c r="BA615" s="31" t="str">
        <f>IFERROR(ROUND((tblPiNHistorical[[#This Row],[WASH New]]-tblPiNHistorical[[#This Row],[WASH Old]])/tblPiNHistorical[[#This Row],[WASH Old]], 1), "")</f>
        <v/>
      </c>
    </row>
    <row r="616" spans="1:53" ht="38.25" x14ac:dyDescent="0.25">
      <c r="A616"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Non-displaced PopulationSD12079</v>
      </c>
      <c r="B616" s="134" t="s">
        <v>158</v>
      </c>
      <c r="C616" s="124" t="s">
        <v>129</v>
      </c>
      <c r="D616" s="124" t="s">
        <v>456</v>
      </c>
      <c r="E616" s="59" t="s">
        <v>457</v>
      </c>
      <c r="F616" s="54"/>
      <c r="G616" s="29"/>
      <c r="H616" s="53">
        <v>37941</v>
      </c>
      <c r="I616" s="53" t="s">
        <v>89</v>
      </c>
      <c r="J616" s="34">
        <v>0</v>
      </c>
      <c r="K616" s="116">
        <v>14709.725699999999</v>
      </c>
      <c r="L616" s="114">
        <v>13279.35</v>
      </c>
      <c r="M616" s="114">
        <v>1265</v>
      </c>
      <c r="N616" s="114">
        <v>4604</v>
      </c>
      <c r="O616" s="114">
        <v>4173.5100000000011</v>
      </c>
      <c r="P616" s="114">
        <v>4174</v>
      </c>
      <c r="Q616" s="114">
        <v>3004</v>
      </c>
      <c r="R616" s="114">
        <v>0</v>
      </c>
      <c r="S616" s="114">
        <v>0</v>
      </c>
      <c r="T616" s="196">
        <v>33942.018600000003</v>
      </c>
      <c r="U616" s="52" t="str">
        <f>IFERROR(INDEX(tblPiNAnalysis[[Site Management ]], MATCH(tblPiNHistorical[[#This Row],[ID]], tblPiNAnalysis[ID], 0)), "")</f>
        <v/>
      </c>
      <c r="V616" s="52" t="str">
        <f>IFERROR(INDEX(tblPiNAnalysis[Education], MATCH(tblPiNHistorical[[#This Row],[ID]], tblPiNAnalysis[ID], 0)), "")</f>
        <v/>
      </c>
      <c r="W616" s="28" t="str">
        <f>IFERROR(INDEX(tblPiNAnalysis[Food Security and Livlihoods], MATCH(tblPiNHistorical[[#This Row],[ID]], tblPiNAnalysis[ID], 0)), "")</f>
        <v/>
      </c>
      <c r="X616" s="28" t="str">
        <f>IFERROR(INDEX(tblPiNAnalysis[[Health ]], MATCH(tblPiNHistorical[[#This Row],[ID]], tblPiNAnalysis[ID], 0)), "")</f>
        <v/>
      </c>
      <c r="Y616" s="28" t="str">
        <f>IFERROR(INDEX(tblPiNAnalysis[Nutrition], MATCH(tblPiNHistorical[[#This Row],[ID]], tblPiNAnalysis[ID], 0)), "")</f>
        <v/>
      </c>
      <c r="Z616" s="28" t="str">
        <f>IFERROR(INDEX(tblPiNAnalysis[Protection], MATCH(tblPiNHistorical[[#This Row],[ID]], tblPiNAnalysis[ID], 0)), "")</f>
        <v/>
      </c>
      <c r="AA616" s="28" t="str">
        <f>IFERROR(INDEX(tblPiNAnalysis[CP], MATCH(tblPiNHistorical[[#This Row],[ID]], tblPiNAnalysis[ID], 0)), "")</f>
        <v/>
      </c>
      <c r="AB616" s="83" t="str">
        <f>IFERROR(INDEX(tblPiNAnalysis[GBV], MATCH(tblPiNHistorical[[#This Row],[ID]], tblPiNAnalysis[ID], 0)), "")</f>
        <v/>
      </c>
      <c r="AC616" s="28" t="str">
        <f>IFERROR(INDEX(tblPiNAnalysis[Mine Action], MATCH(tblPiNHistorical[[#This Row],[ID]], tblPiNAnalysis[ID], 0)), "")</f>
        <v/>
      </c>
      <c r="AD616" s="83" t="str">
        <f>IFERROR(INDEX(tblPiNAnalysis[[Shelter NFI ]], MATCH(tblPiNHistorical[[#This Row],[ID]], tblPiNAnalysis[ID], 0)), "")</f>
        <v/>
      </c>
      <c r="AE616" s="28" t="str">
        <f>IFERROR(INDEX(tblPiNAnalysis[WASH], MATCH(tblPiNHistorical[[#This Row],[ID]], tblPiNAnalysis[ID], 0)), "")</f>
        <v/>
      </c>
      <c r="AF616"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616" s="136" t="str">
        <f>IF(OR(tblPiNHistorical[[#This Row],[Education Old]]="", tblPiNHistorical[[#This Row],[Education Old]]=0, tblPiNHistorical[[#This Row],[Education New]]="", tblPiNHistorical[[#This Row],[Education New]]=0), "", tblPiNHistorical[[#This Row],[Education New]]-tblPiNHistorical[[#This Row],[Education Old]])</f>
        <v/>
      </c>
      <c r="AH616"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616" s="137" t="str">
        <f>IF(OR(tblPiNHistorical[[#This Row],[Health Old]]="", tblPiNHistorical[[#This Row],[Health Old]]=0, tblPiNHistorical[[#This Row],[Health New]]="", tblPiNHistorical[[#This Row],[Health New]]=0), "", tblPiNHistorical[[#This Row],[Health New]]-tblPiNHistorical[[#This Row],[Health Old]])</f>
        <v/>
      </c>
      <c r="AJ616" s="136" t="str">
        <f>IF(OR(tblPiNHistorical[[#This Row],[Nutrition Old]]="", tblPiNHistorical[[#This Row],[Nutrition Old]]=0, tblPiNHistorical[[#This Row],[Nutrition New]]="", tblPiNHistorical[[#This Row],[Nutrition New]]=0), "", tblPiNHistorical[[#This Row],[Nutrition New]]-tblPiNHistorical[[#This Row],[Nutrition Old]])</f>
        <v/>
      </c>
      <c r="AK616" s="136" t="str">
        <f>IF(OR(tblPiNHistorical[[#This Row],[Protection Old]]="", tblPiNHistorical[[#This Row],[Protection Old]]=0, tblPiNHistorical[[#This Row],[Protection New]]="", tblPiNHistorical[[#This Row],[Protection New]]=0), "", tblPiNHistorical[[#This Row],[Protection New]]-tblPiNHistorical[[#This Row],[Protection Old]])</f>
        <v/>
      </c>
      <c r="AL616" s="136" t="str">
        <f>IF(OR(tblPiNHistorical[[#This Row],[CP Old ]]="", tblPiNHistorical[[#This Row],[CP Old ]]=0, tblPiNHistorical[[#This Row],[CP New]]="", tblPiNHistorical[[#This Row],[CP New]]=0), "", tblPiNHistorical[[#This Row],[CP New]]-tblPiNHistorical[[#This Row],[CP Old ]])</f>
        <v/>
      </c>
      <c r="AM616" s="83" t="str">
        <f>IF(OR(tblPiNHistorical[[#This Row],[GBV Old]]="", tblPiNHistorical[[#This Row],[GBV Old]]=0, tblPiNHistorical[[#This Row],[GBV New]]="", tblPiNHistorical[[#This Row],[GBV New]]=0), "", tblPiNHistorical[[#This Row],[GBV New]]-tblPiNHistorical[[#This Row],[GBV Old]])</f>
        <v/>
      </c>
      <c r="AN616" s="83" t="str">
        <f>IF(OR(tblPiNHistorical[[#This Row],[Mine Action Old]]="", tblPiNHistorical[[#This Row],[Mine Action Old]]=0, tblPiNHistorical[[#This Row],[Mine Action New]]="", tblPiNHistorical[[#This Row],[Mine Action New]]=0), "", tblPiNHistorical[[#This Row],[Mine Action New]]-tblPiNHistorical[[#This Row],[Mine Action Old]])</f>
        <v/>
      </c>
      <c r="AO616" s="136" t="str">
        <f>IF(OR(tblPiNHistorical[[#This Row],[Shelter NFI Old]]="", tblPiNHistorical[[#This Row],[Shelter NFI Old]]=0, tblPiNHistorical[[#This Row],[Shelter NFI New]]="", tblPiNHistorical[[#This Row],[Shelter NFI New]]=0), "", tblPiNHistorical[[#This Row],[Shelter NFI New]]-tblPiNHistorical[[#This Row],[Shelter NFI Old]])</f>
        <v/>
      </c>
      <c r="AP616" s="138" t="str">
        <f>IF(OR(tblPiNHistorical[[#This Row],[WASH Old]]="", tblPiNHistorical[[#This Row],[WASH Old]]=0, tblPiNHistorical[[#This Row],[WASH New]]="", tblPiNHistorical[[#This Row],[WASH New]]=0), "", tblPiNHistorical[[#This Row],[WASH New]]-tblPiNHistorical[[#This Row],[WASH Old]])</f>
        <v/>
      </c>
      <c r="AQ616" s="139" t="str">
        <f>IFERROR(ROUND((tblPiNHistorical[[#This Row],[Site Management - New]] - tblPiNHistorical[[#This Row],[Site Management - Old]])/tblPiNHistorical[[#This Row],[Site Management - Old]], 1), "")</f>
        <v/>
      </c>
      <c r="AR616" s="140" t="str">
        <f>IFERROR(ROUND((tblPiNHistorical[[#This Row],[Education New]]-tblPiNHistorical[[#This Row],[Education Old]])/tblPiNHistorical[[#This Row],[Education Old]], 1), "")</f>
        <v/>
      </c>
      <c r="AS616" s="141" t="str">
        <f>IFERROR(ROUND((tblPiNHistorical[[#This Row],[Food Security and Livlihoods New]]-tblPiNHistorical[[#This Row],[Food Security and Livlihoods Old]])/tblPiNHistorical[[#This Row],[Food Security and Livlihoods Old]], 1), "")</f>
        <v/>
      </c>
      <c r="AT616" s="142" t="str">
        <f>IFERROR(ROUND((tblPiNHistorical[[#This Row],[Health New]]-tblPiNHistorical[[#This Row],[Health Old]])/tblPiNHistorical[[#This Row],[Health Old]], 1), "")</f>
        <v/>
      </c>
      <c r="AU616" s="140" t="str">
        <f>IFERROR(ROUND((tblPiNHistorical[[#This Row],[Nutrition New]]-tblPiNHistorical[[#This Row],[Nutrition Old]])/tblPiNHistorical[[#This Row],[Nutrition Old]], 1), "")</f>
        <v/>
      </c>
      <c r="AV616" s="140" t="str">
        <f>IFERROR(ROUND((tblPiNHistorical[[#This Row],[Protection New]]-tblPiNHistorical[[#This Row],[Protection Old]])/tblPiNHistorical[[#This Row],[Protection Old]], 1), "")</f>
        <v/>
      </c>
      <c r="AW616" s="84" t="str">
        <f>IFERROR(ROUND((tblPiNHistorical[[#This Row],[CP New]]-tblPiNHistorical[[#This Row],[CP Old ]])/tblPiNHistorical[[#This Row],[CP Old ]], 1), "")</f>
        <v/>
      </c>
      <c r="AX616" s="84" t="str">
        <f>IFERROR(ROUND((tblPiNHistorical[[#This Row],[GBV New]]-tblPiNHistorical[[#This Row],[GBV Old]])/tblPiNHistorical[[#This Row],[GBV Old]], 1), "")</f>
        <v/>
      </c>
      <c r="AY616" s="84" t="str">
        <f>IFERROR(ROUND((tblPiNHistorical[[#This Row],[Mine Action New]]-tblPiNHistorical[[#This Row],[Mine Action Old]])/tblPiNHistorical[[#This Row],[Mine Action Old]], 1), "")</f>
        <v/>
      </c>
      <c r="AZ616" s="140" t="str">
        <f>IFERROR(ROUND((tblPiNHistorical[[#This Row],[Shelter NFI New]]-tblPiNHistorical[[#This Row],[Shelter NFI Old]])/tblPiNHistorical[[#This Row],[Shelter NFI Old]], 1), "")</f>
        <v/>
      </c>
      <c r="BA616" s="31" t="str">
        <f>IFERROR(ROUND((tblPiNHistorical[[#This Row],[WASH New]]-tblPiNHistorical[[#This Row],[WASH Old]])/tblPiNHistorical[[#This Row],[WASH Old]], 1), "")</f>
        <v/>
      </c>
    </row>
    <row r="617" spans="1:53" ht="38.25" x14ac:dyDescent="0.25">
      <c r="A617"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Non-displaced PopulationSD12083</v>
      </c>
      <c r="B617" s="134" t="s">
        <v>158</v>
      </c>
      <c r="C617" s="124" t="s">
        <v>129</v>
      </c>
      <c r="D617" s="124" t="s">
        <v>464</v>
      </c>
      <c r="E617" s="59" t="s">
        <v>465</v>
      </c>
      <c r="F617" s="54"/>
      <c r="G617" s="29"/>
      <c r="H617" s="53">
        <v>26976</v>
      </c>
      <c r="I617" s="53" t="s">
        <v>89</v>
      </c>
      <c r="J617" s="34">
        <v>0</v>
      </c>
      <c r="K617" s="116">
        <v>10458.5952</v>
      </c>
      <c r="L617" s="114">
        <v>21610</v>
      </c>
      <c r="M617" s="114">
        <v>855</v>
      </c>
      <c r="N617" s="114">
        <v>12851</v>
      </c>
      <c r="O617" s="114">
        <v>2967.3600000000006</v>
      </c>
      <c r="P617" s="114">
        <v>2967</v>
      </c>
      <c r="Q617" s="114">
        <v>2136</v>
      </c>
      <c r="R617" s="114">
        <v>0</v>
      </c>
      <c r="S617" s="114">
        <v>5395</v>
      </c>
      <c r="T617" s="196">
        <v>21610.473599999998</v>
      </c>
      <c r="U617" s="52" t="str">
        <f>IFERROR(INDEX(tblPiNAnalysis[[Site Management ]], MATCH(tblPiNHistorical[[#This Row],[ID]], tblPiNAnalysis[ID], 0)), "")</f>
        <v/>
      </c>
      <c r="V617" s="52" t="str">
        <f>IFERROR(INDEX(tblPiNAnalysis[Education], MATCH(tblPiNHistorical[[#This Row],[ID]], tblPiNAnalysis[ID], 0)), "")</f>
        <v/>
      </c>
      <c r="W617" s="28" t="str">
        <f>IFERROR(INDEX(tblPiNAnalysis[Food Security and Livlihoods], MATCH(tblPiNHistorical[[#This Row],[ID]], tblPiNAnalysis[ID], 0)), "")</f>
        <v/>
      </c>
      <c r="X617" s="28" t="str">
        <f>IFERROR(INDEX(tblPiNAnalysis[[Health ]], MATCH(tblPiNHistorical[[#This Row],[ID]], tblPiNAnalysis[ID], 0)), "")</f>
        <v/>
      </c>
      <c r="Y617" s="28" t="str">
        <f>IFERROR(INDEX(tblPiNAnalysis[Nutrition], MATCH(tblPiNHistorical[[#This Row],[ID]], tblPiNAnalysis[ID], 0)), "")</f>
        <v/>
      </c>
      <c r="Z617" s="28" t="str">
        <f>IFERROR(INDEX(tblPiNAnalysis[Protection], MATCH(tblPiNHistorical[[#This Row],[ID]], tblPiNAnalysis[ID], 0)), "")</f>
        <v/>
      </c>
      <c r="AA617" s="28" t="str">
        <f>IFERROR(INDEX(tblPiNAnalysis[CP], MATCH(tblPiNHistorical[[#This Row],[ID]], tblPiNAnalysis[ID], 0)), "")</f>
        <v/>
      </c>
      <c r="AB617" s="83" t="str">
        <f>IFERROR(INDEX(tblPiNAnalysis[GBV], MATCH(tblPiNHistorical[[#This Row],[ID]], tblPiNAnalysis[ID], 0)), "")</f>
        <v/>
      </c>
      <c r="AC617" s="28" t="str">
        <f>IFERROR(INDEX(tblPiNAnalysis[Mine Action], MATCH(tblPiNHistorical[[#This Row],[ID]], tblPiNAnalysis[ID], 0)), "")</f>
        <v/>
      </c>
      <c r="AD617" s="83" t="str">
        <f>IFERROR(INDEX(tblPiNAnalysis[[Shelter NFI ]], MATCH(tblPiNHistorical[[#This Row],[ID]], tblPiNAnalysis[ID], 0)), "")</f>
        <v/>
      </c>
      <c r="AE617" s="28" t="str">
        <f>IFERROR(INDEX(tblPiNAnalysis[WASH], MATCH(tblPiNHistorical[[#This Row],[ID]], tblPiNAnalysis[ID], 0)), "")</f>
        <v/>
      </c>
      <c r="AF617"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617" s="136" t="str">
        <f>IF(OR(tblPiNHistorical[[#This Row],[Education Old]]="", tblPiNHistorical[[#This Row],[Education Old]]=0, tblPiNHistorical[[#This Row],[Education New]]="", tblPiNHistorical[[#This Row],[Education New]]=0), "", tblPiNHistorical[[#This Row],[Education New]]-tblPiNHistorical[[#This Row],[Education Old]])</f>
        <v/>
      </c>
      <c r="AH617"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617" s="137" t="str">
        <f>IF(OR(tblPiNHistorical[[#This Row],[Health Old]]="", tblPiNHistorical[[#This Row],[Health Old]]=0, tblPiNHistorical[[#This Row],[Health New]]="", tblPiNHistorical[[#This Row],[Health New]]=0), "", tblPiNHistorical[[#This Row],[Health New]]-tblPiNHistorical[[#This Row],[Health Old]])</f>
        <v/>
      </c>
      <c r="AJ617" s="136" t="str">
        <f>IF(OR(tblPiNHistorical[[#This Row],[Nutrition Old]]="", tblPiNHistorical[[#This Row],[Nutrition Old]]=0, tblPiNHistorical[[#This Row],[Nutrition New]]="", tblPiNHistorical[[#This Row],[Nutrition New]]=0), "", tblPiNHistorical[[#This Row],[Nutrition New]]-tblPiNHistorical[[#This Row],[Nutrition Old]])</f>
        <v/>
      </c>
      <c r="AK617" s="136" t="str">
        <f>IF(OR(tblPiNHistorical[[#This Row],[Protection Old]]="", tblPiNHistorical[[#This Row],[Protection Old]]=0, tblPiNHistorical[[#This Row],[Protection New]]="", tblPiNHistorical[[#This Row],[Protection New]]=0), "", tblPiNHistorical[[#This Row],[Protection New]]-tblPiNHistorical[[#This Row],[Protection Old]])</f>
        <v/>
      </c>
      <c r="AL617" s="136" t="str">
        <f>IF(OR(tblPiNHistorical[[#This Row],[CP Old ]]="", tblPiNHistorical[[#This Row],[CP Old ]]=0, tblPiNHistorical[[#This Row],[CP New]]="", tblPiNHistorical[[#This Row],[CP New]]=0), "", tblPiNHistorical[[#This Row],[CP New]]-tblPiNHistorical[[#This Row],[CP Old ]])</f>
        <v/>
      </c>
      <c r="AM617" s="83" t="str">
        <f>IF(OR(tblPiNHistorical[[#This Row],[GBV Old]]="", tblPiNHistorical[[#This Row],[GBV Old]]=0, tblPiNHistorical[[#This Row],[GBV New]]="", tblPiNHistorical[[#This Row],[GBV New]]=0), "", tblPiNHistorical[[#This Row],[GBV New]]-tblPiNHistorical[[#This Row],[GBV Old]])</f>
        <v/>
      </c>
      <c r="AN617" s="83" t="str">
        <f>IF(OR(tblPiNHistorical[[#This Row],[Mine Action Old]]="", tblPiNHistorical[[#This Row],[Mine Action Old]]=0, tblPiNHistorical[[#This Row],[Mine Action New]]="", tblPiNHistorical[[#This Row],[Mine Action New]]=0), "", tblPiNHistorical[[#This Row],[Mine Action New]]-tblPiNHistorical[[#This Row],[Mine Action Old]])</f>
        <v/>
      </c>
      <c r="AO617" s="136" t="str">
        <f>IF(OR(tblPiNHistorical[[#This Row],[Shelter NFI Old]]="", tblPiNHistorical[[#This Row],[Shelter NFI Old]]=0, tblPiNHistorical[[#This Row],[Shelter NFI New]]="", tblPiNHistorical[[#This Row],[Shelter NFI New]]=0), "", tblPiNHistorical[[#This Row],[Shelter NFI New]]-tblPiNHistorical[[#This Row],[Shelter NFI Old]])</f>
        <v/>
      </c>
      <c r="AP617" s="138" t="str">
        <f>IF(OR(tblPiNHistorical[[#This Row],[WASH Old]]="", tblPiNHistorical[[#This Row],[WASH Old]]=0, tblPiNHistorical[[#This Row],[WASH New]]="", tblPiNHistorical[[#This Row],[WASH New]]=0), "", tblPiNHistorical[[#This Row],[WASH New]]-tblPiNHistorical[[#This Row],[WASH Old]])</f>
        <v/>
      </c>
      <c r="AQ617" s="139" t="str">
        <f>IFERROR(ROUND((tblPiNHistorical[[#This Row],[Site Management - New]] - tblPiNHistorical[[#This Row],[Site Management - Old]])/tblPiNHistorical[[#This Row],[Site Management - Old]], 1), "")</f>
        <v/>
      </c>
      <c r="AR617" s="140" t="str">
        <f>IFERROR(ROUND((tblPiNHistorical[[#This Row],[Education New]]-tblPiNHistorical[[#This Row],[Education Old]])/tblPiNHistorical[[#This Row],[Education Old]], 1), "")</f>
        <v/>
      </c>
      <c r="AS617" s="141" t="str">
        <f>IFERROR(ROUND((tblPiNHistorical[[#This Row],[Food Security and Livlihoods New]]-tblPiNHistorical[[#This Row],[Food Security and Livlihoods Old]])/tblPiNHistorical[[#This Row],[Food Security and Livlihoods Old]], 1), "")</f>
        <v/>
      </c>
      <c r="AT617" s="142" t="str">
        <f>IFERROR(ROUND((tblPiNHistorical[[#This Row],[Health New]]-tblPiNHistorical[[#This Row],[Health Old]])/tblPiNHistorical[[#This Row],[Health Old]], 1), "")</f>
        <v/>
      </c>
      <c r="AU617" s="140" t="str">
        <f>IFERROR(ROUND((tblPiNHistorical[[#This Row],[Nutrition New]]-tblPiNHistorical[[#This Row],[Nutrition Old]])/tblPiNHistorical[[#This Row],[Nutrition Old]], 1), "")</f>
        <v/>
      </c>
      <c r="AV617" s="140" t="str">
        <f>IFERROR(ROUND((tblPiNHistorical[[#This Row],[Protection New]]-tblPiNHistorical[[#This Row],[Protection Old]])/tblPiNHistorical[[#This Row],[Protection Old]], 1), "")</f>
        <v/>
      </c>
      <c r="AW617" s="84" t="str">
        <f>IFERROR(ROUND((tblPiNHistorical[[#This Row],[CP New]]-tblPiNHistorical[[#This Row],[CP Old ]])/tblPiNHistorical[[#This Row],[CP Old ]], 1), "")</f>
        <v/>
      </c>
      <c r="AX617" s="84" t="str">
        <f>IFERROR(ROUND((tblPiNHistorical[[#This Row],[GBV New]]-tblPiNHistorical[[#This Row],[GBV Old]])/tblPiNHistorical[[#This Row],[GBV Old]], 1), "")</f>
        <v/>
      </c>
      <c r="AY617" s="84" t="str">
        <f>IFERROR(ROUND((tblPiNHistorical[[#This Row],[Mine Action New]]-tblPiNHistorical[[#This Row],[Mine Action Old]])/tblPiNHistorical[[#This Row],[Mine Action Old]], 1), "")</f>
        <v/>
      </c>
      <c r="AZ617" s="140" t="str">
        <f>IFERROR(ROUND((tblPiNHistorical[[#This Row],[Shelter NFI New]]-tblPiNHistorical[[#This Row],[Shelter NFI Old]])/tblPiNHistorical[[#This Row],[Shelter NFI Old]], 1), "")</f>
        <v/>
      </c>
      <c r="BA617" s="31" t="str">
        <f>IFERROR(ROUND((tblPiNHistorical[[#This Row],[WASH New]]-tblPiNHistorical[[#This Row],[WASH Old]])/tblPiNHistorical[[#This Row],[WASH Old]], 1), "")</f>
        <v/>
      </c>
    </row>
    <row r="618" spans="1:53" ht="38.25" x14ac:dyDescent="0.25">
      <c r="A618"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Non-displaced PopulationSD12080</v>
      </c>
      <c r="B618" s="134" t="s">
        <v>158</v>
      </c>
      <c r="C618" s="124" t="s">
        <v>129</v>
      </c>
      <c r="D618" s="124" t="s">
        <v>458</v>
      </c>
      <c r="E618" s="59" t="s">
        <v>459</v>
      </c>
      <c r="F618" s="54"/>
      <c r="G618" s="29"/>
      <c r="H618" s="53">
        <v>49588</v>
      </c>
      <c r="I618" s="53" t="s">
        <v>89</v>
      </c>
      <c r="J618" s="34">
        <v>0</v>
      </c>
      <c r="K618" s="116">
        <v>19225.267599999999</v>
      </c>
      <c r="L618" s="114">
        <v>8917.6</v>
      </c>
      <c r="M618" s="114">
        <v>0</v>
      </c>
      <c r="N618" s="114">
        <v>49690</v>
      </c>
      <c r="O618" s="114">
        <v>5454.68</v>
      </c>
      <c r="P618" s="114">
        <v>5455</v>
      </c>
      <c r="Q618" s="114">
        <v>3925</v>
      </c>
      <c r="R618" s="114">
        <v>0</v>
      </c>
      <c r="S618" s="114">
        <v>9918</v>
      </c>
      <c r="T618" s="196">
        <v>21545.986000000004</v>
      </c>
      <c r="U618" s="52" t="str">
        <f>IFERROR(INDEX(tblPiNAnalysis[[Site Management ]], MATCH(tblPiNHistorical[[#This Row],[ID]], tblPiNAnalysis[ID], 0)), "")</f>
        <v/>
      </c>
      <c r="V618" s="52" t="str">
        <f>IFERROR(INDEX(tblPiNAnalysis[Education], MATCH(tblPiNHistorical[[#This Row],[ID]], tblPiNAnalysis[ID], 0)), "")</f>
        <v/>
      </c>
      <c r="W618" s="28" t="str">
        <f>IFERROR(INDEX(tblPiNAnalysis[Food Security and Livlihoods], MATCH(tblPiNHistorical[[#This Row],[ID]], tblPiNAnalysis[ID], 0)), "")</f>
        <v/>
      </c>
      <c r="X618" s="28" t="str">
        <f>IFERROR(INDEX(tblPiNAnalysis[[Health ]], MATCH(tblPiNHistorical[[#This Row],[ID]], tblPiNAnalysis[ID], 0)), "")</f>
        <v/>
      </c>
      <c r="Y618" s="28" t="str">
        <f>IFERROR(INDEX(tblPiNAnalysis[Nutrition], MATCH(tblPiNHistorical[[#This Row],[ID]], tblPiNAnalysis[ID], 0)), "")</f>
        <v/>
      </c>
      <c r="Z618" s="28" t="str">
        <f>IFERROR(INDEX(tblPiNAnalysis[Protection], MATCH(tblPiNHistorical[[#This Row],[ID]], tblPiNAnalysis[ID], 0)), "")</f>
        <v/>
      </c>
      <c r="AA618" s="28" t="str">
        <f>IFERROR(INDEX(tblPiNAnalysis[CP], MATCH(tblPiNHistorical[[#This Row],[ID]], tblPiNAnalysis[ID], 0)), "")</f>
        <v/>
      </c>
      <c r="AB618" s="83" t="str">
        <f>IFERROR(INDEX(tblPiNAnalysis[GBV], MATCH(tblPiNHistorical[[#This Row],[ID]], tblPiNAnalysis[ID], 0)), "")</f>
        <v/>
      </c>
      <c r="AC618" s="28" t="str">
        <f>IFERROR(INDEX(tblPiNAnalysis[Mine Action], MATCH(tblPiNHistorical[[#This Row],[ID]], tblPiNAnalysis[ID], 0)), "")</f>
        <v/>
      </c>
      <c r="AD618" s="83" t="str">
        <f>IFERROR(INDEX(tblPiNAnalysis[[Shelter NFI ]], MATCH(tblPiNHistorical[[#This Row],[ID]], tblPiNAnalysis[ID], 0)), "")</f>
        <v/>
      </c>
      <c r="AE618" s="28" t="str">
        <f>IFERROR(INDEX(tblPiNAnalysis[WASH], MATCH(tblPiNHistorical[[#This Row],[ID]], tblPiNAnalysis[ID], 0)), "")</f>
        <v/>
      </c>
      <c r="AF618"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618" s="136" t="str">
        <f>IF(OR(tblPiNHistorical[[#This Row],[Education Old]]="", tblPiNHistorical[[#This Row],[Education Old]]=0, tblPiNHistorical[[#This Row],[Education New]]="", tblPiNHistorical[[#This Row],[Education New]]=0), "", tblPiNHistorical[[#This Row],[Education New]]-tblPiNHistorical[[#This Row],[Education Old]])</f>
        <v/>
      </c>
      <c r="AH618"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618" s="137" t="str">
        <f>IF(OR(tblPiNHistorical[[#This Row],[Health Old]]="", tblPiNHistorical[[#This Row],[Health Old]]=0, tblPiNHistorical[[#This Row],[Health New]]="", tblPiNHistorical[[#This Row],[Health New]]=0), "", tblPiNHistorical[[#This Row],[Health New]]-tblPiNHistorical[[#This Row],[Health Old]])</f>
        <v/>
      </c>
      <c r="AJ618" s="136" t="str">
        <f>IF(OR(tblPiNHistorical[[#This Row],[Nutrition Old]]="", tblPiNHistorical[[#This Row],[Nutrition Old]]=0, tblPiNHistorical[[#This Row],[Nutrition New]]="", tblPiNHistorical[[#This Row],[Nutrition New]]=0), "", tblPiNHistorical[[#This Row],[Nutrition New]]-tblPiNHistorical[[#This Row],[Nutrition Old]])</f>
        <v/>
      </c>
      <c r="AK618" s="136" t="str">
        <f>IF(OR(tblPiNHistorical[[#This Row],[Protection Old]]="", tblPiNHistorical[[#This Row],[Protection Old]]=0, tblPiNHistorical[[#This Row],[Protection New]]="", tblPiNHistorical[[#This Row],[Protection New]]=0), "", tblPiNHistorical[[#This Row],[Protection New]]-tblPiNHistorical[[#This Row],[Protection Old]])</f>
        <v/>
      </c>
      <c r="AL618" s="136" t="str">
        <f>IF(OR(tblPiNHistorical[[#This Row],[CP Old ]]="", tblPiNHistorical[[#This Row],[CP Old ]]=0, tblPiNHistorical[[#This Row],[CP New]]="", tblPiNHistorical[[#This Row],[CP New]]=0), "", tblPiNHistorical[[#This Row],[CP New]]-tblPiNHistorical[[#This Row],[CP Old ]])</f>
        <v/>
      </c>
      <c r="AM618" s="83" t="str">
        <f>IF(OR(tblPiNHistorical[[#This Row],[GBV Old]]="", tblPiNHistorical[[#This Row],[GBV Old]]=0, tblPiNHistorical[[#This Row],[GBV New]]="", tblPiNHistorical[[#This Row],[GBV New]]=0), "", tblPiNHistorical[[#This Row],[GBV New]]-tblPiNHistorical[[#This Row],[GBV Old]])</f>
        <v/>
      </c>
      <c r="AN618" s="83" t="str">
        <f>IF(OR(tblPiNHistorical[[#This Row],[Mine Action Old]]="", tblPiNHistorical[[#This Row],[Mine Action Old]]=0, tblPiNHistorical[[#This Row],[Mine Action New]]="", tblPiNHistorical[[#This Row],[Mine Action New]]=0), "", tblPiNHistorical[[#This Row],[Mine Action New]]-tblPiNHistorical[[#This Row],[Mine Action Old]])</f>
        <v/>
      </c>
      <c r="AO618" s="136" t="str">
        <f>IF(OR(tblPiNHistorical[[#This Row],[Shelter NFI Old]]="", tblPiNHistorical[[#This Row],[Shelter NFI Old]]=0, tblPiNHistorical[[#This Row],[Shelter NFI New]]="", tblPiNHistorical[[#This Row],[Shelter NFI New]]=0), "", tblPiNHistorical[[#This Row],[Shelter NFI New]]-tblPiNHistorical[[#This Row],[Shelter NFI Old]])</f>
        <v/>
      </c>
      <c r="AP618" s="138" t="str">
        <f>IF(OR(tblPiNHistorical[[#This Row],[WASH Old]]="", tblPiNHistorical[[#This Row],[WASH Old]]=0, tblPiNHistorical[[#This Row],[WASH New]]="", tblPiNHistorical[[#This Row],[WASH New]]=0), "", tblPiNHistorical[[#This Row],[WASH New]]-tblPiNHistorical[[#This Row],[WASH Old]])</f>
        <v/>
      </c>
      <c r="AQ618" s="139" t="str">
        <f>IFERROR(ROUND((tblPiNHistorical[[#This Row],[Site Management - New]] - tblPiNHistorical[[#This Row],[Site Management - Old]])/tblPiNHistorical[[#This Row],[Site Management - Old]], 1), "")</f>
        <v/>
      </c>
      <c r="AR618" s="140" t="str">
        <f>IFERROR(ROUND((tblPiNHistorical[[#This Row],[Education New]]-tblPiNHistorical[[#This Row],[Education Old]])/tblPiNHistorical[[#This Row],[Education Old]], 1), "")</f>
        <v/>
      </c>
      <c r="AS618" s="141" t="str">
        <f>IFERROR(ROUND((tblPiNHistorical[[#This Row],[Food Security and Livlihoods New]]-tblPiNHistorical[[#This Row],[Food Security and Livlihoods Old]])/tblPiNHistorical[[#This Row],[Food Security and Livlihoods Old]], 1), "")</f>
        <v/>
      </c>
      <c r="AT618" s="142" t="str">
        <f>IFERROR(ROUND((tblPiNHistorical[[#This Row],[Health New]]-tblPiNHistorical[[#This Row],[Health Old]])/tblPiNHistorical[[#This Row],[Health Old]], 1), "")</f>
        <v/>
      </c>
      <c r="AU618" s="140" t="str">
        <f>IFERROR(ROUND((tblPiNHistorical[[#This Row],[Nutrition New]]-tblPiNHistorical[[#This Row],[Nutrition Old]])/tblPiNHistorical[[#This Row],[Nutrition Old]], 1), "")</f>
        <v/>
      </c>
      <c r="AV618" s="140" t="str">
        <f>IFERROR(ROUND((tblPiNHistorical[[#This Row],[Protection New]]-tblPiNHistorical[[#This Row],[Protection Old]])/tblPiNHistorical[[#This Row],[Protection Old]], 1), "")</f>
        <v/>
      </c>
      <c r="AW618" s="84" t="str">
        <f>IFERROR(ROUND((tblPiNHistorical[[#This Row],[CP New]]-tblPiNHistorical[[#This Row],[CP Old ]])/tblPiNHistorical[[#This Row],[CP Old ]], 1), "")</f>
        <v/>
      </c>
      <c r="AX618" s="84" t="str">
        <f>IFERROR(ROUND((tblPiNHistorical[[#This Row],[GBV New]]-tblPiNHistorical[[#This Row],[GBV Old]])/tblPiNHistorical[[#This Row],[GBV Old]], 1), "")</f>
        <v/>
      </c>
      <c r="AY618" s="84" t="str">
        <f>IFERROR(ROUND((tblPiNHistorical[[#This Row],[Mine Action New]]-tblPiNHistorical[[#This Row],[Mine Action Old]])/tblPiNHistorical[[#This Row],[Mine Action Old]], 1), "")</f>
        <v/>
      </c>
      <c r="AZ618" s="140" t="str">
        <f>IFERROR(ROUND((tblPiNHistorical[[#This Row],[Shelter NFI New]]-tblPiNHistorical[[#This Row],[Shelter NFI Old]])/tblPiNHistorical[[#This Row],[Shelter NFI Old]], 1), "")</f>
        <v/>
      </c>
      <c r="BA618" s="31" t="str">
        <f>IFERROR(ROUND((tblPiNHistorical[[#This Row],[WASH New]]-tblPiNHistorical[[#This Row],[WASH Old]])/tblPiNHistorical[[#This Row],[WASH Old]], 1), "")</f>
        <v/>
      </c>
    </row>
    <row r="619" spans="1:53" ht="38.25" x14ac:dyDescent="0.25">
      <c r="A619"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Non-displaced PopulationSD12081</v>
      </c>
      <c r="B619" s="134" t="s">
        <v>158</v>
      </c>
      <c r="C619" s="124" t="s">
        <v>129</v>
      </c>
      <c r="D619" s="124" t="s">
        <v>460</v>
      </c>
      <c r="E619" s="59" t="s">
        <v>461</v>
      </c>
      <c r="F619" s="54"/>
      <c r="G619" s="29"/>
      <c r="H619" s="53">
        <v>35318</v>
      </c>
      <c r="I619" s="53" t="s">
        <v>89</v>
      </c>
      <c r="J619" s="34">
        <v>0</v>
      </c>
      <c r="K619" s="116">
        <v>0</v>
      </c>
      <c r="L619" s="114">
        <v>10595.4</v>
      </c>
      <c r="M619" s="114">
        <v>0</v>
      </c>
      <c r="N619" s="114">
        <v>10439</v>
      </c>
      <c r="O619" s="114">
        <v>3884.9800000000005</v>
      </c>
      <c r="P619" s="114">
        <v>3885</v>
      </c>
      <c r="Q619" s="114">
        <v>2797</v>
      </c>
      <c r="R619" s="114">
        <v>0</v>
      </c>
      <c r="S619" s="114">
        <v>0</v>
      </c>
      <c r="T619" s="196">
        <v>21724.1018</v>
      </c>
      <c r="U619" s="52" t="str">
        <f>IFERROR(INDEX(tblPiNAnalysis[[Site Management ]], MATCH(tblPiNHistorical[[#This Row],[ID]], tblPiNAnalysis[ID], 0)), "")</f>
        <v/>
      </c>
      <c r="V619" s="52" t="str">
        <f>IFERROR(INDEX(tblPiNAnalysis[Education], MATCH(tblPiNHistorical[[#This Row],[ID]], tblPiNAnalysis[ID], 0)), "")</f>
        <v/>
      </c>
      <c r="W619" s="28" t="str">
        <f>IFERROR(INDEX(tblPiNAnalysis[Food Security and Livlihoods], MATCH(tblPiNHistorical[[#This Row],[ID]], tblPiNAnalysis[ID], 0)), "")</f>
        <v/>
      </c>
      <c r="X619" s="28" t="str">
        <f>IFERROR(INDEX(tblPiNAnalysis[[Health ]], MATCH(tblPiNHistorical[[#This Row],[ID]], tblPiNAnalysis[ID], 0)), "")</f>
        <v/>
      </c>
      <c r="Y619" s="28" t="str">
        <f>IFERROR(INDEX(tblPiNAnalysis[Nutrition], MATCH(tblPiNHistorical[[#This Row],[ID]], tblPiNAnalysis[ID], 0)), "")</f>
        <v/>
      </c>
      <c r="Z619" s="28" t="str">
        <f>IFERROR(INDEX(tblPiNAnalysis[Protection], MATCH(tblPiNHistorical[[#This Row],[ID]], tblPiNAnalysis[ID], 0)), "")</f>
        <v/>
      </c>
      <c r="AA619" s="28" t="str">
        <f>IFERROR(INDEX(tblPiNAnalysis[CP], MATCH(tblPiNHistorical[[#This Row],[ID]], tblPiNAnalysis[ID], 0)), "")</f>
        <v/>
      </c>
      <c r="AB619" s="83" t="str">
        <f>IFERROR(INDEX(tblPiNAnalysis[GBV], MATCH(tblPiNHistorical[[#This Row],[ID]], tblPiNAnalysis[ID], 0)), "")</f>
        <v/>
      </c>
      <c r="AC619" s="28" t="str">
        <f>IFERROR(INDEX(tblPiNAnalysis[Mine Action], MATCH(tblPiNHistorical[[#This Row],[ID]], tblPiNAnalysis[ID], 0)), "")</f>
        <v/>
      </c>
      <c r="AD619" s="83" t="str">
        <f>IFERROR(INDEX(tblPiNAnalysis[[Shelter NFI ]], MATCH(tblPiNHistorical[[#This Row],[ID]], tblPiNAnalysis[ID], 0)), "")</f>
        <v/>
      </c>
      <c r="AE619" s="28" t="str">
        <f>IFERROR(INDEX(tblPiNAnalysis[WASH], MATCH(tblPiNHistorical[[#This Row],[ID]], tblPiNAnalysis[ID], 0)), "")</f>
        <v/>
      </c>
      <c r="AF619"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619" s="136" t="str">
        <f>IF(OR(tblPiNHistorical[[#This Row],[Education Old]]="", tblPiNHistorical[[#This Row],[Education Old]]=0, tblPiNHistorical[[#This Row],[Education New]]="", tblPiNHistorical[[#This Row],[Education New]]=0), "", tblPiNHistorical[[#This Row],[Education New]]-tblPiNHistorical[[#This Row],[Education Old]])</f>
        <v/>
      </c>
      <c r="AH619"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619" s="137" t="str">
        <f>IF(OR(tblPiNHistorical[[#This Row],[Health Old]]="", tblPiNHistorical[[#This Row],[Health Old]]=0, tblPiNHistorical[[#This Row],[Health New]]="", tblPiNHistorical[[#This Row],[Health New]]=0), "", tblPiNHistorical[[#This Row],[Health New]]-tblPiNHistorical[[#This Row],[Health Old]])</f>
        <v/>
      </c>
      <c r="AJ619" s="136" t="str">
        <f>IF(OR(tblPiNHistorical[[#This Row],[Nutrition Old]]="", tblPiNHistorical[[#This Row],[Nutrition Old]]=0, tblPiNHistorical[[#This Row],[Nutrition New]]="", tblPiNHistorical[[#This Row],[Nutrition New]]=0), "", tblPiNHistorical[[#This Row],[Nutrition New]]-tblPiNHistorical[[#This Row],[Nutrition Old]])</f>
        <v/>
      </c>
      <c r="AK619" s="136" t="str">
        <f>IF(OR(tblPiNHistorical[[#This Row],[Protection Old]]="", tblPiNHistorical[[#This Row],[Protection Old]]=0, tblPiNHistorical[[#This Row],[Protection New]]="", tblPiNHistorical[[#This Row],[Protection New]]=0), "", tblPiNHistorical[[#This Row],[Protection New]]-tblPiNHistorical[[#This Row],[Protection Old]])</f>
        <v/>
      </c>
      <c r="AL619" s="136" t="str">
        <f>IF(OR(tblPiNHistorical[[#This Row],[CP Old ]]="", tblPiNHistorical[[#This Row],[CP Old ]]=0, tblPiNHistorical[[#This Row],[CP New]]="", tblPiNHistorical[[#This Row],[CP New]]=0), "", tblPiNHistorical[[#This Row],[CP New]]-tblPiNHistorical[[#This Row],[CP Old ]])</f>
        <v/>
      </c>
      <c r="AM619" s="83" t="str">
        <f>IF(OR(tblPiNHistorical[[#This Row],[GBV Old]]="", tblPiNHistorical[[#This Row],[GBV Old]]=0, tblPiNHistorical[[#This Row],[GBV New]]="", tblPiNHistorical[[#This Row],[GBV New]]=0), "", tblPiNHistorical[[#This Row],[GBV New]]-tblPiNHistorical[[#This Row],[GBV Old]])</f>
        <v/>
      </c>
      <c r="AN619" s="83" t="str">
        <f>IF(OR(tblPiNHistorical[[#This Row],[Mine Action Old]]="", tblPiNHistorical[[#This Row],[Mine Action Old]]=0, tblPiNHistorical[[#This Row],[Mine Action New]]="", tblPiNHistorical[[#This Row],[Mine Action New]]=0), "", tblPiNHistorical[[#This Row],[Mine Action New]]-tblPiNHistorical[[#This Row],[Mine Action Old]])</f>
        <v/>
      </c>
      <c r="AO619" s="136" t="str">
        <f>IF(OR(tblPiNHistorical[[#This Row],[Shelter NFI Old]]="", tblPiNHistorical[[#This Row],[Shelter NFI Old]]=0, tblPiNHistorical[[#This Row],[Shelter NFI New]]="", tblPiNHistorical[[#This Row],[Shelter NFI New]]=0), "", tblPiNHistorical[[#This Row],[Shelter NFI New]]-tblPiNHistorical[[#This Row],[Shelter NFI Old]])</f>
        <v/>
      </c>
      <c r="AP619" s="138" t="str">
        <f>IF(OR(tblPiNHistorical[[#This Row],[WASH Old]]="", tblPiNHistorical[[#This Row],[WASH Old]]=0, tblPiNHistorical[[#This Row],[WASH New]]="", tblPiNHistorical[[#This Row],[WASH New]]=0), "", tblPiNHistorical[[#This Row],[WASH New]]-tblPiNHistorical[[#This Row],[WASH Old]])</f>
        <v/>
      </c>
      <c r="AQ619" s="139" t="str">
        <f>IFERROR(ROUND((tblPiNHistorical[[#This Row],[Site Management - New]] - tblPiNHistorical[[#This Row],[Site Management - Old]])/tblPiNHistorical[[#This Row],[Site Management - Old]], 1), "")</f>
        <v/>
      </c>
      <c r="AR619" s="140" t="str">
        <f>IFERROR(ROUND((tblPiNHistorical[[#This Row],[Education New]]-tblPiNHistorical[[#This Row],[Education Old]])/tblPiNHistorical[[#This Row],[Education Old]], 1), "")</f>
        <v/>
      </c>
      <c r="AS619" s="141" t="str">
        <f>IFERROR(ROUND((tblPiNHistorical[[#This Row],[Food Security and Livlihoods New]]-tblPiNHistorical[[#This Row],[Food Security and Livlihoods Old]])/tblPiNHistorical[[#This Row],[Food Security and Livlihoods Old]], 1), "")</f>
        <v/>
      </c>
      <c r="AT619" s="142" t="str">
        <f>IFERROR(ROUND((tblPiNHistorical[[#This Row],[Health New]]-tblPiNHistorical[[#This Row],[Health Old]])/tblPiNHistorical[[#This Row],[Health Old]], 1), "")</f>
        <v/>
      </c>
      <c r="AU619" s="140" t="str">
        <f>IFERROR(ROUND((tblPiNHistorical[[#This Row],[Nutrition New]]-tblPiNHistorical[[#This Row],[Nutrition Old]])/tblPiNHistorical[[#This Row],[Nutrition Old]], 1), "")</f>
        <v/>
      </c>
      <c r="AV619" s="140" t="str">
        <f>IFERROR(ROUND((tblPiNHistorical[[#This Row],[Protection New]]-tblPiNHistorical[[#This Row],[Protection Old]])/tblPiNHistorical[[#This Row],[Protection Old]], 1), "")</f>
        <v/>
      </c>
      <c r="AW619" s="84" t="str">
        <f>IFERROR(ROUND((tblPiNHistorical[[#This Row],[CP New]]-tblPiNHistorical[[#This Row],[CP Old ]])/tblPiNHistorical[[#This Row],[CP Old ]], 1), "")</f>
        <v/>
      </c>
      <c r="AX619" s="84" t="str">
        <f>IFERROR(ROUND((tblPiNHistorical[[#This Row],[GBV New]]-tblPiNHistorical[[#This Row],[GBV Old]])/tblPiNHistorical[[#This Row],[GBV Old]], 1), "")</f>
        <v/>
      </c>
      <c r="AY619" s="84" t="str">
        <f>IFERROR(ROUND((tblPiNHistorical[[#This Row],[Mine Action New]]-tblPiNHistorical[[#This Row],[Mine Action Old]])/tblPiNHistorical[[#This Row],[Mine Action Old]], 1), "")</f>
        <v/>
      </c>
      <c r="AZ619" s="140" t="str">
        <f>IFERROR(ROUND((tblPiNHistorical[[#This Row],[Shelter NFI New]]-tblPiNHistorical[[#This Row],[Shelter NFI Old]])/tblPiNHistorical[[#This Row],[Shelter NFI Old]], 1), "")</f>
        <v/>
      </c>
      <c r="BA619" s="31" t="str">
        <f>IFERROR(ROUND((tblPiNHistorical[[#This Row],[WASH New]]-tblPiNHistorical[[#This Row],[WASH Old]])/tblPiNHistorical[[#This Row],[WASH Old]], 1), "")</f>
        <v/>
      </c>
    </row>
    <row r="620" spans="1:53" ht="38.25" x14ac:dyDescent="0.25">
      <c r="A620"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Non-displaced PopulationSD11052</v>
      </c>
      <c r="B620" s="134" t="s">
        <v>161</v>
      </c>
      <c r="C620" s="124" t="s">
        <v>128</v>
      </c>
      <c r="D620" s="124" t="s">
        <v>422</v>
      </c>
      <c r="E620" s="59" t="s">
        <v>423</v>
      </c>
      <c r="F620" s="54"/>
      <c r="G620" s="29"/>
      <c r="H620" s="53">
        <v>124438</v>
      </c>
      <c r="I620" s="53" t="s">
        <v>89</v>
      </c>
      <c r="J620" s="34">
        <v>0</v>
      </c>
      <c r="K620" s="116">
        <v>48244.6126</v>
      </c>
      <c r="L620" s="114">
        <v>52997.1</v>
      </c>
      <c r="M620" s="114">
        <v>0</v>
      </c>
      <c r="N620" s="114">
        <v>16456</v>
      </c>
      <c r="O620" s="114">
        <v>13688.180000000002</v>
      </c>
      <c r="P620" s="114">
        <v>13688</v>
      </c>
      <c r="Q620" s="114">
        <v>9851</v>
      </c>
      <c r="R620" s="114">
        <v>0</v>
      </c>
      <c r="S620" s="114">
        <v>24888</v>
      </c>
      <c r="T620" s="196">
        <v>74538.361999999994</v>
      </c>
      <c r="U620" s="52" t="str">
        <f>IFERROR(INDEX(tblPiNAnalysis[[Site Management ]], MATCH(tblPiNHistorical[[#This Row],[ID]], tblPiNAnalysis[ID], 0)), "")</f>
        <v/>
      </c>
      <c r="V620" s="52" t="str">
        <f>IFERROR(INDEX(tblPiNAnalysis[Education], MATCH(tblPiNHistorical[[#This Row],[ID]], tblPiNAnalysis[ID], 0)), "")</f>
        <v/>
      </c>
      <c r="W620" s="28" t="str">
        <f>IFERROR(INDEX(tblPiNAnalysis[Food Security and Livlihoods], MATCH(tblPiNHistorical[[#This Row],[ID]], tblPiNAnalysis[ID], 0)), "")</f>
        <v/>
      </c>
      <c r="X620" s="28" t="str">
        <f>IFERROR(INDEX(tblPiNAnalysis[[Health ]], MATCH(tblPiNHistorical[[#This Row],[ID]], tblPiNAnalysis[ID], 0)), "")</f>
        <v/>
      </c>
      <c r="Y620" s="28" t="str">
        <f>IFERROR(INDEX(tblPiNAnalysis[Nutrition], MATCH(tblPiNHistorical[[#This Row],[ID]], tblPiNAnalysis[ID], 0)), "")</f>
        <v/>
      </c>
      <c r="Z620" s="28" t="str">
        <f>IFERROR(INDEX(tblPiNAnalysis[Protection], MATCH(tblPiNHistorical[[#This Row],[ID]], tblPiNAnalysis[ID], 0)), "")</f>
        <v/>
      </c>
      <c r="AA620" s="28" t="str">
        <f>IFERROR(INDEX(tblPiNAnalysis[CP], MATCH(tblPiNHistorical[[#This Row],[ID]], tblPiNAnalysis[ID], 0)), "")</f>
        <v/>
      </c>
      <c r="AB620" s="83" t="str">
        <f>IFERROR(INDEX(tblPiNAnalysis[GBV], MATCH(tblPiNHistorical[[#This Row],[ID]], tblPiNAnalysis[ID], 0)), "")</f>
        <v/>
      </c>
      <c r="AC620" s="28" t="str">
        <f>IFERROR(INDEX(tblPiNAnalysis[Mine Action], MATCH(tblPiNHistorical[[#This Row],[ID]], tblPiNAnalysis[ID], 0)), "")</f>
        <v/>
      </c>
      <c r="AD620" s="83" t="str">
        <f>IFERROR(INDEX(tblPiNAnalysis[[Shelter NFI ]], MATCH(tblPiNHistorical[[#This Row],[ID]], tblPiNAnalysis[ID], 0)), "")</f>
        <v/>
      </c>
      <c r="AE620" s="28" t="str">
        <f>IFERROR(INDEX(tblPiNAnalysis[WASH], MATCH(tblPiNHistorical[[#This Row],[ID]], tblPiNAnalysis[ID], 0)), "")</f>
        <v/>
      </c>
      <c r="AF620"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620" s="136" t="str">
        <f>IF(OR(tblPiNHistorical[[#This Row],[Education Old]]="", tblPiNHistorical[[#This Row],[Education Old]]=0, tblPiNHistorical[[#This Row],[Education New]]="", tblPiNHistorical[[#This Row],[Education New]]=0), "", tblPiNHistorical[[#This Row],[Education New]]-tblPiNHistorical[[#This Row],[Education Old]])</f>
        <v/>
      </c>
      <c r="AH620"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620" s="137" t="str">
        <f>IF(OR(tblPiNHistorical[[#This Row],[Health Old]]="", tblPiNHistorical[[#This Row],[Health Old]]=0, tblPiNHistorical[[#This Row],[Health New]]="", tblPiNHistorical[[#This Row],[Health New]]=0), "", tblPiNHistorical[[#This Row],[Health New]]-tblPiNHistorical[[#This Row],[Health Old]])</f>
        <v/>
      </c>
      <c r="AJ620" s="136" t="str">
        <f>IF(OR(tblPiNHistorical[[#This Row],[Nutrition Old]]="", tblPiNHistorical[[#This Row],[Nutrition Old]]=0, tblPiNHistorical[[#This Row],[Nutrition New]]="", tblPiNHistorical[[#This Row],[Nutrition New]]=0), "", tblPiNHistorical[[#This Row],[Nutrition New]]-tblPiNHistorical[[#This Row],[Nutrition Old]])</f>
        <v/>
      </c>
      <c r="AK620" s="136" t="str">
        <f>IF(OR(tblPiNHistorical[[#This Row],[Protection Old]]="", tblPiNHistorical[[#This Row],[Protection Old]]=0, tblPiNHistorical[[#This Row],[Protection New]]="", tblPiNHistorical[[#This Row],[Protection New]]=0), "", tblPiNHistorical[[#This Row],[Protection New]]-tblPiNHistorical[[#This Row],[Protection Old]])</f>
        <v/>
      </c>
      <c r="AL620" s="136" t="str">
        <f>IF(OR(tblPiNHistorical[[#This Row],[CP Old ]]="", tblPiNHistorical[[#This Row],[CP Old ]]=0, tblPiNHistorical[[#This Row],[CP New]]="", tblPiNHistorical[[#This Row],[CP New]]=0), "", tblPiNHistorical[[#This Row],[CP New]]-tblPiNHistorical[[#This Row],[CP Old ]])</f>
        <v/>
      </c>
      <c r="AM620" s="83" t="str">
        <f>IF(OR(tblPiNHistorical[[#This Row],[GBV Old]]="", tblPiNHistorical[[#This Row],[GBV Old]]=0, tblPiNHistorical[[#This Row],[GBV New]]="", tblPiNHistorical[[#This Row],[GBV New]]=0), "", tblPiNHistorical[[#This Row],[GBV New]]-tblPiNHistorical[[#This Row],[GBV Old]])</f>
        <v/>
      </c>
      <c r="AN620" s="83" t="str">
        <f>IF(OR(tblPiNHistorical[[#This Row],[Mine Action Old]]="", tblPiNHistorical[[#This Row],[Mine Action Old]]=0, tblPiNHistorical[[#This Row],[Mine Action New]]="", tblPiNHistorical[[#This Row],[Mine Action New]]=0), "", tblPiNHistorical[[#This Row],[Mine Action New]]-tblPiNHistorical[[#This Row],[Mine Action Old]])</f>
        <v/>
      </c>
      <c r="AO620" s="136" t="str">
        <f>IF(OR(tblPiNHistorical[[#This Row],[Shelter NFI Old]]="", tblPiNHistorical[[#This Row],[Shelter NFI Old]]=0, tblPiNHistorical[[#This Row],[Shelter NFI New]]="", tblPiNHistorical[[#This Row],[Shelter NFI New]]=0), "", tblPiNHistorical[[#This Row],[Shelter NFI New]]-tblPiNHistorical[[#This Row],[Shelter NFI Old]])</f>
        <v/>
      </c>
      <c r="AP620" s="138" t="str">
        <f>IF(OR(tblPiNHistorical[[#This Row],[WASH Old]]="", tblPiNHistorical[[#This Row],[WASH Old]]=0, tblPiNHistorical[[#This Row],[WASH New]]="", tblPiNHistorical[[#This Row],[WASH New]]=0), "", tblPiNHistorical[[#This Row],[WASH New]]-tblPiNHistorical[[#This Row],[WASH Old]])</f>
        <v/>
      </c>
      <c r="AQ620" s="139" t="str">
        <f>IFERROR(ROUND((tblPiNHistorical[[#This Row],[Site Management - New]] - tblPiNHistorical[[#This Row],[Site Management - Old]])/tblPiNHistorical[[#This Row],[Site Management - Old]], 1), "")</f>
        <v/>
      </c>
      <c r="AR620" s="140" t="str">
        <f>IFERROR(ROUND((tblPiNHistorical[[#This Row],[Education New]]-tblPiNHistorical[[#This Row],[Education Old]])/tblPiNHistorical[[#This Row],[Education Old]], 1), "")</f>
        <v/>
      </c>
      <c r="AS620" s="141" t="str">
        <f>IFERROR(ROUND((tblPiNHistorical[[#This Row],[Food Security and Livlihoods New]]-tblPiNHistorical[[#This Row],[Food Security and Livlihoods Old]])/tblPiNHistorical[[#This Row],[Food Security and Livlihoods Old]], 1), "")</f>
        <v/>
      </c>
      <c r="AT620" s="142" t="str">
        <f>IFERROR(ROUND((tblPiNHistorical[[#This Row],[Health New]]-tblPiNHistorical[[#This Row],[Health Old]])/tblPiNHistorical[[#This Row],[Health Old]], 1), "")</f>
        <v/>
      </c>
      <c r="AU620" s="140" t="str">
        <f>IFERROR(ROUND((tblPiNHistorical[[#This Row],[Nutrition New]]-tblPiNHistorical[[#This Row],[Nutrition Old]])/tblPiNHistorical[[#This Row],[Nutrition Old]], 1), "")</f>
        <v/>
      </c>
      <c r="AV620" s="140" t="str">
        <f>IFERROR(ROUND((tblPiNHistorical[[#This Row],[Protection New]]-tblPiNHistorical[[#This Row],[Protection Old]])/tblPiNHistorical[[#This Row],[Protection Old]], 1), "")</f>
        <v/>
      </c>
      <c r="AW620" s="84" t="str">
        <f>IFERROR(ROUND((tblPiNHistorical[[#This Row],[CP New]]-tblPiNHistorical[[#This Row],[CP Old ]])/tblPiNHistorical[[#This Row],[CP Old ]], 1), "")</f>
        <v/>
      </c>
      <c r="AX620" s="84" t="str">
        <f>IFERROR(ROUND((tblPiNHistorical[[#This Row],[GBV New]]-tblPiNHistorical[[#This Row],[GBV Old]])/tblPiNHistorical[[#This Row],[GBV Old]], 1), "")</f>
        <v/>
      </c>
      <c r="AY620" s="84" t="str">
        <f>IFERROR(ROUND((tblPiNHistorical[[#This Row],[Mine Action New]]-tblPiNHistorical[[#This Row],[Mine Action Old]])/tblPiNHistorical[[#This Row],[Mine Action Old]], 1), "")</f>
        <v/>
      </c>
      <c r="AZ620" s="140" t="str">
        <f>IFERROR(ROUND((tblPiNHistorical[[#This Row],[Shelter NFI New]]-tblPiNHistorical[[#This Row],[Shelter NFI Old]])/tblPiNHistorical[[#This Row],[Shelter NFI Old]], 1), "")</f>
        <v/>
      </c>
      <c r="BA620" s="31" t="str">
        <f>IFERROR(ROUND((tblPiNHistorical[[#This Row],[WASH New]]-tblPiNHistorical[[#This Row],[WASH Old]])/tblPiNHistorical[[#This Row],[WASH Old]], 1), "")</f>
        <v/>
      </c>
    </row>
    <row r="621" spans="1:53" ht="38.25" x14ac:dyDescent="0.25">
      <c r="A621"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Non-displaced PopulationSD11053</v>
      </c>
      <c r="B621" s="134" t="s">
        <v>161</v>
      </c>
      <c r="C621" s="124" t="s">
        <v>128</v>
      </c>
      <c r="D621" s="124" t="s">
        <v>424</v>
      </c>
      <c r="E621" s="59" t="s">
        <v>425</v>
      </c>
      <c r="F621" s="54"/>
      <c r="G621" s="29"/>
      <c r="H621" s="53">
        <v>180485</v>
      </c>
      <c r="I621" s="53" t="s">
        <v>89</v>
      </c>
      <c r="J621" s="34">
        <v>0</v>
      </c>
      <c r="K621" s="116">
        <v>69974.034499999994</v>
      </c>
      <c r="L621" s="114">
        <v>75218.25</v>
      </c>
      <c r="M621" s="114">
        <v>0</v>
      </c>
      <c r="N621" s="114">
        <v>47449</v>
      </c>
      <c r="O621" s="114">
        <v>19853.350000000006</v>
      </c>
      <c r="P621" s="114">
        <v>19853</v>
      </c>
      <c r="Q621" s="114">
        <v>14288</v>
      </c>
      <c r="R621" s="114">
        <v>0</v>
      </c>
      <c r="S621" s="114">
        <v>36097</v>
      </c>
      <c r="T621" s="196">
        <v>0</v>
      </c>
      <c r="U621" s="52" t="str">
        <f>IFERROR(INDEX(tblPiNAnalysis[[Site Management ]], MATCH(tblPiNHistorical[[#This Row],[ID]], tblPiNAnalysis[ID], 0)), "")</f>
        <v/>
      </c>
      <c r="V621" s="52" t="str">
        <f>IFERROR(INDEX(tblPiNAnalysis[Education], MATCH(tblPiNHistorical[[#This Row],[ID]], tblPiNAnalysis[ID], 0)), "")</f>
        <v/>
      </c>
      <c r="W621" s="28" t="str">
        <f>IFERROR(INDEX(tblPiNAnalysis[Food Security and Livlihoods], MATCH(tblPiNHistorical[[#This Row],[ID]], tblPiNAnalysis[ID], 0)), "")</f>
        <v/>
      </c>
      <c r="X621" s="28" t="str">
        <f>IFERROR(INDEX(tblPiNAnalysis[[Health ]], MATCH(tblPiNHistorical[[#This Row],[ID]], tblPiNAnalysis[ID], 0)), "")</f>
        <v/>
      </c>
      <c r="Y621" s="28" t="str">
        <f>IFERROR(INDEX(tblPiNAnalysis[Nutrition], MATCH(tblPiNHistorical[[#This Row],[ID]], tblPiNAnalysis[ID], 0)), "")</f>
        <v/>
      </c>
      <c r="Z621" s="28" t="str">
        <f>IFERROR(INDEX(tblPiNAnalysis[Protection], MATCH(tblPiNHistorical[[#This Row],[ID]], tblPiNAnalysis[ID], 0)), "")</f>
        <v/>
      </c>
      <c r="AA621" s="28" t="str">
        <f>IFERROR(INDEX(tblPiNAnalysis[CP], MATCH(tblPiNHistorical[[#This Row],[ID]], tblPiNAnalysis[ID], 0)), "")</f>
        <v/>
      </c>
      <c r="AB621" s="83" t="str">
        <f>IFERROR(INDEX(tblPiNAnalysis[GBV], MATCH(tblPiNHistorical[[#This Row],[ID]], tblPiNAnalysis[ID], 0)), "")</f>
        <v/>
      </c>
      <c r="AC621" s="28" t="str">
        <f>IFERROR(INDEX(tblPiNAnalysis[Mine Action], MATCH(tblPiNHistorical[[#This Row],[ID]], tblPiNAnalysis[ID], 0)), "")</f>
        <v/>
      </c>
      <c r="AD621" s="83" t="str">
        <f>IFERROR(INDEX(tblPiNAnalysis[[Shelter NFI ]], MATCH(tblPiNHistorical[[#This Row],[ID]], tblPiNAnalysis[ID], 0)), "")</f>
        <v/>
      </c>
      <c r="AE621" s="28" t="str">
        <f>IFERROR(INDEX(tblPiNAnalysis[WASH], MATCH(tblPiNHistorical[[#This Row],[ID]], tblPiNAnalysis[ID], 0)), "")</f>
        <v/>
      </c>
      <c r="AF621"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621" s="136" t="str">
        <f>IF(OR(tblPiNHistorical[[#This Row],[Education Old]]="", tblPiNHistorical[[#This Row],[Education Old]]=0, tblPiNHistorical[[#This Row],[Education New]]="", tblPiNHistorical[[#This Row],[Education New]]=0), "", tblPiNHistorical[[#This Row],[Education New]]-tblPiNHistorical[[#This Row],[Education Old]])</f>
        <v/>
      </c>
      <c r="AH621"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621" s="137" t="str">
        <f>IF(OR(tblPiNHistorical[[#This Row],[Health Old]]="", tblPiNHistorical[[#This Row],[Health Old]]=0, tblPiNHistorical[[#This Row],[Health New]]="", tblPiNHistorical[[#This Row],[Health New]]=0), "", tblPiNHistorical[[#This Row],[Health New]]-tblPiNHistorical[[#This Row],[Health Old]])</f>
        <v/>
      </c>
      <c r="AJ621" s="136" t="str">
        <f>IF(OR(tblPiNHistorical[[#This Row],[Nutrition Old]]="", tblPiNHistorical[[#This Row],[Nutrition Old]]=0, tblPiNHistorical[[#This Row],[Nutrition New]]="", tblPiNHistorical[[#This Row],[Nutrition New]]=0), "", tblPiNHistorical[[#This Row],[Nutrition New]]-tblPiNHistorical[[#This Row],[Nutrition Old]])</f>
        <v/>
      </c>
      <c r="AK621" s="136" t="str">
        <f>IF(OR(tblPiNHistorical[[#This Row],[Protection Old]]="", tblPiNHistorical[[#This Row],[Protection Old]]=0, tblPiNHistorical[[#This Row],[Protection New]]="", tblPiNHistorical[[#This Row],[Protection New]]=0), "", tblPiNHistorical[[#This Row],[Protection New]]-tblPiNHistorical[[#This Row],[Protection Old]])</f>
        <v/>
      </c>
      <c r="AL621" s="136" t="str">
        <f>IF(OR(tblPiNHistorical[[#This Row],[CP Old ]]="", tblPiNHistorical[[#This Row],[CP Old ]]=0, tblPiNHistorical[[#This Row],[CP New]]="", tblPiNHistorical[[#This Row],[CP New]]=0), "", tblPiNHistorical[[#This Row],[CP New]]-tblPiNHistorical[[#This Row],[CP Old ]])</f>
        <v/>
      </c>
      <c r="AM621" s="83" t="str">
        <f>IF(OR(tblPiNHistorical[[#This Row],[GBV Old]]="", tblPiNHistorical[[#This Row],[GBV Old]]=0, tblPiNHistorical[[#This Row],[GBV New]]="", tblPiNHistorical[[#This Row],[GBV New]]=0), "", tblPiNHistorical[[#This Row],[GBV New]]-tblPiNHistorical[[#This Row],[GBV Old]])</f>
        <v/>
      </c>
      <c r="AN621" s="83" t="str">
        <f>IF(OR(tblPiNHistorical[[#This Row],[Mine Action Old]]="", tblPiNHistorical[[#This Row],[Mine Action Old]]=0, tblPiNHistorical[[#This Row],[Mine Action New]]="", tblPiNHistorical[[#This Row],[Mine Action New]]=0), "", tblPiNHistorical[[#This Row],[Mine Action New]]-tblPiNHistorical[[#This Row],[Mine Action Old]])</f>
        <v/>
      </c>
      <c r="AO621" s="136" t="str">
        <f>IF(OR(tblPiNHistorical[[#This Row],[Shelter NFI Old]]="", tblPiNHistorical[[#This Row],[Shelter NFI Old]]=0, tblPiNHistorical[[#This Row],[Shelter NFI New]]="", tblPiNHistorical[[#This Row],[Shelter NFI New]]=0), "", tblPiNHistorical[[#This Row],[Shelter NFI New]]-tblPiNHistorical[[#This Row],[Shelter NFI Old]])</f>
        <v/>
      </c>
      <c r="AP621" s="138" t="str">
        <f>IF(OR(tblPiNHistorical[[#This Row],[WASH Old]]="", tblPiNHistorical[[#This Row],[WASH Old]]=0, tblPiNHistorical[[#This Row],[WASH New]]="", tblPiNHistorical[[#This Row],[WASH New]]=0), "", tblPiNHistorical[[#This Row],[WASH New]]-tblPiNHistorical[[#This Row],[WASH Old]])</f>
        <v/>
      </c>
      <c r="AQ621" s="139" t="str">
        <f>IFERROR(ROUND((tblPiNHistorical[[#This Row],[Site Management - New]] - tblPiNHistorical[[#This Row],[Site Management - Old]])/tblPiNHistorical[[#This Row],[Site Management - Old]], 1), "")</f>
        <v/>
      </c>
      <c r="AR621" s="140" t="str">
        <f>IFERROR(ROUND((tblPiNHistorical[[#This Row],[Education New]]-tblPiNHistorical[[#This Row],[Education Old]])/tblPiNHistorical[[#This Row],[Education Old]], 1), "")</f>
        <v/>
      </c>
      <c r="AS621" s="141" t="str">
        <f>IFERROR(ROUND((tblPiNHistorical[[#This Row],[Food Security and Livlihoods New]]-tblPiNHistorical[[#This Row],[Food Security and Livlihoods Old]])/tblPiNHistorical[[#This Row],[Food Security and Livlihoods Old]], 1), "")</f>
        <v/>
      </c>
      <c r="AT621" s="142" t="str">
        <f>IFERROR(ROUND((tblPiNHistorical[[#This Row],[Health New]]-tblPiNHistorical[[#This Row],[Health Old]])/tblPiNHistorical[[#This Row],[Health Old]], 1), "")</f>
        <v/>
      </c>
      <c r="AU621" s="140" t="str">
        <f>IFERROR(ROUND((tblPiNHistorical[[#This Row],[Nutrition New]]-tblPiNHistorical[[#This Row],[Nutrition Old]])/tblPiNHistorical[[#This Row],[Nutrition Old]], 1), "")</f>
        <v/>
      </c>
      <c r="AV621" s="140" t="str">
        <f>IFERROR(ROUND((tblPiNHistorical[[#This Row],[Protection New]]-tblPiNHistorical[[#This Row],[Protection Old]])/tblPiNHistorical[[#This Row],[Protection Old]], 1), "")</f>
        <v/>
      </c>
      <c r="AW621" s="84" t="str">
        <f>IFERROR(ROUND((tblPiNHistorical[[#This Row],[CP New]]-tblPiNHistorical[[#This Row],[CP Old ]])/tblPiNHistorical[[#This Row],[CP Old ]], 1), "")</f>
        <v/>
      </c>
      <c r="AX621" s="84" t="str">
        <f>IFERROR(ROUND((tblPiNHistorical[[#This Row],[GBV New]]-tblPiNHistorical[[#This Row],[GBV Old]])/tblPiNHistorical[[#This Row],[GBV Old]], 1), "")</f>
        <v/>
      </c>
      <c r="AY621" s="84" t="str">
        <f>IFERROR(ROUND((tblPiNHistorical[[#This Row],[Mine Action New]]-tblPiNHistorical[[#This Row],[Mine Action Old]])/tblPiNHistorical[[#This Row],[Mine Action Old]], 1), "")</f>
        <v/>
      </c>
      <c r="AZ621" s="140" t="str">
        <f>IFERROR(ROUND((tblPiNHistorical[[#This Row],[Shelter NFI New]]-tblPiNHistorical[[#This Row],[Shelter NFI Old]])/tblPiNHistorical[[#This Row],[Shelter NFI Old]], 1), "")</f>
        <v/>
      </c>
      <c r="BA621" s="31" t="str">
        <f>IFERROR(ROUND((tblPiNHistorical[[#This Row],[WASH New]]-tblPiNHistorical[[#This Row],[WASH Old]])/tblPiNHistorical[[#This Row],[WASH Old]], 1), "")</f>
        <v/>
      </c>
    </row>
    <row r="622" spans="1:53" ht="38.25" x14ac:dyDescent="0.25">
      <c r="A622"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Non-displaced PopulationSD11055</v>
      </c>
      <c r="B622" s="134" t="s">
        <v>161</v>
      </c>
      <c r="C622" s="124" t="s">
        <v>128</v>
      </c>
      <c r="D622" s="124" t="s">
        <v>428</v>
      </c>
      <c r="E622" s="59" t="s">
        <v>429</v>
      </c>
      <c r="F622" s="54"/>
      <c r="G622" s="29"/>
      <c r="H622" s="53">
        <v>80526</v>
      </c>
      <c r="I622" s="53" t="s">
        <v>89</v>
      </c>
      <c r="J622" s="34">
        <v>0</v>
      </c>
      <c r="K622" s="116">
        <v>31219.930199999999</v>
      </c>
      <c r="L622" s="114">
        <v>40263</v>
      </c>
      <c r="M622" s="114">
        <v>18805</v>
      </c>
      <c r="N622" s="114">
        <v>26317</v>
      </c>
      <c r="O622" s="114">
        <v>8857.86</v>
      </c>
      <c r="P622" s="114">
        <v>8858</v>
      </c>
      <c r="Q622" s="114">
        <v>0</v>
      </c>
      <c r="R622" s="114">
        <v>0</v>
      </c>
      <c r="S622" s="114">
        <v>0</v>
      </c>
      <c r="T622" s="196">
        <v>80526</v>
      </c>
      <c r="U622" s="52" t="str">
        <f>IFERROR(INDEX(tblPiNAnalysis[[Site Management ]], MATCH(tblPiNHistorical[[#This Row],[ID]], tblPiNAnalysis[ID], 0)), "")</f>
        <v/>
      </c>
      <c r="V622" s="52" t="str">
        <f>IFERROR(INDEX(tblPiNAnalysis[Education], MATCH(tblPiNHistorical[[#This Row],[ID]], tblPiNAnalysis[ID], 0)), "")</f>
        <v/>
      </c>
      <c r="W622" s="28" t="str">
        <f>IFERROR(INDEX(tblPiNAnalysis[Food Security and Livlihoods], MATCH(tblPiNHistorical[[#This Row],[ID]], tblPiNAnalysis[ID], 0)), "")</f>
        <v/>
      </c>
      <c r="X622" s="28" t="str">
        <f>IFERROR(INDEX(tblPiNAnalysis[[Health ]], MATCH(tblPiNHistorical[[#This Row],[ID]], tblPiNAnalysis[ID], 0)), "")</f>
        <v/>
      </c>
      <c r="Y622" s="28" t="str">
        <f>IFERROR(INDEX(tblPiNAnalysis[Nutrition], MATCH(tblPiNHistorical[[#This Row],[ID]], tblPiNAnalysis[ID], 0)), "")</f>
        <v/>
      </c>
      <c r="Z622" s="28" t="str">
        <f>IFERROR(INDEX(tblPiNAnalysis[Protection], MATCH(tblPiNHistorical[[#This Row],[ID]], tblPiNAnalysis[ID], 0)), "")</f>
        <v/>
      </c>
      <c r="AA622" s="28" t="str">
        <f>IFERROR(INDEX(tblPiNAnalysis[CP], MATCH(tblPiNHistorical[[#This Row],[ID]], tblPiNAnalysis[ID], 0)), "")</f>
        <v/>
      </c>
      <c r="AB622" s="83" t="str">
        <f>IFERROR(INDEX(tblPiNAnalysis[GBV], MATCH(tblPiNHistorical[[#This Row],[ID]], tblPiNAnalysis[ID], 0)), "")</f>
        <v/>
      </c>
      <c r="AC622" s="28" t="str">
        <f>IFERROR(INDEX(tblPiNAnalysis[Mine Action], MATCH(tblPiNHistorical[[#This Row],[ID]], tblPiNAnalysis[ID], 0)), "")</f>
        <v/>
      </c>
      <c r="AD622" s="83" t="str">
        <f>IFERROR(INDEX(tblPiNAnalysis[[Shelter NFI ]], MATCH(tblPiNHistorical[[#This Row],[ID]], tblPiNAnalysis[ID], 0)), "")</f>
        <v/>
      </c>
      <c r="AE622" s="28" t="str">
        <f>IFERROR(INDEX(tblPiNAnalysis[WASH], MATCH(tblPiNHistorical[[#This Row],[ID]], tblPiNAnalysis[ID], 0)), "")</f>
        <v/>
      </c>
      <c r="AF622"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622" s="136" t="str">
        <f>IF(OR(tblPiNHistorical[[#This Row],[Education Old]]="", tblPiNHistorical[[#This Row],[Education Old]]=0, tblPiNHistorical[[#This Row],[Education New]]="", tblPiNHistorical[[#This Row],[Education New]]=0), "", tblPiNHistorical[[#This Row],[Education New]]-tblPiNHistorical[[#This Row],[Education Old]])</f>
        <v/>
      </c>
      <c r="AH622"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622" s="137" t="str">
        <f>IF(OR(tblPiNHistorical[[#This Row],[Health Old]]="", tblPiNHistorical[[#This Row],[Health Old]]=0, tblPiNHistorical[[#This Row],[Health New]]="", tblPiNHistorical[[#This Row],[Health New]]=0), "", tblPiNHistorical[[#This Row],[Health New]]-tblPiNHistorical[[#This Row],[Health Old]])</f>
        <v/>
      </c>
      <c r="AJ622" s="136" t="str">
        <f>IF(OR(tblPiNHistorical[[#This Row],[Nutrition Old]]="", tblPiNHistorical[[#This Row],[Nutrition Old]]=0, tblPiNHistorical[[#This Row],[Nutrition New]]="", tblPiNHistorical[[#This Row],[Nutrition New]]=0), "", tblPiNHistorical[[#This Row],[Nutrition New]]-tblPiNHistorical[[#This Row],[Nutrition Old]])</f>
        <v/>
      </c>
      <c r="AK622" s="136" t="str">
        <f>IF(OR(tblPiNHistorical[[#This Row],[Protection Old]]="", tblPiNHistorical[[#This Row],[Protection Old]]=0, tblPiNHistorical[[#This Row],[Protection New]]="", tblPiNHistorical[[#This Row],[Protection New]]=0), "", tblPiNHistorical[[#This Row],[Protection New]]-tblPiNHistorical[[#This Row],[Protection Old]])</f>
        <v/>
      </c>
      <c r="AL622" s="136" t="str">
        <f>IF(OR(tblPiNHistorical[[#This Row],[CP Old ]]="", tblPiNHistorical[[#This Row],[CP Old ]]=0, tblPiNHistorical[[#This Row],[CP New]]="", tblPiNHistorical[[#This Row],[CP New]]=0), "", tblPiNHistorical[[#This Row],[CP New]]-tblPiNHistorical[[#This Row],[CP Old ]])</f>
        <v/>
      </c>
      <c r="AM622" s="83" t="str">
        <f>IF(OR(tblPiNHistorical[[#This Row],[GBV Old]]="", tblPiNHistorical[[#This Row],[GBV Old]]=0, tblPiNHistorical[[#This Row],[GBV New]]="", tblPiNHistorical[[#This Row],[GBV New]]=0), "", tblPiNHistorical[[#This Row],[GBV New]]-tblPiNHistorical[[#This Row],[GBV Old]])</f>
        <v/>
      </c>
      <c r="AN622" s="83" t="str">
        <f>IF(OR(tblPiNHistorical[[#This Row],[Mine Action Old]]="", tblPiNHistorical[[#This Row],[Mine Action Old]]=0, tblPiNHistorical[[#This Row],[Mine Action New]]="", tblPiNHistorical[[#This Row],[Mine Action New]]=0), "", tblPiNHistorical[[#This Row],[Mine Action New]]-tblPiNHistorical[[#This Row],[Mine Action Old]])</f>
        <v/>
      </c>
      <c r="AO622" s="136" t="str">
        <f>IF(OR(tblPiNHistorical[[#This Row],[Shelter NFI Old]]="", tblPiNHistorical[[#This Row],[Shelter NFI Old]]=0, tblPiNHistorical[[#This Row],[Shelter NFI New]]="", tblPiNHistorical[[#This Row],[Shelter NFI New]]=0), "", tblPiNHistorical[[#This Row],[Shelter NFI New]]-tblPiNHistorical[[#This Row],[Shelter NFI Old]])</f>
        <v/>
      </c>
      <c r="AP622" s="138" t="str">
        <f>IF(OR(tblPiNHistorical[[#This Row],[WASH Old]]="", tblPiNHistorical[[#This Row],[WASH Old]]=0, tblPiNHistorical[[#This Row],[WASH New]]="", tblPiNHistorical[[#This Row],[WASH New]]=0), "", tblPiNHistorical[[#This Row],[WASH New]]-tblPiNHistorical[[#This Row],[WASH Old]])</f>
        <v/>
      </c>
      <c r="AQ622" s="139" t="str">
        <f>IFERROR(ROUND((tblPiNHistorical[[#This Row],[Site Management - New]] - tblPiNHistorical[[#This Row],[Site Management - Old]])/tblPiNHistorical[[#This Row],[Site Management - Old]], 1), "")</f>
        <v/>
      </c>
      <c r="AR622" s="140" t="str">
        <f>IFERROR(ROUND((tblPiNHistorical[[#This Row],[Education New]]-tblPiNHistorical[[#This Row],[Education Old]])/tblPiNHistorical[[#This Row],[Education Old]], 1), "")</f>
        <v/>
      </c>
      <c r="AS622" s="141" t="str">
        <f>IFERROR(ROUND((tblPiNHistorical[[#This Row],[Food Security and Livlihoods New]]-tblPiNHistorical[[#This Row],[Food Security and Livlihoods Old]])/tblPiNHistorical[[#This Row],[Food Security and Livlihoods Old]], 1), "")</f>
        <v/>
      </c>
      <c r="AT622" s="142" t="str">
        <f>IFERROR(ROUND((tblPiNHistorical[[#This Row],[Health New]]-tblPiNHistorical[[#This Row],[Health Old]])/tblPiNHistorical[[#This Row],[Health Old]], 1), "")</f>
        <v/>
      </c>
      <c r="AU622" s="140" t="str">
        <f>IFERROR(ROUND((tblPiNHistorical[[#This Row],[Nutrition New]]-tblPiNHistorical[[#This Row],[Nutrition Old]])/tblPiNHistorical[[#This Row],[Nutrition Old]], 1), "")</f>
        <v/>
      </c>
      <c r="AV622" s="140" t="str">
        <f>IFERROR(ROUND((tblPiNHistorical[[#This Row],[Protection New]]-tblPiNHistorical[[#This Row],[Protection Old]])/tblPiNHistorical[[#This Row],[Protection Old]], 1), "")</f>
        <v/>
      </c>
      <c r="AW622" s="84" t="str">
        <f>IFERROR(ROUND((tblPiNHistorical[[#This Row],[CP New]]-tblPiNHistorical[[#This Row],[CP Old ]])/tblPiNHistorical[[#This Row],[CP Old ]], 1), "")</f>
        <v/>
      </c>
      <c r="AX622" s="84" t="str">
        <f>IFERROR(ROUND((tblPiNHistorical[[#This Row],[GBV New]]-tblPiNHistorical[[#This Row],[GBV Old]])/tblPiNHistorical[[#This Row],[GBV Old]], 1), "")</f>
        <v/>
      </c>
      <c r="AY622" s="84" t="str">
        <f>IFERROR(ROUND((tblPiNHistorical[[#This Row],[Mine Action New]]-tblPiNHistorical[[#This Row],[Mine Action Old]])/tblPiNHistorical[[#This Row],[Mine Action Old]], 1), "")</f>
        <v/>
      </c>
      <c r="AZ622" s="140" t="str">
        <f>IFERROR(ROUND((tblPiNHistorical[[#This Row],[Shelter NFI New]]-tblPiNHistorical[[#This Row],[Shelter NFI Old]])/tblPiNHistorical[[#This Row],[Shelter NFI Old]], 1), "")</f>
        <v/>
      </c>
      <c r="BA622" s="31" t="str">
        <f>IFERROR(ROUND((tblPiNHistorical[[#This Row],[WASH New]]-tblPiNHistorical[[#This Row],[WASH Old]])/tblPiNHistorical[[#This Row],[WASH Old]], 1), "")</f>
        <v/>
      </c>
    </row>
    <row r="623" spans="1:53" ht="38.25" x14ac:dyDescent="0.25">
      <c r="A623"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Non-displaced PopulationSD11054</v>
      </c>
      <c r="B623" s="134" t="s">
        <v>161</v>
      </c>
      <c r="C623" s="124" t="s">
        <v>128</v>
      </c>
      <c r="D623" s="124" t="s">
        <v>426</v>
      </c>
      <c r="E623" s="59" t="s">
        <v>427</v>
      </c>
      <c r="F623" s="54"/>
      <c r="G623" s="29"/>
      <c r="H623" s="53">
        <v>110994</v>
      </c>
      <c r="I623" s="53" t="s">
        <v>89</v>
      </c>
      <c r="J623" s="34">
        <v>0</v>
      </c>
      <c r="K623" s="116">
        <v>43032.373800000001</v>
      </c>
      <c r="L623" s="114">
        <v>49947.3</v>
      </c>
      <c r="M623" s="114">
        <v>6285</v>
      </c>
      <c r="N623" s="114">
        <v>19625</v>
      </c>
      <c r="O623" s="114">
        <v>12209.340000000002</v>
      </c>
      <c r="P623" s="114">
        <v>12209</v>
      </c>
      <c r="Q623" s="114">
        <v>0</v>
      </c>
      <c r="R623" s="114">
        <v>0</v>
      </c>
      <c r="S623" s="114">
        <v>22199</v>
      </c>
      <c r="T623" s="196">
        <v>106798.4268</v>
      </c>
      <c r="U623" s="52" t="str">
        <f>IFERROR(INDEX(tblPiNAnalysis[[Site Management ]], MATCH(tblPiNHistorical[[#This Row],[ID]], tblPiNAnalysis[ID], 0)), "")</f>
        <v/>
      </c>
      <c r="V623" s="52" t="str">
        <f>IFERROR(INDEX(tblPiNAnalysis[Education], MATCH(tblPiNHistorical[[#This Row],[ID]], tblPiNAnalysis[ID], 0)), "")</f>
        <v/>
      </c>
      <c r="W623" s="28" t="str">
        <f>IFERROR(INDEX(tblPiNAnalysis[Food Security and Livlihoods], MATCH(tblPiNHistorical[[#This Row],[ID]], tblPiNAnalysis[ID], 0)), "")</f>
        <v/>
      </c>
      <c r="X623" s="28" t="str">
        <f>IFERROR(INDEX(tblPiNAnalysis[[Health ]], MATCH(tblPiNHistorical[[#This Row],[ID]], tblPiNAnalysis[ID], 0)), "")</f>
        <v/>
      </c>
      <c r="Y623" s="28" t="str">
        <f>IFERROR(INDEX(tblPiNAnalysis[Nutrition], MATCH(tblPiNHistorical[[#This Row],[ID]], tblPiNAnalysis[ID], 0)), "")</f>
        <v/>
      </c>
      <c r="Z623" s="28" t="str">
        <f>IFERROR(INDEX(tblPiNAnalysis[Protection], MATCH(tblPiNHistorical[[#This Row],[ID]], tblPiNAnalysis[ID], 0)), "")</f>
        <v/>
      </c>
      <c r="AA623" s="28" t="str">
        <f>IFERROR(INDEX(tblPiNAnalysis[CP], MATCH(tblPiNHistorical[[#This Row],[ID]], tblPiNAnalysis[ID], 0)), "")</f>
        <v/>
      </c>
      <c r="AB623" s="83" t="str">
        <f>IFERROR(INDEX(tblPiNAnalysis[GBV], MATCH(tblPiNHistorical[[#This Row],[ID]], tblPiNAnalysis[ID], 0)), "")</f>
        <v/>
      </c>
      <c r="AC623" s="28" t="str">
        <f>IFERROR(INDEX(tblPiNAnalysis[Mine Action], MATCH(tblPiNHistorical[[#This Row],[ID]], tblPiNAnalysis[ID], 0)), "")</f>
        <v/>
      </c>
      <c r="AD623" s="83" t="str">
        <f>IFERROR(INDEX(tblPiNAnalysis[[Shelter NFI ]], MATCH(tblPiNHistorical[[#This Row],[ID]], tblPiNAnalysis[ID], 0)), "")</f>
        <v/>
      </c>
      <c r="AE623" s="28" t="str">
        <f>IFERROR(INDEX(tblPiNAnalysis[WASH], MATCH(tblPiNHistorical[[#This Row],[ID]], tblPiNAnalysis[ID], 0)), "")</f>
        <v/>
      </c>
      <c r="AF623"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623" s="136" t="str">
        <f>IF(OR(tblPiNHistorical[[#This Row],[Education Old]]="", tblPiNHistorical[[#This Row],[Education Old]]=0, tblPiNHistorical[[#This Row],[Education New]]="", tblPiNHistorical[[#This Row],[Education New]]=0), "", tblPiNHistorical[[#This Row],[Education New]]-tblPiNHistorical[[#This Row],[Education Old]])</f>
        <v/>
      </c>
      <c r="AH623"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623" s="137" t="str">
        <f>IF(OR(tblPiNHistorical[[#This Row],[Health Old]]="", tblPiNHistorical[[#This Row],[Health Old]]=0, tblPiNHistorical[[#This Row],[Health New]]="", tblPiNHistorical[[#This Row],[Health New]]=0), "", tblPiNHistorical[[#This Row],[Health New]]-tblPiNHistorical[[#This Row],[Health Old]])</f>
        <v/>
      </c>
      <c r="AJ623" s="136" t="str">
        <f>IF(OR(tblPiNHistorical[[#This Row],[Nutrition Old]]="", tblPiNHistorical[[#This Row],[Nutrition Old]]=0, tblPiNHistorical[[#This Row],[Nutrition New]]="", tblPiNHistorical[[#This Row],[Nutrition New]]=0), "", tblPiNHistorical[[#This Row],[Nutrition New]]-tblPiNHistorical[[#This Row],[Nutrition Old]])</f>
        <v/>
      </c>
      <c r="AK623" s="136" t="str">
        <f>IF(OR(tblPiNHistorical[[#This Row],[Protection Old]]="", tblPiNHistorical[[#This Row],[Protection Old]]=0, tblPiNHistorical[[#This Row],[Protection New]]="", tblPiNHistorical[[#This Row],[Protection New]]=0), "", tblPiNHistorical[[#This Row],[Protection New]]-tblPiNHistorical[[#This Row],[Protection Old]])</f>
        <v/>
      </c>
      <c r="AL623" s="136" t="str">
        <f>IF(OR(tblPiNHistorical[[#This Row],[CP Old ]]="", tblPiNHistorical[[#This Row],[CP Old ]]=0, tblPiNHistorical[[#This Row],[CP New]]="", tblPiNHistorical[[#This Row],[CP New]]=0), "", tblPiNHistorical[[#This Row],[CP New]]-tblPiNHistorical[[#This Row],[CP Old ]])</f>
        <v/>
      </c>
      <c r="AM623" s="83" t="str">
        <f>IF(OR(tblPiNHistorical[[#This Row],[GBV Old]]="", tblPiNHistorical[[#This Row],[GBV Old]]=0, tblPiNHistorical[[#This Row],[GBV New]]="", tblPiNHistorical[[#This Row],[GBV New]]=0), "", tblPiNHistorical[[#This Row],[GBV New]]-tblPiNHistorical[[#This Row],[GBV Old]])</f>
        <v/>
      </c>
      <c r="AN623" s="83" t="str">
        <f>IF(OR(tblPiNHistorical[[#This Row],[Mine Action Old]]="", tblPiNHistorical[[#This Row],[Mine Action Old]]=0, tblPiNHistorical[[#This Row],[Mine Action New]]="", tblPiNHistorical[[#This Row],[Mine Action New]]=0), "", tblPiNHistorical[[#This Row],[Mine Action New]]-tblPiNHistorical[[#This Row],[Mine Action Old]])</f>
        <v/>
      </c>
      <c r="AO623" s="136" t="str">
        <f>IF(OR(tblPiNHistorical[[#This Row],[Shelter NFI Old]]="", tblPiNHistorical[[#This Row],[Shelter NFI Old]]=0, tblPiNHistorical[[#This Row],[Shelter NFI New]]="", tblPiNHistorical[[#This Row],[Shelter NFI New]]=0), "", tblPiNHistorical[[#This Row],[Shelter NFI New]]-tblPiNHistorical[[#This Row],[Shelter NFI Old]])</f>
        <v/>
      </c>
      <c r="AP623" s="138" t="str">
        <f>IF(OR(tblPiNHistorical[[#This Row],[WASH Old]]="", tblPiNHistorical[[#This Row],[WASH Old]]=0, tblPiNHistorical[[#This Row],[WASH New]]="", tblPiNHistorical[[#This Row],[WASH New]]=0), "", tblPiNHistorical[[#This Row],[WASH New]]-tblPiNHistorical[[#This Row],[WASH Old]])</f>
        <v/>
      </c>
      <c r="AQ623" s="139" t="str">
        <f>IFERROR(ROUND((tblPiNHistorical[[#This Row],[Site Management - New]] - tblPiNHistorical[[#This Row],[Site Management - Old]])/tblPiNHistorical[[#This Row],[Site Management - Old]], 1), "")</f>
        <v/>
      </c>
      <c r="AR623" s="140" t="str">
        <f>IFERROR(ROUND((tblPiNHistorical[[#This Row],[Education New]]-tblPiNHistorical[[#This Row],[Education Old]])/tblPiNHistorical[[#This Row],[Education Old]], 1), "")</f>
        <v/>
      </c>
      <c r="AS623" s="141" t="str">
        <f>IFERROR(ROUND((tblPiNHistorical[[#This Row],[Food Security and Livlihoods New]]-tblPiNHistorical[[#This Row],[Food Security and Livlihoods Old]])/tblPiNHistorical[[#This Row],[Food Security and Livlihoods Old]], 1), "")</f>
        <v/>
      </c>
      <c r="AT623" s="142" t="str">
        <f>IFERROR(ROUND((tblPiNHistorical[[#This Row],[Health New]]-tblPiNHistorical[[#This Row],[Health Old]])/tblPiNHistorical[[#This Row],[Health Old]], 1), "")</f>
        <v/>
      </c>
      <c r="AU623" s="140" t="str">
        <f>IFERROR(ROUND((tblPiNHistorical[[#This Row],[Nutrition New]]-tblPiNHistorical[[#This Row],[Nutrition Old]])/tblPiNHistorical[[#This Row],[Nutrition Old]], 1), "")</f>
        <v/>
      </c>
      <c r="AV623" s="140" t="str">
        <f>IFERROR(ROUND((tblPiNHistorical[[#This Row],[Protection New]]-tblPiNHistorical[[#This Row],[Protection Old]])/tblPiNHistorical[[#This Row],[Protection Old]], 1), "")</f>
        <v/>
      </c>
      <c r="AW623" s="84" t="str">
        <f>IFERROR(ROUND((tblPiNHistorical[[#This Row],[CP New]]-tblPiNHistorical[[#This Row],[CP Old ]])/tblPiNHistorical[[#This Row],[CP Old ]], 1), "")</f>
        <v/>
      </c>
      <c r="AX623" s="84" t="str">
        <f>IFERROR(ROUND((tblPiNHistorical[[#This Row],[GBV New]]-tblPiNHistorical[[#This Row],[GBV Old]])/tblPiNHistorical[[#This Row],[GBV Old]], 1), "")</f>
        <v/>
      </c>
      <c r="AY623" s="84" t="str">
        <f>IFERROR(ROUND((tblPiNHistorical[[#This Row],[Mine Action New]]-tblPiNHistorical[[#This Row],[Mine Action Old]])/tblPiNHistorical[[#This Row],[Mine Action Old]], 1), "")</f>
        <v/>
      </c>
      <c r="AZ623" s="140" t="str">
        <f>IFERROR(ROUND((tblPiNHistorical[[#This Row],[Shelter NFI New]]-tblPiNHistorical[[#This Row],[Shelter NFI Old]])/tblPiNHistorical[[#This Row],[Shelter NFI Old]], 1), "")</f>
        <v/>
      </c>
      <c r="BA623" s="31" t="str">
        <f>IFERROR(ROUND((tblPiNHistorical[[#This Row],[WASH New]]-tblPiNHistorical[[#This Row],[WASH Old]])/tblPiNHistorical[[#This Row],[WASH Old]], 1), "")</f>
        <v/>
      </c>
    </row>
    <row r="624" spans="1:53" ht="38.25" x14ac:dyDescent="0.25">
      <c r="A624"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Non-displaced PopulationSD11058</v>
      </c>
      <c r="B624" s="134" t="s">
        <v>161</v>
      </c>
      <c r="C624" s="124" t="s">
        <v>128</v>
      </c>
      <c r="D624" s="124" t="s">
        <v>434</v>
      </c>
      <c r="E624" s="59" t="s">
        <v>435</v>
      </c>
      <c r="F624" s="54"/>
      <c r="G624" s="29"/>
      <c r="H624" s="53">
        <v>221658</v>
      </c>
      <c r="I624" s="53" t="s">
        <v>89</v>
      </c>
      <c r="J624" s="34">
        <v>0</v>
      </c>
      <c r="K624" s="116">
        <v>85936.806599999996</v>
      </c>
      <c r="L624" s="114">
        <v>121911.9</v>
      </c>
      <c r="M624" s="114">
        <v>4045</v>
      </c>
      <c r="N624" s="114">
        <v>59032</v>
      </c>
      <c r="O624" s="114">
        <v>24382.380000000005</v>
      </c>
      <c r="P624" s="114">
        <v>24382</v>
      </c>
      <c r="Q624" s="114">
        <v>0</v>
      </c>
      <c r="R624" s="114">
        <v>0</v>
      </c>
      <c r="S624" s="114">
        <v>66497</v>
      </c>
      <c r="T624" s="196">
        <v>217712.48759999999</v>
      </c>
      <c r="U624" s="52" t="str">
        <f>IFERROR(INDEX(tblPiNAnalysis[[Site Management ]], MATCH(tblPiNHistorical[[#This Row],[ID]], tblPiNAnalysis[ID], 0)), "")</f>
        <v/>
      </c>
      <c r="V624" s="52" t="str">
        <f>IFERROR(INDEX(tblPiNAnalysis[Education], MATCH(tblPiNHistorical[[#This Row],[ID]], tblPiNAnalysis[ID], 0)), "")</f>
        <v/>
      </c>
      <c r="W624" s="28" t="str">
        <f>IFERROR(INDEX(tblPiNAnalysis[Food Security and Livlihoods], MATCH(tblPiNHistorical[[#This Row],[ID]], tblPiNAnalysis[ID], 0)), "")</f>
        <v/>
      </c>
      <c r="X624" s="28" t="str">
        <f>IFERROR(INDEX(tblPiNAnalysis[[Health ]], MATCH(tblPiNHistorical[[#This Row],[ID]], tblPiNAnalysis[ID], 0)), "")</f>
        <v/>
      </c>
      <c r="Y624" s="28" t="str">
        <f>IFERROR(INDEX(tblPiNAnalysis[Nutrition], MATCH(tblPiNHistorical[[#This Row],[ID]], tblPiNAnalysis[ID], 0)), "")</f>
        <v/>
      </c>
      <c r="Z624" s="28" t="str">
        <f>IFERROR(INDEX(tblPiNAnalysis[Protection], MATCH(tblPiNHistorical[[#This Row],[ID]], tblPiNAnalysis[ID], 0)), "")</f>
        <v/>
      </c>
      <c r="AA624" s="28" t="str">
        <f>IFERROR(INDEX(tblPiNAnalysis[CP], MATCH(tblPiNHistorical[[#This Row],[ID]], tblPiNAnalysis[ID], 0)), "")</f>
        <v/>
      </c>
      <c r="AB624" s="83" t="str">
        <f>IFERROR(INDEX(tblPiNAnalysis[GBV], MATCH(tblPiNHistorical[[#This Row],[ID]], tblPiNAnalysis[ID], 0)), "")</f>
        <v/>
      </c>
      <c r="AC624" s="28" t="str">
        <f>IFERROR(INDEX(tblPiNAnalysis[Mine Action], MATCH(tblPiNHistorical[[#This Row],[ID]], tblPiNAnalysis[ID], 0)), "")</f>
        <v/>
      </c>
      <c r="AD624" s="83" t="str">
        <f>IFERROR(INDEX(tblPiNAnalysis[[Shelter NFI ]], MATCH(tblPiNHistorical[[#This Row],[ID]], tblPiNAnalysis[ID], 0)), "")</f>
        <v/>
      </c>
      <c r="AE624" s="28" t="str">
        <f>IFERROR(INDEX(tblPiNAnalysis[WASH], MATCH(tblPiNHistorical[[#This Row],[ID]], tblPiNAnalysis[ID], 0)), "")</f>
        <v/>
      </c>
      <c r="AF624"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624" s="136" t="str">
        <f>IF(OR(tblPiNHistorical[[#This Row],[Education Old]]="", tblPiNHistorical[[#This Row],[Education Old]]=0, tblPiNHistorical[[#This Row],[Education New]]="", tblPiNHistorical[[#This Row],[Education New]]=0), "", tblPiNHistorical[[#This Row],[Education New]]-tblPiNHistorical[[#This Row],[Education Old]])</f>
        <v/>
      </c>
      <c r="AH624"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624" s="137" t="str">
        <f>IF(OR(tblPiNHistorical[[#This Row],[Health Old]]="", tblPiNHistorical[[#This Row],[Health Old]]=0, tblPiNHistorical[[#This Row],[Health New]]="", tblPiNHistorical[[#This Row],[Health New]]=0), "", tblPiNHistorical[[#This Row],[Health New]]-tblPiNHistorical[[#This Row],[Health Old]])</f>
        <v/>
      </c>
      <c r="AJ624" s="136" t="str">
        <f>IF(OR(tblPiNHistorical[[#This Row],[Nutrition Old]]="", tblPiNHistorical[[#This Row],[Nutrition Old]]=0, tblPiNHistorical[[#This Row],[Nutrition New]]="", tblPiNHistorical[[#This Row],[Nutrition New]]=0), "", tblPiNHistorical[[#This Row],[Nutrition New]]-tblPiNHistorical[[#This Row],[Nutrition Old]])</f>
        <v/>
      </c>
      <c r="AK624" s="136" t="str">
        <f>IF(OR(tblPiNHistorical[[#This Row],[Protection Old]]="", tblPiNHistorical[[#This Row],[Protection Old]]=0, tblPiNHistorical[[#This Row],[Protection New]]="", tblPiNHistorical[[#This Row],[Protection New]]=0), "", tblPiNHistorical[[#This Row],[Protection New]]-tblPiNHistorical[[#This Row],[Protection Old]])</f>
        <v/>
      </c>
      <c r="AL624" s="136" t="str">
        <f>IF(OR(tblPiNHistorical[[#This Row],[CP Old ]]="", tblPiNHistorical[[#This Row],[CP Old ]]=0, tblPiNHistorical[[#This Row],[CP New]]="", tblPiNHistorical[[#This Row],[CP New]]=0), "", tblPiNHistorical[[#This Row],[CP New]]-tblPiNHistorical[[#This Row],[CP Old ]])</f>
        <v/>
      </c>
      <c r="AM624" s="83" t="str">
        <f>IF(OR(tblPiNHistorical[[#This Row],[GBV Old]]="", tblPiNHistorical[[#This Row],[GBV Old]]=0, tblPiNHistorical[[#This Row],[GBV New]]="", tblPiNHistorical[[#This Row],[GBV New]]=0), "", tblPiNHistorical[[#This Row],[GBV New]]-tblPiNHistorical[[#This Row],[GBV Old]])</f>
        <v/>
      </c>
      <c r="AN624" s="83" t="str">
        <f>IF(OR(tblPiNHistorical[[#This Row],[Mine Action Old]]="", tblPiNHistorical[[#This Row],[Mine Action Old]]=0, tblPiNHistorical[[#This Row],[Mine Action New]]="", tblPiNHistorical[[#This Row],[Mine Action New]]=0), "", tblPiNHistorical[[#This Row],[Mine Action New]]-tblPiNHistorical[[#This Row],[Mine Action Old]])</f>
        <v/>
      </c>
      <c r="AO624" s="136" t="str">
        <f>IF(OR(tblPiNHistorical[[#This Row],[Shelter NFI Old]]="", tblPiNHistorical[[#This Row],[Shelter NFI Old]]=0, tblPiNHistorical[[#This Row],[Shelter NFI New]]="", tblPiNHistorical[[#This Row],[Shelter NFI New]]=0), "", tblPiNHistorical[[#This Row],[Shelter NFI New]]-tblPiNHistorical[[#This Row],[Shelter NFI Old]])</f>
        <v/>
      </c>
      <c r="AP624" s="138" t="str">
        <f>IF(OR(tblPiNHistorical[[#This Row],[WASH Old]]="", tblPiNHistorical[[#This Row],[WASH Old]]=0, tblPiNHistorical[[#This Row],[WASH New]]="", tblPiNHistorical[[#This Row],[WASH New]]=0), "", tblPiNHistorical[[#This Row],[WASH New]]-tblPiNHistorical[[#This Row],[WASH Old]])</f>
        <v/>
      </c>
      <c r="AQ624" s="139" t="str">
        <f>IFERROR(ROUND((tblPiNHistorical[[#This Row],[Site Management - New]] - tblPiNHistorical[[#This Row],[Site Management - Old]])/tblPiNHistorical[[#This Row],[Site Management - Old]], 1), "")</f>
        <v/>
      </c>
      <c r="AR624" s="140" t="str">
        <f>IFERROR(ROUND((tblPiNHistorical[[#This Row],[Education New]]-tblPiNHistorical[[#This Row],[Education Old]])/tblPiNHistorical[[#This Row],[Education Old]], 1), "")</f>
        <v/>
      </c>
      <c r="AS624" s="141" t="str">
        <f>IFERROR(ROUND((tblPiNHistorical[[#This Row],[Food Security and Livlihoods New]]-tblPiNHistorical[[#This Row],[Food Security and Livlihoods Old]])/tblPiNHistorical[[#This Row],[Food Security and Livlihoods Old]], 1), "")</f>
        <v/>
      </c>
      <c r="AT624" s="142" t="str">
        <f>IFERROR(ROUND((tblPiNHistorical[[#This Row],[Health New]]-tblPiNHistorical[[#This Row],[Health Old]])/tblPiNHistorical[[#This Row],[Health Old]], 1), "")</f>
        <v/>
      </c>
      <c r="AU624" s="140" t="str">
        <f>IFERROR(ROUND((tblPiNHistorical[[#This Row],[Nutrition New]]-tblPiNHistorical[[#This Row],[Nutrition Old]])/tblPiNHistorical[[#This Row],[Nutrition Old]], 1), "")</f>
        <v/>
      </c>
      <c r="AV624" s="140" t="str">
        <f>IFERROR(ROUND((tblPiNHistorical[[#This Row],[Protection New]]-tblPiNHistorical[[#This Row],[Protection Old]])/tblPiNHistorical[[#This Row],[Protection Old]], 1), "")</f>
        <v/>
      </c>
      <c r="AW624" s="84" t="str">
        <f>IFERROR(ROUND((tblPiNHistorical[[#This Row],[CP New]]-tblPiNHistorical[[#This Row],[CP Old ]])/tblPiNHistorical[[#This Row],[CP Old ]], 1), "")</f>
        <v/>
      </c>
      <c r="AX624" s="84" t="str">
        <f>IFERROR(ROUND((tblPiNHistorical[[#This Row],[GBV New]]-tblPiNHistorical[[#This Row],[GBV Old]])/tblPiNHistorical[[#This Row],[GBV Old]], 1), "")</f>
        <v/>
      </c>
      <c r="AY624" s="84" t="str">
        <f>IFERROR(ROUND((tblPiNHistorical[[#This Row],[Mine Action New]]-tblPiNHistorical[[#This Row],[Mine Action Old]])/tblPiNHistorical[[#This Row],[Mine Action Old]], 1), "")</f>
        <v/>
      </c>
      <c r="AZ624" s="140" t="str">
        <f>IFERROR(ROUND((tblPiNHistorical[[#This Row],[Shelter NFI New]]-tblPiNHistorical[[#This Row],[Shelter NFI Old]])/tblPiNHistorical[[#This Row],[Shelter NFI Old]], 1), "")</f>
        <v/>
      </c>
      <c r="BA624" s="31" t="str">
        <f>IFERROR(ROUND((tblPiNHistorical[[#This Row],[WASH New]]-tblPiNHistorical[[#This Row],[WASH Old]])/tblPiNHistorical[[#This Row],[WASH Old]], 1), "")</f>
        <v/>
      </c>
    </row>
    <row r="625" spans="1:53" ht="38.25" x14ac:dyDescent="0.25">
      <c r="A625"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Non-displaced PopulationSD11056</v>
      </c>
      <c r="B625" s="134" t="s">
        <v>161</v>
      </c>
      <c r="C625" s="124" t="s">
        <v>128</v>
      </c>
      <c r="D625" s="124" t="s">
        <v>430</v>
      </c>
      <c r="E625" s="59" t="s">
        <v>431</v>
      </c>
      <c r="F625" s="54"/>
      <c r="G625" s="29"/>
      <c r="H625" s="53">
        <v>40303</v>
      </c>
      <c r="I625" s="53" t="s">
        <v>89</v>
      </c>
      <c r="J625" s="34">
        <v>0</v>
      </c>
      <c r="K625" s="116">
        <v>0</v>
      </c>
      <c r="L625" s="114">
        <v>22441.38393</v>
      </c>
      <c r="M625" s="114">
        <v>0</v>
      </c>
      <c r="N625" s="114">
        <v>8418</v>
      </c>
      <c r="O625" s="114">
        <v>4433.3300000000008</v>
      </c>
      <c r="P625" s="114">
        <v>4433</v>
      </c>
      <c r="Q625" s="114">
        <v>2126</v>
      </c>
      <c r="R625" s="114">
        <v>0</v>
      </c>
      <c r="S625" s="114">
        <v>0</v>
      </c>
      <c r="T625" s="196">
        <v>34721.034500000002</v>
      </c>
      <c r="U625" s="52" t="str">
        <f>IFERROR(INDEX(tblPiNAnalysis[[Site Management ]], MATCH(tblPiNHistorical[[#This Row],[ID]], tblPiNAnalysis[ID], 0)), "")</f>
        <v/>
      </c>
      <c r="V625" s="52" t="str">
        <f>IFERROR(INDEX(tblPiNAnalysis[Education], MATCH(tblPiNHistorical[[#This Row],[ID]], tblPiNAnalysis[ID], 0)), "")</f>
        <v/>
      </c>
      <c r="W625" s="28" t="str">
        <f>IFERROR(INDEX(tblPiNAnalysis[Food Security and Livlihoods], MATCH(tblPiNHistorical[[#This Row],[ID]], tblPiNAnalysis[ID], 0)), "")</f>
        <v/>
      </c>
      <c r="X625" s="28" t="str">
        <f>IFERROR(INDEX(tblPiNAnalysis[[Health ]], MATCH(tblPiNHistorical[[#This Row],[ID]], tblPiNAnalysis[ID], 0)), "")</f>
        <v/>
      </c>
      <c r="Y625" s="28" t="str">
        <f>IFERROR(INDEX(tblPiNAnalysis[Nutrition], MATCH(tblPiNHistorical[[#This Row],[ID]], tblPiNAnalysis[ID], 0)), "")</f>
        <v/>
      </c>
      <c r="Z625" s="28" t="str">
        <f>IFERROR(INDEX(tblPiNAnalysis[Protection], MATCH(tblPiNHistorical[[#This Row],[ID]], tblPiNAnalysis[ID], 0)), "")</f>
        <v/>
      </c>
      <c r="AA625" s="28" t="str">
        <f>IFERROR(INDEX(tblPiNAnalysis[CP], MATCH(tblPiNHistorical[[#This Row],[ID]], tblPiNAnalysis[ID], 0)), "")</f>
        <v/>
      </c>
      <c r="AB625" s="83" t="str">
        <f>IFERROR(INDEX(tblPiNAnalysis[GBV], MATCH(tblPiNHistorical[[#This Row],[ID]], tblPiNAnalysis[ID], 0)), "")</f>
        <v/>
      </c>
      <c r="AC625" s="28" t="str">
        <f>IFERROR(INDEX(tblPiNAnalysis[Mine Action], MATCH(tblPiNHistorical[[#This Row],[ID]], tblPiNAnalysis[ID], 0)), "")</f>
        <v/>
      </c>
      <c r="AD625" s="83" t="str">
        <f>IFERROR(INDEX(tblPiNAnalysis[[Shelter NFI ]], MATCH(tblPiNHistorical[[#This Row],[ID]], tblPiNAnalysis[ID], 0)), "")</f>
        <v/>
      </c>
      <c r="AE625" s="28" t="str">
        <f>IFERROR(INDEX(tblPiNAnalysis[WASH], MATCH(tblPiNHistorical[[#This Row],[ID]], tblPiNAnalysis[ID], 0)), "")</f>
        <v/>
      </c>
      <c r="AF625"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625" s="136" t="str">
        <f>IF(OR(tblPiNHistorical[[#This Row],[Education Old]]="", tblPiNHistorical[[#This Row],[Education Old]]=0, tblPiNHistorical[[#This Row],[Education New]]="", tblPiNHistorical[[#This Row],[Education New]]=0), "", tblPiNHistorical[[#This Row],[Education New]]-tblPiNHistorical[[#This Row],[Education Old]])</f>
        <v/>
      </c>
      <c r="AH625"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625" s="137" t="str">
        <f>IF(OR(tblPiNHistorical[[#This Row],[Health Old]]="", tblPiNHistorical[[#This Row],[Health Old]]=0, tblPiNHistorical[[#This Row],[Health New]]="", tblPiNHistorical[[#This Row],[Health New]]=0), "", tblPiNHistorical[[#This Row],[Health New]]-tblPiNHistorical[[#This Row],[Health Old]])</f>
        <v/>
      </c>
      <c r="AJ625" s="136" t="str">
        <f>IF(OR(tblPiNHistorical[[#This Row],[Nutrition Old]]="", tblPiNHistorical[[#This Row],[Nutrition Old]]=0, tblPiNHistorical[[#This Row],[Nutrition New]]="", tblPiNHistorical[[#This Row],[Nutrition New]]=0), "", tblPiNHistorical[[#This Row],[Nutrition New]]-tblPiNHistorical[[#This Row],[Nutrition Old]])</f>
        <v/>
      </c>
      <c r="AK625" s="136" t="str">
        <f>IF(OR(tblPiNHistorical[[#This Row],[Protection Old]]="", tblPiNHistorical[[#This Row],[Protection Old]]=0, tblPiNHistorical[[#This Row],[Protection New]]="", tblPiNHistorical[[#This Row],[Protection New]]=0), "", tblPiNHistorical[[#This Row],[Protection New]]-tblPiNHistorical[[#This Row],[Protection Old]])</f>
        <v/>
      </c>
      <c r="AL625" s="136" t="str">
        <f>IF(OR(tblPiNHistorical[[#This Row],[CP Old ]]="", tblPiNHistorical[[#This Row],[CP Old ]]=0, tblPiNHistorical[[#This Row],[CP New]]="", tblPiNHistorical[[#This Row],[CP New]]=0), "", tblPiNHistorical[[#This Row],[CP New]]-tblPiNHistorical[[#This Row],[CP Old ]])</f>
        <v/>
      </c>
      <c r="AM625" s="83" t="str">
        <f>IF(OR(tblPiNHistorical[[#This Row],[GBV Old]]="", tblPiNHistorical[[#This Row],[GBV Old]]=0, tblPiNHistorical[[#This Row],[GBV New]]="", tblPiNHistorical[[#This Row],[GBV New]]=0), "", tblPiNHistorical[[#This Row],[GBV New]]-tblPiNHistorical[[#This Row],[GBV Old]])</f>
        <v/>
      </c>
      <c r="AN625" s="83" t="str">
        <f>IF(OR(tblPiNHistorical[[#This Row],[Mine Action Old]]="", tblPiNHistorical[[#This Row],[Mine Action Old]]=0, tblPiNHistorical[[#This Row],[Mine Action New]]="", tblPiNHistorical[[#This Row],[Mine Action New]]=0), "", tblPiNHistorical[[#This Row],[Mine Action New]]-tblPiNHistorical[[#This Row],[Mine Action Old]])</f>
        <v/>
      </c>
      <c r="AO625" s="136" t="str">
        <f>IF(OR(tblPiNHistorical[[#This Row],[Shelter NFI Old]]="", tblPiNHistorical[[#This Row],[Shelter NFI Old]]=0, tblPiNHistorical[[#This Row],[Shelter NFI New]]="", tblPiNHistorical[[#This Row],[Shelter NFI New]]=0), "", tblPiNHistorical[[#This Row],[Shelter NFI New]]-tblPiNHistorical[[#This Row],[Shelter NFI Old]])</f>
        <v/>
      </c>
      <c r="AP625" s="138" t="str">
        <f>IF(OR(tblPiNHistorical[[#This Row],[WASH Old]]="", tblPiNHistorical[[#This Row],[WASH Old]]=0, tblPiNHistorical[[#This Row],[WASH New]]="", tblPiNHistorical[[#This Row],[WASH New]]=0), "", tblPiNHistorical[[#This Row],[WASH New]]-tblPiNHistorical[[#This Row],[WASH Old]])</f>
        <v/>
      </c>
      <c r="AQ625" s="139" t="str">
        <f>IFERROR(ROUND((tblPiNHistorical[[#This Row],[Site Management - New]] - tblPiNHistorical[[#This Row],[Site Management - Old]])/tblPiNHistorical[[#This Row],[Site Management - Old]], 1), "")</f>
        <v/>
      </c>
      <c r="AR625" s="140" t="str">
        <f>IFERROR(ROUND((tblPiNHistorical[[#This Row],[Education New]]-tblPiNHistorical[[#This Row],[Education Old]])/tblPiNHistorical[[#This Row],[Education Old]], 1), "")</f>
        <v/>
      </c>
      <c r="AS625" s="141" t="str">
        <f>IFERROR(ROUND((tblPiNHistorical[[#This Row],[Food Security and Livlihoods New]]-tblPiNHistorical[[#This Row],[Food Security and Livlihoods Old]])/tblPiNHistorical[[#This Row],[Food Security and Livlihoods Old]], 1), "")</f>
        <v/>
      </c>
      <c r="AT625" s="142" t="str">
        <f>IFERROR(ROUND((tblPiNHistorical[[#This Row],[Health New]]-tblPiNHistorical[[#This Row],[Health Old]])/tblPiNHistorical[[#This Row],[Health Old]], 1), "")</f>
        <v/>
      </c>
      <c r="AU625" s="140" t="str">
        <f>IFERROR(ROUND((tblPiNHistorical[[#This Row],[Nutrition New]]-tblPiNHistorical[[#This Row],[Nutrition Old]])/tblPiNHistorical[[#This Row],[Nutrition Old]], 1), "")</f>
        <v/>
      </c>
      <c r="AV625" s="140" t="str">
        <f>IFERROR(ROUND((tblPiNHistorical[[#This Row],[Protection New]]-tblPiNHistorical[[#This Row],[Protection Old]])/tblPiNHistorical[[#This Row],[Protection Old]], 1), "")</f>
        <v/>
      </c>
      <c r="AW625" s="84" t="str">
        <f>IFERROR(ROUND((tblPiNHistorical[[#This Row],[CP New]]-tblPiNHistorical[[#This Row],[CP Old ]])/tblPiNHistorical[[#This Row],[CP Old ]], 1), "")</f>
        <v/>
      </c>
      <c r="AX625" s="84" t="str">
        <f>IFERROR(ROUND((tblPiNHistorical[[#This Row],[GBV New]]-tblPiNHistorical[[#This Row],[GBV Old]])/tblPiNHistorical[[#This Row],[GBV Old]], 1), "")</f>
        <v/>
      </c>
      <c r="AY625" s="84" t="str">
        <f>IFERROR(ROUND((tblPiNHistorical[[#This Row],[Mine Action New]]-tblPiNHistorical[[#This Row],[Mine Action Old]])/tblPiNHistorical[[#This Row],[Mine Action Old]], 1), "")</f>
        <v/>
      </c>
      <c r="AZ625" s="140" t="str">
        <f>IFERROR(ROUND((tblPiNHistorical[[#This Row],[Shelter NFI New]]-tblPiNHistorical[[#This Row],[Shelter NFI Old]])/tblPiNHistorical[[#This Row],[Shelter NFI Old]], 1), "")</f>
        <v/>
      </c>
      <c r="BA625" s="31" t="str">
        <f>IFERROR(ROUND((tblPiNHistorical[[#This Row],[WASH New]]-tblPiNHistorical[[#This Row],[WASH Old]])/tblPiNHistorical[[#This Row],[WASH Old]], 1), "")</f>
        <v/>
      </c>
    </row>
    <row r="626" spans="1:53" ht="38.25" x14ac:dyDescent="0.25">
      <c r="A626"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Non-displaced PopulationSD11060</v>
      </c>
      <c r="B626" s="134" t="s">
        <v>161</v>
      </c>
      <c r="C626" s="124" t="s">
        <v>128</v>
      </c>
      <c r="D626" s="124" t="s">
        <v>438</v>
      </c>
      <c r="E626" s="59" t="s">
        <v>439</v>
      </c>
      <c r="F626" s="54"/>
      <c r="G626" s="29"/>
      <c r="H626" s="53">
        <v>55146</v>
      </c>
      <c r="I626" s="53" t="s">
        <v>89</v>
      </c>
      <c r="J626" s="34">
        <v>0</v>
      </c>
      <c r="K626" s="116">
        <v>0</v>
      </c>
      <c r="L626" s="114">
        <v>24815.7</v>
      </c>
      <c r="M626" s="114">
        <v>0</v>
      </c>
      <c r="N626" s="114">
        <v>5269</v>
      </c>
      <c r="O626" s="114">
        <v>6066.0600000000013</v>
      </c>
      <c r="P626" s="114">
        <v>6066</v>
      </c>
      <c r="Q626" s="114">
        <v>2910</v>
      </c>
      <c r="R626" s="114">
        <v>0</v>
      </c>
      <c r="S626" s="114">
        <v>0</v>
      </c>
      <c r="T626" s="196">
        <v>42462.42</v>
      </c>
      <c r="U626" s="52" t="str">
        <f>IFERROR(INDEX(tblPiNAnalysis[[Site Management ]], MATCH(tblPiNHistorical[[#This Row],[ID]], tblPiNAnalysis[ID], 0)), "")</f>
        <v/>
      </c>
      <c r="V626" s="52" t="str">
        <f>IFERROR(INDEX(tblPiNAnalysis[Education], MATCH(tblPiNHistorical[[#This Row],[ID]], tblPiNAnalysis[ID], 0)), "")</f>
        <v/>
      </c>
      <c r="W626" s="28" t="str">
        <f>IFERROR(INDEX(tblPiNAnalysis[Food Security and Livlihoods], MATCH(tblPiNHistorical[[#This Row],[ID]], tblPiNAnalysis[ID], 0)), "")</f>
        <v/>
      </c>
      <c r="X626" s="28" t="str">
        <f>IFERROR(INDEX(tblPiNAnalysis[[Health ]], MATCH(tblPiNHistorical[[#This Row],[ID]], tblPiNAnalysis[ID], 0)), "")</f>
        <v/>
      </c>
      <c r="Y626" s="28" t="str">
        <f>IFERROR(INDEX(tblPiNAnalysis[Nutrition], MATCH(tblPiNHistorical[[#This Row],[ID]], tblPiNAnalysis[ID], 0)), "")</f>
        <v/>
      </c>
      <c r="Z626" s="28" t="str">
        <f>IFERROR(INDEX(tblPiNAnalysis[Protection], MATCH(tblPiNHistorical[[#This Row],[ID]], tblPiNAnalysis[ID], 0)), "")</f>
        <v/>
      </c>
      <c r="AA626" s="28" t="str">
        <f>IFERROR(INDEX(tblPiNAnalysis[CP], MATCH(tblPiNHistorical[[#This Row],[ID]], tblPiNAnalysis[ID], 0)), "")</f>
        <v/>
      </c>
      <c r="AB626" s="83" t="str">
        <f>IFERROR(INDEX(tblPiNAnalysis[GBV], MATCH(tblPiNHistorical[[#This Row],[ID]], tblPiNAnalysis[ID], 0)), "")</f>
        <v/>
      </c>
      <c r="AC626" s="28" t="str">
        <f>IFERROR(INDEX(tblPiNAnalysis[Mine Action], MATCH(tblPiNHistorical[[#This Row],[ID]], tblPiNAnalysis[ID], 0)), "")</f>
        <v/>
      </c>
      <c r="AD626" s="83" t="str">
        <f>IFERROR(INDEX(tblPiNAnalysis[[Shelter NFI ]], MATCH(tblPiNHistorical[[#This Row],[ID]], tblPiNAnalysis[ID], 0)), "")</f>
        <v/>
      </c>
      <c r="AE626" s="28" t="str">
        <f>IFERROR(INDEX(tblPiNAnalysis[WASH], MATCH(tblPiNHistorical[[#This Row],[ID]], tblPiNAnalysis[ID], 0)), "")</f>
        <v/>
      </c>
      <c r="AF626"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626" s="136" t="str">
        <f>IF(OR(tblPiNHistorical[[#This Row],[Education Old]]="", tblPiNHistorical[[#This Row],[Education Old]]=0, tblPiNHistorical[[#This Row],[Education New]]="", tblPiNHistorical[[#This Row],[Education New]]=0), "", tblPiNHistorical[[#This Row],[Education New]]-tblPiNHistorical[[#This Row],[Education Old]])</f>
        <v/>
      </c>
      <c r="AH626"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626" s="137" t="str">
        <f>IF(OR(tblPiNHistorical[[#This Row],[Health Old]]="", tblPiNHistorical[[#This Row],[Health Old]]=0, tblPiNHistorical[[#This Row],[Health New]]="", tblPiNHistorical[[#This Row],[Health New]]=0), "", tblPiNHistorical[[#This Row],[Health New]]-tblPiNHistorical[[#This Row],[Health Old]])</f>
        <v/>
      </c>
      <c r="AJ626" s="136" t="str">
        <f>IF(OR(tblPiNHistorical[[#This Row],[Nutrition Old]]="", tblPiNHistorical[[#This Row],[Nutrition Old]]=0, tblPiNHistorical[[#This Row],[Nutrition New]]="", tblPiNHistorical[[#This Row],[Nutrition New]]=0), "", tblPiNHistorical[[#This Row],[Nutrition New]]-tblPiNHistorical[[#This Row],[Nutrition Old]])</f>
        <v/>
      </c>
      <c r="AK626" s="136" t="str">
        <f>IF(OR(tblPiNHistorical[[#This Row],[Protection Old]]="", tblPiNHistorical[[#This Row],[Protection Old]]=0, tblPiNHistorical[[#This Row],[Protection New]]="", tblPiNHistorical[[#This Row],[Protection New]]=0), "", tblPiNHistorical[[#This Row],[Protection New]]-tblPiNHistorical[[#This Row],[Protection Old]])</f>
        <v/>
      </c>
      <c r="AL626" s="136" t="str">
        <f>IF(OR(tblPiNHistorical[[#This Row],[CP Old ]]="", tblPiNHistorical[[#This Row],[CP Old ]]=0, tblPiNHistorical[[#This Row],[CP New]]="", tblPiNHistorical[[#This Row],[CP New]]=0), "", tblPiNHistorical[[#This Row],[CP New]]-tblPiNHistorical[[#This Row],[CP Old ]])</f>
        <v/>
      </c>
      <c r="AM626" s="83" t="str">
        <f>IF(OR(tblPiNHistorical[[#This Row],[GBV Old]]="", tblPiNHistorical[[#This Row],[GBV Old]]=0, tblPiNHistorical[[#This Row],[GBV New]]="", tblPiNHistorical[[#This Row],[GBV New]]=0), "", tblPiNHistorical[[#This Row],[GBV New]]-tblPiNHistorical[[#This Row],[GBV Old]])</f>
        <v/>
      </c>
      <c r="AN626" s="83" t="str">
        <f>IF(OR(tblPiNHistorical[[#This Row],[Mine Action Old]]="", tblPiNHistorical[[#This Row],[Mine Action Old]]=0, tblPiNHistorical[[#This Row],[Mine Action New]]="", tblPiNHistorical[[#This Row],[Mine Action New]]=0), "", tblPiNHistorical[[#This Row],[Mine Action New]]-tblPiNHistorical[[#This Row],[Mine Action Old]])</f>
        <v/>
      </c>
      <c r="AO626" s="136" t="str">
        <f>IF(OR(tblPiNHistorical[[#This Row],[Shelter NFI Old]]="", tblPiNHistorical[[#This Row],[Shelter NFI Old]]=0, tblPiNHistorical[[#This Row],[Shelter NFI New]]="", tblPiNHistorical[[#This Row],[Shelter NFI New]]=0), "", tblPiNHistorical[[#This Row],[Shelter NFI New]]-tblPiNHistorical[[#This Row],[Shelter NFI Old]])</f>
        <v/>
      </c>
      <c r="AP626" s="138" t="str">
        <f>IF(OR(tblPiNHistorical[[#This Row],[WASH Old]]="", tblPiNHistorical[[#This Row],[WASH Old]]=0, tblPiNHistorical[[#This Row],[WASH New]]="", tblPiNHistorical[[#This Row],[WASH New]]=0), "", tblPiNHistorical[[#This Row],[WASH New]]-tblPiNHistorical[[#This Row],[WASH Old]])</f>
        <v/>
      </c>
      <c r="AQ626" s="139" t="str">
        <f>IFERROR(ROUND((tblPiNHistorical[[#This Row],[Site Management - New]] - tblPiNHistorical[[#This Row],[Site Management - Old]])/tblPiNHistorical[[#This Row],[Site Management - Old]], 1), "")</f>
        <v/>
      </c>
      <c r="AR626" s="140" t="str">
        <f>IFERROR(ROUND((tblPiNHistorical[[#This Row],[Education New]]-tblPiNHistorical[[#This Row],[Education Old]])/tblPiNHistorical[[#This Row],[Education Old]], 1), "")</f>
        <v/>
      </c>
      <c r="AS626" s="141" t="str">
        <f>IFERROR(ROUND((tblPiNHistorical[[#This Row],[Food Security and Livlihoods New]]-tblPiNHistorical[[#This Row],[Food Security and Livlihoods Old]])/tblPiNHistorical[[#This Row],[Food Security and Livlihoods Old]], 1), "")</f>
        <v/>
      </c>
      <c r="AT626" s="142" t="str">
        <f>IFERROR(ROUND((tblPiNHistorical[[#This Row],[Health New]]-tblPiNHistorical[[#This Row],[Health Old]])/tblPiNHistorical[[#This Row],[Health Old]], 1), "")</f>
        <v/>
      </c>
      <c r="AU626" s="140" t="str">
        <f>IFERROR(ROUND((tblPiNHistorical[[#This Row],[Nutrition New]]-tblPiNHistorical[[#This Row],[Nutrition Old]])/tblPiNHistorical[[#This Row],[Nutrition Old]], 1), "")</f>
        <v/>
      </c>
      <c r="AV626" s="140" t="str">
        <f>IFERROR(ROUND((tblPiNHistorical[[#This Row],[Protection New]]-tblPiNHistorical[[#This Row],[Protection Old]])/tblPiNHistorical[[#This Row],[Protection Old]], 1), "")</f>
        <v/>
      </c>
      <c r="AW626" s="84" t="str">
        <f>IFERROR(ROUND((tblPiNHistorical[[#This Row],[CP New]]-tblPiNHistorical[[#This Row],[CP Old ]])/tblPiNHistorical[[#This Row],[CP Old ]], 1), "")</f>
        <v/>
      </c>
      <c r="AX626" s="84" t="str">
        <f>IFERROR(ROUND((tblPiNHistorical[[#This Row],[GBV New]]-tblPiNHistorical[[#This Row],[GBV Old]])/tblPiNHistorical[[#This Row],[GBV Old]], 1), "")</f>
        <v/>
      </c>
      <c r="AY626" s="84" t="str">
        <f>IFERROR(ROUND((tblPiNHistorical[[#This Row],[Mine Action New]]-tblPiNHistorical[[#This Row],[Mine Action Old]])/tblPiNHistorical[[#This Row],[Mine Action Old]], 1), "")</f>
        <v/>
      </c>
      <c r="AZ626" s="140" t="str">
        <f>IFERROR(ROUND((tblPiNHistorical[[#This Row],[Shelter NFI New]]-tblPiNHistorical[[#This Row],[Shelter NFI Old]])/tblPiNHistorical[[#This Row],[Shelter NFI Old]], 1), "")</f>
        <v/>
      </c>
      <c r="BA626" s="31" t="str">
        <f>IFERROR(ROUND((tblPiNHistorical[[#This Row],[WASH New]]-tblPiNHistorical[[#This Row],[WASH Old]])/tblPiNHistorical[[#This Row],[WASH Old]], 1), "")</f>
        <v/>
      </c>
    </row>
    <row r="627" spans="1:53" ht="38.25" x14ac:dyDescent="0.25">
      <c r="A627"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Non-displaced PopulationSD11062</v>
      </c>
      <c r="B627" s="134" t="s">
        <v>161</v>
      </c>
      <c r="C627" s="124" t="s">
        <v>128</v>
      </c>
      <c r="D627" s="124" t="s">
        <v>442</v>
      </c>
      <c r="E627" s="59" t="s">
        <v>443</v>
      </c>
      <c r="F627" s="54"/>
      <c r="G627" s="29"/>
      <c r="H627" s="53">
        <v>117024</v>
      </c>
      <c r="I627" s="53" t="s">
        <v>89</v>
      </c>
      <c r="J627" s="34">
        <v>0</v>
      </c>
      <c r="K627" s="116">
        <v>45370.2048</v>
      </c>
      <c r="L627" s="114">
        <v>64363.199999999997</v>
      </c>
      <c r="M627" s="114">
        <v>0</v>
      </c>
      <c r="N627" s="114">
        <v>21408</v>
      </c>
      <c r="O627" s="114">
        <v>12872.640000000001</v>
      </c>
      <c r="P627" s="114">
        <v>12873</v>
      </c>
      <c r="Q627" s="114">
        <v>6175</v>
      </c>
      <c r="R627" s="114">
        <v>0</v>
      </c>
      <c r="S627" s="114">
        <v>23405</v>
      </c>
      <c r="T627" s="196">
        <v>116040.9984</v>
      </c>
      <c r="U627" s="52" t="str">
        <f>IFERROR(INDEX(tblPiNAnalysis[[Site Management ]], MATCH(tblPiNHistorical[[#This Row],[ID]], tblPiNAnalysis[ID], 0)), "")</f>
        <v/>
      </c>
      <c r="V627" s="52" t="str">
        <f>IFERROR(INDEX(tblPiNAnalysis[Education], MATCH(tblPiNHistorical[[#This Row],[ID]], tblPiNAnalysis[ID], 0)), "")</f>
        <v/>
      </c>
      <c r="W627" s="28" t="str">
        <f>IFERROR(INDEX(tblPiNAnalysis[Food Security and Livlihoods], MATCH(tblPiNHistorical[[#This Row],[ID]], tblPiNAnalysis[ID], 0)), "")</f>
        <v/>
      </c>
      <c r="X627" s="28" t="str">
        <f>IFERROR(INDEX(tblPiNAnalysis[[Health ]], MATCH(tblPiNHistorical[[#This Row],[ID]], tblPiNAnalysis[ID], 0)), "")</f>
        <v/>
      </c>
      <c r="Y627" s="28" t="str">
        <f>IFERROR(INDEX(tblPiNAnalysis[Nutrition], MATCH(tblPiNHistorical[[#This Row],[ID]], tblPiNAnalysis[ID], 0)), "")</f>
        <v/>
      </c>
      <c r="Z627" s="28" t="str">
        <f>IFERROR(INDEX(tblPiNAnalysis[Protection], MATCH(tblPiNHistorical[[#This Row],[ID]], tblPiNAnalysis[ID], 0)), "")</f>
        <v/>
      </c>
      <c r="AA627" s="28" t="str">
        <f>IFERROR(INDEX(tblPiNAnalysis[CP], MATCH(tblPiNHistorical[[#This Row],[ID]], tblPiNAnalysis[ID], 0)), "")</f>
        <v/>
      </c>
      <c r="AB627" s="83" t="str">
        <f>IFERROR(INDEX(tblPiNAnalysis[GBV], MATCH(tblPiNHistorical[[#This Row],[ID]], tblPiNAnalysis[ID], 0)), "")</f>
        <v/>
      </c>
      <c r="AC627" s="28" t="str">
        <f>IFERROR(INDEX(tblPiNAnalysis[Mine Action], MATCH(tblPiNHistorical[[#This Row],[ID]], tblPiNAnalysis[ID], 0)), "")</f>
        <v/>
      </c>
      <c r="AD627" s="83" t="str">
        <f>IFERROR(INDEX(tblPiNAnalysis[[Shelter NFI ]], MATCH(tblPiNHistorical[[#This Row],[ID]], tblPiNAnalysis[ID], 0)), "")</f>
        <v/>
      </c>
      <c r="AE627" s="28" t="str">
        <f>IFERROR(INDEX(tblPiNAnalysis[WASH], MATCH(tblPiNHistorical[[#This Row],[ID]], tblPiNAnalysis[ID], 0)), "")</f>
        <v/>
      </c>
      <c r="AF627"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627" s="136" t="str">
        <f>IF(OR(tblPiNHistorical[[#This Row],[Education Old]]="", tblPiNHistorical[[#This Row],[Education Old]]=0, tblPiNHistorical[[#This Row],[Education New]]="", tblPiNHistorical[[#This Row],[Education New]]=0), "", tblPiNHistorical[[#This Row],[Education New]]-tblPiNHistorical[[#This Row],[Education Old]])</f>
        <v/>
      </c>
      <c r="AH627"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627" s="137" t="str">
        <f>IF(OR(tblPiNHistorical[[#This Row],[Health Old]]="", tblPiNHistorical[[#This Row],[Health Old]]=0, tblPiNHistorical[[#This Row],[Health New]]="", tblPiNHistorical[[#This Row],[Health New]]=0), "", tblPiNHistorical[[#This Row],[Health New]]-tblPiNHistorical[[#This Row],[Health Old]])</f>
        <v/>
      </c>
      <c r="AJ627" s="136" t="str">
        <f>IF(OR(tblPiNHistorical[[#This Row],[Nutrition Old]]="", tblPiNHistorical[[#This Row],[Nutrition Old]]=0, tblPiNHistorical[[#This Row],[Nutrition New]]="", tblPiNHistorical[[#This Row],[Nutrition New]]=0), "", tblPiNHistorical[[#This Row],[Nutrition New]]-tblPiNHistorical[[#This Row],[Nutrition Old]])</f>
        <v/>
      </c>
      <c r="AK627" s="136" t="str">
        <f>IF(OR(tblPiNHistorical[[#This Row],[Protection Old]]="", tblPiNHistorical[[#This Row],[Protection Old]]=0, tblPiNHistorical[[#This Row],[Protection New]]="", tblPiNHistorical[[#This Row],[Protection New]]=0), "", tblPiNHistorical[[#This Row],[Protection New]]-tblPiNHistorical[[#This Row],[Protection Old]])</f>
        <v/>
      </c>
      <c r="AL627" s="136" t="str">
        <f>IF(OR(tblPiNHistorical[[#This Row],[CP Old ]]="", tblPiNHistorical[[#This Row],[CP Old ]]=0, tblPiNHistorical[[#This Row],[CP New]]="", tblPiNHistorical[[#This Row],[CP New]]=0), "", tblPiNHistorical[[#This Row],[CP New]]-tblPiNHistorical[[#This Row],[CP Old ]])</f>
        <v/>
      </c>
      <c r="AM627" s="83" t="str">
        <f>IF(OR(tblPiNHistorical[[#This Row],[GBV Old]]="", tblPiNHistorical[[#This Row],[GBV Old]]=0, tblPiNHistorical[[#This Row],[GBV New]]="", tblPiNHistorical[[#This Row],[GBV New]]=0), "", tblPiNHistorical[[#This Row],[GBV New]]-tblPiNHistorical[[#This Row],[GBV Old]])</f>
        <v/>
      </c>
      <c r="AN627" s="83" t="str">
        <f>IF(OR(tblPiNHistorical[[#This Row],[Mine Action Old]]="", tblPiNHistorical[[#This Row],[Mine Action Old]]=0, tblPiNHistorical[[#This Row],[Mine Action New]]="", tblPiNHistorical[[#This Row],[Mine Action New]]=0), "", tblPiNHistorical[[#This Row],[Mine Action New]]-tblPiNHistorical[[#This Row],[Mine Action Old]])</f>
        <v/>
      </c>
      <c r="AO627" s="136" t="str">
        <f>IF(OR(tblPiNHistorical[[#This Row],[Shelter NFI Old]]="", tblPiNHistorical[[#This Row],[Shelter NFI Old]]=0, tblPiNHistorical[[#This Row],[Shelter NFI New]]="", tblPiNHistorical[[#This Row],[Shelter NFI New]]=0), "", tblPiNHistorical[[#This Row],[Shelter NFI New]]-tblPiNHistorical[[#This Row],[Shelter NFI Old]])</f>
        <v/>
      </c>
      <c r="AP627" s="138" t="str">
        <f>IF(OR(tblPiNHistorical[[#This Row],[WASH Old]]="", tblPiNHistorical[[#This Row],[WASH Old]]=0, tblPiNHistorical[[#This Row],[WASH New]]="", tblPiNHistorical[[#This Row],[WASH New]]=0), "", tblPiNHistorical[[#This Row],[WASH New]]-tblPiNHistorical[[#This Row],[WASH Old]])</f>
        <v/>
      </c>
      <c r="AQ627" s="139" t="str">
        <f>IFERROR(ROUND((tblPiNHistorical[[#This Row],[Site Management - New]] - tblPiNHistorical[[#This Row],[Site Management - Old]])/tblPiNHistorical[[#This Row],[Site Management - Old]], 1), "")</f>
        <v/>
      </c>
      <c r="AR627" s="140" t="str">
        <f>IFERROR(ROUND((tblPiNHistorical[[#This Row],[Education New]]-tblPiNHistorical[[#This Row],[Education Old]])/tblPiNHistorical[[#This Row],[Education Old]], 1), "")</f>
        <v/>
      </c>
      <c r="AS627" s="141" t="str">
        <f>IFERROR(ROUND((tblPiNHistorical[[#This Row],[Food Security and Livlihoods New]]-tblPiNHistorical[[#This Row],[Food Security and Livlihoods Old]])/tblPiNHistorical[[#This Row],[Food Security and Livlihoods Old]], 1), "")</f>
        <v/>
      </c>
      <c r="AT627" s="142" t="str">
        <f>IFERROR(ROUND((tblPiNHistorical[[#This Row],[Health New]]-tblPiNHistorical[[#This Row],[Health Old]])/tblPiNHistorical[[#This Row],[Health Old]], 1), "")</f>
        <v/>
      </c>
      <c r="AU627" s="140" t="str">
        <f>IFERROR(ROUND((tblPiNHistorical[[#This Row],[Nutrition New]]-tblPiNHistorical[[#This Row],[Nutrition Old]])/tblPiNHistorical[[#This Row],[Nutrition Old]], 1), "")</f>
        <v/>
      </c>
      <c r="AV627" s="140" t="str">
        <f>IFERROR(ROUND((tblPiNHistorical[[#This Row],[Protection New]]-tblPiNHistorical[[#This Row],[Protection Old]])/tblPiNHistorical[[#This Row],[Protection Old]], 1), "")</f>
        <v/>
      </c>
      <c r="AW627" s="84" t="str">
        <f>IFERROR(ROUND((tblPiNHistorical[[#This Row],[CP New]]-tblPiNHistorical[[#This Row],[CP Old ]])/tblPiNHistorical[[#This Row],[CP Old ]], 1), "")</f>
        <v/>
      </c>
      <c r="AX627" s="84" t="str">
        <f>IFERROR(ROUND((tblPiNHistorical[[#This Row],[GBV New]]-tblPiNHistorical[[#This Row],[GBV Old]])/tblPiNHistorical[[#This Row],[GBV Old]], 1), "")</f>
        <v/>
      </c>
      <c r="AY627" s="84" t="str">
        <f>IFERROR(ROUND((tblPiNHistorical[[#This Row],[Mine Action New]]-tblPiNHistorical[[#This Row],[Mine Action Old]])/tblPiNHistorical[[#This Row],[Mine Action Old]], 1), "")</f>
        <v/>
      </c>
      <c r="AZ627" s="140" t="str">
        <f>IFERROR(ROUND((tblPiNHistorical[[#This Row],[Shelter NFI New]]-tblPiNHistorical[[#This Row],[Shelter NFI Old]])/tblPiNHistorical[[#This Row],[Shelter NFI Old]], 1), "")</f>
        <v/>
      </c>
      <c r="BA627" s="31" t="str">
        <f>IFERROR(ROUND((tblPiNHistorical[[#This Row],[WASH New]]-tblPiNHistorical[[#This Row],[WASH Old]])/tblPiNHistorical[[#This Row],[WASH Old]], 1), "")</f>
        <v/>
      </c>
    </row>
    <row r="628" spans="1:53" ht="38.25" x14ac:dyDescent="0.25">
      <c r="A628"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Non-displaced PopulationSD11057</v>
      </c>
      <c r="B628" s="134" t="s">
        <v>161</v>
      </c>
      <c r="C628" s="124" t="s">
        <v>128</v>
      </c>
      <c r="D628" s="124" t="s">
        <v>432</v>
      </c>
      <c r="E628" s="59" t="s">
        <v>433</v>
      </c>
      <c r="F628" s="54"/>
      <c r="G628" s="29"/>
      <c r="H628" s="53">
        <v>77375</v>
      </c>
      <c r="I628" s="53" t="s">
        <v>89</v>
      </c>
      <c r="J628" s="34">
        <v>0</v>
      </c>
      <c r="K628" s="116">
        <v>29998.287499999999</v>
      </c>
      <c r="L628" s="114">
        <v>42556.25</v>
      </c>
      <c r="M628" s="114">
        <v>6700</v>
      </c>
      <c r="N628" s="114">
        <v>9949</v>
      </c>
      <c r="O628" s="114">
        <v>8511.25</v>
      </c>
      <c r="P628" s="114">
        <v>8511</v>
      </c>
      <c r="Q628" s="114">
        <v>4084</v>
      </c>
      <c r="R628" s="114">
        <v>0</v>
      </c>
      <c r="S628" s="114">
        <v>15475</v>
      </c>
      <c r="T628" s="196">
        <v>73312.8125</v>
      </c>
      <c r="U628" s="52" t="str">
        <f>IFERROR(INDEX(tblPiNAnalysis[[Site Management ]], MATCH(tblPiNHistorical[[#This Row],[ID]], tblPiNAnalysis[ID], 0)), "")</f>
        <v/>
      </c>
      <c r="V628" s="52" t="str">
        <f>IFERROR(INDEX(tblPiNAnalysis[Education], MATCH(tblPiNHistorical[[#This Row],[ID]], tblPiNAnalysis[ID], 0)), "")</f>
        <v/>
      </c>
      <c r="W628" s="28" t="str">
        <f>IFERROR(INDEX(tblPiNAnalysis[Food Security and Livlihoods], MATCH(tblPiNHistorical[[#This Row],[ID]], tblPiNAnalysis[ID], 0)), "")</f>
        <v/>
      </c>
      <c r="X628" s="28" t="str">
        <f>IFERROR(INDEX(tblPiNAnalysis[[Health ]], MATCH(tblPiNHistorical[[#This Row],[ID]], tblPiNAnalysis[ID], 0)), "")</f>
        <v/>
      </c>
      <c r="Y628" s="28" t="str">
        <f>IFERROR(INDEX(tblPiNAnalysis[Nutrition], MATCH(tblPiNHistorical[[#This Row],[ID]], tblPiNAnalysis[ID], 0)), "")</f>
        <v/>
      </c>
      <c r="Z628" s="28" t="str">
        <f>IFERROR(INDEX(tblPiNAnalysis[Protection], MATCH(tblPiNHistorical[[#This Row],[ID]], tblPiNAnalysis[ID], 0)), "")</f>
        <v/>
      </c>
      <c r="AA628" s="28" t="str">
        <f>IFERROR(INDEX(tblPiNAnalysis[CP], MATCH(tblPiNHistorical[[#This Row],[ID]], tblPiNAnalysis[ID], 0)), "")</f>
        <v/>
      </c>
      <c r="AB628" s="83" t="str">
        <f>IFERROR(INDEX(tblPiNAnalysis[GBV], MATCH(tblPiNHistorical[[#This Row],[ID]], tblPiNAnalysis[ID], 0)), "")</f>
        <v/>
      </c>
      <c r="AC628" s="28" t="str">
        <f>IFERROR(INDEX(tblPiNAnalysis[Mine Action], MATCH(tblPiNHistorical[[#This Row],[ID]], tblPiNAnalysis[ID], 0)), "")</f>
        <v/>
      </c>
      <c r="AD628" s="83" t="str">
        <f>IFERROR(INDEX(tblPiNAnalysis[[Shelter NFI ]], MATCH(tblPiNHistorical[[#This Row],[ID]], tblPiNAnalysis[ID], 0)), "")</f>
        <v/>
      </c>
      <c r="AE628" s="28" t="str">
        <f>IFERROR(INDEX(tblPiNAnalysis[WASH], MATCH(tblPiNHistorical[[#This Row],[ID]], tblPiNAnalysis[ID], 0)), "")</f>
        <v/>
      </c>
      <c r="AF628"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628" s="136" t="str">
        <f>IF(OR(tblPiNHistorical[[#This Row],[Education Old]]="", tblPiNHistorical[[#This Row],[Education Old]]=0, tblPiNHistorical[[#This Row],[Education New]]="", tblPiNHistorical[[#This Row],[Education New]]=0), "", tblPiNHistorical[[#This Row],[Education New]]-tblPiNHistorical[[#This Row],[Education Old]])</f>
        <v/>
      </c>
      <c r="AH628"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628" s="137" t="str">
        <f>IF(OR(tblPiNHistorical[[#This Row],[Health Old]]="", tblPiNHistorical[[#This Row],[Health Old]]=0, tblPiNHistorical[[#This Row],[Health New]]="", tblPiNHistorical[[#This Row],[Health New]]=0), "", tblPiNHistorical[[#This Row],[Health New]]-tblPiNHistorical[[#This Row],[Health Old]])</f>
        <v/>
      </c>
      <c r="AJ628" s="136" t="str">
        <f>IF(OR(tblPiNHistorical[[#This Row],[Nutrition Old]]="", tblPiNHistorical[[#This Row],[Nutrition Old]]=0, tblPiNHistorical[[#This Row],[Nutrition New]]="", tblPiNHistorical[[#This Row],[Nutrition New]]=0), "", tblPiNHistorical[[#This Row],[Nutrition New]]-tblPiNHistorical[[#This Row],[Nutrition Old]])</f>
        <v/>
      </c>
      <c r="AK628" s="136" t="str">
        <f>IF(OR(tblPiNHistorical[[#This Row],[Protection Old]]="", tblPiNHistorical[[#This Row],[Protection Old]]=0, tblPiNHistorical[[#This Row],[Protection New]]="", tblPiNHistorical[[#This Row],[Protection New]]=0), "", tblPiNHistorical[[#This Row],[Protection New]]-tblPiNHistorical[[#This Row],[Protection Old]])</f>
        <v/>
      </c>
      <c r="AL628" s="136" t="str">
        <f>IF(OR(tblPiNHistorical[[#This Row],[CP Old ]]="", tblPiNHistorical[[#This Row],[CP Old ]]=0, tblPiNHistorical[[#This Row],[CP New]]="", tblPiNHistorical[[#This Row],[CP New]]=0), "", tblPiNHistorical[[#This Row],[CP New]]-tblPiNHistorical[[#This Row],[CP Old ]])</f>
        <v/>
      </c>
      <c r="AM628" s="83" t="str">
        <f>IF(OR(tblPiNHistorical[[#This Row],[GBV Old]]="", tblPiNHistorical[[#This Row],[GBV Old]]=0, tblPiNHistorical[[#This Row],[GBV New]]="", tblPiNHistorical[[#This Row],[GBV New]]=0), "", tblPiNHistorical[[#This Row],[GBV New]]-tblPiNHistorical[[#This Row],[GBV Old]])</f>
        <v/>
      </c>
      <c r="AN628" s="83" t="str">
        <f>IF(OR(tblPiNHistorical[[#This Row],[Mine Action Old]]="", tblPiNHistorical[[#This Row],[Mine Action Old]]=0, tblPiNHistorical[[#This Row],[Mine Action New]]="", tblPiNHistorical[[#This Row],[Mine Action New]]=0), "", tblPiNHistorical[[#This Row],[Mine Action New]]-tblPiNHistorical[[#This Row],[Mine Action Old]])</f>
        <v/>
      </c>
      <c r="AO628" s="136" t="str">
        <f>IF(OR(tblPiNHistorical[[#This Row],[Shelter NFI Old]]="", tblPiNHistorical[[#This Row],[Shelter NFI Old]]=0, tblPiNHistorical[[#This Row],[Shelter NFI New]]="", tblPiNHistorical[[#This Row],[Shelter NFI New]]=0), "", tblPiNHistorical[[#This Row],[Shelter NFI New]]-tblPiNHistorical[[#This Row],[Shelter NFI Old]])</f>
        <v/>
      </c>
      <c r="AP628" s="138" t="str">
        <f>IF(OR(tblPiNHistorical[[#This Row],[WASH Old]]="", tblPiNHistorical[[#This Row],[WASH Old]]=0, tblPiNHistorical[[#This Row],[WASH New]]="", tblPiNHistorical[[#This Row],[WASH New]]=0), "", tblPiNHistorical[[#This Row],[WASH New]]-tblPiNHistorical[[#This Row],[WASH Old]])</f>
        <v/>
      </c>
      <c r="AQ628" s="139" t="str">
        <f>IFERROR(ROUND((tblPiNHistorical[[#This Row],[Site Management - New]] - tblPiNHistorical[[#This Row],[Site Management - Old]])/tblPiNHistorical[[#This Row],[Site Management - Old]], 1), "")</f>
        <v/>
      </c>
      <c r="AR628" s="140" t="str">
        <f>IFERROR(ROUND((tblPiNHistorical[[#This Row],[Education New]]-tblPiNHistorical[[#This Row],[Education Old]])/tblPiNHistorical[[#This Row],[Education Old]], 1), "")</f>
        <v/>
      </c>
      <c r="AS628" s="141" t="str">
        <f>IFERROR(ROUND((tblPiNHistorical[[#This Row],[Food Security and Livlihoods New]]-tblPiNHistorical[[#This Row],[Food Security and Livlihoods Old]])/tblPiNHistorical[[#This Row],[Food Security and Livlihoods Old]], 1), "")</f>
        <v/>
      </c>
      <c r="AT628" s="142" t="str">
        <f>IFERROR(ROUND((tblPiNHistorical[[#This Row],[Health New]]-tblPiNHistorical[[#This Row],[Health Old]])/tblPiNHistorical[[#This Row],[Health Old]], 1), "")</f>
        <v/>
      </c>
      <c r="AU628" s="140" t="str">
        <f>IFERROR(ROUND((tblPiNHistorical[[#This Row],[Nutrition New]]-tblPiNHistorical[[#This Row],[Nutrition Old]])/tblPiNHistorical[[#This Row],[Nutrition Old]], 1), "")</f>
        <v/>
      </c>
      <c r="AV628" s="140" t="str">
        <f>IFERROR(ROUND((tblPiNHistorical[[#This Row],[Protection New]]-tblPiNHistorical[[#This Row],[Protection Old]])/tblPiNHistorical[[#This Row],[Protection Old]], 1), "")</f>
        <v/>
      </c>
      <c r="AW628" s="84" t="str">
        <f>IFERROR(ROUND((tblPiNHistorical[[#This Row],[CP New]]-tblPiNHistorical[[#This Row],[CP Old ]])/tblPiNHistorical[[#This Row],[CP Old ]], 1), "")</f>
        <v/>
      </c>
      <c r="AX628" s="84" t="str">
        <f>IFERROR(ROUND((tblPiNHistorical[[#This Row],[GBV New]]-tblPiNHistorical[[#This Row],[GBV Old]])/tblPiNHistorical[[#This Row],[GBV Old]], 1), "")</f>
        <v/>
      </c>
      <c r="AY628" s="84" t="str">
        <f>IFERROR(ROUND((tblPiNHistorical[[#This Row],[Mine Action New]]-tblPiNHistorical[[#This Row],[Mine Action Old]])/tblPiNHistorical[[#This Row],[Mine Action Old]], 1), "")</f>
        <v/>
      </c>
      <c r="AZ628" s="140" t="str">
        <f>IFERROR(ROUND((tblPiNHistorical[[#This Row],[Shelter NFI New]]-tblPiNHistorical[[#This Row],[Shelter NFI Old]])/tblPiNHistorical[[#This Row],[Shelter NFI Old]], 1), "")</f>
        <v/>
      </c>
      <c r="BA628" s="31" t="str">
        <f>IFERROR(ROUND((tblPiNHistorical[[#This Row],[WASH New]]-tblPiNHistorical[[#This Row],[WASH Old]])/tblPiNHistorical[[#This Row],[WASH Old]], 1), "")</f>
        <v/>
      </c>
    </row>
    <row r="629" spans="1:53" ht="38.25" x14ac:dyDescent="0.25">
      <c r="A629"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Non-displaced PopulationSD11059</v>
      </c>
      <c r="B629" s="134" t="s">
        <v>161</v>
      </c>
      <c r="C629" s="124" t="s">
        <v>128</v>
      </c>
      <c r="D629" s="124" t="s">
        <v>436</v>
      </c>
      <c r="E629" s="59" t="s">
        <v>437</v>
      </c>
      <c r="F629" s="54"/>
      <c r="G629" s="29"/>
      <c r="H629" s="53">
        <v>215194</v>
      </c>
      <c r="I629" s="53" t="s">
        <v>89</v>
      </c>
      <c r="J629" s="34">
        <v>0</v>
      </c>
      <c r="K629" s="116">
        <v>83430.713799999998</v>
      </c>
      <c r="L629" s="114">
        <v>107597</v>
      </c>
      <c r="M629" s="114">
        <v>9375</v>
      </c>
      <c r="N629" s="114">
        <v>53601</v>
      </c>
      <c r="O629" s="114">
        <v>23671.340000000004</v>
      </c>
      <c r="P629" s="114">
        <v>23671</v>
      </c>
      <c r="Q629" s="114">
        <v>0</v>
      </c>
      <c r="R629" s="114">
        <v>0</v>
      </c>
      <c r="S629" s="114">
        <v>43039</v>
      </c>
      <c r="T629" s="196">
        <v>181666.77480000001</v>
      </c>
      <c r="U629" s="52" t="str">
        <f>IFERROR(INDEX(tblPiNAnalysis[[Site Management ]], MATCH(tblPiNHistorical[[#This Row],[ID]], tblPiNAnalysis[ID], 0)), "")</f>
        <v/>
      </c>
      <c r="V629" s="52" t="str">
        <f>IFERROR(INDEX(tblPiNAnalysis[Education], MATCH(tblPiNHistorical[[#This Row],[ID]], tblPiNAnalysis[ID], 0)), "")</f>
        <v/>
      </c>
      <c r="W629" s="28" t="str">
        <f>IFERROR(INDEX(tblPiNAnalysis[Food Security and Livlihoods], MATCH(tblPiNHistorical[[#This Row],[ID]], tblPiNAnalysis[ID], 0)), "")</f>
        <v/>
      </c>
      <c r="X629" s="28" t="str">
        <f>IFERROR(INDEX(tblPiNAnalysis[[Health ]], MATCH(tblPiNHistorical[[#This Row],[ID]], tblPiNAnalysis[ID], 0)), "")</f>
        <v/>
      </c>
      <c r="Y629" s="28" t="str">
        <f>IFERROR(INDEX(tblPiNAnalysis[Nutrition], MATCH(tblPiNHistorical[[#This Row],[ID]], tblPiNAnalysis[ID], 0)), "")</f>
        <v/>
      </c>
      <c r="Z629" s="28" t="str">
        <f>IFERROR(INDEX(tblPiNAnalysis[Protection], MATCH(tblPiNHistorical[[#This Row],[ID]], tblPiNAnalysis[ID], 0)), "")</f>
        <v/>
      </c>
      <c r="AA629" s="28" t="str">
        <f>IFERROR(INDEX(tblPiNAnalysis[CP], MATCH(tblPiNHistorical[[#This Row],[ID]], tblPiNAnalysis[ID], 0)), "")</f>
        <v/>
      </c>
      <c r="AB629" s="83" t="str">
        <f>IFERROR(INDEX(tblPiNAnalysis[GBV], MATCH(tblPiNHistorical[[#This Row],[ID]], tblPiNAnalysis[ID], 0)), "")</f>
        <v/>
      </c>
      <c r="AC629" s="28" t="str">
        <f>IFERROR(INDEX(tblPiNAnalysis[Mine Action], MATCH(tblPiNHistorical[[#This Row],[ID]], tblPiNAnalysis[ID], 0)), "")</f>
        <v/>
      </c>
      <c r="AD629" s="83" t="str">
        <f>IFERROR(INDEX(tblPiNAnalysis[[Shelter NFI ]], MATCH(tblPiNHistorical[[#This Row],[ID]], tblPiNAnalysis[ID], 0)), "")</f>
        <v/>
      </c>
      <c r="AE629" s="28" t="str">
        <f>IFERROR(INDEX(tblPiNAnalysis[WASH], MATCH(tblPiNHistorical[[#This Row],[ID]], tblPiNAnalysis[ID], 0)), "")</f>
        <v/>
      </c>
      <c r="AF629"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629" s="136" t="str">
        <f>IF(OR(tblPiNHistorical[[#This Row],[Education Old]]="", tblPiNHistorical[[#This Row],[Education Old]]=0, tblPiNHistorical[[#This Row],[Education New]]="", tblPiNHistorical[[#This Row],[Education New]]=0), "", tblPiNHistorical[[#This Row],[Education New]]-tblPiNHistorical[[#This Row],[Education Old]])</f>
        <v/>
      </c>
      <c r="AH629"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629" s="137" t="str">
        <f>IF(OR(tblPiNHistorical[[#This Row],[Health Old]]="", tblPiNHistorical[[#This Row],[Health Old]]=0, tblPiNHistorical[[#This Row],[Health New]]="", tblPiNHistorical[[#This Row],[Health New]]=0), "", tblPiNHistorical[[#This Row],[Health New]]-tblPiNHistorical[[#This Row],[Health Old]])</f>
        <v/>
      </c>
      <c r="AJ629" s="136" t="str">
        <f>IF(OR(tblPiNHistorical[[#This Row],[Nutrition Old]]="", tblPiNHistorical[[#This Row],[Nutrition Old]]=0, tblPiNHistorical[[#This Row],[Nutrition New]]="", tblPiNHistorical[[#This Row],[Nutrition New]]=0), "", tblPiNHistorical[[#This Row],[Nutrition New]]-tblPiNHistorical[[#This Row],[Nutrition Old]])</f>
        <v/>
      </c>
      <c r="AK629" s="136" t="str">
        <f>IF(OR(tblPiNHistorical[[#This Row],[Protection Old]]="", tblPiNHistorical[[#This Row],[Protection Old]]=0, tblPiNHistorical[[#This Row],[Protection New]]="", tblPiNHistorical[[#This Row],[Protection New]]=0), "", tblPiNHistorical[[#This Row],[Protection New]]-tblPiNHistorical[[#This Row],[Protection Old]])</f>
        <v/>
      </c>
      <c r="AL629" s="136" t="str">
        <f>IF(OR(tblPiNHistorical[[#This Row],[CP Old ]]="", tblPiNHistorical[[#This Row],[CP Old ]]=0, tblPiNHistorical[[#This Row],[CP New]]="", tblPiNHistorical[[#This Row],[CP New]]=0), "", tblPiNHistorical[[#This Row],[CP New]]-tblPiNHistorical[[#This Row],[CP Old ]])</f>
        <v/>
      </c>
      <c r="AM629" s="83" t="str">
        <f>IF(OR(tblPiNHistorical[[#This Row],[GBV Old]]="", tblPiNHistorical[[#This Row],[GBV Old]]=0, tblPiNHistorical[[#This Row],[GBV New]]="", tblPiNHistorical[[#This Row],[GBV New]]=0), "", tblPiNHistorical[[#This Row],[GBV New]]-tblPiNHistorical[[#This Row],[GBV Old]])</f>
        <v/>
      </c>
      <c r="AN629" s="83" t="str">
        <f>IF(OR(tblPiNHistorical[[#This Row],[Mine Action Old]]="", tblPiNHistorical[[#This Row],[Mine Action Old]]=0, tblPiNHistorical[[#This Row],[Mine Action New]]="", tblPiNHistorical[[#This Row],[Mine Action New]]=0), "", tblPiNHistorical[[#This Row],[Mine Action New]]-tblPiNHistorical[[#This Row],[Mine Action Old]])</f>
        <v/>
      </c>
      <c r="AO629" s="136" t="str">
        <f>IF(OR(tblPiNHistorical[[#This Row],[Shelter NFI Old]]="", tblPiNHistorical[[#This Row],[Shelter NFI Old]]=0, tblPiNHistorical[[#This Row],[Shelter NFI New]]="", tblPiNHistorical[[#This Row],[Shelter NFI New]]=0), "", tblPiNHistorical[[#This Row],[Shelter NFI New]]-tblPiNHistorical[[#This Row],[Shelter NFI Old]])</f>
        <v/>
      </c>
      <c r="AP629" s="138" t="str">
        <f>IF(OR(tblPiNHistorical[[#This Row],[WASH Old]]="", tblPiNHistorical[[#This Row],[WASH Old]]=0, tblPiNHistorical[[#This Row],[WASH New]]="", tblPiNHistorical[[#This Row],[WASH New]]=0), "", tblPiNHistorical[[#This Row],[WASH New]]-tblPiNHistorical[[#This Row],[WASH Old]])</f>
        <v/>
      </c>
      <c r="AQ629" s="139" t="str">
        <f>IFERROR(ROUND((tblPiNHistorical[[#This Row],[Site Management - New]] - tblPiNHistorical[[#This Row],[Site Management - Old]])/tblPiNHistorical[[#This Row],[Site Management - Old]], 1), "")</f>
        <v/>
      </c>
      <c r="AR629" s="140" t="str">
        <f>IFERROR(ROUND((tblPiNHistorical[[#This Row],[Education New]]-tblPiNHistorical[[#This Row],[Education Old]])/tblPiNHistorical[[#This Row],[Education Old]], 1), "")</f>
        <v/>
      </c>
      <c r="AS629" s="141" t="str">
        <f>IFERROR(ROUND((tblPiNHistorical[[#This Row],[Food Security and Livlihoods New]]-tblPiNHistorical[[#This Row],[Food Security and Livlihoods Old]])/tblPiNHistorical[[#This Row],[Food Security and Livlihoods Old]], 1), "")</f>
        <v/>
      </c>
      <c r="AT629" s="142" t="str">
        <f>IFERROR(ROUND((tblPiNHistorical[[#This Row],[Health New]]-tblPiNHistorical[[#This Row],[Health Old]])/tblPiNHistorical[[#This Row],[Health Old]], 1), "")</f>
        <v/>
      </c>
      <c r="AU629" s="140" t="str">
        <f>IFERROR(ROUND((tblPiNHistorical[[#This Row],[Nutrition New]]-tblPiNHistorical[[#This Row],[Nutrition Old]])/tblPiNHistorical[[#This Row],[Nutrition Old]], 1), "")</f>
        <v/>
      </c>
      <c r="AV629" s="140" t="str">
        <f>IFERROR(ROUND((tblPiNHistorical[[#This Row],[Protection New]]-tblPiNHistorical[[#This Row],[Protection Old]])/tblPiNHistorical[[#This Row],[Protection Old]], 1), "")</f>
        <v/>
      </c>
      <c r="AW629" s="84" t="str">
        <f>IFERROR(ROUND((tblPiNHistorical[[#This Row],[CP New]]-tblPiNHistorical[[#This Row],[CP Old ]])/tblPiNHistorical[[#This Row],[CP Old ]], 1), "")</f>
        <v/>
      </c>
      <c r="AX629" s="84" t="str">
        <f>IFERROR(ROUND((tblPiNHistorical[[#This Row],[GBV New]]-tblPiNHistorical[[#This Row],[GBV Old]])/tblPiNHistorical[[#This Row],[GBV Old]], 1), "")</f>
        <v/>
      </c>
      <c r="AY629" s="84" t="str">
        <f>IFERROR(ROUND((tblPiNHistorical[[#This Row],[Mine Action New]]-tblPiNHistorical[[#This Row],[Mine Action Old]])/tblPiNHistorical[[#This Row],[Mine Action Old]], 1), "")</f>
        <v/>
      </c>
      <c r="AZ629" s="140" t="str">
        <f>IFERROR(ROUND((tblPiNHistorical[[#This Row],[Shelter NFI New]]-tblPiNHistorical[[#This Row],[Shelter NFI Old]])/tblPiNHistorical[[#This Row],[Shelter NFI Old]], 1), "")</f>
        <v/>
      </c>
      <c r="BA629" s="31" t="str">
        <f>IFERROR(ROUND((tblPiNHistorical[[#This Row],[WASH New]]-tblPiNHistorical[[#This Row],[WASH Old]])/tblPiNHistorical[[#This Row],[WASH Old]], 1), "")</f>
        <v/>
      </c>
    </row>
    <row r="630" spans="1:53" ht="38.25" x14ac:dyDescent="0.25">
      <c r="A630"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Non-displaced PopulationSD11061</v>
      </c>
      <c r="B630" s="134" t="s">
        <v>161</v>
      </c>
      <c r="C630" s="124" t="s">
        <v>128</v>
      </c>
      <c r="D630" s="124" t="s">
        <v>440</v>
      </c>
      <c r="E630" s="59" t="s">
        <v>441</v>
      </c>
      <c r="F630" s="54"/>
      <c r="G630" s="29"/>
      <c r="H630" s="53">
        <v>0</v>
      </c>
      <c r="I630" s="53" t="s">
        <v>89</v>
      </c>
      <c r="J630" s="34">
        <v>0</v>
      </c>
      <c r="K630" s="116">
        <v>0</v>
      </c>
      <c r="L630" s="114">
        <v>0</v>
      </c>
      <c r="M630" s="114">
        <v>2690</v>
      </c>
      <c r="N630" s="114">
        <v>5170</v>
      </c>
      <c r="O630" s="114">
        <v>0</v>
      </c>
      <c r="P630" s="114">
        <v>0</v>
      </c>
      <c r="Q630" s="114">
        <v>0</v>
      </c>
      <c r="R630" s="114">
        <v>0</v>
      </c>
      <c r="S630" s="114">
        <v>0</v>
      </c>
      <c r="T630" s="196">
        <v>0</v>
      </c>
      <c r="U630" s="52" t="str">
        <f>IFERROR(INDEX(tblPiNAnalysis[[Site Management ]], MATCH(tblPiNHistorical[[#This Row],[ID]], tblPiNAnalysis[ID], 0)), "")</f>
        <v/>
      </c>
      <c r="V630" s="52" t="str">
        <f>IFERROR(INDEX(tblPiNAnalysis[Education], MATCH(tblPiNHistorical[[#This Row],[ID]], tblPiNAnalysis[ID], 0)), "")</f>
        <v/>
      </c>
      <c r="W630" s="28" t="str">
        <f>IFERROR(INDEX(tblPiNAnalysis[Food Security and Livlihoods], MATCH(tblPiNHistorical[[#This Row],[ID]], tblPiNAnalysis[ID], 0)), "")</f>
        <v/>
      </c>
      <c r="X630" s="28" t="str">
        <f>IFERROR(INDEX(tblPiNAnalysis[[Health ]], MATCH(tblPiNHistorical[[#This Row],[ID]], tblPiNAnalysis[ID], 0)), "")</f>
        <v/>
      </c>
      <c r="Y630" s="28" t="str">
        <f>IFERROR(INDEX(tblPiNAnalysis[Nutrition], MATCH(tblPiNHistorical[[#This Row],[ID]], tblPiNAnalysis[ID], 0)), "")</f>
        <v/>
      </c>
      <c r="Z630" s="28" t="str">
        <f>IFERROR(INDEX(tblPiNAnalysis[Protection], MATCH(tblPiNHistorical[[#This Row],[ID]], tblPiNAnalysis[ID], 0)), "")</f>
        <v/>
      </c>
      <c r="AA630" s="28" t="str">
        <f>IFERROR(INDEX(tblPiNAnalysis[CP], MATCH(tblPiNHistorical[[#This Row],[ID]], tblPiNAnalysis[ID], 0)), "")</f>
        <v/>
      </c>
      <c r="AB630" s="83" t="str">
        <f>IFERROR(INDEX(tblPiNAnalysis[GBV], MATCH(tblPiNHistorical[[#This Row],[ID]], tblPiNAnalysis[ID], 0)), "")</f>
        <v/>
      </c>
      <c r="AC630" s="28" t="str">
        <f>IFERROR(INDEX(tblPiNAnalysis[Mine Action], MATCH(tblPiNHistorical[[#This Row],[ID]], tblPiNAnalysis[ID], 0)), "")</f>
        <v/>
      </c>
      <c r="AD630" s="83" t="str">
        <f>IFERROR(INDEX(tblPiNAnalysis[[Shelter NFI ]], MATCH(tblPiNHistorical[[#This Row],[ID]], tblPiNAnalysis[ID], 0)), "")</f>
        <v/>
      </c>
      <c r="AE630" s="28" t="str">
        <f>IFERROR(INDEX(tblPiNAnalysis[WASH], MATCH(tblPiNHistorical[[#This Row],[ID]], tblPiNAnalysis[ID], 0)), "")</f>
        <v/>
      </c>
      <c r="AF630"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630" s="136" t="str">
        <f>IF(OR(tblPiNHistorical[[#This Row],[Education Old]]="", tblPiNHistorical[[#This Row],[Education Old]]=0, tblPiNHistorical[[#This Row],[Education New]]="", tblPiNHistorical[[#This Row],[Education New]]=0), "", tblPiNHistorical[[#This Row],[Education New]]-tblPiNHistorical[[#This Row],[Education Old]])</f>
        <v/>
      </c>
      <c r="AH630"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630" s="137" t="str">
        <f>IF(OR(tblPiNHistorical[[#This Row],[Health Old]]="", tblPiNHistorical[[#This Row],[Health Old]]=0, tblPiNHistorical[[#This Row],[Health New]]="", tblPiNHistorical[[#This Row],[Health New]]=0), "", tblPiNHistorical[[#This Row],[Health New]]-tblPiNHistorical[[#This Row],[Health Old]])</f>
        <v/>
      </c>
      <c r="AJ630" s="136" t="str">
        <f>IF(OR(tblPiNHistorical[[#This Row],[Nutrition Old]]="", tblPiNHistorical[[#This Row],[Nutrition Old]]=0, tblPiNHistorical[[#This Row],[Nutrition New]]="", tblPiNHistorical[[#This Row],[Nutrition New]]=0), "", tblPiNHistorical[[#This Row],[Nutrition New]]-tblPiNHistorical[[#This Row],[Nutrition Old]])</f>
        <v/>
      </c>
      <c r="AK630" s="136" t="str">
        <f>IF(OR(tblPiNHistorical[[#This Row],[Protection Old]]="", tblPiNHistorical[[#This Row],[Protection Old]]=0, tblPiNHistorical[[#This Row],[Protection New]]="", tblPiNHistorical[[#This Row],[Protection New]]=0), "", tblPiNHistorical[[#This Row],[Protection New]]-tblPiNHistorical[[#This Row],[Protection Old]])</f>
        <v/>
      </c>
      <c r="AL630" s="136" t="str">
        <f>IF(OR(tblPiNHistorical[[#This Row],[CP Old ]]="", tblPiNHistorical[[#This Row],[CP Old ]]=0, tblPiNHistorical[[#This Row],[CP New]]="", tblPiNHistorical[[#This Row],[CP New]]=0), "", tblPiNHistorical[[#This Row],[CP New]]-tblPiNHistorical[[#This Row],[CP Old ]])</f>
        <v/>
      </c>
      <c r="AM630" s="83" t="str">
        <f>IF(OR(tblPiNHistorical[[#This Row],[GBV Old]]="", tblPiNHistorical[[#This Row],[GBV Old]]=0, tblPiNHistorical[[#This Row],[GBV New]]="", tblPiNHistorical[[#This Row],[GBV New]]=0), "", tblPiNHistorical[[#This Row],[GBV New]]-tblPiNHistorical[[#This Row],[GBV Old]])</f>
        <v/>
      </c>
      <c r="AN630" s="83" t="str">
        <f>IF(OR(tblPiNHistorical[[#This Row],[Mine Action Old]]="", tblPiNHistorical[[#This Row],[Mine Action Old]]=0, tblPiNHistorical[[#This Row],[Mine Action New]]="", tblPiNHistorical[[#This Row],[Mine Action New]]=0), "", tblPiNHistorical[[#This Row],[Mine Action New]]-tblPiNHistorical[[#This Row],[Mine Action Old]])</f>
        <v/>
      </c>
      <c r="AO630" s="136" t="str">
        <f>IF(OR(tblPiNHistorical[[#This Row],[Shelter NFI Old]]="", tblPiNHistorical[[#This Row],[Shelter NFI Old]]=0, tblPiNHistorical[[#This Row],[Shelter NFI New]]="", tblPiNHistorical[[#This Row],[Shelter NFI New]]=0), "", tblPiNHistorical[[#This Row],[Shelter NFI New]]-tblPiNHistorical[[#This Row],[Shelter NFI Old]])</f>
        <v/>
      </c>
      <c r="AP630" s="138" t="str">
        <f>IF(OR(tblPiNHistorical[[#This Row],[WASH Old]]="", tblPiNHistorical[[#This Row],[WASH Old]]=0, tblPiNHistorical[[#This Row],[WASH New]]="", tblPiNHistorical[[#This Row],[WASH New]]=0), "", tblPiNHistorical[[#This Row],[WASH New]]-tblPiNHistorical[[#This Row],[WASH Old]])</f>
        <v/>
      </c>
      <c r="AQ630" s="139" t="str">
        <f>IFERROR(ROUND((tblPiNHistorical[[#This Row],[Site Management - New]] - tblPiNHistorical[[#This Row],[Site Management - Old]])/tblPiNHistorical[[#This Row],[Site Management - Old]], 1), "")</f>
        <v/>
      </c>
      <c r="AR630" s="140" t="str">
        <f>IFERROR(ROUND((tblPiNHistorical[[#This Row],[Education New]]-tblPiNHistorical[[#This Row],[Education Old]])/tblPiNHistorical[[#This Row],[Education Old]], 1), "")</f>
        <v/>
      </c>
      <c r="AS630" s="141" t="str">
        <f>IFERROR(ROUND((tblPiNHistorical[[#This Row],[Food Security and Livlihoods New]]-tblPiNHistorical[[#This Row],[Food Security and Livlihoods Old]])/tblPiNHistorical[[#This Row],[Food Security and Livlihoods Old]], 1), "")</f>
        <v/>
      </c>
      <c r="AT630" s="142" t="str">
        <f>IFERROR(ROUND((tblPiNHistorical[[#This Row],[Health New]]-tblPiNHistorical[[#This Row],[Health Old]])/tblPiNHistorical[[#This Row],[Health Old]], 1), "")</f>
        <v/>
      </c>
      <c r="AU630" s="140" t="str">
        <f>IFERROR(ROUND((tblPiNHistorical[[#This Row],[Nutrition New]]-tblPiNHistorical[[#This Row],[Nutrition Old]])/tblPiNHistorical[[#This Row],[Nutrition Old]], 1), "")</f>
        <v/>
      </c>
      <c r="AV630" s="140" t="str">
        <f>IFERROR(ROUND((tblPiNHistorical[[#This Row],[Protection New]]-tblPiNHistorical[[#This Row],[Protection Old]])/tblPiNHistorical[[#This Row],[Protection Old]], 1), "")</f>
        <v/>
      </c>
      <c r="AW630" s="84" t="str">
        <f>IFERROR(ROUND((tblPiNHistorical[[#This Row],[CP New]]-tblPiNHistorical[[#This Row],[CP Old ]])/tblPiNHistorical[[#This Row],[CP Old ]], 1), "")</f>
        <v/>
      </c>
      <c r="AX630" s="84" t="str">
        <f>IFERROR(ROUND((tblPiNHistorical[[#This Row],[GBV New]]-tblPiNHistorical[[#This Row],[GBV Old]])/tblPiNHistorical[[#This Row],[GBV Old]], 1), "")</f>
        <v/>
      </c>
      <c r="AY630" s="84" t="str">
        <f>IFERROR(ROUND((tblPiNHistorical[[#This Row],[Mine Action New]]-tblPiNHistorical[[#This Row],[Mine Action Old]])/tblPiNHistorical[[#This Row],[Mine Action Old]], 1), "")</f>
        <v/>
      </c>
      <c r="AZ630" s="140" t="str">
        <f>IFERROR(ROUND((tblPiNHistorical[[#This Row],[Shelter NFI New]]-tblPiNHistorical[[#This Row],[Shelter NFI Old]])/tblPiNHistorical[[#This Row],[Shelter NFI Old]], 1), "")</f>
        <v/>
      </c>
      <c r="BA630" s="31" t="str">
        <f>IFERROR(ROUND((tblPiNHistorical[[#This Row],[WASH New]]-tblPiNHistorical[[#This Row],[WASH Old]])/tblPiNHistorical[[#This Row],[WASH Old]], 1), "")</f>
        <v/>
      </c>
    </row>
    <row r="631" spans="1:53" ht="38.25" x14ac:dyDescent="0.25">
      <c r="A631"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Non-displaced PopulationSD01003</v>
      </c>
      <c r="B631" s="134" t="s">
        <v>164</v>
      </c>
      <c r="C631" s="124" t="s">
        <v>118</v>
      </c>
      <c r="D631" s="124" t="s">
        <v>327</v>
      </c>
      <c r="E631" s="59" t="s">
        <v>328</v>
      </c>
      <c r="F631" s="54"/>
      <c r="G631" s="29"/>
      <c r="H631" s="53">
        <v>355633</v>
      </c>
      <c r="I631" s="53" t="s">
        <v>89</v>
      </c>
      <c r="J631" s="34">
        <v>0</v>
      </c>
      <c r="K631" s="116">
        <v>137878.91409999999</v>
      </c>
      <c r="L631" s="114">
        <v>195598.15</v>
      </c>
      <c r="M631" s="114">
        <v>15000</v>
      </c>
      <c r="N631" s="114">
        <v>65076</v>
      </c>
      <c r="O631" s="114">
        <v>177816.5</v>
      </c>
      <c r="P631" s="114">
        <v>39120</v>
      </c>
      <c r="Q631" s="114">
        <v>37536</v>
      </c>
      <c r="R631" s="114">
        <v>177816.5</v>
      </c>
      <c r="S631" s="114">
        <v>106690</v>
      </c>
      <c r="T631" s="196">
        <v>226822.7274</v>
      </c>
      <c r="U631" s="52" t="str">
        <f>IFERROR(INDEX(tblPiNAnalysis[[Site Management ]], MATCH(tblPiNHistorical[[#This Row],[ID]], tblPiNAnalysis[ID], 0)), "")</f>
        <v/>
      </c>
      <c r="V631" s="52" t="str">
        <f>IFERROR(INDEX(tblPiNAnalysis[Education], MATCH(tblPiNHistorical[[#This Row],[ID]], tblPiNAnalysis[ID], 0)), "")</f>
        <v/>
      </c>
      <c r="W631" s="28" t="str">
        <f>IFERROR(INDEX(tblPiNAnalysis[Food Security and Livlihoods], MATCH(tblPiNHistorical[[#This Row],[ID]], tblPiNAnalysis[ID], 0)), "")</f>
        <v/>
      </c>
      <c r="X631" s="28" t="str">
        <f>IFERROR(INDEX(tblPiNAnalysis[[Health ]], MATCH(tblPiNHistorical[[#This Row],[ID]], tblPiNAnalysis[ID], 0)), "")</f>
        <v/>
      </c>
      <c r="Y631" s="28" t="str">
        <f>IFERROR(INDEX(tblPiNAnalysis[Nutrition], MATCH(tblPiNHistorical[[#This Row],[ID]], tblPiNAnalysis[ID], 0)), "")</f>
        <v/>
      </c>
      <c r="Z631" s="28" t="str">
        <f>IFERROR(INDEX(tblPiNAnalysis[Protection], MATCH(tblPiNHistorical[[#This Row],[ID]], tblPiNAnalysis[ID], 0)), "")</f>
        <v/>
      </c>
      <c r="AA631" s="28" t="str">
        <f>IFERROR(INDEX(tblPiNAnalysis[CP], MATCH(tblPiNHistorical[[#This Row],[ID]], tblPiNAnalysis[ID], 0)), "")</f>
        <v/>
      </c>
      <c r="AB631" s="83" t="str">
        <f>IFERROR(INDEX(tblPiNAnalysis[GBV], MATCH(tblPiNHistorical[[#This Row],[ID]], tblPiNAnalysis[ID], 0)), "")</f>
        <v/>
      </c>
      <c r="AC631" s="28" t="str">
        <f>IFERROR(INDEX(tblPiNAnalysis[Mine Action], MATCH(tblPiNHistorical[[#This Row],[ID]], tblPiNAnalysis[ID], 0)), "")</f>
        <v/>
      </c>
      <c r="AD631" s="83" t="str">
        <f>IFERROR(INDEX(tblPiNAnalysis[[Shelter NFI ]], MATCH(tblPiNHistorical[[#This Row],[ID]], tblPiNAnalysis[ID], 0)), "")</f>
        <v/>
      </c>
      <c r="AE631" s="28" t="str">
        <f>IFERROR(INDEX(tblPiNAnalysis[WASH], MATCH(tblPiNHistorical[[#This Row],[ID]], tblPiNAnalysis[ID], 0)), "")</f>
        <v/>
      </c>
      <c r="AF631"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631" s="136" t="str">
        <f>IF(OR(tblPiNHistorical[[#This Row],[Education Old]]="", tblPiNHistorical[[#This Row],[Education Old]]=0, tblPiNHistorical[[#This Row],[Education New]]="", tblPiNHistorical[[#This Row],[Education New]]=0), "", tblPiNHistorical[[#This Row],[Education New]]-tblPiNHistorical[[#This Row],[Education Old]])</f>
        <v/>
      </c>
      <c r="AH631"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631" s="137" t="str">
        <f>IF(OR(tblPiNHistorical[[#This Row],[Health Old]]="", tblPiNHistorical[[#This Row],[Health Old]]=0, tblPiNHistorical[[#This Row],[Health New]]="", tblPiNHistorical[[#This Row],[Health New]]=0), "", tblPiNHistorical[[#This Row],[Health New]]-tblPiNHistorical[[#This Row],[Health Old]])</f>
        <v/>
      </c>
      <c r="AJ631" s="136" t="str">
        <f>IF(OR(tblPiNHistorical[[#This Row],[Nutrition Old]]="", tblPiNHistorical[[#This Row],[Nutrition Old]]=0, tblPiNHistorical[[#This Row],[Nutrition New]]="", tblPiNHistorical[[#This Row],[Nutrition New]]=0), "", tblPiNHistorical[[#This Row],[Nutrition New]]-tblPiNHistorical[[#This Row],[Nutrition Old]])</f>
        <v/>
      </c>
      <c r="AK631" s="136" t="str">
        <f>IF(OR(tblPiNHistorical[[#This Row],[Protection Old]]="", tblPiNHistorical[[#This Row],[Protection Old]]=0, tblPiNHistorical[[#This Row],[Protection New]]="", tblPiNHistorical[[#This Row],[Protection New]]=0), "", tblPiNHistorical[[#This Row],[Protection New]]-tblPiNHistorical[[#This Row],[Protection Old]])</f>
        <v/>
      </c>
      <c r="AL631" s="136" t="str">
        <f>IF(OR(tblPiNHistorical[[#This Row],[CP Old ]]="", tblPiNHistorical[[#This Row],[CP Old ]]=0, tblPiNHistorical[[#This Row],[CP New]]="", tblPiNHistorical[[#This Row],[CP New]]=0), "", tblPiNHistorical[[#This Row],[CP New]]-tblPiNHistorical[[#This Row],[CP Old ]])</f>
        <v/>
      </c>
      <c r="AM631" s="83" t="str">
        <f>IF(OR(tblPiNHistorical[[#This Row],[GBV Old]]="", tblPiNHistorical[[#This Row],[GBV Old]]=0, tblPiNHistorical[[#This Row],[GBV New]]="", tblPiNHistorical[[#This Row],[GBV New]]=0), "", tblPiNHistorical[[#This Row],[GBV New]]-tblPiNHistorical[[#This Row],[GBV Old]])</f>
        <v/>
      </c>
      <c r="AN631" s="83" t="str">
        <f>IF(OR(tblPiNHistorical[[#This Row],[Mine Action Old]]="", tblPiNHistorical[[#This Row],[Mine Action Old]]=0, tblPiNHistorical[[#This Row],[Mine Action New]]="", tblPiNHistorical[[#This Row],[Mine Action New]]=0), "", tblPiNHistorical[[#This Row],[Mine Action New]]-tblPiNHistorical[[#This Row],[Mine Action Old]])</f>
        <v/>
      </c>
      <c r="AO631" s="136" t="str">
        <f>IF(OR(tblPiNHistorical[[#This Row],[Shelter NFI Old]]="", tblPiNHistorical[[#This Row],[Shelter NFI Old]]=0, tblPiNHistorical[[#This Row],[Shelter NFI New]]="", tblPiNHistorical[[#This Row],[Shelter NFI New]]=0), "", tblPiNHistorical[[#This Row],[Shelter NFI New]]-tblPiNHistorical[[#This Row],[Shelter NFI Old]])</f>
        <v/>
      </c>
      <c r="AP631" s="138" t="str">
        <f>IF(OR(tblPiNHistorical[[#This Row],[WASH Old]]="", tblPiNHistorical[[#This Row],[WASH Old]]=0, tblPiNHistorical[[#This Row],[WASH New]]="", tblPiNHistorical[[#This Row],[WASH New]]=0), "", tblPiNHistorical[[#This Row],[WASH New]]-tblPiNHistorical[[#This Row],[WASH Old]])</f>
        <v/>
      </c>
      <c r="AQ631" s="139" t="str">
        <f>IFERROR(ROUND((tblPiNHistorical[[#This Row],[Site Management - New]] - tblPiNHistorical[[#This Row],[Site Management - Old]])/tblPiNHistorical[[#This Row],[Site Management - Old]], 1), "")</f>
        <v/>
      </c>
      <c r="AR631" s="140" t="str">
        <f>IFERROR(ROUND((tblPiNHistorical[[#This Row],[Education New]]-tblPiNHistorical[[#This Row],[Education Old]])/tblPiNHistorical[[#This Row],[Education Old]], 1), "")</f>
        <v/>
      </c>
      <c r="AS631" s="141" t="str">
        <f>IFERROR(ROUND((tblPiNHistorical[[#This Row],[Food Security and Livlihoods New]]-tblPiNHistorical[[#This Row],[Food Security and Livlihoods Old]])/tblPiNHistorical[[#This Row],[Food Security and Livlihoods Old]], 1), "")</f>
        <v/>
      </c>
      <c r="AT631" s="142" t="str">
        <f>IFERROR(ROUND((tblPiNHistorical[[#This Row],[Health New]]-tblPiNHistorical[[#This Row],[Health Old]])/tblPiNHistorical[[#This Row],[Health Old]], 1), "")</f>
        <v/>
      </c>
      <c r="AU631" s="140" t="str">
        <f>IFERROR(ROUND((tblPiNHistorical[[#This Row],[Nutrition New]]-tblPiNHistorical[[#This Row],[Nutrition Old]])/tblPiNHistorical[[#This Row],[Nutrition Old]], 1), "")</f>
        <v/>
      </c>
      <c r="AV631" s="140" t="str">
        <f>IFERROR(ROUND((tblPiNHistorical[[#This Row],[Protection New]]-tblPiNHistorical[[#This Row],[Protection Old]])/tblPiNHistorical[[#This Row],[Protection Old]], 1), "")</f>
        <v/>
      </c>
      <c r="AW631" s="84" t="str">
        <f>IFERROR(ROUND((tblPiNHistorical[[#This Row],[CP New]]-tblPiNHistorical[[#This Row],[CP Old ]])/tblPiNHistorical[[#This Row],[CP Old ]], 1), "")</f>
        <v/>
      </c>
      <c r="AX631" s="84" t="str">
        <f>IFERROR(ROUND((tblPiNHistorical[[#This Row],[GBV New]]-tblPiNHistorical[[#This Row],[GBV Old]])/tblPiNHistorical[[#This Row],[GBV Old]], 1), "")</f>
        <v/>
      </c>
      <c r="AY631" s="84" t="str">
        <f>IFERROR(ROUND((tblPiNHistorical[[#This Row],[Mine Action New]]-tblPiNHistorical[[#This Row],[Mine Action Old]])/tblPiNHistorical[[#This Row],[Mine Action Old]], 1), "")</f>
        <v/>
      </c>
      <c r="AZ631" s="140" t="str">
        <f>IFERROR(ROUND((tblPiNHistorical[[#This Row],[Shelter NFI New]]-tblPiNHistorical[[#This Row],[Shelter NFI Old]])/tblPiNHistorical[[#This Row],[Shelter NFI Old]], 1), "")</f>
        <v/>
      </c>
      <c r="BA631" s="31" t="str">
        <f>IFERROR(ROUND((tblPiNHistorical[[#This Row],[WASH New]]-tblPiNHistorical[[#This Row],[WASH Old]])/tblPiNHistorical[[#This Row],[WASH Old]], 1), "")</f>
        <v/>
      </c>
    </row>
    <row r="632" spans="1:53" ht="38.25" x14ac:dyDescent="0.25">
      <c r="A632"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Non-displaced PopulationSD01001</v>
      </c>
      <c r="B632" s="134" t="s">
        <v>164</v>
      </c>
      <c r="C632" s="124" t="s">
        <v>118</v>
      </c>
      <c r="D632" s="124" t="s">
        <v>323</v>
      </c>
      <c r="E632" s="59" t="s">
        <v>324</v>
      </c>
      <c r="F632" s="54"/>
      <c r="G632" s="29"/>
      <c r="H632" s="53">
        <v>850366</v>
      </c>
      <c r="I632" s="53" t="s">
        <v>89</v>
      </c>
      <c r="J632" s="34">
        <v>0</v>
      </c>
      <c r="K632" s="116">
        <v>329686.8982</v>
      </c>
      <c r="L632" s="114">
        <v>510219.6</v>
      </c>
      <c r="M632" s="114">
        <v>25000</v>
      </c>
      <c r="N632" s="114">
        <v>139862</v>
      </c>
      <c r="O632" s="114">
        <v>425183</v>
      </c>
      <c r="P632" s="114">
        <v>93540</v>
      </c>
      <c r="Q632" s="114">
        <v>89754</v>
      </c>
      <c r="R632" s="114">
        <v>425183</v>
      </c>
      <c r="S632" s="114">
        <v>255110</v>
      </c>
      <c r="T632" s="196">
        <v>577653.62379999994</v>
      </c>
      <c r="U632" s="52" t="str">
        <f>IFERROR(INDEX(tblPiNAnalysis[[Site Management ]], MATCH(tblPiNHistorical[[#This Row],[ID]], tblPiNAnalysis[ID], 0)), "")</f>
        <v/>
      </c>
      <c r="V632" s="52" t="str">
        <f>IFERROR(INDEX(tblPiNAnalysis[Education], MATCH(tblPiNHistorical[[#This Row],[ID]], tblPiNAnalysis[ID], 0)), "")</f>
        <v/>
      </c>
      <c r="W632" s="28" t="str">
        <f>IFERROR(INDEX(tblPiNAnalysis[Food Security and Livlihoods], MATCH(tblPiNHistorical[[#This Row],[ID]], tblPiNAnalysis[ID], 0)), "")</f>
        <v/>
      </c>
      <c r="X632" s="28" t="str">
        <f>IFERROR(INDEX(tblPiNAnalysis[[Health ]], MATCH(tblPiNHistorical[[#This Row],[ID]], tblPiNAnalysis[ID], 0)), "")</f>
        <v/>
      </c>
      <c r="Y632" s="28" t="str">
        <f>IFERROR(INDEX(tblPiNAnalysis[Nutrition], MATCH(tblPiNHistorical[[#This Row],[ID]], tblPiNAnalysis[ID], 0)), "")</f>
        <v/>
      </c>
      <c r="Z632" s="28" t="str">
        <f>IFERROR(INDEX(tblPiNAnalysis[Protection], MATCH(tblPiNHistorical[[#This Row],[ID]], tblPiNAnalysis[ID], 0)), "")</f>
        <v/>
      </c>
      <c r="AA632" s="28" t="str">
        <f>IFERROR(INDEX(tblPiNAnalysis[CP], MATCH(tblPiNHistorical[[#This Row],[ID]], tblPiNAnalysis[ID], 0)), "")</f>
        <v/>
      </c>
      <c r="AB632" s="83" t="str">
        <f>IFERROR(INDEX(tblPiNAnalysis[GBV], MATCH(tblPiNHistorical[[#This Row],[ID]], tblPiNAnalysis[ID], 0)), "")</f>
        <v/>
      </c>
      <c r="AC632" s="28" t="str">
        <f>IFERROR(INDEX(tblPiNAnalysis[Mine Action], MATCH(tblPiNHistorical[[#This Row],[ID]], tblPiNAnalysis[ID], 0)), "")</f>
        <v/>
      </c>
      <c r="AD632" s="83" t="str">
        <f>IFERROR(INDEX(tblPiNAnalysis[[Shelter NFI ]], MATCH(tblPiNHistorical[[#This Row],[ID]], tblPiNAnalysis[ID], 0)), "")</f>
        <v/>
      </c>
      <c r="AE632" s="28" t="str">
        <f>IFERROR(INDEX(tblPiNAnalysis[WASH], MATCH(tblPiNHistorical[[#This Row],[ID]], tblPiNAnalysis[ID], 0)), "")</f>
        <v/>
      </c>
      <c r="AF632"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632" s="136" t="str">
        <f>IF(OR(tblPiNHistorical[[#This Row],[Education Old]]="", tblPiNHistorical[[#This Row],[Education Old]]=0, tblPiNHistorical[[#This Row],[Education New]]="", tblPiNHistorical[[#This Row],[Education New]]=0), "", tblPiNHistorical[[#This Row],[Education New]]-tblPiNHistorical[[#This Row],[Education Old]])</f>
        <v/>
      </c>
      <c r="AH632"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632" s="137" t="str">
        <f>IF(OR(tblPiNHistorical[[#This Row],[Health Old]]="", tblPiNHistorical[[#This Row],[Health Old]]=0, tblPiNHistorical[[#This Row],[Health New]]="", tblPiNHistorical[[#This Row],[Health New]]=0), "", tblPiNHistorical[[#This Row],[Health New]]-tblPiNHistorical[[#This Row],[Health Old]])</f>
        <v/>
      </c>
      <c r="AJ632" s="136" t="str">
        <f>IF(OR(tblPiNHistorical[[#This Row],[Nutrition Old]]="", tblPiNHistorical[[#This Row],[Nutrition Old]]=0, tblPiNHistorical[[#This Row],[Nutrition New]]="", tblPiNHistorical[[#This Row],[Nutrition New]]=0), "", tblPiNHistorical[[#This Row],[Nutrition New]]-tblPiNHistorical[[#This Row],[Nutrition Old]])</f>
        <v/>
      </c>
      <c r="AK632" s="136" t="str">
        <f>IF(OR(tblPiNHistorical[[#This Row],[Protection Old]]="", tblPiNHistorical[[#This Row],[Protection Old]]=0, tblPiNHistorical[[#This Row],[Protection New]]="", tblPiNHistorical[[#This Row],[Protection New]]=0), "", tblPiNHistorical[[#This Row],[Protection New]]-tblPiNHistorical[[#This Row],[Protection Old]])</f>
        <v/>
      </c>
      <c r="AL632" s="136" t="str">
        <f>IF(OR(tblPiNHistorical[[#This Row],[CP Old ]]="", tblPiNHistorical[[#This Row],[CP Old ]]=0, tblPiNHistorical[[#This Row],[CP New]]="", tblPiNHistorical[[#This Row],[CP New]]=0), "", tblPiNHistorical[[#This Row],[CP New]]-tblPiNHistorical[[#This Row],[CP Old ]])</f>
        <v/>
      </c>
      <c r="AM632" s="83" t="str">
        <f>IF(OR(tblPiNHistorical[[#This Row],[GBV Old]]="", tblPiNHistorical[[#This Row],[GBV Old]]=0, tblPiNHistorical[[#This Row],[GBV New]]="", tblPiNHistorical[[#This Row],[GBV New]]=0), "", tblPiNHistorical[[#This Row],[GBV New]]-tblPiNHistorical[[#This Row],[GBV Old]])</f>
        <v/>
      </c>
      <c r="AN632" s="83" t="str">
        <f>IF(OR(tblPiNHistorical[[#This Row],[Mine Action Old]]="", tblPiNHistorical[[#This Row],[Mine Action Old]]=0, tblPiNHistorical[[#This Row],[Mine Action New]]="", tblPiNHistorical[[#This Row],[Mine Action New]]=0), "", tblPiNHistorical[[#This Row],[Mine Action New]]-tblPiNHistorical[[#This Row],[Mine Action Old]])</f>
        <v/>
      </c>
      <c r="AO632" s="136" t="str">
        <f>IF(OR(tblPiNHistorical[[#This Row],[Shelter NFI Old]]="", tblPiNHistorical[[#This Row],[Shelter NFI Old]]=0, tblPiNHistorical[[#This Row],[Shelter NFI New]]="", tblPiNHistorical[[#This Row],[Shelter NFI New]]=0), "", tblPiNHistorical[[#This Row],[Shelter NFI New]]-tblPiNHistorical[[#This Row],[Shelter NFI Old]])</f>
        <v/>
      </c>
      <c r="AP632" s="138" t="str">
        <f>IF(OR(tblPiNHistorical[[#This Row],[WASH Old]]="", tblPiNHistorical[[#This Row],[WASH Old]]=0, tblPiNHistorical[[#This Row],[WASH New]]="", tblPiNHistorical[[#This Row],[WASH New]]=0), "", tblPiNHistorical[[#This Row],[WASH New]]-tblPiNHistorical[[#This Row],[WASH Old]])</f>
        <v/>
      </c>
      <c r="AQ632" s="139" t="str">
        <f>IFERROR(ROUND((tblPiNHistorical[[#This Row],[Site Management - New]] - tblPiNHistorical[[#This Row],[Site Management - Old]])/tblPiNHistorical[[#This Row],[Site Management - Old]], 1), "")</f>
        <v/>
      </c>
      <c r="AR632" s="140" t="str">
        <f>IFERROR(ROUND((tblPiNHistorical[[#This Row],[Education New]]-tblPiNHistorical[[#This Row],[Education Old]])/tblPiNHistorical[[#This Row],[Education Old]], 1), "")</f>
        <v/>
      </c>
      <c r="AS632" s="141" t="str">
        <f>IFERROR(ROUND((tblPiNHistorical[[#This Row],[Food Security and Livlihoods New]]-tblPiNHistorical[[#This Row],[Food Security and Livlihoods Old]])/tblPiNHistorical[[#This Row],[Food Security and Livlihoods Old]], 1), "")</f>
        <v/>
      </c>
      <c r="AT632" s="142" t="str">
        <f>IFERROR(ROUND((tblPiNHistorical[[#This Row],[Health New]]-tblPiNHistorical[[#This Row],[Health Old]])/tblPiNHistorical[[#This Row],[Health Old]], 1), "")</f>
        <v/>
      </c>
      <c r="AU632" s="140" t="str">
        <f>IFERROR(ROUND((tblPiNHistorical[[#This Row],[Nutrition New]]-tblPiNHistorical[[#This Row],[Nutrition Old]])/tblPiNHistorical[[#This Row],[Nutrition Old]], 1), "")</f>
        <v/>
      </c>
      <c r="AV632" s="140" t="str">
        <f>IFERROR(ROUND((tblPiNHistorical[[#This Row],[Protection New]]-tblPiNHistorical[[#This Row],[Protection Old]])/tblPiNHistorical[[#This Row],[Protection Old]], 1), "")</f>
        <v/>
      </c>
      <c r="AW632" s="84" t="str">
        <f>IFERROR(ROUND((tblPiNHistorical[[#This Row],[CP New]]-tblPiNHistorical[[#This Row],[CP Old ]])/tblPiNHistorical[[#This Row],[CP Old ]], 1), "")</f>
        <v/>
      </c>
      <c r="AX632" s="84" t="str">
        <f>IFERROR(ROUND((tblPiNHistorical[[#This Row],[GBV New]]-tblPiNHistorical[[#This Row],[GBV Old]])/tblPiNHistorical[[#This Row],[GBV Old]], 1), "")</f>
        <v/>
      </c>
      <c r="AY632" s="84" t="str">
        <f>IFERROR(ROUND((tblPiNHistorical[[#This Row],[Mine Action New]]-tblPiNHistorical[[#This Row],[Mine Action Old]])/tblPiNHistorical[[#This Row],[Mine Action Old]], 1), "")</f>
        <v/>
      </c>
      <c r="AZ632" s="140" t="str">
        <f>IFERROR(ROUND((tblPiNHistorical[[#This Row],[Shelter NFI New]]-tblPiNHistorical[[#This Row],[Shelter NFI Old]])/tblPiNHistorical[[#This Row],[Shelter NFI Old]], 1), "")</f>
        <v/>
      </c>
      <c r="BA632" s="31" t="str">
        <f>IFERROR(ROUND((tblPiNHistorical[[#This Row],[WASH New]]-tblPiNHistorical[[#This Row],[WASH Old]])/tblPiNHistorical[[#This Row],[WASH Old]], 1), "")</f>
        <v/>
      </c>
    </row>
    <row r="633" spans="1:53" ht="38.25" x14ac:dyDescent="0.25">
      <c r="A633"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Non-displaced PopulationSD01005</v>
      </c>
      <c r="B633" s="134" t="s">
        <v>164</v>
      </c>
      <c r="C633" s="124" t="s">
        <v>118</v>
      </c>
      <c r="D633" s="124" t="s">
        <v>331</v>
      </c>
      <c r="E633" s="59" t="s">
        <v>332</v>
      </c>
      <c r="F633" s="54"/>
      <c r="G633" s="29"/>
      <c r="H633" s="53">
        <v>706425</v>
      </c>
      <c r="I633" s="53" t="s">
        <v>89</v>
      </c>
      <c r="J633" s="34">
        <v>0</v>
      </c>
      <c r="K633" s="116">
        <v>273880.97249999997</v>
      </c>
      <c r="L633" s="114">
        <v>388533.75</v>
      </c>
      <c r="M633" s="114">
        <v>425</v>
      </c>
      <c r="N633" s="114">
        <v>51204</v>
      </c>
      <c r="O633" s="114">
        <v>353212.5</v>
      </c>
      <c r="P633" s="114">
        <v>77707</v>
      </c>
      <c r="Q633" s="114">
        <v>223684</v>
      </c>
      <c r="R633" s="114">
        <v>353212.5</v>
      </c>
      <c r="S633" s="114">
        <v>211928</v>
      </c>
      <c r="T633" s="196">
        <v>318103.17749999999</v>
      </c>
      <c r="U633" s="52" t="str">
        <f>IFERROR(INDEX(tblPiNAnalysis[[Site Management ]], MATCH(tblPiNHistorical[[#This Row],[ID]], tblPiNAnalysis[ID], 0)), "")</f>
        <v/>
      </c>
      <c r="V633" s="52" t="str">
        <f>IFERROR(INDEX(tblPiNAnalysis[Education], MATCH(tblPiNHistorical[[#This Row],[ID]], tblPiNAnalysis[ID], 0)), "")</f>
        <v/>
      </c>
      <c r="W633" s="28" t="str">
        <f>IFERROR(INDEX(tblPiNAnalysis[Food Security and Livlihoods], MATCH(tblPiNHistorical[[#This Row],[ID]], tblPiNAnalysis[ID], 0)), "")</f>
        <v/>
      </c>
      <c r="X633" s="28" t="str">
        <f>IFERROR(INDEX(tblPiNAnalysis[[Health ]], MATCH(tblPiNHistorical[[#This Row],[ID]], tblPiNAnalysis[ID], 0)), "")</f>
        <v/>
      </c>
      <c r="Y633" s="28" t="str">
        <f>IFERROR(INDEX(tblPiNAnalysis[Nutrition], MATCH(tblPiNHistorical[[#This Row],[ID]], tblPiNAnalysis[ID], 0)), "")</f>
        <v/>
      </c>
      <c r="Z633" s="28" t="str">
        <f>IFERROR(INDEX(tblPiNAnalysis[Protection], MATCH(tblPiNHistorical[[#This Row],[ID]], tblPiNAnalysis[ID], 0)), "")</f>
        <v/>
      </c>
      <c r="AA633" s="28" t="str">
        <f>IFERROR(INDEX(tblPiNAnalysis[CP], MATCH(tblPiNHistorical[[#This Row],[ID]], tblPiNAnalysis[ID], 0)), "")</f>
        <v/>
      </c>
      <c r="AB633" s="83" t="str">
        <f>IFERROR(INDEX(tblPiNAnalysis[GBV], MATCH(tblPiNHistorical[[#This Row],[ID]], tblPiNAnalysis[ID], 0)), "")</f>
        <v/>
      </c>
      <c r="AC633" s="28" t="str">
        <f>IFERROR(INDEX(tblPiNAnalysis[Mine Action], MATCH(tblPiNHistorical[[#This Row],[ID]], tblPiNAnalysis[ID], 0)), "")</f>
        <v/>
      </c>
      <c r="AD633" s="83" t="str">
        <f>IFERROR(INDEX(tblPiNAnalysis[[Shelter NFI ]], MATCH(tblPiNHistorical[[#This Row],[ID]], tblPiNAnalysis[ID], 0)), "")</f>
        <v/>
      </c>
      <c r="AE633" s="28" t="str">
        <f>IFERROR(INDEX(tblPiNAnalysis[WASH], MATCH(tblPiNHistorical[[#This Row],[ID]], tblPiNAnalysis[ID], 0)), "")</f>
        <v/>
      </c>
      <c r="AF633"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633" s="136" t="str">
        <f>IF(OR(tblPiNHistorical[[#This Row],[Education Old]]="", tblPiNHistorical[[#This Row],[Education Old]]=0, tblPiNHistorical[[#This Row],[Education New]]="", tblPiNHistorical[[#This Row],[Education New]]=0), "", tblPiNHistorical[[#This Row],[Education New]]-tblPiNHistorical[[#This Row],[Education Old]])</f>
        <v/>
      </c>
      <c r="AH633"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633" s="137" t="str">
        <f>IF(OR(tblPiNHistorical[[#This Row],[Health Old]]="", tblPiNHistorical[[#This Row],[Health Old]]=0, tblPiNHistorical[[#This Row],[Health New]]="", tblPiNHistorical[[#This Row],[Health New]]=0), "", tblPiNHistorical[[#This Row],[Health New]]-tblPiNHistorical[[#This Row],[Health Old]])</f>
        <v/>
      </c>
      <c r="AJ633" s="136" t="str">
        <f>IF(OR(tblPiNHistorical[[#This Row],[Nutrition Old]]="", tblPiNHistorical[[#This Row],[Nutrition Old]]=0, tblPiNHistorical[[#This Row],[Nutrition New]]="", tblPiNHistorical[[#This Row],[Nutrition New]]=0), "", tblPiNHistorical[[#This Row],[Nutrition New]]-tblPiNHistorical[[#This Row],[Nutrition Old]])</f>
        <v/>
      </c>
      <c r="AK633" s="136" t="str">
        <f>IF(OR(tblPiNHistorical[[#This Row],[Protection Old]]="", tblPiNHistorical[[#This Row],[Protection Old]]=0, tblPiNHistorical[[#This Row],[Protection New]]="", tblPiNHistorical[[#This Row],[Protection New]]=0), "", tblPiNHistorical[[#This Row],[Protection New]]-tblPiNHistorical[[#This Row],[Protection Old]])</f>
        <v/>
      </c>
      <c r="AL633" s="136" t="str">
        <f>IF(OR(tblPiNHistorical[[#This Row],[CP Old ]]="", tblPiNHistorical[[#This Row],[CP Old ]]=0, tblPiNHistorical[[#This Row],[CP New]]="", tblPiNHistorical[[#This Row],[CP New]]=0), "", tblPiNHistorical[[#This Row],[CP New]]-tblPiNHistorical[[#This Row],[CP Old ]])</f>
        <v/>
      </c>
      <c r="AM633" s="83" t="str">
        <f>IF(OR(tblPiNHistorical[[#This Row],[GBV Old]]="", tblPiNHistorical[[#This Row],[GBV Old]]=0, tblPiNHistorical[[#This Row],[GBV New]]="", tblPiNHistorical[[#This Row],[GBV New]]=0), "", tblPiNHistorical[[#This Row],[GBV New]]-tblPiNHistorical[[#This Row],[GBV Old]])</f>
        <v/>
      </c>
      <c r="AN633" s="83" t="str">
        <f>IF(OR(tblPiNHistorical[[#This Row],[Mine Action Old]]="", tblPiNHistorical[[#This Row],[Mine Action Old]]=0, tblPiNHistorical[[#This Row],[Mine Action New]]="", tblPiNHistorical[[#This Row],[Mine Action New]]=0), "", tblPiNHistorical[[#This Row],[Mine Action New]]-tblPiNHistorical[[#This Row],[Mine Action Old]])</f>
        <v/>
      </c>
      <c r="AO633" s="136" t="str">
        <f>IF(OR(tblPiNHistorical[[#This Row],[Shelter NFI Old]]="", tblPiNHistorical[[#This Row],[Shelter NFI Old]]=0, tblPiNHistorical[[#This Row],[Shelter NFI New]]="", tblPiNHistorical[[#This Row],[Shelter NFI New]]=0), "", tblPiNHistorical[[#This Row],[Shelter NFI New]]-tblPiNHistorical[[#This Row],[Shelter NFI Old]])</f>
        <v/>
      </c>
      <c r="AP633" s="138" t="str">
        <f>IF(OR(tblPiNHistorical[[#This Row],[WASH Old]]="", tblPiNHistorical[[#This Row],[WASH Old]]=0, tblPiNHistorical[[#This Row],[WASH New]]="", tblPiNHistorical[[#This Row],[WASH New]]=0), "", tblPiNHistorical[[#This Row],[WASH New]]-tblPiNHistorical[[#This Row],[WASH Old]])</f>
        <v/>
      </c>
      <c r="AQ633" s="139" t="str">
        <f>IFERROR(ROUND((tblPiNHistorical[[#This Row],[Site Management - New]] - tblPiNHistorical[[#This Row],[Site Management - Old]])/tblPiNHistorical[[#This Row],[Site Management - Old]], 1), "")</f>
        <v/>
      </c>
      <c r="AR633" s="140" t="str">
        <f>IFERROR(ROUND((tblPiNHistorical[[#This Row],[Education New]]-tblPiNHistorical[[#This Row],[Education Old]])/tblPiNHistorical[[#This Row],[Education Old]], 1), "")</f>
        <v/>
      </c>
      <c r="AS633" s="141" t="str">
        <f>IFERROR(ROUND((tblPiNHistorical[[#This Row],[Food Security and Livlihoods New]]-tblPiNHistorical[[#This Row],[Food Security and Livlihoods Old]])/tblPiNHistorical[[#This Row],[Food Security and Livlihoods Old]], 1), "")</f>
        <v/>
      </c>
      <c r="AT633" s="142" t="str">
        <f>IFERROR(ROUND((tblPiNHistorical[[#This Row],[Health New]]-tblPiNHistorical[[#This Row],[Health Old]])/tblPiNHistorical[[#This Row],[Health Old]], 1), "")</f>
        <v/>
      </c>
      <c r="AU633" s="140" t="str">
        <f>IFERROR(ROUND((tblPiNHistorical[[#This Row],[Nutrition New]]-tblPiNHistorical[[#This Row],[Nutrition Old]])/tblPiNHistorical[[#This Row],[Nutrition Old]], 1), "")</f>
        <v/>
      </c>
      <c r="AV633" s="140" t="str">
        <f>IFERROR(ROUND((tblPiNHistorical[[#This Row],[Protection New]]-tblPiNHistorical[[#This Row],[Protection Old]])/tblPiNHistorical[[#This Row],[Protection Old]], 1), "")</f>
        <v/>
      </c>
      <c r="AW633" s="84" t="str">
        <f>IFERROR(ROUND((tblPiNHistorical[[#This Row],[CP New]]-tblPiNHistorical[[#This Row],[CP Old ]])/tblPiNHistorical[[#This Row],[CP Old ]], 1), "")</f>
        <v/>
      </c>
      <c r="AX633" s="84" t="str">
        <f>IFERROR(ROUND((tblPiNHistorical[[#This Row],[GBV New]]-tblPiNHistorical[[#This Row],[GBV Old]])/tblPiNHistorical[[#This Row],[GBV Old]], 1), "")</f>
        <v/>
      </c>
      <c r="AY633" s="84" t="str">
        <f>IFERROR(ROUND((tblPiNHistorical[[#This Row],[Mine Action New]]-tblPiNHistorical[[#This Row],[Mine Action Old]])/tblPiNHistorical[[#This Row],[Mine Action Old]], 1), "")</f>
        <v/>
      </c>
      <c r="AZ633" s="140" t="str">
        <f>IFERROR(ROUND((tblPiNHistorical[[#This Row],[Shelter NFI New]]-tblPiNHistorical[[#This Row],[Shelter NFI Old]])/tblPiNHistorical[[#This Row],[Shelter NFI Old]], 1), "")</f>
        <v/>
      </c>
      <c r="BA633" s="31" t="str">
        <f>IFERROR(ROUND((tblPiNHistorical[[#This Row],[WASH New]]-tblPiNHistorical[[#This Row],[WASH Old]])/tblPiNHistorical[[#This Row],[WASH Old]], 1), "")</f>
        <v/>
      </c>
    </row>
    <row r="634" spans="1:53" ht="38.25" x14ac:dyDescent="0.25">
      <c r="A634"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Non-displaced PopulationSD01007</v>
      </c>
      <c r="B634" s="134" t="s">
        <v>164</v>
      </c>
      <c r="C634" s="124" t="s">
        <v>118</v>
      </c>
      <c r="D634" s="124" t="s">
        <v>164</v>
      </c>
      <c r="E634" s="59" t="s">
        <v>335</v>
      </c>
      <c r="F634" s="54"/>
      <c r="G634" s="29"/>
      <c r="H634" s="53">
        <v>379188</v>
      </c>
      <c r="I634" s="53" t="s">
        <v>89</v>
      </c>
      <c r="J634" s="34">
        <v>0</v>
      </c>
      <c r="K634" s="116">
        <v>147011.1876</v>
      </c>
      <c r="L634" s="114">
        <v>246472.2</v>
      </c>
      <c r="M634" s="114">
        <v>1820</v>
      </c>
      <c r="N634" s="114">
        <v>39097</v>
      </c>
      <c r="O634" s="114">
        <v>189594</v>
      </c>
      <c r="P634" s="114">
        <v>41711</v>
      </c>
      <c r="Q634" s="114">
        <v>160092</v>
      </c>
      <c r="R634" s="114">
        <v>189594</v>
      </c>
      <c r="S634" s="114">
        <v>113756</v>
      </c>
      <c r="T634" s="196">
        <v>133170.82559999995</v>
      </c>
      <c r="U634" s="52" t="str">
        <f>IFERROR(INDEX(tblPiNAnalysis[[Site Management ]], MATCH(tblPiNHistorical[[#This Row],[ID]], tblPiNAnalysis[ID], 0)), "")</f>
        <v/>
      </c>
      <c r="V634" s="52" t="str">
        <f>IFERROR(INDEX(tblPiNAnalysis[Education], MATCH(tblPiNHistorical[[#This Row],[ID]], tblPiNAnalysis[ID], 0)), "")</f>
        <v/>
      </c>
      <c r="W634" s="28" t="str">
        <f>IFERROR(INDEX(tblPiNAnalysis[Food Security and Livlihoods], MATCH(tblPiNHistorical[[#This Row],[ID]], tblPiNAnalysis[ID], 0)), "")</f>
        <v/>
      </c>
      <c r="X634" s="28" t="str">
        <f>IFERROR(INDEX(tblPiNAnalysis[[Health ]], MATCH(tblPiNHistorical[[#This Row],[ID]], tblPiNAnalysis[ID], 0)), "")</f>
        <v/>
      </c>
      <c r="Y634" s="28" t="str">
        <f>IFERROR(INDEX(tblPiNAnalysis[Nutrition], MATCH(tblPiNHistorical[[#This Row],[ID]], tblPiNAnalysis[ID], 0)), "")</f>
        <v/>
      </c>
      <c r="Z634" s="28" t="str">
        <f>IFERROR(INDEX(tblPiNAnalysis[Protection], MATCH(tblPiNHistorical[[#This Row],[ID]], tblPiNAnalysis[ID], 0)), "")</f>
        <v/>
      </c>
      <c r="AA634" s="28" t="str">
        <f>IFERROR(INDEX(tblPiNAnalysis[CP], MATCH(tblPiNHistorical[[#This Row],[ID]], tblPiNAnalysis[ID], 0)), "")</f>
        <v/>
      </c>
      <c r="AB634" s="83" t="str">
        <f>IFERROR(INDEX(tblPiNAnalysis[GBV], MATCH(tblPiNHistorical[[#This Row],[ID]], tblPiNAnalysis[ID], 0)), "")</f>
        <v/>
      </c>
      <c r="AC634" s="28" t="str">
        <f>IFERROR(INDEX(tblPiNAnalysis[Mine Action], MATCH(tblPiNHistorical[[#This Row],[ID]], tblPiNAnalysis[ID], 0)), "")</f>
        <v/>
      </c>
      <c r="AD634" s="83" t="str">
        <f>IFERROR(INDEX(tblPiNAnalysis[[Shelter NFI ]], MATCH(tblPiNHistorical[[#This Row],[ID]], tblPiNAnalysis[ID], 0)), "")</f>
        <v/>
      </c>
      <c r="AE634" s="28" t="str">
        <f>IFERROR(INDEX(tblPiNAnalysis[WASH], MATCH(tblPiNHistorical[[#This Row],[ID]], tblPiNAnalysis[ID], 0)), "")</f>
        <v/>
      </c>
      <c r="AF634"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634" s="136" t="str">
        <f>IF(OR(tblPiNHistorical[[#This Row],[Education Old]]="", tblPiNHistorical[[#This Row],[Education Old]]=0, tblPiNHistorical[[#This Row],[Education New]]="", tblPiNHistorical[[#This Row],[Education New]]=0), "", tblPiNHistorical[[#This Row],[Education New]]-tblPiNHistorical[[#This Row],[Education Old]])</f>
        <v/>
      </c>
      <c r="AH634"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634" s="137" t="str">
        <f>IF(OR(tblPiNHistorical[[#This Row],[Health Old]]="", tblPiNHistorical[[#This Row],[Health Old]]=0, tblPiNHistorical[[#This Row],[Health New]]="", tblPiNHistorical[[#This Row],[Health New]]=0), "", tblPiNHistorical[[#This Row],[Health New]]-tblPiNHistorical[[#This Row],[Health Old]])</f>
        <v/>
      </c>
      <c r="AJ634" s="136" t="str">
        <f>IF(OR(tblPiNHistorical[[#This Row],[Nutrition Old]]="", tblPiNHistorical[[#This Row],[Nutrition Old]]=0, tblPiNHistorical[[#This Row],[Nutrition New]]="", tblPiNHistorical[[#This Row],[Nutrition New]]=0), "", tblPiNHistorical[[#This Row],[Nutrition New]]-tblPiNHistorical[[#This Row],[Nutrition Old]])</f>
        <v/>
      </c>
      <c r="AK634" s="136" t="str">
        <f>IF(OR(tblPiNHistorical[[#This Row],[Protection Old]]="", tblPiNHistorical[[#This Row],[Protection Old]]=0, tblPiNHistorical[[#This Row],[Protection New]]="", tblPiNHistorical[[#This Row],[Protection New]]=0), "", tblPiNHistorical[[#This Row],[Protection New]]-tblPiNHistorical[[#This Row],[Protection Old]])</f>
        <v/>
      </c>
      <c r="AL634" s="136" t="str">
        <f>IF(OR(tblPiNHistorical[[#This Row],[CP Old ]]="", tblPiNHistorical[[#This Row],[CP Old ]]=0, tblPiNHistorical[[#This Row],[CP New]]="", tblPiNHistorical[[#This Row],[CP New]]=0), "", tblPiNHistorical[[#This Row],[CP New]]-tblPiNHistorical[[#This Row],[CP Old ]])</f>
        <v/>
      </c>
      <c r="AM634" s="83" t="str">
        <f>IF(OR(tblPiNHistorical[[#This Row],[GBV Old]]="", tblPiNHistorical[[#This Row],[GBV Old]]=0, tblPiNHistorical[[#This Row],[GBV New]]="", tblPiNHistorical[[#This Row],[GBV New]]=0), "", tblPiNHistorical[[#This Row],[GBV New]]-tblPiNHistorical[[#This Row],[GBV Old]])</f>
        <v/>
      </c>
      <c r="AN634" s="83" t="str">
        <f>IF(OR(tblPiNHistorical[[#This Row],[Mine Action Old]]="", tblPiNHistorical[[#This Row],[Mine Action Old]]=0, tblPiNHistorical[[#This Row],[Mine Action New]]="", tblPiNHistorical[[#This Row],[Mine Action New]]=0), "", tblPiNHistorical[[#This Row],[Mine Action New]]-tblPiNHistorical[[#This Row],[Mine Action Old]])</f>
        <v/>
      </c>
      <c r="AO634" s="136" t="str">
        <f>IF(OR(tblPiNHistorical[[#This Row],[Shelter NFI Old]]="", tblPiNHistorical[[#This Row],[Shelter NFI Old]]=0, tblPiNHistorical[[#This Row],[Shelter NFI New]]="", tblPiNHistorical[[#This Row],[Shelter NFI New]]=0), "", tblPiNHistorical[[#This Row],[Shelter NFI New]]-tblPiNHistorical[[#This Row],[Shelter NFI Old]])</f>
        <v/>
      </c>
      <c r="AP634" s="138" t="str">
        <f>IF(OR(tblPiNHistorical[[#This Row],[WASH Old]]="", tblPiNHistorical[[#This Row],[WASH Old]]=0, tblPiNHistorical[[#This Row],[WASH New]]="", tblPiNHistorical[[#This Row],[WASH New]]=0), "", tblPiNHistorical[[#This Row],[WASH New]]-tblPiNHistorical[[#This Row],[WASH Old]])</f>
        <v/>
      </c>
      <c r="AQ634" s="139" t="str">
        <f>IFERROR(ROUND((tblPiNHistorical[[#This Row],[Site Management - New]] - tblPiNHistorical[[#This Row],[Site Management - Old]])/tblPiNHistorical[[#This Row],[Site Management - Old]], 1), "")</f>
        <v/>
      </c>
      <c r="AR634" s="140" t="str">
        <f>IFERROR(ROUND((tblPiNHistorical[[#This Row],[Education New]]-tblPiNHistorical[[#This Row],[Education Old]])/tblPiNHistorical[[#This Row],[Education Old]], 1), "")</f>
        <v/>
      </c>
      <c r="AS634" s="141" t="str">
        <f>IFERROR(ROUND((tblPiNHistorical[[#This Row],[Food Security and Livlihoods New]]-tblPiNHistorical[[#This Row],[Food Security and Livlihoods Old]])/tblPiNHistorical[[#This Row],[Food Security and Livlihoods Old]], 1), "")</f>
        <v/>
      </c>
      <c r="AT634" s="142" t="str">
        <f>IFERROR(ROUND((tblPiNHistorical[[#This Row],[Health New]]-tblPiNHistorical[[#This Row],[Health Old]])/tblPiNHistorical[[#This Row],[Health Old]], 1), "")</f>
        <v/>
      </c>
      <c r="AU634" s="140" t="str">
        <f>IFERROR(ROUND((tblPiNHistorical[[#This Row],[Nutrition New]]-tblPiNHistorical[[#This Row],[Nutrition Old]])/tblPiNHistorical[[#This Row],[Nutrition Old]], 1), "")</f>
        <v/>
      </c>
      <c r="AV634" s="140" t="str">
        <f>IFERROR(ROUND((tblPiNHistorical[[#This Row],[Protection New]]-tblPiNHistorical[[#This Row],[Protection Old]])/tblPiNHistorical[[#This Row],[Protection Old]], 1), "")</f>
        <v/>
      </c>
      <c r="AW634" s="84" t="str">
        <f>IFERROR(ROUND((tblPiNHistorical[[#This Row],[CP New]]-tblPiNHistorical[[#This Row],[CP Old ]])/tblPiNHistorical[[#This Row],[CP Old ]], 1), "")</f>
        <v/>
      </c>
      <c r="AX634" s="84" t="str">
        <f>IFERROR(ROUND((tblPiNHistorical[[#This Row],[GBV New]]-tblPiNHistorical[[#This Row],[GBV Old]])/tblPiNHistorical[[#This Row],[GBV Old]], 1), "")</f>
        <v/>
      </c>
      <c r="AY634" s="84" t="str">
        <f>IFERROR(ROUND((tblPiNHistorical[[#This Row],[Mine Action New]]-tblPiNHistorical[[#This Row],[Mine Action Old]])/tblPiNHistorical[[#This Row],[Mine Action Old]], 1), "")</f>
        <v/>
      </c>
      <c r="AZ634" s="140" t="str">
        <f>IFERROR(ROUND((tblPiNHistorical[[#This Row],[Shelter NFI New]]-tblPiNHistorical[[#This Row],[Shelter NFI Old]])/tblPiNHistorical[[#This Row],[Shelter NFI Old]], 1), "")</f>
        <v/>
      </c>
      <c r="BA634" s="31" t="str">
        <f>IFERROR(ROUND((tblPiNHistorical[[#This Row],[WASH New]]-tblPiNHistorical[[#This Row],[WASH Old]])/tblPiNHistorical[[#This Row],[WASH Old]], 1), "")</f>
        <v/>
      </c>
    </row>
    <row r="635" spans="1:53" ht="38.25" x14ac:dyDescent="0.25">
      <c r="A635"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Non-displaced PopulationSD01004</v>
      </c>
      <c r="B635" s="134" t="s">
        <v>164</v>
      </c>
      <c r="C635" s="124" t="s">
        <v>118</v>
      </c>
      <c r="D635" s="124" t="s">
        <v>329</v>
      </c>
      <c r="E635" s="59" t="s">
        <v>330</v>
      </c>
      <c r="F635" s="54"/>
      <c r="G635" s="29"/>
      <c r="H635" s="53">
        <v>534865</v>
      </c>
      <c r="I635" s="53" t="s">
        <v>89</v>
      </c>
      <c r="J635" s="34">
        <v>0</v>
      </c>
      <c r="K635" s="116">
        <v>207367.1605</v>
      </c>
      <c r="L635" s="114">
        <v>240689.25</v>
      </c>
      <c r="M635" s="114">
        <v>18420</v>
      </c>
      <c r="N635" s="114">
        <v>58008</v>
      </c>
      <c r="O635" s="114">
        <v>267432.5</v>
      </c>
      <c r="P635" s="114">
        <v>58835</v>
      </c>
      <c r="Q635" s="114">
        <v>42340</v>
      </c>
      <c r="R635" s="114">
        <v>267432.5</v>
      </c>
      <c r="S635" s="114">
        <v>160460</v>
      </c>
      <c r="T635" s="196">
        <v>225766.5165</v>
      </c>
      <c r="U635" s="52" t="str">
        <f>IFERROR(INDEX(tblPiNAnalysis[[Site Management ]], MATCH(tblPiNHistorical[[#This Row],[ID]], tblPiNAnalysis[ID], 0)), "")</f>
        <v/>
      </c>
      <c r="V635" s="52" t="str">
        <f>IFERROR(INDEX(tblPiNAnalysis[Education], MATCH(tblPiNHistorical[[#This Row],[ID]], tblPiNAnalysis[ID], 0)), "")</f>
        <v/>
      </c>
      <c r="W635" s="28" t="str">
        <f>IFERROR(INDEX(tblPiNAnalysis[Food Security and Livlihoods], MATCH(tblPiNHistorical[[#This Row],[ID]], tblPiNAnalysis[ID], 0)), "")</f>
        <v/>
      </c>
      <c r="X635" s="28" t="str">
        <f>IFERROR(INDEX(tblPiNAnalysis[[Health ]], MATCH(tblPiNHistorical[[#This Row],[ID]], tblPiNAnalysis[ID], 0)), "")</f>
        <v/>
      </c>
      <c r="Y635" s="28" t="str">
        <f>IFERROR(INDEX(tblPiNAnalysis[Nutrition], MATCH(tblPiNHistorical[[#This Row],[ID]], tblPiNAnalysis[ID], 0)), "")</f>
        <v/>
      </c>
      <c r="Z635" s="28" t="str">
        <f>IFERROR(INDEX(tblPiNAnalysis[Protection], MATCH(tblPiNHistorical[[#This Row],[ID]], tblPiNAnalysis[ID], 0)), "")</f>
        <v/>
      </c>
      <c r="AA635" s="28" t="str">
        <f>IFERROR(INDEX(tblPiNAnalysis[CP], MATCH(tblPiNHistorical[[#This Row],[ID]], tblPiNAnalysis[ID], 0)), "")</f>
        <v/>
      </c>
      <c r="AB635" s="83" t="str">
        <f>IFERROR(INDEX(tblPiNAnalysis[GBV], MATCH(tblPiNHistorical[[#This Row],[ID]], tblPiNAnalysis[ID], 0)), "")</f>
        <v/>
      </c>
      <c r="AC635" s="28" t="str">
        <f>IFERROR(INDEX(tblPiNAnalysis[Mine Action], MATCH(tblPiNHistorical[[#This Row],[ID]], tblPiNAnalysis[ID], 0)), "")</f>
        <v/>
      </c>
      <c r="AD635" s="83" t="str">
        <f>IFERROR(INDEX(tblPiNAnalysis[[Shelter NFI ]], MATCH(tblPiNHistorical[[#This Row],[ID]], tblPiNAnalysis[ID], 0)), "")</f>
        <v/>
      </c>
      <c r="AE635" s="28" t="str">
        <f>IFERROR(INDEX(tblPiNAnalysis[WASH], MATCH(tblPiNHistorical[[#This Row],[ID]], tblPiNAnalysis[ID], 0)), "")</f>
        <v/>
      </c>
      <c r="AF635"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635" s="136" t="str">
        <f>IF(OR(tblPiNHistorical[[#This Row],[Education Old]]="", tblPiNHistorical[[#This Row],[Education Old]]=0, tblPiNHistorical[[#This Row],[Education New]]="", tblPiNHistorical[[#This Row],[Education New]]=0), "", tblPiNHistorical[[#This Row],[Education New]]-tblPiNHistorical[[#This Row],[Education Old]])</f>
        <v/>
      </c>
      <c r="AH635"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635" s="137" t="str">
        <f>IF(OR(tblPiNHistorical[[#This Row],[Health Old]]="", tblPiNHistorical[[#This Row],[Health Old]]=0, tblPiNHistorical[[#This Row],[Health New]]="", tblPiNHistorical[[#This Row],[Health New]]=0), "", tblPiNHistorical[[#This Row],[Health New]]-tblPiNHistorical[[#This Row],[Health Old]])</f>
        <v/>
      </c>
      <c r="AJ635" s="136" t="str">
        <f>IF(OR(tblPiNHistorical[[#This Row],[Nutrition Old]]="", tblPiNHistorical[[#This Row],[Nutrition Old]]=0, tblPiNHistorical[[#This Row],[Nutrition New]]="", tblPiNHistorical[[#This Row],[Nutrition New]]=0), "", tblPiNHistorical[[#This Row],[Nutrition New]]-tblPiNHistorical[[#This Row],[Nutrition Old]])</f>
        <v/>
      </c>
      <c r="AK635" s="136" t="str">
        <f>IF(OR(tblPiNHistorical[[#This Row],[Protection Old]]="", tblPiNHistorical[[#This Row],[Protection Old]]=0, tblPiNHistorical[[#This Row],[Protection New]]="", tblPiNHistorical[[#This Row],[Protection New]]=0), "", tblPiNHistorical[[#This Row],[Protection New]]-tblPiNHistorical[[#This Row],[Protection Old]])</f>
        <v/>
      </c>
      <c r="AL635" s="136" t="str">
        <f>IF(OR(tblPiNHistorical[[#This Row],[CP Old ]]="", tblPiNHistorical[[#This Row],[CP Old ]]=0, tblPiNHistorical[[#This Row],[CP New]]="", tblPiNHistorical[[#This Row],[CP New]]=0), "", tblPiNHistorical[[#This Row],[CP New]]-tblPiNHistorical[[#This Row],[CP Old ]])</f>
        <v/>
      </c>
      <c r="AM635" s="83" t="str">
        <f>IF(OR(tblPiNHistorical[[#This Row],[GBV Old]]="", tblPiNHistorical[[#This Row],[GBV Old]]=0, tblPiNHistorical[[#This Row],[GBV New]]="", tblPiNHistorical[[#This Row],[GBV New]]=0), "", tblPiNHistorical[[#This Row],[GBV New]]-tblPiNHistorical[[#This Row],[GBV Old]])</f>
        <v/>
      </c>
      <c r="AN635" s="83" t="str">
        <f>IF(OR(tblPiNHistorical[[#This Row],[Mine Action Old]]="", tblPiNHistorical[[#This Row],[Mine Action Old]]=0, tblPiNHistorical[[#This Row],[Mine Action New]]="", tblPiNHistorical[[#This Row],[Mine Action New]]=0), "", tblPiNHistorical[[#This Row],[Mine Action New]]-tblPiNHistorical[[#This Row],[Mine Action Old]])</f>
        <v/>
      </c>
      <c r="AO635" s="136" t="str">
        <f>IF(OR(tblPiNHistorical[[#This Row],[Shelter NFI Old]]="", tblPiNHistorical[[#This Row],[Shelter NFI Old]]=0, tblPiNHistorical[[#This Row],[Shelter NFI New]]="", tblPiNHistorical[[#This Row],[Shelter NFI New]]=0), "", tblPiNHistorical[[#This Row],[Shelter NFI New]]-tblPiNHistorical[[#This Row],[Shelter NFI Old]])</f>
        <v/>
      </c>
      <c r="AP635" s="138" t="str">
        <f>IF(OR(tblPiNHistorical[[#This Row],[WASH Old]]="", tblPiNHistorical[[#This Row],[WASH Old]]=0, tblPiNHistorical[[#This Row],[WASH New]]="", tblPiNHistorical[[#This Row],[WASH New]]=0), "", tblPiNHistorical[[#This Row],[WASH New]]-tblPiNHistorical[[#This Row],[WASH Old]])</f>
        <v/>
      </c>
      <c r="AQ635" s="139" t="str">
        <f>IFERROR(ROUND((tblPiNHistorical[[#This Row],[Site Management - New]] - tblPiNHistorical[[#This Row],[Site Management - Old]])/tblPiNHistorical[[#This Row],[Site Management - Old]], 1), "")</f>
        <v/>
      </c>
      <c r="AR635" s="140" t="str">
        <f>IFERROR(ROUND((tblPiNHistorical[[#This Row],[Education New]]-tblPiNHistorical[[#This Row],[Education Old]])/tblPiNHistorical[[#This Row],[Education Old]], 1), "")</f>
        <v/>
      </c>
      <c r="AS635" s="141" t="str">
        <f>IFERROR(ROUND((tblPiNHistorical[[#This Row],[Food Security and Livlihoods New]]-tblPiNHistorical[[#This Row],[Food Security and Livlihoods Old]])/tblPiNHistorical[[#This Row],[Food Security and Livlihoods Old]], 1), "")</f>
        <v/>
      </c>
      <c r="AT635" s="142" t="str">
        <f>IFERROR(ROUND((tblPiNHistorical[[#This Row],[Health New]]-tblPiNHistorical[[#This Row],[Health Old]])/tblPiNHistorical[[#This Row],[Health Old]], 1), "")</f>
        <v/>
      </c>
      <c r="AU635" s="140" t="str">
        <f>IFERROR(ROUND((tblPiNHistorical[[#This Row],[Nutrition New]]-tblPiNHistorical[[#This Row],[Nutrition Old]])/tblPiNHistorical[[#This Row],[Nutrition Old]], 1), "")</f>
        <v/>
      </c>
      <c r="AV635" s="140" t="str">
        <f>IFERROR(ROUND((tblPiNHistorical[[#This Row],[Protection New]]-tblPiNHistorical[[#This Row],[Protection Old]])/tblPiNHistorical[[#This Row],[Protection Old]], 1), "")</f>
        <v/>
      </c>
      <c r="AW635" s="84" t="str">
        <f>IFERROR(ROUND((tblPiNHistorical[[#This Row],[CP New]]-tblPiNHistorical[[#This Row],[CP Old ]])/tblPiNHistorical[[#This Row],[CP Old ]], 1), "")</f>
        <v/>
      </c>
      <c r="AX635" s="84" t="str">
        <f>IFERROR(ROUND((tblPiNHistorical[[#This Row],[GBV New]]-tblPiNHistorical[[#This Row],[GBV Old]])/tblPiNHistorical[[#This Row],[GBV Old]], 1), "")</f>
        <v/>
      </c>
      <c r="AY635" s="84" t="str">
        <f>IFERROR(ROUND((tblPiNHistorical[[#This Row],[Mine Action New]]-tblPiNHistorical[[#This Row],[Mine Action Old]])/tblPiNHistorical[[#This Row],[Mine Action Old]], 1), "")</f>
        <v/>
      </c>
      <c r="AZ635" s="140" t="str">
        <f>IFERROR(ROUND((tblPiNHistorical[[#This Row],[Shelter NFI New]]-tblPiNHistorical[[#This Row],[Shelter NFI Old]])/tblPiNHistorical[[#This Row],[Shelter NFI Old]], 1), "")</f>
        <v/>
      </c>
      <c r="BA635" s="31" t="str">
        <f>IFERROR(ROUND((tblPiNHistorical[[#This Row],[WASH New]]-tblPiNHistorical[[#This Row],[WASH Old]])/tblPiNHistorical[[#This Row],[WASH Old]], 1), "")</f>
        <v/>
      </c>
    </row>
    <row r="636" spans="1:53" ht="38.25" x14ac:dyDescent="0.25">
      <c r="A636"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Non-displaced PopulationSD01002</v>
      </c>
      <c r="B636" s="134" t="s">
        <v>164</v>
      </c>
      <c r="C636" s="124" t="s">
        <v>118</v>
      </c>
      <c r="D636" s="124" t="s">
        <v>325</v>
      </c>
      <c r="E636" s="59" t="s">
        <v>326</v>
      </c>
      <c r="F636" s="54"/>
      <c r="G636" s="29"/>
      <c r="H636" s="53">
        <v>983569</v>
      </c>
      <c r="I636" s="53" t="s">
        <v>89</v>
      </c>
      <c r="J636" s="34">
        <v>0</v>
      </c>
      <c r="K636" s="116">
        <v>381329.70130000002</v>
      </c>
      <c r="L636" s="114">
        <v>590141.4</v>
      </c>
      <c r="M636" s="114">
        <v>1910</v>
      </c>
      <c r="N636" s="114">
        <v>150118</v>
      </c>
      <c r="O636" s="114">
        <v>491784.5</v>
      </c>
      <c r="P636" s="114">
        <v>108193</v>
      </c>
      <c r="Q636" s="114">
        <v>415256</v>
      </c>
      <c r="R636" s="114">
        <v>491784.5</v>
      </c>
      <c r="S636" s="114">
        <v>295071</v>
      </c>
      <c r="T636" s="196">
        <v>472604.9045</v>
      </c>
      <c r="U636" s="52" t="str">
        <f>IFERROR(INDEX(tblPiNAnalysis[[Site Management ]], MATCH(tblPiNHistorical[[#This Row],[ID]], tblPiNAnalysis[ID], 0)), "")</f>
        <v/>
      </c>
      <c r="V636" s="52" t="str">
        <f>IFERROR(INDEX(tblPiNAnalysis[Education], MATCH(tblPiNHistorical[[#This Row],[ID]], tblPiNAnalysis[ID], 0)), "")</f>
        <v/>
      </c>
      <c r="W636" s="28" t="str">
        <f>IFERROR(INDEX(tblPiNAnalysis[Food Security and Livlihoods], MATCH(tblPiNHistorical[[#This Row],[ID]], tblPiNAnalysis[ID], 0)), "")</f>
        <v/>
      </c>
      <c r="X636" s="28" t="str">
        <f>IFERROR(INDEX(tblPiNAnalysis[[Health ]], MATCH(tblPiNHistorical[[#This Row],[ID]], tblPiNAnalysis[ID], 0)), "")</f>
        <v/>
      </c>
      <c r="Y636" s="28" t="str">
        <f>IFERROR(INDEX(tblPiNAnalysis[Nutrition], MATCH(tblPiNHistorical[[#This Row],[ID]], tblPiNAnalysis[ID], 0)), "")</f>
        <v/>
      </c>
      <c r="Z636" s="28" t="str">
        <f>IFERROR(INDEX(tblPiNAnalysis[Protection], MATCH(tblPiNHistorical[[#This Row],[ID]], tblPiNAnalysis[ID], 0)), "")</f>
        <v/>
      </c>
      <c r="AA636" s="28" t="str">
        <f>IFERROR(INDEX(tblPiNAnalysis[CP], MATCH(tblPiNHistorical[[#This Row],[ID]], tblPiNAnalysis[ID], 0)), "")</f>
        <v/>
      </c>
      <c r="AB636" s="83" t="str">
        <f>IFERROR(INDEX(tblPiNAnalysis[GBV], MATCH(tblPiNHistorical[[#This Row],[ID]], tblPiNAnalysis[ID], 0)), "")</f>
        <v/>
      </c>
      <c r="AC636" s="28" t="str">
        <f>IFERROR(INDEX(tblPiNAnalysis[Mine Action], MATCH(tblPiNHistorical[[#This Row],[ID]], tblPiNAnalysis[ID], 0)), "")</f>
        <v/>
      </c>
      <c r="AD636" s="83" t="str">
        <f>IFERROR(INDEX(tblPiNAnalysis[[Shelter NFI ]], MATCH(tblPiNHistorical[[#This Row],[ID]], tblPiNAnalysis[ID], 0)), "")</f>
        <v/>
      </c>
      <c r="AE636" s="28" t="str">
        <f>IFERROR(INDEX(tblPiNAnalysis[WASH], MATCH(tblPiNHistorical[[#This Row],[ID]], tblPiNAnalysis[ID], 0)), "")</f>
        <v/>
      </c>
      <c r="AF636"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636" s="136" t="str">
        <f>IF(OR(tblPiNHistorical[[#This Row],[Education Old]]="", tblPiNHistorical[[#This Row],[Education Old]]=0, tblPiNHistorical[[#This Row],[Education New]]="", tblPiNHistorical[[#This Row],[Education New]]=0), "", tblPiNHistorical[[#This Row],[Education New]]-tblPiNHistorical[[#This Row],[Education Old]])</f>
        <v/>
      </c>
      <c r="AH636"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636" s="137" t="str">
        <f>IF(OR(tblPiNHistorical[[#This Row],[Health Old]]="", tblPiNHistorical[[#This Row],[Health Old]]=0, tblPiNHistorical[[#This Row],[Health New]]="", tblPiNHistorical[[#This Row],[Health New]]=0), "", tblPiNHistorical[[#This Row],[Health New]]-tblPiNHistorical[[#This Row],[Health Old]])</f>
        <v/>
      </c>
      <c r="AJ636" s="136" t="str">
        <f>IF(OR(tblPiNHistorical[[#This Row],[Nutrition Old]]="", tblPiNHistorical[[#This Row],[Nutrition Old]]=0, tblPiNHistorical[[#This Row],[Nutrition New]]="", tblPiNHistorical[[#This Row],[Nutrition New]]=0), "", tblPiNHistorical[[#This Row],[Nutrition New]]-tblPiNHistorical[[#This Row],[Nutrition Old]])</f>
        <v/>
      </c>
      <c r="AK636" s="136" t="str">
        <f>IF(OR(tblPiNHistorical[[#This Row],[Protection Old]]="", tblPiNHistorical[[#This Row],[Protection Old]]=0, tblPiNHistorical[[#This Row],[Protection New]]="", tblPiNHistorical[[#This Row],[Protection New]]=0), "", tblPiNHistorical[[#This Row],[Protection New]]-tblPiNHistorical[[#This Row],[Protection Old]])</f>
        <v/>
      </c>
      <c r="AL636" s="136" t="str">
        <f>IF(OR(tblPiNHistorical[[#This Row],[CP Old ]]="", tblPiNHistorical[[#This Row],[CP Old ]]=0, tblPiNHistorical[[#This Row],[CP New]]="", tblPiNHistorical[[#This Row],[CP New]]=0), "", tblPiNHistorical[[#This Row],[CP New]]-tblPiNHistorical[[#This Row],[CP Old ]])</f>
        <v/>
      </c>
      <c r="AM636" s="83" t="str">
        <f>IF(OR(tblPiNHistorical[[#This Row],[GBV Old]]="", tblPiNHistorical[[#This Row],[GBV Old]]=0, tblPiNHistorical[[#This Row],[GBV New]]="", tblPiNHistorical[[#This Row],[GBV New]]=0), "", tblPiNHistorical[[#This Row],[GBV New]]-tblPiNHistorical[[#This Row],[GBV Old]])</f>
        <v/>
      </c>
      <c r="AN636" s="83" t="str">
        <f>IF(OR(tblPiNHistorical[[#This Row],[Mine Action Old]]="", tblPiNHistorical[[#This Row],[Mine Action Old]]=0, tblPiNHistorical[[#This Row],[Mine Action New]]="", tblPiNHistorical[[#This Row],[Mine Action New]]=0), "", tblPiNHistorical[[#This Row],[Mine Action New]]-tblPiNHistorical[[#This Row],[Mine Action Old]])</f>
        <v/>
      </c>
      <c r="AO636" s="136" t="str">
        <f>IF(OR(tblPiNHistorical[[#This Row],[Shelter NFI Old]]="", tblPiNHistorical[[#This Row],[Shelter NFI Old]]=0, tblPiNHistorical[[#This Row],[Shelter NFI New]]="", tblPiNHistorical[[#This Row],[Shelter NFI New]]=0), "", tblPiNHistorical[[#This Row],[Shelter NFI New]]-tblPiNHistorical[[#This Row],[Shelter NFI Old]])</f>
        <v/>
      </c>
      <c r="AP636" s="138" t="str">
        <f>IF(OR(tblPiNHistorical[[#This Row],[WASH Old]]="", tblPiNHistorical[[#This Row],[WASH Old]]=0, tblPiNHistorical[[#This Row],[WASH New]]="", tblPiNHistorical[[#This Row],[WASH New]]=0), "", tblPiNHistorical[[#This Row],[WASH New]]-tblPiNHistorical[[#This Row],[WASH Old]])</f>
        <v/>
      </c>
      <c r="AQ636" s="139" t="str">
        <f>IFERROR(ROUND((tblPiNHistorical[[#This Row],[Site Management - New]] - tblPiNHistorical[[#This Row],[Site Management - Old]])/tblPiNHistorical[[#This Row],[Site Management - Old]], 1), "")</f>
        <v/>
      </c>
      <c r="AR636" s="140" t="str">
        <f>IFERROR(ROUND((tblPiNHistorical[[#This Row],[Education New]]-tblPiNHistorical[[#This Row],[Education Old]])/tblPiNHistorical[[#This Row],[Education Old]], 1), "")</f>
        <v/>
      </c>
      <c r="AS636" s="141" t="str">
        <f>IFERROR(ROUND((tblPiNHistorical[[#This Row],[Food Security and Livlihoods New]]-tblPiNHistorical[[#This Row],[Food Security and Livlihoods Old]])/tblPiNHistorical[[#This Row],[Food Security and Livlihoods Old]], 1), "")</f>
        <v/>
      </c>
      <c r="AT636" s="142" t="str">
        <f>IFERROR(ROUND((tblPiNHistorical[[#This Row],[Health New]]-tblPiNHistorical[[#This Row],[Health Old]])/tblPiNHistorical[[#This Row],[Health Old]], 1), "")</f>
        <v/>
      </c>
      <c r="AU636" s="140" t="str">
        <f>IFERROR(ROUND((tblPiNHistorical[[#This Row],[Nutrition New]]-tblPiNHistorical[[#This Row],[Nutrition Old]])/tblPiNHistorical[[#This Row],[Nutrition Old]], 1), "")</f>
        <v/>
      </c>
      <c r="AV636" s="140" t="str">
        <f>IFERROR(ROUND((tblPiNHistorical[[#This Row],[Protection New]]-tblPiNHistorical[[#This Row],[Protection Old]])/tblPiNHistorical[[#This Row],[Protection Old]], 1), "")</f>
        <v/>
      </c>
      <c r="AW636" s="84" t="str">
        <f>IFERROR(ROUND((tblPiNHistorical[[#This Row],[CP New]]-tblPiNHistorical[[#This Row],[CP Old ]])/tblPiNHistorical[[#This Row],[CP Old ]], 1), "")</f>
        <v/>
      </c>
      <c r="AX636" s="84" t="str">
        <f>IFERROR(ROUND((tblPiNHistorical[[#This Row],[GBV New]]-tblPiNHistorical[[#This Row],[GBV Old]])/tblPiNHistorical[[#This Row],[GBV Old]], 1), "")</f>
        <v/>
      </c>
      <c r="AY636" s="84" t="str">
        <f>IFERROR(ROUND((tblPiNHistorical[[#This Row],[Mine Action New]]-tblPiNHistorical[[#This Row],[Mine Action Old]])/tblPiNHistorical[[#This Row],[Mine Action Old]], 1), "")</f>
        <v/>
      </c>
      <c r="AZ636" s="140" t="str">
        <f>IFERROR(ROUND((tblPiNHistorical[[#This Row],[Shelter NFI New]]-tblPiNHistorical[[#This Row],[Shelter NFI Old]])/tblPiNHistorical[[#This Row],[Shelter NFI Old]], 1), "")</f>
        <v/>
      </c>
      <c r="BA636" s="31" t="str">
        <f>IFERROR(ROUND((tblPiNHistorical[[#This Row],[WASH New]]-tblPiNHistorical[[#This Row],[WASH Old]])/tblPiNHistorical[[#This Row],[WASH Old]], 1), "")</f>
        <v/>
      </c>
    </row>
    <row r="637" spans="1:53" ht="38.25" x14ac:dyDescent="0.25">
      <c r="A637"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Non-displaced PopulationSD01006</v>
      </c>
      <c r="B637" s="134" t="s">
        <v>164</v>
      </c>
      <c r="C637" s="124" t="s">
        <v>118</v>
      </c>
      <c r="D637" s="124" t="s">
        <v>333</v>
      </c>
      <c r="E637" s="59" t="s">
        <v>334</v>
      </c>
      <c r="F637" s="54"/>
      <c r="G637" s="29"/>
      <c r="H637" s="53">
        <v>276609</v>
      </c>
      <c r="I637" s="53" t="s">
        <v>89</v>
      </c>
      <c r="J637" s="34">
        <v>0</v>
      </c>
      <c r="K637" s="116">
        <v>107241.30929999999</v>
      </c>
      <c r="L637" s="114">
        <v>152134.95000000001</v>
      </c>
      <c r="M637" s="114">
        <v>40000</v>
      </c>
      <c r="N637" s="114">
        <v>43835</v>
      </c>
      <c r="O637" s="114">
        <v>138304.5</v>
      </c>
      <c r="P637" s="114">
        <v>30427</v>
      </c>
      <c r="Q637" s="114">
        <v>116780</v>
      </c>
      <c r="R637" s="114">
        <v>138304.5</v>
      </c>
      <c r="S637" s="114">
        <v>82983</v>
      </c>
      <c r="T637" s="196">
        <v>128014.64520000003</v>
      </c>
      <c r="U637" s="52" t="str">
        <f>IFERROR(INDEX(tblPiNAnalysis[[Site Management ]], MATCH(tblPiNHistorical[[#This Row],[ID]], tblPiNAnalysis[ID], 0)), "")</f>
        <v/>
      </c>
      <c r="V637" s="52" t="str">
        <f>IFERROR(INDEX(tblPiNAnalysis[Education], MATCH(tblPiNHistorical[[#This Row],[ID]], tblPiNAnalysis[ID], 0)), "")</f>
        <v/>
      </c>
      <c r="W637" s="28" t="str">
        <f>IFERROR(INDEX(tblPiNAnalysis[Food Security and Livlihoods], MATCH(tblPiNHistorical[[#This Row],[ID]], tblPiNAnalysis[ID], 0)), "")</f>
        <v/>
      </c>
      <c r="X637" s="28" t="str">
        <f>IFERROR(INDEX(tblPiNAnalysis[[Health ]], MATCH(tblPiNHistorical[[#This Row],[ID]], tblPiNAnalysis[ID], 0)), "")</f>
        <v/>
      </c>
      <c r="Y637" s="28" t="str">
        <f>IFERROR(INDEX(tblPiNAnalysis[Nutrition], MATCH(tblPiNHistorical[[#This Row],[ID]], tblPiNAnalysis[ID], 0)), "")</f>
        <v/>
      </c>
      <c r="Z637" s="28" t="str">
        <f>IFERROR(INDEX(tblPiNAnalysis[Protection], MATCH(tblPiNHistorical[[#This Row],[ID]], tblPiNAnalysis[ID], 0)), "")</f>
        <v/>
      </c>
      <c r="AA637" s="28" t="str">
        <f>IFERROR(INDEX(tblPiNAnalysis[CP], MATCH(tblPiNHistorical[[#This Row],[ID]], tblPiNAnalysis[ID], 0)), "")</f>
        <v/>
      </c>
      <c r="AB637" s="83" t="str">
        <f>IFERROR(INDEX(tblPiNAnalysis[GBV], MATCH(tblPiNHistorical[[#This Row],[ID]], tblPiNAnalysis[ID], 0)), "")</f>
        <v/>
      </c>
      <c r="AC637" s="28" t="str">
        <f>IFERROR(INDEX(tblPiNAnalysis[Mine Action], MATCH(tblPiNHistorical[[#This Row],[ID]], tblPiNAnalysis[ID], 0)), "")</f>
        <v/>
      </c>
      <c r="AD637" s="83" t="str">
        <f>IFERROR(INDEX(tblPiNAnalysis[[Shelter NFI ]], MATCH(tblPiNHistorical[[#This Row],[ID]], tblPiNAnalysis[ID], 0)), "")</f>
        <v/>
      </c>
      <c r="AE637" s="28" t="str">
        <f>IFERROR(INDEX(tblPiNAnalysis[WASH], MATCH(tblPiNHistorical[[#This Row],[ID]], tblPiNAnalysis[ID], 0)), "")</f>
        <v/>
      </c>
      <c r="AF637"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637" s="136" t="str">
        <f>IF(OR(tblPiNHistorical[[#This Row],[Education Old]]="", tblPiNHistorical[[#This Row],[Education Old]]=0, tblPiNHistorical[[#This Row],[Education New]]="", tblPiNHistorical[[#This Row],[Education New]]=0), "", tblPiNHistorical[[#This Row],[Education New]]-tblPiNHistorical[[#This Row],[Education Old]])</f>
        <v/>
      </c>
      <c r="AH637"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637" s="137" t="str">
        <f>IF(OR(tblPiNHistorical[[#This Row],[Health Old]]="", tblPiNHistorical[[#This Row],[Health Old]]=0, tblPiNHistorical[[#This Row],[Health New]]="", tblPiNHistorical[[#This Row],[Health New]]=0), "", tblPiNHistorical[[#This Row],[Health New]]-tblPiNHistorical[[#This Row],[Health Old]])</f>
        <v/>
      </c>
      <c r="AJ637" s="136" t="str">
        <f>IF(OR(tblPiNHistorical[[#This Row],[Nutrition Old]]="", tblPiNHistorical[[#This Row],[Nutrition Old]]=0, tblPiNHistorical[[#This Row],[Nutrition New]]="", tblPiNHistorical[[#This Row],[Nutrition New]]=0), "", tblPiNHistorical[[#This Row],[Nutrition New]]-tblPiNHistorical[[#This Row],[Nutrition Old]])</f>
        <v/>
      </c>
      <c r="AK637" s="136" t="str">
        <f>IF(OR(tblPiNHistorical[[#This Row],[Protection Old]]="", tblPiNHistorical[[#This Row],[Protection Old]]=0, tblPiNHistorical[[#This Row],[Protection New]]="", tblPiNHistorical[[#This Row],[Protection New]]=0), "", tblPiNHistorical[[#This Row],[Protection New]]-tblPiNHistorical[[#This Row],[Protection Old]])</f>
        <v/>
      </c>
      <c r="AL637" s="136" t="str">
        <f>IF(OR(tblPiNHistorical[[#This Row],[CP Old ]]="", tblPiNHistorical[[#This Row],[CP Old ]]=0, tblPiNHistorical[[#This Row],[CP New]]="", tblPiNHistorical[[#This Row],[CP New]]=0), "", tblPiNHistorical[[#This Row],[CP New]]-tblPiNHistorical[[#This Row],[CP Old ]])</f>
        <v/>
      </c>
      <c r="AM637" s="83" t="str">
        <f>IF(OR(tblPiNHistorical[[#This Row],[GBV Old]]="", tblPiNHistorical[[#This Row],[GBV Old]]=0, tblPiNHistorical[[#This Row],[GBV New]]="", tblPiNHistorical[[#This Row],[GBV New]]=0), "", tblPiNHistorical[[#This Row],[GBV New]]-tblPiNHistorical[[#This Row],[GBV Old]])</f>
        <v/>
      </c>
      <c r="AN637" s="83" t="str">
        <f>IF(OR(tblPiNHistorical[[#This Row],[Mine Action Old]]="", tblPiNHistorical[[#This Row],[Mine Action Old]]=0, tblPiNHistorical[[#This Row],[Mine Action New]]="", tblPiNHistorical[[#This Row],[Mine Action New]]=0), "", tblPiNHistorical[[#This Row],[Mine Action New]]-tblPiNHistorical[[#This Row],[Mine Action Old]])</f>
        <v/>
      </c>
      <c r="AO637" s="136" t="str">
        <f>IF(OR(tblPiNHistorical[[#This Row],[Shelter NFI Old]]="", tblPiNHistorical[[#This Row],[Shelter NFI Old]]=0, tblPiNHistorical[[#This Row],[Shelter NFI New]]="", tblPiNHistorical[[#This Row],[Shelter NFI New]]=0), "", tblPiNHistorical[[#This Row],[Shelter NFI New]]-tblPiNHistorical[[#This Row],[Shelter NFI Old]])</f>
        <v/>
      </c>
      <c r="AP637" s="138" t="str">
        <f>IF(OR(tblPiNHistorical[[#This Row],[WASH Old]]="", tblPiNHistorical[[#This Row],[WASH Old]]=0, tblPiNHistorical[[#This Row],[WASH New]]="", tblPiNHistorical[[#This Row],[WASH New]]=0), "", tblPiNHistorical[[#This Row],[WASH New]]-tblPiNHistorical[[#This Row],[WASH Old]])</f>
        <v/>
      </c>
      <c r="AQ637" s="139" t="str">
        <f>IFERROR(ROUND((tblPiNHistorical[[#This Row],[Site Management - New]] - tblPiNHistorical[[#This Row],[Site Management - Old]])/tblPiNHistorical[[#This Row],[Site Management - Old]], 1), "")</f>
        <v/>
      </c>
      <c r="AR637" s="140" t="str">
        <f>IFERROR(ROUND((tblPiNHistorical[[#This Row],[Education New]]-tblPiNHistorical[[#This Row],[Education Old]])/tblPiNHistorical[[#This Row],[Education Old]], 1), "")</f>
        <v/>
      </c>
      <c r="AS637" s="141" t="str">
        <f>IFERROR(ROUND((tblPiNHistorical[[#This Row],[Food Security and Livlihoods New]]-tblPiNHistorical[[#This Row],[Food Security and Livlihoods Old]])/tblPiNHistorical[[#This Row],[Food Security and Livlihoods Old]], 1), "")</f>
        <v/>
      </c>
      <c r="AT637" s="142" t="str">
        <f>IFERROR(ROUND((tblPiNHistorical[[#This Row],[Health New]]-tblPiNHistorical[[#This Row],[Health Old]])/tblPiNHistorical[[#This Row],[Health Old]], 1), "")</f>
        <v/>
      </c>
      <c r="AU637" s="140" t="str">
        <f>IFERROR(ROUND((tblPiNHistorical[[#This Row],[Nutrition New]]-tblPiNHistorical[[#This Row],[Nutrition Old]])/tblPiNHistorical[[#This Row],[Nutrition Old]], 1), "")</f>
        <v/>
      </c>
      <c r="AV637" s="140" t="str">
        <f>IFERROR(ROUND((tblPiNHistorical[[#This Row],[Protection New]]-tblPiNHistorical[[#This Row],[Protection Old]])/tblPiNHistorical[[#This Row],[Protection Old]], 1), "")</f>
        <v/>
      </c>
      <c r="AW637" s="84" t="str">
        <f>IFERROR(ROUND((tblPiNHistorical[[#This Row],[CP New]]-tblPiNHistorical[[#This Row],[CP Old ]])/tblPiNHistorical[[#This Row],[CP Old ]], 1), "")</f>
        <v/>
      </c>
      <c r="AX637" s="84" t="str">
        <f>IFERROR(ROUND((tblPiNHistorical[[#This Row],[GBV New]]-tblPiNHistorical[[#This Row],[GBV Old]])/tblPiNHistorical[[#This Row],[GBV Old]], 1), "")</f>
        <v/>
      </c>
      <c r="AY637" s="84" t="str">
        <f>IFERROR(ROUND((tblPiNHistorical[[#This Row],[Mine Action New]]-tblPiNHistorical[[#This Row],[Mine Action Old]])/tblPiNHistorical[[#This Row],[Mine Action Old]], 1), "")</f>
        <v/>
      </c>
      <c r="AZ637" s="140" t="str">
        <f>IFERROR(ROUND((tblPiNHistorical[[#This Row],[Shelter NFI New]]-tblPiNHistorical[[#This Row],[Shelter NFI Old]])/tblPiNHistorical[[#This Row],[Shelter NFI Old]], 1), "")</f>
        <v/>
      </c>
      <c r="BA637" s="31" t="str">
        <f>IFERROR(ROUND((tblPiNHistorical[[#This Row],[WASH New]]-tblPiNHistorical[[#This Row],[WASH Old]])/tblPiNHistorical[[#This Row],[WASH Old]], 1), "")</f>
        <v/>
      </c>
    </row>
    <row r="638" spans="1:53" ht="38.25" x14ac:dyDescent="0.25">
      <c r="A638"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Non-displaced PopulationSD02114</v>
      </c>
      <c r="B638" s="134" t="s">
        <v>167</v>
      </c>
      <c r="C638" s="124" t="s">
        <v>119</v>
      </c>
      <c r="D638" s="124" t="s">
        <v>199</v>
      </c>
      <c r="E638" s="59" t="s">
        <v>198</v>
      </c>
      <c r="F638" s="54"/>
      <c r="G638" s="29"/>
      <c r="H638" s="53">
        <v>0</v>
      </c>
      <c r="I638" s="53" t="s">
        <v>89</v>
      </c>
      <c r="J638" s="34">
        <v>0</v>
      </c>
      <c r="K638" s="116">
        <v>0</v>
      </c>
      <c r="L638" s="114">
        <v>0</v>
      </c>
      <c r="M638" s="114">
        <v>28060</v>
      </c>
      <c r="N638" s="114">
        <v>0</v>
      </c>
      <c r="O638" s="114">
        <v>0</v>
      </c>
      <c r="P638" s="114">
        <v>0</v>
      </c>
      <c r="Q638" s="114">
        <v>0</v>
      </c>
      <c r="R638" s="114">
        <v>0</v>
      </c>
      <c r="S638" s="114">
        <v>0</v>
      </c>
      <c r="T638" s="196">
        <v>0</v>
      </c>
      <c r="U638" s="52" t="str">
        <f>IFERROR(INDEX(tblPiNAnalysis[[Site Management ]], MATCH(tblPiNHistorical[[#This Row],[ID]], tblPiNAnalysis[ID], 0)), "")</f>
        <v/>
      </c>
      <c r="V638" s="52" t="str">
        <f>IFERROR(INDEX(tblPiNAnalysis[Education], MATCH(tblPiNHistorical[[#This Row],[ID]], tblPiNAnalysis[ID], 0)), "")</f>
        <v/>
      </c>
      <c r="W638" s="28" t="str">
        <f>IFERROR(INDEX(tblPiNAnalysis[Food Security and Livlihoods], MATCH(tblPiNHistorical[[#This Row],[ID]], tblPiNAnalysis[ID], 0)), "")</f>
        <v/>
      </c>
      <c r="X638" s="28" t="str">
        <f>IFERROR(INDEX(tblPiNAnalysis[[Health ]], MATCH(tblPiNHistorical[[#This Row],[ID]], tblPiNAnalysis[ID], 0)), "")</f>
        <v/>
      </c>
      <c r="Y638" s="28" t="str">
        <f>IFERROR(INDEX(tblPiNAnalysis[Nutrition], MATCH(tblPiNHistorical[[#This Row],[ID]], tblPiNAnalysis[ID], 0)), "")</f>
        <v/>
      </c>
      <c r="Z638" s="28" t="str">
        <f>IFERROR(INDEX(tblPiNAnalysis[Protection], MATCH(tblPiNHistorical[[#This Row],[ID]], tblPiNAnalysis[ID], 0)), "")</f>
        <v/>
      </c>
      <c r="AA638" s="28" t="str">
        <f>IFERROR(INDEX(tblPiNAnalysis[CP], MATCH(tblPiNHistorical[[#This Row],[ID]], tblPiNAnalysis[ID], 0)), "")</f>
        <v/>
      </c>
      <c r="AB638" s="83" t="str">
        <f>IFERROR(INDEX(tblPiNAnalysis[GBV], MATCH(tblPiNHistorical[[#This Row],[ID]], tblPiNAnalysis[ID], 0)), "")</f>
        <v/>
      </c>
      <c r="AC638" s="28" t="str">
        <f>IFERROR(INDEX(tblPiNAnalysis[Mine Action], MATCH(tblPiNHistorical[[#This Row],[ID]], tblPiNAnalysis[ID], 0)), "")</f>
        <v/>
      </c>
      <c r="AD638" s="83" t="str">
        <f>IFERROR(INDEX(tblPiNAnalysis[[Shelter NFI ]], MATCH(tblPiNHistorical[[#This Row],[ID]], tblPiNAnalysis[ID], 0)), "")</f>
        <v/>
      </c>
      <c r="AE638" s="28" t="str">
        <f>IFERROR(INDEX(tblPiNAnalysis[WASH], MATCH(tblPiNHistorical[[#This Row],[ID]], tblPiNAnalysis[ID], 0)), "")</f>
        <v/>
      </c>
      <c r="AF638"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638" s="136" t="str">
        <f>IF(OR(tblPiNHistorical[[#This Row],[Education Old]]="", tblPiNHistorical[[#This Row],[Education Old]]=0, tblPiNHistorical[[#This Row],[Education New]]="", tblPiNHistorical[[#This Row],[Education New]]=0), "", tblPiNHistorical[[#This Row],[Education New]]-tblPiNHistorical[[#This Row],[Education Old]])</f>
        <v/>
      </c>
      <c r="AH638"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638" s="137" t="str">
        <f>IF(OR(tblPiNHistorical[[#This Row],[Health Old]]="", tblPiNHistorical[[#This Row],[Health Old]]=0, tblPiNHistorical[[#This Row],[Health New]]="", tblPiNHistorical[[#This Row],[Health New]]=0), "", tblPiNHistorical[[#This Row],[Health New]]-tblPiNHistorical[[#This Row],[Health Old]])</f>
        <v/>
      </c>
      <c r="AJ638" s="136" t="str">
        <f>IF(OR(tblPiNHistorical[[#This Row],[Nutrition Old]]="", tblPiNHistorical[[#This Row],[Nutrition Old]]=0, tblPiNHistorical[[#This Row],[Nutrition New]]="", tblPiNHistorical[[#This Row],[Nutrition New]]=0), "", tblPiNHistorical[[#This Row],[Nutrition New]]-tblPiNHistorical[[#This Row],[Nutrition Old]])</f>
        <v/>
      </c>
      <c r="AK638" s="136" t="str">
        <f>IF(OR(tblPiNHistorical[[#This Row],[Protection Old]]="", tblPiNHistorical[[#This Row],[Protection Old]]=0, tblPiNHistorical[[#This Row],[Protection New]]="", tblPiNHistorical[[#This Row],[Protection New]]=0), "", tblPiNHistorical[[#This Row],[Protection New]]-tblPiNHistorical[[#This Row],[Protection Old]])</f>
        <v/>
      </c>
      <c r="AL638" s="136" t="str">
        <f>IF(OR(tblPiNHistorical[[#This Row],[CP Old ]]="", tblPiNHistorical[[#This Row],[CP Old ]]=0, tblPiNHistorical[[#This Row],[CP New]]="", tblPiNHistorical[[#This Row],[CP New]]=0), "", tblPiNHistorical[[#This Row],[CP New]]-tblPiNHistorical[[#This Row],[CP Old ]])</f>
        <v/>
      </c>
      <c r="AM638" s="83" t="str">
        <f>IF(OR(tblPiNHistorical[[#This Row],[GBV Old]]="", tblPiNHistorical[[#This Row],[GBV Old]]=0, tblPiNHistorical[[#This Row],[GBV New]]="", tblPiNHistorical[[#This Row],[GBV New]]=0), "", tblPiNHistorical[[#This Row],[GBV New]]-tblPiNHistorical[[#This Row],[GBV Old]])</f>
        <v/>
      </c>
      <c r="AN638" s="83" t="str">
        <f>IF(OR(tblPiNHistorical[[#This Row],[Mine Action Old]]="", tblPiNHistorical[[#This Row],[Mine Action Old]]=0, tblPiNHistorical[[#This Row],[Mine Action New]]="", tblPiNHistorical[[#This Row],[Mine Action New]]=0), "", tblPiNHistorical[[#This Row],[Mine Action New]]-tblPiNHistorical[[#This Row],[Mine Action Old]])</f>
        <v/>
      </c>
      <c r="AO638" s="136" t="str">
        <f>IF(OR(tblPiNHistorical[[#This Row],[Shelter NFI Old]]="", tblPiNHistorical[[#This Row],[Shelter NFI Old]]=0, tblPiNHistorical[[#This Row],[Shelter NFI New]]="", tblPiNHistorical[[#This Row],[Shelter NFI New]]=0), "", tblPiNHistorical[[#This Row],[Shelter NFI New]]-tblPiNHistorical[[#This Row],[Shelter NFI Old]])</f>
        <v/>
      </c>
      <c r="AP638" s="138" t="str">
        <f>IF(OR(tblPiNHistorical[[#This Row],[WASH Old]]="", tblPiNHistorical[[#This Row],[WASH Old]]=0, tblPiNHistorical[[#This Row],[WASH New]]="", tblPiNHistorical[[#This Row],[WASH New]]=0), "", tblPiNHistorical[[#This Row],[WASH New]]-tblPiNHistorical[[#This Row],[WASH Old]])</f>
        <v/>
      </c>
      <c r="AQ638" s="139" t="str">
        <f>IFERROR(ROUND((tblPiNHistorical[[#This Row],[Site Management - New]] - tblPiNHistorical[[#This Row],[Site Management - Old]])/tblPiNHistorical[[#This Row],[Site Management - Old]], 1), "")</f>
        <v/>
      </c>
      <c r="AR638" s="140" t="str">
        <f>IFERROR(ROUND((tblPiNHistorical[[#This Row],[Education New]]-tblPiNHistorical[[#This Row],[Education Old]])/tblPiNHistorical[[#This Row],[Education Old]], 1), "")</f>
        <v/>
      </c>
      <c r="AS638" s="141" t="str">
        <f>IFERROR(ROUND((tblPiNHistorical[[#This Row],[Food Security and Livlihoods New]]-tblPiNHistorical[[#This Row],[Food Security and Livlihoods Old]])/tblPiNHistorical[[#This Row],[Food Security and Livlihoods Old]], 1), "")</f>
        <v/>
      </c>
      <c r="AT638" s="142" t="str">
        <f>IFERROR(ROUND((tblPiNHistorical[[#This Row],[Health New]]-tblPiNHistorical[[#This Row],[Health Old]])/tblPiNHistorical[[#This Row],[Health Old]], 1), "")</f>
        <v/>
      </c>
      <c r="AU638" s="140" t="str">
        <f>IFERROR(ROUND((tblPiNHistorical[[#This Row],[Nutrition New]]-tblPiNHistorical[[#This Row],[Nutrition Old]])/tblPiNHistorical[[#This Row],[Nutrition Old]], 1), "")</f>
        <v/>
      </c>
      <c r="AV638" s="140" t="str">
        <f>IFERROR(ROUND((tblPiNHistorical[[#This Row],[Protection New]]-tblPiNHistorical[[#This Row],[Protection Old]])/tblPiNHistorical[[#This Row],[Protection Old]], 1), "")</f>
        <v/>
      </c>
      <c r="AW638" s="84" t="str">
        <f>IFERROR(ROUND((tblPiNHistorical[[#This Row],[CP New]]-tblPiNHistorical[[#This Row],[CP Old ]])/tblPiNHistorical[[#This Row],[CP Old ]], 1), "")</f>
        <v/>
      </c>
      <c r="AX638" s="84" t="str">
        <f>IFERROR(ROUND((tblPiNHistorical[[#This Row],[GBV New]]-tblPiNHistorical[[#This Row],[GBV Old]])/tblPiNHistorical[[#This Row],[GBV Old]], 1), "")</f>
        <v/>
      </c>
      <c r="AY638" s="84" t="str">
        <f>IFERROR(ROUND((tblPiNHistorical[[#This Row],[Mine Action New]]-tblPiNHistorical[[#This Row],[Mine Action Old]])/tblPiNHistorical[[#This Row],[Mine Action Old]], 1), "")</f>
        <v/>
      </c>
      <c r="AZ638" s="140" t="str">
        <f>IFERROR(ROUND((tblPiNHistorical[[#This Row],[Shelter NFI New]]-tblPiNHistorical[[#This Row],[Shelter NFI Old]])/tblPiNHistorical[[#This Row],[Shelter NFI Old]], 1), "")</f>
        <v/>
      </c>
      <c r="BA638" s="31" t="str">
        <f>IFERROR(ROUND((tblPiNHistorical[[#This Row],[WASH New]]-tblPiNHistorical[[#This Row],[WASH Old]])/tblPiNHistorical[[#This Row],[WASH Old]], 1), "")</f>
        <v/>
      </c>
    </row>
    <row r="639" spans="1:53" ht="38.25" x14ac:dyDescent="0.25">
      <c r="A639"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Non-displaced PopulationSD02116</v>
      </c>
      <c r="B639" s="134" t="s">
        <v>167</v>
      </c>
      <c r="C639" s="124" t="s">
        <v>119</v>
      </c>
      <c r="D639" s="124" t="s">
        <v>201</v>
      </c>
      <c r="E639" s="59" t="s">
        <v>200</v>
      </c>
      <c r="F639" s="54"/>
      <c r="G639" s="29"/>
      <c r="H639" s="53">
        <v>10871</v>
      </c>
      <c r="I639" s="53" t="s">
        <v>89</v>
      </c>
      <c r="J639" s="34">
        <v>0</v>
      </c>
      <c r="K639" s="116">
        <v>4214.6867000000002</v>
      </c>
      <c r="L639" s="114">
        <v>9000</v>
      </c>
      <c r="M639" s="114">
        <v>9000</v>
      </c>
      <c r="N639" s="114">
        <v>3775</v>
      </c>
      <c r="O639" s="114">
        <v>1195.8100000000002</v>
      </c>
      <c r="P639" s="114">
        <v>1196</v>
      </c>
      <c r="Q639" s="114">
        <v>862</v>
      </c>
      <c r="R639" s="114">
        <v>0</v>
      </c>
      <c r="S639" s="114">
        <v>0</v>
      </c>
      <c r="T639" s="196">
        <v>5688.7942999999996</v>
      </c>
      <c r="U639" s="52" t="str">
        <f>IFERROR(INDEX(tblPiNAnalysis[[Site Management ]], MATCH(tblPiNHistorical[[#This Row],[ID]], tblPiNAnalysis[ID], 0)), "")</f>
        <v/>
      </c>
      <c r="V639" s="52" t="str">
        <f>IFERROR(INDEX(tblPiNAnalysis[Education], MATCH(tblPiNHistorical[[#This Row],[ID]], tblPiNAnalysis[ID], 0)), "")</f>
        <v/>
      </c>
      <c r="W639" s="28" t="str">
        <f>IFERROR(INDEX(tblPiNAnalysis[Food Security and Livlihoods], MATCH(tblPiNHistorical[[#This Row],[ID]], tblPiNAnalysis[ID], 0)), "")</f>
        <v/>
      </c>
      <c r="X639" s="28" t="str">
        <f>IFERROR(INDEX(tblPiNAnalysis[[Health ]], MATCH(tblPiNHistorical[[#This Row],[ID]], tblPiNAnalysis[ID], 0)), "")</f>
        <v/>
      </c>
      <c r="Y639" s="28" t="str">
        <f>IFERROR(INDEX(tblPiNAnalysis[Nutrition], MATCH(tblPiNHistorical[[#This Row],[ID]], tblPiNAnalysis[ID], 0)), "")</f>
        <v/>
      </c>
      <c r="Z639" s="28" t="str">
        <f>IFERROR(INDEX(tblPiNAnalysis[Protection], MATCH(tblPiNHistorical[[#This Row],[ID]], tblPiNAnalysis[ID], 0)), "")</f>
        <v/>
      </c>
      <c r="AA639" s="28" t="str">
        <f>IFERROR(INDEX(tblPiNAnalysis[CP], MATCH(tblPiNHistorical[[#This Row],[ID]], tblPiNAnalysis[ID], 0)), "")</f>
        <v/>
      </c>
      <c r="AB639" s="83" t="str">
        <f>IFERROR(INDEX(tblPiNAnalysis[GBV], MATCH(tblPiNHistorical[[#This Row],[ID]], tblPiNAnalysis[ID], 0)), "")</f>
        <v/>
      </c>
      <c r="AC639" s="28" t="str">
        <f>IFERROR(INDEX(tblPiNAnalysis[Mine Action], MATCH(tblPiNHistorical[[#This Row],[ID]], tblPiNAnalysis[ID], 0)), "")</f>
        <v/>
      </c>
      <c r="AD639" s="83" t="str">
        <f>IFERROR(INDEX(tblPiNAnalysis[[Shelter NFI ]], MATCH(tblPiNHistorical[[#This Row],[ID]], tblPiNAnalysis[ID], 0)), "")</f>
        <v/>
      </c>
      <c r="AE639" s="28" t="str">
        <f>IFERROR(INDEX(tblPiNAnalysis[WASH], MATCH(tblPiNHistorical[[#This Row],[ID]], tblPiNAnalysis[ID], 0)), "")</f>
        <v/>
      </c>
      <c r="AF639"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639" s="136" t="str">
        <f>IF(OR(tblPiNHistorical[[#This Row],[Education Old]]="", tblPiNHistorical[[#This Row],[Education Old]]=0, tblPiNHistorical[[#This Row],[Education New]]="", tblPiNHistorical[[#This Row],[Education New]]=0), "", tblPiNHistorical[[#This Row],[Education New]]-tblPiNHistorical[[#This Row],[Education Old]])</f>
        <v/>
      </c>
      <c r="AH639"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639" s="137" t="str">
        <f>IF(OR(tblPiNHistorical[[#This Row],[Health Old]]="", tblPiNHistorical[[#This Row],[Health Old]]=0, tblPiNHistorical[[#This Row],[Health New]]="", tblPiNHistorical[[#This Row],[Health New]]=0), "", tblPiNHistorical[[#This Row],[Health New]]-tblPiNHistorical[[#This Row],[Health Old]])</f>
        <v/>
      </c>
      <c r="AJ639" s="136" t="str">
        <f>IF(OR(tblPiNHistorical[[#This Row],[Nutrition Old]]="", tblPiNHistorical[[#This Row],[Nutrition Old]]=0, tblPiNHistorical[[#This Row],[Nutrition New]]="", tblPiNHistorical[[#This Row],[Nutrition New]]=0), "", tblPiNHistorical[[#This Row],[Nutrition New]]-tblPiNHistorical[[#This Row],[Nutrition Old]])</f>
        <v/>
      </c>
      <c r="AK639" s="136" t="str">
        <f>IF(OR(tblPiNHistorical[[#This Row],[Protection Old]]="", tblPiNHistorical[[#This Row],[Protection Old]]=0, tblPiNHistorical[[#This Row],[Protection New]]="", tblPiNHistorical[[#This Row],[Protection New]]=0), "", tblPiNHistorical[[#This Row],[Protection New]]-tblPiNHistorical[[#This Row],[Protection Old]])</f>
        <v/>
      </c>
      <c r="AL639" s="136" t="str">
        <f>IF(OR(tblPiNHistorical[[#This Row],[CP Old ]]="", tblPiNHistorical[[#This Row],[CP Old ]]=0, tblPiNHistorical[[#This Row],[CP New]]="", tblPiNHistorical[[#This Row],[CP New]]=0), "", tblPiNHistorical[[#This Row],[CP New]]-tblPiNHistorical[[#This Row],[CP Old ]])</f>
        <v/>
      </c>
      <c r="AM639" s="83" t="str">
        <f>IF(OR(tblPiNHistorical[[#This Row],[GBV Old]]="", tblPiNHistorical[[#This Row],[GBV Old]]=0, tblPiNHistorical[[#This Row],[GBV New]]="", tblPiNHistorical[[#This Row],[GBV New]]=0), "", tblPiNHistorical[[#This Row],[GBV New]]-tblPiNHistorical[[#This Row],[GBV Old]])</f>
        <v/>
      </c>
      <c r="AN639" s="83" t="str">
        <f>IF(OR(tblPiNHistorical[[#This Row],[Mine Action Old]]="", tblPiNHistorical[[#This Row],[Mine Action Old]]=0, tblPiNHistorical[[#This Row],[Mine Action New]]="", tblPiNHistorical[[#This Row],[Mine Action New]]=0), "", tblPiNHistorical[[#This Row],[Mine Action New]]-tblPiNHistorical[[#This Row],[Mine Action Old]])</f>
        <v/>
      </c>
      <c r="AO639" s="136" t="str">
        <f>IF(OR(tblPiNHistorical[[#This Row],[Shelter NFI Old]]="", tblPiNHistorical[[#This Row],[Shelter NFI Old]]=0, tblPiNHistorical[[#This Row],[Shelter NFI New]]="", tblPiNHistorical[[#This Row],[Shelter NFI New]]=0), "", tblPiNHistorical[[#This Row],[Shelter NFI New]]-tblPiNHistorical[[#This Row],[Shelter NFI Old]])</f>
        <v/>
      </c>
      <c r="AP639" s="138" t="str">
        <f>IF(OR(tblPiNHistorical[[#This Row],[WASH Old]]="", tblPiNHistorical[[#This Row],[WASH Old]]=0, tblPiNHistorical[[#This Row],[WASH New]]="", tblPiNHistorical[[#This Row],[WASH New]]=0), "", tblPiNHistorical[[#This Row],[WASH New]]-tblPiNHistorical[[#This Row],[WASH Old]])</f>
        <v/>
      </c>
      <c r="AQ639" s="139" t="str">
        <f>IFERROR(ROUND((tblPiNHistorical[[#This Row],[Site Management - New]] - tblPiNHistorical[[#This Row],[Site Management - Old]])/tblPiNHistorical[[#This Row],[Site Management - Old]], 1), "")</f>
        <v/>
      </c>
      <c r="AR639" s="140" t="str">
        <f>IFERROR(ROUND((tblPiNHistorical[[#This Row],[Education New]]-tblPiNHistorical[[#This Row],[Education Old]])/tblPiNHistorical[[#This Row],[Education Old]], 1), "")</f>
        <v/>
      </c>
      <c r="AS639" s="141" t="str">
        <f>IFERROR(ROUND((tblPiNHistorical[[#This Row],[Food Security and Livlihoods New]]-tblPiNHistorical[[#This Row],[Food Security and Livlihoods Old]])/tblPiNHistorical[[#This Row],[Food Security and Livlihoods Old]], 1), "")</f>
        <v/>
      </c>
      <c r="AT639" s="142" t="str">
        <f>IFERROR(ROUND((tblPiNHistorical[[#This Row],[Health New]]-tblPiNHistorical[[#This Row],[Health Old]])/tblPiNHistorical[[#This Row],[Health Old]], 1), "")</f>
        <v/>
      </c>
      <c r="AU639" s="140" t="str">
        <f>IFERROR(ROUND((tblPiNHistorical[[#This Row],[Nutrition New]]-tblPiNHistorical[[#This Row],[Nutrition Old]])/tblPiNHistorical[[#This Row],[Nutrition Old]], 1), "")</f>
        <v/>
      </c>
      <c r="AV639" s="140" t="str">
        <f>IFERROR(ROUND((tblPiNHistorical[[#This Row],[Protection New]]-tblPiNHistorical[[#This Row],[Protection Old]])/tblPiNHistorical[[#This Row],[Protection Old]], 1), "")</f>
        <v/>
      </c>
      <c r="AW639" s="84" t="str">
        <f>IFERROR(ROUND((tblPiNHistorical[[#This Row],[CP New]]-tblPiNHistorical[[#This Row],[CP Old ]])/tblPiNHistorical[[#This Row],[CP Old ]], 1), "")</f>
        <v/>
      </c>
      <c r="AX639" s="84" t="str">
        <f>IFERROR(ROUND((tblPiNHistorical[[#This Row],[GBV New]]-tblPiNHistorical[[#This Row],[GBV Old]])/tblPiNHistorical[[#This Row],[GBV Old]], 1), "")</f>
        <v/>
      </c>
      <c r="AY639" s="84" t="str">
        <f>IFERROR(ROUND((tblPiNHistorical[[#This Row],[Mine Action New]]-tblPiNHistorical[[#This Row],[Mine Action Old]])/tblPiNHistorical[[#This Row],[Mine Action Old]], 1), "")</f>
        <v/>
      </c>
      <c r="AZ639" s="140" t="str">
        <f>IFERROR(ROUND((tblPiNHistorical[[#This Row],[Shelter NFI New]]-tblPiNHistorical[[#This Row],[Shelter NFI Old]])/tblPiNHistorical[[#This Row],[Shelter NFI Old]], 1), "")</f>
        <v/>
      </c>
      <c r="BA639" s="31" t="str">
        <f>IFERROR(ROUND((tblPiNHistorical[[#This Row],[WASH New]]-tblPiNHistorical[[#This Row],[WASH Old]])/tblPiNHistorical[[#This Row],[WASH Old]], 1), "")</f>
        <v/>
      </c>
    </row>
    <row r="640" spans="1:53" ht="38.25" x14ac:dyDescent="0.25">
      <c r="A640"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Non-displaced PopulationSD02169</v>
      </c>
      <c r="B640" s="134" t="s">
        <v>167</v>
      </c>
      <c r="C640" s="124" t="s">
        <v>119</v>
      </c>
      <c r="D640" s="124" t="s">
        <v>225</v>
      </c>
      <c r="E640" s="59" t="s">
        <v>224</v>
      </c>
      <c r="F640" s="54"/>
      <c r="G640" s="29"/>
      <c r="H640" s="53">
        <v>21018</v>
      </c>
      <c r="I640" s="53" t="s">
        <v>89</v>
      </c>
      <c r="J640" s="34">
        <v>0</v>
      </c>
      <c r="K640" s="116">
        <v>8148.6786000000002</v>
      </c>
      <c r="L640" s="114">
        <v>8407.2000000000007</v>
      </c>
      <c r="M640" s="114">
        <v>1730</v>
      </c>
      <c r="N640" s="114">
        <v>11205</v>
      </c>
      <c r="O640" s="114">
        <v>2311.9800000000005</v>
      </c>
      <c r="P640" s="114">
        <v>2312</v>
      </c>
      <c r="Q640" s="114">
        <v>1664</v>
      </c>
      <c r="R640" s="114">
        <v>2101.8000000000002</v>
      </c>
      <c r="S640" s="114">
        <v>0</v>
      </c>
      <c r="T640" s="196">
        <v>9350.9081999999999</v>
      </c>
      <c r="U640" s="52" t="str">
        <f>IFERROR(INDEX(tblPiNAnalysis[[Site Management ]], MATCH(tblPiNHistorical[[#This Row],[ID]], tblPiNAnalysis[ID], 0)), "")</f>
        <v/>
      </c>
      <c r="V640" s="52" t="str">
        <f>IFERROR(INDEX(tblPiNAnalysis[Education], MATCH(tblPiNHistorical[[#This Row],[ID]], tblPiNAnalysis[ID], 0)), "")</f>
        <v/>
      </c>
      <c r="W640" s="28" t="str">
        <f>IFERROR(INDEX(tblPiNAnalysis[Food Security and Livlihoods], MATCH(tblPiNHistorical[[#This Row],[ID]], tblPiNAnalysis[ID], 0)), "")</f>
        <v/>
      </c>
      <c r="X640" s="28" t="str">
        <f>IFERROR(INDEX(tblPiNAnalysis[[Health ]], MATCH(tblPiNHistorical[[#This Row],[ID]], tblPiNAnalysis[ID], 0)), "")</f>
        <v/>
      </c>
      <c r="Y640" s="28" t="str">
        <f>IFERROR(INDEX(tblPiNAnalysis[Nutrition], MATCH(tblPiNHistorical[[#This Row],[ID]], tblPiNAnalysis[ID], 0)), "")</f>
        <v/>
      </c>
      <c r="Z640" s="28" t="str">
        <f>IFERROR(INDEX(tblPiNAnalysis[Protection], MATCH(tblPiNHistorical[[#This Row],[ID]], tblPiNAnalysis[ID], 0)), "")</f>
        <v/>
      </c>
      <c r="AA640" s="28" t="str">
        <f>IFERROR(INDEX(tblPiNAnalysis[CP], MATCH(tblPiNHistorical[[#This Row],[ID]], tblPiNAnalysis[ID], 0)), "")</f>
        <v/>
      </c>
      <c r="AB640" s="83" t="str">
        <f>IFERROR(INDEX(tblPiNAnalysis[GBV], MATCH(tblPiNHistorical[[#This Row],[ID]], tblPiNAnalysis[ID], 0)), "")</f>
        <v/>
      </c>
      <c r="AC640" s="28" t="str">
        <f>IFERROR(INDEX(tblPiNAnalysis[Mine Action], MATCH(tblPiNHistorical[[#This Row],[ID]], tblPiNAnalysis[ID], 0)), "")</f>
        <v/>
      </c>
      <c r="AD640" s="83" t="str">
        <f>IFERROR(INDEX(tblPiNAnalysis[[Shelter NFI ]], MATCH(tblPiNHistorical[[#This Row],[ID]], tblPiNAnalysis[ID], 0)), "")</f>
        <v/>
      </c>
      <c r="AE640" s="28" t="str">
        <f>IFERROR(INDEX(tblPiNAnalysis[WASH], MATCH(tblPiNHistorical[[#This Row],[ID]], tblPiNAnalysis[ID], 0)), "")</f>
        <v/>
      </c>
      <c r="AF640"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640" s="136" t="str">
        <f>IF(OR(tblPiNHistorical[[#This Row],[Education Old]]="", tblPiNHistorical[[#This Row],[Education Old]]=0, tblPiNHistorical[[#This Row],[Education New]]="", tblPiNHistorical[[#This Row],[Education New]]=0), "", tblPiNHistorical[[#This Row],[Education New]]-tblPiNHistorical[[#This Row],[Education Old]])</f>
        <v/>
      </c>
      <c r="AH640"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640" s="137" t="str">
        <f>IF(OR(tblPiNHistorical[[#This Row],[Health Old]]="", tblPiNHistorical[[#This Row],[Health Old]]=0, tblPiNHistorical[[#This Row],[Health New]]="", tblPiNHistorical[[#This Row],[Health New]]=0), "", tblPiNHistorical[[#This Row],[Health New]]-tblPiNHistorical[[#This Row],[Health Old]])</f>
        <v/>
      </c>
      <c r="AJ640" s="136" t="str">
        <f>IF(OR(tblPiNHistorical[[#This Row],[Nutrition Old]]="", tblPiNHistorical[[#This Row],[Nutrition Old]]=0, tblPiNHistorical[[#This Row],[Nutrition New]]="", tblPiNHistorical[[#This Row],[Nutrition New]]=0), "", tblPiNHistorical[[#This Row],[Nutrition New]]-tblPiNHistorical[[#This Row],[Nutrition Old]])</f>
        <v/>
      </c>
      <c r="AK640" s="136" t="str">
        <f>IF(OR(tblPiNHistorical[[#This Row],[Protection Old]]="", tblPiNHistorical[[#This Row],[Protection Old]]=0, tblPiNHistorical[[#This Row],[Protection New]]="", tblPiNHistorical[[#This Row],[Protection New]]=0), "", tblPiNHistorical[[#This Row],[Protection New]]-tblPiNHistorical[[#This Row],[Protection Old]])</f>
        <v/>
      </c>
      <c r="AL640" s="136" t="str">
        <f>IF(OR(tblPiNHistorical[[#This Row],[CP Old ]]="", tblPiNHistorical[[#This Row],[CP Old ]]=0, tblPiNHistorical[[#This Row],[CP New]]="", tblPiNHistorical[[#This Row],[CP New]]=0), "", tblPiNHistorical[[#This Row],[CP New]]-tblPiNHistorical[[#This Row],[CP Old ]])</f>
        <v/>
      </c>
      <c r="AM640" s="83" t="str">
        <f>IF(OR(tblPiNHistorical[[#This Row],[GBV Old]]="", tblPiNHistorical[[#This Row],[GBV Old]]=0, tblPiNHistorical[[#This Row],[GBV New]]="", tblPiNHistorical[[#This Row],[GBV New]]=0), "", tblPiNHistorical[[#This Row],[GBV New]]-tblPiNHistorical[[#This Row],[GBV Old]])</f>
        <v/>
      </c>
      <c r="AN640" s="83" t="str">
        <f>IF(OR(tblPiNHistorical[[#This Row],[Mine Action Old]]="", tblPiNHistorical[[#This Row],[Mine Action Old]]=0, tblPiNHistorical[[#This Row],[Mine Action New]]="", tblPiNHistorical[[#This Row],[Mine Action New]]=0), "", tblPiNHistorical[[#This Row],[Mine Action New]]-tblPiNHistorical[[#This Row],[Mine Action Old]])</f>
        <v/>
      </c>
      <c r="AO640" s="136" t="str">
        <f>IF(OR(tblPiNHistorical[[#This Row],[Shelter NFI Old]]="", tblPiNHistorical[[#This Row],[Shelter NFI Old]]=0, tblPiNHistorical[[#This Row],[Shelter NFI New]]="", tblPiNHistorical[[#This Row],[Shelter NFI New]]=0), "", tblPiNHistorical[[#This Row],[Shelter NFI New]]-tblPiNHistorical[[#This Row],[Shelter NFI Old]])</f>
        <v/>
      </c>
      <c r="AP640" s="138" t="str">
        <f>IF(OR(tblPiNHistorical[[#This Row],[WASH Old]]="", tblPiNHistorical[[#This Row],[WASH Old]]=0, tblPiNHistorical[[#This Row],[WASH New]]="", tblPiNHistorical[[#This Row],[WASH New]]=0), "", tblPiNHistorical[[#This Row],[WASH New]]-tblPiNHistorical[[#This Row],[WASH Old]])</f>
        <v/>
      </c>
      <c r="AQ640" s="139" t="str">
        <f>IFERROR(ROUND((tblPiNHistorical[[#This Row],[Site Management - New]] - tblPiNHistorical[[#This Row],[Site Management - Old]])/tblPiNHistorical[[#This Row],[Site Management - Old]], 1), "")</f>
        <v/>
      </c>
      <c r="AR640" s="140" t="str">
        <f>IFERROR(ROUND((tblPiNHistorical[[#This Row],[Education New]]-tblPiNHistorical[[#This Row],[Education Old]])/tblPiNHistorical[[#This Row],[Education Old]], 1), "")</f>
        <v/>
      </c>
      <c r="AS640" s="141" t="str">
        <f>IFERROR(ROUND((tblPiNHistorical[[#This Row],[Food Security and Livlihoods New]]-tblPiNHistorical[[#This Row],[Food Security and Livlihoods Old]])/tblPiNHistorical[[#This Row],[Food Security and Livlihoods Old]], 1), "")</f>
        <v/>
      </c>
      <c r="AT640" s="142" t="str">
        <f>IFERROR(ROUND((tblPiNHistorical[[#This Row],[Health New]]-tblPiNHistorical[[#This Row],[Health Old]])/tblPiNHistorical[[#This Row],[Health Old]], 1), "")</f>
        <v/>
      </c>
      <c r="AU640" s="140" t="str">
        <f>IFERROR(ROUND((tblPiNHistorical[[#This Row],[Nutrition New]]-tblPiNHistorical[[#This Row],[Nutrition Old]])/tblPiNHistorical[[#This Row],[Nutrition Old]], 1), "")</f>
        <v/>
      </c>
      <c r="AV640" s="140" t="str">
        <f>IFERROR(ROUND((tblPiNHistorical[[#This Row],[Protection New]]-tblPiNHistorical[[#This Row],[Protection Old]])/tblPiNHistorical[[#This Row],[Protection Old]], 1), "")</f>
        <v/>
      </c>
      <c r="AW640" s="84" t="str">
        <f>IFERROR(ROUND((tblPiNHistorical[[#This Row],[CP New]]-tblPiNHistorical[[#This Row],[CP Old ]])/tblPiNHistorical[[#This Row],[CP Old ]], 1), "")</f>
        <v/>
      </c>
      <c r="AX640" s="84" t="str">
        <f>IFERROR(ROUND((tblPiNHistorical[[#This Row],[GBV New]]-tblPiNHistorical[[#This Row],[GBV Old]])/tblPiNHistorical[[#This Row],[GBV Old]], 1), "")</f>
        <v/>
      </c>
      <c r="AY640" s="84" t="str">
        <f>IFERROR(ROUND((tblPiNHistorical[[#This Row],[Mine Action New]]-tblPiNHistorical[[#This Row],[Mine Action Old]])/tblPiNHistorical[[#This Row],[Mine Action Old]], 1), "")</f>
        <v/>
      </c>
      <c r="AZ640" s="140" t="str">
        <f>IFERROR(ROUND((tblPiNHistorical[[#This Row],[Shelter NFI New]]-tblPiNHistorical[[#This Row],[Shelter NFI Old]])/tblPiNHistorical[[#This Row],[Shelter NFI Old]], 1), "")</f>
        <v/>
      </c>
      <c r="BA640" s="31" t="str">
        <f>IFERROR(ROUND((tblPiNHistorical[[#This Row],[WASH New]]-tblPiNHistorical[[#This Row],[WASH Old]])/tblPiNHistorical[[#This Row],[WASH Old]], 1), "")</f>
        <v/>
      </c>
    </row>
    <row r="641" spans="1:53" ht="38.25" x14ac:dyDescent="0.25">
      <c r="A641"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Non-displaced PopulationSD02117</v>
      </c>
      <c r="B641" s="134" t="s">
        <v>167</v>
      </c>
      <c r="C641" s="124" t="s">
        <v>119</v>
      </c>
      <c r="D641" s="124" t="s">
        <v>203</v>
      </c>
      <c r="E641" s="59" t="s">
        <v>202</v>
      </c>
      <c r="F641" s="54"/>
      <c r="G641" s="29"/>
      <c r="H641" s="53">
        <v>35205</v>
      </c>
      <c r="I641" s="53" t="s">
        <v>89</v>
      </c>
      <c r="J641" s="34">
        <v>0</v>
      </c>
      <c r="K641" s="116">
        <v>13648.978499999999</v>
      </c>
      <c r="L641" s="114">
        <v>14082</v>
      </c>
      <c r="M641" s="114">
        <v>0</v>
      </c>
      <c r="N641" s="114">
        <v>13079</v>
      </c>
      <c r="O641" s="114">
        <v>3872.55</v>
      </c>
      <c r="P641" s="114">
        <v>3873</v>
      </c>
      <c r="Q641" s="114">
        <v>2787</v>
      </c>
      <c r="R641" s="114">
        <v>0</v>
      </c>
      <c r="S641" s="114">
        <v>7041</v>
      </c>
      <c r="T641" s="196">
        <v>10846.660500000002</v>
      </c>
      <c r="U641" s="52" t="str">
        <f>IFERROR(INDEX(tblPiNAnalysis[[Site Management ]], MATCH(tblPiNHistorical[[#This Row],[ID]], tblPiNAnalysis[ID], 0)), "")</f>
        <v/>
      </c>
      <c r="V641" s="52" t="str">
        <f>IFERROR(INDEX(tblPiNAnalysis[Education], MATCH(tblPiNHistorical[[#This Row],[ID]], tblPiNAnalysis[ID], 0)), "")</f>
        <v/>
      </c>
      <c r="W641" s="28" t="str">
        <f>IFERROR(INDEX(tblPiNAnalysis[Food Security and Livlihoods], MATCH(tblPiNHistorical[[#This Row],[ID]], tblPiNAnalysis[ID], 0)), "")</f>
        <v/>
      </c>
      <c r="X641" s="28" t="str">
        <f>IFERROR(INDEX(tblPiNAnalysis[[Health ]], MATCH(tblPiNHistorical[[#This Row],[ID]], tblPiNAnalysis[ID], 0)), "")</f>
        <v/>
      </c>
      <c r="Y641" s="28" t="str">
        <f>IFERROR(INDEX(tblPiNAnalysis[Nutrition], MATCH(tblPiNHistorical[[#This Row],[ID]], tblPiNAnalysis[ID], 0)), "")</f>
        <v/>
      </c>
      <c r="Z641" s="28" t="str">
        <f>IFERROR(INDEX(tblPiNAnalysis[Protection], MATCH(tblPiNHistorical[[#This Row],[ID]], tblPiNAnalysis[ID], 0)), "")</f>
        <v/>
      </c>
      <c r="AA641" s="28" t="str">
        <f>IFERROR(INDEX(tblPiNAnalysis[CP], MATCH(tblPiNHistorical[[#This Row],[ID]], tblPiNAnalysis[ID], 0)), "")</f>
        <v/>
      </c>
      <c r="AB641" s="83" t="str">
        <f>IFERROR(INDEX(tblPiNAnalysis[GBV], MATCH(tblPiNHistorical[[#This Row],[ID]], tblPiNAnalysis[ID], 0)), "")</f>
        <v/>
      </c>
      <c r="AC641" s="28" t="str">
        <f>IFERROR(INDEX(tblPiNAnalysis[Mine Action], MATCH(tblPiNHistorical[[#This Row],[ID]], tblPiNAnalysis[ID], 0)), "")</f>
        <v/>
      </c>
      <c r="AD641" s="83" t="str">
        <f>IFERROR(INDEX(tblPiNAnalysis[[Shelter NFI ]], MATCH(tblPiNHistorical[[#This Row],[ID]], tblPiNAnalysis[ID], 0)), "")</f>
        <v/>
      </c>
      <c r="AE641" s="28" t="str">
        <f>IFERROR(INDEX(tblPiNAnalysis[WASH], MATCH(tblPiNHistorical[[#This Row],[ID]], tblPiNAnalysis[ID], 0)), "")</f>
        <v/>
      </c>
      <c r="AF641"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641" s="136" t="str">
        <f>IF(OR(tblPiNHistorical[[#This Row],[Education Old]]="", tblPiNHistorical[[#This Row],[Education Old]]=0, tblPiNHistorical[[#This Row],[Education New]]="", tblPiNHistorical[[#This Row],[Education New]]=0), "", tblPiNHistorical[[#This Row],[Education New]]-tblPiNHistorical[[#This Row],[Education Old]])</f>
        <v/>
      </c>
      <c r="AH641"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641" s="137" t="str">
        <f>IF(OR(tblPiNHistorical[[#This Row],[Health Old]]="", tblPiNHistorical[[#This Row],[Health Old]]=0, tblPiNHistorical[[#This Row],[Health New]]="", tblPiNHistorical[[#This Row],[Health New]]=0), "", tblPiNHistorical[[#This Row],[Health New]]-tblPiNHistorical[[#This Row],[Health Old]])</f>
        <v/>
      </c>
      <c r="AJ641" s="136" t="str">
        <f>IF(OR(tblPiNHistorical[[#This Row],[Nutrition Old]]="", tblPiNHistorical[[#This Row],[Nutrition Old]]=0, tblPiNHistorical[[#This Row],[Nutrition New]]="", tblPiNHistorical[[#This Row],[Nutrition New]]=0), "", tblPiNHistorical[[#This Row],[Nutrition New]]-tblPiNHistorical[[#This Row],[Nutrition Old]])</f>
        <v/>
      </c>
      <c r="AK641" s="136" t="str">
        <f>IF(OR(tblPiNHistorical[[#This Row],[Protection Old]]="", tblPiNHistorical[[#This Row],[Protection Old]]=0, tblPiNHistorical[[#This Row],[Protection New]]="", tblPiNHistorical[[#This Row],[Protection New]]=0), "", tblPiNHistorical[[#This Row],[Protection New]]-tblPiNHistorical[[#This Row],[Protection Old]])</f>
        <v/>
      </c>
      <c r="AL641" s="136" t="str">
        <f>IF(OR(tblPiNHistorical[[#This Row],[CP Old ]]="", tblPiNHistorical[[#This Row],[CP Old ]]=0, tblPiNHistorical[[#This Row],[CP New]]="", tblPiNHistorical[[#This Row],[CP New]]=0), "", tblPiNHistorical[[#This Row],[CP New]]-tblPiNHistorical[[#This Row],[CP Old ]])</f>
        <v/>
      </c>
      <c r="AM641" s="83" t="str">
        <f>IF(OR(tblPiNHistorical[[#This Row],[GBV Old]]="", tblPiNHistorical[[#This Row],[GBV Old]]=0, tblPiNHistorical[[#This Row],[GBV New]]="", tblPiNHistorical[[#This Row],[GBV New]]=0), "", tblPiNHistorical[[#This Row],[GBV New]]-tblPiNHistorical[[#This Row],[GBV Old]])</f>
        <v/>
      </c>
      <c r="AN641" s="83" t="str">
        <f>IF(OR(tblPiNHistorical[[#This Row],[Mine Action Old]]="", tblPiNHistorical[[#This Row],[Mine Action Old]]=0, tblPiNHistorical[[#This Row],[Mine Action New]]="", tblPiNHistorical[[#This Row],[Mine Action New]]=0), "", tblPiNHistorical[[#This Row],[Mine Action New]]-tblPiNHistorical[[#This Row],[Mine Action Old]])</f>
        <v/>
      </c>
      <c r="AO641" s="136" t="str">
        <f>IF(OR(tblPiNHistorical[[#This Row],[Shelter NFI Old]]="", tblPiNHistorical[[#This Row],[Shelter NFI Old]]=0, tblPiNHistorical[[#This Row],[Shelter NFI New]]="", tblPiNHistorical[[#This Row],[Shelter NFI New]]=0), "", tblPiNHistorical[[#This Row],[Shelter NFI New]]-tblPiNHistorical[[#This Row],[Shelter NFI Old]])</f>
        <v/>
      </c>
      <c r="AP641" s="138" t="str">
        <f>IF(OR(tblPiNHistorical[[#This Row],[WASH Old]]="", tblPiNHistorical[[#This Row],[WASH Old]]=0, tblPiNHistorical[[#This Row],[WASH New]]="", tblPiNHistorical[[#This Row],[WASH New]]=0), "", tblPiNHistorical[[#This Row],[WASH New]]-tblPiNHistorical[[#This Row],[WASH Old]])</f>
        <v/>
      </c>
      <c r="AQ641" s="139" t="str">
        <f>IFERROR(ROUND((tblPiNHistorical[[#This Row],[Site Management - New]] - tblPiNHistorical[[#This Row],[Site Management - Old]])/tblPiNHistorical[[#This Row],[Site Management - Old]], 1), "")</f>
        <v/>
      </c>
      <c r="AR641" s="140" t="str">
        <f>IFERROR(ROUND((tblPiNHistorical[[#This Row],[Education New]]-tblPiNHistorical[[#This Row],[Education Old]])/tblPiNHistorical[[#This Row],[Education Old]], 1), "")</f>
        <v/>
      </c>
      <c r="AS641" s="141" t="str">
        <f>IFERROR(ROUND((tblPiNHistorical[[#This Row],[Food Security and Livlihoods New]]-tblPiNHistorical[[#This Row],[Food Security and Livlihoods Old]])/tblPiNHistorical[[#This Row],[Food Security and Livlihoods Old]], 1), "")</f>
        <v/>
      </c>
      <c r="AT641" s="142" t="str">
        <f>IFERROR(ROUND((tblPiNHistorical[[#This Row],[Health New]]-tblPiNHistorical[[#This Row],[Health Old]])/tblPiNHistorical[[#This Row],[Health Old]], 1), "")</f>
        <v/>
      </c>
      <c r="AU641" s="140" t="str">
        <f>IFERROR(ROUND((tblPiNHistorical[[#This Row],[Nutrition New]]-tblPiNHistorical[[#This Row],[Nutrition Old]])/tblPiNHistorical[[#This Row],[Nutrition Old]], 1), "")</f>
        <v/>
      </c>
      <c r="AV641" s="140" t="str">
        <f>IFERROR(ROUND((tblPiNHistorical[[#This Row],[Protection New]]-tblPiNHistorical[[#This Row],[Protection Old]])/tblPiNHistorical[[#This Row],[Protection Old]], 1), "")</f>
        <v/>
      </c>
      <c r="AW641" s="84" t="str">
        <f>IFERROR(ROUND((tblPiNHistorical[[#This Row],[CP New]]-tblPiNHistorical[[#This Row],[CP Old ]])/tblPiNHistorical[[#This Row],[CP Old ]], 1), "")</f>
        <v/>
      </c>
      <c r="AX641" s="84" t="str">
        <f>IFERROR(ROUND((tblPiNHistorical[[#This Row],[GBV New]]-tblPiNHistorical[[#This Row],[GBV Old]])/tblPiNHistorical[[#This Row],[GBV Old]], 1), "")</f>
        <v/>
      </c>
      <c r="AY641" s="84" t="str">
        <f>IFERROR(ROUND((tblPiNHistorical[[#This Row],[Mine Action New]]-tblPiNHistorical[[#This Row],[Mine Action Old]])/tblPiNHistorical[[#This Row],[Mine Action Old]], 1), "")</f>
        <v/>
      </c>
      <c r="AZ641" s="140" t="str">
        <f>IFERROR(ROUND((tblPiNHistorical[[#This Row],[Shelter NFI New]]-tblPiNHistorical[[#This Row],[Shelter NFI Old]])/tblPiNHistorical[[#This Row],[Shelter NFI Old]], 1), "")</f>
        <v/>
      </c>
      <c r="BA641" s="31" t="str">
        <f>IFERROR(ROUND((tblPiNHistorical[[#This Row],[WASH New]]-tblPiNHistorical[[#This Row],[WASH Old]])/tblPiNHistorical[[#This Row],[WASH Old]], 1), "")</f>
        <v/>
      </c>
    </row>
    <row r="642" spans="1:53" ht="38.25" x14ac:dyDescent="0.25">
      <c r="A642"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Non-displaced PopulationSD02118</v>
      </c>
      <c r="B642" s="134" t="s">
        <v>167</v>
      </c>
      <c r="C642" s="124" t="s">
        <v>119</v>
      </c>
      <c r="D642" s="124" t="s">
        <v>205</v>
      </c>
      <c r="E642" s="59" t="s">
        <v>204</v>
      </c>
      <c r="F642" s="54"/>
      <c r="G642" s="29"/>
      <c r="H642" s="53">
        <v>11788</v>
      </c>
      <c r="I642" s="53" t="s">
        <v>89</v>
      </c>
      <c r="J642" s="34">
        <v>0</v>
      </c>
      <c r="K642" s="116">
        <v>4570.2075999999997</v>
      </c>
      <c r="L642" s="114">
        <v>4125.8</v>
      </c>
      <c r="M642" s="114">
        <v>0</v>
      </c>
      <c r="N642" s="114">
        <v>5750</v>
      </c>
      <c r="O642" s="114">
        <v>1768.2</v>
      </c>
      <c r="P642" s="114">
        <v>1297</v>
      </c>
      <c r="Q642" s="114">
        <v>933</v>
      </c>
      <c r="R642" s="114">
        <v>1768.2</v>
      </c>
      <c r="S642" s="114">
        <v>2358</v>
      </c>
      <c r="T642" s="196">
        <v>10725.9012</v>
      </c>
      <c r="U642" s="52" t="str">
        <f>IFERROR(INDEX(tblPiNAnalysis[[Site Management ]], MATCH(tblPiNHistorical[[#This Row],[ID]], tblPiNAnalysis[ID], 0)), "")</f>
        <v/>
      </c>
      <c r="V642" s="52" t="str">
        <f>IFERROR(INDEX(tblPiNAnalysis[Education], MATCH(tblPiNHistorical[[#This Row],[ID]], tblPiNAnalysis[ID], 0)), "")</f>
        <v/>
      </c>
      <c r="W642" s="28" t="str">
        <f>IFERROR(INDEX(tblPiNAnalysis[Food Security and Livlihoods], MATCH(tblPiNHistorical[[#This Row],[ID]], tblPiNAnalysis[ID], 0)), "")</f>
        <v/>
      </c>
      <c r="X642" s="28" t="str">
        <f>IFERROR(INDEX(tblPiNAnalysis[[Health ]], MATCH(tblPiNHistorical[[#This Row],[ID]], tblPiNAnalysis[ID], 0)), "")</f>
        <v/>
      </c>
      <c r="Y642" s="28" t="str">
        <f>IFERROR(INDEX(tblPiNAnalysis[Nutrition], MATCH(tblPiNHistorical[[#This Row],[ID]], tblPiNAnalysis[ID], 0)), "")</f>
        <v/>
      </c>
      <c r="Z642" s="28" t="str">
        <f>IFERROR(INDEX(tblPiNAnalysis[Protection], MATCH(tblPiNHistorical[[#This Row],[ID]], tblPiNAnalysis[ID], 0)), "")</f>
        <v/>
      </c>
      <c r="AA642" s="28" t="str">
        <f>IFERROR(INDEX(tblPiNAnalysis[CP], MATCH(tblPiNHistorical[[#This Row],[ID]], tblPiNAnalysis[ID], 0)), "")</f>
        <v/>
      </c>
      <c r="AB642" s="83" t="str">
        <f>IFERROR(INDEX(tblPiNAnalysis[GBV], MATCH(tblPiNHistorical[[#This Row],[ID]], tblPiNAnalysis[ID], 0)), "")</f>
        <v/>
      </c>
      <c r="AC642" s="28" t="str">
        <f>IFERROR(INDEX(tblPiNAnalysis[Mine Action], MATCH(tblPiNHistorical[[#This Row],[ID]], tblPiNAnalysis[ID], 0)), "")</f>
        <v/>
      </c>
      <c r="AD642" s="83" t="str">
        <f>IFERROR(INDEX(tblPiNAnalysis[[Shelter NFI ]], MATCH(tblPiNHistorical[[#This Row],[ID]], tblPiNAnalysis[ID], 0)), "")</f>
        <v/>
      </c>
      <c r="AE642" s="28" t="str">
        <f>IFERROR(INDEX(tblPiNAnalysis[WASH], MATCH(tblPiNHistorical[[#This Row],[ID]], tblPiNAnalysis[ID], 0)), "")</f>
        <v/>
      </c>
      <c r="AF642"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642" s="136" t="str">
        <f>IF(OR(tblPiNHistorical[[#This Row],[Education Old]]="", tblPiNHistorical[[#This Row],[Education Old]]=0, tblPiNHistorical[[#This Row],[Education New]]="", tblPiNHistorical[[#This Row],[Education New]]=0), "", tblPiNHistorical[[#This Row],[Education New]]-tblPiNHistorical[[#This Row],[Education Old]])</f>
        <v/>
      </c>
      <c r="AH642"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642" s="137" t="str">
        <f>IF(OR(tblPiNHistorical[[#This Row],[Health Old]]="", tblPiNHistorical[[#This Row],[Health Old]]=0, tblPiNHistorical[[#This Row],[Health New]]="", tblPiNHistorical[[#This Row],[Health New]]=0), "", tblPiNHistorical[[#This Row],[Health New]]-tblPiNHistorical[[#This Row],[Health Old]])</f>
        <v/>
      </c>
      <c r="AJ642" s="136" t="str">
        <f>IF(OR(tblPiNHistorical[[#This Row],[Nutrition Old]]="", tblPiNHistorical[[#This Row],[Nutrition Old]]=0, tblPiNHistorical[[#This Row],[Nutrition New]]="", tblPiNHistorical[[#This Row],[Nutrition New]]=0), "", tblPiNHistorical[[#This Row],[Nutrition New]]-tblPiNHistorical[[#This Row],[Nutrition Old]])</f>
        <v/>
      </c>
      <c r="AK642" s="136" t="str">
        <f>IF(OR(tblPiNHistorical[[#This Row],[Protection Old]]="", tblPiNHistorical[[#This Row],[Protection Old]]=0, tblPiNHistorical[[#This Row],[Protection New]]="", tblPiNHistorical[[#This Row],[Protection New]]=0), "", tblPiNHistorical[[#This Row],[Protection New]]-tblPiNHistorical[[#This Row],[Protection Old]])</f>
        <v/>
      </c>
      <c r="AL642" s="136" t="str">
        <f>IF(OR(tblPiNHistorical[[#This Row],[CP Old ]]="", tblPiNHistorical[[#This Row],[CP Old ]]=0, tblPiNHistorical[[#This Row],[CP New]]="", tblPiNHistorical[[#This Row],[CP New]]=0), "", tblPiNHistorical[[#This Row],[CP New]]-tblPiNHistorical[[#This Row],[CP Old ]])</f>
        <v/>
      </c>
      <c r="AM642" s="83" t="str">
        <f>IF(OR(tblPiNHistorical[[#This Row],[GBV Old]]="", tblPiNHistorical[[#This Row],[GBV Old]]=0, tblPiNHistorical[[#This Row],[GBV New]]="", tblPiNHistorical[[#This Row],[GBV New]]=0), "", tblPiNHistorical[[#This Row],[GBV New]]-tblPiNHistorical[[#This Row],[GBV Old]])</f>
        <v/>
      </c>
      <c r="AN642" s="83" t="str">
        <f>IF(OR(tblPiNHistorical[[#This Row],[Mine Action Old]]="", tblPiNHistorical[[#This Row],[Mine Action Old]]=0, tblPiNHistorical[[#This Row],[Mine Action New]]="", tblPiNHistorical[[#This Row],[Mine Action New]]=0), "", tblPiNHistorical[[#This Row],[Mine Action New]]-tblPiNHistorical[[#This Row],[Mine Action Old]])</f>
        <v/>
      </c>
      <c r="AO642" s="136" t="str">
        <f>IF(OR(tblPiNHistorical[[#This Row],[Shelter NFI Old]]="", tblPiNHistorical[[#This Row],[Shelter NFI Old]]=0, tblPiNHistorical[[#This Row],[Shelter NFI New]]="", tblPiNHistorical[[#This Row],[Shelter NFI New]]=0), "", tblPiNHistorical[[#This Row],[Shelter NFI New]]-tblPiNHistorical[[#This Row],[Shelter NFI Old]])</f>
        <v/>
      </c>
      <c r="AP642" s="138" t="str">
        <f>IF(OR(tblPiNHistorical[[#This Row],[WASH Old]]="", tblPiNHistorical[[#This Row],[WASH Old]]=0, tblPiNHistorical[[#This Row],[WASH New]]="", tblPiNHistorical[[#This Row],[WASH New]]=0), "", tblPiNHistorical[[#This Row],[WASH New]]-tblPiNHistorical[[#This Row],[WASH Old]])</f>
        <v/>
      </c>
      <c r="AQ642" s="139" t="str">
        <f>IFERROR(ROUND((tblPiNHistorical[[#This Row],[Site Management - New]] - tblPiNHistorical[[#This Row],[Site Management - Old]])/tblPiNHistorical[[#This Row],[Site Management - Old]], 1), "")</f>
        <v/>
      </c>
      <c r="AR642" s="140" t="str">
        <f>IFERROR(ROUND((tblPiNHistorical[[#This Row],[Education New]]-tblPiNHistorical[[#This Row],[Education Old]])/tblPiNHistorical[[#This Row],[Education Old]], 1), "")</f>
        <v/>
      </c>
      <c r="AS642" s="141" t="str">
        <f>IFERROR(ROUND((tblPiNHistorical[[#This Row],[Food Security and Livlihoods New]]-tblPiNHistorical[[#This Row],[Food Security and Livlihoods Old]])/tblPiNHistorical[[#This Row],[Food Security and Livlihoods Old]], 1), "")</f>
        <v/>
      </c>
      <c r="AT642" s="142" t="str">
        <f>IFERROR(ROUND((tblPiNHistorical[[#This Row],[Health New]]-tblPiNHistorical[[#This Row],[Health Old]])/tblPiNHistorical[[#This Row],[Health Old]], 1), "")</f>
        <v/>
      </c>
      <c r="AU642" s="140" t="str">
        <f>IFERROR(ROUND((tblPiNHistorical[[#This Row],[Nutrition New]]-tblPiNHistorical[[#This Row],[Nutrition Old]])/tblPiNHistorical[[#This Row],[Nutrition Old]], 1), "")</f>
        <v/>
      </c>
      <c r="AV642" s="140" t="str">
        <f>IFERROR(ROUND((tblPiNHistorical[[#This Row],[Protection New]]-tblPiNHistorical[[#This Row],[Protection Old]])/tblPiNHistorical[[#This Row],[Protection Old]], 1), "")</f>
        <v/>
      </c>
      <c r="AW642" s="84" t="str">
        <f>IFERROR(ROUND((tblPiNHistorical[[#This Row],[CP New]]-tblPiNHistorical[[#This Row],[CP Old ]])/tblPiNHistorical[[#This Row],[CP Old ]], 1), "")</f>
        <v/>
      </c>
      <c r="AX642" s="84" t="str">
        <f>IFERROR(ROUND((tblPiNHistorical[[#This Row],[GBV New]]-tblPiNHistorical[[#This Row],[GBV Old]])/tblPiNHistorical[[#This Row],[GBV Old]], 1), "")</f>
        <v/>
      </c>
      <c r="AY642" s="84" t="str">
        <f>IFERROR(ROUND((tblPiNHistorical[[#This Row],[Mine Action New]]-tblPiNHistorical[[#This Row],[Mine Action Old]])/tblPiNHistorical[[#This Row],[Mine Action Old]], 1), "")</f>
        <v/>
      </c>
      <c r="AZ642" s="140" t="str">
        <f>IFERROR(ROUND((tblPiNHistorical[[#This Row],[Shelter NFI New]]-tblPiNHistorical[[#This Row],[Shelter NFI Old]])/tblPiNHistorical[[#This Row],[Shelter NFI Old]], 1), "")</f>
        <v/>
      </c>
      <c r="BA642" s="31" t="str">
        <f>IFERROR(ROUND((tblPiNHistorical[[#This Row],[WASH New]]-tblPiNHistorical[[#This Row],[WASH Old]])/tblPiNHistorical[[#This Row],[WASH Old]], 1), "")</f>
        <v/>
      </c>
    </row>
    <row r="643" spans="1:53" ht="38.25" x14ac:dyDescent="0.25">
      <c r="A643"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Non-displaced PopulationSD02119</v>
      </c>
      <c r="B643" s="134" t="s">
        <v>167</v>
      </c>
      <c r="C643" s="124" t="s">
        <v>119</v>
      </c>
      <c r="D643" s="124" t="s">
        <v>207</v>
      </c>
      <c r="E643" s="59" t="s">
        <v>206</v>
      </c>
      <c r="F643" s="54"/>
      <c r="G643" s="29"/>
      <c r="H643" s="53">
        <v>37433</v>
      </c>
      <c r="I643" s="53" t="s">
        <v>89</v>
      </c>
      <c r="J643" s="34">
        <v>0</v>
      </c>
      <c r="K643" s="116">
        <v>14512.774099999999</v>
      </c>
      <c r="L643" s="114">
        <v>13101.55</v>
      </c>
      <c r="M643" s="114">
        <v>0</v>
      </c>
      <c r="N643" s="114">
        <v>15157</v>
      </c>
      <c r="O643" s="114">
        <v>4117.63</v>
      </c>
      <c r="P643" s="114">
        <v>4118</v>
      </c>
      <c r="Q643" s="114">
        <v>2964</v>
      </c>
      <c r="R643" s="114">
        <v>0</v>
      </c>
      <c r="S643" s="114">
        <v>7487</v>
      </c>
      <c r="T643" s="196">
        <v>7991.9454999999971</v>
      </c>
      <c r="U643" s="52" t="str">
        <f>IFERROR(INDEX(tblPiNAnalysis[[Site Management ]], MATCH(tblPiNHistorical[[#This Row],[ID]], tblPiNAnalysis[ID], 0)), "")</f>
        <v/>
      </c>
      <c r="V643" s="52" t="str">
        <f>IFERROR(INDEX(tblPiNAnalysis[Education], MATCH(tblPiNHistorical[[#This Row],[ID]], tblPiNAnalysis[ID], 0)), "")</f>
        <v/>
      </c>
      <c r="W643" s="28" t="str">
        <f>IFERROR(INDEX(tblPiNAnalysis[Food Security and Livlihoods], MATCH(tblPiNHistorical[[#This Row],[ID]], tblPiNAnalysis[ID], 0)), "")</f>
        <v/>
      </c>
      <c r="X643" s="28" t="str">
        <f>IFERROR(INDEX(tblPiNAnalysis[[Health ]], MATCH(tblPiNHistorical[[#This Row],[ID]], tblPiNAnalysis[ID], 0)), "")</f>
        <v/>
      </c>
      <c r="Y643" s="28" t="str">
        <f>IFERROR(INDEX(tblPiNAnalysis[Nutrition], MATCH(tblPiNHistorical[[#This Row],[ID]], tblPiNAnalysis[ID], 0)), "")</f>
        <v/>
      </c>
      <c r="Z643" s="28" t="str">
        <f>IFERROR(INDEX(tblPiNAnalysis[Protection], MATCH(tblPiNHistorical[[#This Row],[ID]], tblPiNAnalysis[ID], 0)), "")</f>
        <v/>
      </c>
      <c r="AA643" s="28" t="str">
        <f>IFERROR(INDEX(tblPiNAnalysis[CP], MATCH(tblPiNHistorical[[#This Row],[ID]], tblPiNAnalysis[ID], 0)), "")</f>
        <v/>
      </c>
      <c r="AB643" s="83" t="str">
        <f>IFERROR(INDEX(tblPiNAnalysis[GBV], MATCH(tblPiNHistorical[[#This Row],[ID]], tblPiNAnalysis[ID], 0)), "")</f>
        <v/>
      </c>
      <c r="AC643" s="28" t="str">
        <f>IFERROR(INDEX(tblPiNAnalysis[Mine Action], MATCH(tblPiNHistorical[[#This Row],[ID]], tblPiNAnalysis[ID], 0)), "")</f>
        <v/>
      </c>
      <c r="AD643" s="83" t="str">
        <f>IFERROR(INDEX(tblPiNAnalysis[[Shelter NFI ]], MATCH(tblPiNHistorical[[#This Row],[ID]], tblPiNAnalysis[ID], 0)), "")</f>
        <v/>
      </c>
      <c r="AE643" s="28" t="str">
        <f>IFERROR(INDEX(tblPiNAnalysis[WASH], MATCH(tblPiNHistorical[[#This Row],[ID]], tblPiNAnalysis[ID], 0)), "")</f>
        <v/>
      </c>
      <c r="AF643"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643" s="136" t="str">
        <f>IF(OR(tblPiNHistorical[[#This Row],[Education Old]]="", tblPiNHistorical[[#This Row],[Education Old]]=0, tblPiNHistorical[[#This Row],[Education New]]="", tblPiNHistorical[[#This Row],[Education New]]=0), "", tblPiNHistorical[[#This Row],[Education New]]-tblPiNHistorical[[#This Row],[Education Old]])</f>
        <v/>
      </c>
      <c r="AH643"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643" s="137" t="str">
        <f>IF(OR(tblPiNHistorical[[#This Row],[Health Old]]="", tblPiNHistorical[[#This Row],[Health Old]]=0, tblPiNHistorical[[#This Row],[Health New]]="", tblPiNHistorical[[#This Row],[Health New]]=0), "", tblPiNHistorical[[#This Row],[Health New]]-tblPiNHistorical[[#This Row],[Health Old]])</f>
        <v/>
      </c>
      <c r="AJ643" s="136" t="str">
        <f>IF(OR(tblPiNHistorical[[#This Row],[Nutrition Old]]="", tblPiNHistorical[[#This Row],[Nutrition Old]]=0, tblPiNHistorical[[#This Row],[Nutrition New]]="", tblPiNHistorical[[#This Row],[Nutrition New]]=0), "", tblPiNHistorical[[#This Row],[Nutrition New]]-tblPiNHistorical[[#This Row],[Nutrition Old]])</f>
        <v/>
      </c>
      <c r="AK643" s="136" t="str">
        <f>IF(OR(tblPiNHistorical[[#This Row],[Protection Old]]="", tblPiNHistorical[[#This Row],[Protection Old]]=0, tblPiNHistorical[[#This Row],[Protection New]]="", tblPiNHistorical[[#This Row],[Protection New]]=0), "", tblPiNHistorical[[#This Row],[Protection New]]-tblPiNHistorical[[#This Row],[Protection Old]])</f>
        <v/>
      </c>
      <c r="AL643" s="136" t="str">
        <f>IF(OR(tblPiNHistorical[[#This Row],[CP Old ]]="", tblPiNHistorical[[#This Row],[CP Old ]]=0, tblPiNHistorical[[#This Row],[CP New]]="", tblPiNHistorical[[#This Row],[CP New]]=0), "", tblPiNHistorical[[#This Row],[CP New]]-tblPiNHistorical[[#This Row],[CP Old ]])</f>
        <v/>
      </c>
      <c r="AM643" s="83" t="str">
        <f>IF(OR(tblPiNHistorical[[#This Row],[GBV Old]]="", tblPiNHistorical[[#This Row],[GBV Old]]=0, tblPiNHistorical[[#This Row],[GBV New]]="", tblPiNHistorical[[#This Row],[GBV New]]=0), "", tblPiNHistorical[[#This Row],[GBV New]]-tblPiNHistorical[[#This Row],[GBV Old]])</f>
        <v/>
      </c>
      <c r="AN643" s="83" t="str">
        <f>IF(OR(tblPiNHistorical[[#This Row],[Mine Action Old]]="", tblPiNHistorical[[#This Row],[Mine Action Old]]=0, tblPiNHistorical[[#This Row],[Mine Action New]]="", tblPiNHistorical[[#This Row],[Mine Action New]]=0), "", tblPiNHistorical[[#This Row],[Mine Action New]]-tblPiNHistorical[[#This Row],[Mine Action Old]])</f>
        <v/>
      </c>
      <c r="AO643" s="136" t="str">
        <f>IF(OR(tblPiNHistorical[[#This Row],[Shelter NFI Old]]="", tblPiNHistorical[[#This Row],[Shelter NFI Old]]=0, tblPiNHistorical[[#This Row],[Shelter NFI New]]="", tblPiNHistorical[[#This Row],[Shelter NFI New]]=0), "", tblPiNHistorical[[#This Row],[Shelter NFI New]]-tblPiNHistorical[[#This Row],[Shelter NFI Old]])</f>
        <v/>
      </c>
      <c r="AP643" s="138" t="str">
        <f>IF(OR(tblPiNHistorical[[#This Row],[WASH Old]]="", tblPiNHistorical[[#This Row],[WASH Old]]=0, tblPiNHistorical[[#This Row],[WASH New]]="", tblPiNHistorical[[#This Row],[WASH New]]=0), "", tblPiNHistorical[[#This Row],[WASH New]]-tblPiNHistorical[[#This Row],[WASH Old]])</f>
        <v/>
      </c>
      <c r="AQ643" s="139" t="str">
        <f>IFERROR(ROUND((tblPiNHistorical[[#This Row],[Site Management - New]] - tblPiNHistorical[[#This Row],[Site Management - Old]])/tblPiNHistorical[[#This Row],[Site Management - Old]], 1), "")</f>
        <v/>
      </c>
      <c r="AR643" s="140" t="str">
        <f>IFERROR(ROUND((tblPiNHistorical[[#This Row],[Education New]]-tblPiNHistorical[[#This Row],[Education Old]])/tblPiNHistorical[[#This Row],[Education Old]], 1), "")</f>
        <v/>
      </c>
      <c r="AS643" s="141" t="str">
        <f>IFERROR(ROUND((tblPiNHistorical[[#This Row],[Food Security and Livlihoods New]]-tblPiNHistorical[[#This Row],[Food Security and Livlihoods Old]])/tblPiNHistorical[[#This Row],[Food Security and Livlihoods Old]], 1), "")</f>
        <v/>
      </c>
      <c r="AT643" s="142" t="str">
        <f>IFERROR(ROUND((tblPiNHistorical[[#This Row],[Health New]]-tblPiNHistorical[[#This Row],[Health Old]])/tblPiNHistorical[[#This Row],[Health Old]], 1), "")</f>
        <v/>
      </c>
      <c r="AU643" s="140" t="str">
        <f>IFERROR(ROUND((tblPiNHistorical[[#This Row],[Nutrition New]]-tblPiNHistorical[[#This Row],[Nutrition Old]])/tblPiNHistorical[[#This Row],[Nutrition Old]], 1), "")</f>
        <v/>
      </c>
      <c r="AV643" s="140" t="str">
        <f>IFERROR(ROUND((tblPiNHistorical[[#This Row],[Protection New]]-tblPiNHistorical[[#This Row],[Protection Old]])/tblPiNHistorical[[#This Row],[Protection Old]], 1), "")</f>
        <v/>
      </c>
      <c r="AW643" s="84" t="str">
        <f>IFERROR(ROUND((tblPiNHistorical[[#This Row],[CP New]]-tblPiNHistorical[[#This Row],[CP Old ]])/tblPiNHistorical[[#This Row],[CP Old ]], 1), "")</f>
        <v/>
      </c>
      <c r="AX643" s="84" t="str">
        <f>IFERROR(ROUND((tblPiNHistorical[[#This Row],[GBV New]]-tblPiNHistorical[[#This Row],[GBV Old]])/tblPiNHistorical[[#This Row],[GBV Old]], 1), "")</f>
        <v/>
      </c>
      <c r="AY643" s="84" t="str">
        <f>IFERROR(ROUND((tblPiNHistorical[[#This Row],[Mine Action New]]-tblPiNHistorical[[#This Row],[Mine Action Old]])/tblPiNHistorical[[#This Row],[Mine Action Old]], 1), "")</f>
        <v/>
      </c>
      <c r="AZ643" s="140" t="str">
        <f>IFERROR(ROUND((tblPiNHistorical[[#This Row],[Shelter NFI New]]-tblPiNHistorical[[#This Row],[Shelter NFI Old]])/tblPiNHistorical[[#This Row],[Shelter NFI Old]], 1), "")</f>
        <v/>
      </c>
      <c r="BA643" s="31" t="str">
        <f>IFERROR(ROUND((tblPiNHistorical[[#This Row],[WASH New]]-tblPiNHistorical[[#This Row],[WASH Old]])/tblPiNHistorical[[#This Row],[WASH Old]], 1), "")</f>
        <v/>
      </c>
    </row>
    <row r="644" spans="1:53" ht="38.25" x14ac:dyDescent="0.25">
      <c r="A644"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Non-displaced PopulationSD02171</v>
      </c>
      <c r="B644" s="134" t="s">
        <v>167</v>
      </c>
      <c r="C644" s="124" t="s">
        <v>119</v>
      </c>
      <c r="D644" s="124" t="s">
        <v>229</v>
      </c>
      <c r="E644" s="59" t="s">
        <v>228</v>
      </c>
      <c r="F644" s="54"/>
      <c r="G644" s="29"/>
      <c r="H644" s="53">
        <v>10004</v>
      </c>
      <c r="I644" s="53" t="s">
        <v>89</v>
      </c>
      <c r="J644" s="34">
        <v>0</v>
      </c>
      <c r="K644" s="116">
        <v>3878.5508</v>
      </c>
      <c r="L644" s="114">
        <v>9917.8691062499984</v>
      </c>
      <c r="M644" s="114">
        <v>0</v>
      </c>
      <c r="N644" s="114">
        <v>4412</v>
      </c>
      <c r="O644" s="114">
        <v>1100.4400000000003</v>
      </c>
      <c r="P644" s="114">
        <v>1100</v>
      </c>
      <c r="Q644" s="114">
        <v>793</v>
      </c>
      <c r="R644" s="114">
        <v>1000.4000000000001</v>
      </c>
      <c r="S644" s="114">
        <v>0</v>
      </c>
      <c r="T644" s="196">
        <v>10004</v>
      </c>
      <c r="U644" s="52" t="str">
        <f>IFERROR(INDEX(tblPiNAnalysis[[Site Management ]], MATCH(tblPiNHistorical[[#This Row],[ID]], tblPiNAnalysis[ID], 0)), "")</f>
        <v/>
      </c>
      <c r="V644" s="52" t="str">
        <f>IFERROR(INDEX(tblPiNAnalysis[Education], MATCH(tblPiNHistorical[[#This Row],[ID]], tblPiNAnalysis[ID], 0)), "")</f>
        <v/>
      </c>
      <c r="W644" s="28" t="str">
        <f>IFERROR(INDEX(tblPiNAnalysis[Food Security and Livlihoods], MATCH(tblPiNHistorical[[#This Row],[ID]], tblPiNAnalysis[ID], 0)), "")</f>
        <v/>
      </c>
      <c r="X644" s="28" t="str">
        <f>IFERROR(INDEX(tblPiNAnalysis[[Health ]], MATCH(tblPiNHistorical[[#This Row],[ID]], tblPiNAnalysis[ID], 0)), "")</f>
        <v/>
      </c>
      <c r="Y644" s="28" t="str">
        <f>IFERROR(INDEX(tblPiNAnalysis[Nutrition], MATCH(tblPiNHistorical[[#This Row],[ID]], tblPiNAnalysis[ID], 0)), "")</f>
        <v/>
      </c>
      <c r="Z644" s="28" t="str">
        <f>IFERROR(INDEX(tblPiNAnalysis[Protection], MATCH(tblPiNHistorical[[#This Row],[ID]], tblPiNAnalysis[ID], 0)), "")</f>
        <v/>
      </c>
      <c r="AA644" s="28" t="str">
        <f>IFERROR(INDEX(tblPiNAnalysis[CP], MATCH(tblPiNHistorical[[#This Row],[ID]], tblPiNAnalysis[ID], 0)), "")</f>
        <v/>
      </c>
      <c r="AB644" s="83" t="str">
        <f>IFERROR(INDEX(tblPiNAnalysis[GBV], MATCH(tblPiNHistorical[[#This Row],[ID]], tblPiNAnalysis[ID], 0)), "")</f>
        <v/>
      </c>
      <c r="AC644" s="28" t="str">
        <f>IFERROR(INDEX(tblPiNAnalysis[Mine Action], MATCH(tblPiNHistorical[[#This Row],[ID]], tblPiNAnalysis[ID], 0)), "")</f>
        <v/>
      </c>
      <c r="AD644" s="83" t="str">
        <f>IFERROR(INDEX(tblPiNAnalysis[[Shelter NFI ]], MATCH(tblPiNHistorical[[#This Row],[ID]], tblPiNAnalysis[ID], 0)), "")</f>
        <v/>
      </c>
      <c r="AE644" s="28" t="str">
        <f>IFERROR(INDEX(tblPiNAnalysis[WASH], MATCH(tblPiNHistorical[[#This Row],[ID]], tblPiNAnalysis[ID], 0)), "")</f>
        <v/>
      </c>
      <c r="AF644"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644" s="136" t="str">
        <f>IF(OR(tblPiNHistorical[[#This Row],[Education Old]]="", tblPiNHistorical[[#This Row],[Education Old]]=0, tblPiNHistorical[[#This Row],[Education New]]="", tblPiNHistorical[[#This Row],[Education New]]=0), "", tblPiNHistorical[[#This Row],[Education New]]-tblPiNHistorical[[#This Row],[Education Old]])</f>
        <v/>
      </c>
      <c r="AH644"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644" s="137" t="str">
        <f>IF(OR(tblPiNHistorical[[#This Row],[Health Old]]="", tblPiNHistorical[[#This Row],[Health Old]]=0, tblPiNHistorical[[#This Row],[Health New]]="", tblPiNHistorical[[#This Row],[Health New]]=0), "", tblPiNHistorical[[#This Row],[Health New]]-tblPiNHistorical[[#This Row],[Health Old]])</f>
        <v/>
      </c>
      <c r="AJ644" s="136" t="str">
        <f>IF(OR(tblPiNHistorical[[#This Row],[Nutrition Old]]="", tblPiNHistorical[[#This Row],[Nutrition Old]]=0, tblPiNHistorical[[#This Row],[Nutrition New]]="", tblPiNHistorical[[#This Row],[Nutrition New]]=0), "", tblPiNHistorical[[#This Row],[Nutrition New]]-tblPiNHistorical[[#This Row],[Nutrition Old]])</f>
        <v/>
      </c>
      <c r="AK644" s="136" t="str">
        <f>IF(OR(tblPiNHistorical[[#This Row],[Protection Old]]="", tblPiNHistorical[[#This Row],[Protection Old]]=0, tblPiNHistorical[[#This Row],[Protection New]]="", tblPiNHistorical[[#This Row],[Protection New]]=0), "", tblPiNHistorical[[#This Row],[Protection New]]-tblPiNHistorical[[#This Row],[Protection Old]])</f>
        <v/>
      </c>
      <c r="AL644" s="136" t="str">
        <f>IF(OR(tblPiNHistorical[[#This Row],[CP Old ]]="", tblPiNHistorical[[#This Row],[CP Old ]]=0, tblPiNHistorical[[#This Row],[CP New]]="", tblPiNHistorical[[#This Row],[CP New]]=0), "", tblPiNHistorical[[#This Row],[CP New]]-tblPiNHistorical[[#This Row],[CP Old ]])</f>
        <v/>
      </c>
      <c r="AM644" s="83" t="str">
        <f>IF(OR(tblPiNHistorical[[#This Row],[GBV Old]]="", tblPiNHistorical[[#This Row],[GBV Old]]=0, tblPiNHistorical[[#This Row],[GBV New]]="", tblPiNHistorical[[#This Row],[GBV New]]=0), "", tblPiNHistorical[[#This Row],[GBV New]]-tblPiNHistorical[[#This Row],[GBV Old]])</f>
        <v/>
      </c>
      <c r="AN644" s="83" t="str">
        <f>IF(OR(tblPiNHistorical[[#This Row],[Mine Action Old]]="", tblPiNHistorical[[#This Row],[Mine Action Old]]=0, tblPiNHistorical[[#This Row],[Mine Action New]]="", tblPiNHistorical[[#This Row],[Mine Action New]]=0), "", tblPiNHistorical[[#This Row],[Mine Action New]]-tblPiNHistorical[[#This Row],[Mine Action Old]])</f>
        <v/>
      </c>
      <c r="AO644" s="136" t="str">
        <f>IF(OR(tblPiNHistorical[[#This Row],[Shelter NFI Old]]="", tblPiNHistorical[[#This Row],[Shelter NFI Old]]=0, tblPiNHistorical[[#This Row],[Shelter NFI New]]="", tblPiNHistorical[[#This Row],[Shelter NFI New]]=0), "", tblPiNHistorical[[#This Row],[Shelter NFI New]]-tblPiNHistorical[[#This Row],[Shelter NFI Old]])</f>
        <v/>
      </c>
      <c r="AP644" s="138" t="str">
        <f>IF(OR(tblPiNHistorical[[#This Row],[WASH Old]]="", tblPiNHistorical[[#This Row],[WASH Old]]=0, tblPiNHistorical[[#This Row],[WASH New]]="", tblPiNHistorical[[#This Row],[WASH New]]=0), "", tblPiNHistorical[[#This Row],[WASH New]]-tblPiNHistorical[[#This Row],[WASH Old]])</f>
        <v/>
      </c>
      <c r="AQ644" s="139" t="str">
        <f>IFERROR(ROUND((tblPiNHistorical[[#This Row],[Site Management - New]] - tblPiNHistorical[[#This Row],[Site Management - Old]])/tblPiNHistorical[[#This Row],[Site Management - Old]], 1), "")</f>
        <v/>
      </c>
      <c r="AR644" s="140" t="str">
        <f>IFERROR(ROUND((tblPiNHistorical[[#This Row],[Education New]]-tblPiNHistorical[[#This Row],[Education Old]])/tblPiNHistorical[[#This Row],[Education Old]], 1), "")</f>
        <v/>
      </c>
      <c r="AS644" s="141" t="str">
        <f>IFERROR(ROUND((tblPiNHistorical[[#This Row],[Food Security and Livlihoods New]]-tblPiNHistorical[[#This Row],[Food Security and Livlihoods Old]])/tblPiNHistorical[[#This Row],[Food Security and Livlihoods Old]], 1), "")</f>
        <v/>
      </c>
      <c r="AT644" s="142" t="str">
        <f>IFERROR(ROUND((tblPiNHistorical[[#This Row],[Health New]]-tblPiNHistorical[[#This Row],[Health Old]])/tblPiNHistorical[[#This Row],[Health Old]], 1), "")</f>
        <v/>
      </c>
      <c r="AU644" s="140" t="str">
        <f>IFERROR(ROUND((tblPiNHistorical[[#This Row],[Nutrition New]]-tblPiNHistorical[[#This Row],[Nutrition Old]])/tblPiNHistorical[[#This Row],[Nutrition Old]], 1), "")</f>
        <v/>
      </c>
      <c r="AV644" s="140" t="str">
        <f>IFERROR(ROUND((tblPiNHistorical[[#This Row],[Protection New]]-tblPiNHistorical[[#This Row],[Protection Old]])/tblPiNHistorical[[#This Row],[Protection Old]], 1), "")</f>
        <v/>
      </c>
      <c r="AW644" s="84" t="str">
        <f>IFERROR(ROUND((tblPiNHistorical[[#This Row],[CP New]]-tblPiNHistorical[[#This Row],[CP Old ]])/tblPiNHistorical[[#This Row],[CP Old ]], 1), "")</f>
        <v/>
      </c>
      <c r="AX644" s="84" t="str">
        <f>IFERROR(ROUND((tblPiNHistorical[[#This Row],[GBV New]]-tblPiNHistorical[[#This Row],[GBV Old]])/tblPiNHistorical[[#This Row],[GBV Old]], 1), "")</f>
        <v/>
      </c>
      <c r="AY644" s="84" t="str">
        <f>IFERROR(ROUND((tblPiNHistorical[[#This Row],[Mine Action New]]-tblPiNHistorical[[#This Row],[Mine Action Old]])/tblPiNHistorical[[#This Row],[Mine Action Old]], 1), "")</f>
        <v/>
      </c>
      <c r="AZ644" s="140" t="str">
        <f>IFERROR(ROUND((tblPiNHistorical[[#This Row],[Shelter NFI New]]-tblPiNHistorical[[#This Row],[Shelter NFI Old]])/tblPiNHistorical[[#This Row],[Shelter NFI Old]], 1), "")</f>
        <v/>
      </c>
      <c r="BA644" s="31" t="str">
        <f>IFERROR(ROUND((tblPiNHistorical[[#This Row],[WASH New]]-tblPiNHistorical[[#This Row],[WASH Old]])/tblPiNHistorical[[#This Row],[WASH Old]], 1), "")</f>
        <v/>
      </c>
    </row>
    <row r="645" spans="1:53" ht="38.25" x14ac:dyDescent="0.25">
      <c r="A645"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Non-displaced PopulationSD02113</v>
      </c>
      <c r="B645" s="134" t="s">
        <v>167</v>
      </c>
      <c r="C645" s="124" t="s">
        <v>119</v>
      </c>
      <c r="D645" s="124" t="s">
        <v>196</v>
      </c>
      <c r="E645" s="59" t="s">
        <v>195</v>
      </c>
      <c r="F645" s="54"/>
      <c r="G645" s="29"/>
      <c r="H645" s="53">
        <v>0</v>
      </c>
      <c r="I645" s="53" t="s">
        <v>89</v>
      </c>
      <c r="J645" s="34">
        <v>0</v>
      </c>
      <c r="K645" s="116">
        <v>0</v>
      </c>
      <c r="L645" s="114">
        <v>0</v>
      </c>
      <c r="M645" s="114">
        <v>0</v>
      </c>
      <c r="N645" s="114">
        <v>3008</v>
      </c>
      <c r="O645" s="114">
        <v>0</v>
      </c>
      <c r="P645" s="114">
        <v>0</v>
      </c>
      <c r="Q645" s="114">
        <v>0</v>
      </c>
      <c r="R645" s="114">
        <v>0</v>
      </c>
      <c r="S645" s="114">
        <v>0</v>
      </c>
      <c r="T645" s="196">
        <v>0</v>
      </c>
      <c r="U645" s="52" t="str">
        <f>IFERROR(INDEX(tblPiNAnalysis[[Site Management ]], MATCH(tblPiNHistorical[[#This Row],[ID]], tblPiNAnalysis[ID], 0)), "")</f>
        <v/>
      </c>
      <c r="V645" s="52" t="str">
        <f>IFERROR(INDEX(tblPiNAnalysis[Education], MATCH(tblPiNHistorical[[#This Row],[ID]], tblPiNAnalysis[ID], 0)), "")</f>
        <v/>
      </c>
      <c r="W645" s="28" t="str">
        <f>IFERROR(INDEX(tblPiNAnalysis[Food Security and Livlihoods], MATCH(tblPiNHistorical[[#This Row],[ID]], tblPiNAnalysis[ID], 0)), "")</f>
        <v/>
      </c>
      <c r="X645" s="28" t="str">
        <f>IFERROR(INDEX(tblPiNAnalysis[[Health ]], MATCH(tblPiNHistorical[[#This Row],[ID]], tblPiNAnalysis[ID], 0)), "")</f>
        <v/>
      </c>
      <c r="Y645" s="28" t="str">
        <f>IFERROR(INDEX(tblPiNAnalysis[Nutrition], MATCH(tblPiNHistorical[[#This Row],[ID]], tblPiNAnalysis[ID], 0)), "")</f>
        <v/>
      </c>
      <c r="Z645" s="28" t="str">
        <f>IFERROR(INDEX(tblPiNAnalysis[Protection], MATCH(tblPiNHistorical[[#This Row],[ID]], tblPiNAnalysis[ID], 0)), "")</f>
        <v/>
      </c>
      <c r="AA645" s="28" t="str">
        <f>IFERROR(INDEX(tblPiNAnalysis[CP], MATCH(tblPiNHistorical[[#This Row],[ID]], tblPiNAnalysis[ID], 0)), "")</f>
        <v/>
      </c>
      <c r="AB645" s="83" t="str">
        <f>IFERROR(INDEX(tblPiNAnalysis[GBV], MATCH(tblPiNHistorical[[#This Row],[ID]], tblPiNAnalysis[ID], 0)), "")</f>
        <v/>
      </c>
      <c r="AC645" s="28" t="str">
        <f>IFERROR(INDEX(tblPiNAnalysis[Mine Action], MATCH(tblPiNHistorical[[#This Row],[ID]], tblPiNAnalysis[ID], 0)), "")</f>
        <v/>
      </c>
      <c r="AD645" s="83" t="str">
        <f>IFERROR(INDEX(tblPiNAnalysis[[Shelter NFI ]], MATCH(tblPiNHistorical[[#This Row],[ID]], tblPiNAnalysis[ID], 0)), "")</f>
        <v/>
      </c>
      <c r="AE645" s="28" t="str">
        <f>IFERROR(INDEX(tblPiNAnalysis[WASH], MATCH(tblPiNHistorical[[#This Row],[ID]], tblPiNAnalysis[ID], 0)), "")</f>
        <v/>
      </c>
      <c r="AF645"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645" s="136" t="str">
        <f>IF(OR(tblPiNHistorical[[#This Row],[Education Old]]="", tblPiNHistorical[[#This Row],[Education Old]]=0, tblPiNHistorical[[#This Row],[Education New]]="", tblPiNHistorical[[#This Row],[Education New]]=0), "", tblPiNHistorical[[#This Row],[Education New]]-tblPiNHistorical[[#This Row],[Education Old]])</f>
        <v/>
      </c>
      <c r="AH645"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645" s="137" t="str">
        <f>IF(OR(tblPiNHistorical[[#This Row],[Health Old]]="", tblPiNHistorical[[#This Row],[Health Old]]=0, tblPiNHistorical[[#This Row],[Health New]]="", tblPiNHistorical[[#This Row],[Health New]]=0), "", tblPiNHistorical[[#This Row],[Health New]]-tblPiNHistorical[[#This Row],[Health Old]])</f>
        <v/>
      </c>
      <c r="AJ645" s="136" t="str">
        <f>IF(OR(tblPiNHistorical[[#This Row],[Nutrition Old]]="", tblPiNHistorical[[#This Row],[Nutrition Old]]=0, tblPiNHistorical[[#This Row],[Nutrition New]]="", tblPiNHistorical[[#This Row],[Nutrition New]]=0), "", tblPiNHistorical[[#This Row],[Nutrition New]]-tblPiNHistorical[[#This Row],[Nutrition Old]])</f>
        <v/>
      </c>
      <c r="AK645" s="136" t="str">
        <f>IF(OR(tblPiNHistorical[[#This Row],[Protection Old]]="", tblPiNHistorical[[#This Row],[Protection Old]]=0, tblPiNHistorical[[#This Row],[Protection New]]="", tblPiNHistorical[[#This Row],[Protection New]]=0), "", tblPiNHistorical[[#This Row],[Protection New]]-tblPiNHistorical[[#This Row],[Protection Old]])</f>
        <v/>
      </c>
      <c r="AL645" s="136" t="str">
        <f>IF(OR(tblPiNHistorical[[#This Row],[CP Old ]]="", tblPiNHistorical[[#This Row],[CP Old ]]=0, tblPiNHistorical[[#This Row],[CP New]]="", tblPiNHistorical[[#This Row],[CP New]]=0), "", tblPiNHistorical[[#This Row],[CP New]]-tblPiNHistorical[[#This Row],[CP Old ]])</f>
        <v/>
      </c>
      <c r="AM645" s="83" t="str">
        <f>IF(OR(tblPiNHistorical[[#This Row],[GBV Old]]="", tblPiNHistorical[[#This Row],[GBV Old]]=0, tblPiNHistorical[[#This Row],[GBV New]]="", tblPiNHistorical[[#This Row],[GBV New]]=0), "", tblPiNHistorical[[#This Row],[GBV New]]-tblPiNHistorical[[#This Row],[GBV Old]])</f>
        <v/>
      </c>
      <c r="AN645" s="83" t="str">
        <f>IF(OR(tblPiNHistorical[[#This Row],[Mine Action Old]]="", tblPiNHistorical[[#This Row],[Mine Action Old]]=0, tblPiNHistorical[[#This Row],[Mine Action New]]="", tblPiNHistorical[[#This Row],[Mine Action New]]=0), "", tblPiNHistorical[[#This Row],[Mine Action New]]-tblPiNHistorical[[#This Row],[Mine Action Old]])</f>
        <v/>
      </c>
      <c r="AO645" s="136" t="str">
        <f>IF(OR(tblPiNHistorical[[#This Row],[Shelter NFI Old]]="", tblPiNHistorical[[#This Row],[Shelter NFI Old]]=0, tblPiNHistorical[[#This Row],[Shelter NFI New]]="", tblPiNHistorical[[#This Row],[Shelter NFI New]]=0), "", tblPiNHistorical[[#This Row],[Shelter NFI New]]-tblPiNHistorical[[#This Row],[Shelter NFI Old]])</f>
        <v/>
      </c>
      <c r="AP645" s="138" t="str">
        <f>IF(OR(tblPiNHistorical[[#This Row],[WASH Old]]="", tblPiNHistorical[[#This Row],[WASH Old]]=0, tblPiNHistorical[[#This Row],[WASH New]]="", tblPiNHistorical[[#This Row],[WASH New]]=0), "", tblPiNHistorical[[#This Row],[WASH New]]-tblPiNHistorical[[#This Row],[WASH Old]])</f>
        <v/>
      </c>
      <c r="AQ645" s="139" t="str">
        <f>IFERROR(ROUND((tblPiNHistorical[[#This Row],[Site Management - New]] - tblPiNHistorical[[#This Row],[Site Management - Old]])/tblPiNHistorical[[#This Row],[Site Management - Old]], 1), "")</f>
        <v/>
      </c>
      <c r="AR645" s="140" t="str">
        <f>IFERROR(ROUND((tblPiNHistorical[[#This Row],[Education New]]-tblPiNHistorical[[#This Row],[Education Old]])/tblPiNHistorical[[#This Row],[Education Old]], 1), "")</f>
        <v/>
      </c>
      <c r="AS645" s="141" t="str">
        <f>IFERROR(ROUND((tblPiNHistorical[[#This Row],[Food Security and Livlihoods New]]-tblPiNHistorical[[#This Row],[Food Security and Livlihoods Old]])/tblPiNHistorical[[#This Row],[Food Security and Livlihoods Old]], 1), "")</f>
        <v/>
      </c>
      <c r="AT645" s="142" t="str">
        <f>IFERROR(ROUND((tblPiNHistorical[[#This Row],[Health New]]-tblPiNHistorical[[#This Row],[Health Old]])/tblPiNHistorical[[#This Row],[Health Old]], 1), "")</f>
        <v/>
      </c>
      <c r="AU645" s="140" t="str">
        <f>IFERROR(ROUND((tblPiNHistorical[[#This Row],[Nutrition New]]-tblPiNHistorical[[#This Row],[Nutrition Old]])/tblPiNHistorical[[#This Row],[Nutrition Old]], 1), "")</f>
        <v/>
      </c>
      <c r="AV645" s="140" t="str">
        <f>IFERROR(ROUND((tblPiNHistorical[[#This Row],[Protection New]]-tblPiNHistorical[[#This Row],[Protection Old]])/tblPiNHistorical[[#This Row],[Protection Old]], 1), "")</f>
        <v/>
      </c>
      <c r="AW645" s="84" t="str">
        <f>IFERROR(ROUND((tblPiNHistorical[[#This Row],[CP New]]-tblPiNHistorical[[#This Row],[CP Old ]])/tblPiNHistorical[[#This Row],[CP Old ]], 1), "")</f>
        <v/>
      </c>
      <c r="AX645" s="84" t="str">
        <f>IFERROR(ROUND((tblPiNHistorical[[#This Row],[GBV New]]-tblPiNHistorical[[#This Row],[GBV Old]])/tblPiNHistorical[[#This Row],[GBV Old]], 1), "")</f>
        <v/>
      </c>
      <c r="AY645" s="84" t="str">
        <f>IFERROR(ROUND((tblPiNHistorical[[#This Row],[Mine Action New]]-tblPiNHistorical[[#This Row],[Mine Action Old]])/tblPiNHistorical[[#This Row],[Mine Action Old]], 1), "")</f>
        <v/>
      </c>
      <c r="AZ645" s="140" t="str">
        <f>IFERROR(ROUND((tblPiNHistorical[[#This Row],[Shelter NFI New]]-tblPiNHistorical[[#This Row],[Shelter NFI Old]])/tblPiNHistorical[[#This Row],[Shelter NFI Old]], 1), "")</f>
        <v/>
      </c>
      <c r="BA645" s="31" t="str">
        <f>IFERROR(ROUND((tblPiNHistorical[[#This Row],[WASH New]]-tblPiNHistorical[[#This Row],[WASH Old]])/tblPiNHistorical[[#This Row],[WASH Old]], 1), "")</f>
        <v/>
      </c>
    </row>
    <row r="646" spans="1:53" ht="38.25" x14ac:dyDescent="0.25">
      <c r="A646"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Non-displaced PopulationSD02124</v>
      </c>
      <c r="B646" s="134" t="s">
        <v>167</v>
      </c>
      <c r="C646" s="124" t="s">
        <v>119</v>
      </c>
      <c r="D646" s="124" t="s">
        <v>211</v>
      </c>
      <c r="E646" s="59" t="s">
        <v>210</v>
      </c>
      <c r="F646" s="54"/>
      <c r="G646" s="29"/>
      <c r="H646" s="53">
        <v>62599</v>
      </c>
      <c r="I646" s="53" t="s">
        <v>89</v>
      </c>
      <c r="J646" s="34">
        <v>0</v>
      </c>
      <c r="K646" s="116">
        <v>24269.632300000001</v>
      </c>
      <c r="L646" s="114">
        <v>28169.55</v>
      </c>
      <c r="M646" s="114">
        <v>71145</v>
      </c>
      <c r="N646" s="114">
        <v>10903</v>
      </c>
      <c r="O646" s="114">
        <v>6885.8900000000012</v>
      </c>
      <c r="P646" s="114">
        <v>6886</v>
      </c>
      <c r="Q646" s="114">
        <v>4956</v>
      </c>
      <c r="R646" s="114">
        <v>6259.9000000000005</v>
      </c>
      <c r="S646" s="114">
        <v>12520</v>
      </c>
      <c r="T646" s="196">
        <v>48908.598700000002</v>
      </c>
      <c r="U646" s="52" t="str">
        <f>IFERROR(INDEX(tblPiNAnalysis[[Site Management ]], MATCH(tblPiNHistorical[[#This Row],[ID]], tblPiNAnalysis[ID], 0)), "")</f>
        <v/>
      </c>
      <c r="V646" s="52" t="str">
        <f>IFERROR(INDEX(tblPiNAnalysis[Education], MATCH(tblPiNHistorical[[#This Row],[ID]], tblPiNAnalysis[ID], 0)), "")</f>
        <v/>
      </c>
      <c r="W646" s="28" t="str">
        <f>IFERROR(INDEX(tblPiNAnalysis[Food Security and Livlihoods], MATCH(tblPiNHistorical[[#This Row],[ID]], tblPiNAnalysis[ID], 0)), "")</f>
        <v/>
      </c>
      <c r="X646" s="28" t="str">
        <f>IFERROR(INDEX(tblPiNAnalysis[[Health ]], MATCH(tblPiNHistorical[[#This Row],[ID]], tblPiNAnalysis[ID], 0)), "")</f>
        <v/>
      </c>
      <c r="Y646" s="28" t="str">
        <f>IFERROR(INDEX(tblPiNAnalysis[Nutrition], MATCH(tblPiNHistorical[[#This Row],[ID]], tblPiNAnalysis[ID], 0)), "")</f>
        <v/>
      </c>
      <c r="Z646" s="28" t="str">
        <f>IFERROR(INDEX(tblPiNAnalysis[Protection], MATCH(tblPiNHistorical[[#This Row],[ID]], tblPiNAnalysis[ID], 0)), "")</f>
        <v/>
      </c>
      <c r="AA646" s="28" t="str">
        <f>IFERROR(INDEX(tblPiNAnalysis[CP], MATCH(tblPiNHistorical[[#This Row],[ID]], tblPiNAnalysis[ID], 0)), "")</f>
        <v/>
      </c>
      <c r="AB646" s="83" t="str">
        <f>IFERROR(INDEX(tblPiNAnalysis[GBV], MATCH(tblPiNHistorical[[#This Row],[ID]], tblPiNAnalysis[ID], 0)), "")</f>
        <v/>
      </c>
      <c r="AC646" s="28" t="str">
        <f>IFERROR(INDEX(tblPiNAnalysis[Mine Action], MATCH(tblPiNHistorical[[#This Row],[ID]], tblPiNAnalysis[ID], 0)), "")</f>
        <v/>
      </c>
      <c r="AD646" s="83" t="str">
        <f>IFERROR(INDEX(tblPiNAnalysis[[Shelter NFI ]], MATCH(tblPiNHistorical[[#This Row],[ID]], tblPiNAnalysis[ID], 0)), "")</f>
        <v/>
      </c>
      <c r="AE646" s="28" t="str">
        <f>IFERROR(INDEX(tblPiNAnalysis[WASH], MATCH(tblPiNHistorical[[#This Row],[ID]], tblPiNAnalysis[ID], 0)), "")</f>
        <v/>
      </c>
      <c r="AF646"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646" s="136" t="str">
        <f>IF(OR(tblPiNHistorical[[#This Row],[Education Old]]="", tblPiNHistorical[[#This Row],[Education Old]]=0, tblPiNHistorical[[#This Row],[Education New]]="", tblPiNHistorical[[#This Row],[Education New]]=0), "", tblPiNHistorical[[#This Row],[Education New]]-tblPiNHistorical[[#This Row],[Education Old]])</f>
        <v/>
      </c>
      <c r="AH646"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646" s="137" t="str">
        <f>IF(OR(tblPiNHistorical[[#This Row],[Health Old]]="", tblPiNHistorical[[#This Row],[Health Old]]=0, tblPiNHistorical[[#This Row],[Health New]]="", tblPiNHistorical[[#This Row],[Health New]]=0), "", tblPiNHistorical[[#This Row],[Health New]]-tblPiNHistorical[[#This Row],[Health Old]])</f>
        <v/>
      </c>
      <c r="AJ646" s="136" t="str">
        <f>IF(OR(tblPiNHistorical[[#This Row],[Nutrition Old]]="", tblPiNHistorical[[#This Row],[Nutrition Old]]=0, tblPiNHistorical[[#This Row],[Nutrition New]]="", tblPiNHistorical[[#This Row],[Nutrition New]]=0), "", tblPiNHistorical[[#This Row],[Nutrition New]]-tblPiNHistorical[[#This Row],[Nutrition Old]])</f>
        <v/>
      </c>
      <c r="AK646" s="136" t="str">
        <f>IF(OR(tblPiNHistorical[[#This Row],[Protection Old]]="", tblPiNHistorical[[#This Row],[Protection Old]]=0, tblPiNHistorical[[#This Row],[Protection New]]="", tblPiNHistorical[[#This Row],[Protection New]]=0), "", tblPiNHistorical[[#This Row],[Protection New]]-tblPiNHistorical[[#This Row],[Protection Old]])</f>
        <v/>
      </c>
      <c r="AL646" s="136" t="str">
        <f>IF(OR(tblPiNHistorical[[#This Row],[CP Old ]]="", tblPiNHistorical[[#This Row],[CP Old ]]=0, tblPiNHistorical[[#This Row],[CP New]]="", tblPiNHistorical[[#This Row],[CP New]]=0), "", tblPiNHistorical[[#This Row],[CP New]]-tblPiNHistorical[[#This Row],[CP Old ]])</f>
        <v/>
      </c>
      <c r="AM646" s="83" t="str">
        <f>IF(OR(tblPiNHistorical[[#This Row],[GBV Old]]="", tblPiNHistorical[[#This Row],[GBV Old]]=0, tblPiNHistorical[[#This Row],[GBV New]]="", tblPiNHistorical[[#This Row],[GBV New]]=0), "", tblPiNHistorical[[#This Row],[GBV New]]-tblPiNHistorical[[#This Row],[GBV Old]])</f>
        <v/>
      </c>
      <c r="AN646" s="83" t="str">
        <f>IF(OR(tblPiNHistorical[[#This Row],[Mine Action Old]]="", tblPiNHistorical[[#This Row],[Mine Action Old]]=0, tblPiNHistorical[[#This Row],[Mine Action New]]="", tblPiNHistorical[[#This Row],[Mine Action New]]=0), "", tblPiNHistorical[[#This Row],[Mine Action New]]-tblPiNHistorical[[#This Row],[Mine Action Old]])</f>
        <v/>
      </c>
      <c r="AO646" s="136" t="str">
        <f>IF(OR(tblPiNHistorical[[#This Row],[Shelter NFI Old]]="", tblPiNHistorical[[#This Row],[Shelter NFI Old]]=0, tblPiNHistorical[[#This Row],[Shelter NFI New]]="", tblPiNHistorical[[#This Row],[Shelter NFI New]]=0), "", tblPiNHistorical[[#This Row],[Shelter NFI New]]-tblPiNHistorical[[#This Row],[Shelter NFI Old]])</f>
        <v/>
      </c>
      <c r="AP646" s="138" t="str">
        <f>IF(OR(tblPiNHistorical[[#This Row],[WASH Old]]="", tblPiNHistorical[[#This Row],[WASH Old]]=0, tblPiNHistorical[[#This Row],[WASH New]]="", tblPiNHistorical[[#This Row],[WASH New]]=0), "", tblPiNHistorical[[#This Row],[WASH New]]-tblPiNHistorical[[#This Row],[WASH Old]])</f>
        <v/>
      </c>
      <c r="AQ646" s="139" t="str">
        <f>IFERROR(ROUND((tblPiNHistorical[[#This Row],[Site Management - New]] - tblPiNHistorical[[#This Row],[Site Management - Old]])/tblPiNHistorical[[#This Row],[Site Management - Old]], 1), "")</f>
        <v/>
      </c>
      <c r="AR646" s="140" t="str">
        <f>IFERROR(ROUND((tblPiNHistorical[[#This Row],[Education New]]-tblPiNHistorical[[#This Row],[Education Old]])/tblPiNHistorical[[#This Row],[Education Old]], 1), "")</f>
        <v/>
      </c>
      <c r="AS646" s="141" t="str">
        <f>IFERROR(ROUND((tblPiNHistorical[[#This Row],[Food Security and Livlihoods New]]-tblPiNHistorical[[#This Row],[Food Security and Livlihoods Old]])/tblPiNHistorical[[#This Row],[Food Security and Livlihoods Old]], 1), "")</f>
        <v/>
      </c>
      <c r="AT646" s="142" t="str">
        <f>IFERROR(ROUND((tblPiNHistorical[[#This Row],[Health New]]-tblPiNHistorical[[#This Row],[Health Old]])/tblPiNHistorical[[#This Row],[Health Old]], 1), "")</f>
        <v/>
      </c>
      <c r="AU646" s="140" t="str">
        <f>IFERROR(ROUND((tblPiNHistorical[[#This Row],[Nutrition New]]-tblPiNHistorical[[#This Row],[Nutrition Old]])/tblPiNHistorical[[#This Row],[Nutrition Old]], 1), "")</f>
        <v/>
      </c>
      <c r="AV646" s="140" t="str">
        <f>IFERROR(ROUND((tblPiNHistorical[[#This Row],[Protection New]]-tblPiNHistorical[[#This Row],[Protection Old]])/tblPiNHistorical[[#This Row],[Protection Old]], 1), "")</f>
        <v/>
      </c>
      <c r="AW646" s="84" t="str">
        <f>IFERROR(ROUND((tblPiNHistorical[[#This Row],[CP New]]-tblPiNHistorical[[#This Row],[CP Old ]])/tblPiNHistorical[[#This Row],[CP Old ]], 1), "")</f>
        <v/>
      </c>
      <c r="AX646" s="84" t="str">
        <f>IFERROR(ROUND((tblPiNHistorical[[#This Row],[GBV New]]-tblPiNHistorical[[#This Row],[GBV Old]])/tblPiNHistorical[[#This Row],[GBV Old]], 1), "")</f>
        <v/>
      </c>
      <c r="AY646" s="84" t="str">
        <f>IFERROR(ROUND((tblPiNHistorical[[#This Row],[Mine Action New]]-tblPiNHistorical[[#This Row],[Mine Action Old]])/tblPiNHistorical[[#This Row],[Mine Action Old]], 1), "")</f>
        <v/>
      </c>
      <c r="AZ646" s="140" t="str">
        <f>IFERROR(ROUND((tblPiNHistorical[[#This Row],[Shelter NFI New]]-tblPiNHistorical[[#This Row],[Shelter NFI Old]])/tblPiNHistorical[[#This Row],[Shelter NFI Old]], 1), "")</f>
        <v/>
      </c>
      <c r="BA646" s="31" t="str">
        <f>IFERROR(ROUND((tblPiNHistorical[[#This Row],[WASH New]]-tblPiNHistorical[[#This Row],[WASH Old]])/tblPiNHistorical[[#This Row],[WASH Old]], 1), "")</f>
        <v/>
      </c>
    </row>
    <row r="647" spans="1:53" ht="38.25" x14ac:dyDescent="0.25">
      <c r="A647"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Non-displaced PopulationSD02126</v>
      </c>
      <c r="B647" s="134" t="s">
        <v>167</v>
      </c>
      <c r="C647" s="124" t="s">
        <v>119</v>
      </c>
      <c r="D647" s="124" t="s">
        <v>213</v>
      </c>
      <c r="E647" s="59" t="s">
        <v>212</v>
      </c>
      <c r="F647" s="54"/>
      <c r="G647" s="29"/>
      <c r="H647" s="53">
        <v>19437</v>
      </c>
      <c r="I647" s="53" t="s">
        <v>89</v>
      </c>
      <c r="J647" s="34">
        <v>0</v>
      </c>
      <c r="K647" s="116">
        <v>7535.7249000000002</v>
      </c>
      <c r="L647" s="114">
        <v>12607</v>
      </c>
      <c r="M647" s="114">
        <v>0</v>
      </c>
      <c r="N647" s="114">
        <v>8761</v>
      </c>
      <c r="O647" s="114">
        <v>2138.0700000000002</v>
      </c>
      <c r="P647" s="114">
        <v>2138</v>
      </c>
      <c r="Q647" s="114">
        <v>1538</v>
      </c>
      <c r="R647" s="114">
        <v>0</v>
      </c>
      <c r="S647" s="114">
        <v>3887</v>
      </c>
      <c r="T647" s="196">
        <v>12606.838199999998</v>
      </c>
      <c r="U647" s="52" t="str">
        <f>IFERROR(INDEX(tblPiNAnalysis[[Site Management ]], MATCH(tblPiNHistorical[[#This Row],[ID]], tblPiNAnalysis[ID], 0)), "")</f>
        <v/>
      </c>
      <c r="V647" s="52" t="str">
        <f>IFERROR(INDEX(tblPiNAnalysis[Education], MATCH(tblPiNHistorical[[#This Row],[ID]], tblPiNAnalysis[ID], 0)), "")</f>
        <v/>
      </c>
      <c r="W647" s="28" t="str">
        <f>IFERROR(INDEX(tblPiNAnalysis[Food Security and Livlihoods], MATCH(tblPiNHistorical[[#This Row],[ID]], tblPiNAnalysis[ID], 0)), "")</f>
        <v/>
      </c>
      <c r="X647" s="28" t="str">
        <f>IFERROR(INDEX(tblPiNAnalysis[[Health ]], MATCH(tblPiNHistorical[[#This Row],[ID]], tblPiNAnalysis[ID], 0)), "")</f>
        <v/>
      </c>
      <c r="Y647" s="28" t="str">
        <f>IFERROR(INDEX(tblPiNAnalysis[Nutrition], MATCH(tblPiNHistorical[[#This Row],[ID]], tblPiNAnalysis[ID], 0)), "")</f>
        <v/>
      </c>
      <c r="Z647" s="28" t="str">
        <f>IFERROR(INDEX(tblPiNAnalysis[Protection], MATCH(tblPiNHistorical[[#This Row],[ID]], tblPiNAnalysis[ID], 0)), "")</f>
        <v/>
      </c>
      <c r="AA647" s="28" t="str">
        <f>IFERROR(INDEX(tblPiNAnalysis[CP], MATCH(tblPiNHistorical[[#This Row],[ID]], tblPiNAnalysis[ID], 0)), "")</f>
        <v/>
      </c>
      <c r="AB647" s="83" t="str">
        <f>IFERROR(INDEX(tblPiNAnalysis[GBV], MATCH(tblPiNHistorical[[#This Row],[ID]], tblPiNAnalysis[ID], 0)), "")</f>
        <v/>
      </c>
      <c r="AC647" s="28" t="str">
        <f>IFERROR(INDEX(tblPiNAnalysis[Mine Action], MATCH(tblPiNHistorical[[#This Row],[ID]], tblPiNAnalysis[ID], 0)), "")</f>
        <v/>
      </c>
      <c r="AD647" s="83" t="str">
        <f>IFERROR(INDEX(tblPiNAnalysis[[Shelter NFI ]], MATCH(tblPiNHistorical[[#This Row],[ID]], tblPiNAnalysis[ID], 0)), "")</f>
        <v/>
      </c>
      <c r="AE647" s="28" t="str">
        <f>IFERROR(INDEX(tblPiNAnalysis[WASH], MATCH(tblPiNHistorical[[#This Row],[ID]], tblPiNAnalysis[ID], 0)), "")</f>
        <v/>
      </c>
      <c r="AF647"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647" s="136" t="str">
        <f>IF(OR(tblPiNHistorical[[#This Row],[Education Old]]="", tblPiNHistorical[[#This Row],[Education Old]]=0, tblPiNHistorical[[#This Row],[Education New]]="", tblPiNHistorical[[#This Row],[Education New]]=0), "", tblPiNHistorical[[#This Row],[Education New]]-tblPiNHistorical[[#This Row],[Education Old]])</f>
        <v/>
      </c>
      <c r="AH647"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647" s="137" t="str">
        <f>IF(OR(tblPiNHistorical[[#This Row],[Health Old]]="", tblPiNHistorical[[#This Row],[Health Old]]=0, tblPiNHistorical[[#This Row],[Health New]]="", tblPiNHistorical[[#This Row],[Health New]]=0), "", tblPiNHistorical[[#This Row],[Health New]]-tblPiNHistorical[[#This Row],[Health Old]])</f>
        <v/>
      </c>
      <c r="AJ647" s="136" t="str">
        <f>IF(OR(tblPiNHistorical[[#This Row],[Nutrition Old]]="", tblPiNHistorical[[#This Row],[Nutrition Old]]=0, tblPiNHistorical[[#This Row],[Nutrition New]]="", tblPiNHistorical[[#This Row],[Nutrition New]]=0), "", tblPiNHistorical[[#This Row],[Nutrition New]]-tblPiNHistorical[[#This Row],[Nutrition Old]])</f>
        <v/>
      </c>
      <c r="AK647" s="136" t="str">
        <f>IF(OR(tblPiNHistorical[[#This Row],[Protection Old]]="", tblPiNHistorical[[#This Row],[Protection Old]]=0, tblPiNHistorical[[#This Row],[Protection New]]="", tblPiNHistorical[[#This Row],[Protection New]]=0), "", tblPiNHistorical[[#This Row],[Protection New]]-tblPiNHistorical[[#This Row],[Protection Old]])</f>
        <v/>
      </c>
      <c r="AL647" s="136" t="str">
        <f>IF(OR(tblPiNHistorical[[#This Row],[CP Old ]]="", tblPiNHistorical[[#This Row],[CP Old ]]=0, tblPiNHistorical[[#This Row],[CP New]]="", tblPiNHistorical[[#This Row],[CP New]]=0), "", tblPiNHistorical[[#This Row],[CP New]]-tblPiNHistorical[[#This Row],[CP Old ]])</f>
        <v/>
      </c>
      <c r="AM647" s="83" t="str">
        <f>IF(OR(tblPiNHistorical[[#This Row],[GBV Old]]="", tblPiNHistorical[[#This Row],[GBV Old]]=0, tblPiNHistorical[[#This Row],[GBV New]]="", tblPiNHistorical[[#This Row],[GBV New]]=0), "", tblPiNHistorical[[#This Row],[GBV New]]-tblPiNHistorical[[#This Row],[GBV Old]])</f>
        <v/>
      </c>
      <c r="AN647" s="83" t="str">
        <f>IF(OR(tblPiNHistorical[[#This Row],[Mine Action Old]]="", tblPiNHistorical[[#This Row],[Mine Action Old]]=0, tblPiNHistorical[[#This Row],[Mine Action New]]="", tblPiNHistorical[[#This Row],[Mine Action New]]=0), "", tblPiNHistorical[[#This Row],[Mine Action New]]-tblPiNHistorical[[#This Row],[Mine Action Old]])</f>
        <v/>
      </c>
      <c r="AO647" s="136" t="str">
        <f>IF(OR(tblPiNHistorical[[#This Row],[Shelter NFI Old]]="", tblPiNHistorical[[#This Row],[Shelter NFI Old]]=0, tblPiNHistorical[[#This Row],[Shelter NFI New]]="", tblPiNHistorical[[#This Row],[Shelter NFI New]]=0), "", tblPiNHistorical[[#This Row],[Shelter NFI New]]-tblPiNHistorical[[#This Row],[Shelter NFI Old]])</f>
        <v/>
      </c>
      <c r="AP647" s="138" t="str">
        <f>IF(OR(tblPiNHistorical[[#This Row],[WASH Old]]="", tblPiNHistorical[[#This Row],[WASH Old]]=0, tblPiNHistorical[[#This Row],[WASH New]]="", tblPiNHistorical[[#This Row],[WASH New]]=0), "", tblPiNHistorical[[#This Row],[WASH New]]-tblPiNHistorical[[#This Row],[WASH Old]])</f>
        <v/>
      </c>
      <c r="AQ647" s="139" t="str">
        <f>IFERROR(ROUND((tblPiNHistorical[[#This Row],[Site Management - New]] - tblPiNHistorical[[#This Row],[Site Management - Old]])/tblPiNHistorical[[#This Row],[Site Management - Old]], 1), "")</f>
        <v/>
      </c>
      <c r="AR647" s="140" t="str">
        <f>IFERROR(ROUND((tblPiNHistorical[[#This Row],[Education New]]-tblPiNHistorical[[#This Row],[Education Old]])/tblPiNHistorical[[#This Row],[Education Old]], 1), "")</f>
        <v/>
      </c>
      <c r="AS647" s="141" t="str">
        <f>IFERROR(ROUND((tblPiNHistorical[[#This Row],[Food Security and Livlihoods New]]-tblPiNHistorical[[#This Row],[Food Security and Livlihoods Old]])/tblPiNHistorical[[#This Row],[Food Security and Livlihoods Old]], 1), "")</f>
        <v/>
      </c>
      <c r="AT647" s="142" t="str">
        <f>IFERROR(ROUND((tblPiNHistorical[[#This Row],[Health New]]-tblPiNHistorical[[#This Row],[Health Old]])/tblPiNHistorical[[#This Row],[Health Old]], 1), "")</f>
        <v/>
      </c>
      <c r="AU647" s="140" t="str">
        <f>IFERROR(ROUND((tblPiNHistorical[[#This Row],[Nutrition New]]-tblPiNHistorical[[#This Row],[Nutrition Old]])/tblPiNHistorical[[#This Row],[Nutrition Old]], 1), "")</f>
        <v/>
      </c>
      <c r="AV647" s="140" t="str">
        <f>IFERROR(ROUND((tblPiNHistorical[[#This Row],[Protection New]]-tblPiNHistorical[[#This Row],[Protection Old]])/tblPiNHistorical[[#This Row],[Protection Old]], 1), "")</f>
        <v/>
      </c>
      <c r="AW647" s="84" t="str">
        <f>IFERROR(ROUND((tblPiNHistorical[[#This Row],[CP New]]-tblPiNHistorical[[#This Row],[CP Old ]])/tblPiNHistorical[[#This Row],[CP Old ]], 1), "")</f>
        <v/>
      </c>
      <c r="AX647" s="84" t="str">
        <f>IFERROR(ROUND((tblPiNHistorical[[#This Row],[GBV New]]-tblPiNHistorical[[#This Row],[GBV Old]])/tblPiNHistorical[[#This Row],[GBV Old]], 1), "")</f>
        <v/>
      </c>
      <c r="AY647" s="84" t="str">
        <f>IFERROR(ROUND((tblPiNHistorical[[#This Row],[Mine Action New]]-tblPiNHistorical[[#This Row],[Mine Action Old]])/tblPiNHistorical[[#This Row],[Mine Action Old]], 1), "")</f>
        <v/>
      </c>
      <c r="AZ647" s="140" t="str">
        <f>IFERROR(ROUND((tblPiNHistorical[[#This Row],[Shelter NFI New]]-tblPiNHistorical[[#This Row],[Shelter NFI Old]])/tblPiNHistorical[[#This Row],[Shelter NFI Old]], 1), "")</f>
        <v/>
      </c>
      <c r="BA647" s="31" t="str">
        <f>IFERROR(ROUND((tblPiNHistorical[[#This Row],[WASH New]]-tblPiNHistorical[[#This Row],[WASH Old]])/tblPiNHistorical[[#This Row],[WASH Old]], 1), "")</f>
        <v/>
      </c>
    </row>
    <row r="648" spans="1:53" ht="38.25" x14ac:dyDescent="0.25">
      <c r="A648"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Non-displaced PopulationSD02168</v>
      </c>
      <c r="B648" s="134" t="s">
        <v>167</v>
      </c>
      <c r="C648" s="124" t="s">
        <v>119</v>
      </c>
      <c r="D648" s="124" t="s">
        <v>223</v>
      </c>
      <c r="E648" s="59" t="s">
        <v>222</v>
      </c>
      <c r="F648" s="54"/>
      <c r="G648" s="29"/>
      <c r="H648" s="53">
        <v>47147</v>
      </c>
      <c r="I648" s="53" t="s">
        <v>89</v>
      </c>
      <c r="J648" s="34">
        <v>0</v>
      </c>
      <c r="K648" s="116">
        <v>18278.891899999999</v>
      </c>
      <c r="L648" s="114">
        <v>21216.15</v>
      </c>
      <c r="M648" s="114">
        <v>0</v>
      </c>
      <c r="N648" s="114">
        <v>17199</v>
      </c>
      <c r="O648" s="114">
        <v>5186.170000000001</v>
      </c>
      <c r="P648" s="114">
        <v>5186</v>
      </c>
      <c r="Q648" s="114">
        <v>3732</v>
      </c>
      <c r="R648" s="114">
        <v>4714.7</v>
      </c>
      <c r="S648" s="114">
        <v>0</v>
      </c>
      <c r="T648" s="196">
        <v>43271.516600000003</v>
      </c>
      <c r="U648" s="52" t="str">
        <f>IFERROR(INDEX(tblPiNAnalysis[[Site Management ]], MATCH(tblPiNHistorical[[#This Row],[ID]], tblPiNAnalysis[ID], 0)), "")</f>
        <v/>
      </c>
      <c r="V648" s="52" t="str">
        <f>IFERROR(INDEX(tblPiNAnalysis[Education], MATCH(tblPiNHistorical[[#This Row],[ID]], tblPiNAnalysis[ID], 0)), "")</f>
        <v/>
      </c>
      <c r="W648" s="28" t="str">
        <f>IFERROR(INDEX(tblPiNAnalysis[Food Security and Livlihoods], MATCH(tblPiNHistorical[[#This Row],[ID]], tblPiNAnalysis[ID], 0)), "")</f>
        <v/>
      </c>
      <c r="X648" s="28" t="str">
        <f>IFERROR(INDEX(tblPiNAnalysis[[Health ]], MATCH(tblPiNHistorical[[#This Row],[ID]], tblPiNAnalysis[ID], 0)), "")</f>
        <v/>
      </c>
      <c r="Y648" s="28" t="str">
        <f>IFERROR(INDEX(tblPiNAnalysis[Nutrition], MATCH(tblPiNHistorical[[#This Row],[ID]], tblPiNAnalysis[ID], 0)), "")</f>
        <v/>
      </c>
      <c r="Z648" s="28" t="str">
        <f>IFERROR(INDEX(tblPiNAnalysis[Protection], MATCH(tblPiNHistorical[[#This Row],[ID]], tblPiNAnalysis[ID], 0)), "")</f>
        <v/>
      </c>
      <c r="AA648" s="28" t="str">
        <f>IFERROR(INDEX(tblPiNAnalysis[CP], MATCH(tblPiNHistorical[[#This Row],[ID]], tblPiNAnalysis[ID], 0)), "")</f>
        <v/>
      </c>
      <c r="AB648" s="83" t="str">
        <f>IFERROR(INDEX(tblPiNAnalysis[GBV], MATCH(tblPiNHistorical[[#This Row],[ID]], tblPiNAnalysis[ID], 0)), "")</f>
        <v/>
      </c>
      <c r="AC648" s="28" t="str">
        <f>IFERROR(INDEX(tblPiNAnalysis[Mine Action], MATCH(tblPiNHistorical[[#This Row],[ID]], tblPiNAnalysis[ID], 0)), "")</f>
        <v/>
      </c>
      <c r="AD648" s="83" t="str">
        <f>IFERROR(INDEX(tblPiNAnalysis[[Shelter NFI ]], MATCH(tblPiNHistorical[[#This Row],[ID]], tblPiNAnalysis[ID], 0)), "")</f>
        <v/>
      </c>
      <c r="AE648" s="28" t="str">
        <f>IFERROR(INDEX(tblPiNAnalysis[WASH], MATCH(tblPiNHistorical[[#This Row],[ID]], tblPiNAnalysis[ID], 0)), "")</f>
        <v/>
      </c>
      <c r="AF648"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648" s="136" t="str">
        <f>IF(OR(tblPiNHistorical[[#This Row],[Education Old]]="", tblPiNHistorical[[#This Row],[Education Old]]=0, tblPiNHistorical[[#This Row],[Education New]]="", tblPiNHistorical[[#This Row],[Education New]]=0), "", tblPiNHistorical[[#This Row],[Education New]]-tblPiNHistorical[[#This Row],[Education Old]])</f>
        <v/>
      </c>
      <c r="AH648"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648" s="137" t="str">
        <f>IF(OR(tblPiNHistorical[[#This Row],[Health Old]]="", tblPiNHistorical[[#This Row],[Health Old]]=0, tblPiNHistorical[[#This Row],[Health New]]="", tblPiNHistorical[[#This Row],[Health New]]=0), "", tblPiNHistorical[[#This Row],[Health New]]-tblPiNHistorical[[#This Row],[Health Old]])</f>
        <v/>
      </c>
      <c r="AJ648" s="136" t="str">
        <f>IF(OR(tblPiNHistorical[[#This Row],[Nutrition Old]]="", tblPiNHistorical[[#This Row],[Nutrition Old]]=0, tblPiNHistorical[[#This Row],[Nutrition New]]="", tblPiNHistorical[[#This Row],[Nutrition New]]=0), "", tblPiNHistorical[[#This Row],[Nutrition New]]-tblPiNHistorical[[#This Row],[Nutrition Old]])</f>
        <v/>
      </c>
      <c r="AK648" s="136" t="str">
        <f>IF(OR(tblPiNHistorical[[#This Row],[Protection Old]]="", tblPiNHistorical[[#This Row],[Protection Old]]=0, tblPiNHistorical[[#This Row],[Protection New]]="", tblPiNHistorical[[#This Row],[Protection New]]=0), "", tblPiNHistorical[[#This Row],[Protection New]]-tblPiNHistorical[[#This Row],[Protection Old]])</f>
        <v/>
      </c>
      <c r="AL648" s="136" t="str">
        <f>IF(OR(tblPiNHistorical[[#This Row],[CP Old ]]="", tblPiNHistorical[[#This Row],[CP Old ]]=0, tblPiNHistorical[[#This Row],[CP New]]="", tblPiNHistorical[[#This Row],[CP New]]=0), "", tblPiNHistorical[[#This Row],[CP New]]-tblPiNHistorical[[#This Row],[CP Old ]])</f>
        <v/>
      </c>
      <c r="AM648" s="83" t="str">
        <f>IF(OR(tblPiNHistorical[[#This Row],[GBV Old]]="", tblPiNHistorical[[#This Row],[GBV Old]]=0, tblPiNHistorical[[#This Row],[GBV New]]="", tblPiNHistorical[[#This Row],[GBV New]]=0), "", tblPiNHistorical[[#This Row],[GBV New]]-tblPiNHistorical[[#This Row],[GBV Old]])</f>
        <v/>
      </c>
      <c r="AN648" s="83" t="str">
        <f>IF(OR(tblPiNHistorical[[#This Row],[Mine Action Old]]="", tblPiNHistorical[[#This Row],[Mine Action Old]]=0, tblPiNHistorical[[#This Row],[Mine Action New]]="", tblPiNHistorical[[#This Row],[Mine Action New]]=0), "", tblPiNHistorical[[#This Row],[Mine Action New]]-tblPiNHistorical[[#This Row],[Mine Action Old]])</f>
        <v/>
      </c>
      <c r="AO648" s="136" t="str">
        <f>IF(OR(tblPiNHistorical[[#This Row],[Shelter NFI Old]]="", tblPiNHistorical[[#This Row],[Shelter NFI Old]]=0, tblPiNHistorical[[#This Row],[Shelter NFI New]]="", tblPiNHistorical[[#This Row],[Shelter NFI New]]=0), "", tblPiNHistorical[[#This Row],[Shelter NFI New]]-tblPiNHistorical[[#This Row],[Shelter NFI Old]])</f>
        <v/>
      </c>
      <c r="AP648" s="138" t="str">
        <f>IF(OR(tblPiNHistorical[[#This Row],[WASH Old]]="", tblPiNHistorical[[#This Row],[WASH Old]]=0, tblPiNHistorical[[#This Row],[WASH New]]="", tblPiNHistorical[[#This Row],[WASH New]]=0), "", tblPiNHistorical[[#This Row],[WASH New]]-tblPiNHistorical[[#This Row],[WASH Old]])</f>
        <v/>
      </c>
      <c r="AQ648" s="139" t="str">
        <f>IFERROR(ROUND((tblPiNHistorical[[#This Row],[Site Management - New]] - tblPiNHistorical[[#This Row],[Site Management - Old]])/tblPiNHistorical[[#This Row],[Site Management - Old]], 1), "")</f>
        <v/>
      </c>
      <c r="AR648" s="140" t="str">
        <f>IFERROR(ROUND((tblPiNHistorical[[#This Row],[Education New]]-tblPiNHistorical[[#This Row],[Education Old]])/tblPiNHistorical[[#This Row],[Education Old]], 1), "")</f>
        <v/>
      </c>
      <c r="AS648" s="141" t="str">
        <f>IFERROR(ROUND((tblPiNHistorical[[#This Row],[Food Security and Livlihoods New]]-tblPiNHistorical[[#This Row],[Food Security and Livlihoods Old]])/tblPiNHistorical[[#This Row],[Food Security and Livlihoods Old]], 1), "")</f>
        <v/>
      </c>
      <c r="AT648" s="142" t="str">
        <f>IFERROR(ROUND((tblPiNHistorical[[#This Row],[Health New]]-tblPiNHistorical[[#This Row],[Health Old]])/tblPiNHistorical[[#This Row],[Health Old]], 1), "")</f>
        <v/>
      </c>
      <c r="AU648" s="140" t="str">
        <f>IFERROR(ROUND((tblPiNHistorical[[#This Row],[Nutrition New]]-tblPiNHistorical[[#This Row],[Nutrition Old]])/tblPiNHistorical[[#This Row],[Nutrition Old]], 1), "")</f>
        <v/>
      </c>
      <c r="AV648" s="140" t="str">
        <f>IFERROR(ROUND((tblPiNHistorical[[#This Row],[Protection New]]-tblPiNHistorical[[#This Row],[Protection Old]])/tblPiNHistorical[[#This Row],[Protection Old]], 1), "")</f>
        <v/>
      </c>
      <c r="AW648" s="84" t="str">
        <f>IFERROR(ROUND((tblPiNHistorical[[#This Row],[CP New]]-tblPiNHistorical[[#This Row],[CP Old ]])/tblPiNHistorical[[#This Row],[CP Old ]], 1), "")</f>
        <v/>
      </c>
      <c r="AX648" s="84" t="str">
        <f>IFERROR(ROUND((tblPiNHistorical[[#This Row],[GBV New]]-tblPiNHistorical[[#This Row],[GBV Old]])/tblPiNHistorical[[#This Row],[GBV Old]], 1), "")</f>
        <v/>
      </c>
      <c r="AY648" s="84" t="str">
        <f>IFERROR(ROUND((tblPiNHistorical[[#This Row],[Mine Action New]]-tblPiNHistorical[[#This Row],[Mine Action Old]])/tblPiNHistorical[[#This Row],[Mine Action Old]], 1), "")</f>
        <v/>
      </c>
      <c r="AZ648" s="140" t="str">
        <f>IFERROR(ROUND((tblPiNHistorical[[#This Row],[Shelter NFI New]]-tblPiNHistorical[[#This Row],[Shelter NFI Old]])/tblPiNHistorical[[#This Row],[Shelter NFI Old]], 1), "")</f>
        <v/>
      </c>
      <c r="BA648" s="31" t="str">
        <f>IFERROR(ROUND((tblPiNHistorical[[#This Row],[WASH New]]-tblPiNHistorical[[#This Row],[WASH Old]])/tblPiNHistorical[[#This Row],[WASH Old]], 1), "")</f>
        <v/>
      </c>
    </row>
    <row r="649" spans="1:53" ht="38.25" x14ac:dyDescent="0.25">
      <c r="A649"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Non-displaced PopulationSD02128</v>
      </c>
      <c r="B649" s="134" t="s">
        <v>167</v>
      </c>
      <c r="C649" s="124" t="s">
        <v>119</v>
      </c>
      <c r="D649" s="124" t="s">
        <v>215</v>
      </c>
      <c r="E649" s="59" t="s">
        <v>214</v>
      </c>
      <c r="F649" s="54"/>
      <c r="G649" s="29"/>
      <c r="H649" s="53">
        <v>92303.2</v>
      </c>
      <c r="I649" s="53" t="s">
        <v>89</v>
      </c>
      <c r="J649" s="34">
        <v>0</v>
      </c>
      <c r="K649" s="116">
        <v>35785.950639999995</v>
      </c>
      <c r="L649" s="114">
        <v>41536.44</v>
      </c>
      <c r="M649" s="114">
        <v>15000</v>
      </c>
      <c r="N649" s="114">
        <v>15528</v>
      </c>
      <c r="O649" s="114">
        <v>13845.48</v>
      </c>
      <c r="P649" s="114">
        <v>10153</v>
      </c>
      <c r="Q649" s="114">
        <v>9742</v>
      </c>
      <c r="R649" s="114">
        <v>13845.48</v>
      </c>
      <c r="S649" s="114">
        <v>18461</v>
      </c>
      <c r="T649" s="196">
        <v>56166.497199999998</v>
      </c>
      <c r="U649" s="52" t="str">
        <f>IFERROR(INDEX(tblPiNAnalysis[[Site Management ]], MATCH(tblPiNHistorical[[#This Row],[ID]], tblPiNAnalysis[ID], 0)), "")</f>
        <v/>
      </c>
      <c r="V649" s="52" t="str">
        <f>IFERROR(INDEX(tblPiNAnalysis[Education], MATCH(tblPiNHistorical[[#This Row],[ID]], tblPiNAnalysis[ID], 0)), "")</f>
        <v/>
      </c>
      <c r="W649" s="28" t="str">
        <f>IFERROR(INDEX(tblPiNAnalysis[Food Security and Livlihoods], MATCH(tblPiNHistorical[[#This Row],[ID]], tblPiNAnalysis[ID], 0)), "")</f>
        <v/>
      </c>
      <c r="X649" s="28" t="str">
        <f>IFERROR(INDEX(tblPiNAnalysis[[Health ]], MATCH(tblPiNHistorical[[#This Row],[ID]], tblPiNAnalysis[ID], 0)), "")</f>
        <v/>
      </c>
      <c r="Y649" s="28" t="str">
        <f>IFERROR(INDEX(tblPiNAnalysis[Nutrition], MATCH(tblPiNHistorical[[#This Row],[ID]], tblPiNAnalysis[ID], 0)), "")</f>
        <v/>
      </c>
      <c r="Z649" s="28" t="str">
        <f>IFERROR(INDEX(tblPiNAnalysis[Protection], MATCH(tblPiNHistorical[[#This Row],[ID]], tblPiNAnalysis[ID], 0)), "")</f>
        <v/>
      </c>
      <c r="AA649" s="28" t="str">
        <f>IFERROR(INDEX(tblPiNAnalysis[CP], MATCH(tblPiNHistorical[[#This Row],[ID]], tblPiNAnalysis[ID], 0)), "")</f>
        <v/>
      </c>
      <c r="AB649" s="83" t="str">
        <f>IFERROR(INDEX(tblPiNAnalysis[GBV], MATCH(tblPiNHistorical[[#This Row],[ID]], tblPiNAnalysis[ID], 0)), "")</f>
        <v/>
      </c>
      <c r="AC649" s="28" t="str">
        <f>IFERROR(INDEX(tblPiNAnalysis[Mine Action], MATCH(tblPiNHistorical[[#This Row],[ID]], tblPiNAnalysis[ID], 0)), "")</f>
        <v/>
      </c>
      <c r="AD649" s="83" t="str">
        <f>IFERROR(INDEX(tblPiNAnalysis[[Shelter NFI ]], MATCH(tblPiNHistorical[[#This Row],[ID]], tblPiNAnalysis[ID], 0)), "")</f>
        <v/>
      </c>
      <c r="AE649" s="28" t="str">
        <f>IFERROR(INDEX(tblPiNAnalysis[WASH], MATCH(tblPiNHistorical[[#This Row],[ID]], tblPiNAnalysis[ID], 0)), "")</f>
        <v/>
      </c>
      <c r="AF649"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649" s="136" t="str">
        <f>IF(OR(tblPiNHistorical[[#This Row],[Education Old]]="", tblPiNHistorical[[#This Row],[Education Old]]=0, tblPiNHistorical[[#This Row],[Education New]]="", tblPiNHistorical[[#This Row],[Education New]]=0), "", tblPiNHistorical[[#This Row],[Education New]]-tblPiNHistorical[[#This Row],[Education Old]])</f>
        <v/>
      </c>
      <c r="AH649"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649" s="137" t="str">
        <f>IF(OR(tblPiNHistorical[[#This Row],[Health Old]]="", tblPiNHistorical[[#This Row],[Health Old]]=0, tblPiNHistorical[[#This Row],[Health New]]="", tblPiNHistorical[[#This Row],[Health New]]=0), "", tblPiNHistorical[[#This Row],[Health New]]-tblPiNHistorical[[#This Row],[Health Old]])</f>
        <v/>
      </c>
      <c r="AJ649" s="136" t="str">
        <f>IF(OR(tblPiNHistorical[[#This Row],[Nutrition Old]]="", tblPiNHistorical[[#This Row],[Nutrition Old]]=0, tblPiNHistorical[[#This Row],[Nutrition New]]="", tblPiNHistorical[[#This Row],[Nutrition New]]=0), "", tblPiNHistorical[[#This Row],[Nutrition New]]-tblPiNHistorical[[#This Row],[Nutrition Old]])</f>
        <v/>
      </c>
      <c r="AK649" s="136" t="str">
        <f>IF(OR(tblPiNHistorical[[#This Row],[Protection Old]]="", tblPiNHistorical[[#This Row],[Protection Old]]=0, tblPiNHistorical[[#This Row],[Protection New]]="", tblPiNHistorical[[#This Row],[Protection New]]=0), "", tblPiNHistorical[[#This Row],[Protection New]]-tblPiNHistorical[[#This Row],[Protection Old]])</f>
        <v/>
      </c>
      <c r="AL649" s="136" t="str">
        <f>IF(OR(tblPiNHistorical[[#This Row],[CP Old ]]="", tblPiNHistorical[[#This Row],[CP Old ]]=0, tblPiNHistorical[[#This Row],[CP New]]="", tblPiNHistorical[[#This Row],[CP New]]=0), "", tblPiNHistorical[[#This Row],[CP New]]-tblPiNHistorical[[#This Row],[CP Old ]])</f>
        <v/>
      </c>
      <c r="AM649" s="83" t="str">
        <f>IF(OR(tblPiNHistorical[[#This Row],[GBV Old]]="", tblPiNHistorical[[#This Row],[GBV Old]]=0, tblPiNHistorical[[#This Row],[GBV New]]="", tblPiNHistorical[[#This Row],[GBV New]]=0), "", tblPiNHistorical[[#This Row],[GBV New]]-tblPiNHistorical[[#This Row],[GBV Old]])</f>
        <v/>
      </c>
      <c r="AN649" s="83" t="str">
        <f>IF(OR(tblPiNHistorical[[#This Row],[Mine Action Old]]="", tblPiNHistorical[[#This Row],[Mine Action Old]]=0, tblPiNHistorical[[#This Row],[Mine Action New]]="", tblPiNHistorical[[#This Row],[Mine Action New]]=0), "", tblPiNHistorical[[#This Row],[Mine Action New]]-tblPiNHistorical[[#This Row],[Mine Action Old]])</f>
        <v/>
      </c>
      <c r="AO649" s="136" t="str">
        <f>IF(OR(tblPiNHistorical[[#This Row],[Shelter NFI Old]]="", tblPiNHistorical[[#This Row],[Shelter NFI Old]]=0, tblPiNHistorical[[#This Row],[Shelter NFI New]]="", tblPiNHistorical[[#This Row],[Shelter NFI New]]=0), "", tblPiNHistorical[[#This Row],[Shelter NFI New]]-tblPiNHistorical[[#This Row],[Shelter NFI Old]])</f>
        <v/>
      </c>
      <c r="AP649" s="138" t="str">
        <f>IF(OR(tblPiNHistorical[[#This Row],[WASH Old]]="", tblPiNHistorical[[#This Row],[WASH Old]]=0, tblPiNHistorical[[#This Row],[WASH New]]="", tblPiNHistorical[[#This Row],[WASH New]]=0), "", tblPiNHistorical[[#This Row],[WASH New]]-tblPiNHistorical[[#This Row],[WASH Old]])</f>
        <v/>
      </c>
      <c r="AQ649" s="139" t="str">
        <f>IFERROR(ROUND((tblPiNHistorical[[#This Row],[Site Management - New]] - tblPiNHistorical[[#This Row],[Site Management - Old]])/tblPiNHistorical[[#This Row],[Site Management - Old]], 1), "")</f>
        <v/>
      </c>
      <c r="AR649" s="140" t="str">
        <f>IFERROR(ROUND((tblPiNHistorical[[#This Row],[Education New]]-tblPiNHistorical[[#This Row],[Education Old]])/tblPiNHistorical[[#This Row],[Education Old]], 1), "")</f>
        <v/>
      </c>
      <c r="AS649" s="141" t="str">
        <f>IFERROR(ROUND((tblPiNHistorical[[#This Row],[Food Security and Livlihoods New]]-tblPiNHistorical[[#This Row],[Food Security and Livlihoods Old]])/tblPiNHistorical[[#This Row],[Food Security and Livlihoods Old]], 1), "")</f>
        <v/>
      </c>
      <c r="AT649" s="142" t="str">
        <f>IFERROR(ROUND((tblPiNHistorical[[#This Row],[Health New]]-tblPiNHistorical[[#This Row],[Health Old]])/tblPiNHistorical[[#This Row],[Health Old]], 1), "")</f>
        <v/>
      </c>
      <c r="AU649" s="140" t="str">
        <f>IFERROR(ROUND((tblPiNHistorical[[#This Row],[Nutrition New]]-tblPiNHistorical[[#This Row],[Nutrition Old]])/tblPiNHistorical[[#This Row],[Nutrition Old]], 1), "")</f>
        <v/>
      </c>
      <c r="AV649" s="140" t="str">
        <f>IFERROR(ROUND((tblPiNHistorical[[#This Row],[Protection New]]-tblPiNHistorical[[#This Row],[Protection Old]])/tblPiNHistorical[[#This Row],[Protection Old]], 1), "")</f>
        <v/>
      </c>
      <c r="AW649" s="84" t="str">
        <f>IFERROR(ROUND((tblPiNHistorical[[#This Row],[CP New]]-tblPiNHistorical[[#This Row],[CP Old ]])/tblPiNHistorical[[#This Row],[CP Old ]], 1), "")</f>
        <v/>
      </c>
      <c r="AX649" s="84" t="str">
        <f>IFERROR(ROUND((tblPiNHistorical[[#This Row],[GBV New]]-tblPiNHistorical[[#This Row],[GBV Old]])/tblPiNHistorical[[#This Row],[GBV Old]], 1), "")</f>
        <v/>
      </c>
      <c r="AY649" s="84" t="str">
        <f>IFERROR(ROUND((tblPiNHistorical[[#This Row],[Mine Action New]]-tblPiNHistorical[[#This Row],[Mine Action Old]])/tblPiNHistorical[[#This Row],[Mine Action Old]], 1), "")</f>
        <v/>
      </c>
      <c r="AZ649" s="140" t="str">
        <f>IFERROR(ROUND((tblPiNHistorical[[#This Row],[Shelter NFI New]]-tblPiNHistorical[[#This Row],[Shelter NFI Old]])/tblPiNHistorical[[#This Row],[Shelter NFI Old]], 1), "")</f>
        <v/>
      </c>
      <c r="BA649" s="31" t="str">
        <f>IFERROR(ROUND((tblPiNHistorical[[#This Row],[WASH New]]-tblPiNHistorical[[#This Row],[WASH Old]])/tblPiNHistorical[[#This Row],[WASH Old]], 1), "")</f>
        <v/>
      </c>
    </row>
    <row r="650" spans="1:53" ht="38.25" x14ac:dyDescent="0.25">
      <c r="A650"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Non-displaced PopulationSD02129</v>
      </c>
      <c r="B650" s="134" t="s">
        <v>167</v>
      </c>
      <c r="C650" s="124" t="s">
        <v>119</v>
      </c>
      <c r="D650" s="124" t="s">
        <v>217</v>
      </c>
      <c r="E650" s="59" t="s">
        <v>216</v>
      </c>
      <c r="F650" s="54"/>
      <c r="G650" s="29"/>
      <c r="H650" s="53">
        <v>48721</v>
      </c>
      <c r="I650" s="53" t="s">
        <v>89</v>
      </c>
      <c r="J650" s="34">
        <v>0</v>
      </c>
      <c r="K650" s="116">
        <v>18889.131699999998</v>
      </c>
      <c r="L650" s="114">
        <v>19488.400000000001</v>
      </c>
      <c r="M650" s="114">
        <v>0</v>
      </c>
      <c r="N650" s="114">
        <v>22668</v>
      </c>
      <c r="O650" s="114">
        <v>19488.400000000001</v>
      </c>
      <c r="P650" s="114">
        <v>5359</v>
      </c>
      <c r="Q650" s="114">
        <v>3857</v>
      </c>
      <c r="R650" s="114">
        <v>19488.400000000001</v>
      </c>
      <c r="S650" s="114">
        <v>9744</v>
      </c>
      <c r="T650" s="196">
        <v>36131.493600000002</v>
      </c>
      <c r="U650" s="52" t="str">
        <f>IFERROR(INDEX(tblPiNAnalysis[[Site Management ]], MATCH(tblPiNHistorical[[#This Row],[ID]], tblPiNAnalysis[ID], 0)), "")</f>
        <v/>
      </c>
      <c r="V650" s="52" t="str">
        <f>IFERROR(INDEX(tblPiNAnalysis[Education], MATCH(tblPiNHistorical[[#This Row],[ID]], tblPiNAnalysis[ID], 0)), "")</f>
        <v/>
      </c>
      <c r="W650" s="28" t="str">
        <f>IFERROR(INDEX(tblPiNAnalysis[Food Security and Livlihoods], MATCH(tblPiNHistorical[[#This Row],[ID]], tblPiNAnalysis[ID], 0)), "")</f>
        <v/>
      </c>
      <c r="X650" s="28" t="str">
        <f>IFERROR(INDEX(tblPiNAnalysis[[Health ]], MATCH(tblPiNHistorical[[#This Row],[ID]], tblPiNAnalysis[ID], 0)), "")</f>
        <v/>
      </c>
      <c r="Y650" s="28" t="str">
        <f>IFERROR(INDEX(tblPiNAnalysis[Nutrition], MATCH(tblPiNHistorical[[#This Row],[ID]], tblPiNAnalysis[ID], 0)), "")</f>
        <v/>
      </c>
      <c r="Z650" s="28" t="str">
        <f>IFERROR(INDEX(tblPiNAnalysis[Protection], MATCH(tblPiNHistorical[[#This Row],[ID]], tblPiNAnalysis[ID], 0)), "")</f>
        <v/>
      </c>
      <c r="AA650" s="28" t="str">
        <f>IFERROR(INDEX(tblPiNAnalysis[CP], MATCH(tblPiNHistorical[[#This Row],[ID]], tblPiNAnalysis[ID], 0)), "")</f>
        <v/>
      </c>
      <c r="AB650" s="83" t="str">
        <f>IFERROR(INDEX(tblPiNAnalysis[GBV], MATCH(tblPiNHistorical[[#This Row],[ID]], tblPiNAnalysis[ID], 0)), "")</f>
        <v/>
      </c>
      <c r="AC650" s="28" t="str">
        <f>IFERROR(INDEX(tblPiNAnalysis[Mine Action], MATCH(tblPiNHistorical[[#This Row],[ID]], tblPiNAnalysis[ID], 0)), "")</f>
        <v/>
      </c>
      <c r="AD650" s="83" t="str">
        <f>IFERROR(INDEX(tblPiNAnalysis[[Shelter NFI ]], MATCH(tblPiNHistorical[[#This Row],[ID]], tblPiNAnalysis[ID], 0)), "")</f>
        <v/>
      </c>
      <c r="AE650" s="28" t="str">
        <f>IFERROR(INDEX(tblPiNAnalysis[WASH], MATCH(tblPiNHistorical[[#This Row],[ID]], tblPiNAnalysis[ID], 0)), "")</f>
        <v/>
      </c>
      <c r="AF650"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650" s="136" t="str">
        <f>IF(OR(tblPiNHistorical[[#This Row],[Education Old]]="", tblPiNHistorical[[#This Row],[Education Old]]=0, tblPiNHistorical[[#This Row],[Education New]]="", tblPiNHistorical[[#This Row],[Education New]]=0), "", tblPiNHistorical[[#This Row],[Education New]]-tblPiNHistorical[[#This Row],[Education Old]])</f>
        <v/>
      </c>
      <c r="AH650"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650" s="137" t="str">
        <f>IF(OR(tblPiNHistorical[[#This Row],[Health Old]]="", tblPiNHistorical[[#This Row],[Health Old]]=0, tblPiNHistorical[[#This Row],[Health New]]="", tblPiNHistorical[[#This Row],[Health New]]=0), "", tblPiNHistorical[[#This Row],[Health New]]-tblPiNHistorical[[#This Row],[Health Old]])</f>
        <v/>
      </c>
      <c r="AJ650" s="136" t="str">
        <f>IF(OR(tblPiNHistorical[[#This Row],[Nutrition Old]]="", tblPiNHistorical[[#This Row],[Nutrition Old]]=0, tblPiNHistorical[[#This Row],[Nutrition New]]="", tblPiNHistorical[[#This Row],[Nutrition New]]=0), "", tblPiNHistorical[[#This Row],[Nutrition New]]-tblPiNHistorical[[#This Row],[Nutrition Old]])</f>
        <v/>
      </c>
      <c r="AK650" s="136" t="str">
        <f>IF(OR(tblPiNHistorical[[#This Row],[Protection Old]]="", tblPiNHistorical[[#This Row],[Protection Old]]=0, tblPiNHistorical[[#This Row],[Protection New]]="", tblPiNHistorical[[#This Row],[Protection New]]=0), "", tblPiNHistorical[[#This Row],[Protection New]]-tblPiNHistorical[[#This Row],[Protection Old]])</f>
        <v/>
      </c>
      <c r="AL650" s="136" t="str">
        <f>IF(OR(tblPiNHistorical[[#This Row],[CP Old ]]="", tblPiNHistorical[[#This Row],[CP Old ]]=0, tblPiNHistorical[[#This Row],[CP New]]="", tblPiNHistorical[[#This Row],[CP New]]=0), "", tblPiNHistorical[[#This Row],[CP New]]-tblPiNHistorical[[#This Row],[CP Old ]])</f>
        <v/>
      </c>
      <c r="AM650" s="83" t="str">
        <f>IF(OR(tblPiNHistorical[[#This Row],[GBV Old]]="", tblPiNHistorical[[#This Row],[GBV Old]]=0, tblPiNHistorical[[#This Row],[GBV New]]="", tblPiNHistorical[[#This Row],[GBV New]]=0), "", tblPiNHistorical[[#This Row],[GBV New]]-tblPiNHistorical[[#This Row],[GBV Old]])</f>
        <v/>
      </c>
      <c r="AN650" s="83" t="str">
        <f>IF(OR(tblPiNHistorical[[#This Row],[Mine Action Old]]="", tblPiNHistorical[[#This Row],[Mine Action Old]]=0, tblPiNHistorical[[#This Row],[Mine Action New]]="", tblPiNHistorical[[#This Row],[Mine Action New]]=0), "", tblPiNHistorical[[#This Row],[Mine Action New]]-tblPiNHistorical[[#This Row],[Mine Action Old]])</f>
        <v/>
      </c>
      <c r="AO650" s="136" t="str">
        <f>IF(OR(tblPiNHistorical[[#This Row],[Shelter NFI Old]]="", tblPiNHistorical[[#This Row],[Shelter NFI Old]]=0, tblPiNHistorical[[#This Row],[Shelter NFI New]]="", tblPiNHistorical[[#This Row],[Shelter NFI New]]=0), "", tblPiNHistorical[[#This Row],[Shelter NFI New]]-tblPiNHistorical[[#This Row],[Shelter NFI Old]])</f>
        <v/>
      </c>
      <c r="AP650" s="138" t="str">
        <f>IF(OR(tblPiNHistorical[[#This Row],[WASH Old]]="", tblPiNHistorical[[#This Row],[WASH Old]]=0, tblPiNHistorical[[#This Row],[WASH New]]="", tblPiNHistorical[[#This Row],[WASH New]]=0), "", tblPiNHistorical[[#This Row],[WASH New]]-tblPiNHistorical[[#This Row],[WASH Old]])</f>
        <v/>
      </c>
      <c r="AQ650" s="139" t="str">
        <f>IFERROR(ROUND((tblPiNHistorical[[#This Row],[Site Management - New]] - tblPiNHistorical[[#This Row],[Site Management - Old]])/tblPiNHistorical[[#This Row],[Site Management - Old]], 1), "")</f>
        <v/>
      </c>
      <c r="AR650" s="140" t="str">
        <f>IFERROR(ROUND((tblPiNHistorical[[#This Row],[Education New]]-tblPiNHistorical[[#This Row],[Education Old]])/tblPiNHistorical[[#This Row],[Education Old]], 1), "")</f>
        <v/>
      </c>
      <c r="AS650" s="141" t="str">
        <f>IFERROR(ROUND((tblPiNHistorical[[#This Row],[Food Security and Livlihoods New]]-tblPiNHistorical[[#This Row],[Food Security and Livlihoods Old]])/tblPiNHistorical[[#This Row],[Food Security and Livlihoods Old]], 1), "")</f>
        <v/>
      </c>
      <c r="AT650" s="142" t="str">
        <f>IFERROR(ROUND((tblPiNHistorical[[#This Row],[Health New]]-tblPiNHistorical[[#This Row],[Health Old]])/tblPiNHistorical[[#This Row],[Health Old]], 1), "")</f>
        <v/>
      </c>
      <c r="AU650" s="140" t="str">
        <f>IFERROR(ROUND((tblPiNHistorical[[#This Row],[Nutrition New]]-tblPiNHistorical[[#This Row],[Nutrition Old]])/tblPiNHistorical[[#This Row],[Nutrition Old]], 1), "")</f>
        <v/>
      </c>
      <c r="AV650" s="140" t="str">
        <f>IFERROR(ROUND((tblPiNHistorical[[#This Row],[Protection New]]-tblPiNHistorical[[#This Row],[Protection Old]])/tblPiNHistorical[[#This Row],[Protection Old]], 1), "")</f>
        <v/>
      </c>
      <c r="AW650" s="84" t="str">
        <f>IFERROR(ROUND((tblPiNHistorical[[#This Row],[CP New]]-tblPiNHistorical[[#This Row],[CP Old ]])/tblPiNHistorical[[#This Row],[CP Old ]], 1), "")</f>
        <v/>
      </c>
      <c r="AX650" s="84" t="str">
        <f>IFERROR(ROUND((tblPiNHistorical[[#This Row],[GBV New]]-tblPiNHistorical[[#This Row],[GBV Old]])/tblPiNHistorical[[#This Row],[GBV Old]], 1), "")</f>
        <v/>
      </c>
      <c r="AY650" s="84" t="str">
        <f>IFERROR(ROUND((tblPiNHistorical[[#This Row],[Mine Action New]]-tblPiNHistorical[[#This Row],[Mine Action Old]])/tblPiNHistorical[[#This Row],[Mine Action Old]], 1), "")</f>
        <v/>
      </c>
      <c r="AZ650" s="140" t="str">
        <f>IFERROR(ROUND((tblPiNHistorical[[#This Row],[Shelter NFI New]]-tblPiNHistorical[[#This Row],[Shelter NFI Old]])/tblPiNHistorical[[#This Row],[Shelter NFI Old]], 1), "")</f>
        <v/>
      </c>
      <c r="BA650" s="31" t="str">
        <f>IFERROR(ROUND((tblPiNHistorical[[#This Row],[WASH New]]-tblPiNHistorical[[#This Row],[WASH Old]])/tblPiNHistorical[[#This Row],[WASH Old]], 1), "")</f>
        <v/>
      </c>
    </row>
    <row r="651" spans="1:53" ht="38.25" x14ac:dyDescent="0.25">
      <c r="A651"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Non-displaced PopulationSD02133</v>
      </c>
      <c r="B651" s="134" t="s">
        <v>167</v>
      </c>
      <c r="C651" s="124" t="s">
        <v>119</v>
      </c>
      <c r="D651" s="124" t="s">
        <v>219</v>
      </c>
      <c r="E651" s="59" t="s">
        <v>218</v>
      </c>
      <c r="F651" s="54"/>
      <c r="G651" s="29"/>
      <c r="H651" s="53">
        <v>0</v>
      </c>
      <c r="I651" s="53" t="s">
        <v>89</v>
      </c>
      <c r="J651" s="34">
        <v>0</v>
      </c>
      <c r="K651" s="116">
        <v>0</v>
      </c>
      <c r="L651" s="114">
        <v>0</v>
      </c>
      <c r="M651" s="114">
        <v>0</v>
      </c>
      <c r="N651" s="114">
        <v>1551</v>
      </c>
      <c r="O651" s="114">
        <v>0</v>
      </c>
      <c r="P651" s="114">
        <v>0</v>
      </c>
      <c r="Q651" s="114">
        <v>0</v>
      </c>
      <c r="R651" s="114">
        <v>0</v>
      </c>
      <c r="S651" s="114">
        <v>0</v>
      </c>
      <c r="T651" s="196">
        <v>0</v>
      </c>
      <c r="U651" s="52" t="str">
        <f>IFERROR(INDEX(tblPiNAnalysis[[Site Management ]], MATCH(tblPiNHistorical[[#This Row],[ID]], tblPiNAnalysis[ID], 0)), "")</f>
        <v/>
      </c>
      <c r="V651" s="52" t="str">
        <f>IFERROR(INDEX(tblPiNAnalysis[Education], MATCH(tblPiNHistorical[[#This Row],[ID]], tblPiNAnalysis[ID], 0)), "")</f>
        <v/>
      </c>
      <c r="W651" s="28" t="str">
        <f>IFERROR(INDEX(tblPiNAnalysis[Food Security and Livlihoods], MATCH(tblPiNHistorical[[#This Row],[ID]], tblPiNAnalysis[ID], 0)), "")</f>
        <v/>
      </c>
      <c r="X651" s="28" t="str">
        <f>IFERROR(INDEX(tblPiNAnalysis[[Health ]], MATCH(tblPiNHistorical[[#This Row],[ID]], tblPiNAnalysis[ID], 0)), "")</f>
        <v/>
      </c>
      <c r="Y651" s="28" t="str">
        <f>IFERROR(INDEX(tblPiNAnalysis[Nutrition], MATCH(tblPiNHistorical[[#This Row],[ID]], tblPiNAnalysis[ID], 0)), "")</f>
        <v/>
      </c>
      <c r="Z651" s="28" t="str">
        <f>IFERROR(INDEX(tblPiNAnalysis[Protection], MATCH(tblPiNHistorical[[#This Row],[ID]], tblPiNAnalysis[ID], 0)), "")</f>
        <v/>
      </c>
      <c r="AA651" s="28" t="str">
        <f>IFERROR(INDEX(tblPiNAnalysis[CP], MATCH(tblPiNHistorical[[#This Row],[ID]], tblPiNAnalysis[ID], 0)), "")</f>
        <v/>
      </c>
      <c r="AB651" s="83" t="str">
        <f>IFERROR(INDEX(tblPiNAnalysis[GBV], MATCH(tblPiNHistorical[[#This Row],[ID]], tblPiNAnalysis[ID], 0)), "")</f>
        <v/>
      </c>
      <c r="AC651" s="28" t="str">
        <f>IFERROR(INDEX(tblPiNAnalysis[Mine Action], MATCH(tblPiNHistorical[[#This Row],[ID]], tblPiNAnalysis[ID], 0)), "")</f>
        <v/>
      </c>
      <c r="AD651" s="83" t="str">
        <f>IFERROR(INDEX(tblPiNAnalysis[[Shelter NFI ]], MATCH(tblPiNHistorical[[#This Row],[ID]], tblPiNAnalysis[ID], 0)), "")</f>
        <v/>
      </c>
      <c r="AE651" s="28" t="str">
        <f>IFERROR(INDEX(tblPiNAnalysis[WASH], MATCH(tblPiNHistorical[[#This Row],[ID]], tblPiNAnalysis[ID], 0)), "")</f>
        <v/>
      </c>
      <c r="AF651"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651" s="136" t="str">
        <f>IF(OR(tblPiNHistorical[[#This Row],[Education Old]]="", tblPiNHistorical[[#This Row],[Education Old]]=0, tblPiNHistorical[[#This Row],[Education New]]="", tblPiNHistorical[[#This Row],[Education New]]=0), "", tblPiNHistorical[[#This Row],[Education New]]-tblPiNHistorical[[#This Row],[Education Old]])</f>
        <v/>
      </c>
      <c r="AH651"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651" s="137" t="str">
        <f>IF(OR(tblPiNHistorical[[#This Row],[Health Old]]="", tblPiNHistorical[[#This Row],[Health Old]]=0, tblPiNHistorical[[#This Row],[Health New]]="", tblPiNHistorical[[#This Row],[Health New]]=0), "", tblPiNHistorical[[#This Row],[Health New]]-tblPiNHistorical[[#This Row],[Health Old]])</f>
        <v/>
      </c>
      <c r="AJ651" s="136" t="str">
        <f>IF(OR(tblPiNHistorical[[#This Row],[Nutrition Old]]="", tblPiNHistorical[[#This Row],[Nutrition Old]]=0, tblPiNHistorical[[#This Row],[Nutrition New]]="", tblPiNHistorical[[#This Row],[Nutrition New]]=0), "", tblPiNHistorical[[#This Row],[Nutrition New]]-tblPiNHistorical[[#This Row],[Nutrition Old]])</f>
        <v/>
      </c>
      <c r="AK651" s="136" t="str">
        <f>IF(OR(tblPiNHistorical[[#This Row],[Protection Old]]="", tblPiNHistorical[[#This Row],[Protection Old]]=0, tblPiNHistorical[[#This Row],[Protection New]]="", tblPiNHistorical[[#This Row],[Protection New]]=0), "", tblPiNHistorical[[#This Row],[Protection New]]-tblPiNHistorical[[#This Row],[Protection Old]])</f>
        <v/>
      </c>
      <c r="AL651" s="136" t="str">
        <f>IF(OR(tblPiNHistorical[[#This Row],[CP Old ]]="", tblPiNHistorical[[#This Row],[CP Old ]]=0, tblPiNHistorical[[#This Row],[CP New]]="", tblPiNHistorical[[#This Row],[CP New]]=0), "", tblPiNHistorical[[#This Row],[CP New]]-tblPiNHistorical[[#This Row],[CP Old ]])</f>
        <v/>
      </c>
      <c r="AM651" s="83" t="str">
        <f>IF(OR(tblPiNHistorical[[#This Row],[GBV Old]]="", tblPiNHistorical[[#This Row],[GBV Old]]=0, tblPiNHistorical[[#This Row],[GBV New]]="", tblPiNHistorical[[#This Row],[GBV New]]=0), "", tblPiNHistorical[[#This Row],[GBV New]]-tblPiNHistorical[[#This Row],[GBV Old]])</f>
        <v/>
      </c>
      <c r="AN651" s="83" t="str">
        <f>IF(OR(tblPiNHistorical[[#This Row],[Mine Action Old]]="", tblPiNHistorical[[#This Row],[Mine Action Old]]=0, tblPiNHistorical[[#This Row],[Mine Action New]]="", tblPiNHistorical[[#This Row],[Mine Action New]]=0), "", tblPiNHistorical[[#This Row],[Mine Action New]]-tblPiNHistorical[[#This Row],[Mine Action Old]])</f>
        <v/>
      </c>
      <c r="AO651" s="136" t="str">
        <f>IF(OR(tblPiNHistorical[[#This Row],[Shelter NFI Old]]="", tblPiNHistorical[[#This Row],[Shelter NFI Old]]=0, tblPiNHistorical[[#This Row],[Shelter NFI New]]="", tblPiNHistorical[[#This Row],[Shelter NFI New]]=0), "", tblPiNHistorical[[#This Row],[Shelter NFI New]]-tblPiNHistorical[[#This Row],[Shelter NFI Old]])</f>
        <v/>
      </c>
      <c r="AP651" s="138" t="str">
        <f>IF(OR(tblPiNHistorical[[#This Row],[WASH Old]]="", tblPiNHistorical[[#This Row],[WASH Old]]=0, tblPiNHistorical[[#This Row],[WASH New]]="", tblPiNHistorical[[#This Row],[WASH New]]=0), "", tblPiNHistorical[[#This Row],[WASH New]]-tblPiNHistorical[[#This Row],[WASH Old]])</f>
        <v/>
      </c>
      <c r="AQ651" s="139" t="str">
        <f>IFERROR(ROUND((tblPiNHistorical[[#This Row],[Site Management - New]] - tblPiNHistorical[[#This Row],[Site Management - Old]])/tblPiNHistorical[[#This Row],[Site Management - Old]], 1), "")</f>
        <v/>
      </c>
      <c r="AR651" s="140" t="str">
        <f>IFERROR(ROUND((tblPiNHistorical[[#This Row],[Education New]]-tblPiNHistorical[[#This Row],[Education Old]])/tblPiNHistorical[[#This Row],[Education Old]], 1), "")</f>
        <v/>
      </c>
      <c r="AS651" s="141" t="str">
        <f>IFERROR(ROUND((tblPiNHistorical[[#This Row],[Food Security and Livlihoods New]]-tblPiNHistorical[[#This Row],[Food Security and Livlihoods Old]])/tblPiNHistorical[[#This Row],[Food Security and Livlihoods Old]], 1), "")</f>
        <v/>
      </c>
      <c r="AT651" s="142" t="str">
        <f>IFERROR(ROUND((tblPiNHistorical[[#This Row],[Health New]]-tblPiNHistorical[[#This Row],[Health Old]])/tblPiNHistorical[[#This Row],[Health Old]], 1), "")</f>
        <v/>
      </c>
      <c r="AU651" s="140" t="str">
        <f>IFERROR(ROUND((tblPiNHistorical[[#This Row],[Nutrition New]]-tblPiNHistorical[[#This Row],[Nutrition Old]])/tblPiNHistorical[[#This Row],[Nutrition Old]], 1), "")</f>
        <v/>
      </c>
      <c r="AV651" s="140" t="str">
        <f>IFERROR(ROUND((tblPiNHistorical[[#This Row],[Protection New]]-tblPiNHistorical[[#This Row],[Protection Old]])/tblPiNHistorical[[#This Row],[Protection Old]], 1), "")</f>
        <v/>
      </c>
      <c r="AW651" s="84" t="str">
        <f>IFERROR(ROUND((tblPiNHistorical[[#This Row],[CP New]]-tblPiNHistorical[[#This Row],[CP Old ]])/tblPiNHistorical[[#This Row],[CP Old ]], 1), "")</f>
        <v/>
      </c>
      <c r="AX651" s="84" t="str">
        <f>IFERROR(ROUND((tblPiNHistorical[[#This Row],[GBV New]]-tblPiNHistorical[[#This Row],[GBV Old]])/tblPiNHistorical[[#This Row],[GBV Old]], 1), "")</f>
        <v/>
      </c>
      <c r="AY651" s="84" t="str">
        <f>IFERROR(ROUND((tblPiNHistorical[[#This Row],[Mine Action New]]-tblPiNHistorical[[#This Row],[Mine Action Old]])/tblPiNHistorical[[#This Row],[Mine Action Old]], 1), "")</f>
        <v/>
      </c>
      <c r="AZ651" s="140" t="str">
        <f>IFERROR(ROUND((tblPiNHistorical[[#This Row],[Shelter NFI New]]-tblPiNHistorical[[#This Row],[Shelter NFI Old]])/tblPiNHistorical[[#This Row],[Shelter NFI Old]], 1), "")</f>
        <v/>
      </c>
      <c r="BA651" s="31" t="str">
        <f>IFERROR(ROUND((tblPiNHistorical[[#This Row],[WASH New]]-tblPiNHistorical[[#This Row],[WASH Old]])/tblPiNHistorical[[#This Row],[WASH Old]], 1), "")</f>
        <v/>
      </c>
    </row>
    <row r="652" spans="1:53" ht="38.25" x14ac:dyDescent="0.25">
      <c r="A652"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Non-displaced PopulationSD02170</v>
      </c>
      <c r="B652" s="134" t="s">
        <v>167</v>
      </c>
      <c r="C652" s="124" t="s">
        <v>119</v>
      </c>
      <c r="D652" s="124" t="s">
        <v>227</v>
      </c>
      <c r="E652" s="59" t="s">
        <v>226</v>
      </c>
      <c r="F652" s="54"/>
      <c r="G652" s="29"/>
      <c r="H652" s="53">
        <v>35187.800000000003</v>
      </c>
      <c r="I652" s="53" t="s">
        <v>89</v>
      </c>
      <c r="J652" s="34">
        <v>0</v>
      </c>
      <c r="K652" s="116">
        <v>13642.310060000002</v>
      </c>
      <c r="L652" s="114">
        <v>17593.900000000001</v>
      </c>
      <c r="M652" s="114">
        <v>0</v>
      </c>
      <c r="N652" s="114">
        <v>2581</v>
      </c>
      <c r="O652" s="114">
        <v>3870.6580000000013</v>
      </c>
      <c r="P652" s="114">
        <v>3871</v>
      </c>
      <c r="Q652" s="114">
        <v>2785</v>
      </c>
      <c r="R652" s="114">
        <v>3518.7800000000007</v>
      </c>
      <c r="S652" s="114">
        <v>7038</v>
      </c>
      <c r="T652" s="196">
        <v>29526.082980000003</v>
      </c>
      <c r="U652" s="52" t="str">
        <f>IFERROR(INDEX(tblPiNAnalysis[[Site Management ]], MATCH(tblPiNHistorical[[#This Row],[ID]], tblPiNAnalysis[ID], 0)), "")</f>
        <v/>
      </c>
      <c r="V652" s="52" t="str">
        <f>IFERROR(INDEX(tblPiNAnalysis[Education], MATCH(tblPiNHistorical[[#This Row],[ID]], tblPiNAnalysis[ID], 0)), "")</f>
        <v/>
      </c>
      <c r="W652" s="28" t="str">
        <f>IFERROR(INDEX(tblPiNAnalysis[Food Security and Livlihoods], MATCH(tblPiNHistorical[[#This Row],[ID]], tblPiNAnalysis[ID], 0)), "")</f>
        <v/>
      </c>
      <c r="X652" s="28" t="str">
        <f>IFERROR(INDEX(tblPiNAnalysis[[Health ]], MATCH(tblPiNHistorical[[#This Row],[ID]], tblPiNAnalysis[ID], 0)), "")</f>
        <v/>
      </c>
      <c r="Y652" s="28" t="str">
        <f>IFERROR(INDEX(tblPiNAnalysis[Nutrition], MATCH(tblPiNHistorical[[#This Row],[ID]], tblPiNAnalysis[ID], 0)), "")</f>
        <v/>
      </c>
      <c r="Z652" s="28" t="str">
        <f>IFERROR(INDEX(tblPiNAnalysis[Protection], MATCH(tblPiNHistorical[[#This Row],[ID]], tblPiNAnalysis[ID], 0)), "")</f>
        <v/>
      </c>
      <c r="AA652" s="28" t="str">
        <f>IFERROR(INDEX(tblPiNAnalysis[CP], MATCH(tblPiNHistorical[[#This Row],[ID]], tblPiNAnalysis[ID], 0)), "")</f>
        <v/>
      </c>
      <c r="AB652" s="83" t="str">
        <f>IFERROR(INDEX(tblPiNAnalysis[GBV], MATCH(tblPiNHistorical[[#This Row],[ID]], tblPiNAnalysis[ID], 0)), "")</f>
        <v/>
      </c>
      <c r="AC652" s="28" t="str">
        <f>IFERROR(INDEX(tblPiNAnalysis[Mine Action], MATCH(tblPiNHistorical[[#This Row],[ID]], tblPiNAnalysis[ID], 0)), "")</f>
        <v/>
      </c>
      <c r="AD652" s="83" t="str">
        <f>IFERROR(INDEX(tblPiNAnalysis[[Shelter NFI ]], MATCH(tblPiNHistorical[[#This Row],[ID]], tblPiNAnalysis[ID], 0)), "")</f>
        <v/>
      </c>
      <c r="AE652" s="28" t="str">
        <f>IFERROR(INDEX(tblPiNAnalysis[WASH], MATCH(tblPiNHistorical[[#This Row],[ID]], tblPiNAnalysis[ID], 0)), "")</f>
        <v/>
      </c>
      <c r="AF652"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652" s="136" t="str">
        <f>IF(OR(tblPiNHistorical[[#This Row],[Education Old]]="", tblPiNHistorical[[#This Row],[Education Old]]=0, tblPiNHistorical[[#This Row],[Education New]]="", tblPiNHistorical[[#This Row],[Education New]]=0), "", tblPiNHistorical[[#This Row],[Education New]]-tblPiNHistorical[[#This Row],[Education Old]])</f>
        <v/>
      </c>
      <c r="AH652"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652" s="137" t="str">
        <f>IF(OR(tblPiNHistorical[[#This Row],[Health Old]]="", tblPiNHistorical[[#This Row],[Health Old]]=0, tblPiNHistorical[[#This Row],[Health New]]="", tblPiNHistorical[[#This Row],[Health New]]=0), "", tblPiNHistorical[[#This Row],[Health New]]-tblPiNHistorical[[#This Row],[Health Old]])</f>
        <v/>
      </c>
      <c r="AJ652" s="136" t="str">
        <f>IF(OR(tblPiNHistorical[[#This Row],[Nutrition Old]]="", tblPiNHistorical[[#This Row],[Nutrition Old]]=0, tblPiNHistorical[[#This Row],[Nutrition New]]="", tblPiNHistorical[[#This Row],[Nutrition New]]=0), "", tblPiNHistorical[[#This Row],[Nutrition New]]-tblPiNHistorical[[#This Row],[Nutrition Old]])</f>
        <v/>
      </c>
      <c r="AK652" s="136" t="str">
        <f>IF(OR(tblPiNHistorical[[#This Row],[Protection Old]]="", tblPiNHistorical[[#This Row],[Protection Old]]=0, tblPiNHistorical[[#This Row],[Protection New]]="", tblPiNHistorical[[#This Row],[Protection New]]=0), "", tblPiNHistorical[[#This Row],[Protection New]]-tblPiNHistorical[[#This Row],[Protection Old]])</f>
        <v/>
      </c>
      <c r="AL652" s="136" t="str">
        <f>IF(OR(tblPiNHistorical[[#This Row],[CP Old ]]="", tblPiNHistorical[[#This Row],[CP Old ]]=0, tblPiNHistorical[[#This Row],[CP New]]="", tblPiNHistorical[[#This Row],[CP New]]=0), "", tblPiNHistorical[[#This Row],[CP New]]-tblPiNHistorical[[#This Row],[CP Old ]])</f>
        <v/>
      </c>
      <c r="AM652" s="83" t="str">
        <f>IF(OR(tblPiNHistorical[[#This Row],[GBV Old]]="", tblPiNHistorical[[#This Row],[GBV Old]]=0, tblPiNHistorical[[#This Row],[GBV New]]="", tblPiNHistorical[[#This Row],[GBV New]]=0), "", tblPiNHistorical[[#This Row],[GBV New]]-tblPiNHistorical[[#This Row],[GBV Old]])</f>
        <v/>
      </c>
      <c r="AN652" s="83" t="str">
        <f>IF(OR(tblPiNHistorical[[#This Row],[Mine Action Old]]="", tblPiNHistorical[[#This Row],[Mine Action Old]]=0, tblPiNHistorical[[#This Row],[Mine Action New]]="", tblPiNHistorical[[#This Row],[Mine Action New]]=0), "", tblPiNHistorical[[#This Row],[Mine Action New]]-tblPiNHistorical[[#This Row],[Mine Action Old]])</f>
        <v/>
      </c>
      <c r="AO652" s="136" t="str">
        <f>IF(OR(tblPiNHistorical[[#This Row],[Shelter NFI Old]]="", tblPiNHistorical[[#This Row],[Shelter NFI Old]]=0, tblPiNHistorical[[#This Row],[Shelter NFI New]]="", tblPiNHistorical[[#This Row],[Shelter NFI New]]=0), "", tblPiNHistorical[[#This Row],[Shelter NFI New]]-tblPiNHistorical[[#This Row],[Shelter NFI Old]])</f>
        <v/>
      </c>
      <c r="AP652" s="138" t="str">
        <f>IF(OR(tblPiNHistorical[[#This Row],[WASH Old]]="", tblPiNHistorical[[#This Row],[WASH Old]]=0, tblPiNHistorical[[#This Row],[WASH New]]="", tblPiNHistorical[[#This Row],[WASH New]]=0), "", tblPiNHistorical[[#This Row],[WASH New]]-tblPiNHistorical[[#This Row],[WASH Old]])</f>
        <v/>
      </c>
      <c r="AQ652" s="139" t="str">
        <f>IFERROR(ROUND((tblPiNHistorical[[#This Row],[Site Management - New]] - tblPiNHistorical[[#This Row],[Site Management - Old]])/tblPiNHistorical[[#This Row],[Site Management - Old]], 1), "")</f>
        <v/>
      </c>
      <c r="AR652" s="140" t="str">
        <f>IFERROR(ROUND((tblPiNHistorical[[#This Row],[Education New]]-tblPiNHistorical[[#This Row],[Education Old]])/tblPiNHistorical[[#This Row],[Education Old]], 1), "")</f>
        <v/>
      </c>
      <c r="AS652" s="141" t="str">
        <f>IFERROR(ROUND((tblPiNHistorical[[#This Row],[Food Security and Livlihoods New]]-tblPiNHistorical[[#This Row],[Food Security and Livlihoods Old]])/tblPiNHistorical[[#This Row],[Food Security and Livlihoods Old]], 1), "")</f>
        <v/>
      </c>
      <c r="AT652" s="142" t="str">
        <f>IFERROR(ROUND((tblPiNHistorical[[#This Row],[Health New]]-tblPiNHistorical[[#This Row],[Health Old]])/tblPiNHistorical[[#This Row],[Health Old]], 1), "")</f>
        <v/>
      </c>
      <c r="AU652" s="140" t="str">
        <f>IFERROR(ROUND((tblPiNHistorical[[#This Row],[Nutrition New]]-tblPiNHistorical[[#This Row],[Nutrition Old]])/tblPiNHistorical[[#This Row],[Nutrition Old]], 1), "")</f>
        <v/>
      </c>
      <c r="AV652" s="140" t="str">
        <f>IFERROR(ROUND((tblPiNHistorical[[#This Row],[Protection New]]-tblPiNHistorical[[#This Row],[Protection Old]])/tblPiNHistorical[[#This Row],[Protection Old]], 1), "")</f>
        <v/>
      </c>
      <c r="AW652" s="84" t="str">
        <f>IFERROR(ROUND((tblPiNHistorical[[#This Row],[CP New]]-tblPiNHistorical[[#This Row],[CP Old ]])/tblPiNHistorical[[#This Row],[CP Old ]], 1), "")</f>
        <v/>
      </c>
      <c r="AX652" s="84" t="str">
        <f>IFERROR(ROUND((tblPiNHistorical[[#This Row],[GBV New]]-tblPiNHistorical[[#This Row],[GBV Old]])/tblPiNHistorical[[#This Row],[GBV Old]], 1), "")</f>
        <v/>
      </c>
      <c r="AY652" s="84" t="str">
        <f>IFERROR(ROUND((tblPiNHistorical[[#This Row],[Mine Action New]]-tblPiNHistorical[[#This Row],[Mine Action Old]])/tblPiNHistorical[[#This Row],[Mine Action Old]], 1), "")</f>
        <v/>
      </c>
      <c r="AZ652" s="140" t="str">
        <f>IFERROR(ROUND((tblPiNHistorical[[#This Row],[Shelter NFI New]]-tblPiNHistorical[[#This Row],[Shelter NFI Old]])/tblPiNHistorical[[#This Row],[Shelter NFI Old]], 1), "")</f>
        <v/>
      </c>
      <c r="BA652" s="31" t="str">
        <f>IFERROR(ROUND((tblPiNHistorical[[#This Row],[WASH New]]-tblPiNHistorical[[#This Row],[WASH Old]])/tblPiNHistorical[[#This Row],[WASH Old]], 1), "")</f>
        <v/>
      </c>
    </row>
    <row r="653" spans="1:53" ht="38.25" x14ac:dyDescent="0.25">
      <c r="A653"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Non-displaced PopulationSD02120</v>
      </c>
      <c r="B653" s="134" t="s">
        <v>167</v>
      </c>
      <c r="C653" s="124" t="s">
        <v>119</v>
      </c>
      <c r="D653" s="124" t="s">
        <v>209</v>
      </c>
      <c r="E653" s="59" t="s">
        <v>208</v>
      </c>
      <c r="F653" s="54"/>
      <c r="G653" s="29"/>
      <c r="H653" s="53">
        <v>41009</v>
      </c>
      <c r="I653" s="53" t="s">
        <v>89</v>
      </c>
      <c r="J653" s="34">
        <v>0</v>
      </c>
      <c r="K653" s="116">
        <v>15899.1893</v>
      </c>
      <c r="L653" s="114">
        <v>14353.15</v>
      </c>
      <c r="M653" s="114">
        <v>0</v>
      </c>
      <c r="N653" s="114">
        <v>8262</v>
      </c>
      <c r="O653" s="114">
        <v>6151.3499999999995</v>
      </c>
      <c r="P653" s="114">
        <v>4511</v>
      </c>
      <c r="Q653" s="114">
        <v>3246</v>
      </c>
      <c r="R653" s="114">
        <v>6151.3499999999995</v>
      </c>
      <c r="S653" s="114">
        <v>0</v>
      </c>
      <c r="T653" s="196">
        <v>40283.140700000004</v>
      </c>
      <c r="U653" s="52" t="str">
        <f>IFERROR(INDEX(tblPiNAnalysis[[Site Management ]], MATCH(tblPiNHistorical[[#This Row],[ID]], tblPiNAnalysis[ID], 0)), "")</f>
        <v/>
      </c>
      <c r="V653" s="52" t="str">
        <f>IFERROR(INDEX(tblPiNAnalysis[Education], MATCH(tblPiNHistorical[[#This Row],[ID]], tblPiNAnalysis[ID], 0)), "")</f>
        <v/>
      </c>
      <c r="W653" s="28" t="str">
        <f>IFERROR(INDEX(tblPiNAnalysis[Food Security and Livlihoods], MATCH(tblPiNHistorical[[#This Row],[ID]], tblPiNAnalysis[ID], 0)), "")</f>
        <v/>
      </c>
      <c r="X653" s="28" t="str">
        <f>IFERROR(INDEX(tblPiNAnalysis[[Health ]], MATCH(tblPiNHistorical[[#This Row],[ID]], tblPiNAnalysis[ID], 0)), "")</f>
        <v/>
      </c>
      <c r="Y653" s="28" t="str">
        <f>IFERROR(INDEX(tblPiNAnalysis[Nutrition], MATCH(tblPiNHistorical[[#This Row],[ID]], tblPiNAnalysis[ID], 0)), "")</f>
        <v/>
      </c>
      <c r="Z653" s="28" t="str">
        <f>IFERROR(INDEX(tblPiNAnalysis[Protection], MATCH(tblPiNHistorical[[#This Row],[ID]], tblPiNAnalysis[ID], 0)), "")</f>
        <v/>
      </c>
      <c r="AA653" s="28" t="str">
        <f>IFERROR(INDEX(tblPiNAnalysis[CP], MATCH(tblPiNHistorical[[#This Row],[ID]], tblPiNAnalysis[ID], 0)), "")</f>
        <v/>
      </c>
      <c r="AB653" s="83" t="str">
        <f>IFERROR(INDEX(tblPiNAnalysis[GBV], MATCH(tblPiNHistorical[[#This Row],[ID]], tblPiNAnalysis[ID], 0)), "")</f>
        <v/>
      </c>
      <c r="AC653" s="28" t="str">
        <f>IFERROR(INDEX(tblPiNAnalysis[Mine Action], MATCH(tblPiNHistorical[[#This Row],[ID]], tblPiNAnalysis[ID], 0)), "")</f>
        <v/>
      </c>
      <c r="AD653" s="83" t="str">
        <f>IFERROR(INDEX(tblPiNAnalysis[[Shelter NFI ]], MATCH(tblPiNHistorical[[#This Row],[ID]], tblPiNAnalysis[ID], 0)), "")</f>
        <v/>
      </c>
      <c r="AE653" s="28" t="str">
        <f>IFERROR(INDEX(tblPiNAnalysis[WASH], MATCH(tblPiNHistorical[[#This Row],[ID]], tblPiNAnalysis[ID], 0)), "")</f>
        <v/>
      </c>
      <c r="AF653"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653" s="136" t="str">
        <f>IF(OR(tblPiNHistorical[[#This Row],[Education Old]]="", tblPiNHistorical[[#This Row],[Education Old]]=0, tblPiNHistorical[[#This Row],[Education New]]="", tblPiNHistorical[[#This Row],[Education New]]=0), "", tblPiNHistorical[[#This Row],[Education New]]-tblPiNHistorical[[#This Row],[Education Old]])</f>
        <v/>
      </c>
      <c r="AH653"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653" s="137" t="str">
        <f>IF(OR(tblPiNHistorical[[#This Row],[Health Old]]="", tblPiNHistorical[[#This Row],[Health Old]]=0, tblPiNHistorical[[#This Row],[Health New]]="", tblPiNHistorical[[#This Row],[Health New]]=0), "", tblPiNHistorical[[#This Row],[Health New]]-tblPiNHistorical[[#This Row],[Health Old]])</f>
        <v/>
      </c>
      <c r="AJ653" s="136" t="str">
        <f>IF(OR(tblPiNHistorical[[#This Row],[Nutrition Old]]="", tblPiNHistorical[[#This Row],[Nutrition Old]]=0, tblPiNHistorical[[#This Row],[Nutrition New]]="", tblPiNHistorical[[#This Row],[Nutrition New]]=0), "", tblPiNHistorical[[#This Row],[Nutrition New]]-tblPiNHistorical[[#This Row],[Nutrition Old]])</f>
        <v/>
      </c>
      <c r="AK653" s="136" t="str">
        <f>IF(OR(tblPiNHistorical[[#This Row],[Protection Old]]="", tblPiNHistorical[[#This Row],[Protection Old]]=0, tblPiNHistorical[[#This Row],[Protection New]]="", tblPiNHistorical[[#This Row],[Protection New]]=0), "", tblPiNHistorical[[#This Row],[Protection New]]-tblPiNHistorical[[#This Row],[Protection Old]])</f>
        <v/>
      </c>
      <c r="AL653" s="136" t="str">
        <f>IF(OR(tblPiNHistorical[[#This Row],[CP Old ]]="", tblPiNHistorical[[#This Row],[CP Old ]]=0, tblPiNHistorical[[#This Row],[CP New]]="", tblPiNHistorical[[#This Row],[CP New]]=0), "", tblPiNHistorical[[#This Row],[CP New]]-tblPiNHistorical[[#This Row],[CP Old ]])</f>
        <v/>
      </c>
      <c r="AM653" s="83" t="str">
        <f>IF(OR(tblPiNHistorical[[#This Row],[GBV Old]]="", tblPiNHistorical[[#This Row],[GBV Old]]=0, tblPiNHistorical[[#This Row],[GBV New]]="", tblPiNHistorical[[#This Row],[GBV New]]=0), "", tblPiNHistorical[[#This Row],[GBV New]]-tblPiNHistorical[[#This Row],[GBV Old]])</f>
        <v/>
      </c>
      <c r="AN653" s="83" t="str">
        <f>IF(OR(tblPiNHistorical[[#This Row],[Mine Action Old]]="", tblPiNHistorical[[#This Row],[Mine Action Old]]=0, tblPiNHistorical[[#This Row],[Mine Action New]]="", tblPiNHistorical[[#This Row],[Mine Action New]]=0), "", tblPiNHistorical[[#This Row],[Mine Action New]]-tblPiNHistorical[[#This Row],[Mine Action Old]])</f>
        <v/>
      </c>
      <c r="AO653" s="136" t="str">
        <f>IF(OR(tblPiNHistorical[[#This Row],[Shelter NFI Old]]="", tblPiNHistorical[[#This Row],[Shelter NFI Old]]=0, tblPiNHistorical[[#This Row],[Shelter NFI New]]="", tblPiNHistorical[[#This Row],[Shelter NFI New]]=0), "", tblPiNHistorical[[#This Row],[Shelter NFI New]]-tblPiNHistorical[[#This Row],[Shelter NFI Old]])</f>
        <v/>
      </c>
      <c r="AP653" s="138" t="str">
        <f>IF(OR(tblPiNHistorical[[#This Row],[WASH Old]]="", tblPiNHistorical[[#This Row],[WASH Old]]=0, tblPiNHistorical[[#This Row],[WASH New]]="", tblPiNHistorical[[#This Row],[WASH New]]=0), "", tblPiNHistorical[[#This Row],[WASH New]]-tblPiNHistorical[[#This Row],[WASH Old]])</f>
        <v/>
      </c>
      <c r="AQ653" s="139" t="str">
        <f>IFERROR(ROUND((tblPiNHistorical[[#This Row],[Site Management - New]] - tblPiNHistorical[[#This Row],[Site Management - Old]])/tblPiNHistorical[[#This Row],[Site Management - Old]], 1), "")</f>
        <v/>
      </c>
      <c r="AR653" s="140" t="str">
        <f>IFERROR(ROUND((tblPiNHistorical[[#This Row],[Education New]]-tblPiNHistorical[[#This Row],[Education Old]])/tblPiNHistorical[[#This Row],[Education Old]], 1), "")</f>
        <v/>
      </c>
      <c r="AS653" s="141" t="str">
        <f>IFERROR(ROUND((tblPiNHistorical[[#This Row],[Food Security and Livlihoods New]]-tblPiNHistorical[[#This Row],[Food Security and Livlihoods Old]])/tblPiNHistorical[[#This Row],[Food Security and Livlihoods Old]], 1), "")</f>
        <v/>
      </c>
      <c r="AT653" s="142" t="str">
        <f>IFERROR(ROUND((tblPiNHistorical[[#This Row],[Health New]]-tblPiNHistorical[[#This Row],[Health Old]])/tblPiNHistorical[[#This Row],[Health Old]], 1), "")</f>
        <v/>
      </c>
      <c r="AU653" s="140" t="str">
        <f>IFERROR(ROUND((tblPiNHistorical[[#This Row],[Nutrition New]]-tblPiNHistorical[[#This Row],[Nutrition Old]])/tblPiNHistorical[[#This Row],[Nutrition Old]], 1), "")</f>
        <v/>
      </c>
      <c r="AV653" s="140" t="str">
        <f>IFERROR(ROUND((tblPiNHistorical[[#This Row],[Protection New]]-tblPiNHistorical[[#This Row],[Protection Old]])/tblPiNHistorical[[#This Row],[Protection Old]], 1), "")</f>
        <v/>
      </c>
      <c r="AW653" s="84" t="str">
        <f>IFERROR(ROUND((tblPiNHistorical[[#This Row],[CP New]]-tblPiNHistorical[[#This Row],[CP Old ]])/tblPiNHistorical[[#This Row],[CP Old ]], 1), "")</f>
        <v/>
      </c>
      <c r="AX653" s="84" t="str">
        <f>IFERROR(ROUND((tblPiNHistorical[[#This Row],[GBV New]]-tblPiNHistorical[[#This Row],[GBV Old]])/tblPiNHistorical[[#This Row],[GBV Old]], 1), "")</f>
        <v/>
      </c>
      <c r="AY653" s="84" t="str">
        <f>IFERROR(ROUND((tblPiNHistorical[[#This Row],[Mine Action New]]-tblPiNHistorical[[#This Row],[Mine Action Old]])/tblPiNHistorical[[#This Row],[Mine Action Old]], 1), "")</f>
        <v/>
      </c>
      <c r="AZ653" s="140" t="str">
        <f>IFERROR(ROUND((tblPiNHistorical[[#This Row],[Shelter NFI New]]-tblPiNHistorical[[#This Row],[Shelter NFI Old]])/tblPiNHistorical[[#This Row],[Shelter NFI Old]], 1), "")</f>
        <v/>
      </c>
      <c r="BA653" s="31" t="str">
        <f>IFERROR(ROUND((tblPiNHistorical[[#This Row],[WASH New]]-tblPiNHistorical[[#This Row],[WASH Old]])/tblPiNHistorical[[#This Row],[WASH Old]], 1), "")</f>
        <v/>
      </c>
    </row>
    <row r="654" spans="1:53" ht="38.25" x14ac:dyDescent="0.25">
      <c r="A654"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Non-displaced PopulationSD02136</v>
      </c>
      <c r="B654" s="134" t="s">
        <v>167</v>
      </c>
      <c r="C654" s="124" t="s">
        <v>119</v>
      </c>
      <c r="D654" s="124" t="s">
        <v>221</v>
      </c>
      <c r="E654" s="59" t="s">
        <v>220</v>
      </c>
      <c r="F654" s="54"/>
      <c r="G654" s="29"/>
      <c r="H654" s="53">
        <v>54343</v>
      </c>
      <c r="I654" s="53" t="s">
        <v>89</v>
      </c>
      <c r="J654" s="34">
        <v>0</v>
      </c>
      <c r="K654" s="116">
        <v>21068.7811</v>
      </c>
      <c r="L654" s="114">
        <v>21737.200000000001</v>
      </c>
      <c r="M654" s="114">
        <v>0</v>
      </c>
      <c r="N654" s="114">
        <v>21063</v>
      </c>
      <c r="O654" s="114">
        <v>5977.7300000000005</v>
      </c>
      <c r="P654" s="114">
        <v>5978</v>
      </c>
      <c r="Q654" s="114">
        <v>4302</v>
      </c>
      <c r="R654" s="114">
        <v>5434.3</v>
      </c>
      <c r="S654" s="114">
        <v>0</v>
      </c>
      <c r="T654" s="196">
        <v>43164.644899999999</v>
      </c>
      <c r="U654" s="52" t="str">
        <f>IFERROR(INDEX(tblPiNAnalysis[[Site Management ]], MATCH(tblPiNHistorical[[#This Row],[ID]], tblPiNAnalysis[ID], 0)), "")</f>
        <v/>
      </c>
      <c r="V654" s="52" t="str">
        <f>IFERROR(INDEX(tblPiNAnalysis[Education], MATCH(tblPiNHistorical[[#This Row],[ID]], tblPiNAnalysis[ID], 0)), "")</f>
        <v/>
      </c>
      <c r="W654" s="28" t="str">
        <f>IFERROR(INDEX(tblPiNAnalysis[Food Security and Livlihoods], MATCH(tblPiNHistorical[[#This Row],[ID]], tblPiNAnalysis[ID], 0)), "")</f>
        <v/>
      </c>
      <c r="X654" s="28" t="str">
        <f>IFERROR(INDEX(tblPiNAnalysis[[Health ]], MATCH(tblPiNHistorical[[#This Row],[ID]], tblPiNAnalysis[ID], 0)), "")</f>
        <v/>
      </c>
      <c r="Y654" s="28" t="str">
        <f>IFERROR(INDEX(tblPiNAnalysis[Nutrition], MATCH(tblPiNHistorical[[#This Row],[ID]], tblPiNAnalysis[ID], 0)), "")</f>
        <v/>
      </c>
      <c r="Z654" s="28" t="str">
        <f>IFERROR(INDEX(tblPiNAnalysis[Protection], MATCH(tblPiNHistorical[[#This Row],[ID]], tblPiNAnalysis[ID], 0)), "")</f>
        <v/>
      </c>
      <c r="AA654" s="28" t="str">
        <f>IFERROR(INDEX(tblPiNAnalysis[CP], MATCH(tblPiNHistorical[[#This Row],[ID]], tblPiNAnalysis[ID], 0)), "")</f>
        <v/>
      </c>
      <c r="AB654" s="83" t="str">
        <f>IFERROR(INDEX(tblPiNAnalysis[GBV], MATCH(tblPiNHistorical[[#This Row],[ID]], tblPiNAnalysis[ID], 0)), "")</f>
        <v/>
      </c>
      <c r="AC654" s="28" t="str">
        <f>IFERROR(INDEX(tblPiNAnalysis[Mine Action], MATCH(tblPiNHistorical[[#This Row],[ID]], tblPiNAnalysis[ID], 0)), "")</f>
        <v/>
      </c>
      <c r="AD654" s="83" t="str">
        <f>IFERROR(INDEX(tblPiNAnalysis[[Shelter NFI ]], MATCH(tblPiNHistorical[[#This Row],[ID]], tblPiNAnalysis[ID], 0)), "")</f>
        <v/>
      </c>
      <c r="AE654" s="28" t="str">
        <f>IFERROR(INDEX(tblPiNAnalysis[WASH], MATCH(tblPiNHistorical[[#This Row],[ID]], tblPiNAnalysis[ID], 0)), "")</f>
        <v/>
      </c>
      <c r="AF654"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654" s="136" t="str">
        <f>IF(OR(tblPiNHistorical[[#This Row],[Education Old]]="", tblPiNHistorical[[#This Row],[Education Old]]=0, tblPiNHistorical[[#This Row],[Education New]]="", tblPiNHistorical[[#This Row],[Education New]]=0), "", tblPiNHistorical[[#This Row],[Education New]]-tblPiNHistorical[[#This Row],[Education Old]])</f>
        <v/>
      </c>
      <c r="AH654"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654" s="137" t="str">
        <f>IF(OR(tblPiNHistorical[[#This Row],[Health Old]]="", tblPiNHistorical[[#This Row],[Health Old]]=0, tblPiNHistorical[[#This Row],[Health New]]="", tblPiNHistorical[[#This Row],[Health New]]=0), "", tblPiNHistorical[[#This Row],[Health New]]-tblPiNHistorical[[#This Row],[Health Old]])</f>
        <v/>
      </c>
      <c r="AJ654" s="136" t="str">
        <f>IF(OR(tblPiNHistorical[[#This Row],[Nutrition Old]]="", tblPiNHistorical[[#This Row],[Nutrition Old]]=0, tblPiNHistorical[[#This Row],[Nutrition New]]="", tblPiNHistorical[[#This Row],[Nutrition New]]=0), "", tblPiNHistorical[[#This Row],[Nutrition New]]-tblPiNHistorical[[#This Row],[Nutrition Old]])</f>
        <v/>
      </c>
      <c r="AK654" s="136" t="str">
        <f>IF(OR(tblPiNHistorical[[#This Row],[Protection Old]]="", tblPiNHistorical[[#This Row],[Protection Old]]=0, tblPiNHistorical[[#This Row],[Protection New]]="", tblPiNHistorical[[#This Row],[Protection New]]=0), "", tblPiNHistorical[[#This Row],[Protection New]]-tblPiNHistorical[[#This Row],[Protection Old]])</f>
        <v/>
      </c>
      <c r="AL654" s="136" t="str">
        <f>IF(OR(tblPiNHistorical[[#This Row],[CP Old ]]="", tblPiNHistorical[[#This Row],[CP Old ]]=0, tblPiNHistorical[[#This Row],[CP New]]="", tblPiNHistorical[[#This Row],[CP New]]=0), "", tblPiNHistorical[[#This Row],[CP New]]-tblPiNHistorical[[#This Row],[CP Old ]])</f>
        <v/>
      </c>
      <c r="AM654" s="83" t="str">
        <f>IF(OR(tblPiNHistorical[[#This Row],[GBV Old]]="", tblPiNHistorical[[#This Row],[GBV Old]]=0, tblPiNHistorical[[#This Row],[GBV New]]="", tblPiNHistorical[[#This Row],[GBV New]]=0), "", tblPiNHistorical[[#This Row],[GBV New]]-tblPiNHistorical[[#This Row],[GBV Old]])</f>
        <v/>
      </c>
      <c r="AN654" s="83" t="str">
        <f>IF(OR(tblPiNHistorical[[#This Row],[Mine Action Old]]="", tblPiNHistorical[[#This Row],[Mine Action Old]]=0, tblPiNHistorical[[#This Row],[Mine Action New]]="", tblPiNHistorical[[#This Row],[Mine Action New]]=0), "", tblPiNHistorical[[#This Row],[Mine Action New]]-tblPiNHistorical[[#This Row],[Mine Action Old]])</f>
        <v/>
      </c>
      <c r="AO654" s="136" t="str">
        <f>IF(OR(tblPiNHistorical[[#This Row],[Shelter NFI Old]]="", tblPiNHistorical[[#This Row],[Shelter NFI Old]]=0, tblPiNHistorical[[#This Row],[Shelter NFI New]]="", tblPiNHistorical[[#This Row],[Shelter NFI New]]=0), "", tblPiNHistorical[[#This Row],[Shelter NFI New]]-tblPiNHistorical[[#This Row],[Shelter NFI Old]])</f>
        <v/>
      </c>
      <c r="AP654" s="138" t="str">
        <f>IF(OR(tblPiNHistorical[[#This Row],[WASH Old]]="", tblPiNHistorical[[#This Row],[WASH Old]]=0, tblPiNHistorical[[#This Row],[WASH New]]="", tblPiNHistorical[[#This Row],[WASH New]]=0), "", tblPiNHistorical[[#This Row],[WASH New]]-tblPiNHistorical[[#This Row],[WASH Old]])</f>
        <v/>
      </c>
      <c r="AQ654" s="139" t="str">
        <f>IFERROR(ROUND((tblPiNHistorical[[#This Row],[Site Management - New]] - tblPiNHistorical[[#This Row],[Site Management - Old]])/tblPiNHistorical[[#This Row],[Site Management - Old]], 1), "")</f>
        <v/>
      </c>
      <c r="AR654" s="140" t="str">
        <f>IFERROR(ROUND((tblPiNHistorical[[#This Row],[Education New]]-tblPiNHistorical[[#This Row],[Education Old]])/tblPiNHistorical[[#This Row],[Education Old]], 1), "")</f>
        <v/>
      </c>
      <c r="AS654" s="141" t="str">
        <f>IFERROR(ROUND((tblPiNHistorical[[#This Row],[Food Security and Livlihoods New]]-tblPiNHistorical[[#This Row],[Food Security and Livlihoods Old]])/tblPiNHistorical[[#This Row],[Food Security and Livlihoods Old]], 1), "")</f>
        <v/>
      </c>
      <c r="AT654" s="142" t="str">
        <f>IFERROR(ROUND((tblPiNHistorical[[#This Row],[Health New]]-tblPiNHistorical[[#This Row],[Health Old]])/tblPiNHistorical[[#This Row],[Health Old]], 1), "")</f>
        <v/>
      </c>
      <c r="AU654" s="140" t="str">
        <f>IFERROR(ROUND((tblPiNHistorical[[#This Row],[Nutrition New]]-tblPiNHistorical[[#This Row],[Nutrition Old]])/tblPiNHistorical[[#This Row],[Nutrition Old]], 1), "")</f>
        <v/>
      </c>
      <c r="AV654" s="140" t="str">
        <f>IFERROR(ROUND((tblPiNHistorical[[#This Row],[Protection New]]-tblPiNHistorical[[#This Row],[Protection Old]])/tblPiNHistorical[[#This Row],[Protection Old]], 1), "")</f>
        <v/>
      </c>
      <c r="AW654" s="84" t="str">
        <f>IFERROR(ROUND((tblPiNHistorical[[#This Row],[CP New]]-tblPiNHistorical[[#This Row],[CP Old ]])/tblPiNHistorical[[#This Row],[CP Old ]], 1), "")</f>
        <v/>
      </c>
      <c r="AX654" s="84" t="str">
        <f>IFERROR(ROUND((tblPiNHistorical[[#This Row],[GBV New]]-tblPiNHistorical[[#This Row],[GBV Old]])/tblPiNHistorical[[#This Row],[GBV Old]], 1), "")</f>
        <v/>
      </c>
      <c r="AY654" s="84" t="str">
        <f>IFERROR(ROUND((tblPiNHistorical[[#This Row],[Mine Action New]]-tblPiNHistorical[[#This Row],[Mine Action Old]])/tblPiNHistorical[[#This Row],[Mine Action Old]], 1), "")</f>
        <v/>
      </c>
      <c r="AZ654" s="140" t="str">
        <f>IFERROR(ROUND((tblPiNHistorical[[#This Row],[Shelter NFI New]]-tblPiNHistorical[[#This Row],[Shelter NFI Old]])/tblPiNHistorical[[#This Row],[Shelter NFI Old]], 1), "")</f>
        <v/>
      </c>
      <c r="BA654" s="31" t="str">
        <f>IFERROR(ROUND((tblPiNHistorical[[#This Row],[WASH New]]-tblPiNHistorical[[#This Row],[WASH Old]])/tblPiNHistorical[[#This Row],[WASH Old]], 1), "")</f>
        <v/>
      </c>
    </row>
    <row r="655" spans="1:53" ht="38.25" x14ac:dyDescent="0.25">
      <c r="A655"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Non-displaced PopulationSDTEMP</v>
      </c>
      <c r="B655" s="134" t="s">
        <v>167</v>
      </c>
      <c r="C655" s="124" t="s">
        <v>119</v>
      </c>
      <c r="D655" s="124" t="s">
        <v>231</v>
      </c>
      <c r="E655" s="59" t="s">
        <v>230</v>
      </c>
      <c r="F655" s="54"/>
      <c r="G655" s="29"/>
      <c r="H655" s="53">
        <v>0</v>
      </c>
      <c r="I655" s="53" t="s">
        <v>89</v>
      </c>
      <c r="J655" s="34">
        <v>0</v>
      </c>
      <c r="K655" s="116">
        <v>0</v>
      </c>
      <c r="L655" s="114">
        <v>0</v>
      </c>
      <c r="M655" s="114">
        <v>0</v>
      </c>
      <c r="N655" s="114">
        <v>37986</v>
      </c>
      <c r="O655" s="114">
        <v>0</v>
      </c>
      <c r="P655" s="114">
        <v>0</v>
      </c>
      <c r="Q655" s="114">
        <v>0</v>
      </c>
      <c r="R655" s="114">
        <v>0</v>
      </c>
      <c r="S655" s="114">
        <v>0</v>
      </c>
      <c r="T655" s="196">
        <v>0</v>
      </c>
      <c r="U655" s="52" t="str">
        <f>IFERROR(INDEX(tblPiNAnalysis[[Site Management ]], MATCH(tblPiNHistorical[[#This Row],[ID]], tblPiNAnalysis[ID], 0)), "")</f>
        <v/>
      </c>
      <c r="V655" s="52" t="str">
        <f>IFERROR(INDEX(tblPiNAnalysis[Education], MATCH(tblPiNHistorical[[#This Row],[ID]], tblPiNAnalysis[ID], 0)), "")</f>
        <v/>
      </c>
      <c r="W655" s="28" t="str">
        <f>IFERROR(INDEX(tblPiNAnalysis[Food Security and Livlihoods], MATCH(tblPiNHistorical[[#This Row],[ID]], tblPiNAnalysis[ID], 0)), "")</f>
        <v/>
      </c>
      <c r="X655" s="28" t="str">
        <f>IFERROR(INDEX(tblPiNAnalysis[[Health ]], MATCH(tblPiNHistorical[[#This Row],[ID]], tblPiNAnalysis[ID], 0)), "")</f>
        <v/>
      </c>
      <c r="Y655" s="28" t="str">
        <f>IFERROR(INDEX(tblPiNAnalysis[Nutrition], MATCH(tblPiNHistorical[[#This Row],[ID]], tblPiNAnalysis[ID], 0)), "")</f>
        <v/>
      </c>
      <c r="Z655" s="28" t="str">
        <f>IFERROR(INDEX(tblPiNAnalysis[Protection], MATCH(tblPiNHistorical[[#This Row],[ID]], tblPiNAnalysis[ID], 0)), "")</f>
        <v/>
      </c>
      <c r="AA655" s="28" t="str">
        <f>IFERROR(INDEX(tblPiNAnalysis[CP], MATCH(tblPiNHistorical[[#This Row],[ID]], tblPiNAnalysis[ID], 0)), "")</f>
        <v/>
      </c>
      <c r="AB655" s="83" t="str">
        <f>IFERROR(INDEX(tblPiNAnalysis[GBV], MATCH(tblPiNHistorical[[#This Row],[ID]], tblPiNAnalysis[ID], 0)), "")</f>
        <v/>
      </c>
      <c r="AC655" s="28" t="str">
        <f>IFERROR(INDEX(tblPiNAnalysis[Mine Action], MATCH(tblPiNHistorical[[#This Row],[ID]], tblPiNAnalysis[ID], 0)), "")</f>
        <v/>
      </c>
      <c r="AD655" s="83" t="str">
        <f>IFERROR(INDEX(tblPiNAnalysis[[Shelter NFI ]], MATCH(tblPiNHistorical[[#This Row],[ID]], tblPiNAnalysis[ID], 0)), "")</f>
        <v/>
      </c>
      <c r="AE655" s="28" t="str">
        <f>IFERROR(INDEX(tblPiNAnalysis[WASH], MATCH(tblPiNHistorical[[#This Row],[ID]], tblPiNAnalysis[ID], 0)), "")</f>
        <v/>
      </c>
      <c r="AF655"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655" s="136" t="str">
        <f>IF(OR(tblPiNHistorical[[#This Row],[Education Old]]="", tblPiNHistorical[[#This Row],[Education Old]]=0, tblPiNHistorical[[#This Row],[Education New]]="", tblPiNHistorical[[#This Row],[Education New]]=0), "", tblPiNHistorical[[#This Row],[Education New]]-tblPiNHistorical[[#This Row],[Education Old]])</f>
        <v/>
      </c>
      <c r="AH655"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655" s="137" t="str">
        <f>IF(OR(tblPiNHistorical[[#This Row],[Health Old]]="", tblPiNHistorical[[#This Row],[Health Old]]=0, tblPiNHistorical[[#This Row],[Health New]]="", tblPiNHistorical[[#This Row],[Health New]]=0), "", tblPiNHistorical[[#This Row],[Health New]]-tblPiNHistorical[[#This Row],[Health Old]])</f>
        <v/>
      </c>
      <c r="AJ655" s="136" t="str">
        <f>IF(OR(tblPiNHistorical[[#This Row],[Nutrition Old]]="", tblPiNHistorical[[#This Row],[Nutrition Old]]=0, tblPiNHistorical[[#This Row],[Nutrition New]]="", tblPiNHistorical[[#This Row],[Nutrition New]]=0), "", tblPiNHistorical[[#This Row],[Nutrition New]]-tblPiNHistorical[[#This Row],[Nutrition Old]])</f>
        <v/>
      </c>
      <c r="AK655" s="136" t="str">
        <f>IF(OR(tblPiNHistorical[[#This Row],[Protection Old]]="", tblPiNHistorical[[#This Row],[Protection Old]]=0, tblPiNHistorical[[#This Row],[Protection New]]="", tblPiNHistorical[[#This Row],[Protection New]]=0), "", tblPiNHistorical[[#This Row],[Protection New]]-tblPiNHistorical[[#This Row],[Protection Old]])</f>
        <v/>
      </c>
      <c r="AL655" s="136" t="str">
        <f>IF(OR(tblPiNHistorical[[#This Row],[CP Old ]]="", tblPiNHistorical[[#This Row],[CP Old ]]=0, tblPiNHistorical[[#This Row],[CP New]]="", tblPiNHistorical[[#This Row],[CP New]]=0), "", tblPiNHistorical[[#This Row],[CP New]]-tblPiNHistorical[[#This Row],[CP Old ]])</f>
        <v/>
      </c>
      <c r="AM655" s="83" t="str">
        <f>IF(OR(tblPiNHistorical[[#This Row],[GBV Old]]="", tblPiNHistorical[[#This Row],[GBV Old]]=0, tblPiNHistorical[[#This Row],[GBV New]]="", tblPiNHistorical[[#This Row],[GBV New]]=0), "", tblPiNHistorical[[#This Row],[GBV New]]-tblPiNHistorical[[#This Row],[GBV Old]])</f>
        <v/>
      </c>
      <c r="AN655" s="83" t="str">
        <f>IF(OR(tblPiNHistorical[[#This Row],[Mine Action Old]]="", tblPiNHistorical[[#This Row],[Mine Action Old]]=0, tblPiNHistorical[[#This Row],[Mine Action New]]="", tblPiNHistorical[[#This Row],[Mine Action New]]=0), "", tblPiNHistorical[[#This Row],[Mine Action New]]-tblPiNHistorical[[#This Row],[Mine Action Old]])</f>
        <v/>
      </c>
      <c r="AO655" s="136" t="str">
        <f>IF(OR(tblPiNHistorical[[#This Row],[Shelter NFI Old]]="", tblPiNHistorical[[#This Row],[Shelter NFI Old]]=0, tblPiNHistorical[[#This Row],[Shelter NFI New]]="", tblPiNHistorical[[#This Row],[Shelter NFI New]]=0), "", tblPiNHistorical[[#This Row],[Shelter NFI New]]-tblPiNHistorical[[#This Row],[Shelter NFI Old]])</f>
        <v/>
      </c>
      <c r="AP655" s="138" t="str">
        <f>IF(OR(tblPiNHistorical[[#This Row],[WASH Old]]="", tblPiNHistorical[[#This Row],[WASH Old]]=0, tblPiNHistorical[[#This Row],[WASH New]]="", tblPiNHistorical[[#This Row],[WASH New]]=0), "", tblPiNHistorical[[#This Row],[WASH New]]-tblPiNHistorical[[#This Row],[WASH Old]])</f>
        <v/>
      </c>
      <c r="AQ655" s="139" t="str">
        <f>IFERROR(ROUND((tblPiNHistorical[[#This Row],[Site Management - New]] - tblPiNHistorical[[#This Row],[Site Management - Old]])/tblPiNHistorical[[#This Row],[Site Management - Old]], 1), "")</f>
        <v/>
      </c>
      <c r="AR655" s="140" t="str">
        <f>IFERROR(ROUND((tblPiNHistorical[[#This Row],[Education New]]-tblPiNHistorical[[#This Row],[Education Old]])/tblPiNHistorical[[#This Row],[Education Old]], 1), "")</f>
        <v/>
      </c>
      <c r="AS655" s="141" t="str">
        <f>IFERROR(ROUND((tblPiNHistorical[[#This Row],[Food Security and Livlihoods New]]-tblPiNHistorical[[#This Row],[Food Security and Livlihoods Old]])/tblPiNHistorical[[#This Row],[Food Security and Livlihoods Old]], 1), "")</f>
        <v/>
      </c>
      <c r="AT655" s="142" t="str">
        <f>IFERROR(ROUND((tblPiNHistorical[[#This Row],[Health New]]-tblPiNHistorical[[#This Row],[Health Old]])/tblPiNHistorical[[#This Row],[Health Old]], 1), "")</f>
        <v/>
      </c>
      <c r="AU655" s="140" t="str">
        <f>IFERROR(ROUND((tblPiNHistorical[[#This Row],[Nutrition New]]-tblPiNHistorical[[#This Row],[Nutrition Old]])/tblPiNHistorical[[#This Row],[Nutrition Old]], 1), "")</f>
        <v/>
      </c>
      <c r="AV655" s="140" t="str">
        <f>IFERROR(ROUND((tblPiNHistorical[[#This Row],[Protection New]]-tblPiNHistorical[[#This Row],[Protection Old]])/tblPiNHistorical[[#This Row],[Protection Old]], 1), "")</f>
        <v/>
      </c>
      <c r="AW655" s="84" t="str">
        <f>IFERROR(ROUND((tblPiNHistorical[[#This Row],[CP New]]-tblPiNHistorical[[#This Row],[CP Old ]])/tblPiNHistorical[[#This Row],[CP Old ]], 1), "")</f>
        <v/>
      </c>
      <c r="AX655" s="84" t="str">
        <f>IFERROR(ROUND((tblPiNHistorical[[#This Row],[GBV New]]-tblPiNHistorical[[#This Row],[GBV Old]])/tblPiNHistorical[[#This Row],[GBV Old]], 1), "")</f>
        <v/>
      </c>
      <c r="AY655" s="84" t="str">
        <f>IFERROR(ROUND((tblPiNHistorical[[#This Row],[Mine Action New]]-tblPiNHistorical[[#This Row],[Mine Action Old]])/tblPiNHistorical[[#This Row],[Mine Action Old]], 1), "")</f>
        <v/>
      </c>
      <c r="AZ655" s="140" t="str">
        <f>IFERROR(ROUND((tblPiNHistorical[[#This Row],[Shelter NFI New]]-tblPiNHistorical[[#This Row],[Shelter NFI Old]])/tblPiNHistorical[[#This Row],[Shelter NFI Old]], 1), "")</f>
        <v/>
      </c>
      <c r="BA655" s="31" t="str">
        <f>IFERROR(ROUND((tblPiNHistorical[[#This Row],[WASH New]]-tblPiNHistorical[[#This Row],[WASH Old]])/tblPiNHistorical[[#This Row],[WASH Old]], 1), "")</f>
        <v/>
      </c>
    </row>
    <row r="656" spans="1:53" ht="38.25" x14ac:dyDescent="0.25">
      <c r="A656"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Non-displaced PopulationSD13030</v>
      </c>
      <c r="B656" s="134" t="s">
        <v>170</v>
      </c>
      <c r="C656" s="124" t="s">
        <v>130</v>
      </c>
      <c r="D656" s="124" t="s">
        <v>466</v>
      </c>
      <c r="E656" s="59" t="s">
        <v>482</v>
      </c>
      <c r="F656" s="54"/>
      <c r="G656" s="29"/>
      <c r="H656" s="53">
        <v>20665</v>
      </c>
      <c r="I656" s="53" t="s">
        <v>89</v>
      </c>
      <c r="J656" s="34">
        <v>0</v>
      </c>
      <c r="K656" s="116">
        <v>8011.8204999999998</v>
      </c>
      <c r="L656" s="114">
        <v>11998.0592</v>
      </c>
      <c r="M656" s="114">
        <v>0</v>
      </c>
      <c r="N656" s="114">
        <v>9299</v>
      </c>
      <c r="O656" s="114">
        <v>2273.1500000000005</v>
      </c>
      <c r="P656" s="114">
        <v>2273</v>
      </c>
      <c r="Q656" s="114">
        <v>1636</v>
      </c>
      <c r="R656" s="114">
        <v>2066.5</v>
      </c>
      <c r="S656" s="114">
        <v>4133</v>
      </c>
      <c r="T656" s="196">
        <v>16860.573499999999</v>
      </c>
      <c r="U656" s="52" t="str">
        <f>IFERROR(INDEX(tblPiNAnalysis[[Site Management ]], MATCH(tblPiNHistorical[[#This Row],[ID]], tblPiNAnalysis[ID], 0)), "")</f>
        <v/>
      </c>
      <c r="V656" s="52" t="str">
        <f>IFERROR(INDEX(tblPiNAnalysis[Education], MATCH(tblPiNHistorical[[#This Row],[ID]], tblPiNAnalysis[ID], 0)), "")</f>
        <v/>
      </c>
      <c r="W656" s="28" t="str">
        <f>IFERROR(INDEX(tblPiNAnalysis[Food Security and Livlihoods], MATCH(tblPiNHistorical[[#This Row],[ID]], tblPiNAnalysis[ID], 0)), "")</f>
        <v/>
      </c>
      <c r="X656" s="28" t="str">
        <f>IFERROR(INDEX(tblPiNAnalysis[[Health ]], MATCH(tblPiNHistorical[[#This Row],[ID]], tblPiNAnalysis[ID], 0)), "")</f>
        <v/>
      </c>
      <c r="Y656" s="28" t="str">
        <f>IFERROR(INDEX(tblPiNAnalysis[Nutrition], MATCH(tblPiNHistorical[[#This Row],[ID]], tblPiNAnalysis[ID], 0)), "")</f>
        <v/>
      </c>
      <c r="Z656" s="28" t="str">
        <f>IFERROR(INDEX(tblPiNAnalysis[Protection], MATCH(tblPiNHistorical[[#This Row],[ID]], tblPiNAnalysis[ID], 0)), "")</f>
        <v/>
      </c>
      <c r="AA656" s="28" t="str">
        <f>IFERROR(INDEX(tblPiNAnalysis[CP], MATCH(tblPiNHistorical[[#This Row],[ID]], tblPiNAnalysis[ID], 0)), "")</f>
        <v/>
      </c>
      <c r="AB656" s="83" t="str">
        <f>IFERROR(INDEX(tblPiNAnalysis[GBV], MATCH(tblPiNHistorical[[#This Row],[ID]], tblPiNAnalysis[ID], 0)), "")</f>
        <v/>
      </c>
      <c r="AC656" s="28" t="str">
        <f>IFERROR(INDEX(tblPiNAnalysis[Mine Action], MATCH(tblPiNHistorical[[#This Row],[ID]], tblPiNAnalysis[ID], 0)), "")</f>
        <v/>
      </c>
      <c r="AD656" s="83" t="str">
        <f>IFERROR(INDEX(tblPiNAnalysis[[Shelter NFI ]], MATCH(tblPiNHistorical[[#This Row],[ID]], tblPiNAnalysis[ID], 0)), "")</f>
        <v/>
      </c>
      <c r="AE656" s="28" t="str">
        <f>IFERROR(INDEX(tblPiNAnalysis[WASH], MATCH(tblPiNHistorical[[#This Row],[ID]], tblPiNAnalysis[ID], 0)), "")</f>
        <v/>
      </c>
      <c r="AF656"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656" s="136" t="str">
        <f>IF(OR(tblPiNHistorical[[#This Row],[Education Old]]="", tblPiNHistorical[[#This Row],[Education Old]]=0, tblPiNHistorical[[#This Row],[Education New]]="", tblPiNHistorical[[#This Row],[Education New]]=0), "", tblPiNHistorical[[#This Row],[Education New]]-tblPiNHistorical[[#This Row],[Education Old]])</f>
        <v/>
      </c>
      <c r="AH656"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656" s="137" t="str">
        <f>IF(OR(tblPiNHistorical[[#This Row],[Health Old]]="", tblPiNHistorical[[#This Row],[Health Old]]=0, tblPiNHistorical[[#This Row],[Health New]]="", tblPiNHistorical[[#This Row],[Health New]]=0), "", tblPiNHistorical[[#This Row],[Health New]]-tblPiNHistorical[[#This Row],[Health Old]])</f>
        <v/>
      </c>
      <c r="AJ656" s="136" t="str">
        <f>IF(OR(tblPiNHistorical[[#This Row],[Nutrition Old]]="", tblPiNHistorical[[#This Row],[Nutrition Old]]=0, tblPiNHistorical[[#This Row],[Nutrition New]]="", tblPiNHistorical[[#This Row],[Nutrition New]]=0), "", tblPiNHistorical[[#This Row],[Nutrition New]]-tblPiNHistorical[[#This Row],[Nutrition Old]])</f>
        <v/>
      </c>
      <c r="AK656" s="136" t="str">
        <f>IF(OR(tblPiNHistorical[[#This Row],[Protection Old]]="", tblPiNHistorical[[#This Row],[Protection Old]]=0, tblPiNHistorical[[#This Row],[Protection New]]="", tblPiNHistorical[[#This Row],[Protection New]]=0), "", tblPiNHistorical[[#This Row],[Protection New]]-tblPiNHistorical[[#This Row],[Protection Old]])</f>
        <v/>
      </c>
      <c r="AL656" s="136" t="str">
        <f>IF(OR(tblPiNHistorical[[#This Row],[CP Old ]]="", tblPiNHistorical[[#This Row],[CP Old ]]=0, tblPiNHistorical[[#This Row],[CP New]]="", tblPiNHistorical[[#This Row],[CP New]]=0), "", tblPiNHistorical[[#This Row],[CP New]]-tblPiNHistorical[[#This Row],[CP Old ]])</f>
        <v/>
      </c>
      <c r="AM656" s="83" t="str">
        <f>IF(OR(tblPiNHistorical[[#This Row],[GBV Old]]="", tblPiNHistorical[[#This Row],[GBV Old]]=0, tblPiNHistorical[[#This Row],[GBV New]]="", tblPiNHistorical[[#This Row],[GBV New]]=0), "", tblPiNHistorical[[#This Row],[GBV New]]-tblPiNHistorical[[#This Row],[GBV Old]])</f>
        <v/>
      </c>
      <c r="AN656" s="83" t="str">
        <f>IF(OR(tblPiNHistorical[[#This Row],[Mine Action Old]]="", tblPiNHistorical[[#This Row],[Mine Action Old]]=0, tblPiNHistorical[[#This Row],[Mine Action New]]="", tblPiNHistorical[[#This Row],[Mine Action New]]=0), "", tblPiNHistorical[[#This Row],[Mine Action New]]-tblPiNHistorical[[#This Row],[Mine Action Old]])</f>
        <v/>
      </c>
      <c r="AO656" s="136" t="str">
        <f>IF(OR(tblPiNHistorical[[#This Row],[Shelter NFI Old]]="", tblPiNHistorical[[#This Row],[Shelter NFI Old]]=0, tblPiNHistorical[[#This Row],[Shelter NFI New]]="", tblPiNHistorical[[#This Row],[Shelter NFI New]]=0), "", tblPiNHistorical[[#This Row],[Shelter NFI New]]-tblPiNHistorical[[#This Row],[Shelter NFI Old]])</f>
        <v/>
      </c>
      <c r="AP656" s="138" t="str">
        <f>IF(OR(tblPiNHistorical[[#This Row],[WASH Old]]="", tblPiNHistorical[[#This Row],[WASH Old]]=0, tblPiNHistorical[[#This Row],[WASH New]]="", tblPiNHistorical[[#This Row],[WASH New]]=0), "", tblPiNHistorical[[#This Row],[WASH New]]-tblPiNHistorical[[#This Row],[WASH Old]])</f>
        <v/>
      </c>
      <c r="AQ656" s="139" t="str">
        <f>IFERROR(ROUND((tblPiNHistorical[[#This Row],[Site Management - New]] - tblPiNHistorical[[#This Row],[Site Management - Old]])/tblPiNHistorical[[#This Row],[Site Management - Old]], 1), "")</f>
        <v/>
      </c>
      <c r="AR656" s="140" t="str">
        <f>IFERROR(ROUND((tblPiNHistorical[[#This Row],[Education New]]-tblPiNHistorical[[#This Row],[Education Old]])/tblPiNHistorical[[#This Row],[Education Old]], 1), "")</f>
        <v/>
      </c>
      <c r="AS656" s="141" t="str">
        <f>IFERROR(ROUND((tblPiNHistorical[[#This Row],[Food Security and Livlihoods New]]-tblPiNHistorical[[#This Row],[Food Security and Livlihoods Old]])/tblPiNHistorical[[#This Row],[Food Security and Livlihoods Old]], 1), "")</f>
        <v/>
      </c>
      <c r="AT656" s="142" t="str">
        <f>IFERROR(ROUND((tblPiNHistorical[[#This Row],[Health New]]-tblPiNHistorical[[#This Row],[Health Old]])/tblPiNHistorical[[#This Row],[Health Old]], 1), "")</f>
        <v/>
      </c>
      <c r="AU656" s="140" t="str">
        <f>IFERROR(ROUND((tblPiNHistorical[[#This Row],[Nutrition New]]-tblPiNHistorical[[#This Row],[Nutrition Old]])/tblPiNHistorical[[#This Row],[Nutrition Old]], 1), "")</f>
        <v/>
      </c>
      <c r="AV656" s="140" t="str">
        <f>IFERROR(ROUND((tblPiNHistorical[[#This Row],[Protection New]]-tblPiNHistorical[[#This Row],[Protection Old]])/tblPiNHistorical[[#This Row],[Protection Old]], 1), "")</f>
        <v/>
      </c>
      <c r="AW656" s="84" t="str">
        <f>IFERROR(ROUND((tblPiNHistorical[[#This Row],[CP New]]-tblPiNHistorical[[#This Row],[CP Old ]])/tblPiNHistorical[[#This Row],[CP Old ]], 1), "")</f>
        <v/>
      </c>
      <c r="AX656" s="84" t="str">
        <f>IFERROR(ROUND((tblPiNHistorical[[#This Row],[GBV New]]-tblPiNHistorical[[#This Row],[GBV Old]])/tblPiNHistorical[[#This Row],[GBV Old]], 1), "")</f>
        <v/>
      </c>
      <c r="AY656" s="84" t="str">
        <f>IFERROR(ROUND((tblPiNHistorical[[#This Row],[Mine Action New]]-tblPiNHistorical[[#This Row],[Mine Action Old]])/tblPiNHistorical[[#This Row],[Mine Action Old]], 1), "")</f>
        <v/>
      </c>
      <c r="AZ656" s="140" t="str">
        <f>IFERROR(ROUND((tblPiNHistorical[[#This Row],[Shelter NFI New]]-tblPiNHistorical[[#This Row],[Shelter NFI Old]])/tblPiNHistorical[[#This Row],[Shelter NFI Old]], 1), "")</f>
        <v/>
      </c>
      <c r="BA656" s="31" t="str">
        <f>IFERROR(ROUND((tblPiNHistorical[[#This Row],[WASH New]]-tblPiNHistorical[[#This Row],[WASH Old]])/tblPiNHistorical[[#This Row],[WASH Old]], 1), "")</f>
        <v/>
      </c>
    </row>
    <row r="657" spans="1:53" ht="38.25" x14ac:dyDescent="0.25">
      <c r="A657"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Non-displaced PopulationSD13026</v>
      </c>
      <c r="B657" s="134" t="s">
        <v>170</v>
      </c>
      <c r="C657" s="124" t="s">
        <v>130</v>
      </c>
      <c r="D657" s="124" t="s">
        <v>474</v>
      </c>
      <c r="E657" s="59" t="s">
        <v>475</v>
      </c>
      <c r="F657" s="54"/>
      <c r="G657" s="29"/>
      <c r="H657" s="53">
        <v>82312</v>
      </c>
      <c r="I657" s="53" t="s">
        <v>89</v>
      </c>
      <c r="J657" s="34">
        <v>0</v>
      </c>
      <c r="K657" s="116">
        <v>0</v>
      </c>
      <c r="L657" s="114">
        <v>37040.400000000001</v>
      </c>
      <c r="M657" s="114">
        <v>0</v>
      </c>
      <c r="N657" s="114">
        <v>16802</v>
      </c>
      <c r="O657" s="114">
        <v>9054.3200000000015</v>
      </c>
      <c r="P657" s="114">
        <v>9054</v>
      </c>
      <c r="Q657" s="114">
        <v>4344</v>
      </c>
      <c r="R657" s="114">
        <v>0</v>
      </c>
      <c r="S657" s="114">
        <v>0</v>
      </c>
      <c r="T657" s="196">
        <v>71948.919200000004</v>
      </c>
      <c r="U657" s="52" t="str">
        <f>IFERROR(INDEX(tblPiNAnalysis[[Site Management ]], MATCH(tblPiNHistorical[[#This Row],[ID]], tblPiNAnalysis[ID], 0)), "")</f>
        <v/>
      </c>
      <c r="V657" s="52" t="str">
        <f>IFERROR(INDEX(tblPiNAnalysis[Education], MATCH(tblPiNHistorical[[#This Row],[ID]], tblPiNAnalysis[ID], 0)), "")</f>
        <v/>
      </c>
      <c r="W657" s="28" t="str">
        <f>IFERROR(INDEX(tblPiNAnalysis[Food Security and Livlihoods], MATCH(tblPiNHistorical[[#This Row],[ID]], tblPiNAnalysis[ID], 0)), "")</f>
        <v/>
      </c>
      <c r="X657" s="28" t="str">
        <f>IFERROR(INDEX(tblPiNAnalysis[[Health ]], MATCH(tblPiNHistorical[[#This Row],[ID]], tblPiNAnalysis[ID], 0)), "")</f>
        <v/>
      </c>
      <c r="Y657" s="28" t="str">
        <f>IFERROR(INDEX(tblPiNAnalysis[Nutrition], MATCH(tblPiNHistorical[[#This Row],[ID]], tblPiNAnalysis[ID], 0)), "")</f>
        <v/>
      </c>
      <c r="Z657" s="28" t="str">
        <f>IFERROR(INDEX(tblPiNAnalysis[Protection], MATCH(tblPiNHistorical[[#This Row],[ID]], tblPiNAnalysis[ID], 0)), "")</f>
        <v/>
      </c>
      <c r="AA657" s="28" t="str">
        <f>IFERROR(INDEX(tblPiNAnalysis[CP], MATCH(tblPiNHistorical[[#This Row],[ID]], tblPiNAnalysis[ID], 0)), "")</f>
        <v/>
      </c>
      <c r="AB657" s="83" t="str">
        <f>IFERROR(INDEX(tblPiNAnalysis[GBV], MATCH(tblPiNHistorical[[#This Row],[ID]], tblPiNAnalysis[ID], 0)), "")</f>
        <v/>
      </c>
      <c r="AC657" s="28" t="str">
        <f>IFERROR(INDEX(tblPiNAnalysis[Mine Action], MATCH(tblPiNHistorical[[#This Row],[ID]], tblPiNAnalysis[ID], 0)), "")</f>
        <v/>
      </c>
      <c r="AD657" s="83" t="str">
        <f>IFERROR(INDEX(tblPiNAnalysis[[Shelter NFI ]], MATCH(tblPiNHistorical[[#This Row],[ID]], tblPiNAnalysis[ID], 0)), "")</f>
        <v/>
      </c>
      <c r="AE657" s="28" t="str">
        <f>IFERROR(INDEX(tblPiNAnalysis[WASH], MATCH(tblPiNHistorical[[#This Row],[ID]], tblPiNAnalysis[ID], 0)), "")</f>
        <v/>
      </c>
      <c r="AF657"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657" s="136" t="str">
        <f>IF(OR(tblPiNHistorical[[#This Row],[Education Old]]="", tblPiNHistorical[[#This Row],[Education Old]]=0, tblPiNHistorical[[#This Row],[Education New]]="", tblPiNHistorical[[#This Row],[Education New]]=0), "", tblPiNHistorical[[#This Row],[Education New]]-tblPiNHistorical[[#This Row],[Education Old]])</f>
        <v/>
      </c>
      <c r="AH657"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657" s="137" t="str">
        <f>IF(OR(tblPiNHistorical[[#This Row],[Health Old]]="", tblPiNHistorical[[#This Row],[Health Old]]=0, tblPiNHistorical[[#This Row],[Health New]]="", tblPiNHistorical[[#This Row],[Health New]]=0), "", tblPiNHistorical[[#This Row],[Health New]]-tblPiNHistorical[[#This Row],[Health Old]])</f>
        <v/>
      </c>
      <c r="AJ657" s="136" t="str">
        <f>IF(OR(tblPiNHistorical[[#This Row],[Nutrition Old]]="", tblPiNHistorical[[#This Row],[Nutrition Old]]=0, tblPiNHistorical[[#This Row],[Nutrition New]]="", tblPiNHistorical[[#This Row],[Nutrition New]]=0), "", tblPiNHistorical[[#This Row],[Nutrition New]]-tblPiNHistorical[[#This Row],[Nutrition Old]])</f>
        <v/>
      </c>
      <c r="AK657" s="136" t="str">
        <f>IF(OR(tblPiNHistorical[[#This Row],[Protection Old]]="", tblPiNHistorical[[#This Row],[Protection Old]]=0, tblPiNHistorical[[#This Row],[Protection New]]="", tblPiNHistorical[[#This Row],[Protection New]]=0), "", tblPiNHistorical[[#This Row],[Protection New]]-tblPiNHistorical[[#This Row],[Protection Old]])</f>
        <v/>
      </c>
      <c r="AL657" s="136" t="str">
        <f>IF(OR(tblPiNHistorical[[#This Row],[CP Old ]]="", tblPiNHistorical[[#This Row],[CP Old ]]=0, tblPiNHistorical[[#This Row],[CP New]]="", tblPiNHistorical[[#This Row],[CP New]]=0), "", tblPiNHistorical[[#This Row],[CP New]]-tblPiNHistorical[[#This Row],[CP Old ]])</f>
        <v/>
      </c>
      <c r="AM657" s="83" t="str">
        <f>IF(OR(tblPiNHistorical[[#This Row],[GBV Old]]="", tblPiNHistorical[[#This Row],[GBV Old]]=0, tblPiNHistorical[[#This Row],[GBV New]]="", tblPiNHistorical[[#This Row],[GBV New]]=0), "", tblPiNHistorical[[#This Row],[GBV New]]-tblPiNHistorical[[#This Row],[GBV Old]])</f>
        <v/>
      </c>
      <c r="AN657" s="83" t="str">
        <f>IF(OR(tblPiNHistorical[[#This Row],[Mine Action Old]]="", tblPiNHistorical[[#This Row],[Mine Action Old]]=0, tblPiNHistorical[[#This Row],[Mine Action New]]="", tblPiNHistorical[[#This Row],[Mine Action New]]=0), "", tblPiNHistorical[[#This Row],[Mine Action New]]-tblPiNHistorical[[#This Row],[Mine Action Old]])</f>
        <v/>
      </c>
      <c r="AO657" s="136" t="str">
        <f>IF(OR(tblPiNHistorical[[#This Row],[Shelter NFI Old]]="", tblPiNHistorical[[#This Row],[Shelter NFI Old]]=0, tblPiNHistorical[[#This Row],[Shelter NFI New]]="", tblPiNHistorical[[#This Row],[Shelter NFI New]]=0), "", tblPiNHistorical[[#This Row],[Shelter NFI New]]-tblPiNHistorical[[#This Row],[Shelter NFI Old]])</f>
        <v/>
      </c>
      <c r="AP657" s="138" t="str">
        <f>IF(OR(tblPiNHistorical[[#This Row],[WASH Old]]="", tblPiNHistorical[[#This Row],[WASH Old]]=0, tblPiNHistorical[[#This Row],[WASH New]]="", tblPiNHistorical[[#This Row],[WASH New]]=0), "", tblPiNHistorical[[#This Row],[WASH New]]-tblPiNHistorical[[#This Row],[WASH Old]])</f>
        <v/>
      </c>
      <c r="AQ657" s="139" t="str">
        <f>IFERROR(ROUND((tblPiNHistorical[[#This Row],[Site Management - New]] - tblPiNHistorical[[#This Row],[Site Management - Old]])/tblPiNHistorical[[#This Row],[Site Management - Old]], 1), "")</f>
        <v/>
      </c>
      <c r="AR657" s="140" t="str">
        <f>IFERROR(ROUND((tblPiNHistorical[[#This Row],[Education New]]-tblPiNHistorical[[#This Row],[Education Old]])/tblPiNHistorical[[#This Row],[Education Old]], 1), "")</f>
        <v/>
      </c>
      <c r="AS657" s="141" t="str">
        <f>IFERROR(ROUND((tblPiNHistorical[[#This Row],[Food Security and Livlihoods New]]-tblPiNHistorical[[#This Row],[Food Security and Livlihoods Old]])/tblPiNHistorical[[#This Row],[Food Security and Livlihoods Old]], 1), "")</f>
        <v/>
      </c>
      <c r="AT657" s="142" t="str">
        <f>IFERROR(ROUND((tblPiNHistorical[[#This Row],[Health New]]-tblPiNHistorical[[#This Row],[Health Old]])/tblPiNHistorical[[#This Row],[Health Old]], 1), "")</f>
        <v/>
      </c>
      <c r="AU657" s="140" t="str">
        <f>IFERROR(ROUND((tblPiNHistorical[[#This Row],[Nutrition New]]-tblPiNHistorical[[#This Row],[Nutrition Old]])/tblPiNHistorical[[#This Row],[Nutrition Old]], 1), "")</f>
        <v/>
      </c>
      <c r="AV657" s="140" t="str">
        <f>IFERROR(ROUND((tblPiNHistorical[[#This Row],[Protection New]]-tblPiNHistorical[[#This Row],[Protection Old]])/tblPiNHistorical[[#This Row],[Protection Old]], 1), "")</f>
        <v/>
      </c>
      <c r="AW657" s="84" t="str">
        <f>IFERROR(ROUND((tblPiNHistorical[[#This Row],[CP New]]-tblPiNHistorical[[#This Row],[CP Old ]])/tblPiNHistorical[[#This Row],[CP Old ]], 1), "")</f>
        <v/>
      </c>
      <c r="AX657" s="84" t="str">
        <f>IFERROR(ROUND((tblPiNHistorical[[#This Row],[GBV New]]-tblPiNHistorical[[#This Row],[GBV Old]])/tblPiNHistorical[[#This Row],[GBV Old]], 1), "")</f>
        <v/>
      </c>
      <c r="AY657" s="84" t="str">
        <f>IFERROR(ROUND((tblPiNHistorical[[#This Row],[Mine Action New]]-tblPiNHistorical[[#This Row],[Mine Action Old]])/tblPiNHistorical[[#This Row],[Mine Action Old]], 1), "")</f>
        <v/>
      </c>
      <c r="AZ657" s="140" t="str">
        <f>IFERROR(ROUND((tblPiNHistorical[[#This Row],[Shelter NFI New]]-tblPiNHistorical[[#This Row],[Shelter NFI Old]])/tblPiNHistorical[[#This Row],[Shelter NFI Old]], 1), "")</f>
        <v/>
      </c>
      <c r="BA657" s="31" t="str">
        <f>IFERROR(ROUND((tblPiNHistorical[[#This Row],[WASH New]]-tblPiNHistorical[[#This Row],[WASH Old]])/tblPiNHistorical[[#This Row],[WASH Old]], 1), "")</f>
        <v/>
      </c>
    </row>
    <row r="658" spans="1:53" ht="38.25" x14ac:dyDescent="0.25">
      <c r="A658"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Non-displaced PopulationSD13027</v>
      </c>
      <c r="B658" s="134" t="s">
        <v>170</v>
      </c>
      <c r="C658" s="124" t="s">
        <v>130</v>
      </c>
      <c r="D658" s="124" t="s">
        <v>476</v>
      </c>
      <c r="E658" s="59" t="s">
        <v>477</v>
      </c>
      <c r="F658" s="54"/>
      <c r="G658" s="29"/>
      <c r="H658" s="53">
        <v>108875</v>
      </c>
      <c r="I658" s="53" t="s">
        <v>89</v>
      </c>
      <c r="J658" s="34">
        <v>0</v>
      </c>
      <c r="K658" s="116">
        <v>42210.837500000001</v>
      </c>
      <c r="L658" s="114">
        <v>48993.75</v>
      </c>
      <c r="M658" s="114">
        <v>0</v>
      </c>
      <c r="N658" s="114">
        <v>20775</v>
      </c>
      <c r="O658" s="114">
        <v>11976.250000000002</v>
      </c>
      <c r="P658" s="114">
        <v>11976</v>
      </c>
      <c r="Q658" s="114">
        <v>5747</v>
      </c>
      <c r="R658" s="114">
        <v>0</v>
      </c>
      <c r="S658" s="114">
        <v>21775</v>
      </c>
      <c r="T658" s="196">
        <v>94775.6875</v>
      </c>
      <c r="U658" s="52" t="str">
        <f>IFERROR(INDEX(tblPiNAnalysis[[Site Management ]], MATCH(tblPiNHistorical[[#This Row],[ID]], tblPiNAnalysis[ID], 0)), "")</f>
        <v/>
      </c>
      <c r="V658" s="52" t="str">
        <f>IFERROR(INDEX(tblPiNAnalysis[Education], MATCH(tblPiNHistorical[[#This Row],[ID]], tblPiNAnalysis[ID], 0)), "")</f>
        <v/>
      </c>
      <c r="W658" s="28" t="str">
        <f>IFERROR(INDEX(tblPiNAnalysis[Food Security and Livlihoods], MATCH(tblPiNHistorical[[#This Row],[ID]], tblPiNAnalysis[ID], 0)), "")</f>
        <v/>
      </c>
      <c r="X658" s="28" t="str">
        <f>IFERROR(INDEX(tblPiNAnalysis[[Health ]], MATCH(tblPiNHistorical[[#This Row],[ID]], tblPiNAnalysis[ID], 0)), "")</f>
        <v/>
      </c>
      <c r="Y658" s="28" t="str">
        <f>IFERROR(INDEX(tblPiNAnalysis[Nutrition], MATCH(tblPiNHistorical[[#This Row],[ID]], tblPiNAnalysis[ID], 0)), "")</f>
        <v/>
      </c>
      <c r="Z658" s="28" t="str">
        <f>IFERROR(INDEX(tblPiNAnalysis[Protection], MATCH(tblPiNHistorical[[#This Row],[ID]], tblPiNAnalysis[ID], 0)), "")</f>
        <v/>
      </c>
      <c r="AA658" s="28" t="str">
        <f>IFERROR(INDEX(tblPiNAnalysis[CP], MATCH(tblPiNHistorical[[#This Row],[ID]], tblPiNAnalysis[ID], 0)), "")</f>
        <v/>
      </c>
      <c r="AB658" s="83" t="str">
        <f>IFERROR(INDEX(tblPiNAnalysis[GBV], MATCH(tblPiNHistorical[[#This Row],[ID]], tblPiNAnalysis[ID], 0)), "")</f>
        <v/>
      </c>
      <c r="AC658" s="28" t="str">
        <f>IFERROR(INDEX(tblPiNAnalysis[Mine Action], MATCH(tblPiNHistorical[[#This Row],[ID]], tblPiNAnalysis[ID], 0)), "")</f>
        <v/>
      </c>
      <c r="AD658" s="83" t="str">
        <f>IFERROR(INDEX(tblPiNAnalysis[[Shelter NFI ]], MATCH(tblPiNHistorical[[#This Row],[ID]], tblPiNAnalysis[ID], 0)), "")</f>
        <v/>
      </c>
      <c r="AE658" s="28" t="str">
        <f>IFERROR(INDEX(tblPiNAnalysis[WASH], MATCH(tblPiNHistorical[[#This Row],[ID]], tblPiNAnalysis[ID], 0)), "")</f>
        <v/>
      </c>
      <c r="AF658"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658" s="136" t="str">
        <f>IF(OR(tblPiNHistorical[[#This Row],[Education Old]]="", tblPiNHistorical[[#This Row],[Education Old]]=0, tblPiNHistorical[[#This Row],[Education New]]="", tblPiNHistorical[[#This Row],[Education New]]=0), "", tblPiNHistorical[[#This Row],[Education New]]-tblPiNHistorical[[#This Row],[Education Old]])</f>
        <v/>
      </c>
      <c r="AH658"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658" s="137" t="str">
        <f>IF(OR(tblPiNHistorical[[#This Row],[Health Old]]="", tblPiNHistorical[[#This Row],[Health Old]]=0, tblPiNHistorical[[#This Row],[Health New]]="", tblPiNHistorical[[#This Row],[Health New]]=0), "", tblPiNHistorical[[#This Row],[Health New]]-tblPiNHistorical[[#This Row],[Health Old]])</f>
        <v/>
      </c>
      <c r="AJ658" s="136" t="str">
        <f>IF(OR(tblPiNHistorical[[#This Row],[Nutrition Old]]="", tblPiNHistorical[[#This Row],[Nutrition Old]]=0, tblPiNHistorical[[#This Row],[Nutrition New]]="", tblPiNHistorical[[#This Row],[Nutrition New]]=0), "", tblPiNHistorical[[#This Row],[Nutrition New]]-tblPiNHistorical[[#This Row],[Nutrition Old]])</f>
        <v/>
      </c>
      <c r="AK658" s="136" t="str">
        <f>IF(OR(tblPiNHistorical[[#This Row],[Protection Old]]="", tblPiNHistorical[[#This Row],[Protection Old]]=0, tblPiNHistorical[[#This Row],[Protection New]]="", tblPiNHistorical[[#This Row],[Protection New]]=0), "", tblPiNHistorical[[#This Row],[Protection New]]-tblPiNHistorical[[#This Row],[Protection Old]])</f>
        <v/>
      </c>
      <c r="AL658" s="136" t="str">
        <f>IF(OR(tblPiNHistorical[[#This Row],[CP Old ]]="", tblPiNHistorical[[#This Row],[CP Old ]]=0, tblPiNHistorical[[#This Row],[CP New]]="", tblPiNHistorical[[#This Row],[CP New]]=0), "", tblPiNHistorical[[#This Row],[CP New]]-tblPiNHistorical[[#This Row],[CP Old ]])</f>
        <v/>
      </c>
      <c r="AM658" s="83" t="str">
        <f>IF(OR(tblPiNHistorical[[#This Row],[GBV Old]]="", tblPiNHistorical[[#This Row],[GBV Old]]=0, tblPiNHistorical[[#This Row],[GBV New]]="", tblPiNHistorical[[#This Row],[GBV New]]=0), "", tblPiNHistorical[[#This Row],[GBV New]]-tblPiNHistorical[[#This Row],[GBV Old]])</f>
        <v/>
      </c>
      <c r="AN658" s="83" t="str">
        <f>IF(OR(tblPiNHistorical[[#This Row],[Mine Action Old]]="", tblPiNHistorical[[#This Row],[Mine Action Old]]=0, tblPiNHistorical[[#This Row],[Mine Action New]]="", tblPiNHistorical[[#This Row],[Mine Action New]]=0), "", tblPiNHistorical[[#This Row],[Mine Action New]]-tblPiNHistorical[[#This Row],[Mine Action Old]])</f>
        <v/>
      </c>
      <c r="AO658" s="136" t="str">
        <f>IF(OR(tblPiNHistorical[[#This Row],[Shelter NFI Old]]="", tblPiNHistorical[[#This Row],[Shelter NFI Old]]=0, tblPiNHistorical[[#This Row],[Shelter NFI New]]="", tblPiNHistorical[[#This Row],[Shelter NFI New]]=0), "", tblPiNHistorical[[#This Row],[Shelter NFI New]]-tblPiNHistorical[[#This Row],[Shelter NFI Old]])</f>
        <v/>
      </c>
      <c r="AP658" s="138" t="str">
        <f>IF(OR(tblPiNHistorical[[#This Row],[WASH Old]]="", tblPiNHistorical[[#This Row],[WASH Old]]=0, tblPiNHistorical[[#This Row],[WASH New]]="", tblPiNHistorical[[#This Row],[WASH New]]=0), "", tblPiNHistorical[[#This Row],[WASH New]]-tblPiNHistorical[[#This Row],[WASH Old]])</f>
        <v/>
      </c>
      <c r="AQ658" s="139" t="str">
        <f>IFERROR(ROUND((tblPiNHistorical[[#This Row],[Site Management - New]] - tblPiNHistorical[[#This Row],[Site Management - Old]])/tblPiNHistorical[[#This Row],[Site Management - Old]], 1), "")</f>
        <v/>
      </c>
      <c r="AR658" s="140" t="str">
        <f>IFERROR(ROUND((tblPiNHistorical[[#This Row],[Education New]]-tblPiNHistorical[[#This Row],[Education Old]])/tblPiNHistorical[[#This Row],[Education Old]], 1), "")</f>
        <v/>
      </c>
      <c r="AS658" s="141" t="str">
        <f>IFERROR(ROUND((tblPiNHistorical[[#This Row],[Food Security and Livlihoods New]]-tblPiNHistorical[[#This Row],[Food Security and Livlihoods Old]])/tblPiNHistorical[[#This Row],[Food Security and Livlihoods Old]], 1), "")</f>
        <v/>
      </c>
      <c r="AT658" s="142" t="str">
        <f>IFERROR(ROUND((tblPiNHistorical[[#This Row],[Health New]]-tblPiNHistorical[[#This Row],[Health Old]])/tblPiNHistorical[[#This Row],[Health Old]], 1), "")</f>
        <v/>
      </c>
      <c r="AU658" s="140" t="str">
        <f>IFERROR(ROUND((tblPiNHistorical[[#This Row],[Nutrition New]]-tblPiNHistorical[[#This Row],[Nutrition Old]])/tblPiNHistorical[[#This Row],[Nutrition Old]], 1), "")</f>
        <v/>
      </c>
      <c r="AV658" s="140" t="str">
        <f>IFERROR(ROUND((tblPiNHistorical[[#This Row],[Protection New]]-tblPiNHistorical[[#This Row],[Protection Old]])/tblPiNHistorical[[#This Row],[Protection Old]], 1), "")</f>
        <v/>
      </c>
      <c r="AW658" s="84" t="str">
        <f>IFERROR(ROUND((tblPiNHistorical[[#This Row],[CP New]]-tblPiNHistorical[[#This Row],[CP Old ]])/tblPiNHistorical[[#This Row],[CP Old ]], 1), "")</f>
        <v/>
      </c>
      <c r="AX658" s="84" t="str">
        <f>IFERROR(ROUND((tblPiNHistorical[[#This Row],[GBV New]]-tblPiNHistorical[[#This Row],[GBV Old]])/tblPiNHistorical[[#This Row],[GBV Old]], 1), "")</f>
        <v/>
      </c>
      <c r="AY658" s="84" t="str">
        <f>IFERROR(ROUND((tblPiNHistorical[[#This Row],[Mine Action New]]-tblPiNHistorical[[#This Row],[Mine Action Old]])/tblPiNHistorical[[#This Row],[Mine Action Old]], 1), "")</f>
        <v/>
      </c>
      <c r="AZ658" s="140" t="str">
        <f>IFERROR(ROUND((tblPiNHistorical[[#This Row],[Shelter NFI New]]-tblPiNHistorical[[#This Row],[Shelter NFI Old]])/tblPiNHistorical[[#This Row],[Shelter NFI Old]], 1), "")</f>
        <v/>
      </c>
      <c r="BA658" s="31" t="str">
        <f>IFERROR(ROUND((tblPiNHistorical[[#This Row],[WASH New]]-tblPiNHistorical[[#This Row],[WASH Old]])/tblPiNHistorical[[#This Row],[WASH Old]], 1), "")</f>
        <v/>
      </c>
    </row>
    <row r="659" spans="1:53" ht="38.25" x14ac:dyDescent="0.25">
      <c r="A659"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Non-displaced PopulationSD13029</v>
      </c>
      <c r="B659" s="134" t="s">
        <v>170</v>
      </c>
      <c r="C659" s="124" t="s">
        <v>130</v>
      </c>
      <c r="D659" s="124" t="s">
        <v>480</v>
      </c>
      <c r="E659" s="59" t="s">
        <v>481</v>
      </c>
      <c r="F659" s="54"/>
      <c r="G659" s="29"/>
      <c r="H659" s="53">
        <v>82264</v>
      </c>
      <c r="I659" s="53" t="s">
        <v>89</v>
      </c>
      <c r="J659" s="34">
        <v>0</v>
      </c>
      <c r="K659" s="116">
        <v>0</v>
      </c>
      <c r="L659" s="114">
        <v>37018.800000000003</v>
      </c>
      <c r="M659" s="114">
        <v>1305</v>
      </c>
      <c r="N659" s="114">
        <v>23613</v>
      </c>
      <c r="O659" s="114">
        <v>9049.0400000000009</v>
      </c>
      <c r="P659" s="114">
        <v>9049</v>
      </c>
      <c r="Q659" s="114">
        <v>4341</v>
      </c>
      <c r="R659" s="114">
        <v>0</v>
      </c>
      <c r="S659" s="114">
        <v>16453</v>
      </c>
      <c r="T659" s="196">
        <v>56581.179199999999</v>
      </c>
      <c r="U659" s="52" t="str">
        <f>IFERROR(INDEX(tblPiNAnalysis[[Site Management ]], MATCH(tblPiNHistorical[[#This Row],[ID]], tblPiNAnalysis[ID], 0)), "")</f>
        <v/>
      </c>
      <c r="V659" s="52" t="str">
        <f>IFERROR(INDEX(tblPiNAnalysis[Education], MATCH(tblPiNHistorical[[#This Row],[ID]], tblPiNAnalysis[ID], 0)), "")</f>
        <v/>
      </c>
      <c r="W659" s="28" t="str">
        <f>IFERROR(INDEX(tblPiNAnalysis[Food Security and Livlihoods], MATCH(tblPiNHistorical[[#This Row],[ID]], tblPiNAnalysis[ID], 0)), "")</f>
        <v/>
      </c>
      <c r="X659" s="28" t="str">
        <f>IFERROR(INDEX(tblPiNAnalysis[[Health ]], MATCH(tblPiNHistorical[[#This Row],[ID]], tblPiNAnalysis[ID], 0)), "")</f>
        <v/>
      </c>
      <c r="Y659" s="28" t="str">
        <f>IFERROR(INDEX(tblPiNAnalysis[Nutrition], MATCH(tblPiNHistorical[[#This Row],[ID]], tblPiNAnalysis[ID], 0)), "")</f>
        <v/>
      </c>
      <c r="Z659" s="28" t="str">
        <f>IFERROR(INDEX(tblPiNAnalysis[Protection], MATCH(tblPiNHistorical[[#This Row],[ID]], tblPiNAnalysis[ID], 0)), "")</f>
        <v/>
      </c>
      <c r="AA659" s="28" t="str">
        <f>IFERROR(INDEX(tblPiNAnalysis[CP], MATCH(tblPiNHistorical[[#This Row],[ID]], tblPiNAnalysis[ID], 0)), "")</f>
        <v/>
      </c>
      <c r="AB659" s="83" t="str">
        <f>IFERROR(INDEX(tblPiNAnalysis[GBV], MATCH(tblPiNHistorical[[#This Row],[ID]], tblPiNAnalysis[ID], 0)), "")</f>
        <v/>
      </c>
      <c r="AC659" s="28" t="str">
        <f>IFERROR(INDEX(tblPiNAnalysis[Mine Action], MATCH(tblPiNHistorical[[#This Row],[ID]], tblPiNAnalysis[ID], 0)), "")</f>
        <v/>
      </c>
      <c r="AD659" s="83" t="str">
        <f>IFERROR(INDEX(tblPiNAnalysis[[Shelter NFI ]], MATCH(tblPiNHistorical[[#This Row],[ID]], tblPiNAnalysis[ID], 0)), "")</f>
        <v/>
      </c>
      <c r="AE659" s="28" t="str">
        <f>IFERROR(INDEX(tblPiNAnalysis[WASH], MATCH(tblPiNHistorical[[#This Row],[ID]], tblPiNAnalysis[ID], 0)), "")</f>
        <v/>
      </c>
      <c r="AF659"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659" s="136" t="str">
        <f>IF(OR(tblPiNHistorical[[#This Row],[Education Old]]="", tblPiNHistorical[[#This Row],[Education Old]]=0, tblPiNHistorical[[#This Row],[Education New]]="", tblPiNHistorical[[#This Row],[Education New]]=0), "", tblPiNHistorical[[#This Row],[Education New]]-tblPiNHistorical[[#This Row],[Education Old]])</f>
        <v/>
      </c>
      <c r="AH659"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659" s="137" t="str">
        <f>IF(OR(tblPiNHistorical[[#This Row],[Health Old]]="", tblPiNHistorical[[#This Row],[Health Old]]=0, tblPiNHistorical[[#This Row],[Health New]]="", tblPiNHistorical[[#This Row],[Health New]]=0), "", tblPiNHistorical[[#This Row],[Health New]]-tblPiNHistorical[[#This Row],[Health Old]])</f>
        <v/>
      </c>
      <c r="AJ659" s="136" t="str">
        <f>IF(OR(tblPiNHistorical[[#This Row],[Nutrition Old]]="", tblPiNHistorical[[#This Row],[Nutrition Old]]=0, tblPiNHistorical[[#This Row],[Nutrition New]]="", tblPiNHistorical[[#This Row],[Nutrition New]]=0), "", tblPiNHistorical[[#This Row],[Nutrition New]]-tblPiNHistorical[[#This Row],[Nutrition Old]])</f>
        <v/>
      </c>
      <c r="AK659" s="136" t="str">
        <f>IF(OR(tblPiNHistorical[[#This Row],[Protection Old]]="", tblPiNHistorical[[#This Row],[Protection Old]]=0, tblPiNHistorical[[#This Row],[Protection New]]="", tblPiNHistorical[[#This Row],[Protection New]]=0), "", tblPiNHistorical[[#This Row],[Protection New]]-tblPiNHistorical[[#This Row],[Protection Old]])</f>
        <v/>
      </c>
      <c r="AL659" s="136" t="str">
        <f>IF(OR(tblPiNHistorical[[#This Row],[CP Old ]]="", tblPiNHistorical[[#This Row],[CP Old ]]=0, tblPiNHistorical[[#This Row],[CP New]]="", tblPiNHistorical[[#This Row],[CP New]]=0), "", tblPiNHistorical[[#This Row],[CP New]]-tblPiNHistorical[[#This Row],[CP Old ]])</f>
        <v/>
      </c>
      <c r="AM659" s="83" t="str">
        <f>IF(OR(tblPiNHistorical[[#This Row],[GBV Old]]="", tblPiNHistorical[[#This Row],[GBV Old]]=0, tblPiNHistorical[[#This Row],[GBV New]]="", tblPiNHistorical[[#This Row],[GBV New]]=0), "", tblPiNHistorical[[#This Row],[GBV New]]-tblPiNHistorical[[#This Row],[GBV Old]])</f>
        <v/>
      </c>
      <c r="AN659" s="83" t="str">
        <f>IF(OR(tblPiNHistorical[[#This Row],[Mine Action Old]]="", tblPiNHistorical[[#This Row],[Mine Action Old]]=0, tblPiNHistorical[[#This Row],[Mine Action New]]="", tblPiNHistorical[[#This Row],[Mine Action New]]=0), "", tblPiNHistorical[[#This Row],[Mine Action New]]-tblPiNHistorical[[#This Row],[Mine Action Old]])</f>
        <v/>
      </c>
      <c r="AO659" s="136" t="str">
        <f>IF(OR(tblPiNHistorical[[#This Row],[Shelter NFI Old]]="", tblPiNHistorical[[#This Row],[Shelter NFI Old]]=0, tblPiNHistorical[[#This Row],[Shelter NFI New]]="", tblPiNHistorical[[#This Row],[Shelter NFI New]]=0), "", tblPiNHistorical[[#This Row],[Shelter NFI New]]-tblPiNHistorical[[#This Row],[Shelter NFI Old]])</f>
        <v/>
      </c>
      <c r="AP659" s="138" t="str">
        <f>IF(OR(tblPiNHistorical[[#This Row],[WASH Old]]="", tblPiNHistorical[[#This Row],[WASH Old]]=0, tblPiNHistorical[[#This Row],[WASH New]]="", tblPiNHistorical[[#This Row],[WASH New]]=0), "", tblPiNHistorical[[#This Row],[WASH New]]-tblPiNHistorical[[#This Row],[WASH Old]])</f>
        <v/>
      </c>
      <c r="AQ659" s="139" t="str">
        <f>IFERROR(ROUND((tblPiNHistorical[[#This Row],[Site Management - New]] - tblPiNHistorical[[#This Row],[Site Management - Old]])/tblPiNHistorical[[#This Row],[Site Management - Old]], 1), "")</f>
        <v/>
      </c>
      <c r="AR659" s="140" t="str">
        <f>IFERROR(ROUND((tblPiNHistorical[[#This Row],[Education New]]-tblPiNHistorical[[#This Row],[Education Old]])/tblPiNHistorical[[#This Row],[Education Old]], 1), "")</f>
        <v/>
      </c>
      <c r="AS659" s="141" t="str">
        <f>IFERROR(ROUND((tblPiNHistorical[[#This Row],[Food Security and Livlihoods New]]-tblPiNHistorical[[#This Row],[Food Security and Livlihoods Old]])/tblPiNHistorical[[#This Row],[Food Security and Livlihoods Old]], 1), "")</f>
        <v/>
      </c>
      <c r="AT659" s="142" t="str">
        <f>IFERROR(ROUND((tblPiNHistorical[[#This Row],[Health New]]-tblPiNHistorical[[#This Row],[Health Old]])/tblPiNHistorical[[#This Row],[Health Old]], 1), "")</f>
        <v/>
      </c>
      <c r="AU659" s="140" t="str">
        <f>IFERROR(ROUND((tblPiNHistorical[[#This Row],[Nutrition New]]-tblPiNHistorical[[#This Row],[Nutrition Old]])/tblPiNHistorical[[#This Row],[Nutrition Old]], 1), "")</f>
        <v/>
      </c>
      <c r="AV659" s="140" t="str">
        <f>IFERROR(ROUND((tblPiNHistorical[[#This Row],[Protection New]]-tblPiNHistorical[[#This Row],[Protection Old]])/tblPiNHistorical[[#This Row],[Protection Old]], 1), "")</f>
        <v/>
      </c>
      <c r="AW659" s="84" t="str">
        <f>IFERROR(ROUND((tblPiNHistorical[[#This Row],[CP New]]-tblPiNHistorical[[#This Row],[CP Old ]])/tblPiNHistorical[[#This Row],[CP Old ]], 1), "")</f>
        <v/>
      </c>
      <c r="AX659" s="84" t="str">
        <f>IFERROR(ROUND((tblPiNHistorical[[#This Row],[GBV New]]-tblPiNHistorical[[#This Row],[GBV Old]])/tblPiNHistorical[[#This Row],[GBV Old]], 1), "")</f>
        <v/>
      </c>
      <c r="AY659" s="84" t="str">
        <f>IFERROR(ROUND((tblPiNHistorical[[#This Row],[Mine Action New]]-tblPiNHistorical[[#This Row],[Mine Action Old]])/tblPiNHistorical[[#This Row],[Mine Action Old]], 1), "")</f>
        <v/>
      </c>
      <c r="AZ659" s="140" t="str">
        <f>IFERROR(ROUND((tblPiNHistorical[[#This Row],[Shelter NFI New]]-tblPiNHistorical[[#This Row],[Shelter NFI Old]])/tblPiNHistorical[[#This Row],[Shelter NFI Old]], 1), "")</f>
        <v/>
      </c>
      <c r="BA659" s="31" t="str">
        <f>IFERROR(ROUND((tblPiNHistorical[[#This Row],[WASH New]]-tblPiNHistorical[[#This Row],[WASH Old]])/tblPiNHistorical[[#This Row],[WASH Old]], 1), "")</f>
        <v/>
      </c>
    </row>
    <row r="660" spans="1:53" ht="38.25" x14ac:dyDescent="0.25">
      <c r="A660"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Non-displaced PopulationSD13024</v>
      </c>
      <c r="B660" s="134" t="s">
        <v>170</v>
      </c>
      <c r="C660" s="124" t="s">
        <v>130</v>
      </c>
      <c r="D660" s="124" t="s">
        <v>470</v>
      </c>
      <c r="E660" s="59" t="s">
        <v>471</v>
      </c>
      <c r="F660" s="54"/>
      <c r="G660" s="29"/>
      <c r="H660" s="53">
        <v>317032.8</v>
      </c>
      <c r="I660" s="53" t="s">
        <v>89</v>
      </c>
      <c r="J660" s="34">
        <v>0</v>
      </c>
      <c r="K660" s="116">
        <v>122913.61655999999</v>
      </c>
      <c r="L660" s="114">
        <v>190219.68</v>
      </c>
      <c r="M660" s="114">
        <v>2500</v>
      </c>
      <c r="N660" s="114">
        <v>51679</v>
      </c>
      <c r="O660" s="114">
        <v>34873.608</v>
      </c>
      <c r="P660" s="114">
        <v>34874</v>
      </c>
      <c r="Q660" s="114">
        <v>33461</v>
      </c>
      <c r="R660" s="114">
        <v>31703.279999999999</v>
      </c>
      <c r="S660" s="114">
        <v>95110</v>
      </c>
      <c r="T660" s="196">
        <v>170373.42671999999</v>
      </c>
      <c r="U660" s="52" t="str">
        <f>IFERROR(INDEX(tblPiNAnalysis[[Site Management ]], MATCH(tblPiNHistorical[[#This Row],[ID]], tblPiNAnalysis[ID], 0)), "")</f>
        <v/>
      </c>
      <c r="V660" s="52" t="str">
        <f>IFERROR(INDEX(tblPiNAnalysis[Education], MATCH(tblPiNHistorical[[#This Row],[ID]], tblPiNAnalysis[ID], 0)), "")</f>
        <v/>
      </c>
      <c r="W660" s="28" t="str">
        <f>IFERROR(INDEX(tblPiNAnalysis[Food Security and Livlihoods], MATCH(tblPiNHistorical[[#This Row],[ID]], tblPiNAnalysis[ID], 0)), "")</f>
        <v/>
      </c>
      <c r="X660" s="28" t="str">
        <f>IFERROR(INDEX(tblPiNAnalysis[[Health ]], MATCH(tblPiNHistorical[[#This Row],[ID]], tblPiNAnalysis[ID], 0)), "")</f>
        <v/>
      </c>
      <c r="Y660" s="28" t="str">
        <f>IFERROR(INDEX(tblPiNAnalysis[Nutrition], MATCH(tblPiNHistorical[[#This Row],[ID]], tblPiNAnalysis[ID], 0)), "")</f>
        <v/>
      </c>
      <c r="Z660" s="28" t="str">
        <f>IFERROR(INDEX(tblPiNAnalysis[Protection], MATCH(tblPiNHistorical[[#This Row],[ID]], tblPiNAnalysis[ID], 0)), "")</f>
        <v/>
      </c>
      <c r="AA660" s="28" t="str">
        <f>IFERROR(INDEX(tblPiNAnalysis[CP], MATCH(tblPiNHistorical[[#This Row],[ID]], tblPiNAnalysis[ID], 0)), "")</f>
        <v/>
      </c>
      <c r="AB660" s="83" t="str">
        <f>IFERROR(INDEX(tblPiNAnalysis[GBV], MATCH(tblPiNHistorical[[#This Row],[ID]], tblPiNAnalysis[ID], 0)), "")</f>
        <v/>
      </c>
      <c r="AC660" s="28" t="str">
        <f>IFERROR(INDEX(tblPiNAnalysis[Mine Action], MATCH(tblPiNHistorical[[#This Row],[ID]], tblPiNAnalysis[ID], 0)), "")</f>
        <v/>
      </c>
      <c r="AD660" s="83" t="str">
        <f>IFERROR(INDEX(tblPiNAnalysis[[Shelter NFI ]], MATCH(tblPiNHistorical[[#This Row],[ID]], tblPiNAnalysis[ID], 0)), "")</f>
        <v/>
      </c>
      <c r="AE660" s="28" t="str">
        <f>IFERROR(INDEX(tblPiNAnalysis[WASH], MATCH(tblPiNHistorical[[#This Row],[ID]], tblPiNAnalysis[ID], 0)), "")</f>
        <v/>
      </c>
      <c r="AF660"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660" s="136" t="str">
        <f>IF(OR(tblPiNHistorical[[#This Row],[Education Old]]="", tblPiNHistorical[[#This Row],[Education Old]]=0, tblPiNHistorical[[#This Row],[Education New]]="", tblPiNHistorical[[#This Row],[Education New]]=0), "", tblPiNHistorical[[#This Row],[Education New]]-tblPiNHistorical[[#This Row],[Education Old]])</f>
        <v/>
      </c>
      <c r="AH660"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660" s="137" t="str">
        <f>IF(OR(tblPiNHistorical[[#This Row],[Health Old]]="", tblPiNHistorical[[#This Row],[Health Old]]=0, tblPiNHistorical[[#This Row],[Health New]]="", tblPiNHistorical[[#This Row],[Health New]]=0), "", tblPiNHistorical[[#This Row],[Health New]]-tblPiNHistorical[[#This Row],[Health Old]])</f>
        <v/>
      </c>
      <c r="AJ660" s="136" t="str">
        <f>IF(OR(tblPiNHistorical[[#This Row],[Nutrition Old]]="", tblPiNHistorical[[#This Row],[Nutrition Old]]=0, tblPiNHistorical[[#This Row],[Nutrition New]]="", tblPiNHistorical[[#This Row],[Nutrition New]]=0), "", tblPiNHistorical[[#This Row],[Nutrition New]]-tblPiNHistorical[[#This Row],[Nutrition Old]])</f>
        <v/>
      </c>
      <c r="AK660" s="136" t="str">
        <f>IF(OR(tblPiNHistorical[[#This Row],[Protection Old]]="", tblPiNHistorical[[#This Row],[Protection Old]]=0, tblPiNHistorical[[#This Row],[Protection New]]="", tblPiNHistorical[[#This Row],[Protection New]]=0), "", tblPiNHistorical[[#This Row],[Protection New]]-tblPiNHistorical[[#This Row],[Protection Old]])</f>
        <v/>
      </c>
      <c r="AL660" s="136" t="str">
        <f>IF(OR(tblPiNHistorical[[#This Row],[CP Old ]]="", tblPiNHistorical[[#This Row],[CP Old ]]=0, tblPiNHistorical[[#This Row],[CP New]]="", tblPiNHistorical[[#This Row],[CP New]]=0), "", tblPiNHistorical[[#This Row],[CP New]]-tblPiNHistorical[[#This Row],[CP Old ]])</f>
        <v/>
      </c>
      <c r="AM660" s="83" t="str">
        <f>IF(OR(tblPiNHistorical[[#This Row],[GBV Old]]="", tblPiNHistorical[[#This Row],[GBV Old]]=0, tblPiNHistorical[[#This Row],[GBV New]]="", tblPiNHistorical[[#This Row],[GBV New]]=0), "", tblPiNHistorical[[#This Row],[GBV New]]-tblPiNHistorical[[#This Row],[GBV Old]])</f>
        <v/>
      </c>
      <c r="AN660" s="83" t="str">
        <f>IF(OR(tblPiNHistorical[[#This Row],[Mine Action Old]]="", tblPiNHistorical[[#This Row],[Mine Action Old]]=0, tblPiNHistorical[[#This Row],[Mine Action New]]="", tblPiNHistorical[[#This Row],[Mine Action New]]=0), "", tblPiNHistorical[[#This Row],[Mine Action New]]-tblPiNHistorical[[#This Row],[Mine Action Old]])</f>
        <v/>
      </c>
      <c r="AO660" s="136" t="str">
        <f>IF(OR(tblPiNHistorical[[#This Row],[Shelter NFI Old]]="", tblPiNHistorical[[#This Row],[Shelter NFI Old]]=0, tblPiNHistorical[[#This Row],[Shelter NFI New]]="", tblPiNHistorical[[#This Row],[Shelter NFI New]]=0), "", tblPiNHistorical[[#This Row],[Shelter NFI New]]-tblPiNHistorical[[#This Row],[Shelter NFI Old]])</f>
        <v/>
      </c>
      <c r="AP660" s="138" t="str">
        <f>IF(OR(tblPiNHistorical[[#This Row],[WASH Old]]="", tblPiNHistorical[[#This Row],[WASH Old]]=0, tblPiNHistorical[[#This Row],[WASH New]]="", tblPiNHistorical[[#This Row],[WASH New]]=0), "", tblPiNHistorical[[#This Row],[WASH New]]-tblPiNHistorical[[#This Row],[WASH Old]])</f>
        <v/>
      </c>
      <c r="AQ660" s="139" t="str">
        <f>IFERROR(ROUND((tblPiNHistorical[[#This Row],[Site Management - New]] - tblPiNHistorical[[#This Row],[Site Management - Old]])/tblPiNHistorical[[#This Row],[Site Management - Old]], 1), "")</f>
        <v/>
      </c>
      <c r="AR660" s="140" t="str">
        <f>IFERROR(ROUND((tblPiNHistorical[[#This Row],[Education New]]-tblPiNHistorical[[#This Row],[Education Old]])/tblPiNHistorical[[#This Row],[Education Old]], 1), "")</f>
        <v/>
      </c>
      <c r="AS660" s="141" t="str">
        <f>IFERROR(ROUND((tblPiNHistorical[[#This Row],[Food Security and Livlihoods New]]-tblPiNHistorical[[#This Row],[Food Security and Livlihoods Old]])/tblPiNHistorical[[#This Row],[Food Security and Livlihoods Old]], 1), "")</f>
        <v/>
      </c>
      <c r="AT660" s="142" t="str">
        <f>IFERROR(ROUND((tblPiNHistorical[[#This Row],[Health New]]-tblPiNHistorical[[#This Row],[Health Old]])/tblPiNHistorical[[#This Row],[Health Old]], 1), "")</f>
        <v/>
      </c>
      <c r="AU660" s="140" t="str">
        <f>IFERROR(ROUND((tblPiNHistorical[[#This Row],[Nutrition New]]-tblPiNHistorical[[#This Row],[Nutrition Old]])/tblPiNHistorical[[#This Row],[Nutrition Old]], 1), "")</f>
        <v/>
      </c>
      <c r="AV660" s="140" t="str">
        <f>IFERROR(ROUND((tblPiNHistorical[[#This Row],[Protection New]]-tblPiNHistorical[[#This Row],[Protection Old]])/tblPiNHistorical[[#This Row],[Protection Old]], 1), "")</f>
        <v/>
      </c>
      <c r="AW660" s="84" t="str">
        <f>IFERROR(ROUND((tblPiNHistorical[[#This Row],[CP New]]-tblPiNHistorical[[#This Row],[CP Old ]])/tblPiNHistorical[[#This Row],[CP Old ]], 1), "")</f>
        <v/>
      </c>
      <c r="AX660" s="84" t="str">
        <f>IFERROR(ROUND((tblPiNHistorical[[#This Row],[GBV New]]-tblPiNHistorical[[#This Row],[GBV Old]])/tblPiNHistorical[[#This Row],[GBV Old]], 1), "")</f>
        <v/>
      </c>
      <c r="AY660" s="84" t="str">
        <f>IFERROR(ROUND((tblPiNHistorical[[#This Row],[Mine Action New]]-tblPiNHistorical[[#This Row],[Mine Action Old]])/tblPiNHistorical[[#This Row],[Mine Action Old]], 1), "")</f>
        <v/>
      </c>
      <c r="AZ660" s="140" t="str">
        <f>IFERROR(ROUND((tblPiNHistorical[[#This Row],[Shelter NFI New]]-tblPiNHistorical[[#This Row],[Shelter NFI Old]])/tblPiNHistorical[[#This Row],[Shelter NFI Old]], 1), "")</f>
        <v/>
      </c>
      <c r="BA660" s="31" t="str">
        <f>IFERROR(ROUND((tblPiNHistorical[[#This Row],[WASH New]]-tblPiNHistorical[[#This Row],[WASH Old]])/tblPiNHistorical[[#This Row],[WASH Old]], 1), "")</f>
        <v/>
      </c>
    </row>
    <row r="661" spans="1:53" ht="38.25" x14ac:dyDescent="0.25">
      <c r="A661"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Non-displaced PopulationSD13025</v>
      </c>
      <c r="B661" s="134" t="s">
        <v>170</v>
      </c>
      <c r="C661" s="124" t="s">
        <v>130</v>
      </c>
      <c r="D661" s="124" t="s">
        <v>472</v>
      </c>
      <c r="E661" s="59" t="s">
        <v>473</v>
      </c>
      <c r="F661" s="54"/>
      <c r="G661" s="29"/>
      <c r="H661" s="53">
        <v>142583</v>
      </c>
      <c r="I661" s="53" t="s">
        <v>89</v>
      </c>
      <c r="J661" s="34">
        <v>0</v>
      </c>
      <c r="K661" s="116">
        <v>55279.429100000001</v>
      </c>
      <c r="L661" s="114">
        <v>71291.5</v>
      </c>
      <c r="M661" s="114">
        <v>0</v>
      </c>
      <c r="N661" s="114">
        <v>23058</v>
      </c>
      <c r="O661" s="114">
        <v>15684.130000000003</v>
      </c>
      <c r="P661" s="114">
        <v>15684</v>
      </c>
      <c r="Q661" s="114">
        <v>7525</v>
      </c>
      <c r="R661" s="114">
        <v>0</v>
      </c>
      <c r="S661" s="114">
        <v>28517</v>
      </c>
      <c r="T661" s="196">
        <v>135624.94959999999</v>
      </c>
      <c r="U661" s="52" t="str">
        <f>IFERROR(INDEX(tblPiNAnalysis[[Site Management ]], MATCH(tblPiNHistorical[[#This Row],[ID]], tblPiNAnalysis[ID], 0)), "")</f>
        <v/>
      </c>
      <c r="V661" s="52" t="str">
        <f>IFERROR(INDEX(tblPiNAnalysis[Education], MATCH(tblPiNHistorical[[#This Row],[ID]], tblPiNAnalysis[ID], 0)), "")</f>
        <v/>
      </c>
      <c r="W661" s="28" t="str">
        <f>IFERROR(INDEX(tblPiNAnalysis[Food Security and Livlihoods], MATCH(tblPiNHistorical[[#This Row],[ID]], tblPiNAnalysis[ID], 0)), "")</f>
        <v/>
      </c>
      <c r="X661" s="28" t="str">
        <f>IFERROR(INDEX(tblPiNAnalysis[[Health ]], MATCH(tblPiNHistorical[[#This Row],[ID]], tblPiNAnalysis[ID], 0)), "")</f>
        <v/>
      </c>
      <c r="Y661" s="28" t="str">
        <f>IFERROR(INDEX(tblPiNAnalysis[Nutrition], MATCH(tblPiNHistorical[[#This Row],[ID]], tblPiNAnalysis[ID], 0)), "")</f>
        <v/>
      </c>
      <c r="Z661" s="28" t="str">
        <f>IFERROR(INDEX(tblPiNAnalysis[Protection], MATCH(tblPiNHistorical[[#This Row],[ID]], tblPiNAnalysis[ID], 0)), "")</f>
        <v/>
      </c>
      <c r="AA661" s="28" t="str">
        <f>IFERROR(INDEX(tblPiNAnalysis[CP], MATCH(tblPiNHistorical[[#This Row],[ID]], tblPiNAnalysis[ID], 0)), "")</f>
        <v/>
      </c>
      <c r="AB661" s="83" t="str">
        <f>IFERROR(INDEX(tblPiNAnalysis[GBV], MATCH(tblPiNHistorical[[#This Row],[ID]], tblPiNAnalysis[ID], 0)), "")</f>
        <v/>
      </c>
      <c r="AC661" s="28" t="str">
        <f>IFERROR(INDEX(tblPiNAnalysis[Mine Action], MATCH(tblPiNHistorical[[#This Row],[ID]], tblPiNAnalysis[ID], 0)), "")</f>
        <v/>
      </c>
      <c r="AD661" s="83" t="str">
        <f>IFERROR(INDEX(tblPiNAnalysis[[Shelter NFI ]], MATCH(tblPiNHistorical[[#This Row],[ID]], tblPiNAnalysis[ID], 0)), "")</f>
        <v/>
      </c>
      <c r="AE661" s="28" t="str">
        <f>IFERROR(INDEX(tblPiNAnalysis[WASH], MATCH(tblPiNHistorical[[#This Row],[ID]], tblPiNAnalysis[ID], 0)), "")</f>
        <v/>
      </c>
      <c r="AF661"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661" s="136" t="str">
        <f>IF(OR(tblPiNHistorical[[#This Row],[Education Old]]="", tblPiNHistorical[[#This Row],[Education Old]]=0, tblPiNHistorical[[#This Row],[Education New]]="", tblPiNHistorical[[#This Row],[Education New]]=0), "", tblPiNHistorical[[#This Row],[Education New]]-tblPiNHistorical[[#This Row],[Education Old]])</f>
        <v/>
      </c>
      <c r="AH661"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661" s="137" t="str">
        <f>IF(OR(tblPiNHistorical[[#This Row],[Health Old]]="", tblPiNHistorical[[#This Row],[Health Old]]=0, tblPiNHistorical[[#This Row],[Health New]]="", tblPiNHistorical[[#This Row],[Health New]]=0), "", tblPiNHistorical[[#This Row],[Health New]]-tblPiNHistorical[[#This Row],[Health Old]])</f>
        <v/>
      </c>
      <c r="AJ661" s="136" t="str">
        <f>IF(OR(tblPiNHistorical[[#This Row],[Nutrition Old]]="", tblPiNHistorical[[#This Row],[Nutrition Old]]=0, tblPiNHistorical[[#This Row],[Nutrition New]]="", tblPiNHistorical[[#This Row],[Nutrition New]]=0), "", tblPiNHistorical[[#This Row],[Nutrition New]]-tblPiNHistorical[[#This Row],[Nutrition Old]])</f>
        <v/>
      </c>
      <c r="AK661" s="136" t="str">
        <f>IF(OR(tblPiNHistorical[[#This Row],[Protection Old]]="", tblPiNHistorical[[#This Row],[Protection Old]]=0, tblPiNHistorical[[#This Row],[Protection New]]="", tblPiNHistorical[[#This Row],[Protection New]]=0), "", tblPiNHistorical[[#This Row],[Protection New]]-tblPiNHistorical[[#This Row],[Protection Old]])</f>
        <v/>
      </c>
      <c r="AL661" s="136" t="str">
        <f>IF(OR(tblPiNHistorical[[#This Row],[CP Old ]]="", tblPiNHistorical[[#This Row],[CP Old ]]=0, tblPiNHistorical[[#This Row],[CP New]]="", tblPiNHistorical[[#This Row],[CP New]]=0), "", tblPiNHistorical[[#This Row],[CP New]]-tblPiNHistorical[[#This Row],[CP Old ]])</f>
        <v/>
      </c>
      <c r="AM661" s="83" t="str">
        <f>IF(OR(tblPiNHistorical[[#This Row],[GBV Old]]="", tblPiNHistorical[[#This Row],[GBV Old]]=0, tblPiNHistorical[[#This Row],[GBV New]]="", tblPiNHistorical[[#This Row],[GBV New]]=0), "", tblPiNHistorical[[#This Row],[GBV New]]-tblPiNHistorical[[#This Row],[GBV Old]])</f>
        <v/>
      </c>
      <c r="AN661" s="83" t="str">
        <f>IF(OR(tblPiNHistorical[[#This Row],[Mine Action Old]]="", tblPiNHistorical[[#This Row],[Mine Action Old]]=0, tblPiNHistorical[[#This Row],[Mine Action New]]="", tblPiNHistorical[[#This Row],[Mine Action New]]=0), "", tblPiNHistorical[[#This Row],[Mine Action New]]-tblPiNHistorical[[#This Row],[Mine Action Old]])</f>
        <v/>
      </c>
      <c r="AO661" s="136" t="str">
        <f>IF(OR(tblPiNHistorical[[#This Row],[Shelter NFI Old]]="", tblPiNHistorical[[#This Row],[Shelter NFI Old]]=0, tblPiNHistorical[[#This Row],[Shelter NFI New]]="", tblPiNHistorical[[#This Row],[Shelter NFI New]]=0), "", tblPiNHistorical[[#This Row],[Shelter NFI New]]-tblPiNHistorical[[#This Row],[Shelter NFI Old]])</f>
        <v/>
      </c>
      <c r="AP661" s="138" t="str">
        <f>IF(OR(tblPiNHistorical[[#This Row],[WASH Old]]="", tblPiNHistorical[[#This Row],[WASH Old]]=0, tblPiNHistorical[[#This Row],[WASH New]]="", tblPiNHistorical[[#This Row],[WASH New]]=0), "", tblPiNHistorical[[#This Row],[WASH New]]-tblPiNHistorical[[#This Row],[WASH Old]])</f>
        <v/>
      </c>
      <c r="AQ661" s="139" t="str">
        <f>IFERROR(ROUND((tblPiNHistorical[[#This Row],[Site Management - New]] - tblPiNHistorical[[#This Row],[Site Management - Old]])/tblPiNHistorical[[#This Row],[Site Management - Old]], 1), "")</f>
        <v/>
      </c>
      <c r="AR661" s="140" t="str">
        <f>IFERROR(ROUND((tblPiNHistorical[[#This Row],[Education New]]-tblPiNHistorical[[#This Row],[Education Old]])/tblPiNHistorical[[#This Row],[Education Old]], 1), "")</f>
        <v/>
      </c>
      <c r="AS661" s="141" t="str">
        <f>IFERROR(ROUND((tblPiNHistorical[[#This Row],[Food Security and Livlihoods New]]-tblPiNHistorical[[#This Row],[Food Security and Livlihoods Old]])/tblPiNHistorical[[#This Row],[Food Security and Livlihoods Old]], 1), "")</f>
        <v/>
      </c>
      <c r="AT661" s="142" t="str">
        <f>IFERROR(ROUND((tblPiNHistorical[[#This Row],[Health New]]-tblPiNHistorical[[#This Row],[Health Old]])/tblPiNHistorical[[#This Row],[Health Old]], 1), "")</f>
        <v/>
      </c>
      <c r="AU661" s="140" t="str">
        <f>IFERROR(ROUND((tblPiNHistorical[[#This Row],[Nutrition New]]-tblPiNHistorical[[#This Row],[Nutrition Old]])/tblPiNHistorical[[#This Row],[Nutrition Old]], 1), "")</f>
        <v/>
      </c>
      <c r="AV661" s="140" t="str">
        <f>IFERROR(ROUND((tblPiNHistorical[[#This Row],[Protection New]]-tblPiNHistorical[[#This Row],[Protection Old]])/tblPiNHistorical[[#This Row],[Protection Old]], 1), "")</f>
        <v/>
      </c>
      <c r="AW661" s="84" t="str">
        <f>IFERROR(ROUND((tblPiNHistorical[[#This Row],[CP New]]-tblPiNHistorical[[#This Row],[CP Old ]])/tblPiNHistorical[[#This Row],[CP Old ]], 1), "")</f>
        <v/>
      </c>
      <c r="AX661" s="84" t="str">
        <f>IFERROR(ROUND((tblPiNHistorical[[#This Row],[GBV New]]-tblPiNHistorical[[#This Row],[GBV Old]])/tblPiNHistorical[[#This Row],[GBV Old]], 1), "")</f>
        <v/>
      </c>
      <c r="AY661" s="84" t="str">
        <f>IFERROR(ROUND((tblPiNHistorical[[#This Row],[Mine Action New]]-tblPiNHistorical[[#This Row],[Mine Action Old]])/tblPiNHistorical[[#This Row],[Mine Action Old]], 1), "")</f>
        <v/>
      </c>
      <c r="AZ661" s="140" t="str">
        <f>IFERROR(ROUND((tblPiNHistorical[[#This Row],[Shelter NFI New]]-tblPiNHistorical[[#This Row],[Shelter NFI Old]])/tblPiNHistorical[[#This Row],[Shelter NFI Old]], 1), "")</f>
        <v/>
      </c>
      <c r="BA661" s="31" t="str">
        <f>IFERROR(ROUND((tblPiNHistorical[[#This Row],[WASH New]]-tblPiNHistorical[[#This Row],[WASH Old]])/tblPiNHistorical[[#This Row],[WASH Old]], 1), "")</f>
        <v/>
      </c>
    </row>
    <row r="662" spans="1:53" ht="38.25" x14ac:dyDescent="0.25">
      <c r="A662"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Non-displaced PopulationSD13028</v>
      </c>
      <c r="B662" s="134" t="s">
        <v>170</v>
      </c>
      <c r="C662" s="124" t="s">
        <v>130</v>
      </c>
      <c r="D662" s="124" t="s">
        <v>478</v>
      </c>
      <c r="E662" s="59" t="s">
        <v>479</v>
      </c>
      <c r="F662" s="54"/>
      <c r="G662" s="29"/>
      <c r="H662" s="53">
        <v>42675</v>
      </c>
      <c r="I662" s="53" t="s">
        <v>89</v>
      </c>
      <c r="J662" s="34">
        <v>0</v>
      </c>
      <c r="K662" s="116">
        <v>0</v>
      </c>
      <c r="L662" s="114">
        <v>14936.25</v>
      </c>
      <c r="M662" s="114">
        <v>16500</v>
      </c>
      <c r="N662" s="114">
        <v>13094</v>
      </c>
      <c r="O662" s="114">
        <v>4694.2500000000009</v>
      </c>
      <c r="P662" s="114">
        <v>4694</v>
      </c>
      <c r="Q662" s="114">
        <v>2252</v>
      </c>
      <c r="R662" s="114">
        <v>0</v>
      </c>
      <c r="S662" s="114">
        <v>0</v>
      </c>
      <c r="T662" s="196">
        <v>39226.86</v>
      </c>
      <c r="U662" s="52" t="str">
        <f>IFERROR(INDEX(tblPiNAnalysis[[Site Management ]], MATCH(tblPiNHistorical[[#This Row],[ID]], tblPiNAnalysis[ID], 0)), "")</f>
        <v/>
      </c>
      <c r="V662" s="52" t="str">
        <f>IFERROR(INDEX(tblPiNAnalysis[Education], MATCH(tblPiNHistorical[[#This Row],[ID]], tblPiNAnalysis[ID], 0)), "")</f>
        <v/>
      </c>
      <c r="W662" s="28" t="str">
        <f>IFERROR(INDEX(tblPiNAnalysis[Food Security and Livlihoods], MATCH(tblPiNHistorical[[#This Row],[ID]], tblPiNAnalysis[ID], 0)), "")</f>
        <v/>
      </c>
      <c r="X662" s="28" t="str">
        <f>IFERROR(INDEX(tblPiNAnalysis[[Health ]], MATCH(tblPiNHistorical[[#This Row],[ID]], tblPiNAnalysis[ID], 0)), "")</f>
        <v/>
      </c>
      <c r="Y662" s="28" t="str">
        <f>IFERROR(INDEX(tblPiNAnalysis[Nutrition], MATCH(tblPiNHistorical[[#This Row],[ID]], tblPiNAnalysis[ID], 0)), "")</f>
        <v/>
      </c>
      <c r="Z662" s="28" t="str">
        <f>IFERROR(INDEX(tblPiNAnalysis[Protection], MATCH(tblPiNHistorical[[#This Row],[ID]], tblPiNAnalysis[ID], 0)), "")</f>
        <v/>
      </c>
      <c r="AA662" s="28" t="str">
        <f>IFERROR(INDEX(tblPiNAnalysis[CP], MATCH(tblPiNHistorical[[#This Row],[ID]], tblPiNAnalysis[ID], 0)), "")</f>
        <v/>
      </c>
      <c r="AB662" s="83" t="str">
        <f>IFERROR(INDEX(tblPiNAnalysis[GBV], MATCH(tblPiNHistorical[[#This Row],[ID]], tblPiNAnalysis[ID], 0)), "")</f>
        <v/>
      </c>
      <c r="AC662" s="28" t="str">
        <f>IFERROR(INDEX(tblPiNAnalysis[Mine Action], MATCH(tblPiNHistorical[[#This Row],[ID]], tblPiNAnalysis[ID], 0)), "")</f>
        <v/>
      </c>
      <c r="AD662" s="83" t="str">
        <f>IFERROR(INDEX(tblPiNAnalysis[[Shelter NFI ]], MATCH(tblPiNHistorical[[#This Row],[ID]], tblPiNAnalysis[ID], 0)), "")</f>
        <v/>
      </c>
      <c r="AE662" s="28" t="str">
        <f>IFERROR(INDEX(tblPiNAnalysis[WASH], MATCH(tblPiNHistorical[[#This Row],[ID]], tblPiNAnalysis[ID], 0)), "")</f>
        <v/>
      </c>
      <c r="AF662"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662" s="136" t="str">
        <f>IF(OR(tblPiNHistorical[[#This Row],[Education Old]]="", tblPiNHistorical[[#This Row],[Education Old]]=0, tblPiNHistorical[[#This Row],[Education New]]="", tblPiNHistorical[[#This Row],[Education New]]=0), "", tblPiNHistorical[[#This Row],[Education New]]-tblPiNHistorical[[#This Row],[Education Old]])</f>
        <v/>
      </c>
      <c r="AH662"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662" s="137" t="str">
        <f>IF(OR(tblPiNHistorical[[#This Row],[Health Old]]="", tblPiNHistorical[[#This Row],[Health Old]]=0, tblPiNHistorical[[#This Row],[Health New]]="", tblPiNHistorical[[#This Row],[Health New]]=0), "", tblPiNHistorical[[#This Row],[Health New]]-tblPiNHistorical[[#This Row],[Health Old]])</f>
        <v/>
      </c>
      <c r="AJ662" s="136" t="str">
        <f>IF(OR(tblPiNHistorical[[#This Row],[Nutrition Old]]="", tblPiNHistorical[[#This Row],[Nutrition Old]]=0, tblPiNHistorical[[#This Row],[Nutrition New]]="", tblPiNHistorical[[#This Row],[Nutrition New]]=0), "", tblPiNHistorical[[#This Row],[Nutrition New]]-tblPiNHistorical[[#This Row],[Nutrition Old]])</f>
        <v/>
      </c>
      <c r="AK662" s="136" t="str">
        <f>IF(OR(tblPiNHistorical[[#This Row],[Protection Old]]="", tblPiNHistorical[[#This Row],[Protection Old]]=0, tblPiNHistorical[[#This Row],[Protection New]]="", tblPiNHistorical[[#This Row],[Protection New]]=0), "", tblPiNHistorical[[#This Row],[Protection New]]-tblPiNHistorical[[#This Row],[Protection Old]])</f>
        <v/>
      </c>
      <c r="AL662" s="136" t="str">
        <f>IF(OR(tblPiNHistorical[[#This Row],[CP Old ]]="", tblPiNHistorical[[#This Row],[CP Old ]]=0, tblPiNHistorical[[#This Row],[CP New]]="", tblPiNHistorical[[#This Row],[CP New]]=0), "", tblPiNHistorical[[#This Row],[CP New]]-tblPiNHistorical[[#This Row],[CP Old ]])</f>
        <v/>
      </c>
      <c r="AM662" s="83" t="str">
        <f>IF(OR(tblPiNHistorical[[#This Row],[GBV Old]]="", tblPiNHistorical[[#This Row],[GBV Old]]=0, tblPiNHistorical[[#This Row],[GBV New]]="", tblPiNHistorical[[#This Row],[GBV New]]=0), "", tblPiNHistorical[[#This Row],[GBV New]]-tblPiNHistorical[[#This Row],[GBV Old]])</f>
        <v/>
      </c>
      <c r="AN662" s="83" t="str">
        <f>IF(OR(tblPiNHistorical[[#This Row],[Mine Action Old]]="", tblPiNHistorical[[#This Row],[Mine Action Old]]=0, tblPiNHistorical[[#This Row],[Mine Action New]]="", tblPiNHistorical[[#This Row],[Mine Action New]]=0), "", tblPiNHistorical[[#This Row],[Mine Action New]]-tblPiNHistorical[[#This Row],[Mine Action Old]])</f>
        <v/>
      </c>
      <c r="AO662" s="136" t="str">
        <f>IF(OR(tblPiNHistorical[[#This Row],[Shelter NFI Old]]="", tblPiNHistorical[[#This Row],[Shelter NFI Old]]=0, tblPiNHistorical[[#This Row],[Shelter NFI New]]="", tblPiNHistorical[[#This Row],[Shelter NFI New]]=0), "", tblPiNHistorical[[#This Row],[Shelter NFI New]]-tblPiNHistorical[[#This Row],[Shelter NFI Old]])</f>
        <v/>
      </c>
      <c r="AP662" s="138" t="str">
        <f>IF(OR(tblPiNHistorical[[#This Row],[WASH Old]]="", tblPiNHistorical[[#This Row],[WASH Old]]=0, tblPiNHistorical[[#This Row],[WASH New]]="", tblPiNHistorical[[#This Row],[WASH New]]=0), "", tblPiNHistorical[[#This Row],[WASH New]]-tblPiNHistorical[[#This Row],[WASH Old]])</f>
        <v/>
      </c>
      <c r="AQ662" s="139" t="str">
        <f>IFERROR(ROUND((tblPiNHistorical[[#This Row],[Site Management - New]] - tblPiNHistorical[[#This Row],[Site Management - Old]])/tblPiNHistorical[[#This Row],[Site Management - Old]], 1), "")</f>
        <v/>
      </c>
      <c r="AR662" s="140" t="str">
        <f>IFERROR(ROUND((tblPiNHistorical[[#This Row],[Education New]]-tblPiNHistorical[[#This Row],[Education Old]])/tblPiNHistorical[[#This Row],[Education Old]], 1), "")</f>
        <v/>
      </c>
      <c r="AS662" s="141" t="str">
        <f>IFERROR(ROUND((tblPiNHistorical[[#This Row],[Food Security and Livlihoods New]]-tblPiNHistorical[[#This Row],[Food Security and Livlihoods Old]])/tblPiNHistorical[[#This Row],[Food Security and Livlihoods Old]], 1), "")</f>
        <v/>
      </c>
      <c r="AT662" s="142" t="str">
        <f>IFERROR(ROUND((tblPiNHistorical[[#This Row],[Health New]]-tblPiNHistorical[[#This Row],[Health Old]])/tblPiNHistorical[[#This Row],[Health Old]], 1), "")</f>
        <v/>
      </c>
      <c r="AU662" s="140" t="str">
        <f>IFERROR(ROUND((tblPiNHistorical[[#This Row],[Nutrition New]]-tblPiNHistorical[[#This Row],[Nutrition Old]])/tblPiNHistorical[[#This Row],[Nutrition Old]], 1), "")</f>
        <v/>
      </c>
      <c r="AV662" s="140" t="str">
        <f>IFERROR(ROUND((tblPiNHistorical[[#This Row],[Protection New]]-tblPiNHistorical[[#This Row],[Protection Old]])/tblPiNHistorical[[#This Row],[Protection Old]], 1), "")</f>
        <v/>
      </c>
      <c r="AW662" s="84" t="str">
        <f>IFERROR(ROUND((tblPiNHistorical[[#This Row],[CP New]]-tblPiNHistorical[[#This Row],[CP Old ]])/tblPiNHistorical[[#This Row],[CP Old ]], 1), "")</f>
        <v/>
      </c>
      <c r="AX662" s="84" t="str">
        <f>IFERROR(ROUND((tblPiNHistorical[[#This Row],[GBV New]]-tblPiNHistorical[[#This Row],[GBV Old]])/tblPiNHistorical[[#This Row],[GBV Old]], 1), "")</f>
        <v/>
      </c>
      <c r="AY662" s="84" t="str">
        <f>IFERROR(ROUND((tblPiNHistorical[[#This Row],[Mine Action New]]-tblPiNHistorical[[#This Row],[Mine Action Old]])/tblPiNHistorical[[#This Row],[Mine Action Old]], 1), "")</f>
        <v/>
      </c>
      <c r="AZ662" s="140" t="str">
        <f>IFERROR(ROUND((tblPiNHistorical[[#This Row],[Shelter NFI New]]-tblPiNHistorical[[#This Row],[Shelter NFI Old]])/tblPiNHistorical[[#This Row],[Shelter NFI Old]], 1), "")</f>
        <v/>
      </c>
      <c r="BA662" s="31" t="str">
        <f>IFERROR(ROUND((tblPiNHistorical[[#This Row],[WASH New]]-tblPiNHistorical[[#This Row],[WASH Old]])/tblPiNHistorical[[#This Row],[WASH Old]], 1), "")</f>
        <v/>
      </c>
    </row>
    <row r="663" spans="1:53" ht="38.25" x14ac:dyDescent="0.25">
      <c r="A663"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Non-displaced PopulationSD13023</v>
      </c>
      <c r="B663" s="134" t="s">
        <v>170</v>
      </c>
      <c r="C663" s="124" t="s">
        <v>130</v>
      </c>
      <c r="D663" s="124" t="s">
        <v>468</v>
      </c>
      <c r="E663" s="59" t="s">
        <v>469</v>
      </c>
      <c r="F663" s="54"/>
      <c r="G663" s="29"/>
      <c r="H663" s="53">
        <v>83502</v>
      </c>
      <c r="I663" s="53" t="s">
        <v>89</v>
      </c>
      <c r="J663" s="34">
        <v>0</v>
      </c>
      <c r="K663" s="116">
        <v>32373.725399999999</v>
      </c>
      <c r="L663" s="114">
        <v>25050.6</v>
      </c>
      <c r="M663" s="114">
        <v>5700</v>
      </c>
      <c r="N663" s="114">
        <v>26174</v>
      </c>
      <c r="O663" s="114">
        <v>9185.2200000000012</v>
      </c>
      <c r="P663" s="114">
        <v>9185</v>
      </c>
      <c r="Q663" s="114">
        <v>8815</v>
      </c>
      <c r="R663" s="114">
        <v>8350.2000000000007</v>
      </c>
      <c r="S663" s="114">
        <v>16700</v>
      </c>
      <c r="T663" s="196">
        <v>70901.54819999999</v>
      </c>
      <c r="U663" s="52" t="str">
        <f>IFERROR(INDEX(tblPiNAnalysis[[Site Management ]], MATCH(tblPiNHistorical[[#This Row],[ID]], tblPiNAnalysis[ID], 0)), "")</f>
        <v/>
      </c>
      <c r="V663" s="52" t="str">
        <f>IFERROR(INDEX(tblPiNAnalysis[Education], MATCH(tblPiNHistorical[[#This Row],[ID]], tblPiNAnalysis[ID], 0)), "")</f>
        <v/>
      </c>
      <c r="W663" s="28" t="str">
        <f>IFERROR(INDEX(tblPiNAnalysis[Food Security and Livlihoods], MATCH(tblPiNHistorical[[#This Row],[ID]], tblPiNAnalysis[ID], 0)), "")</f>
        <v/>
      </c>
      <c r="X663" s="28" t="str">
        <f>IFERROR(INDEX(tblPiNAnalysis[[Health ]], MATCH(tblPiNHistorical[[#This Row],[ID]], tblPiNAnalysis[ID], 0)), "")</f>
        <v/>
      </c>
      <c r="Y663" s="28" t="str">
        <f>IFERROR(INDEX(tblPiNAnalysis[Nutrition], MATCH(tblPiNHistorical[[#This Row],[ID]], tblPiNAnalysis[ID], 0)), "")</f>
        <v/>
      </c>
      <c r="Z663" s="28" t="str">
        <f>IFERROR(INDEX(tblPiNAnalysis[Protection], MATCH(tblPiNHistorical[[#This Row],[ID]], tblPiNAnalysis[ID], 0)), "")</f>
        <v/>
      </c>
      <c r="AA663" s="28" t="str">
        <f>IFERROR(INDEX(tblPiNAnalysis[CP], MATCH(tblPiNHistorical[[#This Row],[ID]], tblPiNAnalysis[ID], 0)), "")</f>
        <v/>
      </c>
      <c r="AB663" s="83" t="str">
        <f>IFERROR(INDEX(tblPiNAnalysis[GBV], MATCH(tblPiNHistorical[[#This Row],[ID]], tblPiNAnalysis[ID], 0)), "")</f>
        <v/>
      </c>
      <c r="AC663" s="28" t="str">
        <f>IFERROR(INDEX(tblPiNAnalysis[Mine Action], MATCH(tblPiNHistorical[[#This Row],[ID]], tblPiNAnalysis[ID], 0)), "")</f>
        <v/>
      </c>
      <c r="AD663" s="83" t="str">
        <f>IFERROR(INDEX(tblPiNAnalysis[[Shelter NFI ]], MATCH(tblPiNHistorical[[#This Row],[ID]], tblPiNAnalysis[ID], 0)), "")</f>
        <v/>
      </c>
      <c r="AE663" s="28" t="str">
        <f>IFERROR(INDEX(tblPiNAnalysis[WASH], MATCH(tblPiNHistorical[[#This Row],[ID]], tblPiNAnalysis[ID], 0)), "")</f>
        <v/>
      </c>
      <c r="AF663"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663" s="136" t="str">
        <f>IF(OR(tblPiNHistorical[[#This Row],[Education Old]]="", tblPiNHistorical[[#This Row],[Education Old]]=0, tblPiNHistorical[[#This Row],[Education New]]="", tblPiNHistorical[[#This Row],[Education New]]=0), "", tblPiNHistorical[[#This Row],[Education New]]-tblPiNHistorical[[#This Row],[Education Old]])</f>
        <v/>
      </c>
      <c r="AH663"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663" s="137" t="str">
        <f>IF(OR(tblPiNHistorical[[#This Row],[Health Old]]="", tblPiNHistorical[[#This Row],[Health Old]]=0, tblPiNHistorical[[#This Row],[Health New]]="", tblPiNHistorical[[#This Row],[Health New]]=0), "", tblPiNHistorical[[#This Row],[Health New]]-tblPiNHistorical[[#This Row],[Health Old]])</f>
        <v/>
      </c>
      <c r="AJ663" s="136" t="str">
        <f>IF(OR(tblPiNHistorical[[#This Row],[Nutrition Old]]="", tblPiNHistorical[[#This Row],[Nutrition Old]]=0, tblPiNHistorical[[#This Row],[Nutrition New]]="", tblPiNHistorical[[#This Row],[Nutrition New]]=0), "", tblPiNHistorical[[#This Row],[Nutrition New]]-tblPiNHistorical[[#This Row],[Nutrition Old]])</f>
        <v/>
      </c>
      <c r="AK663" s="136" t="str">
        <f>IF(OR(tblPiNHistorical[[#This Row],[Protection Old]]="", tblPiNHistorical[[#This Row],[Protection Old]]=0, tblPiNHistorical[[#This Row],[Protection New]]="", tblPiNHistorical[[#This Row],[Protection New]]=0), "", tblPiNHistorical[[#This Row],[Protection New]]-tblPiNHistorical[[#This Row],[Protection Old]])</f>
        <v/>
      </c>
      <c r="AL663" s="136" t="str">
        <f>IF(OR(tblPiNHistorical[[#This Row],[CP Old ]]="", tblPiNHistorical[[#This Row],[CP Old ]]=0, tblPiNHistorical[[#This Row],[CP New]]="", tblPiNHistorical[[#This Row],[CP New]]=0), "", tblPiNHistorical[[#This Row],[CP New]]-tblPiNHistorical[[#This Row],[CP Old ]])</f>
        <v/>
      </c>
      <c r="AM663" s="83" t="str">
        <f>IF(OR(tblPiNHistorical[[#This Row],[GBV Old]]="", tblPiNHistorical[[#This Row],[GBV Old]]=0, tblPiNHistorical[[#This Row],[GBV New]]="", tblPiNHistorical[[#This Row],[GBV New]]=0), "", tblPiNHistorical[[#This Row],[GBV New]]-tblPiNHistorical[[#This Row],[GBV Old]])</f>
        <v/>
      </c>
      <c r="AN663" s="83" t="str">
        <f>IF(OR(tblPiNHistorical[[#This Row],[Mine Action Old]]="", tblPiNHistorical[[#This Row],[Mine Action Old]]=0, tblPiNHistorical[[#This Row],[Mine Action New]]="", tblPiNHistorical[[#This Row],[Mine Action New]]=0), "", tblPiNHistorical[[#This Row],[Mine Action New]]-tblPiNHistorical[[#This Row],[Mine Action Old]])</f>
        <v/>
      </c>
      <c r="AO663" s="136" t="str">
        <f>IF(OR(tblPiNHistorical[[#This Row],[Shelter NFI Old]]="", tblPiNHistorical[[#This Row],[Shelter NFI Old]]=0, tblPiNHistorical[[#This Row],[Shelter NFI New]]="", tblPiNHistorical[[#This Row],[Shelter NFI New]]=0), "", tblPiNHistorical[[#This Row],[Shelter NFI New]]-tblPiNHistorical[[#This Row],[Shelter NFI Old]])</f>
        <v/>
      </c>
      <c r="AP663" s="138" t="str">
        <f>IF(OR(tblPiNHistorical[[#This Row],[WASH Old]]="", tblPiNHistorical[[#This Row],[WASH Old]]=0, tblPiNHistorical[[#This Row],[WASH New]]="", tblPiNHistorical[[#This Row],[WASH New]]=0), "", tblPiNHistorical[[#This Row],[WASH New]]-tblPiNHistorical[[#This Row],[WASH Old]])</f>
        <v/>
      </c>
      <c r="AQ663" s="139" t="str">
        <f>IFERROR(ROUND((tblPiNHistorical[[#This Row],[Site Management - New]] - tblPiNHistorical[[#This Row],[Site Management - Old]])/tblPiNHistorical[[#This Row],[Site Management - Old]], 1), "")</f>
        <v/>
      </c>
      <c r="AR663" s="140" t="str">
        <f>IFERROR(ROUND((tblPiNHistorical[[#This Row],[Education New]]-tblPiNHistorical[[#This Row],[Education Old]])/tblPiNHistorical[[#This Row],[Education Old]], 1), "")</f>
        <v/>
      </c>
      <c r="AS663" s="141" t="str">
        <f>IFERROR(ROUND((tblPiNHistorical[[#This Row],[Food Security and Livlihoods New]]-tblPiNHistorical[[#This Row],[Food Security and Livlihoods Old]])/tblPiNHistorical[[#This Row],[Food Security and Livlihoods Old]], 1), "")</f>
        <v/>
      </c>
      <c r="AT663" s="142" t="str">
        <f>IFERROR(ROUND((tblPiNHistorical[[#This Row],[Health New]]-tblPiNHistorical[[#This Row],[Health Old]])/tblPiNHistorical[[#This Row],[Health Old]], 1), "")</f>
        <v/>
      </c>
      <c r="AU663" s="140" t="str">
        <f>IFERROR(ROUND((tblPiNHistorical[[#This Row],[Nutrition New]]-tblPiNHistorical[[#This Row],[Nutrition Old]])/tblPiNHistorical[[#This Row],[Nutrition Old]], 1), "")</f>
        <v/>
      </c>
      <c r="AV663" s="140" t="str">
        <f>IFERROR(ROUND((tblPiNHistorical[[#This Row],[Protection New]]-tblPiNHistorical[[#This Row],[Protection Old]])/tblPiNHistorical[[#This Row],[Protection Old]], 1), "")</f>
        <v/>
      </c>
      <c r="AW663" s="84" t="str">
        <f>IFERROR(ROUND((tblPiNHistorical[[#This Row],[CP New]]-tblPiNHistorical[[#This Row],[CP Old ]])/tblPiNHistorical[[#This Row],[CP Old ]], 1), "")</f>
        <v/>
      </c>
      <c r="AX663" s="84" t="str">
        <f>IFERROR(ROUND((tblPiNHistorical[[#This Row],[GBV New]]-tblPiNHistorical[[#This Row],[GBV Old]])/tblPiNHistorical[[#This Row],[GBV Old]], 1), "")</f>
        <v/>
      </c>
      <c r="AY663" s="84" t="str">
        <f>IFERROR(ROUND((tblPiNHistorical[[#This Row],[Mine Action New]]-tblPiNHistorical[[#This Row],[Mine Action Old]])/tblPiNHistorical[[#This Row],[Mine Action Old]], 1), "")</f>
        <v/>
      </c>
      <c r="AZ663" s="140" t="str">
        <f>IFERROR(ROUND((tblPiNHistorical[[#This Row],[Shelter NFI New]]-tblPiNHistorical[[#This Row],[Shelter NFI Old]])/tblPiNHistorical[[#This Row],[Shelter NFI Old]], 1), "")</f>
        <v/>
      </c>
      <c r="BA663" s="31" t="str">
        <f>IFERROR(ROUND((tblPiNHistorical[[#This Row],[WASH New]]-tblPiNHistorical[[#This Row],[WASH Old]])/tblPiNHistorical[[#This Row],[WASH Old]], 1), "")</f>
        <v/>
      </c>
    </row>
    <row r="664" spans="1:53" ht="38.25" x14ac:dyDescent="0.25">
      <c r="A664"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Non-displaced PopulationSD17019</v>
      </c>
      <c r="B664" s="134" t="s">
        <v>173</v>
      </c>
      <c r="C664" s="124" t="s">
        <v>134</v>
      </c>
      <c r="D664" s="124" t="s">
        <v>536</v>
      </c>
      <c r="E664" s="59" t="s">
        <v>537</v>
      </c>
      <c r="F664" s="54"/>
      <c r="G664" s="29"/>
      <c r="H664" s="53">
        <v>44612</v>
      </c>
      <c r="I664" s="53" t="s">
        <v>89</v>
      </c>
      <c r="J664" s="34">
        <v>0</v>
      </c>
      <c r="K664" s="116">
        <v>17296.072400000001</v>
      </c>
      <c r="L664" s="114">
        <v>17844.8</v>
      </c>
      <c r="M664" s="114">
        <v>6270</v>
      </c>
      <c r="N664" s="114">
        <v>11769</v>
      </c>
      <c r="O664" s="114">
        <v>4907.3200000000006</v>
      </c>
      <c r="P664" s="114">
        <v>4907</v>
      </c>
      <c r="Q664" s="114">
        <v>3531</v>
      </c>
      <c r="R664" s="114">
        <v>0</v>
      </c>
      <c r="S664" s="114">
        <v>8922</v>
      </c>
      <c r="T664" s="196">
        <v>10091.234400000001</v>
      </c>
      <c r="U664" s="52" t="str">
        <f>IFERROR(INDEX(tblPiNAnalysis[[Site Management ]], MATCH(tblPiNHistorical[[#This Row],[ID]], tblPiNAnalysis[ID], 0)), "")</f>
        <v/>
      </c>
      <c r="V664" s="52" t="str">
        <f>IFERROR(INDEX(tblPiNAnalysis[Education], MATCH(tblPiNHistorical[[#This Row],[ID]], tblPiNAnalysis[ID], 0)), "")</f>
        <v/>
      </c>
      <c r="W664" s="28" t="str">
        <f>IFERROR(INDEX(tblPiNAnalysis[Food Security and Livlihoods], MATCH(tblPiNHistorical[[#This Row],[ID]], tblPiNAnalysis[ID], 0)), "")</f>
        <v/>
      </c>
      <c r="X664" s="28" t="str">
        <f>IFERROR(INDEX(tblPiNAnalysis[[Health ]], MATCH(tblPiNHistorical[[#This Row],[ID]], tblPiNAnalysis[ID], 0)), "")</f>
        <v/>
      </c>
      <c r="Y664" s="28" t="str">
        <f>IFERROR(INDEX(tblPiNAnalysis[Nutrition], MATCH(tblPiNHistorical[[#This Row],[ID]], tblPiNAnalysis[ID], 0)), "")</f>
        <v/>
      </c>
      <c r="Z664" s="28" t="str">
        <f>IFERROR(INDEX(tblPiNAnalysis[Protection], MATCH(tblPiNHistorical[[#This Row],[ID]], tblPiNAnalysis[ID], 0)), "")</f>
        <v/>
      </c>
      <c r="AA664" s="28" t="str">
        <f>IFERROR(INDEX(tblPiNAnalysis[CP], MATCH(tblPiNHistorical[[#This Row],[ID]], tblPiNAnalysis[ID], 0)), "")</f>
        <v/>
      </c>
      <c r="AB664" s="83" t="str">
        <f>IFERROR(INDEX(tblPiNAnalysis[GBV], MATCH(tblPiNHistorical[[#This Row],[ID]], tblPiNAnalysis[ID], 0)), "")</f>
        <v/>
      </c>
      <c r="AC664" s="28" t="str">
        <f>IFERROR(INDEX(tblPiNAnalysis[Mine Action], MATCH(tblPiNHistorical[[#This Row],[ID]], tblPiNAnalysis[ID], 0)), "")</f>
        <v/>
      </c>
      <c r="AD664" s="83" t="str">
        <f>IFERROR(INDEX(tblPiNAnalysis[[Shelter NFI ]], MATCH(tblPiNHistorical[[#This Row],[ID]], tblPiNAnalysis[ID], 0)), "")</f>
        <v/>
      </c>
      <c r="AE664" s="28" t="str">
        <f>IFERROR(INDEX(tblPiNAnalysis[WASH], MATCH(tblPiNHistorical[[#This Row],[ID]], tblPiNAnalysis[ID], 0)), "")</f>
        <v/>
      </c>
      <c r="AF664"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664" s="136" t="str">
        <f>IF(OR(tblPiNHistorical[[#This Row],[Education Old]]="", tblPiNHistorical[[#This Row],[Education Old]]=0, tblPiNHistorical[[#This Row],[Education New]]="", tblPiNHistorical[[#This Row],[Education New]]=0), "", tblPiNHistorical[[#This Row],[Education New]]-tblPiNHistorical[[#This Row],[Education Old]])</f>
        <v/>
      </c>
      <c r="AH664"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664" s="137" t="str">
        <f>IF(OR(tblPiNHistorical[[#This Row],[Health Old]]="", tblPiNHistorical[[#This Row],[Health Old]]=0, tblPiNHistorical[[#This Row],[Health New]]="", tblPiNHistorical[[#This Row],[Health New]]=0), "", tblPiNHistorical[[#This Row],[Health New]]-tblPiNHistorical[[#This Row],[Health Old]])</f>
        <v/>
      </c>
      <c r="AJ664" s="136" t="str">
        <f>IF(OR(tblPiNHistorical[[#This Row],[Nutrition Old]]="", tblPiNHistorical[[#This Row],[Nutrition Old]]=0, tblPiNHistorical[[#This Row],[Nutrition New]]="", tblPiNHistorical[[#This Row],[Nutrition New]]=0), "", tblPiNHistorical[[#This Row],[Nutrition New]]-tblPiNHistorical[[#This Row],[Nutrition Old]])</f>
        <v/>
      </c>
      <c r="AK664" s="136" t="str">
        <f>IF(OR(tblPiNHistorical[[#This Row],[Protection Old]]="", tblPiNHistorical[[#This Row],[Protection Old]]=0, tblPiNHistorical[[#This Row],[Protection New]]="", tblPiNHistorical[[#This Row],[Protection New]]=0), "", tblPiNHistorical[[#This Row],[Protection New]]-tblPiNHistorical[[#This Row],[Protection Old]])</f>
        <v/>
      </c>
      <c r="AL664" s="136" t="str">
        <f>IF(OR(tblPiNHistorical[[#This Row],[CP Old ]]="", tblPiNHistorical[[#This Row],[CP Old ]]=0, tblPiNHistorical[[#This Row],[CP New]]="", tblPiNHistorical[[#This Row],[CP New]]=0), "", tblPiNHistorical[[#This Row],[CP New]]-tblPiNHistorical[[#This Row],[CP Old ]])</f>
        <v/>
      </c>
      <c r="AM664" s="83" t="str">
        <f>IF(OR(tblPiNHistorical[[#This Row],[GBV Old]]="", tblPiNHistorical[[#This Row],[GBV Old]]=0, tblPiNHistorical[[#This Row],[GBV New]]="", tblPiNHistorical[[#This Row],[GBV New]]=0), "", tblPiNHistorical[[#This Row],[GBV New]]-tblPiNHistorical[[#This Row],[GBV Old]])</f>
        <v/>
      </c>
      <c r="AN664" s="83" t="str">
        <f>IF(OR(tblPiNHistorical[[#This Row],[Mine Action Old]]="", tblPiNHistorical[[#This Row],[Mine Action Old]]=0, tblPiNHistorical[[#This Row],[Mine Action New]]="", tblPiNHistorical[[#This Row],[Mine Action New]]=0), "", tblPiNHistorical[[#This Row],[Mine Action New]]-tblPiNHistorical[[#This Row],[Mine Action Old]])</f>
        <v/>
      </c>
      <c r="AO664" s="136" t="str">
        <f>IF(OR(tblPiNHistorical[[#This Row],[Shelter NFI Old]]="", tblPiNHistorical[[#This Row],[Shelter NFI Old]]=0, tblPiNHistorical[[#This Row],[Shelter NFI New]]="", tblPiNHistorical[[#This Row],[Shelter NFI New]]=0), "", tblPiNHistorical[[#This Row],[Shelter NFI New]]-tblPiNHistorical[[#This Row],[Shelter NFI Old]])</f>
        <v/>
      </c>
      <c r="AP664" s="138" t="str">
        <f>IF(OR(tblPiNHistorical[[#This Row],[WASH Old]]="", tblPiNHistorical[[#This Row],[WASH Old]]=0, tblPiNHistorical[[#This Row],[WASH New]]="", tblPiNHistorical[[#This Row],[WASH New]]=0), "", tblPiNHistorical[[#This Row],[WASH New]]-tblPiNHistorical[[#This Row],[WASH Old]])</f>
        <v/>
      </c>
      <c r="AQ664" s="139" t="str">
        <f>IFERROR(ROUND((tblPiNHistorical[[#This Row],[Site Management - New]] - tblPiNHistorical[[#This Row],[Site Management - Old]])/tblPiNHistorical[[#This Row],[Site Management - Old]], 1), "")</f>
        <v/>
      </c>
      <c r="AR664" s="140" t="str">
        <f>IFERROR(ROUND((tblPiNHistorical[[#This Row],[Education New]]-tblPiNHistorical[[#This Row],[Education Old]])/tblPiNHistorical[[#This Row],[Education Old]], 1), "")</f>
        <v/>
      </c>
      <c r="AS664" s="141" t="str">
        <f>IFERROR(ROUND((tblPiNHistorical[[#This Row],[Food Security and Livlihoods New]]-tblPiNHistorical[[#This Row],[Food Security and Livlihoods Old]])/tblPiNHistorical[[#This Row],[Food Security and Livlihoods Old]], 1), "")</f>
        <v/>
      </c>
      <c r="AT664" s="142" t="str">
        <f>IFERROR(ROUND((tblPiNHistorical[[#This Row],[Health New]]-tblPiNHistorical[[#This Row],[Health Old]])/tblPiNHistorical[[#This Row],[Health Old]], 1), "")</f>
        <v/>
      </c>
      <c r="AU664" s="140" t="str">
        <f>IFERROR(ROUND((tblPiNHistorical[[#This Row],[Nutrition New]]-tblPiNHistorical[[#This Row],[Nutrition Old]])/tblPiNHistorical[[#This Row],[Nutrition Old]], 1), "")</f>
        <v/>
      </c>
      <c r="AV664" s="140" t="str">
        <f>IFERROR(ROUND((tblPiNHistorical[[#This Row],[Protection New]]-tblPiNHistorical[[#This Row],[Protection Old]])/tblPiNHistorical[[#This Row],[Protection Old]], 1), "")</f>
        <v/>
      </c>
      <c r="AW664" s="84" t="str">
        <f>IFERROR(ROUND((tblPiNHistorical[[#This Row],[CP New]]-tblPiNHistorical[[#This Row],[CP Old ]])/tblPiNHistorical[[#This Row],[CP Old ]], 1), "")</f>
        <v/>
      </c>
      <c r="AX664" s="84" t="str">
        <f>IFERROR(ROUND((tblPiNHistorical[[#This Row],[GBV New]]-tblPiNHistorical[[#This Row],[GBV Old]])/tblPiNHistorical[[#This Row],[GBV Old]], 1), "")</f>
        <v/>
      </c>
      <c r="AY664" s="84" t="str">
        <f>IFERROR(ROUND((tblPiNHistorical[[#This Row],[Mine Action New]]-tblPiNHistorical[[#This Row],[Mine Action Old]])/tblPiNHistorical[[#This Row],[Mine Action Old]], 1), "")</f>
        <v/>
      </c>
      <c r="AZ664" s="140" t="str">
        <f>IFERROR(ROUND((tblPiNHistorical[[#This Row],[Shelter NFI New]]-tblPiNHistorical[[#This Row],[Shelter NFI Old]])/tblPiNHistorical[[#This Row],[Shelter NFI Old]], 1), "")</f>
        <v/>
      </c>
      <c r="BA664" s="31" t="str">
        <f>IFERROR(ROUND((tblPiNHistorical[[#This Row],[WASH New]]-tblPiNHistorical[[#This Row],[WASH Old]])/tblPiNHistorical[[#This Row],[WASH Old]], 1), "")</f>
        <v/>
      </c>
    </row>
    <row r="665" spans="1:53" ht="38.25" x14ac:dyDescent="0.25">
      <c r="A665"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Non-displaced PopulationSD17016</v>
      </c>
      <c r="B665" s="134" t="s">
        <v>173</v>
      </c>
      <c r="C665" s="124" t="s">
        <v>134</v>
      </c>
      <c r="D665" s="124" t="s">
        <v>530</v>
      </c>
      <c r="E665" s="59" t="s">
        <v>531</v>
      </c>
      <c r="F665" s="54"/>
      <c r="G665" s="29"/>
      <c r="H665" s="53">
        <v>0</v>
      </c>
      <c r="I665" s="53" t="s">
        <v>89</v>
      </c>
      <c r="J665" s="34">
        <v>0</v>
      </c>
      <c r="K665" s="116">
        <v>0</v>
      </c>
      <c r="L665" s="114">
        <v>0</v>
      </c>
      <c r="M665" s="114">
        <v>0</v>
      </c>
      <c r="N665" s="114">
        <v>6851</v>
      </c>
      <c r="O665" s="114">
        <v>0</v>
      </c>
      <c r="P665" s="114">
        <v>0</v>
      </c>
      <c r="Q665" s="114">
        <v>0</v>
      </c>
      <c r="R665" s="114">
        <v>0</v>
      </c>
      <c r="S665" s="114">
        <v>0</v>
      </c>
      <c r="T665" s="196">
        <v>0</v>
      </c>
      <c r="U665" s="52" t="str">
        <f>IFERROR(INDEX(tblPiNAnalysis[[Site Management ]], MATCH(tblPiNHistorical[[#This Row],[ID]], tblPiNAnalysis[ID], 0)), "")</f>
        <v/>
      </c>
      <c r="V665" s="52" t="str">
        <f>IFERROR(INDEX(tblPiNAnalysis[Education], MATCH(tblPiNHistorical[[#This Row],[ID]], tblPiNAnalysis[ID], 0)), "")</f>
        <v/>
      </c>
      <c r="W665" s="28" t="str">
        <f>IFERROR(INDEX(tblPiNAnalysis[Food Security and Livlihoods], MATCH(tblPiNHistorical[[#This Row],[ID]], tblPiNAnalysis[ID], 0)), "")</f>
        <v/>
      </c>
      <c r="X665" s="28" t="str">
        <f>IFERROR(INDEX(tblPiNAnalysis[[Health ]], MATCH(tblPiNHistorical[[#This Row],[ID]], tblPiNAnalysis[ID], 0)), "")</f>
        <v/>
      </c>
      <c r="Y665" s="28" t="str">
        <f>IFERROR(INDEX(tblPiNAnalysis[Nutrition], MATCH(tblPiNHistorical[[#This Row],[ID]], tblPiNAnalysis[ID], 0)), "")</f>
        <v/>
      </c>
      <c r="Z665" s="28" t="str">
        <f>IFERROR(INDEX(tblPiNAnalysis[Protection], MATCH(tblPiNHistorical[[#This Row],[ID]], tblPiNAnalysis[ID], 0)), "")</f>
        <v/>
      </c>
      <c r="AA665" s="28" t="str">
        <f>IFERROR(INDEX(tblPiNAnalysis[CP], MATCH(tblPiNHistorical[[#This Row],[ID]], tblPiNAnalysis[ID], 0)), "")</f>
        <v/>
      </c>
      <c r="AB665" s="83" t="str">
        <f>IFERROR(INDEX(tblPiNAnalysis[GBV], MATCH(tblPiNHistorical[[#This Row],[ID]], tblPiNAnalysis[ID], 0)), "")</f>
        <v/>
      </c>
      <c r="AC665" s="28" t="str">
        <f>IFERROR(INDEX(tblPiNAnalysis[Mine Action], MATCH(tblPiNHistorical[[#This Row],[ID]], tblPiNAnalysis[ID], 0)), "")</f>
        <v/>
      </c>
      <c r="AD665" s="83" t="str">
        <f>IFERROR(INDEX(tblPiNAnalysis[[Shelter NFI ]], MATCH(tblPiNHistorical[[#This Row],[ID]], tblPiNAnalysis[ID], 0)), "")</f>
        <v/>
      </c>
      <c r="AE665" s="28" t="str">
        <f>IFERROR(INDEX(tblPiNAnalysis[WASH], MATCH(tblPiNHistorical[[#This Row],[ID]], tblPiNAnalysis[ID], 0)), "")</f>
        <v/>
      </c>
      <c r="AF665"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665" s="136" t="str">
        <f>IF(OR(tblPiNHistorical[[#This Row],[Education Old]]="", tblPiNHistorical[[#This Row],[Education Old]]=0, tblPiNHistorical[[#This Row],[Education New]]="", tblPiNHistorical[[#This Row],[Education New]]=0), "", tblPiNHistorical[[#This Row],[Education New]]-tblPiNHistorical[[#This Row],[Education Old]])</f>
        <v/>
      </c>
      <c r="AH665"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665" s="137" t="str">
        <f>IF(OR(tblPiNHistorical[[#This Row],[Health Old]]="", tblPiNHistorical[[#This Row],[Health Old]]=0, tblPiNHistorical[[#This Row],[Health New]]="", tblPiNHistorical[[#This Row],[Health New]]=0), "", tblPiNHistorical[[#This Row],[Health New]]-tblPiNHistorical[[#This Row],[Health Old]])</f>
        <v/>
      </c>
      <c r="AJ665" s="136" t="str">
        <f>IF(OR(tblPiNHistorical[[#This Row],[Nutrition Old]]="", tblPiNHistorical[[#This Row],[Nutrition Old]]=0, tblPiNHistorical[[#This Row],[Nutrition New]]="", tblPiNHistorical[[#This Row],[Nutrition New]]=0), "", tblPiNHistorical[[#This Row],[Nutrition New]]-tblPiNHistorical[[#This Row],[Nutrition Old]])</f>
        <v/>
      </c>
      <c r="AK665" s="136" t="str">
        <f>IF(OR(tblPiNHistorical[[#This Row],[Protection Old]]="", tblPiNHistorical[[#This Row],[Protection Old]]=0, tblPiNHistorical[[#This Row],[Protection New]]="", tblPiNHistorical[[#This Row],[Protection New]]=0), "", tblPiNHistorical[[#This Row],[Protection New]]-tblPiNHistorical[[#This Row],[Protection Old]])</f>
        <v/>
      </c>
      <c r="AL665" s="136" t="str">
        <f>IF(OR(tblPiNHistorical[[#This Row],[CP Old ]]="", tblPiNHistorical[[#This Row],[CP Old ]]=0, tblPiNHistorical[[#This Row],[CP New]]="", tblPiNHistorical[[#This Row],[CP New]]=0), "", tblPiNHistorical[[#This Row],[CP New]]-tblPiNHistorical[[#This Row],[CP Old ]])</f>
        <v/>
      </c>
      <c r="AM665" s="83" t="str">
        <f>IF(OR(tblPiNHistorical[[#This Row],[GBV Old]]="", tblPiNHistorical[[#This Row],[GBV Old]]=0, tblPiNHistorical[[#This Row],[GBV New]]="", tblPiNHistorical[[#This Row],[GBV New]]=0), "", tblPiNHistorical[[#This Row],[GBV New]]-tblPiNHistorical[[#This Row],[GBV Old]])</f>
        <v/>
      </c>
      <c r="AN665" s="83" t="str">
        <f>IF(OR(tblPiNHistorical[[#This Row],[Mine Action Old]]="", tblPiNHistorical[[#This Row],[Mine Action Old]]=0, tblPiNHistorical[[#This Row],[Mine Action New]]="", tblPiNHistorical[[#This Row],[Mine Action New]]=0), "", tblPiNHistorical[[#This Row],[Mine Action New]]-tblPiNHistorical[[#This Row],[Mine Action Old]])</f>
        <v/>
      </c>
      <c r="AO665" s="136" t="str">
        <f>IF(OR(tblPiNHistorical[[#This Row],[Shelter NFI Old]]="", tblPiNHistorical[[#This Row],[Shelter NFI Old]]=0, tblPiNHistorical[[#This Row],[Shelter NFI New]]="", tblPiNHistorical[[#This Row],[Shelter NFI New]]=0), "", tblPiNHistorical[[#This Row],[Shelter NFI New]]-tblPiNHistorical[[#This Row],[Shelter NFI Old]])</f>
        <v/>
      </c>
      <c r="AP665" s="138" t="str">
        <f>IF(OR(tblPiNHistorical[[#This Row],[WASH Old]]="", tblPiNHistorical[[#This Row],[WASH Old]]=0, tblPiNHistorical[[#This Row],[WASH New]]="", tblPiNHistorical[[#This Row],[WASH New]]=0), "", tblPiNHistorical[[#This Row],[WASH New]]-tblPiNHistorical[[#This Row],[WASH Old]])</f>
        <v/>
      </c>
      <c r="AQ665" s="139" t="str">
        <f>IFERROR(ROUND((tblPiNHistorical[[#This Row],[Site Management - New]] - tblPiNHistorical[[#This Row],[Site Management - Old]])/tblPiNHistorical[[#This Row],[Site Management - Old]], 1), "")</f>
        <v/>
      </c>
      <c r="AR665" s="140" t="str">
        <f>IFERROR(ROUND((tblPiNHistorical[[#This Row],[Education New]]-tblPiNHistorical[[#This Row],[Education Old]])/tblPiNHistorical[[#This Row],[Education Old]], 1), "")</f>
        <v/>
      </c>
      <c r="AS665" s="141" t="str">
        <f>IFERROR(ROUND((tblPiNHistorical[[#This Row],[Food Security and Livlihoods New]]-tblPiNHistorical[[#This Row],[Food Security and Livlihoods Old]])/tblPiNHistorical[[#This Row],[Food Security and Livlihoods Old]], 1), "")</f>
        <v/>
      </c>
      <c r="AT665" s="142" t="str">
        <f>IFERROR(ROUND((tblPiNHistorical[[#This Row],[Health New]]-tblPiNHistorical[[#This Row],[Health Old]])/tblPiNHistorical[[#This Row],[Health Old]], 1), "")</f>
        <v/>
      </c>
      <c r="AU665" s="140" t="str">
        <f>IFERROR(ROUND((tblPiNHistorical[[#This Row],[Nutrition New]]-tblPiNHistorical[[#This Row],[Nutrition Old]])/tblPiNHistorical[[#This Row],[Nutrition Old]], 1), "")</f>
        <v/>
      </c>
      <c r="AV665" s="140" t="str">
        <f>IFERROR(ROUND((tblPiNHistorical[[#This Row],[Protection New]]-tblPiNHistorical[[#This Row],[Protection Old]])/tblPiNHistorical[[#This Row],[Protection Old]], 1), "")</f>
        <v/>
      </c>
      <c r="AW665" s="84" t="str">
        <f>IFERROR(ROUND((tblPiNHistorical[[#This Row],[CP New]]-tblPiNHistorical[[#This Row],[CP Old ]])/tblPiNHistorical[[#This Row],[CP Old ]], 1), "")</f>
        <v/>
      </c>
      <c r="AX665" s="84" t="str">
        <f>IFERROR(ROUND((tblPiNHistorical[[#This Row],[GBV New]]-tblPiNHistorical[[#This Row],[GBV Old]])/tblPiNHistorical[[#This Row],[GBV Old]], 1), "")</f>
        <v/>
      </c>
      <c r="AY665" s="84" t="str">
        <f>IFERROR(ROUND((tblPiNHistorical[[#This Row],[Mine Action New]]-tblPiNHistorical[[#This Row],[Mine Action Old]])/tblPiNHistorical[[#This Row],[Mine Action Old]], 1), "")</f>
        <v/>
      </c>
      <c r="AZ665" s="140" t="str">
        <f>IFERROR(ROUND((tblPiNHistorical[[#This Row],[Shelter NFI New]]-tblPiNHistorical[[#This Row],[Shelter NFI Old]])/tblPiNHistorical[[#This Row],[Shelter NFI Old]], 1), "")</f>
        <v/>
      </c>
      <c r="BA665" s="31" t="str">
        <f>IFERROR(ROUND((tblPiNHistorical[[#This Row],[WASH New]]-tblPiNHistorical[[#This Row],[WASH Old]])/tblPiNHistorical[[#This Row],[WASH Old]], 1), "")</f>
        <v/>
      </c>
    </row>
    <row r="666" spans="1:53" ht="38.25" x14ac:dyDescent="0.25">
      <c r="A666"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Non-displaced PopulationSD17018</v>
      </c>
      <c r="B666" s="134" t="s">
        <v>173</v>
      </c>
      <c r="C666" s="124" t="s">
        <v>134</v>
      </c>
      <c r="D666" s="124" t="s">
        <v>534</v>
      </c>
      <c r="E666" s="59" t="s">
        <v>535</v>
      </c>
      <c r="F666" s="54"/>
      <c r="G666" s="29"/>
      <c r="H666" s="53">
        <v>0</v>
      </c>
      <c r="I666" s="53" t="s">
        <v>89</v>
      </c>
      <c r="J666" s="34">
        <v>0</v>
      </c>
      <c r="K666" s="116">
        <v>0</v>
      </c>
      <c r="L666" s="114">
        <v>0</v>
      </c>
      <c r="M666" s="114">
        <v>0</v>
      </c>
      <c r="N666" s="114">
        <v>6364</v>
      </c>
      <c r="O666" s="114">
        <v>0</v>
      </c>
      <c r="P666" s="114">
        <v>0</v>
      </c>
      <c r="Q666" s="114">
        <v>0</v>
      </c>
      <c r="R666" s="114">
        <v>0</v>
      </c>
      <c r="S666" s="114">
        <v>0</v>
      </c>
      <c r="T666" s="196">
        <v>0</v>
      </c>
      <c r="U666" s="52" t="str">
        <f>IFERROR(INDEX(tblPiNAnalysis[[Site Management ]], MATCH(tblPiNHistorical[[#This Row],[ID]], tblPiNAnalysis[ID], 0)), "")</f>
        <v/>
      </c>
      <c r="V666" s="52" t="str">
        <f>IFERROR(INDEX(tblPiNAnalysis[Education], MATCH(tblPiNHistorical[[#This Row],[ID]], tblPiNAnalysis[ID], 0)), "")</f>
        <v/>
      </c>
      <c r="W666" s="28" t="str">
        <f>IFERROR(INDEX(tblPiNAnalysis[Food Security and Livlihoods], MATCH(tblPiNHistorical[[#This Row],[ID]], tblPiNAnalysis[ID], 0)), "")</f>
        <v/>
      </c>
      <c r="X666" s="28" t="str">
        <f>IFERROR(INDEX(tblPiNAnalysis[[Health ]], MATCH(tblPiNHistorical[[#This Row],[ID]], tblPiNAnalysis[ID], 0)), "")</f>
        <v/>
      </c>
      <c r="Y666" s="28" t="str">
        <f>IFERROR(INDEX(tblPiNAnalysis[Nutrition], MATCH(tblPiNHistorical[[#This Row],[ID]], tblPiNAnalysis[ID], 0)), "")</f>
        <v/>
      </c>
      <c r="Z666" s="28" t="str">
        <f>IFERROR(INDEX(tblPiNAnalysis[Protection], MATCH(tblPiNHistorical[[#This Row],[ID]], tblPiNAnalysis[ID], 0)), "")</f>
        <v/>
      </c>
      <c r="AA666" s="28" t="str">
        <f>IFERROR(INDEX(tblPiNAnalysis[CP], MATCH(tblPiNHistorical[[#This Row],[ID]], tblPiNAnalysis[ID], 0)), "")</f>
        <v/>
      </c>
      <c r="AB666" s="83" t="str">
        <f>IFERROR(INDEX(tblPiNAnalysis[GBV], MATCH(tblPiNHistorical[[#This Row],[ID]], tblPiNAnalysis[ID], 0)), "")</f>
        <v/>
      </c>
      <c r="AC666" s="28" t="str">
        <f>IFERROR(INDEX(tblPiNAnalysis[Mine Action], MATCH(tblPiNHistorical[[#This Row],[ID]], tblPiNAnalysis[ID], 0)), "")</f>
        <v/>
      </c>
      <c r="AD666" s="83" t="str">
        <f>IFERROR(INDEX(tblPiNAnalysis[[Shelter NFI ]], MATCH(tblPiNHistorical[[#This Row],[ID]], tblPiNAnalysis[ID], 0)), "")</f>
        <v/>
      </c>
      <c r="AE666" s="28" t="str">
        <f>IFERROR(INDEX(tblPiNAnalysis[WASH], MATCH(tblPiNHistorical[[#This Row],[ID]], tblPiNAnalysis[ID], 0)), "")</f>
        <v/>
      </c>
      <c r="AF666"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666" s="136" t="str">
        <f>IF(OR(tblPiNHistorical[[#This Row],[Education Old]]="", tblPiNHistorical[[#This Row],[Education Old]]=0, tblPiNHistorical[[#This Row],[Education New]]="", tblPiNHistorical[[#This Row],[Education New]]=0), "", tblPiNHistorical[[#This Row],[Education New]]-tblPiNHistorical[[#This Row],[Education Old]])</f>
        <v/>
      </c>
      <c r="AH666"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666" s="137" t="str">
        <f>IF(OR(tblPiNHistorical[[#This Row],[Health Old]]="", tblPiNHistorical[[#This Row],[Health Old]]=0, tblPiNHistorical[[#This Row],[Health New]]="", tblPiNHistorical[[#This Row],[Health New]]=0), "", tblPiNHistorical[[#This Row],[Health New]]-tblPiNHistorical[[#This Row],[Health Old]])</f>
        <v/>
      </c>
      <c r="AJ666" s="136" t="str">
        <f>IF(OR(tblPiNHistorical[[#This Row],[Nutrition Old]]="", tblPiNHistorical[[#This Row],[Nutrition Old]]=0, tblPiNHistorical[[#This Row],[Nutrition New]]="", tblPiNHistorical[[#This Row],[Nutrition New]]=0), "", tblPiNHistorical[[#This Row],[Nutrition New]]-tblPiNHistorical[[#This Row],[Nutrition Old]])</f>
        <v/>
      </c>
      <c r="AK666" s="136" t="str">
        <f>IF(OR(tblPiNHistorical[[#This Row],[Protection Old]]="", tblPiNHistorical[[#This Row],[Protection Old]]=0, tblPiNHistorical[[#This Row],[Protection New]]="", tblPiNHistorical[[#This Row],[Protection New]]=0), "", tblPiNHistorical[[#This Row],[Protection New]]-tblPiNHistorical[[#This Row],[Protection Old]])</f>
        <v/>
      </c>
      <c r="AL666" s="136" t="str">
        <f>IF(OR(tblPiNHistorical[[#This Row],[CP Old ]]="", tblPiNHistorical[[#This Row],[CP Old ]]=0, tblPiNHistorical[[#This Row],[CP New]]="", tblPiNHistorical[[#This Row],[CP New]]=0), "", tblPiNHistorical[[#This Row],[CP New]]-tblPiNHistorical[[#This Row],[CP Old ]])</f>
        <v/>
      </c>
      <c r="AM666" s="83" t="str">
        <f>IF(OR(tblPiNHistorical[[#This Row],[GBV Old]]="", tblPiNHistorical[[#This Row],[GBV Old]]=0, tblPiNHistorical[[#This Row],[GBV New]]="", tblPiNHistorical[[#This Row],[GBV New]]=0), "", tblPiNHistorical[[#This Row],[GBV New]]-tblPiNHistorical[[#This Row],[GBV Old]])</f>
        <v/>
      </c>
      <c r="AN666" s="83" t="str">
        <f>IF(OR(tblPiNHistorical[[#This Row],[Mine Action Old]]="", tblPiNHistorical[[#This Row],[Mine Action Old]]=0, tblPiNHistorical[[#This Row],[Mine Action New]]="", tblPiNHistorical[[#This Row],[Mine Action New]]=0), "", tblPiNHistorical[[#This Row],[Mine Action New]]-tblPiNHistorical[[#This Row],[Mine Action Old]])</f>
        <v/>
      </c>
      <c r="AO666" s="136" t="str">
        <f>IF(OR(tblPiNHistorical[[#This Row],[Shelter NFI Old]]="", tblPiNHistorical[[#This Row],[Shelter NFI Old]]=0, tblPiNHistorical[[#This Row],[Shelter NFI New]]="", tblPiNHistorical[[#This Row],[Shelter NFI New]]=0), "", tblPiNHistorical[[#This Row],[Shelter NFI New]]-tblPiNHistorical[[#This Row],[Shelter NFI Old]])</f>
        <v/>
      </c>
      <c r="AP666" s="138" t="str">
        <f>IF(OR(tblPiNHistorical[[#This Row],[WASH Old]]="", tblPiNHistorical[[#This Row],[WASH Old]]=0, tblPiNHistorical[[#This Row],[WASH New]]="", tblPiNHistorical[[#This Row],[WASH New]]=0), "", tblPiNHistorical[[#This Row],[WASH New]]-tblPiNHistorical[[#This Row],[WASH Old]])</f>
        <v/>
      </c>
      <c r="AQ666" s="139" t="str">
        <f>IFERROR(ROUND((tblPiNHistorical[[#This Row],[Site Management - New]] - tblPiNHistorical[[#This Row],[Site Management - Old]])/tblPiNHistorical[[#This Row],[Site Management - Old]], 1), "")</f>
        <v/>
      </c>
      <c r="AR666" s="140" t="str">
        <f>IFERROR(ROUND((tblPiNHistorical[[#This Row],[Education New]]-tblPiNHistorical[[#This Row],[Education Old]])/tblPiNHistorical[[#This Row],[Education Old]], 1), "")</f>
        <v/>
      </c>
      <c r="AS666" s="141" t="str">
        <f>IFERROR(ROUND((tblPiNHistorical[[#This Row],[Food Security and Livlihoods New]]-tblPiNHistorical[[#This Row],[Food Security and Livlihoods Old]])/tblPiNHistorical[[#This Row],[Food Security and Livlihoods Old]], 1), "")</f>
        <v/>
      </c>
      <c r="AT666" s="142" t="str">
        <f>IFERROR(ROUND((tblPiNHistorical[[#This Row],[Health New]]-tblPiNHistorical[[#This Row],[Health Old]])/tblPiNHistorical[[#This Row],[Health Old]], 1), "")</f>
        <v/>
      </c>
      <c r="AU666" s="140" t="str">
        <f>IFERROR(ROUND((tblPiNHistorical[[#This Row],[Nutrition New]]-tblPiNHistorical[[#This Row],[Nutrition Old]])/tblPiNHistorical[[#This Row],[Nutrition Old]], 1), "")</f>
        <v/>
      </c>
      <c r="AV666" s="140" t="str">
        <f>IFERROR(ROUND((tblPiNHistorical[[#This Row],[Protection New]]-tblPiNHistorical[[#This Row],[Protection Old]])/tblPiNHistorical[[#This Row],[Protection Old]], 1), "")</f>
        <v/>
      </c>
      <c r="AW666" s="84" t="str">
        <f>IFERROR(ROUND((tblPiNHistorical[[#This Row],[CP New]]-tblPiNHistorical[[#This Row],[CP Old ]])/tblPiNHistorical[[#This Row],[CP Old ]], 1), "")</f>
        <v/>
      </c>
      <c r="AX666" s="84" t="str">
        <f>IFERROR(ROUND((tblPiNHistorical[[#This Row],[GBV New]]-tblPiNHistorical[[#This Row],[GBV Old]])/tblPiNHistorical[[#This Row],[GBV Old]], 1), "")</f>
        <v/>
      </c>
      <c r="AY666" s="84" t="str">
        <f>IFERROR(ROUND((tblPiNHistorical[[#This Row],[Mine Action New]]-tblPiNHistorical[[#This Row],[Mine Action Old]])/tblPiNHistorical[[#This Row],[Mine Action Old]], 1), "")</f>
        <v/>
      </c>
      <c r="AZ666" s="140" t="str">
        <f>IFERROR(ROUND((tblPiNHistorical[[#This Row],[Shelter NFI New]]-tblPiNHistorical[[#This Row],[Shelter NFI Old]])/tblPiNHistorical[[#This Row],[Shelter NFI Old]], 1), "")</f>
        <v/>
      </c>
      <c r="BA666" s="31" t="str">
        <f>IFERROR(ROUND((tblPiNHistorical[[#This Row],[WASH New]]-tblPiNHistorical[[#This Row],[WASH Old]])/tblPiNHistorical[[#This Row],[WASH Old]], 1), "")</f>
        <v/>
      </c>
    </row>
    <row r="667" spans="1:53" ht="38.25" x14ac:dyDescent="0.25">
      <c r="A667"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Non-displaced PopulationSD17015</v>
      </c>
      <c r="B667" s="134" t="s">
        <v>173</v>
      </c>
      <c r="C667" s="124" t="s">
        <v>134</v>
      </c>
      <c r="D667" s="124" t="s">
        <v>528</v>
      </c>
      <c r="E667" s="59" t="s">
        <v>529</v>
      </c>
      <c r="F667" s="54"/>
      <c r="G667" s="29"/>
      <c r="H667" s="53">
        <v>0</v>
      </c>
      <c r="I667" s="53" t="s">
        <v>89</v>
      </c>
      <c r="J667" s="34">
        <v>0</v>
      </c>
      <c r="K667" s="116">
        <v>0</v>
      </c>
      <c r="L667" s="114">
        <v>0</v>
      </c>
      <c r="M667" s="114">
        <v>0</v>
      </c>
      <c r="N667" s="114">
        <v>1838</v>
      </c>
      <c r="O667" s="114">
        <v>0</v>
      </c>
      <c r="P667" s="114">
        <v>0</v>
      </c>
      <c r="Q667" s="114">
        <v>0</v>
      </c>
      <c r="R667" s="114">
        <v>0</v>
      </c>
      <c r="S667" s="114">
        <v>0</v>
      </c>
      <c r="T667" s="196">
        <v>0</v>
      </c>
      <c r="U667" s="52" t="str">
        <f>IFERROR(INDEX(tblPiNAnalysis[[Site Management ]], MATCH(tblPiNHistorical[[#This Row],[ID]], tblPiNAnalysis[ID], 0)), "")</f>
        <v/>
      </c>
      <c r="V667" s="52" t="str">
        <f>IFERROR(INDEX(tblPiNAnalysis[Education], MATCH(tblPiNHistorical[[#This Row],[ID]], tblPiNAnalysis[ID], 0)), "")</f>
        <v/>
      </c>
      <c r="W667" s="28" t="str">
        <f>IFERROR(INDEX(tblPiNAnalysis[Food Security and Livlihoods], MATCH(tblPiNHistorical[[#This Row],[ID]], tblPiNAnalysis[ID], 0)), "")</f>
        <v/>
      </c>
      <c r="X667" s="28" t="str">
        <f>IFERROR(INDEX(tblPiNAnalysis[[Health ]], MATCH(tblPiNHistorical[[#This Row],[ID]], tblPiNAnalysis[ID], 0)), "")</f>
        <v/>
      </c>
      <c r="Y667" s="28" t="str">
        <f>IFERROR(INDEX(tblPiNAnalysis[Nutrition], MATCH(tblPiNHistorical[[#This Row],[ID]], tblPiNAnalysis[ID], 0)), "")</f>
        <v/>
      </c>
      <c r="Z667" s="28" t="str">
        <f>IFERROR(INDEX(tblPiNAnalysis[Protection], MATCH(tblPiNHistorical[[#This Row],[ID]], tblPiNAnalysis[ID], 0)), "")</f>
        <v/>
      </c>
      <c r="AA667" s="28" t="str">
        <f>IFERROR(INDEX(tblPiNAnalysis[CP], MATCH(tblPiNHistorical[[#This Row],[ID]], tblPiNAnalysis[ID], 0)), "")</f>
        <v/>
      </c>
      <c r="AB667" s="83" t="str">
        <f>IFERROR(INDEX(tblPiNAnalysis[GBV], MATCH(tblPiNHistorical[[#This Row],[ID]], tblPiNAnalysis[ID], 0)), "")</f>
        <v/>
      </c>
      <c r="AC667" s="28" t="str">
        <f>IFERROR(INDEX(tblPiNAnalysis[Mine Action], MATCH(tblPiNHistorical[[#This Row],[ID]], tblPiNAnalysis[ID], 0)), "")</f>
        <v/>
      </c>
      <c r="AD667" s="83" t="str">
        <f>IFERROR(INDEX(tblPiNAnalysis[[Shelter NFI ]], MATCH(tblPiNHistorical[[#This Row],[ID]], tblPiNAnalysis[ID], 0)), "")</f>
        <v/>
      </c>
      <c r="AE667" s="28" t="str">
        <f>IFERROR(INDEX(tblPiNAnalysis[WASH], MATCH(tblPiNHistorical[[#This Row],[ID]], tblPiNAnalysis[ID], 0)), "")</f>
        <v/>
      </c>
      <c r="AF667"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667" s="136" t="str">
        <f>IF(OR(tblPiNHistorical[[#This Row],[Education Old]]="", tblPiNHistorical[[#This Row],[Education Old]]=0, tblPiNHistorical[[#This Row],[Education New]]="", tblPiNHistorical[[#This Row],[Education New]]=0), "", tblPiNHistorical[[#This Row],[Education New]]-tblPiNHistorical[[#This Row],[Education Old]])</f>
        <v/>
      </c>
      <c r="AH667"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667" s="137" t="str">
        <f>IF(OR(tblPiNHistorical[[#This Row],[Health Old]]="", tblPiNHistorical[[#This Row],[Health Old]]=0, tblPiNHistorical[[#This Row],[Health New]]="", tblPiNHistorical[[#This Row],[Health New]]=0), "", tblPiNHistorical[[#This Row],[Health New]]-tblPiNHistorical[[#This Row],[Health Old]])</f>
        <v/>
      </c>
      <c r="AJ667" s="136" t="str">
        <f>IF(OR(tblPiNHistorical[[#This Row],[Nutrition Old]]="", tblPiNHistorical[[#This Row],[Nutrition Old]]=0, tblPiNHistorical[[#This Row],[Nutrition New]]="", tblPiNHistorical[[#This Row],[Nutrition New]]=0), "", tblPiNHistorical[[#This Row],[Nutrition New]]-tblPiNHistorical[[#This Row],[Nutrition Old]])</f>
        <v/>
      </c>
      <c r="AK667" s="136" t="str">
        <f>IF(OR(tblPiNHistorical[[#This Row],[Protection Old]]="", tblPiNHistorical[[#This Row],[Protection Old]]=0, tblPiNHistorical[[#This Row],[Protection New]]="", tblPiNHistorical[[#This Row],[Protection New]]=0), "", tblPiNHistorical[[#This Row],[Protection New]]-tblPiNHistorical[[#This Row],[Protection Old]])</f>
        <v/>
      </c>
      <c r="AL667" s="136" t="str">
        <f>IF(OR(tblPiNHistorical[[#This Row],[CP Old ]]="", tblPiNHistorical[[#This Row],[CP Old ]]=0, tblPiNHistorical[[#This Row],[CP New]]="", tblPiNHistorical[[#This Row],[CP New]]=0), "", tblPiNHistorical[[#This Row],[CP New]]-tblPiNHistorical[[#This Row],[CP Old ]])</f>
        <v/>
      </c>
      <c r="AM667" s="83" t="str">
        <f>IF(OR(tblPiNHistorical[[#This Row],[GBV Old]]="", tblPiNHistorical[[#This Row],[GBV Old]]=0, tblPiNHistorical[[#This Row],[GBV New]]="", tblPiNHistorical[[#This Row],[GBV New]]=0), "", tblPiNHistorical[[#This Row],[GBV New]]-tblPiNHistorical[[#This Row],[GBV Old]])</f>
        <v/>
      </c>
      <c r="AN667" s="83" t="str">
        <f>IF(OR(tblPiNHistorical[[#This Row],[Mine Action Old]]="", tblPiNHistorical[[#This Row],[Mine Action Old]]=0, tblPiNHistorical[[#This Row],[Mine Action New]]="", tblPiNHistorical[[#This Row],[Mine Action New]]=0), "", tblPiNHistorical[[#This Row],[Mine Action New]]-tblPiNHistorical[[#This Row],[Mine Action Old]])</f>
        <v/>
      </c>
      <c r="AO667" s="136" t="str">
        <f>IF(OR(tblPiNHistorical[[#This Row],[Shelter NFI Old]]="", tblPiNHistorical[[#This Row],[Shelter NFI Old]]=0, tblPiNHistorical[[#This Row],[Shelter NFI New]]="", tblPiNHistorical[[#This Row],[Shelter NFI New]]=0), "", tblPiNHistorical[[#This Row],[Shelter NFI New]]-tblPiNHistorical[[#This Row],[Shelter NFI Old]])</f>
        <v/>
      </c>
      <c r="AP667" s="138" t="str">
        <f>IF(OR(tblPiNHistorical[[#This Row],[WASH Old]]="", tblPiNHistorical[[#This Row],[WASH Old]]=0, tblPiNHistorical[[#This Row],[WASH New]]="", tblPiNHistorical[[#This Row],[WASH New]]=0), "", tblPiNHistorical[[#This Row],[WASH New]]-tblPiNHistorical[[#This Row],[WASH Old]])</f>
        <v/>
      </c>
      <c r="AQ667" s="139" t="str">
        <f>IFERROR(ROUND((tblPiNHistorical[[#This Row],[Site Management - New]] - tblPiNHistorical[[#This Row],[Site Management - Old]])/tblPiNHistorical[[#This Row],[Site Management - Old]], 1), "")</f>
        <v/>
      </c>
      <c r="AR667" s="140" t="str">
        <f>IFERROR(ROUND((tblPiNHistorical[[#This Row],[Education New]]-tblPiNHistorical[[#This Row],[Education Old]])/tblPiNHistorical[[#This Row],[Education Old]], 1), "")</f>
        <v/>
      </c>
      <c r="AS667" s="141" t="str">
        <f>IFERROR(ROUND((tblPiNHistorical[[#This Row],[Food Security and Livlihoods New]]-tblPiNHistorical[[#This Row],[Food Security and Livlihoods Old]])/tblPiNHistorical[[#This Row],[Food Security and Livlihoods Old]], 1), "")</f>
        <v/>
      </c>
      <c r="AT667" s="142" t="str">
        <f>IFERROR(ROUND((tblPiNHistorical[[#This Row],[Health New]]-tblPiNHistorical[[#This Row],[Health Old]])/tblPiNHistorical[[#This Row],[Health Old]], 1), "")</f>
        <v/>
      </c>
      <c r="AU667" s="140" t="str">
        <f>IFERROR(ROUND((tblPiNHistorical[[#This Row],[Nutrition New]]-tblPiNHistorical[[#This Row],[Nutrition Old]])/tblPiNHistorical[[#This Row],[Nutrition Old]], 1), "")</f>
        <v/>
      </c>
      <c r="AV667" s="140" t="str">
        <f>IFERROR(ROUND((tblPiNHistorical[[#This Row],[Protection New]]-tblPiNHistorical[[#This Row],[Protection Old]])/tblPiNHistorical[[#This Row],[Protection Old]], 1), "")</f>
        <v/>
      </c>
      <c r="AW667" s="84" t="str">
        <f>IFERROR(ROUND((tblPiNHistorical[[#This Row],[CP New]]-tblPiNHistorical[[#This Row],[CP Old ]])/tblPiNHistorical[[#This Row],[CP Old ]], 1), "")</f>
        <v/>
      </c>
      <c r="AX667" s="84" t="str">
        <f>IFERROR(ROUND((tblPiNHistorical[[#This Row],[GBV New]]-tblPiNHistorical[[#This Row],[GBV Old]])/tblPiNHistorical[[#This Row],[GBV Old]], 1), "")</f>
        <v/>
      </c>
      <c r="AY667" s="84" t="str">
        <f>IFERROR(ROUND((tblPiNHistorical[[#This Row],[Mine Action New]]-tblPiNHistorical[[#This Row],[Mine Action Old]])/tblPiNHistorical[[#This Row],[Mine Action Old]], 1), "")</f>
        <v/>
      </c>
      <c r="AZ667" s="140" t="str">
        <f>IFERROR(ROUND((tblPiNHistorical[[#This Row],[Shelter NFI New]]-tblPiNHistorical[[#This Row],[Shelter NFI Old]])/tblPiNHistorical[[#This Row],[Shelter NFI Old]], 1), "")</f>
        <v/>
      </c>
      <c r="BA667" s="31" t="str">
        <f>IFERROR(ROUND((tblPiNHistorical[[#This Row],[WASH New]]-tblPiNHistorical[[#This Row],[WASH Old]])/tblPiNHistorical[[#This Row],[WASH Old]], 1), "")</f>
        <v/>
      </c>
    </row>
    <row r="668" spans="1:53" ht="38.25" x14ac:dyDescent="0.25">
      <c r="A668"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Non-displaced PopulationSD17017</v>
      </c>
      <c r="B668" s="134" t="s">
        <v>173</v>
      </c>
      <c r="C668" s="124" t="s">
        <v>134</v>
      </c>
      <c r="D668" s="124" t="s">
        <v>532</v>
      </c>
      <c r="E668" s="59" t="s">
        <v>533</v>
      </c>
      <c r="F668" s="54"/>
      <c r="G668" s="29"/>
      <c r="H668" s="53">
        <v>3740</v>
      </c>
      <c r="I668" s="53" t="s">
        <v>89</v>
      </c>
      <c r="J668" s="34">
        <v>0</v>
      </c>
      <c r="K668" s="116">
        <v>1449.998</v>
      </c>
      <c r="L668" s="114">
        <v>3740</v>
      </c>
      <c r="M668" s="114">
        <v>0</v>
      </c>
      <c r="N668" s="114">
        <v>3740</v>
      </c>
      <c r="O668" s="114">
        <v>411.40000000000003</v>
      </c>
      <c r="P668" s="114">
        <v>411</v>
      </c>
      <c r="Q668" s="114">
        <v>295</v>
      </c>
      <c r="R668" s="114">
        <v>0</v>
      </c>
      <c r="S668" s="114">
        <v>748</v>
      </c>
      <c r="T668" s="196">
        <v>1614.932</v>
      </c>
      <c r="U668" s="52" t="str">
        <f>IFERROR(INDEX(tblPiNAnalysis[[Site Management ]], MATCH(tblPiNHistorical[[#This Row],[ID]], tblPiNAnalysis[ID], 0)), "")</f>
        <v/>
      </c>
      <c r="V668" s="52" t="str">
        <f>IFERROR(INDEX(tblPiNAnalysis[Education], MATCH(tblPiNHistorical[[#This Row],[ID]], tblPiNAnalysis[ID], 0)), "")</f>
        <v/>
      </c>
      <c r="W668" s="28" t="str">
        <f>IFERROR(INDEX(tblPiNAnalysis[Food Security and Livlihoods], MATCH(tblPiNHistorical[[#This Row],[ID]], tblPiNAnalysis[ID], 0)), "")</f>
        <v/>
      </c>
      <c r="X668" s="28" t="str">
        <f>IFERROR(INDEX(tblPiNAnalysis[[Health ]], MATCH(tblPiNHistorical[[#This Row],[ID]], tblPiNAnalysis[ID], 0)), "")</f>
        <v/>
      </c>
      <c r="Y668" s="28" t="str">
        <f>IFERROR(INDEX(tblPiNAnalysis[Nutrition], MATCH(tblPiNHistorical[[#This Row],[ID]], tblPiNAnalysis[ID], 0)), "")</f>
        <v/>
      </c>
      <c r="Z668" s="28" t="str">
        <f>IFERROR(INDEX(tblPiNAnalysis[Protection], MATCH(tblPiNHistorical[[#This Row],[ID]], tblPiNAnalysis[ID], 0)), "")</f>
        <v/>
      </c>
      <c r="AA668" s="28" t="str">
        <f>IFERROR(INDEX(tblPiNAnalysis[CP], MATCH(tblPiNHistorical[[#This Row],[ID]], tblPiNAnalysis[ID], 0)), "")</f>
        <v/>
      </c>
      <c r="AB668" s="83" t="str">
        <f>IFERROR(INDEX(tblPiNAnalysis[GBV], MATCH(tblPiNHistorical[[#This Row],[ID]], tblPiNAnalysis[ID], 0)), "")</f>
        <v/>
      </c>
      <c r="AC668" s="28" t="str">
        <f>IFERROR(INDEX(tblPiNAnalysis[Mine Action], MATCH(tblPiNHistorical[[#This Row],[ID]], tblPiNAnalysis[ID], 0)), "")</f>
        <v/>
      </c>
      <c r="AD668" s="83" t="str">
        <f>IFERROR(INDEX(tblPiNAnalysis[[Shelter NFI ]], MATCH(tblPiNHistorical[[#This Row],[ID]], tblPiNAnalysis[ID], 0)), "")</f>
        <v/>
      </c>
      <c r="AE668" s="28" t="str">
        <f>IFERROR(INDEX(tblPiNAnalysis[WASH], MATCH(tblPiNHistorical[[#This Row],[ID]], tblPiNAnalysis[ID], 0)), "")</f>
        <v/>
      </c>
      <c r="AF668"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668" s="136" t="str">
        <f>IF(OR(tblPiNHistorical[[#This Row],[Education Old]]="", tblPiNHistorical[[#This Row],[Education Old]]=0, tblPiNHistorical[[#This Row],[Education New]]="", tblPiNHistorical[[#This Row],[Education New]]=0), "", tblPiNHistorical[[#This Row],[Education New]]-tblPiNHistorical[[#This Row],[Education Old]])</f>
        <v/>
      </c>
      <c r="AH668"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668" s="137" t="str">
        <f>IF(OR(tblPiNHistorical[[#This Row],[Health Old]]="", tblPiNHistorical[[#This Row],[Health Old]]=0, tblPiNHistorical[[#This Row],[Health New]]="", tblPiNHistorical[[#This Row],[Health New]]=0), "", tblPiNHistorical[[#This Row],[Health New]]-tblPiNHistorical[[#This Row],[Health Old]])</f>
        <v/>
      </c>
      <c r="AJ668" s="136" t="str">
        <f>IF(OR(tblPiNHistorical[[#This Row],[Nutrition Old]]="", tblPiNHistorical[[#This Row],[Nutrition Old]]=0, tblPiNHistorical[[#This Row],[Nutrition New]]="", tblPiNHistorical[[#This Row],[Nutrition New]]=0), "", tblPiNHistorical[[#This Row],[Nutrition New]]-tblPiNHistorical[[#This Row],[Nutrition Old]])</f>
        <v/>
      </c>
      <c r="AK668" s="136" t="str">
        <f>IF(OR(tblPiNHistorical[[#This Row],[Protection Old]]="", tblPiNHistorical[[#This Row],[Protection Old]]=0, tblPiNHistorical[[#This Row],[Protection New]]="", tblPiNHistorical[[#This Row],[Protection New]]=0), "", tblPiNHistorical[[#This Row],[Protection New]]-tblPiNHistorical[[#This Row],[Protection Old]])</f>
        <v/>
      </c>
      <c r="AL668" s="136" t="str">
        <f>IF(OR(tblPiNHistorical[[#This Row],[CP Old ]]="", tblPiNHistorical[[#This Row],[CP Old ]]=0, tblPiNHistorical[[#This Row],[CP New]]="", tblPiNHistorical[[#This Row],[CP New]]=0), "", tblPiNHistorical[[#This Row],[CP New]]-tblPiNHistorical[[#This Row],[CP Old ]])</f>
        <v/>
      </c>
      <c r="AM668" s="83" t="str">
        <f>IF(OR(tblPiNHistorical[[#This Row],[GBV Old]]="", tblPiNHistorical[[#This Row],[GBV Old]]=0, tblPiNHistorical[[#This Row],[GBV New]]="", tblPiNHistorical[[#This Row],[GBV New]]=0), "", tblPiNHistorical[[#This Row],[GBV New]]-tblPiNHistorical[[#This Row],[GBV Old]])</f>
        <v/>
      </c>
      <c r="AN668" s="83" t="str">
        <f>IF(OR(tblPiNHistorical[[#This Row],[Mine Action Old]]="", tblPiNHistorical[[#This Row],[Mine Action Old]]=0, tblPiNHistorical[[#This Row],[Mine Action New]]="", tblPiNHistorical[[#This Row],[Mine Action New]]=0), "", tblPiNHistorical[[#This Row],[Mine Action New]]-tblPiNHistorical[[#This Row],[Mine Action Old]])</f>
        <v/>
      </c>
      <c r="AO668" s="136" t="str">
        <f>IF(OR(tblPiNHistorical[[#This Row],[Shelter NFI Old]]="", tblPiNHistorical[[#This Row],[Shelter NFI Old]]=0, tblPiNHistorical[[#This Row],[Shelter NFI New]]="", tblPiNHistorical[[#This Row],[Shelter NFI New]]=0), "", tblPiNHistorical[[#This Row],[Shelter NFI New]]-tblPiNHistorical[[#This Row],[Shelter NFI Old]])</f>
        <v/>
      </c>
      <c r="AP668" s="138" t="str">
        <f>IF(OR(tblPiNHistorical[[#This Row],[WASH Old]]="", tblPiNHistorical[[#This Row],[WASH Old]]=0, tblPiNHistorical[[#This Row],[WASH New]]="", tblPiNHistorical[[#This Row],[WASH New]]=0), "", tblPiNHistorical[[#This Row],[WASH New]]-tblPiNHistorical[[#This Row],[WASH Old]])</f>
        <v/>
      </c>
      <c r="AQ668" s="139" t="str">
        <f>IFERROR(ROUND((tblPiNHistorical[[#This Row],[Site Management - New]] - tblPiNHistorical[[#This Row],[Site Management - Old]])/tblPiNHistorical[[#This Row],[Site Management - Old]], 1), "")</f>
        <v/>
      </c>
      <c r="AR668" s="140" t="str">
        <f>IFERROR(ROUND((tblPiNHistorical[[#This Row],[Education New]]-tblPiNHistorical[[#This Row],[Education Old]])/tblPiNHistorical[[#This Row],[Education Old]], 1), "")</f>
        <v/>
      </c>
      <c r="AS668" s="141" t="str">
        <f>IFERROR(ROUND((tblPiNHistorical[[#This Row],[Food Security and Livlihoods New]]-tblPiNHistorical[[#This Row],[Food Security and Livlihoods Old]])/tblPiNHistorical[[#This Row],[Food Security and Livlihoods Old]], 1), "")</f>
        <v/>
      </c>
      <c r="AT668" s="142" t="str">
        <f>IFERROR(ROUND((tblPiNHistorical[[#This Row],[Health New]]-tblPiNHistorical[[#This Row],[Health Old]])/tblPiNHistorical[[#This Row],[Health Old]], 1), "")</f>
        <v/>
      </c>
      <c r="AU668" s="140" t="str">
        <f>IFERROR(ROUND((tblPiNHistorical[[#This Row],[Nutrition New]]-tblPiNHistorical[[#This Row],[Nutrition Old]])/tblPiNHistorical[[#This Row],[Nutrition Old]], 1), "")</f>
        <v/>
      </c>
      <c r="AV668" s="140" t="str">
        <f>IFERROR(ROUND((tblPiNHistorical[[#This Row],[Protection New]]-tblPiNHistorical[[#This Row],[Protection Old]])/tblPiNHistorical[[#This Row],[Protection Old]], 1), "")</f>
        <v/>
      </c>
      <c r="AW668" s="84" t="str">
        <f>IFERROR(ROUND((tblPiNHistorical[[#This Row],[CP New]]-tblPiNHistorical[[#This Row],[CP Old ]])/tblPiNHistorical[[#This Row],[CP Old ]], 1), "")</f>
        <v/>
      </c>
      <c r="AX668" s="84" t="str">
        <f>IFERROR(ROUND((tblPiNHistorical[[#This Row],[GBV New]]-tblPiNHistorical[[#This Row],[GBV Old]])/tblPiNHistorical[[#This Row],[GBV Old]], 1), "")</f>
        <v/>
      </c>
      <c r="AY668" s="84" t="str">
        <f>IFERROR(ROUND((tblPiNHistorical[[#This Row],[Mine Action New]]-tblPiNHistorical[[#This Row],[Mine Action Old]])/tblPiNHistorical[[#This Row],[Mine Action Old]], 1), "")</f>
        <v/>
      </c>
      <c r="AZ668" s="140" t="str">
        <f>IFERROR(ROUND((tblPiNHistorical[[#This Row],[Shelter NFI New]]-tblPiNHistorical[[#This Row],[Shelter NFI Old]])/tblPiNHistorical[[#This Row],[Shelter NFI Old]], 1), "")</f>
        <v/>
      </c>
      <c r="BA668" s="31" t="str">
        <f>IFERROR(ROUND((tblPiNHistorical[[#This Row],[WASH New]]-tblPiNHistorical[[#This Row],[WASH Old]])/tblPiNHistorical[[#This Row],[WASH Old]], 1), "")</f>
        <v/>
      </c>
    </row>
    <row r="669" spans="1:53" ht="38.25" x14ac:dyDescent="0.25">
      <c r="A669"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Non-displaced PopulationSD17014</v>
      </c>
      <c r="B669" s="134" t="s">
        <v>173</v>
      </c>
      <c r="C669" s="124" t="s">
        <v>134</v>
      </c>
      <c r="D669" s="124" t="s">
        <v>526</v>
      </c>
      <c r="E669" s="59" t="s">
        <v>527</v>
      </c>
      <c r="F669" s="54"/>
      <c r="G669" s="29"/>
      <c r="H669" s="53">
        <v>2312</v>
      </c>
      <c r="I669" s="53" t="s">
        <v>89</v>
      </c>
      <c r="J669" s="34">
        <v>0</v>
      </c>
      <c r="K669" s="116">
        <v>896.36239999999998</v>
      </c>
      <c r="L669" s="114">
        <v>2312</v>
      </c>
      <c r="M669" s="114">
        <v>6290</v>
      </c>
      <c r="N669" s="114">
        <v>1055</v>
      </c>
      <c r="O669" s="114">
        <v>254.32000000000005</v>
      </c>
      <c r="P669" s="114">
        <v>254</v>
      </c>
      <c r="Q669" s="114">
        <v>182</v>
      </c>
      <c r="R669" s="114">
        <v>0</v>
      </c>
      <c r="S669" s="114">
        <v>462</v>
      </c>
      <c r="T669" s="196">
        <v>1087.7959999999998</v>
      </c>
      <c r="U669" s="52" t="str">
        <f>IFERROR(INDEX(tblPiNAnalysis[[Site Management ]], MATCH(tblPiNHistorical[[#This Row],[ID]], tblPiNAnalysis[ID], 0)), "")</f>
        <v/>
      </c>
      <c r="V669" s="52" t="str">
        <f>IFERROR(INDEX(tblPiNAnalysis[Education], MATCH(tblPiNHistorical[[#This Row],[ID]], tblPiNAnalysis[ID], 0)), "")</f>
        <v/>
      </c>
      <c r="W669" s="28" t="str">
        <f>IFERROR(INDEX(tblPiNAnalysis[Food Security and Livlihoods], MATCH(tblPiNHistorical[[#This Row],[ID]], tblPiNAnalysis[ID], 0)), "")</f>
        <v/>
      </c>
      <c r="X669" s="28" t="str">
        <f>IFERROR(INDEX(tblPiNAnalysis[[Health ]], MATCH(tblPiNHistorical[[#This Row],[ID]], tblPiNAnalysis[ID], 0)), "")</f>
        <v/>
      </c>
      <c r="Y669" s="28" t="str">
        <f>IFERROR(INDEX(tblPiNAnalysis[Nutrition], MATCH(tblPiNHistorical[[#This Row],[ID]], tblPiNAnalysis[ID], 0)), "")</f>
        <v/>
      </c>
      <c r="Z669" s="28" t="str">
        <f>IFERROR(INDEX(tblPiNAnalysis[Protection], MATCH(tblPiNHistorical[[#This Row],[ID]], tblPiNAnalysis[ID], 0)), "")</f>
        <v/>
      </c>
      <c r="AA669" s="28" t="str">
        <f>IFERROR(INDEX(tblPiNAnalysis[CP], MATCH(tblPiNHistorical[[#This Row],[ID]], tblPiNAnalysis[ID], 0)), "")</f>
        <v/>
      </c>
      <c r="AB669" s="83" t="str">
        <f>IFERROR(INDEX(tblPiNAnalysis[GBV], MATCH(tblPiNHistorical[[#This Row],[ID]], tblPiNAnalysis[ID], 0)), "")</f>
        <v/>
      </c>
      <c r="AC669" s="28" t="str">
        <f>IFERROR(INDEX(tblPiNAnalysis[Mine Action], MATCH(tblPiNHistorical[[#This Row],[ID]], tblPiNAnalysis[ID], 0)), "")</f>
        <v/>
      </c>
      <c r="AD669" s="83" t="str">
        <f>IFERROR(INDEX(tblPiNAnalysis[[Shelter NFI ]], MATCH(tblPiNHistorical[[#This Row],[ID]], tblPiNAnalysis[ID], 0)), "")</f>
        <v/>
      </c>
      <c r="AE669" s="28" t="str">
        <f>IFERROR(INDEX(tblPiNAnalysis[WASH], MATCH(tblPiNHistorical[[#This Row],[ID]], tblPiNAnalysis[ID], 0)), "")</f>
        <v/>
      </c>
      <c r="AF669"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669" s="136" t="str">
        <f>IF(OR(tblPiNHistorical[[#This Row],[Education Old]]="", tblPiNHistorical[[#This Row],[Education Old]]=0, tblPiNHistorical[[#This Row],[Education New]]="", tblPiNHistorical[[#This Row],[Education New]]=0), "", tblPiNHistorical[[#This Row],[Education New]]-tblPiNHistorical[[#This Row],[Education Old]])</f>
        <v/>
      </c>
      <c r="AH669"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669" s="137" t="str">
        <f>IF(OR(tblPiNHistorical[[#This Row],[Health Old]]="", tblPiNHistorical[[#This Row],[Health Old]]=0, tblPiNHistorical[[#This Row],[Health New]]="", tblPiNHistorical[[#This Row],[Health New]]=0), "", tblPiNHistorical[[#This Row],[Health New]]-tblPiNHistorical[[#This Row],[Health Old]])</f>
        <v/>
      </c>
      <c r="AJ669" s="136" t="str">
        <f>IF(OR(tblPiNHistorical[[#This Row],[Nutrition Old]]="", tblPiNHistorical[[#This Row],[Nutrition Old]]=0, tblPiNHistorical[[#This Row],[Nutrition New]]="", tblPiNHistorical[[#This Row],[Nutrition New]]=0), "", tblPiNHistorical[[#This Row],[Nutrition New]]-tblPiNHistorical[[#This Row],[Nutrition Old]])</f>
        <v/>
      </c>
      <c r="AK669" s="136" t="str">
        <f>IF(OR(tblPiNHistorical[[#This Row],[Protection Old]]="", tblPiNHistorical[[#This Row],[Protection Old]]=0, tblPiNHistorical[[#This Row],[Protection New]]="", tblPiNHistorical[[#This Row],[Protection New]]=0), "", tblPiNHistorical[[#This Row],[Protection New]]-tblPiNHistorical[[#This Row],[Protection Old]])</f>
        <v/>
      </c>
      <c r="AL669" s="136" t="str">
        <f>IF(OR(tblPiNHistorical[[#This Row],[CP Old ]]="", tblPiNHistorical[[#This Row],[CP Old ]]=0, tblPiNHistorical[[#This Row],[CP New]]="", tblPiNHistorical[[#This Row],[CP New]]=0), "", tblPiNHistorical[[#This Row],[CP New]]-tblPiNHistorical[[#This Row],[CP Old ]])</f>
        <v/>
      </c>
      <c r="AM669" s="83" t="str">
        <f>IF(OR(tblPiNHistorical[[#This Row],[GBV Old]]="", tblPiNHistorical[[#This Row],[GBV Old]]=0, tblPiNHistorical[[#This Row],[GBV New]]="", tblPiNHistorical[[#This Row],[GBV New]]=0), "", tblPiNHistorical[[#This Row],[GBV New]]-tblPiNHistorical[[#This Row],[GBV Old]])</f>
        <v/>
      </c>
      <c r="AN669" s="83" t="str">
        <f>IF(OR(tblPiNHistorical[[#This Row],[Mine Action Old]]="", tblPiNHistorical[[#This Row],[Mine Action Old]]=0, tblPiNHistorical[[#This Row],[Mine Action New]]="", tblPiNHistorical[[#This Row],[Mine Action New]]=0), "", tblPiNHistorical[[#This Row],[Mine Action New]]-tblPiNHistorical[[#This Row],[Mine Action Old]])</f>
        <v/>
      </c>
      <c r="AO669" s="136" t="str">
        <f>IF(OR(tblPiNHistorical[[#This Row],[Shelter NFI Old]]="", tblPiNHistorical[[#This Row],[Shelter NFI Old]]=0, tblPiNHistorical[[#This Row],[Shelter NFI New]]="", tblPiNHistorical[[#This Row],[Shelter NFI New]]=0), "", tblPiNHistorical[[#This Row],[Shelter NFI New]]-tblPiNHistorical[[#This Row],[Shelter NFI Old]])</f>
        <v/>
      </c>
      <c r="AP669" s="138" t="str">
        <f>IF(OR(tblPiNHistorical[[#This Row],[WASH Old]]="", tblPiNHistorical[[#This Row],[WASH Old]]=0, tblPiNHistorical[[#This Row],[WASH New]]="", tblPiNHistorical[[#This Row],[WASH New]]=0), "", tblPiNHistorical[[#This Row],[WASH New]]-tblPiNHistorical[[#This Row],[WASH Old]])</f>
        <v/>
      </c>
      <c r="AQ669" s="139" t="str">
        <f>IFERROR(ROUND((tblPiNHistorical[[#This Row],[Site Management - New]] - tblPiNHistorical[[#This Row],[Site Management - Old]])/tblPiNHistorical[[#This Row],[Site Management - Old]], 1), "")</f>
        <v/>
      </c>
      <c r="AR669" s="140" t="str">
        <f>IFERROR(ROUND((tblPiNHistorical[[#This Row],[Education New]]-tblPiNHistorical[[#This Row],[Education Old]])/tblPiNHistorical[[#This Row],[Education Old]], 1), "")</f>
        <v/>
      </c>
      <c r="AS669" s="141" t="str">
        <f>IFERROR(ROUND((tblPiNHistorical[[#This Row],[Food Security and Livlihoods New]]-tblPiNHistorical[[#This Row],[Food Security and Livlihoods Old]])/tblPiNHistorical[[#This Row],[Food Security and Livlihoods Old]], 1), "")</f>
        <v/>
      </c>
      <c r="AT669" s="142" t="str">
        <f>IFERROR(ROUND((tblPiNHistorical[[#This Row],[Health New]]-tblPiNHistorical[[#This Row],[Health Old]])/tblPiNHistorical[[#This Row],[Health Old]], 1), "")</f>
        <v/>
      </c>
      <c r="AU669" s="140" t="str">
        <f>IFERROR(ROUND((tblPiNHistorical[[#This Row],[Nutrition New]]-tblPiNHistorical[[#This Row],[Nutrition Old]])/tblPiNHistorical[[#This Row],[Nutrition Old]], 1), "")</f>
        <v/>
      </c>
      <c r="AV669" s="140" t="str">
        <f>IFERROR(ROUND((tblPiNHistorical[[#This Row],[Protection New]]-tblPiNHistorical[[#This Row],[Protection Old]])/tblPiNHistorical[[#This Row],[Protection Old]], 1), "")</f>
        <v/>
      </c>
      <c r="AW669" s="84" t="str">
        <f>IFERROR(ROUND((tblPiNHistorical[[#This Row],[CP New]]-tblPiNHistorical[[#This Row],[CP Old ]])/tblPiNHistorical[[#This Row],[CP Old ]], 1), "")</f>
        <v/>
      </c>
      <c r="AX669" s="84" t="str">
        <f>IFERROR(ROUND((tblPiNHistorical[[#This Row],[GBV New]]-tblPiNHistorical[[#This Row],[GBV Old]])/tblPiNHistorical[[#This Row],[GBV Old]], 1), "")</f>
        <v/>
      </c>
      <c r="AY669" s="84" t="str">
        <f>IFERROR(ROUND((tblPiNHistorical[[#This Row],[Mine Action New]]-tblPiNHistorical[[#This Row],[Mine Action Old]])/tblPiNHistorical[[#This Row],[Mine Action Old]], 1), "")</f>
        <v/>
      </c>
      <c r="AZ669" s="140" t="str">
        <f>IFERROR(ROUND((tblPiNHistorical[[#This Row],[Shelter NFI New]]-tblPiNHistorical[[#This Row],[Shelter NFI Old]])/tblPiNHistorical[[#This Row],[Shelter NFI Old]], 1), "")</f>
        <v/>
      </c>
      <c r="BA669" s="31" t="str">
        <f>IFERROR(ROUND((tblPiNHistorical[[#This Row],[WASH New]]-tblPiNHistorical[[#This Row],[WASH Old]])/tblPiNHistorical[[#This Row],[WASH Old]], 1), "")</f>
        <v/>
      </c>
    </row>
    <row r="670" spans="1:53" ht="38.25" x14ac:dyDescent="0.25">
      <c r="A670"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Non-displaced PopulationSD17020</v>
      </c>
      <c r="B670" s="134" t="s">
        <v>173</v>
      </c>
      <c r="C670" s="124" t="s">
        <v>134</v>
      </c>
      <c r="D670" s="124" t="s">
        <v>538</v>
      </c>
      <c r="E670" s="59" t="s">
        <v>539</v>
      </c>
      <c r="F670" s="54"/>
      <c r="G670" s="29"/>
      <c r="H670" s="53">
        <v>20070</v>
      </c>
      <c r="I670" s="53" t="s">
        <v>89</v>
      </c>
      <c r="J670" s="34">
        <v>0</v>
      </c>
      <c r="K670" s="116">
        <v>7781.1390000000001</v>
      </c>
      <c r="L670" s="114">
        <v>6021</v>
      </c>
      <c r="M670" s="114">
        <v>0</v>
      </c>
      <c r="N670" s="114">
        <v>12578</v>
      </c>
      <c r="O670" s="114">
        <v>2207.7000000000003</v>
      </c>
      <c r="P670" s="114">
        <v>2208</v>
      </c>
      <c r="Q670" s="114">
        <v>1590</v>
      </c>
      <c r="R670" s="114">
        <v>0</v>
      </c>
      <c r="S670" s="114">
        <v>4014</v>
      </c>
      <c r="T670" s="196">
        <v>8893.0169999999998</v>
      </c>
      <c r="U670" s="52" t="str">
        <f>IFERROR(INDEX(tblPiNAnalysis[[Site Management ]], MATCH(tblPiNHistorical[[#This Row],[ID]], tblPiNAnalysis[ID], 0)), "")</f>
        <v/>
      </c>
      <c r="V670" s="52" t="str">
        <f>IFERROR(INDEX(tblPiNAnalysis[Education], MATCH(tblPiNHistorical[[#This Row],[ID]], tblPiNAnalysis[ID], 0)), "")</f>
        <v/>
      </c>
      <c r="W670" s="28" t="str">
        <f>IFERROR(INDEX(tblPiNAnalysis[Food Security and Livlihoods], MATCH(tblPiNHistorical[[#This Row],[ID]], tblPiNAnalysis[ID], 0)), "")</f>
        <v/>
      </c>
      <c r="X670" s="28" t="str">
        <f>IFERROR(INDEX(tblPiNAnalysis[[Health ]], MATCH(tblPiNHistorical[[#This Row],[ID]], tblPiNAnalysis[ID], 0)), "")</f>
        <v/>
      </c>
      <c r="Y670" s="28" t="str">
        <f>IFERROR(INDEX(tblPiNAnalysis[Nutrition], MATCH(tblPiNHistorical[[#This Row],[ID]], tblPiNAnalysis[ID], 0)), "")</f>
        <v/>
      </c>
      <c r="Z670" s="28" t="str">
        <f>IFERROR(INDEX(tblPiNAnalysis[Protection], MATCH(tblPiNHistorical[[#This Row],[ID]], tblPiNAnalysis[ID], 0)), "")</f>
        <v/>
      </c>
      <c r="AA670" s="28" t="str">
        <f>IFERROR(INDEX(tblPiNAnalysis[CP], MATCH(tblPiNHistorical[[#This Row],[ID]], tblPiNAnalysis[ID], 0)), "")</f>
        <v/>
      </c>
      <c r="AB670" s="83" t="str">
        <f>IFERROR(INDEX(tblPiNAnalysis[GBV], MATCH(tblPiNHistorical[[#This Row],[ID]], tblPiNAnalysis[ID], 0)), "")</f>
        <v/>
      </c>
      <c r="AC670" s="28" t="str">
        <f>IFERROR(INDEX(tblPiNAnalysis[Mine Action], MATCH(tblPiNHistorical[[#This Row],[ID]], tblPiNAnalysis[ID], 0)), "")</f>
        <v/>
      </c>
      <c r="AD670" s="83" t="str">
        <f>IFERROR(INDEX(tblPiNAnalysis[[Shelter NFI ]], MATCH(tblPiNHistorical[[#This Row],[ID]], tblPiNAnalysis[ID], 0)), "")</f>
        <v/>
      </c>
      <c r="AE670" s="28" t="str">
        <f>IFERROR(INDEX(tblPiNAnalysis[WASH], MATCH(tblPiNHistorical[[#This Row],[ID]], tblPiNAnalysis[ID], 0)), "")</f>
        <v/>
      </c>
      <c r="AF670"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670" s="136" t="str">
        <f>IF(OR(tblPiNHistorical[[#This Row],[Education Old]]="", tblPiNHistorical[[#This Row],[Education Old]]=0, tblPiNHistorical[[#This Row],[Education New]]="", tblPiNHistorical[[#This Row],[Education New]]=0), "", tblPiNHistorical[[#This Row],[Education New]]-tblPiNHistorical[[#This Row],[Education Old]])</f>
        <v/>
      </c>
      <c r="AH670"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670" s="137" t="str">
        <f>IF(OR(tblPiNHistorical[[#This Row],[Health Old]]="", tblPiNHistorical[[#This Row],[Health Old]]=0, tblPiNHistorical[[#This Row],[Health New]]="", tblPiNHistorical[[#This Row],[Health New]]=0), "", tblPiNHistorical[[#This Row],[Health New]]-tblPiNHistorical[[#This Row],[Health Old]])</f>
        <v/>
      </c>
      <c r="AJ670" s="136" t="str">
        <f>IF(OR(tblPiNHistorical[[#This Row],[Nutrition Old]]="", tblPiNHistorical[[#This Row],[Nutrition Old]]=0, tblPiNHistorical[[#This Row],[Nutrition New]]="", tblPiNHistorical[[#This Row],[Nutrition New]]=0), "", tblPiNHistorical[[#This Row],[Nutrition New]]-tblPiNHistorical[[#This Row],[Nutrition Old]])</f>
        <v/>
      </c>
      <c r="AK670" s="136" t="str">
        <f>IF(OR(tblPiNHistorical[[#This Row],[Protection Old]]="", tblPiNHistorical[[#This Row],[Protection Old]]=0, tblPiNHistorical[[#This Row],[Protection New]]="", tblPiNHistorical[[#This Row],[Protection New]]=0), "", tblPiNHistorical[[#This Row],[Protection New]]-tblPiNHistorical[[#This Row],[Protection Old]])</f>
        <v/>
      </c>
      <c r="AL670" s="136" t="str">
        <f>IF(OR(tblPiNHistorical[[#This Row],[CP Old ]]="", tblPiNHistorical[[#This Row],[CP Old ]]=0, tblPiNHistorical[[#This Row],[CP New]]="", tblPiNHistorical[[#This Row],[CP New]]=0), "", tblPiNHistorical[[#This Row],[CP New]]-tblPiNHistorical[[#This Row],[CP Old ]])</f>
        <v/>
      </c>
      <c r="AM670" s="83" t="str">
        <f>IF(OR(tblPiNHistorical[[#This Row],[GBV Old]]="", tblPiNHistorical[[#This Row],[GBV Old]]=0, tblPiNHistorical[[#This Row],[GBV New]]="", tblPiNHistorical[[#This Row],[GBV New]]=0), "", tblPiNHistorical[[#This Row],[GBV New]]-tblPiNHistorical[[#This Row],[GBV Old]])</f>
        <v/>
      </c>
      <c r="AN670" s="83" t="str">
        <f>IF(OR(tblPiNHistorical[[#This Row],[Mine Action Old]]="", tblPiNHistorical[[#This Row],[Mine Action Old]]=0, tblPiNHistorical[[#This Row],[Mine Action New]]="", tblPiNHistorical[[#This Row],[Mine Action New]]=0), "", tblPiNHistorical[[#This Row],[Mine Action New]]-tblPiNHistorical[[#This Row],[Mine Action Old]])</f>
        <v/>
      </c>
      <c r="AO670" s="136" t="str">
        <f>IF(OR(tblPiNHistorical[[#This Row],[Shelter NFI Old]]="", tblPiNHistorical[[#This Row],[Shelter NFI Old]]=0, tblPiNHistorical[[#This Row],[Shelter NFI New]]="", tblPiNHistorical[[#This Row],[Shelter NFI New]]=0), "", tblPiNHistorical[[#This Row],[Shelter NFI New]]-tblPiNHistorical[[#This Row],[Shelter NFI Old]])</f>
        <v/>
      </c>
      <c r="AP670" s="138" t="str">
        <f>IF(OR(tblPiNHistorical[[#This Row],[WASH Old]]="", tblPiNHistorical[[#This Row],[WASH Old]]=0, tblPiNHistorical[[#This Row],[WASH New]]="", tblPiNHistorical[[#This Row],[WASH New]]=0), "", tblPiNHistorical[[#This Row],[WASH New]]-tblPiNHistorical[[#This Row],[WASH Old]])</f>
        <v/>
      </c>
      <c r="AQ670" s="139" t="str">
        <f>IFERROR(ROUND((tblPiNHistorical[[#This Row],[Site Management - New]] - tblPiNHistorical[[#This Row],[Site Management - Old]])/tblPiNHistorical[[#This Row],[Site Management - Old]], 1), "")</f>
        <v/>
      </c>
      <c r="AR670" s="140" t="str">
        <f>IFERROR(ROUND((tblPiNHistorical[[#This Row],[Education New]]-tblPiNHistorical[[#This Row],[Education Old]])/tblPiNHistorical[[#This Row],[Education Old]], 1), "")</f>
        <v/>
      </c>
      <c r="AS670" s="141" t="str">
        <f>IFERROR(ROUND((tblPiNHistorical[[#This Row],[Food Security and Livlihoods New]]-tblPiNHistorical[[#This Row],[Food Security and Livlihoods Old]])/tblPiNHistorical[[#This Row],[Food Security and Livlihoods Old]], 1), "")</f>
        <v/>
      </c>
      <c r="AT670" s="142" t="str">
        <f>IFERROR(ROUND((tblPiNHistorical[[#This Row],[Health New]]-tblPiNHistorical[[#This Row],[Health Old]])/tblPiNHistorical[[#This Row],[Health Old]], 1), "")</f>
        <v/>
      </c>
      <c r="AU670" s="140" t="str">
        <f>IFERROR(ROUND((tblPiNHistorical[[#This Row],[Nutrition New]]-tblPiNHistorical[[#This Row],[Nutrition Old]])/tblPiNHistorical[[#This Row],[Nutrition Old]], 1), "")</f>
        <v/>
      </c>
      <c r="AV670" s="140" t="str">
        <f>IFERROR(ROUND((tblPiNHistorical[[#This Row],[Protection New]]-tblPiNHistorical[[#This Row],[Protection Old]])/tblPiNHistorical[[#This Row],[Protection Old]], 1), "")</f>
        <v/>
      </c>
      <c r="AW670" s="84" t="str">
        <f>IFERROR(ROUND((tblPiNHistorical[[#This Row],[CP New]]-tblPiNHistorical[[#This Row],[CP Old ]])/tblPiNHistorical[[#This Row],[CP Old ]], 1), "")</f>
        <v/>
      </c>
      <c r="AX670" s="84" t="str">
        <f>IFERROR(ROUND((tblPiNHistorical[[#This Row],[GBV New]]-tblPiNHistorical[[#This Row],[GBV Old]])/tblPiNHistorical[[#This Row],[GBV Old]], 1), "")</f>
        <v/>
      </c>
      <c r="AY670" s="84" t="str">
        <f>IFERROR(ROUND((tblPiNHistorical[[#This Row],[Mine Action New]]-tblPiNHistorical[[#This Row],[Mine Action Old]])/tblPiNHistorical[[#This Row],[Mine Action Old]], 1), "")</f>
        <v/>
      </c>
      <c r="AZ670" s="140" t="str">
        <f>IFERROR(ROUND((tblPiNHistorical[[#This Row],[Shelter NFI New]]-tblPiNHistorical[[#This Row],[Shelter NFI Old]])/tblPiNHistorical[[#This Row],[Shelter NFI Old]], 1), "")</f>
        <v/>
      </c>
      <c r="BA670" s="31" t="str">
        <f>IFERROR(ROUND((tblPiNHistorical[[#This Row],[WASH New]]-tblPiNHistorical[[#This Row],[WASH Old]])/tblPiNHistorical[[#This Row],[WASH Old]], 1), "")</f>
        <v/>
      </c>
    </row>
    <row r="671" spans="1:53" ht="38.25" x14ac:dyDescent="0.25">
      <c r="A671"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Non-displaced PopulationSD10072</v>
      </c>
      <c r="B671" s="134" t="s">
        <v>176</v>
      </c>
      <c r="C671" s="124" t="s">
        <v>127</v>
      </c>
      <c r="D671" s="124" t="s">
        <v>420</v>
      </c>
      <c r="E671" s="59" t="s">
        <v>421</v>
      </c>
      <c r="F671" s="54"/>
      <c r="G671" s="29"/>
      <c r="H671" s="53">
        <v>39698</v>
      </c>
      <c r="I671" s="53" t="s">
        <v>89</v>
      </c>
      <c r="J671" s="34">
        <v>0</v>
      </c>
      <c r="K671" s="116">
        <v>0</v>
      </c>
      <c r="L671" s="114">
        <v>17864.099999999999</v>
      </c>
      <c r="M671" s="114">
        <v>1355</v>
      </c>
      <c r="N671" s="114">
        <v>13766</v>
      </c>
      <c r="O671" s="114">
        <v>4366.7800000000007</v>
      </c>
      <c r="P671" s="114">
        <v>4367</v>
      </c>
      <c r="Q671" s="114">
        <v>0</v>
      </c>
      <c r="R671" s="114">
        <v>0</v>
      </c>
      <c r="S671" s="114">
        <v>7940</v>
      </c>
      <c r="T671" s="196">
        <v>39523.328800000003</v>
      </c>
      <c r="U671" s="52" t="str">
        <f>IFERROR(INDEX(tblPiNAnalysis[[Site Management ]], MATCH(tblPiNHistorical[[#This Row],[ID]], tblPiNAnalysis[ID], 0)), "")</f>
        <v/>
      </c>
      <c r="V671" s="52" t="str">
        <f>IFERROR(INDEX(tblPiNAnalysis[Education], MATCH(tblPiNHistorical[[#This Row],[ID]], tblPiNAnalysis[ID], 0)), "")</f>
        <v/>
      </c>
      <c r="W671" s="28" t="str">
        <f>IFERROR(INDEX(tblPiNAnalysis[Food Security and Livlihoods], MATCH(tblPiNHistorical[[#This Row],[ID]], tblPiNAnalysis[ID], 0)), "")</f>
        <v/>
      </c>
      <c r="X671" s="28" t="str">
        <f>IFERROR(INDEX(tblPiNAnalysis[[Health ]], MATCH(tblPiNHistorical[[#This Row],[ID]], tblPiNAnalysis[ID], 0)), "")</f>
        <v/>
      </c>
      <c r="Y671" s="28" t="str">
        <f>IFERROR(INDEX(tblPiNAnalysis[Nutrition], MATCH(tblPiNHistorical[[#This Row],[ID]], tblPiNAnalysis[ID], 0)), "")</f>
        <v/>
      </c>
      <c r="Z671" s="28" t="str">
        <f>IFERROR(INDEX(tblPiNAnalysis[Protection], MATCH(tblPiNHistorical[[#This Row],[ID]], tblPiNAnalysis[ID], 0)), "")</f>
        <v/>
      </c>
      <c r="AA671" s="28" t="str">
        <f>IFERROR(INDEX(tblPiNAnalysis[CP], MATCH(tblPiNHistorical[[#This Row],[ID]], tblPiNAnalysis[ID], 0)), "")</f>
        <v/>
      </c>
      <c r="AB671" s="83" t="str">
        <f>IFERROR(INDEX(tblPiNAnalysis[GBV], MATCH(tblPiNHistorical[[#This Row],[ID]], tblPiNAnalysis[ID], 0)), "")</f>
        <v/>
      </c>
      <c r="AC671" s="28" t="str">
        <f>IFERROR(INDEX(tblPiNAnalysis[Mine Action], MATCH(tblPiNHistorical[[#This Row],[ID]], tblPiNAnalysis[ID], 0)), "")</f>
        <v/>
      </c>
      <c r="AD671" s="83" t="str">
        <f>IFERROR(INDEX(tblPiNAnalysis[[Shelter NFI ]], MATCH(tblPiNHistorical[[#This Row],[ID]], tblPiNAnalysis[ID], 0)), "")</f>
        <v/>
      </c>
      <c r="AE671" s="28" t="str">
        <f>IFERROR(INDEX(tblPiNAnalysis[WASH], MATCH(tblPiNHistorical[[#This Row],[ID]], tblPiNAnalysis[ID], 0)), "")</f>
        <v/>
      </c>
      <c r="AF671"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671" s="136" t="str">
        <f>IF(OR(tblPiNHistorical[[#This Row],[Education Old]]="", tblPiNHistorical[[#This Row],[Education Old]]=0, tblPiNHistorical[[#This Row],[Education New]]="", tblPiNHistorical[[#This Row],[Education New]]=0), "", tblPiNHistorical[[#This Row],[Education New]]-tblPiNHistorical[[#This Row],[Education Old]])</f>
        <v/>
      </c>
      <c r="AH671"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671" s="137" t="str">
        <f>IF(OR(tblPiNHistorical[[#This Row],[Health Old]]="", tblPiNHistorical[[#This Row],[Health Old]]=0, tblPiNHistorical[[#This Row],[Health New]]="", tblPiNHistorical[[#This Row],[Health New]]=0), "", tblPiNHistorical[[#This Row],[Health New]]-tblPiNHistorical[[#This Row],[Health Old]])</f>
        <v/>
      </c>
      <c r="AJ671" s="136" t="str">
        <f>IF(OR(tblPiNHistorical[[#This Row],[Nutrition Old]]="", tblPiNHistorical[[#This Row],[Nutrition Old]]=0, tblPiNHistorical[[#This Row],[Nutrition New]]="", tblPiNHistorical[[#This Row],[Nutrition New]]=0), "", tblPiNHistorical[[#This Row],[Nutrition New]]-tblPiNHistorical[[#This Row],[Nutrition Old]])</f>
        <v/>
      </c>
      <c r="AK671" s="136" t="str">
        <f>IF(OR(tblPiNHistorical[[#This Row],[Protection Old]]="", tblPiNHistorical[[#This Row],[Protection Old]]=0, tblPiNHistorical[[#This Row],[Protection New]]="", tblPiNHistorical[[#This Row],[Protection New]]=0), "", tblPiNHistorical[[#This Row],[Protection New]]-tblPiNHistorical[[#This Row],[Protection Old]])</f>
        <v/>
      </c>
      <c r="AL671" s="136" t="str">
        <f>IF(OR(tblPiNHistorical[[#This Row],[CP Old ]]="", tblPiNHistorical[[#This Row],[CP Old ]]=0, tblPiNHistorical[[#This Row],[CP New]]="", tblPiNHistorical[[#This Row],[CP New]]=0), "", tblPiNHistorical[[#This Row],[CP New]]-tblPiNHistorical[[#This Row],[CP Old ]])</f>
        <v/>
      </c>
      <c r="AM671" s="83" t="str">
        <f>IF(OR(tblPiNHistorical[[#This Row],[GBV Old]]="", tblPiNHistorical[[#This Row],[GBV Old]]=0, tblPiNHistorical[[#This Row],[GBV New]]="", tblPiNHistorical[[#This Row],[GBV New]]=0), "", tblPiNHistorical[[#This Row],[GBV New]]-tblPiNHistorical[[#This Row],[GBV Old]])</f>
        <v/>
      </c>
      <c r="AN671" s="83" t="str">
        <f>IF(OR(tblPiNHistorical[[#This Row],[Mine Action Old]]="", tblPiNHistorical[[#This Row],[Mine Action Old]]=0, tblPiNHistorical[[#This Row],[Mine Action New]]="", tblPiNHistorical[[#This Row],[Mine Action New]]=0), "", tblPiNHistorical[[#This Row],[Mine Action New]]-tblPiNHistorical[[#This Row],[Mine Action Old]])</f>
        <v/>
      </c>
      <c r="AO671" s="136" t="str">
        <f>IF(OR(tblPiNHistorical[[#This Row],[Shelter NFI Old]]="", tblPiNHistorical[[#This Row],[Shelter NFI Old]]=0, tblPiNHistorical[[#This Row],[Shelter NFI New]]="", tblPiNHistorical[[#This Row],[Shelter NFI New]]=0), "", tblPiNHistorical[[#This Row],[Shelter NFI New]]-tblPiNHistorical[[#This Row],[Shelter NFI Old]])</f>
        <v/>
      </c>
      <c r="AP671" s="138" t="str">
        <f>IF(OR(tblPiNHistorical[[#This Row],[WASH Old]]="", tblPiNHistorical[[#This Row],[WASH Old]]=0, tblPiNHistorical[[#This Row],[WASH New]]="", tblPiNHistorical[[#This Row],[WASH New]]=0), "", tblPiNHistorical[[#This Row],[WASH New]]-tblPiNHistorical[[#This Row],[WASH Old]])</f>
        <v/>
      </c>
      <c r="AQ671" s="139" t="str">
        <f>IFERROR(ROUND((tblPiNHistorical[[#This Row],[Site Management - New]] - tblPiNHistorical[[#This Row],[Site Management - Old]])/tblPiNHistorical[[#This Row],[Site Management - Old]], 1), "")</f>
        <v/>
      </c>
      <c r="AR671" s="140" t="str">
        <f>IFERROR(ROUND((tblPiNHistorical[[#This Row],[Education New]]-tblPiNHistorical[[#This Row],[Education Old]])/tblPiNHistorical[[#This Row],[Education Old]], 1), "")</f>
        <v/>
      </c>
      <c r="AS671" s="141" t="str">
        <f>IFERROR(ROUND((tblPiNHistorical[[#This Row],[Food Security and Livlihoods New]]-tblPiNHistorical[[#This Row],[Food Security and Livlihoods Old]])/tblPiNHistorical[[#This Row],[Food Security and Livlihoods Old]], 1), "")</f>
        <v/>
      </c>
      <c r="AT671" s="142" t="str">
        <f>IFERROR(ROUND((tblPiNHistorical[[#This Row],[Health New]]-tblPiNHistorical[[#This Row],[Health Old]])/tblPiNHistorical[[#This Row],[Health Old]], 1), "")</f>
        <v/>
      </c>
      <c r="AU671" s="140" t="str">
        <f>IFERROR(ROUND((tblPiNHistorical[[#This Row],[Nutrition New]]-tblPiNHistorical[[#This Row],[Nutrition Old]])/tblPiNHistorical[[#This Row],[Nutrition Old]], 1), "")</f>
        <v/>
      </c>
      <c r="AV671" s="140" t="str">
        <f>IFERROR(ROUND((tblPiNHistorical[[#This Row],[Protection New]]-tblPiNHistorical[[#This Row],[Protection Old]])/tblPiNHistorical[[#This Row],[Protection Old]], 1), "")</f>
        <v/>
      </c>
      <c r="AW671" s="84" t="str">
        <f>IFERROR(ROUND((tblPiNHistorical[[#This Row],[CP New]]-tblPiNHistorical[[#This Row],[CP Old ]])/tblPiNHistorical[[#This Row],[CP Old ]], 1), "")</f>
        <v/>
      </c>
      <c r="AX671" s="84" t="str">
        <f>IFERROR(ROUND((tblPiNHistorical[[#This Row],[GBV New]]-tblPiNHistorical[[#This Row],[GBV Old]])/tblPiNHistorical[[#This Row],[GBV Old]], 1), "")</f>
        <v/>
      </c>
      <c r="AY671" s="84" t="str">
        <f>IFERROR(ROUND((tblPiNHistorical[[#This Row],[Mine Action New]]-tblPiNHistorical[[#This Row],[Mine Action Old]])/tblPiNHistorical[[#This Row],[Mine Action Old]], 1), "")</f>
        <v/>
      </c>
      <c r="AZ671" s="140" t="str">
        <f>IFERROR(ROUND((tblPiNHistorical[[#This Row],[Shelter NFI New]]-tblPiNHistorical[[#This Row],[Shelter NFI Old]])/tblPiNHistorical[[#This Row],[Shelter NFI Old]], 1), "")</f>
        <v/>
      </c>
      <c r="BA671" s="31" t="str">
        <f>IFERROR(ROUND((tblPiNHistorical[[#This Row],[WASH New]]-tblPiNHistorical[[#This Row],[WASH Old]])/tblPiNHistorical[[#This Row],[WASH Old]], 1), "")</f>
        <v/>
      </c>
    </row>
    <row r="672" spans="1:53" ht="38.25" x14ac:dyDescent="0.25">
      <c r="A672"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Non-displaced PopulationSD10069</v>
      </c>
      <c r="B672" s="134" t="s">
        <v>176</v>
      </c>
      <c r="C672" s="124" t="s">
        <v>127</v>
      </c>
      <c r="D672" s="124" t="s">
        <v>414</v>
      </c>
      <c r="E672" s="59" t="s">
        <v>415</v>
      </c>
      <c r="F672" s="54"/>
      <c r="G672" s="29"/>
      <c r="H672" s="53">
        <v>52737</v>
      </c>
      <c r="I672" s="53" t="s">
        <v>89</v>
      </c>
      <c r="J672" s="34">
        <v>0</v>
      </c>
      <c r="K672" s="116">
        <v>0</v>
      </c>
      <c r="L672" s="114">
        <v>21094.799999999999</v>
      </c>
      <c r="M672" s="114">
        <v>0</v>
      </c>
      <c r="N672" s="114">
        <v>20952</v>
      </c>
      <c r="O672" s="114">
        <v>5801.0700000000006</v>
      </c>
      <c r="P672" s="114">
        <v>5801</v>
      </c>
      <c r="Q672" s="114">
        <v>0</v>
      </c>
      <c r="R672" s="114">
        <v>0</v>
      </c>
      <c r="S672" s="114">
        <v>10547</v>
      </c>
      <c r="T672" s="196">
        <v>48201.618000000002</v>
      </c>
      <c r="U672" s="52" t="str">
        <f>IFERROR(INDEX(tblPiNAnalysis[[Site Management ]], MATCH(tblPiNHistorical[[#This Row],[ID]], tblPiNAnalysis[ID], 0)), "")</f>
        <v/>
      </c>
      <c r="V672" s="52" t="str">
        <f>IFERROR(INDEX(tblPiNAnalysis[Education], MATCH(tblPiNHistorical[[#This Row],[ID]], tblPiNAnalysis[ID], 0)), "")</f>
        <v/>
      </c>
      <c r="W672" s="28" t="str">
        <f>IFERROR(INDEX(tblPiNAnalysis[Food Security and Livlihoods], MATCH(tblPiNHistorical[[#This Row],[ID]], tblPiNAnalysis[ID], 0)), "")</f>
        <v/>
      </c>
      <c r="X672" s="28" t="str">
        <f>IFERROR(INDEX(tblPiNAnalysis[[Health ]], MATCH(tblPiNHistorical[[#This Row],[ID]], tblPiNAnalysis[ID], 0)), "")</f>
        <v/>
      </c>
      <c r="Y672" s="28" t="str">
        <f>IFERROR(INDEX(tblPiNAnalysis[Nutrition], MATCH(tblPiNHistorical[[#This Row],[ID]], tblPiNAnalysis[ID], 0)), "")</f>
        <v/>
      </c>
      <c r="Z672" s="28" t="str">
        <f>IFERROR(INDEX(tblPiNAnalysis[Protection], MATCH(tblPiNHistorical[[#This Row],[ID]], tblPiNAnalysis[ID], 0)), "")</f>
        <v/>
      </c>
      <c r="AA672" s="28" t="str">
        <f>IFERROR(INDEX(tblPiNAnalysis[CP], MATCH(tblPiNHistorical[[#This Row],[ID]], tblPiNAnalysis[ID], 0)), "")</f>
        <v/>
      </c>
      <c r="AB672" s="83" t="str">
        <f>IFERROR(INDEX(tblPiNAnalysis[GBV], MATCH(tblPiNHistorical[[#This Row],[ID]], tblPiNAnalysis[ID], 0)), "")</f>
        <v/>
      </c>
      <c r="AC672" s="28" t="str">
        <f>IFERROR(INDEX(tblPiNAnalysis[Mine Action], MATCH(tblPiNHistorical[[#This Row],[ID]], tblPiNAnalysis[ID], 0)), "")</f>
        <v/>
      </c>
      <c r="AD672" s="83" t="str">
        <f>IFERROR(INDEX(tblPiNAnalysis[[Shelter NFI ]], MATCH(tblPiNHistorical[[#This Row],[ID]], tblPiNAnalysis[ID], 0)), "")</f>
        <v/>
      </c>
      <c r="AE672" s="28" t="str">
        <f>IFERROR(INDEX(tblPiNAnalysis[WASH], MATCH(tblPiNHistorical[[#This Row],[ID]], tblPiNAnalysis[ID], 0)), "")</f>
        <v/>
      </c>
      <c r="AF672"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672" s="136" t="str">
        <f>IF(OR(tblPiNHistorical[[#This Row],[Education Old]]="", tblPiNHistorical[[#This Row],[Education Old]]=0, tblPiNHistorical[[#This Row],[Education New]]="", tblPiNHistorical[[#This Row],[Education New]]=0), "", tblPiNHistorical[[#This Row],[Education New]]-tblPiNHistorical[[#This Row],[Education Old]])</f>
        <v/>
      </c>
      <c r="AH672"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672" s="137" t="str">
        <f>IF(OR(tblPiNHistorical[[#This Row],[Health Old]]="", tblPiNHistorical[[#This Row],[Health Old]]=0, tblPiNHistorical[[#This Row],[Health New]]="", tblPiNHistorical[[#This Row],[Health New]]=0), "", tblPiNHistorical[[#This Row],[Health New]]-tblPiNHistorical[[#This Row],[Health Old]])</f>
        <v/>
      </c>
      <c r="AJ672" s="136" t="str">
        <f>IF(OR(tblPiNHistorical[[#This Row],[Nutrition Old]]="", tblPiNHistorical[[#This Row],[Nutrition Old]]=0, tblPiNHistorical[[#This Row],[Nutrition New]]="", tblPiNHistorical[[#This Row],[Nutrition New]]=0), "", tblPiNHistorical[[#This Row],[Nutrition New]]-tblPiNHistorical[[#This Row],[Nutrition Old]])</f>
        <v/>
      </c>
      <c r="AK672" s="136" t="str">
        <f>IF(OR(tblPiNHistorical[[#This Row],[Protection Old]]="", tblPiNHistorical[[#This Row],[Protection Old]]=0, tblPiNHistorical[[#This Row],[Protection New]]="", tblPiNHistorical[[#This Row],[Protection New]]=0), "", tblPiNHistorical[[#This Row],[Protection New]]-tblPiNHistorical[[#This Row],[Protection Old]])</f>
        <v/>
      </c>
      <c r="AL672" s="136" t="str">
        <f>IF(OR(tblPiNHistorical[[#This Row],[CP Old ]]="", tblPiNHistorical[[#This Row],[CP Old ]]=0, tblPiNHistorical[[#This Row],[CP New]]="", tblPiNHistorical[[#This Row],[CP New]]=0), "", tblPiNHistorical[[#This Row],[CP New]]-tblPiNHistorical[[#This Row],[CP Old ]])</f>
        <v/>
      </c>
      <c r="AM672" s="83" t="str">
        <f>IF(OR(tblPiNHistorical[[#This Row],[GBV Old]]="", tblPiNHistorical[[#This Row],[GBV Old]]=0, tblPiNHistorical[[#This Row],[GBV New]]="", tblPiNHistorical[[#This Row],[GBV New]]=0), "", tblPiNHistorical[[#This Row],[GBV New]]-tblPiNHistorical[[#This Row],[GBV Old]])</f>
        <v/>
      </c>
      <c r="AN672" s="83" t="str">
        <f>IF(OR(tblPiNHistorical[[#This Row],[Mine Action Old]]="", tblPiNHistorical[[#This Row],[Mine Action Old]]=0, tblPiNHistorical[[#This Row],[Mine Action New]]="", tblPiNHistorical[[#This Row],[Mine Action New]]=0), "", tblPiNHistorical[[#This Row],[Mine Action New]]-tblPiNHistorical[[#This Row],[Mine Action Old]])</f>
        <v/>
      </c>
      <c r="AO672" s="136" t="str">
        <f>IF(OR(tblPiNHistorical[[#This Row],[Shelter NFI Old]]="", tblPiNHistorical[[#This Row],[Shelter NFI Old]]=0, tblPiNHistorical[[#This Row],[Shelter NFI New]]="", tblPiNHistorical[[#This Row],[Shelter NFI New]]=0), "", tblPiNHistorical[[#This Row],[Shelter NFI New]]-tblPiNHistorical[[#This Row],[Shelter NFI Old]])</f>
        <v/>
      </c>
      <c r="AP672" s="138" t="str">
        <f>IF(OR(tblPiNHistorical[[#This Row],[WASH Old]]="", tblPiNHistorical[[#This Row],[WASH Old]]=0, tblPiNHistorical[[#This Row],[WASH New]]="", tblPiNHistorical[[#This Row],[WASH New]]=0), "", tblPiNHistorical[[#This Row],[WASH New]]-tblPiNHistorical[[#This Row],[WASH Old]])</f>
        <v/>
      </c>
      <c r="AQ672" s="139" t="str">
        <f>IFERROR(ROUND((tblPiNHistorical[[#This Row],[Site Management - New]] - tblPiNHistorical[[#This Row],[Site Management - Old]])/tblPiNHistorical[[#This Row],[Site Management - Old]], 1), "")</f>
        <v/>
      </c>
      <c r="AR672" s="140" t="str">
        <f>IFERROR(ROUND((tblPiNHistorical[[#This Row],[Education New]]-tblPiNHistorical[[#This Row],[Education Old]])/tblPiNHistorical[[#This Row],[Education Old]], 1), "")</f>
        <v/>
      </c>
      <c r="AS672" s="141" t="str">
        <f>IFERROR(ROUND((tblPiNHistorical[[#This Row],[Food Security and Livlihoods New]]-tblPiNHistorical[[#This Row],[Food Security and Livlihoods Old]])/tblPiNHistorical[[#This Row],[Food Security and Livlihoods Old]], 1), "")</f>
        <v/>
      </c>
      <c r="AT672" s="142" t="str">
        <f>IFERROR(ROUND((tblPiNHistorical[[#This Row],[Health New]]-tblPiNHistorical[[#This Row],[Health Old]])/tblPiNHistorical[[#This Row],[Health Old]], 1), "")</f>
        <v/>
      </c>
      <c r="AU672" s="140" t="str">
        <f>IFERROR(ROUND((tblPiNHistorical[[#This Row],[Nutrition New]]-tblPiNHistorical[[#This Row],[Nutrition Old]])/tblPiNHistorical[[#This Row],[Nutrition Old]], 1), "")</f>
        <v/>
      </c>
      <c r="AV672" s="140" t="str">
        <f>IFERROR(ROUND((tblPiNHistorical[[#This Row],[Protection New]]-tblPiNHistorical[[#This Row],[Protection Old]])/tblPiNHistorical[[#This Row],[Protection Old]], 1), "")</f>
        <v/>
      </c>
      <c r="AW672" s="84" t="str">
        <f>IFERROR(ROUND((tblPiNHistorical[[#This Row],[CP New]]-tblPiNHistorical[[#This Row],[CP Old ]])/tblPiNHistorical[[#This Row],[CP Old ]], 1), "")</f>
        <v/>
      </c>
      <c r="AX672" s="84" t="str">
        <f>IFERROR(ROUND((tblPiNHistorical[[#This Row],[GBV New]]-tblPiNHistorical[[#This Row],[GBV Old]])/tblPiNHistorical[[#This Row],[GBV Old]], 1), "")</f>
        <v/>
      </c>
      <c r="AY672" s="84" t="str">
        <f>IFERROR(ROUND((tblPiNHistorical[[#This Row],[Mine Action New]]-tblPiNHistorical[[#This Row],[Mine Action Old]])/tblPiNHistorical[[#This Row],[Mine Action Old]], 1), "")</f>
        <v/>
      </c>
      <c r="AZ672" s="140" t="str">
        <f>IFERROR(ROUND((tblPiNHistorical[[#This Row],[Shelter NFI New]]-tblPiNHistorical[[#This Row],[Shelter NFI Old]])/tblPiNHistorical[[#This Row],[Shelter NFI Old]], 1), "")</f>
        <v/>
      </c>
      <c r="BA672" s="31" t="str">
        <f>IFERROR(ROUND((tblPiNHistorical[[#This Row],[WASH New]]-tblPiNHistorical[[#This Row],[WASH Old]])/tblPiNHistorical[[#This Row],[WASH Old]], 1), "")</f>
        <v/>
      </c>
    </row>
    <row r="673" spans="1:53" ht="38.25" x14ac:dyDescent="0.25">
      <c r="A673"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Non-displaced PopulationSD10063</v>
      </c>
      <c r="B673" s="134" t="s">
        <v>176</v>
      </c>
      <c r="C673" s="124" t="s">
        <v>127</v>
      </c>
      <c r="D673" s="124" t="s">
        <v>402</v>
      </c>
      <c r="E673" s="59" t="s">
        <v>403</v>
      </c>
      <c r="F673" s="54"/>
      <c r="G673" s="29"/>
      <c r="H673" s="53">
        <v>23108</v>
      </c>
      <c r="I673" s="53" t="s">
        <v>89</v>
      </c>
      <c r="J673" s="34">
        <v>0</v>
      </c>
      <c r="K673" s="116">
        <v>8958.9715999999989</v>
      </c>
      <c r="L673" s="114">
        <v>8087.8</v>
      </c>
      <c r="M673" s="114">
        <v>740</v>
      </c>
      <c r="N673" s="114">
        <v>11455</v>
      </c>
      <c r="O673" s="114">
        <v>2541.8800000000006</v>
      </c>
      <c r="P673" s="114">
        <v>2542</v>
      </c>
      <c r="Q673" s="114">
        <v>0</v>
      </c>
      <c r="R673" s="114">
        <v>0</v>
      </c>
      <c r="S673" s="114">
        <v>0</v>
      </c>
      <c r="T673" s="196">
        <v>22567.272800000002</v>
      </c>
      <c r="U673" s="52" t="str">
        <f>IFERROR(INDEX(tblPiNAnalysis[[Site Management ]], MATCH(tblPiNHistorical[[#This Row],[ID]], tblPiNAnalysis[ID], 0)), "")</f>
        <v/>
      </c>
      <c r="V673" s="52" t="str">
        <f>IFERROR(INDEX(tblPiNAnalysis[Education], MATCH(tblPiNHistorical[[#This Row],[ID]], tblPiNAnalysis[ID], 0)), "")</f>
        <v/>
      </c>
      <c r="W673" s="28" t="str">
        <f>IFERROR(INDEX(tblPiNAnalysis[Food Security and Livlihoods], MATCH(tblPiNHistorical[[#This Row],[ID]], tblPiNAnalysis[ID], 0)), "")</f>
        <v/>
      </c>
      <c r="X673" s="28" t="str">
        <f>IFERROR(INDEX(tblPiNAnalysis[[Health ]], MATCH(tblPiNHistorical[[#This Row],[ID]], tblPiNAnalysis[ID], 0)), "")</f>
        <v/>
      </c>
      <c r="Y673" s="28" t="str">
        <f>IFERROR(INDEX(tblPiNAnalysis[Nutrition], MATCH(tblPiNHistorical[[#This Row],[ID]], tblPiNAnalysis[ID], 0)), "")</f>
        <v/>
      </c>
      <c r="Z673" s="28" t="str">
        <f>IFERROR(INDEX(tblPiNAnalysis[Protection], MATCH(tblPiNHistorical[[#This Row],[ID]], tblPiNAnalysis[ID], 0)), "")</f>
        <v/>
      </c>
      <c r="AA673" s="28" t="str">
        <f>IFERROR(INDEX(tblPiNAnalysis[CP], MATCH(tblPiNHistorical[[#This Row],[ID]], tblPiNAnalysis[ID], 0)), "")</f>
        <v/>
      </c>
      <c r="AB673" s="83" t="str">
        <f>IFERROR(INDEX(tblPiNAnalysis[GBV], MATCH(tblPiNHistorical[[#This Row],[ID]], tblPiNAnalysis[ID], 0)), "")</f>
        <v/>
      </c>
      <c r="AC673" s="28" t="str">
        <f>IFERROR(INDEX(tblPiNAnalysis[Mine Action], MATCH(tblPiNHistorical[[#This Row],[ID]], tblPiNAnalysis[ID], 0)), "")</f>
        <v/>
      </c>
      <c r="AD673" s="83" t="str">
        <f>IFERROR(INDEX(tblPiNAnalysis[[Shelter NFI ]], MATCH(tblPiNHistorical[[#This Row],[ID]], tblPiNAnalysis[ID], 0)), "")</f>
        <v/>
      </c>
      <c r="AE673" s="28" t="str">
        <f>IFERROR(INDEX(tblPiNAnalysis[WASH], MATCH(tblPiNHistorical[[#This Row],[ID]], tblPiNAnalysis[ID], 0)), "")</f>
        <v/>
      </c>
      <c r="AF673"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673" s="136" t="str">
        <f>IF(OR(tblPiNHistorical[[#This Row],[Education Old]]="", tblPiNHistorical[[#This Row],[Education Old]]=0, tblPiNHistorical[[#This Row],[Education New]]="", tblPiNHistorical[[#This Row],[Education New]]=0), "", tblPiNHistorical[[#This Row],[Education New]]-tblPiNHistorical[[#This Row],[Education Old]])</f>
        <v/>
      </c>
      <c r="AH673"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673" s="137" t="str">
        <f>IF(OR(tblPiNHistorical[[#This Row],[Health Old]]="", tblPiNHistorical[[#This Row],[Health Old]]=0, tblPiNHistorical[[#This Row],[Health New]]="", tblPiNHistorical[[#This Row],[Health New]]=0), "", tblPiNHistorical[[#This Row],[Health New]]-tblPiNHistorical[[#This Row],[Health Old]])</f>
        <v/>
      </c>
      <c r="AJ673" s="136" t="str">
        <f>IF(OR(tblPiNHistorical[[#This Row],[Nutrition Old]]="", tblPiNHistorical[[#This Row],[Nutrition Old]]=0, tblPiNHistorical[[#This Row],[Nutrition New]]="", tblPiNHistorical[[#This Row],[Nutrition New]]=0), "", tblPiNHistorical[[#This Row],[Nutrition New]]-tblPiNHistorical[[#This Row],[Nutrition Old]])</f>
        <v/>
      </c>
      <c r="AK673" s="136" t="str">
        <f>IF(OR(tblPiNHistorical[[#This Row],[Protection Old]]="", tblPiNHistorical[[#This Row],[Protection Old]]=0, tblPiNHistorical[[#This Row],[Protection New]]="", tblPiNHistorical[[#This Row],[Protection New]]=0), "", tblPiNHistorical[[#This Row],[Protection New]]-tblPiNHistorical[[#This Row],[Protection Old]])</f>
        <v/>
      </c>
      <c r="AL673" s="136" t="str">
        <f>IF(OR(tblPiNHistorical[[#This Row],[CP Old ]]="", tblPiNHistorical[[#This Row],[CP Old ]]=0, tblPiNHistorical[[#This Row],[CP New]]="", tblPiNHistorical[[#This Row],[CP New]]=0), "", tblPiNHistorical[[#This Row],[CP New]]-tblPiNHistorical[[#This Row],[CP Old ]])</f>
        <v/>
      </c>
      <c r="AM673" s="83" t="str">
        <f>IF(OR(tblPiNHistorical[[#This Row],[GBV Old]]="", tblPiNHistorical[[#This Row],[GBV Old]]=0, tblPiNHistorical[[#This Row],[GBV New]]="", tblPiNHistorical[[#This Row],[GBV New]]=0), "", tblPiNHistorical[[#This Row],[GBV New]]-tblPiNHistorical[[#This Row],[GBV Old]])</f>
        <v/>
      </c>
      <c r="AN673" s="83" t="str">
        <f>IF(OR(tblPiNHistorical[[#This Row],[Mine Action Old]]="", tblPiNHistorical[[#This Row],[Mine Action Old]]=0, tblPiNHistorical[[#This Row],[Mine Action New]]="", tblPiNHistorical[[#This Row],[Mine Action New]]=0), "", tblPiNHistorical[[#This Row],[Mine Action New]]-tblPiNHistorical[[#This Row],[Mine Action Old]])</f>
        <v/>
      </c>
      <c r="AO673" s="136" t="str">
        <f>IF(OR(tblPiNHistorical[[#This Row],[Shelter NFI Old]]="", tblPiNHistorical[[#This Row],[Shelter NFI Old]]=0, tblPiNHistorical[[#This Row],[Shelter NFI New]]="", tblPiNHistorical[[#This Row],[Shelter NFI New]]=0), "", tblPiNHistorical[[#This Row],[Shelter NFI New]]-tblPiNHistorical[[#This Row],[Shelter NFI Old]])</f>
        <v/>
      </c>
      <c r="AP673" s="138" t="str">
        <f>IF(OR(tblPiNHistorical[[#This Row],[WASH Old]]="", tblPiNHistorical[[#This Row],[WASH Old]]=0, tblPiNHistorical[[#This Row],[WASH New]]="", tblPiNHistorical[[#This Row],[WASH New]]=0), "", tblPiNHistorical[[#This Row],[WASH New]]-tblPiNHistorical[[#This Row],[WASH Old]])</f>
        <v/>
      </c>
      <c r="AQ673" s="139" t="str">
        <f>IFERROR(ROUND((tblPiNHistorical[[#This Row],[Site Management - New]] - tblPiNHistorical[[#This Row],[Site Management - Old]])/tblPiNHistorical[[#This Row],[Site Management - Old]], 1), "")</f>
        <v/>
      </c>
      <c r="AR673" s="140" t="str">
        <f>IFERROR(ROUND((tblPiNHistorical[[#This Row],[Education New]]-tblPiNHistorical[[#This Row],[Education Old]])/tblPiNHistorical[[#This Row],[Education Old]], 1), "")</f>
        <v/>
      </c>
      <c r="AS673" s="141" t="str">
        <f>IFERROR(ROUND((tblPiNHistorical[[#This Row],[Food Security and Livlihoods New]]-tblPiNHistorical[[#This Row],[Food Security and Livlihoods Old]])/tblPiNHistorical[[#This Row],[Food Security and Livlihoods Old]], 1), "")</f>
        <v/>
      </c>
      <c r="AT673" s="142" t="str">
        <f>IFERROR(ROUND((tblPiNHistorical[[#This Row],[Health New]]-tblPiNHistorical[[#This Row],[Health Old]])/tblPiNHistorical[[#This Row],[Health Old]], 1), "")</f>
        <v/>
      </c>
      <c r="AU673" s="140" t="str">
        <f>IFERROR(ROUND((tblPiNHistorical[[#This Row],[Nutrition New]]-tblPiNHistorical[[#This Row],[Nutrition Old]])/tblPiNHistorical[[#This Row],[Nutrition Old]], 1), "")</f>
        <v/>
      </c>
      <c r="AV673" s="140" t="str">
        <f>IFERROR(ROUND((tblPiNHistorical[[#This Row],[Protection New]]-tblPiNHistorical[[#This Row],[Protection Old]])/tblPiNHistorical[[#This Row],[Protection Old]], 1), "")</f>
        <v/>
      </c>
      <c r="AW673" s="84" t="str">
        <f>IFERROR(ROUND((tblPiNHistorical[[#This Row],[CP New]]-tblPiNHistorical[[#This Row],[CP Old ]])/tblPiNHistorical[[#This Row],[CP Old ]], 1), "")</f>
        <v/>
      </c>
      <c r="AX673" s="84" t="str">
        <f>IFERROR(ROUND((tblPiNHistorical[[#This Row],[GBV New]]-tblPiNHistorical[[#This Row],[GBV Old]])/tblPiNHistorical[[#This Row],[GBV Old]], 1), "")</f>
        <v/>
      </c>
      <c r="AY673" s="84" t="str">
        <f>IFERROR(ROUND((tblPiNHistorical[[#This Row],[Mine Action New]]-tblPiNHistorical[[#This Row],[Mine Action Old]])/tblPiNHistorical[[#This Row],[Mine Action Old]], 1), "")</f>
        <v/>
      </c>
      <c r="AZ673" s="140" t="str">
        <f>IFERROR(ROUND((tblPiNHistorical[[#This Row],[Shelter NFI New]]-tblPiNHistorical[[#This Row],[Shelter NFI Old]])/tblPiNHistorical[[#This Row],[Shelter NFI Old]], 1), "")</f>
        <v/>
      </c>
      <c r="BA673" s="31" t="str">
        <f>IFERROR(ROUND((tblPiNHistorical[[#This Row],[WASH New]]-tblPiNHistorical[[#This Row],[WASH Old]])/tblPiNHistorical[[#This Row],[WASH Old]], 1), "")</f>
        <v/>
      </c>
    </row>
    <row r="674" spans="1:53" ht="38.25" x14ac:dyDescent="0.25">
      <c r="A674"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Non-displaced PopulationSD10066</v>
      </c>
      <c r="B674" s="134" t="s">
        <v>176</v>
      </c>
      <c r="C674" s="124" t="s">
        <v>127</v>
      </c>
      <c r="D674" s="124" t="s">
        <v>408</v>
      </c>
      <c r="E674" s="59" t="s">
        <v>409</v>
      </c>
      <c r="F674" s="54"/>
      <c r="G674" s="29"/>
      <c r="H674" s="53">
        <v>16046</v>
      </c>
      <c r="I674" s="53" t="s">
        <v>89</v>
      </c>
      <c r="J674" s="34">
        <v>0</v>
      </c>
      <c r="K674" s="116">
        <v>0</v>
      </c>
      <c r="L674" s="114">
        <v>8825.2999999999993</v>
      </c>
      <c r="M674" s="114">
        <v>0</v>
      </c>
      <c r="N674" s="114">
        <v>4368</v>
      </c>
      <c r="O674" s="114">
        <v>1765.0600000000004</v>
      </c>
      <c r="P674" s="114">
        <v>1765</v>
      </c>
      <c r="Q674" s="114">
        <v>0</v>
      </c>
      <c r="R674" s="114">
        <v>0</v>
      </c>
      <c r="S674" s="114">
        <v>3209</v>
      </c>
      <c r="T674" s="196">
        <v>16045.999999999998</v>
      </c>
      <c r="U674" s="52" t="str">
        <f>IFERROR(INDEX(tblPiNAnalysis[[Site Management ]], MATCH(tblPiNHistorical[[#This Row],[ID]], tblPiNAnalysis[ID], 0)), "")</f>
        <v/>
      </c>
      <c r="V674" s="52" t="str">
        <f>IFERROR(INDEX(tblPiNAnalysis[Education], MATCH(tblPiNHistorical[[#This Row],[ID]], tblPiNAnalysis[ID], 0)), "")</f>
        <v/>
      </c>
      <c r="W674" s="28" t="str">
        <f>IFERROR(INDEX(tblPiNAnalysis[Food Security and Livlihoods], MATCH(tblPiNHistorical[[#This Row],[ID]], tblPiNAnalysis[ID], 0)), "")</f>
        <v/>
      </c>
      <c r="X674" s="28" t="str">
        <f>IFERROR(INDEX(tblPiNAnalysis[[Health ]], MATCH(tblPiNHistorical[[#This Row],[ID]], tblPiNAnalysis[ID], 0)), "")</f>
        <v/>
      </c>
      <c r="Y674" s="28" t="str">
        <f>IFERROR(INDEX(tblPiNAnalysis[Nutrition], MATCH(tblPiNHistorical[[#This Row],[ID]], tblPiNAnalysis[ID], 0)), "")</f>
        <v/>
      </c>
      <c r="Z674" s="28" t="str">
        <f>IFERROR(INDEX(tblPiNAnalysis[Protection], MATCH(tblPiNHistorical[[#This Row],[ID]], tblPiNAnalysis[ID], 0)), "")</f>
        <v/>
      </c>
      <c r="AA674" s="28" t="str">
        <f>IFERROR(INDEX(tblPiNAnalysis[CP], MATCH(tblPiNHistorical[[#This Row],[ID]], tblPiNAnalysis[ID], 0)), "")</f>
        <v/>
      </c>
      <c r="AB674" s="83" t="str">
        <f>IFERROR(INDEX(tblPiNAnalysis[GBV], MATCH(tblPiNHistorical[[#This Row],[ID]], tblPiNAnalysis[ID], 0)), "")</f>
        <v/>
      </c>
      <c r="AC674" s="28" t="str">
        <f>IFERROR(INDEX(tblPiNAnalysis[Mine Action], MATCH(tblPiNHistorical[[#This Row],[ID]], tblPiNAnalysis[ID], 0)), "")</f>
        <v/>
      </c>
      <c r="AD674" s="83" t="str">
        <f>IFERROR(INDEX(tblPiNAnalysis[[Shelter NFI ]], MATCH(tblPiNHistorical[[#This Row],[ID]], tblPiNAnalysis[ID], 0)), "")</f>
        <v/>
      </c>
      <c r="AE674" s="28" t="str">
        <f>IFERROR(INDEX(tblPiNAnalysis[WASH], MATCH(tblPiNHistorical[[#This Row],[ID]], tblPiNAnalysis[ID], 0)), "")</f>
        <v/>
      </c>
      <c r="AF674"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674" s="136" t="str">
        <f>IF(OR(tblPiNHistorical[[#This Row],[Education Old]]="", tblPiNHistorical[[#This Row],[Education Old]]=0, tblPiNHistorical[[#This Row],[Education New]]="", tblPiNHistorical[[#This Row],[Education New]]=0), "", tblPiNHistorical[[#This Row],[Education New]]-tblPiNHistorical[[#This Row],[Education Old]])</f>
        <v/>
      </c>
      <c r="AH674"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674" s="137" t="str">
        <f>IF(OR(tblPiNHistorical[[#This Row],[Health Old]]="", tblPiNHistorical[[#This Row],[Health Old]]=0, tblPiNHistorical[[#This Row],[Health New]]="", tblPiNHistorical[[#This Row],[Health New]]=0), "", tblPiNHistorical[[#This Row],[Health New]]-tblPiNHistorical[[#This Row],[Health Old]])</f>
        <v/>
      </c>
      <c r="AJ674" s="136" t="str">
        <f>IF(OR(tblPiNHistorical[[#This Row],[Nutrition Old]]="", tblPiNHistorical[[#This Row],[Nutrition Old]]=0, tblPiNHistorical[[#This Row],[Nutrition New]]="", tblPiNHistorical[[#This Row],[Nutrition New]]=0), "", tblPiNHistorical[[#This Row],[Nutrition New]]-tblPiNHistorical[[#This Row],[Nutrition Old]])</f>
        <v/>
      </c>
      <c r="AK674" s="136" t="str">
        <f>IF(OR(tblPiNHistorical[[#This Row],[Protection Old]]="", tblPiNHistorical[[#This Row],[Protection Old]]=0, tblPiNHistorical[[#This Row],[Protection New]]="", tblPiNHistorical[[#This Row],[Protection New]]=0), "", tblPiNHistorical[[#This Row],[Protection New]]-tblPiNHistorical[[#This Row],[Protection Old]])</f>
        <v/>
      </c>
      <c r="AL674" s="136" t="str">
        <f>IF(OR(tblPiNHistorical[[#This Row],[CP Old ]]="", tblPiNHistorical[[#This Row],[CP Old ]]=0, tblPiNHistorical[[#This Row],[CP New]]="", tblPiNHistorical[[#This Row],[CP New]]=0), "", tblPiNHistorical[[#This Row],[CP New]]-tblPiNHistorical[[#This Row],[CP Old ]])</f>
        <v/>
      </c>
      <c r="AM674" s="83" t="str">
        <f>IF(OR(tblPiNHistorical[[#This Row],[GBV Old]]="", tblPiNHistorical[[#This Row],[GBV Old]]=0, tblPiNHistorical[[#This Row],[GBV New]]="", tblPiNHistorical[[#This Row],[GBV New]]=0), "", tblPiNHistorical[[#This Row],[GBV New]]-tblPiNHistorical[[#This Row],[GBV Old]])</f>
        <v/>
      </c>
      <c r="AN674" s="83" t="str">
        <f>IF(OR(tblPiNHistorical[[#This Row],[Mine Action Old]]="", tblPiNHistorical[[#This Row],[Mine Action Old]]=0, tblPiNHistorical[[#This Row],[Mine Action New]]="", tblPiNHistorical[[#This Row],[Mine Action New]]=0), "", tblPiNHistorical[[#This Row],[Mine Action New]]-tblPiNHistorical[[#This Row],[Mine Action Old]])</f>
        <v/>
      </c>
      <c r="AO674" s="136" t="str">
        <f>IF(OR(tblPiNHistorical[[#This Row],[Shelter NFI Old]]="", tblPiNHistorical[[#This Row],[Shelter NFI Old]]=0, tblPiNHistorical[[#This Row],[Shelter NFI New]]="", tblPiNHistorical[[#This Row],[Shelter NFI New]]=0), "", tblPiNHistorical[[#This Row],[Shelter NFI New]]-tblPiNHistorical[[#This Row],[Shelter NFI Old]])</f>
        <v/>
      </c>
      <c r="AP674" s="138" t="str">
        <f>IF(OR(tblPiNHistorical[[#This Row],[WASH Old]]="", tblPiNHistorical[[#This Row],[WASH Old]]=0, tblPiNHistorical[[#This Row],[WASH New]]="", tblPiNHistorical[[#This Row],[WASH New]]=0), "", tblPiNHistorical[[#This Row],[WASH New]]-tblPiNHistorical[[#This Row],[WASH Old]])</f>
        <v/>
      </c>
      <c r="AQ674" s="139" t="str">
        <f>IFERROR(ROUND((tblPiNHistorical[[#This Row],[Site Management - New]] - tblPiNHistorical[[#This Row],[Site Management - Old]])/tblPiNHistorical[[#This Row],[Site Management - Old]], 1), "")</f>
        <v/>
      </c>
      <c r="AR674" s="140" t="str">
        <f>IFERROR(ROUND((tblPiNHistorical[[#This Row],[Education New]]-tblPiNHistorical[[#This Row],[Education Old]])/tblPiNHistorical[[#This Row],[Education Old]], 1), "")</f>
        <v/>
      </c>
      <c r="AS674" s="141" t="str">
        <f>IFERROR(ROUND((tblPiNHistorical[[#This Row],[Food Security and Livlihoods New]]-tblPiNHistorical[[#This Row],[Food Security and Livlihoods Old]])/tblPiNHistorical[[#This Row],[Food Security and Livlihoods Old]], 1), "")</f>
        <v/>
      </c>
      <c r="AT674" s="142" t="str">
        <f>IFERROR(ROUND((tblPiNHistorical[[#This Row],[Health New]]-tblPiNHistorical[[#This Row],[Health Old]])/tblPiNHistorical[[#This Row],[Health Old]], 1), "")</f>
        <v/>
      </c>
      <c r="AU674" s="140" t="str">
        <f>IFERROR(ROUND((tblPiNHistorical[[#This Row],[Nutrition New]]-tblPiNHistorical[[#This Row],[Nutrition Old]])/tblPiNHistorical[[#This Row],[Nutrition Old]], 1), "")</f>
        <v/>
      </c>
      <c r="AV674" s="140" t="str">
        <f>IFERROR(ROUND((tblPiNHistorical[[#This Row],[Protection New]]-tblPiNHistorical[[#This Row],[Protection Old]])/tblPiNHistorical[[#This Row],[Protection Old]], 1), "")</f>
        <v/>
      </c>
      <c r="AW674" s="84" t="str">
        <f>IFERROR(ROUND((tblPiNHistorical[[#This Row],[CP New]]-tblPiNHistorical[[#This Row],[CP Old ]])/tblPiNHistorical[[#This Row],[CP Old ]], 1), "")</f>
        <v/>
      </c>
      <c r="AX674" s="84" t="str">
        <f>IFERROR(ROUND((tblPiNHistorical[[#This Row],[GBV New]]-tblPiNHistorical[[#This Row],[GBV Old]])/tblPiNHistorical[[#This Row],[GBV Old]], 1), "")</f>
        <v/>
      </c>
      <c r="AY674" s="84" t="str">
        <f>IFERROR(ROUND((tblPiNHistorical[[#This Row],[Mine Action New]]-tblPiNHistorical[[#This Row],[Mine Action Old]])/tblPiNHistorical[[#This Row],[Mine Action Old]], 1), "")</f>
        <v/>
      </c>
      <c r="AZ674" s="140" t="str">
        <f>IFERROR(ROUND((tblPiNHistorical[[#This Row],[Shelter NFI New]]-tblPiNHistorical[[#This Row],[Shelter NFI Old]])/tblPiNHistorical[[#This Row],[Shelter NFI Old]], 1), "")</f>
        <v/>
      </c>
      <c r="BA674" s="31" t="str">
        <f>IFERROR(ROUND((tblPiNHistorical[[#This Row],[WASH New]]-tblPiNHistorical[[#This Row],[WASH Old]])/tblPiNHistorical[[#This Row],[WASH Old]], 1), "")</f>
        <v/>
      </c>
    </row>
    <row r="675" spans="1:53" ht="38.25" x14ac:dyDescent="0.25">
      <c r="A675"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Non-displaced PopulationSD10070</v>
      </c>
      <c r="B675" s="134" t="s">
        <v>176</v>
      </c>
      <c r="C675" s="124" t="s">
        <v>127</v>
      </c>
      <c r="D675" s="124" t="s">
        <v>416</v>
      </c>
      <c r="E675" s="59" t="s">
        <v>417</v>
      </c>
      <c r="F675" s="54"/>
      <c r="G675" s="29"/>
      <c r="H675" s="53">
        <v>145606</v>
      </c>
      <c r="I675" s="53" t="s">
        <v>89</v>
      </c>
      <c r="J675" s="34">
        <v>0</v>
      </c>
      <c r="K675" s="116">
        <v>0</v>
      </c>
      <c r="L675" s="114">
        <v>65522.7</v>
      </c>
      <c r="M675" s="114">
        <v>4440</v>
      </c>
      <c r="N675" s="114">
        <v>72990</v>
      </c>
      <c r="O675" s="114">
        <v>16016.660000000002</v>
      </c>
      <c r="P675" s="114">
        <v>16017</v>
      </c>
      <c r="Q675" s="114">
        <v>7684</v>
      </c>
      <c r="R675" s="114">
        <v>0</v>
      </c>
      <c r="S675" s="114">
        <v>29121</v>
      </c>
      <c r="T675" s="196">
        <v>143305.4252</v>
      </c>
      <c r="U675" s="52" t="str">
        <f>IFERROR(INDEX(tblPiNAnalysis[[Site Management ]], MATCH(tblPiNHistorical[[#This Row],[ID]], tblPiNAnalysis[ID], 0)), "")</f>
        <v/>
      </c>
      <c r="V675" s="52" t="str">
        <f>IFERROR(INDEX(tblPiNAnalysis[Education], MATCH(tblPiNHistorical[[#This Row],[ID]], tblPiNAnalysis[ID], 0)), "")</f>
        <v/>
      </c>
      <c r="W675" s="28" t="str">
        <f>IFERROR(INDEX(tblPiNAnalysis[Food Security and Livlihoods], MATCH(tblPiNHistorical[[#This Row],[ID]], tblPiNAnalysis[ID], 0)), "")</f>
        <v/>
      </c>
      <c r="X675" s="28" t="str">
        <f>IFERROR(INDEX(tblPiNAnalysis[[Health ]], MATCH(tblPiNHistorical[[#This Row],[ID]], tblPiNAnalysis[ID], 0)), "")</f>
        <v/>
      </c>
      <c r="Y675" s="28" t="str">
        <f>IFERROR(INDEX(tblPiNAnalysis[Nutrition], MATCH(tblPiNHistorical[[#This Row],[ID]], tblPiNAnalysis[ID], 0)), "")</f>
        <v/>
      </c>
      <c r="Z675" s="28" t="str">
        <f>IFERROR(INDEX(tblPiNAnalysis[Protection], MATCH(tblPiNHistorical[[#This Row],[ID]], tblPiNAnalysis[ID], 0)), "")</f>
        <v/>
      </c>
      <c r="AA675" s="28" t="str">
        <f>IFERROR(INDEX(tblPiNAnalysis[CP], MATCH(tblPiNHistorical[[#This Row],[ID]], tblPiNAnalysis[ID], 0)), "")</f>
        <v/>
      </c>
      <c r="AB675" s="83" t="str">
        <f>IFERROR(INDEX(tblPiNAnalysis[GBV], MATCH(tblPiNHistorical[[#This Row],[ID]], tblPiNAnalysis[ID], 0)), "")</f>
        <v/>
      </c>
      <c r="AC675" s="28" t="str">
        <f>IFERROR(INDEX(tblPiNAnalysis[Mine Action], MATCH(tblPiNHistorical[[#This Row],[ID]], tblPiNAnalysis[ID], 0)), "")</f>
        <v/>
      </c>
      <c r="AD675" s="83" t="str">
        <f>IFERROR(INDEX(tblPiNAnalysis[[Shelter NFI ]], MATCH(tblPiNHistorical[[#This Row],[ID]], tblPiNAnalysis[ID], 0)), "")</f>
        <v/>
      </c>
      <c r="AE675" s="28" t="str">
        <f>IFERROR(INDEX(tblPiNAnalysis[WASH], MATCH(tblPiNHistorical[[#This Row],[ID]], tblPiNAnalysis[ID], 0)), "")</f>
        <v/>
      </c>
      <c r="AF675"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675" s="136" t="str">
        <f>IF(OR(tblPiNHistorical[[#This Row],[Education Old]]="", tblPiNHistorical[[#This Row],[Education Old]]=0, tblPiNHistorical[[#This Row],[Education New]]="", tblPiNHistorical[[#This Row],[Education New]]=0), "", tblPiNHistorical[[#This Row],[Education New]]-tblPiNHistorical[[#This Row],[Education Old]])</f>
        <v/>
      </c>
      <c r="AH675"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675" s="137" t="str">
        <f>IF(OR(tblPiNHistorical[[#This Row],[Health Old]]="", tblPiNHistorical[[#This Row],[Health Old]]=0, tblPiNHistorical[[#This Row],[Health New]]="", tblPiNHistorical[[#This Row],[Health New]]=0), "", tblPiNHistorical[[#This Row],[Health New]]-tblPiNHistorical[[#This Row],[Health Old]])</f>
        <v/>
      </c>
      <c r="AJ675" s="136" t="str">
        <f>IF(OR(tblPiNHistorical[[#This Row],[Nutrition Old]]="", tblPiNHistorical[[#This Row],[Nutrition Old]]=0, tblPiNHistorical[[#This Row],[Nutrition New]]="", tblPiNHistorical[[#This Row],[Nutrition New]]=0), "", tblPiNHistorical[[#This Row],[Nutrition New]]-tblPiNHistorical[[#This Row],[Nutrition Old]])</f>
        <v/>
      </c>
      <c r="AK675" s="136" t="str">
        <f>IF(OR(tblPiNHistorical[[#This Row],[Protection Old]]="", tblPiNHistorical[[#This Row],[Protection Old]]=0, tblPiNHistorical[[#This Row],[Protection New]]="", tblPiNHistorical[[#This Row],[Protection New]]=0), "", tblPiNHistorical[[#This Row],[Protection New]]-tblPiNHistorical[[#This Row],[Protection Old]])</f>
        <v/>
      </c>
      <c r="AL675" s="136" t="str">
        <f>IF(OR(tblPiNHistorical[[#This Row],[CP Old ]]="", tblPiNHistorical[[#This Row],[CP Old ]]=0, tblPiNHistorical[[#This Row],[CP New]]="", tblPiNHistorical[[#This Row],[CP New]]=0), "", tblPiNHistorical[[#This Row],[CP New]]-tblPiNHistorical[[#This Row],[CP Old ]])</f>
        <v/>
      </c>
      <c r="AM675" s="83" t="str">
        <f>IF(OR(tblPiNHistorical[[#This Row],[GBV Old]]="", tblPiNHistorical[[#This Row],[GBV Old]]=0, tblPiNHistorical[[#This Row],[GBV New]]="", tblPiNHistorical[[#This Row],[GBV New]]=0), "", tblPiNHistorical[[#This Row],[GBV New]]-tblPiNHistorical[[#This Row],[GBV Old]])</f>
        <v/>
      </c>
      <c r="AN675" s="83" t="str">
        <f>IF(OR(tblPiNHistorical[[#This Row],[Mine Action Old]]="", tblPiNHistorical[[#This Row],[Mine Action Old]]=0, tblPiNHistorical[[#This Row],[Mine Action New]]="", tblPiNHistorical[[#This Row],[Mine Action New]]=0), "", tblPiNHistorical[[#This Row],[Mine Action New]]-tblPiNHistorical[[#This Row],[Mine Action Old]])</f>
        <v/>
      </c>
      <c r="AO675" s="136" t="str">
        <f>IF(OR(tblPiNHistorical[[#This Row],[Shelter NFI Old]]="", tblPiNHistorical[[#This Row],[Shelter NFI Old]]=0, tblPiNHistorical[[#This Row],[Shelter NFI New]]="", tblPiNHistorical[[#This Row],[Shelter NFI New]]=0), "", tblPiNHistorical[[#This Row],[Shelter NFI New]]-tblPiNHistorical[[#This Row],[Shelter NFI Old]])</f>
        <v/>
      </c>
      <c r="AP675" s="138" t="str">
        <f>IF(OR(tblPiNHistorical[[#This Row],[WASH Old]]="", tblPiNHistorical[[#This Row],[WASH Old]]=0, tblPiNHistorical[[#This Row],[WASH New]]="", tblPiNHistorical[[#This Row],[WASH New]]=0), "", tblPiNHistorical[[#This Row],[WASH New]]-tblPiNHistorical[[#This Row],[WASH Old]])</f>
        <v/>
      </c>
      <c r="AQ675" s="139" t="str">
        <f>IFERROR(ROUND((tblPiNHistorical[[#This Row],[Site Management - New]] - tblPiNHistorical[[#This Row],[Site Management - Old]])/tblPiNHistorical[[#This Row],[Site Management - Old]], 1), "")</f>
        <v/>
      </c>
      <c r="AR675" s="140" t="str">
        <f>IFERROR(ROUND((tblPiNHistorical[[#This Row],[Education New]]-tblPiNHistorical[[#This Row],[Education Old]])/tblPiNHistorical[[#This Row],[Education Old]], 1), "")</f>
        <v/>
      </c>
      <c r="AS675" s="141" t="str">
        <f>IFERROR(ROUND((tblPiNHistorical[[#This Row],[Food Security and Livlihoods New]]-tblPiNHistorical[[#This Row],[Food Security and Livlihoods Old]])/tblPiNHistorical[[#This Row],[Food Security and Livlihoods Old]], 1), "")</f>
        <v/>
      </c>
      <c r="AT675" s="142" t="str">
        <f>IFERROR(ROUND((tblPiNHistorical[[#This Row],[Health New]]-tblPiNHistorical[[#This Row],[Health Old]])/tblPiNHistorical[[#This Row],[Health Old]], 1), "")</f>
        <v/>
      </c>
      <c r="AU675" s="140" t="str">
        <f>IFERROR(ROUND((tblPiNHistorical[[#This Row],[Nutrition New]]-tblPiNHistorical[[#This Row],[Nutrition Old]])/tblPiNHistorical[[#This Row],[Nutrition Old]], 1), "")</f>
        <v/>
      </c>
      <c r="AV675" s="140" t="str">
        <f>IFERROR(ROUND((tblPiNHistorical[[#This Row],[Protection New]]-tblPiNHistorical[[#This Row],[Protection Old]])/tblPiNHistorical[[#This Row],[Protection Old]], 1), "")</f>
        <v/>
      </c>
      <c r="AW675" s="84" t="str">
        <f>IFERROR(ROUND((tblPiNHistorical[[#This Row],[CP New]]-tblPiNHistorical[[#This Row],[CP Old ]])/tblPiNHistorical[[#This Row],[CP Old ]], 1), "")</f>
        <v/>
      </c>
      <c r="AX675" s="84" t="str">
        <f>IFERROR(ROUND((tblPiNHistorical[[#This Row],[GBV New]]-tblPiNHistorical[[#This Row],[GBV Old]])/tblPiNHistorical[[#This Row],[GBV Old]], 1), "")</f>
        <v/>
      </c>
      <c r="AY675" s="84" t="str">
        <f>IFERROR(ROUND((tblPiNHistorical[[#This Row],[Mine Action New]]-tblPiNHistorical[[#This Row],[Mine Action Old]])/tblPiNHistorical[[#This Row],[Mine Action Old]], 1), "")</f>
        <v/>
      </c>
      <c r="AZ675" s="140" t="str">
        <f>IFERROR(ROUND((tblPiNHistorical[[#This Row],[Shelter NFI New]]-tblPiNHistorical[[#This Row],[Shelter NFI Old]])/tblPiNHistorical[[#This Row],[Shelter NFI Old]], 1), "")</f>
        <v/>
      </c>
      <c r="BA675" s="31" t="str">
        <f>IFERROR(ROUND((tblPiNHistorical[[#This Row],[WASH New]]-tblPiNHistorical[[#This Row],[WASH Old]])/tblPiNHistorical[[#This Row],[WASH Old]], 1), "")</f>
        <v/>
      </c>
    </row>
    <row r="676" spans="1:53" ht="38.25" x14ac:dyDescent="0.25">
      <c r="A676"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Non-displaced PopulationSD10067</v>
      </c>
      <c r="B676" s="134" t="s">
        <v>176</v>
      </c>
      <c r="C676" s="124" t="s">
        <v>127</v>
      </c>
      <c r="D676" s="124" t="s">
        <v>410</v>
      </c>
      <c r="E676" s="59" t="s">
        <v>411</v>
      </c>
      <c r="F676" s="54"/>
      <c r="G676" s="29"/>
      <c r="H676" s="53">
        <v>39494</v>
      </c>
      <c r="I676" s="53" t="s">
        <v>89</v>
      </c>
      <c r="J676" s="34">
        <v>0</v>
      </c>
      <c r="K676" s="116">
        <v>0</v>
      </c>
      <c r="L676" s="114">
        <v>13822.9</v>
      </c>
      <c r="M676" s="114">
        <v>290</v>
      </c>
      <c r="N676" s="114">
        <v>18098</v>
      </c>
      <c r="O676" s="114">
        <v>4344.34</v>
      </c>
      <c r="P676" s="114">
        <v>4344</v>
      </c>
      <c r="Q676" s="114">
        <v>0</v>
      </c>
      <c r="R676" s="114">
        <v>0</v>
      </c>
      <c r="S676" s="114">
        <v>0</v>
      </c>
      <c r="T676" s="196">
        <v>33092.022599999997</v>
      </c>
      <c r="U676" s="52" t="str">
        <f>IFERROR(INDEX(tblPiNAnalysis[[Site Management ]], MATCH(tblPiNHistorical[[#This Row],[ID]], tblPiNAnalysis[ID], 0)), "")</f>
        <v/>
      </c>
      <c r="V676" s="52" t="str">
        <f>IFERROR(INDEX(tblPiNAnalysis[Education], MATCH(tblPiNHistorical[[#This Row],[ID]], tblPiNAnalysis[ID], 0)), "")</f>
        <v/>
      </c>
      <c r="W676" s="28" t="str">
        <f>IFERROR(INDEX(tblPiNAnalysis[Food Security and Livlihoods], MATCH(tblPiNHistorical[[#This Row],[ID]], tblPiNAnalysis[ID], 0)), "")</f>
        <v/>
      </c>
      <c r="X676" s="28" t="str">
        <f>IFERROR(INDEX(tblPiNAnalysis[[Health ]], MATCH(tblPiNHistorical[[#This Row],[ID]], tblPiNAnalysis[ID], 0)), "")</f>
        <v/>
      </c>
      <c r="Y676" s="28" t="str">
        <f>IFERROR(INDEX(tblPiNAnalysis[Nutrition], MATCH(tblPiNHistorical[[#This Row],[ID]], tblPiNAnalysis[ID], 0)), "")</f>
        <v/>
      </c>
      <c r="Z676" s="28" t="str">
        <f>IFERROR(INDEX(tblPiNAnalysis[Protection], MATCH(tblPiNHistorical[[#This Row],[ID]], tblPiNAnalysis[ID], 0)), "")</f>
        <v/>
      </c>
      <c r="AA676" s="28" t="str">
        <f>IFERROR(INDEX(tblPiNAnalysis[CP], MATCH(tblPiNHistorical[[#This Row],[ID]], tblPiNAnalysis[ID], 0)), "")</f>
        <v/>
      </c>
      <c r="AB676" s="83" t="str">
        <f>IFERROR(INDEX(tblPiNAnalysis[GBV], MATCH(tblPiNHistorical[[#This Row],[ID]], tblPiNAnalysis[ID], 0)), "")</f>
        <v/>
      </c>
      <c r="AC676" s="28" t="str">
        <f>IFERROR(INDEX(tblPiNAnalysis[Mine Action], MATCH(tblPiNHistorical[[#This Row],[ID]], tblPiNAnalysis[ID], 0)), "")</f>
        <v/>
      </c>
      <c r="AD676" s="83" t="str">
        <f>IFERROR(INDEX(tblPiNAnalysis[[Shelter NFI ]], MATCH(tblPiNHistorical[[#This Row],[ID]], tblPiNAnalysis[ID], 0)), "")</f>
        <v/>
      </c>
      <c r="AE676" s="28" t="str">
        <f>IFERROR(INDEX(tblPiNAnalysis[WASH], MATCH(tblPiNHistorical[[#This Row],[ID]], tblPiNAnalysis[ID], 0)), "")</f>
        <v/>
      </c>
      <c r="AF676"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676" s="136" t="str">
        <f>IF(OR(tblPiNHistorical[[#This Row],[Education Old]]="", tblPiNHistorical[[#This Row],[Education Old]]=0, tblPiNHistorical[[#This Row],[Education New]]="", tblPiNHistorical[[#This Row],[Education New]]=0), "", tblPiNHistorical[[#This Row],[Education New]]-tblPiNHistorical[[#This Row],[Education Old]])</f>
        <v/>
      </c>
      <c r="AH676"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676" s="137" t="str">
        <f>IF(OR(tblPiNHistorical[[#This Row],[Health Old]]="", tblPiNHistorical[[#This Row],[Health Old]]=0, tblPiNHistorical[[#This Row],[Health New]]="", tblPiNHistorical[[#This Row],[Health New]]=0), "", tblPiNHistorical[[#This Row],[Health New]]-tblPiNHistorical[[#This Row],[Health Old]])</f>
        <v/>
      </c>
      <c r="AJ676" s="136" t="str">
        <f>IF(OR(tblPiNHistorical[[#This Row],[Nutrition Old]]="", tblPiNHistorical[[#This Row],[Nutrition Old]]=0, tblPiNHistorical[[#This Row],[Nutrition New]]="", tblPiNHistorical[[#This Row],[Nutrition New]]=0), "", tblPiNHistorical[[#This Row],[Nutrition New]]-tblPiNHistorical[[#This Row],[Nutrition Old]])</f>
        <v/>
      </c>
      <c r="AK676" s="136" t="str">
        <f>IF(OR(tblPiNHistorical[[#This Row],[Protection Old]]="", tblPiNHistorical[[#This Row],[Protection Old]]=0, tblPiNHistorical[[#This Row],[Protection New]]="", tblPiNHistorical[[#This Row],[Protection New]]=0), "", tblPiNHistorical[[#This Row],[Protection New]]-tblPiNHistorical[[#This Row],[Protection Old]])</f>
        <v/>
      </c>
      <c r="AL676" s="136" t="str">
        <f>IF(OR(tblPiNHistorical[[#This Row],[CP Old ]]="", tblPiNHistorical[[#This Row],[CP Old ]]=0, tblPiNHistorical[[#This Row],[CP New]]="", tblPiNHistorical[[#This Row],[CP New]]=0), "", tblPiNHistorical[[#This Row],[CP New]]-tblPiNHistorical[[#This Row],[CP Old ]])</f>
        <v/>
      </c>
      <c r="AM676" s="83" t="str">
        <f>IF(OR(tblPiNHistorical[[#This Row],[GBV Old]]="", tblPiNHistorical[[#This Row],[GBV Old]]=0, tblPiNHistorical[[#This Row],[GBV New]]="", tblPiNHistorical[[#This Row],[GBV New]]=0), "", tblPiNHistorical[[#This Row],[GBV New]]-tblPiNHistorical[[#This Row],[GBV Old]])</f>
        <v/>
      </c>
      <c r="AN676" s="83" t="str">
        <f>IF(OR(tblPiNHistorical[[#This Row],[Mine Action Old]]="", tblPiNHistorical[[#This Row],[Mine Action Old]]=0, tblPiNHistorical[[#This Row],[Mine Action New]]="", tblPiNHistorical[[#This Row],[Mine Action New]]=0), "", tblPiNHistorical[[#This Row],[Mine Action New]]-tblPiNHistorical[[#This Row],[Mine Action Old]])</f>
        <v/>
      </c>
      <c r="AO676" s="136" t="str">
        <f>IF(OR(tblPiNHistorical[[#This Row],[Shelter NFI Old]]="", tblPiNHistorical[[#This Row],[Shelter NFI Old]]=0, tblPiNHistorical[[#This Row],[Shelter NFI New]]="", tblPiNHistorical[[#This Row],[Shelter NFI New]]=0), "", tblPiNHistorical[[#This Row],[Shelter NFI New]]-tblPiNHistorical[[#This Row],[Shelter NFI Old]])</f>
        <v/>
      </c>
      <c r="AP676" s="138" t="str">
        <f>IF(OR(tblPiNHistorical[[#This Row],[WASH Old]]="", tblPiNHistorical[[#This Row],[WASH Old]]=0, tblPiNHistorical[[#This Row],[WASH New]]="", tblPiNHistorical[[#This Row],[WASH New]]=0), "", tblPiNHistorical[[#This Row],[WASH New]]-tblPiNHistorical[[#This Row],[WASH Old]])</f>
        <v/>
      </c>
      <c r="AQ676" s="139" t="str">
        <f>IFERROR(ROUND((tblPiNHistorical[[#This Row],[Site Management - New]] - tblPiNHistorical[[#This Row],[Site Management - Old]])/tblPiNHistorical[[#This Row],[Site Management - Old]], 1), "")</f>
        <v/>
      </c>
      <c r="AR676" s="140" t="str">
        <f>IFERROR(ROUND((tblPiNHistorical[[#This Row],[Education New]]-tblPiNHistorical[[#This Row],[Education Old]])/tblPiNHistorical[[#This Row],[Education Old]], 1), "")</f>
        <v/>
      </c>
      <c r="AS676" s="141" t="str">
        <f>IFERROR(ROUND((tblPiNHistorical[[#This Row],[Food Security and Livlihoods New]]-tblPiNHistorical[[#This Row],[Food Security and Livlihoods Old]])/tblPiNHistorical[[#This Row],[Food Security and Livlihoods Old]], 1), "")</f>
        <v/>
      </c>
      <c r="AT676" s="142" t="str">
        <f>IFERROR(ROUND((tblPiNHistorical[[#This Row],[Health New]]-tblPiNHistorical[[#This Row],[Health Old]])/tblPiNHistorical[[#This Row],[Health Old]], 1), "")</f>
        <v/>
      </c>
      <c r="AU676" s="140" t="str">
        <f>IFERROR(ROUND((tblPiNHistorical[[#This Row],[Nutrition New]]-tblPiNHistorical[[#This Row],[Nutrition Old]])/tblPiNHistorical[[#This Row],[Nutrition Old]], 1), "")</f>
        <v/>
      </c>
      <c r="AV676" s="140" t="str">
        <f>IFERROR(ROUND((tblPiNHistorical[[#This Row],[Protection New]]-tblPiNHistorical[[#This Row],[Protection Old]])/tblPiNHistorical[[#This Row],[Protection Old]], 1), "")</f>
        <v/>
      </c>
      <c r="AW676" s="84" t="str">
        <f>IFERROR(ROUND((tblPiNHistorical[[#This Row],[CP New]]-tblPiNHistorical[[#This Row],[CP Old ]])/tblPiNHistorical[[#This Row],[CP Old ]], 1), "")</f>
        <v/>
      </c>
      <c r="AX676" s="84" t="str">
        <f>IFERROR(ROUND((tblPiNHistorical[[#This Row],[GBV New]]-tblPiNHistorical[[#This Row],[GBV Old]])/tblPiNHistorical[[#This Row],[GBV Old]], 1), "")</f>
        <v/>
      </c>
      <c r="AY676" s="84" t="str">
        <f>IFERROR(ROUND((tblPiNHistorical[[#This Row],[Mine Action New]]-tblPiNHistorical[[#This Row],[Mine Action Old]])/tblPiNHistorical[[#This Row],[Mine Action Old]], 1), "")</f>
        <v/>
      </c>
      <c r="AZ676" s="140" t="str">
        <f>IFERROR(ROUND((tblPiNHistorical[[#This Row],[Shelter NFI New]]-tblPiNHistorical[[#This Row],[Shelter NFI Old]])/tblPiNHistorical[[#This Row],[Shelter NFI Old]], 1), "")</f>
        <v/>
      </c>
      <c r="BA676" s="31" t="str">
        <f>IFERROR(ROUND((tblPiNHistorical[[#This Row],[WASH New]]-tblPiNHistorical[[#This Row],[WASH Old]])/tblPiNHistorical[[#This Row],[WASH Old]], 1), "")</f>
        <v/>
      </c>
    </row>
    <row r="677" spans="1:53" ht="38.25" x14ac:dyDescent="0.25">
      <c r="A677"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Non-displaced PopulationSD10064</v>
      </c>
      <c r="B677" s="134" t="s">
        <v>176</v>
      </c>
      <c r="C677" s="124" t="s">
        <v>127</v>
      </c>
      <c r="D677" s="124" t="s">
        <v>404</v>
      </c>
      <c r="E677" s="59" t="s">
        <v>405</v>
      </c>
      <c r="F677" s="54"/>
      <c r="G677" s="29"/>
      <c r="H677" s="53">
        <v>0</v>
      </c>
      <c r="I677" s="53" t="s">
        <v>89</v>
      </c>
      <c r="J677" s="34">
        <v>0</v>
      </c>
      <c r="K677" s="116">
        <v>0</v>
      </c>
      <c r="L677" s="114">
        <v>0</v>
      </c>
      <c r="M677" s="114">
        <v>0</v>
      </c>
      <c r="N677" s="114">
        <v>8392</v>
      </c>
      <c r="O677" s="114">
        <v>0</v>
      </c>
      <c r="P677" s="114">
        <v>0</v>
      </c>
      <c r="Q677" s="114">
        <v>0</v>
      </c>
      <c r="R677" s="114">
        <v>0</v>
      </c>
      <c r="S677" s="114">
        <v>0</v>
      </c>
      <c r="T677" s="196">
        <v>0</v>
      </c>
      <c r="U677" s="52" t="str">
        <f>IFERROR(INDEX(tblPiNAnalysis[[Site Management ]], MATCH(tblPiNHistorical[[#This Row],[ID]], tblPiNAnalysis[ID], 0)), "")</f>
        <v/>
      </c>
      <c r="V677" s="52" t="str">
        <f>IFERROR(INDEX(tblPiNAnalysis[Education], MATCH(tblPiNHistorical[[#This Row],[ID]], tblPiNAnalysis[ID], 0)), "")</f>
        <v/>
      </c>
      <c r="W677" s="28" t="str">
        <f>IFERROR(INDEX(tblPiNAnalysis[Food Security and Livlihoods], MATCH(tblPiNHistorical[[#This Row],[ID]], tblPiNAnalysis[ID], 0)), "")</f>
        <v/>
      </c>
      <c r="X677" s="28" t="str">
        <f>IFERROR(INDEX(tblPiNAnalysis[[Health ]], MATCH(tblPiNHistorical[[#This Row],[ID]], tblPiNAnalysis[ID], 0)), "")</f>
        <v/>
      </c>
      <c r="Y677" s="28" t="str">
        <f>IFERROR(INDEX(tblPiNAnalysis[Nutrition], MATCH(tblPiNHistorical[[#This Row],[ID]], tblPiNAnalysis[ID], 0)), "")</f>
        <v/>
      </c>
      <c r="Z677" s="28" t="str">
        <f>IFERROR(INDEX(tblPiNAnalysis[Protection], MATCH(tblPiNHistorical[[#This Row],[ID]], tblPiNAnalysis[ID], 0)), "")</f>
        <v/>
      </c>
      <c r="AA677" s="28" t="str">
        <f>IFERROR(INDEX(tblPiNAnalysis[CP], MATCH(tblPiNHistorical[[#This Row],[ID]], tblPiNAnalysis[ID], 0)), "")</f>
        <v/>
      </c>
      <c r="AB677" s="83" t="str">
        <f>IFERROR(INDEX(tblPiNAnalysis[GBV], MATCH(tblPiNHistorical[[#This Row],[ID]], tblPiNAnalysis[ID], 0)), "")</f>
        <v/>
      </c>
      <c r="AC677" s="28" t="str">
        <f>IFERROR(INDEX(tblPiNAnalysis[Mine Action], MATCH(tblPiNHistorical[[#This Row],[ID]], tblPiNAnalysis[ID], 0)), "")</f>
        <v/>
      </c>
      <c r="AD677" s="83" t="str">
        <f>IFERROR(INDEX(tblPiNAnalysis[[Shelter NFI ]], MATCH(tblPiNHistorical[[#This Row],[ID]], tblPiNAnalysis[ID], 0)), "")</f>
        <v/>
      </c>
      <c r="AE677" s="28" t="str">
        <f>IFERROR(INDEX(tblPiNAnalysis[WASH], MATCH(tblPiNHistorical[[#This Row],[ID]], tblPiNAnalysis[ID], 0)), "")</f>
        <v/>
      </c>
      <c r="AF677"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677" s="136" t="str">
        <f>IF(OR(tblPiNHistorical[[#This Row],[Education Old]]="", tblPiNHistorical[[#This Row],[Education Old]]=0, tblPiNHistorical[[#This Row],[Education New]]="", tblPiNHistorical[[#This Row],[Education New]]=0), "", tblPiNHistorical[[#This Row],[Education New]]-tblPiNHistorical[[#This Row],[Education Old]])</f>
        <v/>
      </c>
      <c r="AH677"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677" s="137" t="str">
        <f>IF(OR(tblPiNHistorical[[#This Row],[Health Old]]="", tblPiNHistorical[[#This Row],[Health Old]]=0, tblPiNHistorical[[#This Row],[Health New]]="", tblPiNHistorical[[#This Row],[Health New]]=0), "", tblPiNHistorical[[#This Row],[Health New]]-tblPiNHistorical[[#This Row],[Health Old]])</f>
        <v/>
      </c>
      <c r="AJ677" s="136" t="str">
        <f>IF(OR(tblPiNHistorical[[#This Row],[Nutrition Old]]="", tblPiNHistorical[[#This Row],[Nutrition Old]]=0, tblPiNHistorical[[#This Row],[Nutrition New]]="", tblPiNHistorical[[#This Row],[Nutrition New]]=0), "", tblPiNHistorical[[#This Row],[Nutrition New]]-tblPiNHistorical[[#This Row],[Nutrition Old]])</f>
        <v/>
      </c>
      <c r="AK677" s="136" t="str">
        <f>IF(OR(tblPiNHistorical[[#This Row],[Protection Old]]="", tblPiNHistorical[[#This Row],[Protection Old]]=0, tblPiNHistorical[[#This Row],[Protection New]]="", tblPiNHistorical[[#This Row],[Protection New]]=0), "", tblPiNHistorical[[#This Row],[Protection New]]-tblPiNHistorical[[#This Row],[Protection Old]])</f>
        <v/>
      </c>
      <c r="AL677" s="136" t="str">
        <f>IF(OR(tblPiNHistorical[[#This Row],[CP Old ]]="", tblPiNHistorical[[#This Row],[CP Old ]]=0, tblPiNHistorical[[#This Row],[CP New]]="", tblPiNHistorical[[#This Row],[CP New]]=0), "", tblPiNHistorical[[#This Row],[CP New]]-tblPiNHistorical[[#This Row],[CP Old ]])</f>
        <v/>
      </c>
      <c r="AM677" s="83" t="str">
        <f>IF(OR(tblPiNHistorical[[#This Row],[GBV Old]]="", tblPiNHistorical[[#This Row],[GBV Old]]=0, tblPiNHistorical[[#This Row],[GBV New]]="", tblPiNHistorical[[#This Row],[GBV New]]=0), "", tblPiNHistorical[[#This Row],[GBV New]]-tblPiNHistorical[[#This Row],[GBV Old]])</f>
        <v/>
      </c>
      <c r="AN677" s="83" t="str">
        <f>IF(OR(tblPiNHistorical[[#This Row],[Mine Action Old]]="", tblPiNHistorical[[#This Row],[Mine Action Old]]=0, tblPiNHistorical[[#This Row],[Mine Action New]]="", tblPiNHistorical[[#This Row],[Mine Action New]]=0), "", tblPiNHistorical[[#This Row],[Mine Action New]]-tblPiNHistorical[[#This Row],[Mine Action Old]])</f>
        <v/>
      </c>
      <c r="AO677" s="136" t="str">
        <f>IF(OR(tblPiNHistorical[[#This Row],[Shelter NFI Old]]="", tblPiNHistorical[[#This Row],[Shelter NFI Old]]=0, tblPiNHistorical[[#This Row],[Shelter NFI New]]="", tblPiNHistorical[[#This Row],[Shelter NFI New]]=0), "", tblPiNHistorical[[#This Row],[Shelter NFI New]]-tblPiNHistorical[[#This Row],[Shelter NFI Old]])</f>
        <v/>
      </c>
      <c r="AP677" s="138" t="str">
        <f>IF(OR(tblPiNHistorical[[#This Row],[WASH Old]]="", tblPiNHistorical[[#This Row],[WASH Old]]=0, tblPiNHistorical[[#This Row],[WASH New]]="", tblPiNHistorical[[#This Row],[WASH New]]=0), "", tblPiNHistorical[[#This Row],[WASH New]]-tblPiNHistorical[[#This Row],[WASH Old]])</f>
        <v/>
      </c>
      <c r="AQ677" s="139" t="str">
        <f>IFERROR(ROUND((tblPiNHistorical[[#This Row],[Site Management - New]] - tblPiNHistorical[[#This Row],[Site Management - Old]])/tblPiNHistorical[[#This Row],[Site Management - Old]], 1), "")</f>
        <v/>
      </c>
      <c r="AR677" s="140" t="str">
        <f>IFERROR(ROUND((tblPiNHistorical[[#This Row],[Education New]]-tblPiNHistorical[[#This Row],[Education Old]])/tblPiNHistorical[[#This Row],[Education Old]], 1), "")</f>
        <v/>
      </c>
      <c r="AS677" s="141" t="str">
        <f>IFERROR(ROUND((tblPiNHistorical[[#This Row],[Food Security and Livlihoods New]]-tblPiNHistorical[[#This Row],[Food Security and Livlihoods Old]])/tblPiNHistorical[[#This Row],[Food Security and Livlihoods Old]], 1), "")</f>
        <v/>
      </c>
      <c r="AT677" s="142" t="str">
        <f>IFERROR(ROUND((tblPiNHistorical[[#This Row],[Health New]]-tblPiNHistorical[[#This Row],[Health Old]])/tblPiNHistorical[[#This Row],[Health Old]], 1), "")</f>
        <v/>
      </c>
      <c r="AU677" s="140" t="str">
        <f>IFERROR(ROUND((tblPiNHistorical[[#This Row],[Nutrition New]]-tblPiNHistorical[[#This Row],[Nutrition Old]])/tblPiNHistorical[[#This Row],[Nutrition Old]], 1), "")</f>
        <v/>
      </c>
      <c r="AV677" s="140" t="str">
        <f>IFERROR(ROUND((tblPiNHistorical[[#This Row],[Protection New]]-tblPiNHistorical[[#This Row],[Protection Old]])/tblPiNHistorical[[#This Row],[Protection Old]], 1), "")</f>
        <v/>
      </c>
      <c r="AW677" s="84" t="str">
        <f>IFERROR(ROUND((tblPiNHistorical[[#This Row],[CP New]]-tblPiNHistorical[[#This Row],[CP Old ]])/tblPiNHistorical[[#This Row],[CP Old ]], 1), "")</f>
        <v/>
      </c>
      <c r="AX677" s="84" t="str">
        <f>IFERROR(ROUND((tblPiNHistorical[[#This Row],[GBV New]]-tblPiNHistorical[[#This Row],[GBV Old]])/tblPiNHistorical[[#This Row],[GBV Old]], 1), "")</f>
        <v/>
      </c>
      <c r="AY677" s="84" t="str">
        <f>IFERROR(ROUND((tblPiNHistorical[[#This Row],[Mine Action New]]-tblPiNHistorical[[#This Row],[Mine Action Old]])/tblPiNHistorical[[#This Row],[Mine Action Old]], 1), "")</f>
        <v/>
      </c>
      <c r="AZ677" s="140" t="str">
        <f>IFERROR(ROUND((tblPiNHistorical[[#This Row],[Shelter NFI New]]-tblPiNHistorical[[#This Row],[Shelter NFI Old]])/tblPiNHistorical[[#This Row],[Shelter NFI Old]], 1), "")</f>
        <v/>
      </c>
      <c r="BA677" s="31" t="str">
        <f>IFERROR(ROUND((tblPiNHistorical[[#This Row],[WASH New]]-tblPiNHistorical[[#This Row],[WASH Old]])/tblPiNHistorical[[#This Row],[WASH Old]], 1), "")</f>
        <v/>
      </c>
    </row>
    <row r="678" spans="1:53" ht="38.25" x14ac:dyDescent="0.25">
      <c r="A678"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Non-displaced PopulationSD10068</v>
      </c>
      <c r="B678" s="134" t="s">
        <v>176</v>
      </c>
      <c r="C678" s="124" t="s">
        <v>127</v>
      </c>
      <c r="D678" s="124" t="s">
        <v>412</v>
      </c>
      <c r="E678" s="59" t="s">
        <v>413</v>
      </c>
      <c r="F678" s="54"/>
      <c r="G678" s="29"/>
      <c r="H678" s="53">
        <v>11368</v>
      </c>
      <c r="I678" s="53" t="s">
        <v>89</v>
      </c>
      <c r="J678" s="34">
        <v>0</v>
      </c>
      <c r="K678" s="116">
        <v>0</v>
      </c>
      <c r="L678" s="114">
        <v>1705.2</v>
      </c>
      <c r="M678" s="114">
        <v>0</v>
      </c>
      <c r="N678" s="114">
        <v>11368</v>
      </c>
      <c r="O678" s="114">
        <v>1250.4800000000002</v>
      </c>
      <c r="P678" s="114">
        <v>1250</v>
      </c>
      <c r="Q678" s="114">
        <v>0</v>
      </c>
      <c r="R678" s="114">
        <v>0</v>
      </c>
      <c r="S678" s="114">
        <v>0</v>
      </c>
      <c r="T678" s="196">
        <v>10191.412</v>
      </c>
      <c r="U678" s="52" t="str">
        <f>IFERROR(INDEX(tblPiNAnalysis[[Site Management ]], MATCH(tblPiNHistorical[[#This Row],[ID]], tblPiNAnalysis[ID], 0)), "")</f>
        <v/>
      </c>
      <c r="V678" s="52" t="str">
        <f>IFERROR(INDEX(tblPiNAnalysis[Education], MATCH(tblPiNHistorical[[#This Row],[ID]], tblPiNAnalysis[ID], 0)), "")</f>
        <v/>
      </c>
      <c r="W678" s="28" t="str">
        <f>IFERROR(INDEX(tblPiNAnalysis[Food Security and Livlihoods], MATCH(tblPiNHistorical[[#This Row],[ID]], tblPiNAnalysis[ID], 0)), "")</f>
        <v/>
      </c>
      <c r="X678" s="28" t="str">
        <f>IFERROR(INDEX(tblPiNAnalysis[[Health ]], MATCH(tblPiNHistorical[[#This Row],[ID]], tblPiNAnalysis[ID], 0)), "")</f>
        <v/>
      </c>
      <c r="Y678" s="28" t="str">
        <f>IFERROR(INDEX(tblPiNAnalysis[Nutrition], MATCH(tblPiNHistorical[[#This Row],[ID]], tblPiNAnalysis[ID], 0)), "")</f>
        <v/>
      </c>
      <c r="Z678" s="28" t="str">
        <f>IFERROR(INDEX(tblPiNAnalysis[Protection], MATCH(tblPiNHistorical[[#This Row],[ID]], tblPiNAnalysis[ID], 0)), "")</f>
        <v/>
      </c>
      <c r="AA678" s="28" t="str">
        <f>IFERROR(INDEX(tblPiNAnalysis[CP], MATCH(tblPiNHistorical[[#This Row],[ID]], tblPiNAnalysis[ID], 0)), "")</f>
        <v/>
      </c>
      <c r="AB678" s="83" t="str">
        <f>IFERROR(INDEX(tblPiNAnalysis[GBV], MATCH(tblPiNHistorical[[#This Row],[ID]], tblPiNAnalysis[ID], 0)), "")</f>
        <v/>
      </c>
      <c r="AC678" s="28" t="str">
        <f>IFERROR(INDEX(tblPiNAnalysis[Mine Action], MATCH(tblPiNHistorical[[#This Row],[ID]], tblPiNAnalysis[ID], 0)), "")</f>
        <v/>
      </c>
      <c r="AD678" s="83" t="str">
        <f>IFERROR(INDEX(tblPiNAnalysis[[Shelter NFI ]], MATCH(tblPiNHistorical[[#This Row],[ID]], tblPiNAnalysis[ID], 0)), "")</f>
        <v/>
      </c>
      <c r="AE678" s="28" t="str">
        <f>IFERROR(INDEX(tblPiNAnalysis[WASH], MATCH(tblPiNHistorical[[#This Row],[ID]], tblPiNAnalysis[ID], 0)), "")</f>
        <v/>
      </c>
      <c r="AF678"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678" s="136" t="str">
        <f>IF(OR(tblPiNHistorical[[#This Row],[Education Old]]="", tblPiNHistorical[[#This Row],[Education Old]]=0, tblPiNHistorical[[#This Row],[Education New]]="", tblPiNHistorical[[#This Row],[Education New]]=0), "", tblPiNHistorical[[#This Row],[Education New]]-tblPiNHistorical[[#This Row],[Education Old]])</f>
        <v/>
      </c>
      <c r="AH678"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678" s="137" t="str">
        <f>IF(OR(tblPiNHistorical[[#This Row],[Health Old]]="", tblPiNHistorical[[#This Row],[Health Old]]=0, tblPiNHistorical[[#This Row],[Health New]]="", tblPiNHistorical[[#This Row],[Health New]]=0), "", tblPiNHistorical[[#This Row],[Health New]]-tblPiNHistorical[[#This Row],[Health Old]])</f>
        <v/>
      </c>
      <c r="AJ678" s="136" t="str">
        <f>IF(OR(tblPiNHistorical[[#This Row],[Nutrition Old]]="", tblPiNHistorical[[#This Row],[Nutrition Old]]=0, tblPiNHistorical[[#This Row],[Nutrition New]]="", tblPiNHistorical[[#This Row],[Nutrition New]]=0), "", tblPiNHistorical[[#This Row],[Nutrition New]]-tblPiNHistorical[[#This Row],[Nutrition Old]])</f>
        <v/>
      </c>
      <c r="AK678" s="136" t="str">
        <f>IF(OR(tblPiNHistorical[[#This Row],[Protection Old]]="", tblPiNHistorical[[#This Row],[Protection Old]]=0, tblPiNHistorical[[#This Row],[Protection New]]="", tblPiNHistorical[[#This Row],[Protection New]]=0), "", tblPiNHistorical[[#This Row],[Protection New]]-tblPiNHistorical[[#This Row],[Protection Old]])</f>
        <v/>
      </c>
      <c r="AL678" s="136" t="str">
        <f>IF(OR(tblPiNHistorical[[#This Row],[CP Old ]]="", tblPiNHistorical[[#This Row],[CP Old ]]=0, tblPiNHistorical[[#This Row],[CP New]]="", tblPiNHistorical[[#This Row],[CP New]]=0), "", tblPiNHistorical[[#This Row],[CP New]]-tblPiNHistorical[[#This Row],[CP Old ]])</f>
        <v/>
      </c>
      <c r="AM678" s="83" t="str">
        <f>IF(OR(tblPiNHistorical[[#This Row],[GBV Old]]="", tblPiNHistorical[[#This Row],[GBV Old]]=0, tblPiNHistorical[[#This Row],[GBV New]]="", tblPiNHistorical[[#This Row],[GBV New]]=0), "", tblPiNHistorical[[#This Row],[GBV New]]-tblPiNHistorical[[#This Row],[GBV Old]])</f>
        <v/>
      </c>
      <c r="AN678" s="83" t="str">
        <f>IF(OR(tblPiNHistorical[[#This Row],[Mine Action Old]]="", tblPiNHistorical[[#This Row],[Mine Action Old]]=0, tblPiNHistorical[[#This Row],[Mine Action New]]="", tblPiNHistorical[[#This Row],[Mine Action New]]=0), "", tblPiNHistorical[[#This Row],[Mine Action New]]-tblPiNHistorical[[#This Row],[Mine Action Old]])</f>
        <v/>
      </c>
      <c r="AO678" s="136" t="str">
        <f>IF(OR(tblPiNHistorical[[#This Row],[Shelter NFI Old]]="", tblPiNHistorical[[#This Row],[Shelter NFI Old]]=0, tblPiNHistorical[[#This Row],[Shelter NFI New]]="", tblPiNHistorical[[#This Row],[Shelter NFI New]]=0), "", tblPiNHistorical[[#This Row],[Shelter NFI New]]-tblPiNHistorical[[#This Row],[Shelter NFI Old]])</f>
        <v/>
      </c>
      <c r="AP678" s="138" t="str">
        <f>IF(OR(tblPiNHistorical[[#This Row],[WASH Old]]="", tblPiNHistorical[[#This Row],[WASH Old]]=0, tblPiNHistorical[[#This Row],[WASH New]]="", tblPiNHistorical[[#This Row],[WASH New]]=0), "", tblPiNHistorical[[#This Row],[WASH New]]-tblPiNHistorical[[#This Row],[WASH Old]])</f>
        <v/>
      </c>
      <c r="AQ678" s="139" t="str">
        <f>IFERROR(ROUND((tblPiNHistorical[[#This Row],[Site Management - New]] - tblPiNHistorical[[#This Row],[Site Management - Old]])/tblPiNHistorical[[#This Row],[Site Management - Old]], 1), "")</f>
        <v/>
      </c>
      <c r="AR678" s="140" t="str">
        <f>IFERROR(ROUND((tblPiNHistorical[[#This Row],[Education New]]-tblPiNHistorical[[#This Row],[Education Old]])/tblPiNHistorical[[#This Row],[Education Old]], 1), "")</f>
        <v/>
      </c>
      <c r="AS678" s="141" t="str">
        <f>IFERROR(ROUND((tblPiNHistorical[[#This Row],[Food Security and Livlihoods New]]-tblPiNHistorical[[#This Row],[Food Security and Livlihoods Old]])/tblPiNHistorical[[#This Row],[Food Security and Livlihoods Old]], 1), "")</f>
        <v/>
      </c>
      <c r="AT678" s="142" t="str">
        <f>IFERROR(ROUND((tblPiNHistorical[[#This Row],[Health New]]-tblPiNHistorical[[#This Row],[Health Old]])/tblPiNHistorical[[#This Row],[Health Old]], 1), "")</f>
        <v/>
      </c>
      <c r="AU678" s="140" t="str">
        <f>IFERROR(ROUND((tblPiNHistorical[[#This Row],[Nutrition New]]-tblPiNHistorical[[#This Row],[Nutrition Old]])/tblPiNHistorical[[#This Row],[Nutrition Old]], 1), "")</f>
        <v/>
      </c>
      <c r="AV678" s="140" t="str">
        <f>IFERROR(ROUND((tblPiNHistorical[[#This Row],[Protection New]]-tblPiNHistorical[[#This Row],[Protection Old]])/tblPiNHistorical[[#This Row],[Protection Old]], 1), "")</f>
        <v/>
      </c>
      <c r="AW678" s="84" t="str">
        <f>IFERROR(ROUND((tblPiNHistorical[[#This Row],[CP New]]-tblPiNHistorical[[#This Row],[CP Old ]])/tblPiNHistorical[[#This Row],[CP Old ]], 1), "")</f>
        <v/>
      </c>
      <c r="AX678" s="84" t="str">
        <f>IFERROR(ROUND((tblPiNHistorical[[#This Row],[GBV New]]-tblPiNHistorical[[#This Row],[GBV Old]])/tblPiNHistorical[[#This Row],[GBV Old]], 1), "")</f>
        <v/>
      </c>
      <c r="AY678" s="84" t="str">
        <f>IFERROR(ROUND((tblPiNHistorical[[#This Row],[Mine Action New]]-tblPiNHistorical[[#This Row],[Mine Action Old]])/tblPiNHistorical[[#This Row],[Mine Action Old]], 1), "")</f>
        <v/>
      </c>
      <c r="AZ678" s="140" t="str">
        <f>IFERROR(ROUND((tblPiNHistorical[[#This Row],[Shelter NFI New]]-tblPiNHistorical[[#This Row],[Shelter NFI Old]])/tblPiNHistorical[[#This Row],[Shelter NFI Old]], 1), "")</f>
        <v/>
      </c>
      <c r="BA678" s="31" t="str">
        <f>IFERROR(ROUND((tblPiNHistorical[[#This Row],[WASH New]]-tblPiNHistorical[[#This Row],[WASH Old]])/tblPiNHistorical[[#This Row],[WASH Old]], 1), "")</f>
        <v/>
      </c>
    </row>
    <row r="679" spans="1:53" ht="38.25" x14ac:dyDescent="0.25">
      <c r="A679"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Non-displaced PopulationSD10071</v>
      </c>
      <c r="B679" s="134" t="s">
        <v>176</v>
      </c>
      <c r="C679" s="124" t="s">
        <v>127</v>
      </c>
      <c r="D679" s="124" t="s">
        <v>418</v>
      </c>
      <c r="E679" s="59" t="s">
        <v>419</v>
      </c>
      <c r="F679" s="54"/>
      <c r="G679" s="29"/>
      <c r="H679" s="53">
        <v>46880</v>
      </c>
      <c r="I679" s="53" t="s">
        <v>89</v>
      </c>
      <c r="J679" s="34">
        <v>0</v>
      </c>
      <c r="K679" s="116">
        <v>0</v>
      </c>
      <c r="L679" s="114">
        <v>11720</v>
      </c>
      <c r="M679" s="114">
        <v>0</v>
      </c>
      <c r="N679" s="114">
        <v>19950</v>
      </c>
      <c r="O679" s="114">
        <v>5156.8000000000011</v>
      </c>
      <c r="P679" s="114">
        <v>5157</v>
      </c>
      <c r="Q679" s="114">
        <v>2475</v>
      </c>
      <c r="R679" s="114">
        <v>0</v>
      </c>
      <c r="S679" s="114">
        <v>0</v>
      </c>
      <c r="T679" s="196">
        <v>43832.800000000003</v>
      </c>
      <c r="U679" s="52" t="str">
        <f>IFERROR(INDEX(tblPiNAnalysis[[Site Management ]], MATCH(tblPiNHistorical[[#This Row],[ID]], tblPiNAnalysis[ID], 0)), "")</f>
        <v/>
      </c>
      <c r="V679" s="52" t="str">
        <f>IFERROR(INDEX(tblPiNAnalysis[Education], MATCH(tblPiNHistorical[[#This Row],[ID]], tblPiNAnalysis[ID], 0)), "")</f>
        <v/>
      </c>
      <c r="W679" s="28" t="str">
        <f>IFERROR(INDEX(tblPiNAnalysis[Food Security and Livlihoods], MATCH(tblPiNHistorical[[#This Row],[ID]], tblPiNAnalysis[ID], 0)), "")</f>
        <v/>
      </c>
      <c r="X679" s="28" t="str">
        <f>IFERROR(INDEX(tblPiNAnalysis[[Health ]], MATCH(tblPiNHistorical[[#This Row],[ID]], tblPiNAnalysis[ID], 0)), "")</f>
        <v/>
      </c>
      <c r="Y679" s="28" t="str">
        <f>IFERROR(INDEX(tblPiNAnalysis[Nutrition], MATCH(tblPiNHistorical[[#This Row],[ID]], tblPiNAnalysis[ID], 0)), "")</f>
        <v/>
      </c>
      <c r="Z679" s="28" t="str">
        <f>IFERROR(INDEX(tblPiNAnalysis[Protection], MATCH(tblPiNHistorical[[#This Row],[ID]], tblPiNAnalysis[ID], 0)), "")</f>
        <v/>
      </c>
      <c r="AA679" s="28" t="str">
        <f>IFERROR(INDEX(tblPiNAnalysis[CP], MATCH(tblPiNHistorical[[#This Row],[ID]], tblPiNAnalysis[ID], 0)), "")</f>
        <v/>
      </c>
      <c r="AB679" s="83" t="str">
        <f>IFERROR(INDEX(tblPiNAnalysis[GBV], MATCH(tblPiNHistorical[[#This Row],[ID]], tblPiNAnalysis[ID], 0)), "")</f>
        <v/>
      </c>
      <c r="AC679" s="28" t="str">
        <f>IFERROR(INDEX(tblPiNAnalysis[Mine Action], MATCH(tblPiNHistorical[[#This Row],[ID]], tblPiNAnalysis[ID], 0)), "")</f>
        <v/>
      </c>
      <c r="AD679" s="83" t="str">
        <f>IFERROR(INDEX(tblPiNAnalysis[[Shelter NFI ]], MATCH(tblPiNHistorical[[#This Row],[ID]], tblPiNAnalysis[ID], 0)), "")</f>
        <v/>
      </c>
      <c r="AE679" s="28" t="str">
        <f>IFERROR(INDEX(tblPiNAnalysis[WASH], MATCH(tblPiNHistorical[[#This Row],[ID]], tblPiNAnalysis[ID], 0)), "")</f>
        <v/>
      </c>
      <c r="AF679"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679" s="136" t="str">
        <f>IF(OR(tblPiNHistorical[[#This Row],[Education Old]]="", tblPiNHistorical[[#This Row],[Education Old]]=0, tblPiNHistorical[[#This Row],[Education New]]="", tblPiNHistorical[[#This Row],[Education New]]=0), "", tblPiNHistorical[[#This Row],[Education New]]-tblPiNHistorical[[#This Row],[Education Old]])</f>
        <v/>
      </c>
      <c r="AH679"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679" s="137" t="str">
        <f>IF(OR(tblPiNHistorical[[#This Row],[Health Old]]="", tblPiNHistorical[[#This Row],[Health Old]]=0, tblPiNHistorical[[#This Row],[Health New]]="", tblPiNHistorical[[#This Row],[Health New]]=0), "", tblPiNHistorical[[#This Row],[Health New]]-tblPiNHistorical[[#This Row],[Health Old]])</f>
        <v/>
      </c>
      <c r="AJ679" s="136" t="str">
        <f>IF(OR(tblPiNHistorical[[#This Row],[Nutrition Old]]="", tblPiNHistorical[[#This Row],[Nutrition Old]]=0, tblPiNHistorical[[#This Row],[Nutrition New]]="", tblPiNHistorical[[#This Row],[Nutrition New]]=0), "", tblPiNHistorical[[#This Row],[Nutrition New]]-tblPiNHistorical[[#This Row],[Nutrition Old]])</f>
        <v/>
      </c>
      <c r="AK679" s="136" t="str">
        <f>IF(OR(tblPiNHistorical[[#This Row],[Protection Old]]="", tblPiNHistorical[[#This Row],[Protection Old]]=0, tblPiNHistorical[[#This Row],[Protection New]]="", tblPiNHistorical[[#This Row],[Protection New]]=0), "", tblPiNHistorical[[#This Row],[Protection New]]-tblPiNHistorical[[#This Row],[Protection Old]])</f>
        <v/>
      </c>
      <c r="AL679" s="136" t="str">
        <f>IF(OR(tblPiNHistorical[[#This Row],[CP Old ]]="", tblPiNHistorical[[#This Row],[CP Old ]]=0, tblPiNHistorical[[#This Row],[CP New]]="", tblPiNHistorical[[#This Row],[CP New]]=0), "", tblPiNHistorical[[#This Row],[CP New]]-tblPiNHistorical[[#This Row],[CP Old ]])</f>
        <v/>
      </c>
      <c r="AM679" s="83" t="str">
        <f>IF(OR(tblPiNHistorical[[#This Row],[GBV Old]]="", tblPiNHistorical[[#This Row],[GBV Old]]=0, tblPiNHistorical[[#This Row],[GBV New]]="", tblPiNHistorical[[#This Row],[GBV New]]=0), "", tblPiNHistorical[[#This Row],[GBV New]]-tblPiNHistorical[[#This Row],[GBV Old]])</f>
        <v/>
      </c>
      <c r="AN679" s="83" t="str">
        <f>IF(OR(tblPiNHistorical[[#This Row],[Mine Action Old]]="", tblPiNHistorical[[#This Row],[Mine Action Old]]=0, tblPiNHistorical[[#This Row],[Mine Action New]]="", tblPiNHistorical[[#This Row],[Mine Action New]]=0), "", tblPiNHistorical[[#This Row],[Mine Action New]]-tblPiNHistorical[[#This Row],[Mine Action Old]])</f>
        <v/>
      </c>
      <c r="AO679" s="136" t="str">
        <f>IF(OR(tblPiNHistorical[[#This Row],[Shelter NFI Old]]="", tblPiNHistorical[[#This Row],[Shelter NFI Old]]=0, tblPiNHistorical[[#This Row],[Shelter NFI New]]="", tblPiNHistorical[[#This Row],[Shelter NFI New]]=0), "", tblPiNHistorical[[#This Row],[Shelter NFI New]]-tblPiNHistorical[[#This Row],[Shelter NFI Old]])</f>
        <v/>
      </c>
      <c r="AP679" s="138" t="str">
        <f>IF(OR(tblPiNHistorical[[#This Row],[WASH Old]]="", tblPiNHistorical[[#This Row],[WASH Old]]=0, tblPiNHistorical[[#This Row],[WASH New]]="", tblPiNHistorical[[#This Row],[WASH New]]=0), "", tblPiNHistorical[[#This Row],[WASH New]]-tblPiNHistorical[[#This Row],[WASH Old]])</f>
        <v/>
      </c>
      <c r="AQ679" s="139" t="str">
        <f>IFERROR(ROUND((tblPiNHistorical[[#This Row],[Site Management - New]] - tblPiNHistorical[[#This Row],[Site Management - Old]])/tblPiNHistorical[[#This Row],[Site Management - Old]], 1), "")</f>
        <v/>
      </c>
      <c r="AR679" s="140" t="str">
        <f>IFERROR(ROUND((tblPiNHistorical[[#This Row],[Education New]]-tblPiNHistorical[[#This Row],[Education Old]])/tblPiNHistorical[[#This Row],[Education Old]], 1), "")</f>
        <v/>
      </c>
      <c r="AS679" s="141" t="str">
        <f>IFERROR(ROUND((tblPiNHistorical[[#This Row],[Food Security and Livlihoods New]]-tblPiNHistorical[[#This Row],[Food Security and Livlihoods Old]])/tblPiNHistorical[[#This Row],[Food Security and Livlihoods Old]], 1), "")</f>
        <v/>
      </c>
      <c r="AT679" s="142" t="str">
        <f>IFERROR(ROUND((tblPiNHistorical[[#This Row],[Health New]]-tblPiNHistorical[[#This Row],[Health Old]])/tblPiNHistorical[[#This Row],[Health Old]], 1), "")</f>
        <v/>
      </c>
      <c r="AU679" s="140" t="str">
        <f>IFERROR(ROUND((tblPiNHistorical[[#This Row],[Nutrition New]]-tblPiNHistorical[[#This Row],[Nutrition Old]])/tblPiNHistorical[[#This Row],[Nutrition Old]], 1), "")</f>
        <v/>
      </c>
      <c r="AV679" s="140" t="str">
        <f>IFERROR(ROUND((tblPiNHistorical[[#This Row],[Protection New]]-tblPiNHistorical[[#This Row],[Protection Old]])/tblPiNHistorical[[#This Row],[Protection Old]], 1), "")</f>
        <v/>
      </c>
      <c r="AW679" s="84" t="str">
        <f>IFERROR(ROUND((tblPiNHistorical[[#This Row],[CP New]]-tblPiNHistorical[[#This Row],[CP Old ]])/tblPiNHistorical[[#This Row],[CP Old ]], 1), "")</f>
        <v/>
      </c>
      <c r="AX679" s="84" t="str">
        <f>IFERROR(ROUND((tblPiNHistorical[[#This Row],[GBV New]]-tblPiNHistorical[[#This Row],[GBV Old]])/tblPiNHistorical[[#This Row],[GBV Old]], 1), "")</f>
        <v/>
      </c>
      <c r="AY679" s="84" t="str">
        <f>IFERROR(ROUND((tblPiNHistorical[[#This Row],[Mine Action New]]-tblPiNHistorical[[#This Row],[Mine Action Old]])/tblPiNHistorical[[#This Row],[Mine Action Old]], 1), "")</f>
        <v/>
      </c>
      <c r="AZ679" s="140" t="str">
        <f>IFERROR(ROUND((tblPiNHistorical[[#This Row],[Shelter NFI New]]-tblPiNHistorical[[#This Row],[Shelter NFI Old]])/tblPiNHistorical[[#This Row],[Shelter NFI Old]], 1), "")</f>
        <v/>
      </c>
      <c r="BA679" s="31" t="str">
        <f>IFERROR(ROUND((tblPiNHistorical[[#This Row],[WASH New]]-tblPiNHistorical[[#This Row],[WASH Old]])/tblPiNHistorical[[#This Row],[WASH Old]], 1), "")</f>
        <v/>
      </c>
    </row>
    <row r="680" spans="1:53" ht="38.25" x14ac:dyDescent="0.25">
      <c r="A680"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Non-displaced PopulationSD10065</v>
      </c>
      <c r="B680" s="134" t="s">
        <v>176</v>
      </c>
      <c r="C680" s="124" t="s">
        <v>127</v>
      </c>
      <c r="D680" s="124" t="s">
        <v>406</v>
      </c>
      <c r="E680" s="59" t="s">
        <v>407</v>
      </c>
      <c r="F680" s="54"/>
      <c r="G680" s="29"/>
      <c r="H680" s="53">
        <v>63262</v>
      </c>
      <c r="I680" s="53" t="s">
        <v>89</v>
      </c>
      <c r="J680" s="34">
        <v>0</v>
      </c>
      <c r="K680" s="116">
        <v>0</v>
      </c>
      <c r="L680" s="114">
        <v>22141.7</v>
      </c>
      <c r="M680" s="114">
        <v>43875</v>
      </c>
      <c r="N680" s="114">
        <v>35257</v>
      </c>
      <c r="O680" s="114">
        <v>6958.8200000000015</v>
      </c>
      <c r="P680" s="114">
        <v>6959</v>
      </c>
      <c r="Q680" s="114">
        <v>0</v>
      </c>
      <c r="R680" s="114">
        <v>0</v>
      </c>
      <c r="S680" s="114">
        <v>0</v>
      </c>
      <c r="T680" s="196">
        <v>60004.006999999998</v>
      </c>
      <c r="U680" s="52" t="str">
        <f>IFERROR(INDEX(tblPiNAnalysis[[Site Management ]], MATCH(tblPiNHistorical[[#This Row],[ID]], tblPiNAnalysis[ID], 0)), "")</f>
        <v/>
      </c>
      <c r="V680" s="52" t="str">
        <f>IFERROR(INDEX(tblPiNAnalysis[Education], MATCH(tblPiNHistorical[[#This Row],[ID]], tblPiNAnalysis[ID], 0)), "")</f>
        <v/>
      </c>
      <c r="W680" s="28" t="str">
        <f>IFERROR(INDEX(tblPiNAnalysis[Food Security and Livlihoods], MATCH(tblPiNHistorical[[#This Row],[ID]], tblPiNAnalysis[ID], 0)), "")</f>
        <v/>
      </c>
      <c r="X680" s="28" t="str">
        <f>IFERROR(INDEX(tblPiNAnalysis[[Health ]], MATCH(tblPiNHistorical[[#This Row],[ID]], tblPiNAnalysis[ID], 0)), "")</f>
        <v/>
      </c>
      <c r="Y680" s="28" t="str">
        <f>IFERROR(INDEX(tblPiNAnalysis[Nutrition], MATCH(tblPiNHistorical[[#This Row],[ID]], tblPiNAnalysis[ID], 0)), "")</f>
        <v/>
      </c>
      <c r="Z680" s="28" t="str">
        <f>IFERROR(INDEX(tblPiNAnalysis[Protection], MATCH(tblPiNHistorical[[#This Row],[ID]], tblPiNAnalysis[ID], 0)), "")</f>
        <v/>
      </c>
      <c r="AA680" s="28" t="str">
        <f>IFERROR(INDEX(tblPiNAnalysis[CP], MATCH(tblPiNHistorical[[#This Row],[ID]], tblPiNAnalysis[ID], 0)), "")</f>
        <v/>
      </c>
      <c r="AB680" s="83" t="str">
        <f>IFERROR(INDEX(tblPiNAnalysis[GBV], MATCH(tblPiNHistorical[[#This Row],[ID]], tblPiNAnalysis[ID], 0)), "")</f>
        <v/>
      </c>
      <c r="AC680" s="28" t="str">
        <f>IFERROR(INDEX(tblPiNAnalysis[Mine Action], MATCH(tblPiNHistorical[[#This Row],[ID]], tblPiNAnalysis[ID], 0)), "")</f>
        <v/>
      </c>
      <c r="AD680" s="83" t="str">
        <f>IFERROR(INDEX(tblPiNAnalysis[[Shelter NFI ]], MATCH(tblPiNHistorical[[#This Row],[ID]], tblPiNAnalysis[ID], 0)), "")</f>
        <v/>
      </c>
      <c r="AE680" s="28" t="str">
        <f>IFERROR(INDEX(tblPiNAnalysis[WASH], MATCH(tblPiNHistorical[[#This Row],[ID]], tblPiNAnalysis[ID], 0)), "")</f>
        <v/>
      </c>
      <c r="AF680"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680" s="136" t="str">
        <f>IF(OR(tblPiNHistorical[[#This Row],[Education Old]]="", tblPiNHistorical[[#This Row],[Education Old]]=0, tblPiNHistorical[[#This Row],[Education New]]="", tblPiNHistorical[[#This Row],[Education New]]=0), "", tblPiNHistorical[[#This Row],[Education New]]-tblPiNHistorical[[#This Row],[Education Old]])</f>
        <v/>
      </c>
      <c r="AH680"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680" s="137" t="str">
        <f>IF(OR(tblPiNHistorical[[#This Row],[Health Old]]="", tblPiNHistorical[[#This Row],[Health Old]]=0, tblPiNHistorical[[#This Row],[Health New]]="", tblPiNHistorical[[#This Row],[Health New]]=0), "", tblPiNHistorical[[#This Row],[Health New]]-tblPiNHistorical[[#This Row],[Health Old]])</f>
        <v/>
      </c>
      <c r="AJ680" s="136" t="str">
        <f>IF(OR(tblPiNHistorical[[#This Row],[Nutrition Old]]="", tblPiNHistorical[[#This Row],[Nutrition Old]]=0, tblPiNHistorical[[#This Row],[Nutrition New]]="", tblPiNHistorical[[#This Row],[Nutrition New]]=0), "", tblPiNHistorical[[#This Row],[Nutrition New]]-tblPiNHistorical[[#This Row],[Nutrition Old]])</f>
        <v/>
      </c>
      <c r="AK680" s="136" t="str">
        <f>IF(OR(tblPiNHistorical[[#This Row],[Protection Old]]="", tblPiNHistorical[[#This Row],[Protection Old]]=0, tblPiNHistorical[[#This Row],[Protection New]]="", tblPiNHistorical[[#This Row],[Protection New]]=0), "", tblPiNHistorical[[#This Row],[Protection New]]-tblPiNHistorical[[#This Row],[Protection Old]])</f>
        <v/>
      </c>
      <c r="AL680" s="136" t="str">
        <f>IF(OR(tblPiNHistorical[[#This Row],[CP Old ]]="", tblPiNHistorical[[#This Row],[CP Old ]]=0, tblPiNHistorical[[#This Row],[CP New]]="", tblPiNHistorical[[#This Row],[CP New]]=0), "", tblPiNHistorical[[#This Row],[CP New]]-tblPiNHistorical[[#This Row],[CP Old ]])</f>
        <v/>
      </c>
      <c r="AM680" s="83" t="str">
        <f>IF(OR(tblPiNHistorical[[#This Row],[GBV Old]]="", tblPiNHistorical[[#This Row],[GBV Old]]=0, tblPiNHistorical[[#This Row],[GBV New]]="", tblPiNHistorical[[#This Row],[GBV New]]=0), "", tblPiNHistorical[[#This Row],[GBV New]]-tblPiNHistorical[[#This Row],[GBV Old]])</f>
        <v/>
      </c>
      <c r="AN680" s="83" t="str">
        <f>IF(OR(tblPiNHistorical[[#This Row],[Mine Action Old]]="", tblPiNHistorical[[#This Row],[Mine Action Old]]=0, tblPiNHistorical[[#This Row],[Mine Action New]]="", tblPiNHistorical[[#This Row],[Mine Action New]]=0), "", tblPiNHistorical[[#This Row],[Mine Action New]]-tblPiNHistorical[[#This Row],[Mine Action Old]])</f>
        <v/>
      </c>
      <c r="AO680" s="136" t="str">
        <f>IF(OR(tblPiNHistorical[[#This Row],[Shelter NFI Old]]="", tblPiNHistorical[[#This Row],[Shelter NFI Old]]=0, tblPiNHistorical[[#This Row],[Shelter NFI New]]="", tblPiNHistorical[[#This Row],[Shelter NFI New]]=0), "", tblPiNHistorical[[#This Row],[Shelter NFI New]]-tblPiNHistorical[[#This Row],[Shelter NFI Old]])</f>
        <v/>
      </c>
      <c r="AP680" s="138" t="str">
        <f>IF(OR(tblPiNHistorical[[#This Row],[WASH Old]]="", tblPiNHistorical[[#This Row],[WASH Old]]=0, tblPiNHistorical[[#This Row],[WASH New]]="", tblPiNHistorical[[#This Row],[WASH New]]=0), "", tblPiNHistorical[[#This Row],[WASH New]]-tblPiNHistorical[[#This Row],[WASH Old]])</f>
        <v/>
      </c>
      <c r="AQ680" s="139" t="str">
        <f>IFERROR(ROUND((tblPiNHistorical[[#This Row],[Site Management - New]] - tblPiNHistorical[[#This Row],[Site Management - Old]])/tblPiNHistorical[[#This Row],[Site Management - Old]], 1), "")</f>
        <v/>
      </c>
      <c r="AR680" s="140" t="str">
        <f>IFERROR(ROUND((tblPiNHistorical[[#This Row],[Education New]]-tblPiNHistorical[[#This Row],[Education Old]])/tblPiNHistorical[[#This Row],[Education Old]], 1), "")</f>
        <v/>
      </c>
      <c r="AS680" s="141" t="str">
        <f>IFERROR(ROUND((tblPiNHistorical[[#This Row],[Food Security and Livlihoods New]]-tblPiNHistorical[[#This Row],[Food Security and Livlihoods Old]])/tblPiNHistorical[[#This Row],[Food Security and Livlihoods Old]], 1), "")</f>
        <v/>
      </c>
      <c r="AT680" s="142" t="str">
        <f>IFERROR(ROUND((tblPiNHistorical[[#This Row],[Health New]]-tblPiNHistorical[[#This Row],[Health Old]])/tblPiNHistorical[[#This Row],[Health Old]], 1), "")</f>
        <v/>
      </c>
      <c r="AU680" s="140" t="str">
        <f>IFERROR(ROUND((tblPiNHistorical[[#This Row],[Nutrition New]]-tblPiNHistorical[[#This Row],[Nutrition Old]])/tblPiNHistorical[[#This Row],[Nutrition Old]], 1), "")</f>
        <v/>
      </c>
      <c r="AV680" s="140" t="str">
        <f>IFERROR(ROUND((tblPiNHistorical[[#This Row],[Protection New]]-tblPiNHistorical[[#This Row],[Protection Old]])/tblPiNHistorical[[#This Row],[Protection Old]], 1), "")</f>
        <v/>
      </c>
      <c r="AW680" s="84" t="str">
        <f>IFERROR(ROUND((tblPiNHistorical[[#This Row],[CP New]]-tblPiNHistorical[[#This Row],[CP Old ]])/tblPiNHistorical[[#This Row],[CP Old ]], 1), "")</f>
        <v/>
      </c>
      <c r="AX680" s="84" t="str">
        <f>IFERROR(ROUND((tblPiNHistorical[[#This Row],[GBV New]]-tblPiNHistorical[[#This Row],[GBV Old]])/tblPiNHistorical[[#This Row],[GBV Old]], 1), "")</f>
        <v/>
      </c>
      <c r="AY680" s="84" t="str">
        <f>IFERROR(ROUND((tblPiNHistorical[[#This Row],[Mine Action New]]-tblPiNHistorical[[#This Row],[Mine Action Old]])/tblPiNHistorical[[#This Row],[Mine Action Old]], 1), "")</f>
        <v/>
      </c>
      <c r="AZ680" s="140" t="str">
        <f>IFERROR(ROUND((tblPiNHistorical[[#This Row],[Shelter NFI New]]-tblPiNHistorical[[#This Row],[Shelter NFI Old]])/tblPiNHistorical[[#This Row],[Shelter NFI Old]], 1), "")</f>
        <v/>
      </c>
      <c r="BA680" s="31" t="str">
        <f>IFERROR(ROUND((tblPiNHistorical[[#This Row],[WASH New]]-tblPiNHistorical[[#This Row],[WASH Old]])/tblPiNHistorical[[#This Row],[WASH Old]], 1), "")</f>
        <v/>
      </c>
    </row>
    <row r="681" spans="1:53" ht="38.25" x14ac:dyDescent="0.25">
      <c r="A681"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Non-displaced PopulationSD16008</v>
      </c>
      <c r="B681" s="134" t="s">
        <v>179</v>
      </c>
      <c r="C681" s="124" t="s">
        <v>133</v>
      </c>
      <c r="D681" s="124" t="s">
        <v>512</v>
      </c>
      <c r="E681" s="59" t="s">
        <v>513</v>
      </c>
      <c r="F681" s="54"/>
      <c r="G681" s="29"/>
      <c r="H681" s="53">
        <v>0</v>
      </c>
      <c r="I681" s="53" t="s">
        <v>89</v>
      </c>
      <c r="J681" s="34">
        <v>0</v>
      </c>
      <c r="K681" s="116">
        <v>0</v>
      </c>
      <c r="L681" s="114">
        <v>0</v>
      </c>
      <c r="M681" s="114">
        <v>6000</v>
      </c>
      <c r="N681" s="114">
        <v>16225</v>
      </c>
      <c r="O681" s="114">
        <v>0</v>
      </c>
      <c r="P681" s="114">
        <v>0</v>
      </c>
      <c r="Q681" s="114">
        <v>0</v>
      </c>
      <c r="R681" s="114">
        <v>0</v>
      </c>
      <c r="S681" s="114">
        <v>0</v>
      </c>
      <c r="T681" s="196">
        <v>0</v>
      </c>
      <c r="U681" s="52" t="str">
        <f>IFERROR(INDEX(tblPiNAnalysis[[Site Management ]], MATCH(tblPiNHistorical[[#This Row],[ID]], tblPiNAnalysis[ID], 0)), "")</f>
        <v/>
      </c>
      <c r="V681" s="52" t="str">
        <f>IFERROR(INDEX(tblPiNAnalysis[Education], MATCH(tblPiNHistorical[[#This Row],[ID]], tblPiNAnalysis[ID], 0)), "")</f>
        <v/>
      </c>
      <c r="W681" s="28" t="str">
        <f>IFERROR(INDEX(tblPiNAnalysis[Food Security and Livlihoods], MATCH(tblPiNHistorical[[#This Row],[ID]], tblPiNAnalysis[ID], 0)), "")</f>
        <v/>
      </c>
      <c r="X681" s="28" t="str">
        <f>IFERROR(INDEX(tblPiNAnalysis[[Health ]], MATCH(tblPiNHistorical[[#This Row],[ID]], tblPiNAnalysis[ID], 0)), "")</f>
        <v/>
      </c>
      <c r="Y681" s="28" t="str">
        <f>IFERROR(INDEX(tblPiNAnalysis[Nutrition], MATCH(tblPiNHistorical[[#This Row],[ID]], tblPiNAnalysis[ID], 0)), "")</f>
        <v/>
      </c>
      <c r="Z681" s="28" t="str">
        <f>IFERROR(INDEX(tblPiNAnalysis[Protection], MATCH(tblPiNHistorical[[#This Row],[ID]], tblPiNAnalysis[ID], 0)), "")</f>
        <v/>
      </c>
      <c r="AA681" s="28" t="str">
        <f>IFERROR(INDEX(tblPiNAnalysis[CP], MATCH(tblPiNHistorical[[#This Row],[ID]], tblPiNAnalysis[ID], 0)), "")</f>
        <v/>
      </c>
      <c r="AB681" s="83" t="str">
        <f>IFERROR(INDEX(tblPiNAnalysis[GBV], MATCH(tblPiNHistorical[[#This Row],[ID]], tblPiNAnalysis[ID], 0)), "")</f>
        <v/>
      </c>
      <c r="AC681" s="28" t="str">
        <f>IFERROR(INDEX(tblPiNAnalysis[Mine Action], MATCH(tblPiNHistorical[[#This Row],[ID]], tblPiNAnalysis[ID], 0)), "")</f>
        <v/>
      </c>
      <c r="AD681" s="83" t="str">
        <f>IFERROR(INDEX(tblPiNAnalysis[[Shelter NFI ]], MATCH(tblPiNHistorical[[#This Row],[ID]], tblPiNAnalysis[ID], 0)), "")</f>
        <v/>
      </c>
      <c r="AE681" s="28" t="str">
        <f>IFERROR(INDEX(tblPiNAnalysis[WASH], MATCH(tblPiNHistorical[[#This Row],[ID]], tblPiNAnalysis[ID], 0)), "")</f>
        <v/>
      </c>
      <c r="AF681"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681" s="136" t="str">
        <f>IF(OR(tblPiNHistorical[[#This Row],[Education Old]]="", tblPiNHistorical[[#This Row],[Education Old]]=0, tblPiNHistorical[[#This Row],[Education New]]="", tblPiNHistorical[[#This Row],[Education New]]=0), "", tblPiNHistorical[[#This Row],[Education New]]-tblPiNHistorical[[#This Row],[Education Old]])</f>
        <v/>
      </c>
      <c r="AH681"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681" s="137" t="str">
        <f>IF(OR(tblPiNHistorical[[#This Row],[Health Old]]="", tblPiNHistorical[[#This Row],[Health Old]]=0, tblPiNHistorical[[#This Row],[Health New]]="", tblPiNHistorical[[#This Row],[Health New]]=0), "", tblPiNHistorical[[#This Row],[Health New]]-tblPiNHistorical[[#This Row],[Health Old]])</f>
        <v/>
      </c>
      <c r="AJ681" s="136" t="str">
        <f>IF(OR(tblPiNHistorical[[#This Row],[Nutrition Old]]="", tblPiNHistorical[[#This Row],[Nutrition Old]]=0, tblPiNHistorical[[#This Row],[Nutrition New]]="", tblPiNHistorical[[#This Row],[Nutrition New]]=0), "", tblPiNHistorical[[#This Row],[Nutrition New]]-tblPiNHistorical[[#This Row],[Nutrition Old]])</f>
        <v/>
      </c>
      <c r="AK681" s="136" t="str">
        <f>IF(OR(tblPiNHistorical[[#This Row],[Protection Old]]="", tblPiNHistorical[[#This Row],[Protection Old]]=0, tblPiNHistorical[[#This Row],[Protection New]]="", tblPiNHistorical[[#This Row],[Protection New]]=0), "", tblPiNHistorical[[#This Row],[Protection New]]-tblPiNHistorical[[#This Row],[Protection Old]])</f>
        <v/>
      </c>
      <c r="AL681" s="136" t="str">
        <f>IF(OR(tblPiNHistorical[[#This Row],[CP Old ]]="", tblPiNHistorical[[#This Row],[CP Old ]]=0, tblPiNHistorical[[#This Row],[CP New]]="", tblPiNHistorical[[#This Row],[CP New]]=0), "", tblPiNHistorical[[#This Row],[CP New]]-tblPiNHistorical[[#This Row],[CP Old ]])</f>
        <v/>
      </c>
      <c r="AM681" s="83" t="str">
        <f>IF(OR(tblPiNHistorical[[#This Row],[GBV Old]]="", tblPiNHistorical[[#This Row],[GBV Old]]=0, tblPiNHistorical[[#This Row],[GBV New]]="", tblPiNHistorical[[#This Row],[GBV New]]=0), "", tblPiNHistorical[[#This Row],[GBV New]]-tblPiNHistorical[[#This Row],[GBV Old]])</f>
        <v/>
      </c>
      <c r="AN681" s="83" t="str">
        <f>IF(OR(tblPiNHistorical[[#This Row],[Mine Action Old]]="", tblPiNHistorical[[#This Row],[Mine Action Old]]=0, tblPiNHistorical[[#This Row],[Mine Action New]]="", tblPiNHistorical[[#This Row],[Mine Action New]]=0), "", tblPiNHistorical[[#This Row],[Mine Action New]]-tblPiNHistorical[[#This Row],[Mine Action Old]])</f>
        <v/>
      </c>
      <c r="AO681" s="136" t="str">
        <f>IF(OR(tblPiNHistorical[[#This Row],[Shelter NFI Old]]="", tblPiNHistorical[[#This Row],[Shelter NFI Old]]=0, tblPiNHistorical[[#This Row],[Shelter NFI New]]="", tblPiNHistorical[[#This Row],[Shelter NFI New]]=0), "", tblPiNHistorical[[#This Row],[Shelter NFI New]]-tblPiNHistorical[[#This Row],[Shelter NFI Old]])</f>
        <v/>
      </c>
      <c r="AP681" s="138" t="str">
        <f>IF(OR(tblPiNHistorical[[#This Row],[WASH Old]]="", tblPiNHistorical[[#This Row],[WASH Old]]=0, tblPiNHistorical[[#This Row],[WASH New]]="", tblPiNHistorical[[#This Row],[WASH New]]=0), "", tblPiNHistorical[[#This Row],[WASH New]]-tblPiNHistorical[[#This Row],[WASH Old]])</f>
        <v/>
      </c>
      <c r="AQ681" s="139" t="str">
        <f>IFERROR(ROUND((tblPiNHistorical[[#This Row],[Site Management - New]] - tblPiNHistorical[[#This Row],[Site Management - Old]])/tblPiNHistorical[[#This Row],[Site Management - Old]], 1), "")</f>
        <v/>
      </c>
      <c r="AR681" s="140" t="str">
        <f>IFERROR(ROUND((tblPiNHistorical[[#This Row],[Education New]]-tblPiNHistorical[[#This Row],[Education Old]])/tblPiNHistorical[[#This Row],[Education Old]], 1), "")</f>
        <v/>
      </c>
      <c r="AS681" s="141" t="str">
        <f>IFERROR(ROUND((tblPiNHistorical[[#This Row],[Food Security and Livlihoods New]]-tblPiNHistorical[[#This Row],[Food Security and Livlihoods Old]])/tblPiNHistorical[[#This Row],[Food Security and Livlihoods Old]], 1), "")</f>
        <v/>
      </c>
      <c r="AT681" s="142" t="str">
        <f>IFERROR(ROUND((tblPiNHistorical[[#This Row],[Health New]]-tblPiNHistorical[[#This Row],[Health Old]])/tblPiNHistorical[[#This Row],[Health Old]], 1), "")</f>
        <v/>
      </c>
      <c r="AU681" s="140" t="str">
        <f>IFERROR(ROUND((tblPiNHistorical[[#This Row],[Nutrition New]]-tblPiNHistorical[[#This Row],[Nutrition Old]])/tblPiNHistorical[[#This Row],[Nutrition Old]], 1), "")</f>
        <v/>
      </c>
      <c r="AV681" s="140" t="str">
        <f>IFERROR(ROUND((tblPiNHistorical[[#This Row],[Protection New]]-tblPiNHistorical[[#This Row],[Protection Old]])/tblPiNHistorical[[#This Row],[Protection Old]], 1), "")</f>
        <v/>
      </c>
      <c r="AW681" s="84" t="str">
        <f>IFERROR(ROUND((tblPiNHistorical[[#This Row],[CP New]]-tblPiNHistorical[[#This Row],[CP Old ]])/tblPiNHistorical[[#This Row],[CP Old ]], 1), "")</f>
        <v/>
      </c>
      <c r="AX681" s="84" t="str">
        <f>IFERROR(ROUND((tblPiNHistorical[[#This Row],[GBV New]]-tblPiNHistorical[[#This Row],[GBV Old]])/tblPiNHistorical[[#This Row],[GBV Old]], 1), "")</f>
        <v/>
      </c>
      <c r="AY681" s="84" t="str">
        <f>IFERROR(ROUND((tblPiNHistorical[[#This Row],[Mine Action New]]-tblPiNHistorical[[#This Row],[Mine Action Old]])/tblPiNHistorical[[#This Row],[Mine Action Old]], 1), "")</f>
        <v/>
      </c>
      <c r="AZ681" s="140" t="str">
        <f>IFERROR(ROUND((tblPiNHistorical[[#This Row],[Shelter NFI New]]-tblPiNHistorical[[#This Row],[Shelter NFI Old]])/tblPiNHistorical[[#This Row],[Shelter NFI Old]], 1), "")</f>
        <v/>
      </c>
      <c r="BA681" s="31" t="str">
        <f>IFERROR(ROUND((tblPiNHistorical[[#This Row],[WASH New]]-tblPiNHistorical[[#This Row],[WASH Old]])/tblPiNHistorical[[#This Row],[WASH Old]], 1), "")</f>
        <v/>
      </c>
    </row>
    <row r="682" spans="1:53" ht="38.25" x14ac:dyDescent="0.25">
      <c r="A682"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Non-displaced PopulationSD16011</v>
      </c>
      <c r="B682" s="134" t="s">
        <v>179</v>
      </c>
      <c r="C682" s="124" t="s">
        <v>133</v>
      </c>
      <c r="D682" s="124" t="s">
        <v>518</v>
      </c>
      <c r="E682" s="59" t="s">
        <v>519</v>
      </c>
      <c r="F682" s="54"/>
      <c r="G682" s="29"/>
      <c r="H682" s="53">
        <v>0</v>
      </c>
      <c r="I682" s="53" t="s">
        <v>89</v>
      </c>
      <c r="J682" s="34">
        <v>0</v>
      </c>
      <c r="K682" s="116">
        <v>0</v>
      </c>
      <c r="L682" s="114">
        <v>0</v>
      </c>
      <c r="M682" s="114">
        <v>6160</v>
      </c>
      <c r="N682" s="114">
        <v>22314</v>
      </c>
      <c r="O682" s="114">
        <v>0</v>
      </c>
      <c r="P682" s="114">
        <v>0</v>
      </c>
      <c r="Q682" s="114">
        <v>0</v>
      </c>
      <c r="R682" s="114">
        <v>0</v>
      </c>
      <c r="S682" s="114">
        <v>0</v>
      </c>
      <c r="T682" s="196">
        <v>0</v>
      </c>
      <c r="U682" s="52" t="str">
        <f>IFERROR(INDEX(tblPiNAnalysis[[Site Management ]], MATCH(tblPiNHistorical[[#This Row],[ID]], tblPiNAnalysis[ID], 0)), "")</f>
        <v/>
      </c>
      <c r="V682" s="52" t="str">
        <f>IFERROR(INDEX(tblPiNAnalysis[Education], MATCH(tblPiNHistorical[[#This Row],[ID]], tblPiNAnalysis[ID], 0)), "")</f>
        <v/>
      </c>
      <c r="W682" s="28" t="str">
        <f>IFERROR(INDEX(tblPiNAnalysis[Food Security and Livlihoods], MATCH(tblPiNHistorical[[#This Row],[ID]], tblPiNAnalysis[ID], 0)), "")</f>
        <v/>
      </c>
      <c r="X682" s="28" t="str">
        <f>IFERROR(INDEX(tblPiNAnalysis[[Health ]], MATCH(tblPiNHistorical[[#This Row],[ID]], tblPiNAnalysis[ID], 0)), "")</f>
        <v/>
      </c>
      <c r="Y682" s="28" t="str">
        <f>IFERROR(INDEX(tblPiNAnalysis[Nutrition], MATCH(tblPiNHistorical[[#This Row],[ID]], tblPiNAnalysis[ID], 0)), "")</f>
        <v/>
      </c>
      <c r="Z682" s="28" t="str">
        <f>IFERROR(INDEX(tblPiNAnalysis[Protection], MATCH(tblPiNHistorical[[#This Row],[ID]], tblPiNAnalysis[ID], 0)), "")</f>
        <v/>
      </c>
      <c r="AA682" s="28" t="str">
        <f>IFERROR(INDEX(tblPiNAnalysis[CP], MATCH(tblPiNHistorical[[#This Row],[ID]], tblPiNAnalysis[ID], 0)), "")</f>
        <v/>
      </c>
      <c r="AB682" s="83" t="str">
        <f>IFERROR(INDEX(tblPiNAnalysis[GBV], MATCH(tblPiNHistorical[[#This Row],[ID]], tblPiNAnalysis[ID], 0)), "")</f>
        <v/>
      </c>
      <c r="AC682" s="28" t="str">
        <f>IFERROR(INDEX(tblPiNAnalysis[Mine Action], MATCH(tblPiNHistorical[[#This Row],[ID]], tblPiNAnalysis[ID], 0)), "")</f>
        <v/>
      </c>
      <c r="AD682" s="83" t="str">
        <f>IFERROR(INDEX(tblPiNAnalysis[[Shelter NFI ]], MATCH(tblPiNHistorical[[#This Row],[ID]], tblPiNAnalysis[ID], 0)), "")</f>
        <v/>
      </c>
      <c r="AE682" s="28" t="str">
        <f>IFERROR(INDEX(tblPiNAnalysis[WASH], MATCH(tblPiNHistorical[[#This Row],[ID]], tblPiNAnalysis[ID], 0)), "")</f>
        <v/>
      </c>
      <c r="AF682"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682" s="136" t="str">
        <f>IF(OR(tblPiNHistorical[[#This Row],[Education Old]]="", tblPiNHistorical[[#This Row],[Education Old]]=0, tblPiNHistorical[[#This Row],[Education New]]="", tblPiNHistorical[[#This Row],[Education New]]=0), "", tblPiNHistorical[[#This Row],[Education New]]-tblPiNHistorical[[#This Row],[Education Old]])</f>
        <v/>
      </c>
      <c r="AH682"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682" s="137" t="str">
        <f>IF(OR(tblPiNHistorical[[#This Row],[Health Old]]="", tblPiNHistorical[[#This Row],[Health Old]]=0, tblPiNHistorical[[#This Row],[Health New]]="", tblPiNHistorical[[#This Row],[Health New]]=0), "", tblPiNHistorical[[#This Row],[Health New]]-tblPiNHistorical[[#This Row],[Health Old]])</f>
        <v/>
      </c>
      <c r="AJ682" s="136" t="str">
        <f>IF(OR(tblPiNHistorical[[#This Row],[Nutrition Old]]="", tblPiNHistorical[[#This Row],[Nutrition Old]]=0, tblPiNHistorical[[#This Row],[Nutrition New]]="", tblPiNHistorical[[#This Row],[Nutrition New]]=0), "", tblPiNHistorical[[#This Row],[Nutrition New]]-tblPiNHistorical[[#This Row],[Nutrition Old]])</f>
        <v/>
      </c>
      <c r="AK682" s="136" t="str">
        <f>IF(OR(tblPiNHistorical[[#This Row],[Protection Old]]="", tblPiNHistorical[[#This Row],[Protection Old]]=0, tblPiNHistorical[[#This Row],[Protection New]]="", tblPiNHistorical[[#This Row],[Protection New]]=0), "", tblPiNHistorical[[#This Row],[Protection New]]-tblPiNHistorical[[#This Row],[Protection Old]])</f>
        <v/>
      </c>
      <c r="AL682" s="136" t="str">
        <f>IF(OR(tblPiNHistorical[[#This Row],[CP Old ]]="", tblPiNHistorical[[#This Row],[CP Old ]]=0, tblPiNHistorical[[#This Row],[CP New]]="", tblPiNHistorical[[#This Row],[CP New]]=0), "", tblPiNHistorical[[#This Row],[CP New]]-tblPiNHistorical[[#This Row],[CP Old ]])</f>
        <v/>
      </c>
      <c r="AM682" s="83" t="str">
        <f>IF(OR(tblPiNHistorical[[#This Row],[GBV Old]]="", tblPiNHistorical[[#This Row],[GBV Old]]=0, tblPiNHistorical[[#This Row],[GBV New]]="", tblPiNHistorical[[#This Row],[GBV New]]=0), "", tblPiNHistorical[[#This Row],[GBV New]]-tblPiNHistorical[[#This Row],[GBV Old]])</f>
        <v/>
      </c>
      <c r="AN682" s="83" t="str">
        <f>IF(OR(tblPiNHistorical[[#This Row],[Mine Action Old]]="", tblPiNHistorical[[#This Row],[Mine Action Old]]=0, tblPiNHistorical[[#This Row],[Mine Action New]]="", tblPiNHistorical[[#This Row],[Mine Action New]]=0), "", tblPiNHistorical[[#This Row],[Mine Action New]]-tblPiNHistorical[[#This Row],[Mine Action Old]])</f>
        <v/>
      </c>
      <c r="AO682" s="136" t="str">
        <f>IF(OR(tblPiNHistorical[[#This Row],[Shelter NFI Old]]="", tblPiNHistorical[[#This Row],[Shelter NFI Old]]=0, tblPiNHistorical[[#This Row],[Shelter NFI New]]="", tblPiNHistorical[[#This Row],[Shelter NFI New]]=0), "", tblPiNHistorical[[#This Row],[Shelter NFI New]]-tblPiNHistorical[[#This Row],[Shelter NFI Old]])</f>
        <v/>
      </c>
      <c r="AP682" s="138" t="str">
        <f>IF(OR(tblPiNHistorical[[#This Row],[WASH Old]]="", tblPiNHistorical[[#This Row],[WASH Old]]=0, tblPiNHistorical[[#This Row],[WASH New]]="", tblPiNHistorical[[#This Row],[WASH New]]=0), "", tblPiNHistorical[[#This Row],[WASH New]]-tblPiNHistorical[[#This Row],[WASH Old]])</f>
        <v/>
      </c>
      <c r="AQ682" s="139" t="str">
        <f>IFERROR(ROUND((tblPiNHistorical[[#This Row],[Site Management - New]] - tblPiNHistorical[[#This Row],[Site Management - Old]])/tblPiNHistorical[[#This Row],[Site Management - Old]], 1), "")</f>
        <v/>
      </c>
      <c r="AR682" s="140" t="str">
        <f>IFERROR(ROUND((tblPiNHistorical[[#This Row],[Education New]]-tblPiNHistorical[[#This Row],[Education Old]])/tblPiNHistorical[[#This Row],[Education Old]], 1), "")</f>
        <v/>
      </c>
      <c r="AS682" s="141" t="str">
        <f>IFERROR(ROUND((tblPiNHistorical[[#This Row],[Food Security and Livlihoods New]]-tblPiNHistorical[[#This Row],[Food Security and Livlihoods Old]])/tblPiNHistorical[[#This Row],[Food Security and Livlihoods Old]], 1), "")</f>
        <v/>
      </c>
      <c r="AT682" s="142" t="str">
        <f>IFERROR(ROUND((tblPiNHistorical[[#This Row],[Health New]]-tblPiNHistorical[[#This Row],[Health Old]])/tblPiNHistorical[[#This Row],[Health Old]], 1), "")</f>
        <v/>
      </c>
      <c r="AU682" s="140" t="str">
        <f>IFERROR(ROUND((tblPiNHistorical[[#This Row],[Nutrition New]]-tblPiNHistorical[[#This Row],[Nutrition Old]])/tblPiNHistorical[[#This Row],[Nutrition Old]], 1), "")</f>
        <v/>
      </c>
      <c r="AV682" s="140" t="str">
        <f>IFERROR(ROUND((tblPiNHistorical[[#This Row],[Protection New]]-tblPiNHistorical[[#This Row],[Protection Old]])/tblPiNHistorical[[#This Row],[Protection Old]], 1), "")</f>
        <v/>
      </c>
      <c r="AW682" s="84" t="str">
        <f>IFERROR(ROUND((tblPiNHistorical[[#This Row],[CP New]]-tblPiNHistorical[[#This Row],[CP Old ]])/tblPiNHistorical[[#This Row],[CP Old ]], 1), "")</f>
        <v/>
      </c>
      <c r="AX682" s="84" t="str">
        <f>IFERROR(ROUND((tblPiNHistorical[[#This Row],[GBV New]]-tblPiNHistorical[[#This Row],[GBV Old]])/tblPiNHistorical[[#This Row],[GBV Old]], 1), "")</f>
        <v/>
      </c>
      <c r="AY682" s="84" t="str">
        <f>IFERROR(ROUND((tblPiNHistorical[[#This Row],[Mine Action New]]-tblPiNHistorical[[#This Row],[Mine Action Old]])/tblPiNHistorical[[#This Row],[Mine Action Old]], 1), "")</f>
        <v/>
      </c>
      <c r="AZ682" s="140" t="str">
        <f>IFERROR(ROUND((tblPiNHistorical[[#This Row],[Shelter NFI New]]-tblPiNHistorical[[#This Row],[Shelter NFI Old]])/tblPiNHistorical[[#This Row],[Shelter NFI Old]], 1), "")</f>
        <v/>
      </c>
      <c r="BA682" s="31" t="str">
        <f>IFERROR(ROUND((tblPiNHistorical[[#This Row],[WASH New]]-tblPiNHistorical[[#This Row],[WASH Old]])/tblPiNHistorical[[#This Row],[WASH Old]], 1), "")</f>
        <v/>
      </c>
    </row>
    <row r="683" spans="1:53" ht="38.25" x14ac:dyDescent="0.25">
      <c r="A683"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Non-displaced PopulationSD16014</v>
      </c>
      <c r="B683" s="134" t="s">
        <v>179</v>
      </c>
      <c r="C683" s="124" t="s">
        <v>133</v>
      </c>
      <c r="D683" s="124" t="s">
        <v>524</v>
      </c>
      <c r="E683" s="59" t="s">
        <v>525</v>
      </c>
      <c r="F683" s="54"/>
      <c r="G683" s="29"/>
      <c r="H683" s="53">
        <v>0</v>
      </c>
      <c r="I683" s="53" t="s">
        <v>89</v>
      </c>
      <c r="J683" s="34">
        <v>0</v>
      </c>
      <c r="K683" s="116">
        <v>0</v>
      </c>
      <c r="L683" s="114">
        <v>0</v>
      </c>
      <c r="M683" s="114">
        <v>0</v>
      </c>
      <c r="N683" s="114">
        <v>4604</v>
      </c>
      <c r="O683" s="114">
        <v>0</v>
      </c>
      <c r="P683" s="114">
        <v>0</v>
      </c>
      <c r="Q683" s="114">
        <v>0</v>
      </c>
      <c r="R683" s="114">
        <v>0</v>
      </c>
      <c r="S683" s="114">
        <v>0</v>
      </c>
      <c r="T683" s="196">
        <v>0</v>
      </c>
      <c r="U683" s="52" t="str">
        <f>IFERROR(INDEX(tblPiNAnalysis[[Site Management ]], MATCH(tblPiNHistorical[[#This Row],[ID]], tblPiNAnalysis[ID], 0)), "")</f>
        <v/>
      </c>
      <c r="V683" s="52" t="str">
        <f>IFERROR(INDEX(tblPiNAnalysis[Education], MATCH(tblPiNHistorical[[#This Row],[ID]], tblPiNAnalysis[ID], 0)), "")</f>
        <v/>
      </c>
      <c r="W683" s="28" t="str">
        <f>IFERROR(INDEX(tblPiNAnalysis[Food Security and Livlihoods], MATCH(tblPiNHistorical[[#This Row],[ID]], tblPiNAnalysis[ID], 0)), "")</f>
        <v/>
      </c>
      <c r="X683" s="28" t="str">
        <f>IFERROR(INDEX(tblPiNAnalysis[[Health ]], MATCH(tblPiNHistorical[[#This Row],[ID]], tblPiNAnalysis[ID], 0)), "")</f>
        <v/>
      </c>
      <c r="Y683" s="28" t="str">
        <f>IFERROR(INDEX(tblPiNAnalysis[Nutrition], MATCH(tblPiNHistorical[[#This Row],[ID]], tblPiNAnalysis[ID], 0)), "")</f>
        <v/>
      </c>
      <c r="Z683" s="28" t="str">
        <f>IFERROR(INDEX(tblPiNAnalysis[Protection], MATCH(tblPiNHistorical[[#This Row],[ID]], tblPiNAnalysis[ID], 0)), "")</f>
        <v/>
      </c>
      <c r="AA683" s="28" t="str">
        <f>IFERROR(INDEX(tblPiNAnalysis[CP], MATCH(tblPiNHistorical[[#This Row],[ID]], tblPiNAnalysis[ID], 0)), "")</f>
        <v/>
      </c>
      <c r="AB683" s="83" t="str">
        <f>IFERROR(INDEX(tblPiNAnalysis[GBV], MATCH(tblPiNHistorical[[#This Row],[ID]], tblPiNAnalysis[ID], 0)), "")</f>
        <v/>
      </c>
      <c r="AC683" s="28" t="str">
        <f>IFERROR(INDEX(tblPiNAnalysis[Mine Action], MATCH(tblPiNHistorical[[#This Row],[ID]], tblPiNAnalysis[ID], 0)), "")</f>
        <v/>
      </c>
      <c r="AD683" s="83" t="str">
        <f>IFERROR(INDEX(tblPiNAnalysis[[Shelter NFI ]], MATCH(tblPiNHistorical[[#This Row],[ID]], tblPiNAnalysis[ID], 0)), "")</f>
        <v/>
      </c>
      <c r="AE683" s="28" t="str">
        <f>IFERROR(INDEX(tblPiNAnalysis[WASH], MATCH(tblPiNHistorical[[#This Row],[ID]], tblPiNAnalysis[ID], 0)), "")</f>
        <v/>
      </c>
      <c r="AF683"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683" s="136" t="str">
        <f>IF(OR(tblPiNHistorical[[#This Row],[Education Old]]="", tblPiNHistorical[[#This Row],[Education Old]]=0, tblPiNHistorical[[#This Row],[Education New]]="", tblPiNHistorical[[#This Row],[Education New]]=0), "", tblPiNHistorical[[#This Row],[Education New]]-tblPiNHistorical[[#This Row],[Education Old]])</f>
        <v/>
      </c>
      <c r="AH683"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683" s="137" t="str">
        <f>IF(OR(tblPiNHistorical[[#This Row],[Health Old]]="", tblPiNHistorical[[#This Row],[Health Old]]=0, tblPiNHistorical[[#This Row],[Health New]]="", tblPiNHistorical[[#This Row],[Health New]]=0), "", tblPiNHistorical[[#This Row],[Health New]]-tblPiNHistorical[[#This Row],[Health Old]])</f>
        <v/>
      </c>
      <c r="AJ683" s="136" t="str">
        <f>IF(OR(tblPiNHistorical[[#This Row],[Nutrition Old]]="", tblPiNHistorical[[#This Row],[Nutrition Old]]=0, tblPiNHistorical[[#This Row],[Nutrition New]]="", tblPiNHistorical[[#This Row],[Nutrition New]]=0), "", tblPiNHistorical[[#This Row],[Nutrition New]]-tblPiNHistorical[[#This Row],[Nutrition Old]])</f>
        <v/>
      </c>
      <c r="AK683" s="136" t="str">
        <f>IF(OR(tblPiNHistorical[[#This Row],[Protection Old]]="", tblPiNHistorical[[#This Row],[Protection Old]]=0, tblPiNHistorical[[#This Row],[Protection New]]="", tblPiNHistorical[[#This Row],[Protection New]]=0), "", tblPiNHistorical[[#This Row],[Protection New]]-tblPiNHistorical[[#This Row],[Protection Old]])</f>
        <v/>
      </c>
      <c r="AL683" s="136" t="str">
        <f>IF(OR(tblPiNHistorical[[#This Row],[CP Old ]]="", tblPiNHistorical[[#This Row],[CP Old ]]=0, tblPiNHistorical[[#This Row],[CP New]]="", tblPiNHistorical[[#This Row],[CP New]]=0), "", tblPiNHistorical[[#This Row],[CP New]]-tblPiNHistorical[[#This Row],[CP Old ]])</f>
        <v/>
      </c>
      <c r="AM683" s="83" t="str">
        <f>IF(OR(tblPiNHistorical[[#This Row],[GBV Old]]="", tblPiNHistorical[[#This Row],[GBV Old]]=0, tblPiNHistorical[[#This Row],[GBV New]]="", tblPiNHistorical[[#This Row],[GBV New]]=0), "", tblPiNHistorical[[#This Row],[GBV New]]-tblPiNHistorical[[#This Row],[GBV Old]])</f>
        <v/>
      </c>
      <c r="AN683" s="83" t="str">
        <f>IF(OR(tblPiNHistorical[[#This Row],[Mine Action Old]]="", tblPiNHistorical[[#This Row],[Mine Action Old]]=0, tblPiNHistorical[[#This Row],[Mine Action New]]="", tblPiNHistorical[[#This Row],[Mine Action New]]=0), "", tblPiNHistorical[[#This Row],[Mine Action New]]-tblPiNHistorical[[#This Row],[Mine Action Old]])</f>
        <v/>
      </c>
      <c r="AO683" s="136" t="str">
        <f>IF(OR(tblPiNHistorical[[#This Row],[Shelter NFI Old]]="", tblPiNHistorical[[#This Row],[Shelter NFI Old]]=0, tblPiNHistorical[[#This Row],[Shelter NFI New]]="", tblPiNHistorical[[#This Row],[Shelter NFI New]]=0), "", tblPiNHistorical[[#This Row],[Shelter NFI New]]-tblPiNHistorical[[#This Row],[Shelter NFI Old]])</f>
        <v/>
      </c>
      <c r="AP683" s="138" t="str">
        <f>IF(OR(tblPiNHistorical[[#This Row],[WASH Old]]="", tblPiNHistorical[[#This Row],[WASH Old]]=0, tblPiNHistorical[[#This Row],[WASH New]]="", tblPiNHistorical[[#This Row],[WASH New]]=0), "", tblPiNHistorical[[#This Row],[WASH New]]-tblPiNHistorical[[#This Row],[WASH Old]])</f>
        <v/>
      </c>
      <c r="AQ683" s="139" t="str">
        <f>IFERROR(ROUND((tblPiNHistorical[[#This Row],[Site Management - New]] - tblPiNHistorical[[#This Row],[Site Management - Old]])/tblPiNHistorical[[#This Row],[Site Management - Old]], 1), "")</f>
        <v/>
      </c>
      <c r="AR683" s="140" t="str">
        <f>IFERROR(ROUND((tblPiNHistorical[[#This Row],[Education New]]-tblPiNHistorical[[#This Row],[Education Old]])/tblPiNHistorical[[#This Row],[Education Old]], 1), "")</f>
        <v/>
      </c>
      <c r="AS683" s="141" t="str">
        <f>IFERROR(ROUND((tblPiNHistorical[[#This Row],[Food Security and Livlihoods New]]-tblPiNHistorical[[#This Row],[Food Security and Livlihoods Old]])/tblPiNHistorical[[#This Row],[Food Security and Livlihoods Old]], 1), "")</f>
        <v/>
      </c>
      <c r="AT683" s="142" t="str">
        <f>IFERROR(ROUND((tblPiNHistorical[[#This Row],[Health New]]-tblPiNHistorical[[#This Row],[Health Old]])/tblPiNHistorical[[#This Row],[Health Old]], 1), "")</f>
        <v/>
      </c>
      <c r="AU683" s="140" t="str">
        <f>IFERROR(ROUND((tblPiNHistorical[[#This Row],[Nutrition New]]-tblPiNHistorical[[#This Row],[Nutrition Old]])/tblPiNHistorical[[#This Row],[Nutrition Old]], 1), "")</f>
        <v/>
      </c>
      <c r="AV683" s="140" t="str">
        <f>IFERROR(ROUND((tblPiNHistorical[[#This Row],[Protection New]]-tblPiNHistorical[[#This Row],[Protection Old]])/tblPiNHistorical[[#This Row],[Protection Old]], 1), "")</f>
        <v/>
      </c>
      <c r="AW683" s="84" t="str">
        <f>IFERROR(ROUND((tblPiNHistorical[[#This Row],[CP New]]-tblPiNHistorical[[#This Row],[CP Old ]])/tblPiNHistorical[[#This Row],[CP Old ]], 1), "")</f>
        <v/>
      </c>
      <c r="AX683" s="84" t="str">
        <f>IFERROR(ROUND((tblPiNHistorical[[#This Row],[GBV New]]-tblPiNHistorical[[#This Row],[GBV Old]])/tblPiNHistorical[[#This Row],[GBV Old]], 1), "")</f>
        <v/>
      </c>
      <c r="AY683" s="84" t="str">
        <f>IFERROR(ROUND((tblPiNHistorical[[#This Row],[Mine Action New]]-tblPiNHistorical[[#This Row],[Mine Action Old]])/tblPiNHistorical[[#This Row],[Mine Action Old]], 1), "")</f>
        <v/>
      </c>
      <c r="AZ683" s="140" t="str">
        <f>IFERROR(ROUND((tblPiNHistorical[[#This Row],[Shelter NFI New]]-tblPiNHistorical[[#This Row],[Shelter NFI Old]])/tblPiNHistorical[[#This Row],[Shelter NFI Old]], 1), "")</f>
        <v/>
      </c>
      <c r="BA683" s="31" t="str">
        <f>IFERROR(ROUND((tblPiNHistorical[[#This Row],[WASH New]]-tblPiNHistorical[[#This Row],[WASH Old]])/tblPiNHistorical[[#This Row],[WASH Old]], 1), "")</f>
        <v/>
      </c>
    </row>
    <row r="684" spans="1:53" ht="38.25" x14ac:dyDescent="0.25">
      <c r="A684"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Non-displaced PopulationSD16009</v>
      </c>
      <c r="B684" s="134" t="s">
        <v>179</v>
      </c>
      <c r="C684" s="124" t="s">
        <v>133</v>
      </c>
      <c r="D684" s="124" t="s">
        <v>514</v>
      </c>
      <c r="E684" s="59" t="s">
        <v>515</v>
      </c>
      <c r="F684" s="54"/>
      <c r="G684" s="29"/>
      <c r="H684" s="53">
        <v>0</v>
      </c>
      <c r="I684" s="53" t="s">
        <v>89</v>
      </c>
      <c r="J684" s="34">
        <v>0</v>
      </c>
      <c r="K684" s="116">
        <v>0</v>
      </c>
      <c r="L684" s="114">
        <v>0</v>
      </c>
      <c r="M684" s="114">
        <v>4390</v>
      </c>
      <c r="N684" s="114">
        <v>14695</v>
      </c>
      <c r="O684" s="114">
        <v>0</v>
      </c>
      <c r="P684" s="114">
        <v>0</v>
      </c>
      <c r="Q684" s="114">
        <v>0</v>
      </c>
      <c r="R684" s="114">
        <v>0</v>
      </c>
      <c r="S684" s="114">
        <v>0</v>
      </c>
      <c r="T684" s="196">
        <v>0</v>
      </c>
      <c r="U684" s="52" t="str">
        <f>IFERROR(INDEX(tblPiNAnalysis[[Site Management ]], MATCH(tblPiNHistorical[[#This Row],[ID]], tblPiNAnalysis[ID], 0)), "")</f>
        <v/>
      </c>
      <c r="V684" s="52" t="str">
        <f>IFERROR(INDEX(tblPiNAnalysis[Education], MATCH(tblPiNHistorical[[#This Row],[ID]], tblPiNAnalysis[ID], 0)), "")</f>
        <v/>
      </c>
      <c r="W684" s="28" t="str">
        <f>IFERROR(INDEX(tblPiNAnalysis[Food Security and Livlihoods], MATCH(tblPiNHistorical[[#This Row],[ID]], tblPiNAnalysis[ID], 0)), "")</f>
        <v/>
      </c>
      <c r="X684" s="28" t="str">
        <f>IFERROR(INDEX(tblPiNAnalysis[[Health ]], MATCH(tblPiNHistorical[[#This Row],[ID]], tblPiNAnalysis[ID], 0)), "")</f>
        <v/>
      </c>
      <c r="Y684" s="28" t="str">
        <f>IFERROR(INDEX(tblPiNAnalysis[Nutrition], MATCH(tblPiNHistorical[[#This Row],[ID]], tblPiNAnalysis[ID], 0)), "")</f>
        <v/>
      </c>
      <c r="Z684" s="28" t="str">
        <f>IFERROR(INDEX(tblPiNAnalysis[Protection], MATCH(tblPiNHistorical[[#This Row],[ID]], tblPiNAnalysis[ID], 0)), "")</f>
        <v/>
      </c>
      <c r="AA684" s="28" t="str">
        <f>IFERROR(INDEX(tblPiNAnalysis[CP], MATCH(tblPiNHistorical[[#This Row],[ID]], tblPiNAnalysis[ID], 0)), "")</f>
        <v/>
      </c>
      <c r="AB684" s="83" t="str">
        <f>IFERROR(INDEX(tblPiNAnalysis[GBV], MATCH(tblPiNHistorical[[#This Row],[ID]], tblPiNAnalysis[ID], 0)), "")</f>
        <v/>
      </c>
      <c r="AC684" s="28" t="str">
        <f>IFERROR(INDEX(tblPiNAnalysis[Mine Action], MATCH(tblPiNHistorical[[#This Row],[ID]], tblPiNAnalysis[ID], 0)), "")</f>
        <v/>
      </c>
      <c r="AD684" s="83" t="str">
        <f>IFERROR(INDEX(tblPiNAnalysis[[Shelter NFI ]], MATCH(tblPiNHistorical[[#This Row],[ID]], tblPiNAnalysis[ID], 0)), "")</f>
        <v/>
      </c>
      <c r="AE684" s="28" t="str">
        <f>IFERROR(INDEX(tblPiNAnalysis[WASH], MATCH(tblPiNHistorical[[#This Row],[ID]], tblPiNAnalysis[ID], 0)), "")</f>
        <v/>
      </c>
      <c r="AF684"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684" s="136" t="str">
        <f>IF(OR(tblPiNHistorical[[#This Row],[Education Old]]="", tblPiNHistorical[[#This Row],[Education Old]]=0, tblPiNHistorical[[#This Row],[Education New]]="", tblPiNHistorical[[#This Row],[Education New]]=0), "", tblPiNHistorical[[#This Row],[Education New]]-tblPiNHistorical[[#This Row],[Education Old]])</f>
        <v/>
      </c>
      <c r="AH684"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684" s="137" t="str">
        <f>IF(OR(tblPiNHistorical[[#This Row],[Health Old]]="", tblPiNHistorical[[#This Row],[Health Old]]=0, tblPiNHistorical[[#This Row],[Health New]]="", tblPiNHistorical[[#This Row],[Health New]]=0), "", tblPiNHistorical[[#This Row],[Health New]]-tblPiNHistorical[[#This Row],[Health Old]])</f>
        <v/>
      </c>
      <c r="AJ684" s="136" t="str">
        <f>IF(OR(tblPiNHistorical[[#This Row],[Nutrition Old]]="", tblPiNHistorical[[#This Row],[Nutrition Old]]=0, tblPiNHistorical[[#This Row],[Nutrition New]]="", tblPiNHistorical[[#This Row],[Nutrition New]]=0), "", tblPiNHistorical[[#This Row],[Nutrition New]]-tblPiNHistorical[[#This Row],[Nutrition Old]])</f>
        <v/>
      </c>
      <c r="AK684" s="136" t="str">
        <f>IF(OR(tblPiNHistorical[[#This Row],[Protection Old]]="", tblPiNHistorical[[#This Row],[Protection Old]]=0, tblPiNHistorical[[#This Row],[Protection New]]="", tblPiNHistorical[[#This Row],[Protection New]]=0), "", tblPiNHistorical[[#This Row],[Protection New]]-tblPiNHistorical[[#This Row],[Protection Old]])</f>
        <v/>
      </c>
      <c r="AL684" s="136" t="str">
        <f>IF(OR(tblPiNHistorical[[#This Row],[CP Old ]]="", tblPiNHistorical[[#This Row],[CP Old ]]=0, tblPiNHistorical[[#This Row],[CP New]]="", tblPiNHistorical[[#This Row],[CP New]]=0), "", tblPiNHistorical[[#This Row],[CP New]]-tblPiNHistorical[[#This Row],[CP Old ]])</f>
        <v/>
      </c>
      <c r="AM684" s="83" t="str">
        <f>IF(OR(tblPiNHistorical[[#This Row],[GBV Old]]="", tblPiNHistorical[[#This Row],[GBV Old]]=0, tblPiNHistorical[[#This Row],[GBV New]]="", tblPiNHistorical[[#This Row],[GBV New]]=0), "", tblPiNHistorical[[#This Row],[GBV New]]-tblPiNHistorical[[#This Row],[GBV Old]])</f>
        <v/>
      </c>
      <c r="AN684" s="83" t="str">
        <f>IF(OR(tblPiNHistorical[[#This Row],[Mine Action Old]]="", tblPiNHistorical[[#This Row],[Mine Action Old]]=0, tblPiNHistorical[[#This Row],[Mine Action New]]="", tblPiNHistorical[[#This Row],[Mine Action New]]=0), "", tblPiNHistorical[[#This Row],[Mine Action New]]-tblPiNHistorical[[#This Row],[Mine Action Old]])</f>
        <v/>
      </c>
      <c r="AO684" s="136" t="str">
        <f>IF(OR(tblPiNHistorical[[#This Row],[Shelter NFI Old]]="", tblPiNHistorical[[#This Row],[Shelter NFI Old]]=0, tblPiNHistorical[[#This Row],[Shelter NFI New]]="", tblPiNHistorical[[#This Row],[Shelter NFI New]]=0), "", tblPiNHistorical[[#This Row],[Shelter NFI New]]-tblPiNHistorical[[#This Row],[Shelter NFI Old]])</f>
        <v/>
      </c>
      <c r="AP684" s="138" t="str">
        <f>IF(OR(tblPiNHistorical[[#This Row],[WASH Old]]="", tblPiNHistorical[[#This Row],[WASH Old]]=0, tblPiNHistorical[[#This Row],[WASH New]]="", tblPiNHistorical[[#This Row],[WASH New]]=0), "", tblPiNHistorical[[#This Row],[WASH New]]-tblPiNHistorical[[#This Row],[WASH Old]])</f>
        <v/>
      </c>
      <c r="AQ684" s="139" t="str">
        <f>IFERROR(ROUND((tblPiNHistorical[[#This Row],[Site Management - New]] - tblPiNHistorical[[#This Row],[Site Management - Old]])/tblPiNHistorical[[#This Row],[Site Management - Old]], 1), "")</f>
        <v/>
      </c>
      <c r="AR684" s="140" t="str">
        <f>IFERROR(ROUND((tblPiNHistorical[[#This Row],[Education New]]-tblPiNHistorical[[#This Row],[Education Old]])/tblPiNHistorical[[#This Row],[Education Old]], 1), "")</f>
        <v/>
      </c>
      <c r="AS684" s="141" t="str">
        <f>IFERROR(ROUND((tblPiNHistorical[[#This Row],[Food Security and Livlihoods New]]-tblPiNHistorical[[#This Row],[Food Security and Livlihoods Old]])/tblPiNHistorical[[#This Row],[Food Security and Livlihoods Old]], 1), "")</f>
        <v/>
      </c>
      <c r="AT684" s="142" t="str">
        <f>IFERROR(ROUND((tblPiNHistorical[[#This Row],[Health New]]-tblPiNHistorical[[#This Row],[Health Old]])/tblPiNHistorical[[#This Row],[Health Old]], 1), "")</f>
        <v/>
      </c>
      <c r="AU684" s="140" t="str">
        <f>IFERROR(ROUND((tblPiNHistorical[[#This Row],[Nutrition New]]-tblPiNHistorical[[#This Row],[Nutrition Old]])/tblPiNHistorical[[#This Row],[Nutrition Old]], 1), "")</f>
        <v/>
      </c>
      <c r="AV684" s="140" t="str">
        <f>IFERROR(ROUND((tblPiNHistorical[[#This Row],[Protection New]]-tblPiNHistorical[[#This Row],[Protection Old]])/tblPiNHistorical[[#This Row],[Protection Old]], 1), "")</f>
        <v/>
      </c>
      <c r="AW684" s="84" t="str">
        <f>IFERROR(ROUND((tblPiNHistorical[[#This Row],[CP New]]-tblPiNHistorical[[#This Row],[CP Old ]])/tblPiNHistorical[[#This Row],[CP Old ]], 1), "")</f>
        <v/>
      </c>
      <c r="AX684" s="84" t="str">
        <f>IFERROR(ROUND((tblPiNHistorical[[#This Row],[GBV New]]-tblPiNHistorical[[#This Row],[GBV Old]])/tblPiNHistorical[[#This Row],[GBV Old]], 1), "")</f>
        <v/>
      </c>
      <c r="AY684" s="84" t="str">
        <f>IFERROR(ROUND((tblPiNHistorical[[#This Row],[Mine Action New]]-tblPiNHistorical[[#This Row],[Mine Action Old]])/tblPiNHistorical[[#This Row],[Mine Action Old]], 1), "")</f>
        <v/>
      </c>
      <c r="AZ684" s="140" t="str">
        <f>IFERROR(ROUND((tblPiNHistorical[[#This Row],[Shelter NFI New]]-tblPiNHistorical[[#This Row],[Shelter NFI Old]])/tblPiNHistorical[[#This Row],[Shelter NFI Old]], 1), "")</f>
        <v/>
      </c>
      <c r="BA684" s="31" t="str">
        <f>IFERROR(ROUND((tblPiNHistorical[[#This Row],[WASH New]]-tblPiNHistorical[[#This Row],[WASH Old]])/tblPiNHistorical[[#This Row],[WASH Old]], 1), "")</f>
        <v/>
      </c>
    </row>
    <row r="685" spans="1:53" ht="38.25" x14ac:dyDescent="0.25">
      <c r="A685"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Non-displaced PopulationSD16012</v>
      </c>
      <c r="B685" s="134" t="s">
        <v>179</v>
      </c>
      <c r="C685" s="124" t="s">
        <v>133</v>
      </c>
      <c r="D685" s="124" t="s">
        <v>520</v>
      </c>
      <c r="E685" s="59" t="s">
        <v>521</v>
      </c>
      <c r="F685" s="54"/>
      <c r="G685" s="29"/>
      <c r="H685" s="53">
        <v>0</v>
      </c>
      <c r="I685" s="53" t="s">
        <v>89</v>
      </c>
      <c r="J685" s="34">
        <v>0</v>
      </c>
      <c r="K685" s="116">
        <v>0</v>
      </c>
      <c r="L685" s="114">
        <v>0</v>
      </c>
      <c r="M685" s="114">
        <v>2410</v>
      </c>
      <c r="N685" s="114">
        <v>4556</v>
      </c>
      <c r="O685" s="114">
        <v>0</v>
      </c>
      <c r="P685" s="114">
        <v>0</v>
      </c>
      <c r="Q685" s="114">
        <v>0</v>
      </c>
      <c r="R685" s="114">
        <v>0</v>
      </c>
      <c r="S685" s="114">
        <v>0</v>
      </c>
      <c r="T685" s="196">
        <v>0</v>
      </c>
      <c r="U685" s="52" t="str">
        <f>IFERROR(INDEX(tblPiNAnalysis[[Site Management ]], MATCH(tblPiNHistorical[[#This Row],[ID]], tblPiNAnalysis[ID], 0)), "")</f>
        <v/>
      </c>
      <c r="V685" s="52" t="str">
        <f>IFERROR(INDEX(tblPiNAnalysis[Education], MATCH(tblPiNHistorical[[#This Row],[ID]], tblPiNAnalysis[ID], 0)), "")</f>
        <v/>
      </c>
      <c r="W685" s="28" t="str">
        <f>IFERROR(INDEX(tblPiNAnalysis[Food Security and Livlihoods], MATCH(tblPiNHistorical[[#This Row],[ID]], tblPiNAnalysis[ID], 0)), "")</f>
        <v/>
      </c>
      <c r="X685" s="28" t="str">
        <f>IFERROR(INDEX(tblPiNAnalysis[[Health ]], MATCH(tblPiNHistorical[[#This Row],[ID]], tblPiNAnalysis[ID], 0)), "")</f>
        <v/>
      </c>
      <c r="Y685" s="28" t="str">
        <f>IFERROR(INDEX(tblPiNAnalysis[Nutrition], MATCH(tblPiNHistorical[[#This Row],[ID]], tblPiNAnalysis[ID], 0)), "")</f>
        <v/>
      </c>
      <c r="Z685" s="28" t="str">
        <f>IFERROR(INDEX(tblPiNAnalysis[Protection], MATCH(tblPiNHistorical[[#This Row],[ID]], tblPiNAnalysis[ID], 0)), "")</f>
        <v/>
      </c>
      <c r="AA685" s="28" t="str">
        <f>IFERROR(INDEX(tblPiNAnalysis[CP], MATCH(tblPiNHistorical[[#This Row],[ID]], tblPiNAnalysis[ID], 0)), "")</f>
        <v/>
      </c>
      <c r="AB685" s="83" t="str">
        <f>IFERROR(INDEX(tblPiNAnalysis[GBV], MATCH(tblPiNHistorical[[#This Row],[ID]], tblPiNAnalysis[ID], 0)), "")</f>
        <v/>
      </c>
      <c r="AC685" s="28" t="str">
        <f>IFERROR(INDEX(tblPiNAnalysis[Mine Action], MATCH(tblPiNHistorical[[#This Row],[ID]], tblPiNAnalysis[ID], 0)), "")</f>
        <v/>
      </c>
      <c r="AD685" s="83" t="str">
        <f>IFERROR(INDEX(tblPiNAnalysis[[Shelter NFI ]], MATCH(tblPiNHistorical[[#This Row],[ID]], tblPiNAnalysis[ID], 0)), "")</f>
        <v/>
      </c>
      <c r="AE685" s="28" t="str">
        <f>IFERROR(INDEX(tblPiNAnalysis[WASH], MATCH(tblPiNHistorical[[#This Row],[ID]], tblPiNAnalysis[ID], 0)), "")</f>
        <v/>
      </c>
      <c r="AF685"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685" s="136" t="str">
        <f>IF(OR(tblPiNHistorical[[#This Row],[Education Old]]="", tblPiNHistorical[[#This Row],[Education Old]]=0, tblPiNHistorical[[#This Row],[Education New]]="", tblPiNHistorical[[#This Row],[Education New]]=0), "", tblPiNHistorical[[#This Row],[Education New]]-tblPiNHistorical[[#This Row],[Education Old]])</f>
        <v/>
      </c>
      <c r="AH685"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685" s="137" t="str">
        <f>IF(OR(tblPiNHistorical[[#This Row],[Health Old]]="", tblPiNHistorical[[#This Row],[Health Old]]=0, tblPiNHistorical[[#This Row],[Health New]]="", tblPiNHistorical[[#This Row],[Health New]]=0), "", tblPiNHistorical[[#This Row],[Health New]]-tblPiNHistorical[[#This Row],[Health Old]])</f>
        <v/>
      </c>
      <c r="AJ685" s="136" t="str">
        <f>IF(OR(tblPiNHistorical[[#This Row],[Nutrition Old]]="", tblPiNHistorical[[#This Row],[Nutrition Old]]=0, tblPiNHistorical[[#This Row],[Nutrition New]]="", tblPiNHistorical[[#This Row],[Nutrition New]]=0), "", tblPiNHistorical[[#This Row],[Nutrition New]]-tblPiNHistorical[[#This Row],[Nutrition Old]])</f>
        <v/>
      </c>
      <c r="AK685" s="136" t="str">
        <f>IF(OR(tblPiNHistorical[[#This Row],[Protection Old]]="", tblPiNHistorical[[#This Row],[Protection Old]]=0, tblPiNHistorical[[#This Row],[Protection New]]="", tblPiNHistorical[[#This Row],[Protection New]]=0), "", tblPiNHistorical[[#This Row],[Protection New]]-tblPiNHistorical[[#This Row],[Protection Old]])</f>
        <v/>
      </c>
      <c r="AL685" s="136" t="str">
        <f>IF(OR(tblPiNHistorical[[#This Row],[CP Old ]]="", tblPiNHistorical[[#This Row],[CP Old ]]=0, tblPiNHistorical[[#This Row],[CP New]]="", tblPiNHistorical[[#This Row],[CP New]]=0), "", tblPiNHistorical[[#This Row],[CP New]]-tblPiNHistorical[[#This Row],[CP Old ]])</f>
        <v/>
      </c>
      <c r="AM685" s="83" t="str">
        <f>IF(OR(tblPiNHistorical[[#This Row],[GBV Old]]="", tblPiNHistorical[[#This Row],[GBV Old]]=0, tblPiNHistorical[[#This Row],[GBV New]]="", tblPiNHistorical[[#This Row],[GBV New]]=0), "", tblPiNHistorical[[#This Row],[GBV New]]-tblPiNHistorical[[#This Row],[GBV Old]])</f>
        <v/>
      </c>
      <c r="AN685" s="83" t="str">
        <f>IF(OR(tblPiNHistorical[[#This Row],[Mine Action Old]]="", tblPiNHistorical[[#This Row],[Mine Action Old]]=0, tblPiNHistorical[[#This Row],[Mine Action New]]="", tblPiNHistorical[[#This Row],[Mine Action New]]=0), "", tblPiNHistorical[[#This Row],[Mine Action New]]-tblPiNHistorical[[#This Row],[Mine Action Old]])</f>
        <v/>
      </c>
      <c r="AO685" s="136" t="str">
        <f>IF(OR(tblPiNHistorical[[#This Row],[Shelter NFI Old]]="", tblPiNHistorical[[#This Row],[Shelter NFI Old]]=0, tblPiNHistorical[[#This Row],[Shelter NFI New]]="", tblPiNHistorical[[#This Row],[Shelter NFI New]]=0), "", tblPiNHistorical[[#This Row],[Shelter NFI New]]-tblPiNHistorical[[#This Row],[Shelter NFI Old]])</f>
        <v/>
      </c>
      <c r="AP685" s="138" t="str">
        <f>IF(OR(tblPiNHistorical[[#This Row],[WASH Old]]="", tblPiNHistorical[[#This Row],[WASH Old]]=0, tblPiNHistorical[[#This Row],[WASH New]]="", tblPiNHistorical[[#This Row],[WASH New]]=0), "", tblPiNHistorical[[#This Row],[WASH New]]-tblPiNHistorical[[#This Row],[WASH Old]])</f>
        <v/>
      </c>
      <c r="AQ685" s="139" t="str">
        <f>IFERROR(ROUND((tblPiNHistorical[[#This Row],[Site Management - New]] - tblPiNHistorical[[#This Row],[Site Management - Old]])/tblPiNHistorical[[#This Row],[Site Management - Old]], 1), "")</f>
        <v/>
      </c>
      <c r="AR685" s="140" t="str">
        <f>IFERROR(ROUND((tblPiNHistorical[[#This Row],[Education New]]-tblPiNHistorical[[#This Row],[Education Old]])/tblPiNHistorical[[#This Row],[Education Old]], 1), "")</f>
        <v/>
      </c>
      <c r="AS685" s="141" t="str">
        <f>IFERROR(ROUND((tblPiNHistorical[[#This Row],[Food Security and Livlihoods New]]-tblPiNHistorical[[#This Row],[Food Security and Livlihoods Old]])/tblPiNHistorical[[#This Row],[Food Security and Livlihoods Old]], 1), "")</f>
        <v/>
      </c>
      <c r="AT685" s="142" t="str">
        <f>IFERROR(ROUND((tblPiNHistorical[[#This Row],[Health New]]-tblPiNHistorical[[#This Row],[Health Old]])/tblPiNHistorical[[#This Row],[Health Old]], 1), "")</f>
        <v/>
      </c>
      <c r="AU685" s="140" t="str">
        <f>IFERROR(ROUND((tblPiNHistorical[[#This Row],[Nutrition New]]-tblPiNHistorical[[#This Row],[Nutrition Old]])/tblPiNHistorical[[#This Row],[Nutrition Old]], 1), "")</f>
        <v/>
      </c>
      <c r="AV685" s="140" t="str">
        <f>IFERROR(ROUND((tblPiNHistorical[[#This Row],[Protection New]]-tblPiNHistorical[[#This Row],[Protection Old]])/tblPiNHistorical[[#This Row],[Protection Old]], 1), "")</f>
        <v/>
      </c>
      <c r="AW685" s="84" t="str">
        <f>IFERROR(ROUND((tblPiNHistorical[[#This Row],[CP New]]-tblPiNHistorical[[#This Row],[CP Old ]])/tblPiNHistorical[[#This Row],[CP Old ]], 1), "")</f>
        <v/>
      </c>
      <c r="AX685" s="84" t="str">
        <f>IFERROR(ROUND((tblPiNHistorical[[#This Row],[GBV New]]-tblPiNHistorical[[#This Row],[GBV Old]])/tblPiNHistorical[[#This Row],[GBV Old]], 1), "")</f>
        <v/>
      </c>
      <c r="AY685" s="84" t="str">
        <f>IFERROR(ROUND((tblPiNHistorical[[#This Row],[Mine Action New]]-tblPiNHistorical[[#This Row],[Mine Action Old]])/tblPiNHistorical[[#This Row],[Mine Action Old]], 1), "")</f>
        <v/>
      </c>
      <c r="AZ685" s="140" t="str">
        <f>IFERROR(ROUND((tblPiNHistorical[[#This Row],[Shelter NFI New]]-tblPiNHistorical[[#This Row],[Shelter NFI Old]])/tblPiNHistorical[[#This Row],[Shelter NFI Old]], 1), "")</f>
        <v/>
      </c>
      <c r="BA685" s="31" t="str">
        <f>IFERROR(ROUND((tblPiNHistorical[[#This Row],[WASH New]]-tblPiNHistorical[[#This Row],[WASH Old]])/tblPiNHistorical[[#This Row],[WASH Old]], 1), "")</f>
        <v/>
      </c>
    </row>
    <row r="686" spans="1:53" ht="38.25" x14ac:dyDescent="0.25">
      <c r="A686"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Non-displaced PopulationSD16013</v>
      </c>
      <c r="B686" s="134" t="s">
        <v>179</v>
      </c>
      <c r="C686" s="124" t="s">
        <v>133</v>
      </c>
      <c r="D686" s="124" t="s">
        <v>522</v>
      </c>
      <c r="E686" s="59" t="s">
        <v>523</v>
      </c>
      <c r="F686" s="54"/>
      <c r="G686" s="29"/>
      <c r="H686" s="53">
        <v>0</v>
      </c>
      <c r="I686" s="53" t="s">
        <v>89</v>
      </c>
      <c r="J686" s="34">
        <v>0</v>
      </c>
      <c r="K686" s="116">
        <v>0</v>
      </c>
      <c r="L686" s="114">
        <v>0</v>
      </c>
      <c r="M686" s="114">
        <v>21065</v>
      </c>
      <c r="N686" s="114">
        <v>22819</v>
      </c>
      <c r="O686" s="114">
        <v>0</v>
      </c>
      <c r="P686" s="114">
        <v>0</v>
      </c>
      <c r="Q686" s="114">
        <v>0</v>
      </c>
      <c r="R686" s="114">
        <v>0</v>
      </c>
      <c r="S686" s="114">
        <v>0</v>
      </c>
      <c r="T686" s="196">
        <v>0</v>
      </c>
      <c r="U686" s="52" t="str">
        <f>IFERROR(INDEX(tblPiNAnalysis[[Site Management ]], MATCH(tblPiNHistorical[[#This Row],[ID]], tblPiNAnalysis[ID], 0)), "")</f>
        <v/>
      </c>
      <c r="V686" s="52" t="str">
        <f>IFERROR(INDEX(tblPiNAnalysis[Education], MATCH(tblPiNHistorical[[#This Row],[ID]], tblPiNAnalysis[ID], 0)), "")</f>
        <v/>
      </c>
      <c r="W686" s="28" t="str">
        <f>IFERROR(INDEX(tblPiNAnalysis[Food Security and Livlihoods], MATCH(tblPiNHistorical[[#This Row],[ID]], tblPiNAnalysis[ID], 0)), "")</f>
        <v/>
      </c>
      <c r="X686" s="28" t="str">
        <f>IFERROR(INDEX(tblPiNAnalysis[[Health ]], MATCH(tblPiNHistorical[[#This Row],[ID]], tblPiNAnalysis[ID], 0)), "")</f>
        <v/>
      </c>
      <c r="Y686" s="28" t="str">
        <f>IFERROR(INDEX(tblPiNAnalysis[Nutrition], MATCH(tblPiNHistorical[[#This Row],[ID]], tblPiNAnalysis[ID], 0)), "")</f>
        <v/>
      </c>
      <c r="Z686" s="28" t="str">
        <f>IFERROR(INDEX(tblPiNAnalysis[Protection], MATCH(tblPiNHistorical[[#This Row],[ID]], tblPiNAnalysis[ID], 0)), "")</f>
        <v/>
      </c>
      <c r="AA686" s="28" t="str">
        <f>IFERROR(INDEX(tblPiNAnalysis[CP], MATCH(tblPiNHistorical[[#This Row],[ID]], tblPiNAnalysis[ID], 0)), "")</f>
        <v/>
      </c>
      <c r="AB686" s="83" t="str">
        <f>IFERROR(INDEX(tblPiNAnalysis[GBV], MATCH(tblPiNHistorical[[#This Row],[ID]], tblPiNAnalysis[ID], 0)), "")</f>
        <v/>
      </c>
      <c r="AC686" s="28" t="str">
        <f>IFERROR(INDEX(tblPiNAnalysis[Mine Action], MATCH(tblPiNHistorical[[#This Row],[ID]], tblPiNAnalysis[ID], 0)), "")</f>
        <v/>
      </c>
      <c r="AD686" s="83" t="str">
        <f>IFERROR(INDEX(tblPiNAnalysis[[Shelter NFI ]], MATCH(tblPiNHistorical[[#This Row],[ID]], tblPiNAnalysis[ID], 0)), "")</f>
        <v/>
      </c>
      <c r="AE686" s="28" t="str">
        <f>IFERROR(INDEX(tblPiNAnalysis[WASH], MATCH(tblPiNHistorical[[#This Row],[ID]], tblPiNAnalysis[ID], 0)), "")</f>
        <v/>
      </c>
      <c r="AF686"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686" s="136" t="str">
        <f>IF(OR(tblPiNHistorical[[#This Row],[Education Old]]="", tblPiNHistorical[[#This Row],[Education Old]]=0, tblPiNHistorical[[#This Row],[Education New]]="", tblPiNHistorical[[#This Row],[Education New]]=0), "", tblPiNHistorical[[#This Row],[Education New]]-tblPiNHistorical[[#This Row],[Education Old]])</f>
        <v/>
      </c>
      <c r="AH686"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686" s="137" t="str">
        <f>IF(OR(tblPiNHistorical[[#This Row],[Health Old]]="", tblPiNHistorical[[#This Row],[Health Old]]=0, tblPiNHistorical[[#This Row],[Health New]]="", tblPiNHistorical[[#This Row],[Health New]]=0), "", tblPiNHistorical[[#This Row],[Health New]]-tblPiNHistorical[[#This Row],[Health Old]])</f>
        <v/>
      </c>
      <c r="AJ686" s="136" t="str">
        <f>IF(OR(tblPiNHistorical[[#This Row],[Nutrition Old]]="", tblPiNHistorical[[#This Row],[Nutrition Old]]=0, tblPiNHistorical[[#This Row],[Nutrition New]]="", tblPiNHistorical[[#This Row],[Nutrition New]]=0), "", tblPiNHistorical[[#This Row],[Nutrition New]]-tblPiNHistorical[[#This Row],[Nutrition Old]])</f>
        <v/>
      </c>
      <c r="AK686" s="136" t="str">
        <f>IF(OR(tblPiNHistorical[[#This Row],[Protection Old]]="", tblPiNHistorical[[#This Row],[Protection Old]]=0, tblPiNHistorical[[#This Row],[Protection New]]="", tblPiNHistorical[[#This Row],[Protection New]]=0), "", tblPiNHistorical[[#This Row],[Protection New]]-tblPiNHistorical[[#This Row],[Protection Old]])</f>
        <v/>
      </c>
      <c r="AL686" s="136" t="str">
        <f>IF(OR(tblPiNHistorical[[#This Row],[CP Old ]]="", tblPiNHistorical[[#This Row],[CP Old ]]=0, tblPiNHistorical[[#This Row],[CP New]]="", tblPiNHistorical[[#This Row],[CP New]]=0), "", tblPiNHistorical[[#This Row],[CP New]]-tblPiNHistorical[[#This Row],[CP Old ]])</f>
        <v/>
      </c>
      <c r="AM686" s="83" t="str">
        <f>IF(OR(tblPiNHistorical[[#This Row],[GBV Old]]="", tblPiNHistorical[[#This Row],[GBV Old]]=0, tblPiNHistorical[[#This Row],[GBV New]]="", tblPiNHistorical[[#This Row],[GBV New]]=0), "", tblPiNHistorical[[#This Row],[GBV New]]-tblPiNHistorical[[#This Row],[GBV Old]])</f>
        <v/>
      </c>
      <c r="AN686" s="83" t="str">
        <f>IF(OR(tblPiNHistorical[[#This Row],[Mine Action Old]]="", tblPiNHistorical[[#This Row],[Mine Action Old]]=0, tblPiNHistorical[[#This Row],[Mine Action New]]="", tblPiNHistorical[[#This Row],[Mine Action New]]=0), "", tblPiNHistorical[[#This Row],[Mine Action New]]-tblPiNHistorical[[#This Row],[Mine Action Old]])</f>
        <v/>
      </c>
      <c r="AO686" s="136" t="str">
        <f>IF(OR(tblPiNHistorical[[#This Row],[Shelter NFI Old]]="", tblPiNHistorical[[#This Row],[Shelter NFI Old]]=0, tblPiNHistorical[[#This Row],[Shelter NFI New]]="", tblPiNHistorical[[#This Row],[Shelter NFI New]]=0), "", tblPiNHistorical[[#This Row],[Shelter NFI New]]-tblPiNHistorical[[#This Row],[Shelter NFI Old]])</f>
        <v/>
      </c>
      <c r="AP686" s="138" t="str">
        <f>IF(OR(tblPiNHistorical[[#This Row],[WASH Old]]="", tblPiNHistorical[[#This Row],[WASH Old]]=0, tblPiNHistorical[[#This Row],[WASH New]]="", tblPiNHistorical[[#This Row],[WASH New]]=0), "", tblPiNHistorical[[#This Row],[WASH New]]-tblPiNHistorical[[#This Row],[WASH Old]])</f>
        <v/>
      </c>
      <c r="AQ686" s="139" t="str">
        <f>IFERROR(ROUND((tblPiNHistorical[[#This Row],[Site Management - New]] - tblPiNHistorical[[#This Row],[Site Management - Old]])/tblPiNHistorical[[#This Row],[Site Management - Old]], 1), "")</f>
        <v/>
      </c>
      <c r="AR686" s="140" t="str">
        <f>IFERROR(ROUND((tblPiNHistorical[[#This Row],[Education New]]-tblPiNHistorical[[#This Row],[Education Old]])/tblPiNHistorical[[#This Row],[Education Old]], 1), "")</f>
        <v/>
      </c>
      <c r="AS686" s="141" t="str">
        <f>IFERROR(ROUND((tblPiNHistorical[[#This Row],[Food Security and Livlihoods New]]-tblPiNHistorical[[#This Row],[Food Security and Livlihoods Old]])/tblPiNHistorical[[#This Row],[Food Security and Livlihoods Old]], 1), "")</f>
        <v/>
      </c>
      <c r="AT686" s="142" t="str">
        <f>IFERROR(ROUND((tblPiNHistorical[[#This Row],[Health New]]-tblPiNHistorical[[#This Row],[Health Old]])/tblPiNHistorical[[#This Row],[Health Old]], 1), "")</f>
        <v/>
      </c>
      <c r="AU686" s="140" t="str">
        <f>IFERROR(ROUND((tblPiNHistorical[[#This Row],[Nutrition New]]-tblPiNHistorical[[#This Row],[Nutrition Old]])/tblPiNHistorical[[#This Row],[Nutrition Old]], 1), "")</f>
        <v/>
      </c>
      <c r="AV686" s="140" t="str">
        <f>IFERROR(ROUND((tblPiNHistorical[[#This Row],[Protection New]]-tblPiNHistorical[[#This Row],[Protection Old]])/tblPiNHistorical[[#This Row],[Protection Old]], 1), "")</f>
        <v/>
      </c>
      <c r="AW686" s="84" t="str">
        <f>IFERROR(ROUND((tblPiNHistorical[[#This Row],[CP New]]-tblPiNHistorical[[#This Row],[CP Old ]])/tblPiNHistorical[[#This Row],[CP Old ]], 1), "")</f>
        <v/>
      </c>
      <c r="AX686" s="84" t="str">
        <f>IFERROR(ROUND((tblPiNHistorical[[#This Row],[GBV New]]-tblPiNHistorical[[#This Row],[GBV Old]])/tblPiNHistorical[[#This Row],[GBV Old]], 1), "")</f>
        <v/>
      </c>
      <c r="AY686" s="84" t="str">
        <f>IFERROR(ROUND((tblPiNHistorical[[#This Row],[Mine Action New]]-tblPiNHistorical[[#This Row],[Mine Action Old]])/tblPiNHistorical[[#This Row],[Mine Action Old]], 1), "")</f>
        <v/>
      </c>
      <c r="AZ686" s="140" t="str">
        <f>IFERROR(ROUND((tblPiNHistorical[[#This Row],[Shelter NFI New]]-tblPiNHistorical[[#This Row],[Shelter NFI Old]])/tblPiNHistorical[[#This Row],[Shelter NFI Old]], 1), "")</f>
        <v/>
      </c>
      <c r="BA686" s="31" t="str">
        <f>IFERROR(ROUND((tblPiNHistorical[[#This Row],[WASH New]]-tblPiNHistorical[[#This Row],[WASH Old]])/tblPiNHistorical[[#This Row],[WASH Old]], 1), "")</f>
        <v/>
      </c>
    </row>
    <row r="687" spans="1:53" ht="38.25" x14ac:dyDescent="0.25">
      <c r="A687"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Non-displaced PopulationSD16010</v>
      </c>
      <c r="B687" s="134" t="s">
        <v>179</v>
      </c>
      <c r="C687" s="124" t="s">
        <v>133</v>
      </c>
      <c r="D687" s="124" t="s">
        <v>516</v>
      </c>
      <c r="E687" s="59" t="s">
        <v>517</v>
      </c>
      <c r="F687" s="54"/>
      <c r="G687" s="29"/>
      <c r="H687" s="53">
        <v>0</v>
      </c>
      <c r="I687" s="53" t="s">
        <v>89</v>
      </c>
      <c r="J687" s="34">
        <v>0</v>
      </c>
      <c r="K687" s="116">
        <v>0</v>
      </c>
      <c r="L687" s="114">
        <v>0</v>
      </c>
      <c r="M687" s="114">
        <v>11440</v>
      </c>
      <c r="N687" s="114">
        <v>43648</v>
      </c>
      <c r="O687" s="114">
        <v>0</v>
      </c>
      <c r="P687" s="114">
        <v>0</v>
      </c>
      <c r="Q687" s="114">
        <v>0</v>
      </c>
      <c r="R687" s="114">
        <v>0</v>
      </c>
      <c r="S687" s="114">
        <v>0</v>
      </c>
      <c r="T687" s="196">
        <v>0</v>
      </c>
      <c r="U687" s="52" t="str">
        <f>IFERROR(INDEX(tblPiNAnalysis[[Site Management ]], MATCH(tblPiNHistorical[[#This Row],[ID]], tblPiNAnalysis[ID], 0)), "")</f>
        <v/>
      </c>
      <c r="V687" s="52" t="str">
        <f>IFERROR(INDEX(tblPiNAnalysis[Education], MATCH(tblPiNHistorical[[#This Row],[ID]], tblPiNAnalysis[ID], 0)), "")</f>
        <v/>
      </c>
      <c r="W687" s="28" t="str">
        <f>IFERROR(INDEX(tblPiNAnalysis[Food Security and Livlihoods], MATCH(tblPiNHistorical[[#This Row],[ID]], tblPiNAnalysis[ID], 0)), "")</f>
        <v/>
      </c>
      <c r="X687" s="28" t="str">
        <f>IFERROR(INDEX(tblPiNAnalysis[[Health ]], MATCH(tblPiNHistorical[[#This Row],[ID]], tblPiNAnalysis[ID], 0)), "")</f>
        <v/>
      </c>
      <c r="Y687" s="28" t="str">
        <f>IFERROR(INDEX(tblPiNAnalysis[Nutrition], MATCH(tblPiNHistorical[[#This Row],[ID]], tblPiNAnalysis[ID], 0)), "")</f>
        <v/>
      </c>
      <c r="Z687" s="28" t="str">
        <f>IFERROR(INDEX(tblPiNAnalysis[Protection], MATCH(tblPiNHistorical[[#This Row],[ID]], tblPiNAnalysis[ID], 0)), "")</f>
        <v/>
      </c>
      <c r="AA687" s="28" t="str">
        <f>IFERROR(INDEX(tblPiNAnalysis[CP], MATCH(tblPiNHistorical[[#This Row],[ID]], tblPiNAnalysis[ID], 0)), "")</f>
        <v/>
      </c>
      <c r="AB687" s="83" t="str">
        <f>IFERROR(INDEX(tblPiNAnalysis[GBV], MATCH(tblPiNHistorical[[#This Row],[ID]], tblPiNAnalysis[ID], 0)), "")</f>
        <v/>
      </c>
      <c r="AC687" s="28" t="str">
        <f>IFERROR(INDEX(tblPiNAnalysis[Mine Action], MATCH(tblPiNHistorical[[#This Row],[ID]], tblPiNAnalysis[ID], 0)), "")</f>
        <v/>
      </c>
      <c r="AD687" s="83" t="str">
        <f>IFERROR(INDEX(tblPiNAnalysis[[Shelter NFI ]], MATCH(tblPiNHistorical[[#This Row],[ID]], tblPiNAnalysis[ID], 0)), "")</f>
        <v/>
      </c>
      <c r="AE687" s="28" t="str">
        <f>IFERROR(INDEX(tblPiNAnalysis[WASH], MATCH(tblPiNHistorical[[#This Row],[ID]], tblPiNAnalysis[ID], 0)), "")</f>
        <v/>
      </c>
      <c r="AF687"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687" s="136" t="str">
        <f>IF(OR(tblPiNHistorical[[#This Row],[Education Old]]="", tblPiNHistorical[[#This Row],[Education Old]]=0, tblPiNHistorical[[#This Row],[Education New]]="", tblPiNHistorical[[#This Row],[Education New]]=0), "", tblPiNHistorical[[#This Row],[Education New]]-tblPiNHistorical[[#This Row],[Education Old]])</f>
        <v/>
      </c>
      <c r="AH687"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687" s="137" t="str">
        <f>IF(OR(tblPiNHistorical[[#This Row],[Health Old]]="", tblPiNHistorical[[#This Row],[Health Old]]=0, tblPiNHistorical[[#This Row],[Health New]]="", tblPiNHistorical[[#This Row],[Health New]]=0), "", tblPiNHistorical[[#This Row],[Health New]]-tblPiNHistorical[[#This Row],[Health Old]])</f>
        <v/>
      </c>
      <c r="AJ687" s="136" t="str">
        <f>IF(OR(tblPiNHistorical[[#This Row],[Nutrition Old]]="", tblPiNHistorical[[#This Row],[Nutrition Old]]=0, tblPiNHistorical[[#This Row],[Nutrition New]]="", tblPiNHistorical[[#This Row],[Nutrition New]]=0), "", tblPiNHistorical[[#This Row],[Nutrition New]]-tblPiNHistorical[[#This Row],[Nutrition Old]])</f>
        <v/>
      </c>
      <c r="AK687" s="136" t="str">
        <f>IF(OR(tblPiNHistorical[[#This Row],[Protection Old]]="", tblPiNHistorical[[#This Row],[Protection Old]]=0, tblPiNHistorical[[#This Row],[Protection New]]="", tblPiNHistorical[[#This Row],[Protection New]]=0), "", tblPiNHistorical[[#This Row],[Protection New]]-tblPiNHistorical[[#This Row],[Protection Old]])</f>
        <v/>
      </c>
      <c r="AL687" s="136" t="str">
        <f>IF(OR(tblPiNHistorical[[#This Row],[CP Old ]]="", tblPiNHistorical[[#This Row],[CP Old ]]=0, tblPiNHistorical[[#This Row],[CP New]]="", tblPiNHistorical[[#This Row],[CP New]]=0), "", tblPiNHistorical[[#This Row],[CP New]]-tblPiNHistorical[[#This Row],[CP Old ]])</f>
        <v/>
      </c>
      <c r="AM687" s="83" t="str">
        <f>IF(OR(tblPiNHistorical[[#This Row],[GBV Old]]="", tblPiNHistorical[[#This Row],[GBV Old]]=0, tblPiNHistorical[[#This Row],[GBV New]]="", tblPiNHistorical[[#This Row],[GBV New]]=0), "", tblPiNHistorical[[#This Row],[GBV New]]-tblPiNHistorical[[#This Row],[GBV Old]])</f>
        <v/>
      </c>
      <c r="AN687" s="83" t="str">
        <f>IF(OR(tblPiNHistorical[[#This Row],[Mine Action Old]]="", tblPiNHistorical[[#This Row],[Mine Action Old]]=0, tblPiNHistorical[[#This Row],[Mine Action New]]="", tblPiNHistorical[[#This Row],[Mine Action New]]=0), "", tblPiNHistorical[[#This Row],[Mine Action New]]-tblPiNHistorical[[#This Row],[Mine Action Old]])</f>
        <v/>
      </c>
      <c r="AO687" s="136" t="str">
        <f>IF(OR(tblPiNHistorical[[#This Row],[Shelter NFI Old]]="", tblPiNHistorical[[#This Row],[Shelter NFI Old]]=0, tblPiNHistorical[[#This Row],[Shelter NFI New]]="", tblPiNHistorical[[#This Row],[Shelter NFI New]]=0), "", tblPiNHistorical[[#This Row],[Shelter NFI New]]-tblPiNHistorical[[#This Row],[Shelter NFI Old]])</f>
        <v/>
      </c>
      <c r="AP687" s="138" t="str">
        <f>IF(OR(tblPiNHistorical[[#This Row],[WASH Old]]="", tblPiNHistorical[[#This Row],[WASH Old]]=0, tblPiNHistorical[[#This Row],[WASH New]]="", tblPiNHistorical[[#This Row],[WASH New]]=0), "", tblPiNHistorical[[#This Row],[WASH New]]-tblPiNHistorical[[#This Row],[WASH Old]])</f>
        <v/>
      </c>
      <c r="AQ687" s="139" t="str">
        <f>IFERROR(ROUND((tblPiNHistorical[[#This Row],[Site Management - New]] - tblPiNHistorical[[#This Row],[Site Management - Old]])/tblPiNHistorical[[#This Row],[Site Management - Old]], 1), "")</f>
        <v/>
      </c>
      <c r="AR687" s="140" t="str">
        <f>IFERROR(ROUND((tblPiNHistorical[[#This Row],[Education New]]-tblPiNHistorical[[#This Row],[Education Old]])/tblPiNHistorical[[#This Row],[Education Old]], 1), "")</f>
        <v/>
      </c>
      <c r="AS687" s="141" t="str">
        <f>IFERROR(ROUND((tblPiNHistorical[[#This Row],[Food Security and Livlihoods New]]-tblPiNHistorical[[#This Row],[Food Security and Livlihoods Old]])/tblPiNHistorical[[#This Row],[Food Security and Livlihoods Old]], 1), "")</f>
        <v/>
      </c>
      <c r="AT687" s="142" t="str">
        <f>IFERROR(ROUND((tblPiNHistorical[[#This Row],[Health New]]-tblPiNHistorical[[#This Row],[Health Old]])/tblPiNHistorical[[#This Row],[Health Old]], 1), "")</f>
        <v/>
      </c>
      <c r="AU687" s="140" t="str">
        <f>IFERROR(ROUND((tblPiNHistorical[[#This Row],[Nutrition New]]-tblPiNHistorical[[#This Row],[Nutrition Old]])/tblPiNHistorical[[#This Row],[Nutrition Old]], 1), "")</f>
        <v/>
      </c>
      <c r="AV687" s="140" t="str">
        <f>IFERROR(ROUND((tblPiNHistorical[[#This Row],[Protection New]]-tblPiNHistorical[[#This Row],[Protection Old]])/tblPiNHistorical[[#This Row],[Protection Old]], 1), "")</f>
        <v/>
      </c>
      <c r="AW687" s="84" t="str">
        <f>IFERROR(ROUND((tblPiNHistorical[[#This Row],[CP New]]-tblPiNHistorical[[#This Row],[CP Old ]])/tblPiNHistorical[[#This Row],[CP Old ]], 1), "")</f>
        <v/>
      </c>
      <c r="AX687" s="84" t="str">
        <f>IFERROR(ROUND((tblPiNHistorical[[#This Row],[GBV New]]-tblPiNHistorical[[#This Row],[GBV Old]])/tblPiNHistorical[[#This Row],[GBV Old]], 1), "")</f>
        <v/>
      </c>
      <c r="AY687" s="84" t="str">
        <f>IFERROR(ROUND((tblPiNHistorical[[#This Row],[Mine Action New]]-tblPiNHistorical[[#This Row],[Mine Action Old]])/tblPiNHistorical[[#This Row],[Mine Action Old]], 1), "")</f>
        <v/>
      </c>
      <c r="AZ687" s="140" t="str">
        <f>IFERROR(ROUND((tblPiNHistorical[[#This Row],[Shelter NFI New]]-tblPiNHistorical[[#This Row],[Shelter NFI Old]])/tblPiNHistorical[[#This Row],[Shelter NFI Old]], 1), "")</f>
        <v/>
      </c>
      <c r="BA687" s="31" t="str">
        <f>IFERROR(ROUND((tblPiNHistorical[[#This Row],[WASH New]]-tblPiNHistorical[[#This Row],[WASH Old]])/tblPiNHistorical[[#This Row],[WASH Old]], 1), "")</f>
        <v/>
      </c>
    </row>
    <row r="688" spans="1:53" ht="38.25" x14ac:dyDescent="0.25">
      <c r="A688"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Non-displaced PopulationSD14037</v>
      </c>
      <c r="B688" s="134" t="s">
        <v>182</v>
      </c>
      <c r="C688" s="124" t="s">
        <v>131</v>
      </c>
      <c r="D688" s="124" t="s">
        <v>483</v>
      </c>
      <c r="E688" s="59" t="s">
        <v>484</v>
      </c>
      <c r="F688" s="54"/>
      <c r="G688" s="29"/>
      <c r="H688" s="53">
        <v>32274</v>
      </c>
      <c r="I688" s="53" t="s">
        <v>89</v>
      </c>
      <c r="J688" s="34">
        <v>0</v>
      </c>
      <c r="K688" s="116">
        <v>12512.629799999999</v>
      </c>
      <c r="L688" s="114">
        <v>11295.9</v>
      </c>
      <c r="M688" s="114">
        <v>12225</v>
      </c>
      <c r="N688" s="114">
        <v>13251</v>
      </c>
      <c r="O688" s="114">
        <v>3550.1400000000003</v>
      </c>
      <c r="P688" s="114">
        <v>3550</v>
      </c>
      <c r="Q688" s="114">
        <v>0</v>
      </c>
      <c r="R688" s="114">
        <v>0</v>
      </c>
      <c r="S688" s="114">
        <v>6455</v>
      </c>
      <c r="T688" s="196">
        <v>27536.176799999997</v>
      </c>
      <c r="U688" s="52" t="str">
        <f>IFERROR(INDEX(tblPiNAnalysis[[Site Management ]], MATCH(tblPiNHistorical[[#This Row],[ID]], tblPiNAnalysis[ID], 0)), "")</f>
        <v/>
      </c>
      <c r="V688" s="52" t="str">
        <f>IFERROR(INDEX(tblPiNAnalysis[Education], MATCH(tblPiNHistorical[[#This Row],[ID]], tblPiNAnalysis[ID], 0)), "")</f>
        <v/>
      </c>
      <c r="W688" s="28" t="str">
        <f>IFERROR(INDEX(tblPiNAnalysis[Food Security and Livlihoods], MATCH(tblPiNHistorical[[#This Row],[ID]], tblPiNAnalysis[ID], 0)), "")</f>
        <v/>
      </c>
      <c r="X688" s="28" t="str">
        <f>IFERROR(INDEX(tblPiNAnalysis[[Health ]], MATCH(tblPiNHistorical[[#This Row],[ID]], tblPiNAnalysis[ID], 0)), "")</f>
        <v/>
      </c>
      <c r="Y688" s="28" t="str">
        <f>IFERROR(INDEX(tblPiNAnalysis[Nutrition], MATCH(tblPiNHistorical[[#This Row],[ID]], tblPiNAnalysis[ID], 0)), "")</f>
        <v/>
      </c>
      <c r="Z688" s="28" t="str">
        <f>IFERROR(INDEX(tblPiNAnalysis[Protection], MATCH(tblPiNHistorical[[#This Row],[ID]], tblPiNAnalysis[ID], 0)), "")</f>
        <v/>
      </c>
      <c r="AA688" s="28" t="str">
        <f>IFERROR(INDEX(tblPiNAnalysis[CP], MATCH(tblPiNHistorical[[#This Row],[ID]], tblPiNAnalysis[ID], 0)), "")</f>
        <v/>
      </c>
      <c r="AB688" s="83" t="str">
        <f>IFERROR(INDEX(tblPiNAnalysis[GBV], MATCH(tblPiNHistorical[[#This Row],[ID]], tblPiNAnalysis[ID], 0)), "")</f>
        <v/>
      </c>
      <c r="AC688" s="28" t="str">
        <f>IFERROR(INDEX(tblPiNAnalysis[Mine Action], MATCH(tblPiNHistorical[[#This Row],[ID]], tblPiNAnalysis[ID], 0)), "")</f>
        <v/>
      </c>
      <c r="AD688" s="83" t="str">
        <f>IFERROR(INDEX(tblPiNAnalysis[[Shelter NFI ]], MATCH(tblPiNHistorical[[#This Row],[ID]], tblPiNAnalysis[ID], 0)), "")</f>
        <v/>
      </c>
      <c r="AE688" s="28" t="str">
        <f>IFERROR(INDEX(tblPiNAnalysis[WASH], MATCH(tblPiNHistorical[[#This Row],[ID]], tblPiNAnalysis[ID], 0)), "")</f>
        <v/>
      </c>
      <c r="AF688"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688" s="136" t="str">
        <f>IF(OR(tblPiNHistorical[[#This Row],[Education Old]]="", tblPiNHistorical[[#This Row],[Education Old]]=0, tblPiNHistorical[[#This Row],[Education New]]="", tblPiNHistorical[[#This Row],[Education New]]=0), "", tblPiNHistorical[[#This Row],[Education New]]-tblPiNHistorical[[#This Row],[Education Old]])</f>
        <v/>
      </c>
      <c r="AH688"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688" s="137" t="str">
        <f>IF(OR(tblPiNHistorical[[#This Row],[Health Old]]="", tblPiNHistorical[[#This Row],[Health Old]]=0, tblPiNHistorical[[#This Row],[Health New]]="", tblPiNHistorical[[#This Row],[Health New]]=0), "", tblPiNHistorical[[#This Row],[Health New]]-tblPiNHistorical[[#This Row],[Health Old]])</f>
        <v/>
      </c>
      <c r="AJ688" s="136" t="str">
        <f>IF(OR(tblPiNHistorical[[#This Row],[Nutrition Old]]="", tblPiNHistorical[[#This Row],[Nutrition Old]]=0, tblPiNHistorical[[#This Row],[Nutrition New]]="", tblPiNHistorical[[#This Row],[Nutrition New]]=0), "", tblPiNHistorical[[#This Row],[Nutrition New]]-tblPiNHistorical[[#This Row],[Nutrition Old]])</f>
        <v/>
      </c>
      <c r="AK688" s="136" t="str">
        <f>IF(OR(tblPiNHistorical[[#This Row],[Protection Old]]="", tblPiNHistorical[[#This Row],[Protection Old]]=0, tblPiNHistorical[[#This Row],[Protection New]]="", tblPiNHistorical[[#This Row],[Protection New]]=0), "", tblPiNHistorical[[#This Row],[Protection New]]-tblPiNHistorical[[#This Row],[Protection Old]])</f>
        <v/>
      </c>
      <c r="AL688" s="136" t="str">
        <f>IF(OR(tblPiNHistorical[[#This Row],[CP Old ]]="", tblPiNHistorical[[#This Row],[CP Old ]]=0, tblPiNHistorical[[#This Row],[CP New]]="", tblPiNHistorical[[#This Row],[CP New]]=0), "", tblPiNHistorical[[#This Row],[CP New]]-tblPiNHistorical[[#This Row],[CP Old ]])</f>
        <v/>
      </c>
      <c r="AM688" s="83" t="str">
        <f>IF(OR(tblPiNHistorical[[#This Row],[GBV Old]]="", tblPiNHistorical[[#This Row],[GBV Old]]=0, tblPiNHistorical[[#This Row],[GBV New]]="", tblPiNHistorical[[#This Row],[GBV New]]=0), "", tblPiNHistorical[[#This Row],[GBV New]]-tblPiNHistorical[[#This Row],[GBV Old]])</f>
        <v/>
      </c>
      <c r="AN688" s="83" t="str">
        <f>IF(OR(tblPiNHistorical[[#This Row],[Mine Action Old]]="", tblPiNHistorical[[#This Row],[Mine Action Old]]=0, tblPiNHistorical[[#This Row],[Mine Action New]]="", tblPiNHistorical[[#This Row],[Mine Action New]]=0), "", tblPiNHistorical[[#This Row],[Mine Action New]]-tblPiNHistorical[[#This Row],[Mine Action Old]])</f>
        <v/>
      </c>
      <c r="AO688" s="136" t="str">
        <f>IF(OR(tblPiNHistorical[[#This Row],[Shelter NFI Old]]="", tblPiNHistorical[[#This Row],[Shelter NFI Old]]=0, tblPiNHistorical[[#This Row],[Shelter NFI New]]="", tblPiNHistorical[[#This Row],[Shelter NFI New]]=0), "", tblPiNHistorical[[#This Row],[Shelter NFI New]]-tblPiNHistorical[[#This Row],[Shelter NFI Old]])</f>
        <v/>
      </c>
      <c r="AP688" s="138" t="str">
        <f>IF(OR(tblPiNHistorical[[#This Row],[WASH Old]]="", tblPiNHistorical[[#This Row],[WASH Old]]=0, tblPiNHistorical[[#This Row],[WASH New]]="", tblPiNHistorical[[#This Row],[WASH New]]=0), "", tblPiNHistorical[[#This Row],[WASH New]]-tblPiNHistorical[[#This Row],[WASH Old]])</f>
        <v/>
      </c>
      <c r="AQ688" s="139" t="str">
        <f>IFERROR(ROUND((tblPiNHistorical[[#This Row],[Site Management - New]] - tblPiNHistorical[[#This Row],[Site Management - Old]])/tblPiNHistorical[[#This Row],[Site Management - Old]], 1), "")</f>
        <v/>
      </c>
      <c r="AR688" s="140" t="str">
        <f>IFERROR(ROUND((tblPiNHistorical[[#This Row],[Education New]]-tblPiNHistorical[[#This Row],[Education Old]])/tblPiNHistorical[[#This Row],[Education Old]], 1), "")</f>
        <v/>
      </c>
      <c r="AS688" s="141" t="str">
        <f>IFERROR(ROUND((tblPiNHistorical[[#This Row],[Food Security and Livlihoods New]]-tblPiNHistorical[[#This Row],[Food Security and Livlihoods Old]])/tblPiNHistorical[[#This Row],[Food Security and Livlihoods Old]], 1), "")</f>
        <v/>
      </c>
      <c r="AT688" s="142" t="str">
        <f>IFERROR(ROUND((tblPiNHistorical[[#This Row],[Health New]]-tblPiNHistorical[[#This Row],[Health Old]])/tblPiNHistorical[[#This Row],[Health Old]], 1), "")</f>
        <v/>
      </c>
      <c r="AU688" s="140" t="str">
        <f>IFERROR(ROUND((tblPiNHistorical[[#This Row],[Nutrition New]]-tblPiNHistorical[[#This Row],[Nutrition Old]])/tblPiNHistorical[[#This Row],[Nutrition Old]], 1), "")</f>
        <v/>
      </c>
      <c r="AV688" s="140" t="str">
        <f>IFERROR(ROUND((tblPiNHistorical[[#This Row],[Protection New]]-tblPiNHistorical[[#This Row],[Protection Old]])/tblPiNHistorical[[#This Row],[Protection Old]], 1), "")</f>
        <v/>
      </c>
      <c r="AW688" s="84" t="str">
        <f>IFERROR(ROUND((tblPiNHistorical[[#This Row],[CP New]]-tblPiNHistorical[[#This Row],[CP Old ]])/tblPiNHistorical[[#This Row],[CP Old ]], 1), "")</f>
        <v/>
      </c>
      <c r="AX688" s="84" t="str">
        <f>IFERROR(ROUND((tblPiNHistorical[[#This Row],[GBV New]]-tblPiNHistorical[[#This Row],[GBV Old]])/tblPiNHistorical[[#This Row],[GBV Old]], 1), "")</f>
        <v/>
      </c>
      <c r="AY688" s="84" t="str">
        <f>IFERROR(ROUND((tblPiNHistorical[[#This Row],[Mine Action New]]-tblPiNHistorical[[#This Row],[Mine Action Old]])/tblPiNHistorical[[#This Row],[Mine Action Old]], 1), "")</f>
        <v/>
      </c>
      <c r="AZ688" s="140" t="str">
        <f>IFERROR(ROUND((tblPiNHistorical[[#This Row],[Shelter NFI New]]-tblPiNHistorical[[#This Row],[Shelter NFI Old]])/tblPiNHistorical[[#This Row],[Shelter NFI Old]], 1), "")</f>
        <v/>
      </c>
      <c r="BA688" s="31" t="str">
        <f>IFERROR(ROUND((tblPiNHistorical[[#This Row],[WASH New]]-tblPiNHistorical[[#This Row],[WASH Old]])/tblPiNHistorical[[#This Row],[WASH Old]], 1), "")</f>
        <v/>
      </c>
    </row>
    <row r="689" spans="1:53" ht="38.25" x14ac:dyDescent="0.25">
      <c r="A689"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Non-displaced PopulationSD14039</v>
      </c>
      <c r="B689" s="134" t="s">
        <v>182</v>
      </c>
      <c r="C689" s="124" t="s">
        <v>131</v>
      </c>
      <c r="D689" s="124" t="s">
        <v>486</v>
      </c>
      <c r="E689" s="59" t="s">
        <v>487</v>
      </c>
      <c r="F689" s="54"/>
      <c r="G689" s="29"/>
      <c r="H689" s="53">
        <v>21798</v>
      </c>
      <c r="I689" s="53" t="s">
        <v>89</v>
      </c>
      <c r="J689" s="34">
        <v>0</v>
      </c>
      <c r="K689" s="116">
        <v>8451.0846000000001</v>
      </c>
      <c r="L689" s="114">
        <v>16079.252607</v>
      </c>
      <c r="M689" s="114">
        <v>8630</v>
      </c>
      <c r="N689" s="114">
        <v>8151</v>
      </c>
      <c r="O689" s="114">
        <v>2397.7800000000002</v>
      </c>
      <c r="P689" s="114">
        <v>2398</v>
      </c>
      <c r="Q689" s="114">
        <v>0</v>
      </c>
      <c r="R689" s="114">
        <v>0</v>
      </c>
      <c r="S689" s="114">
        <v>4360</v>
      </c>
      <c r="T689" s="196">
        <v>20394.2088</v>
      </c>
      <c r="U689" s="52" t="str">
        <f>IFERROR(INDEX(tblPiNAnalysis[[Site Management ]], MATCH(tblPiNHistorical[[#This Row],[ID]], tblPiNAnalysis[ID], 0)), "")</f>
        <v/>
      </c>
      <c r="V689" s="52" t="str">
        <f>IFERROR(INDEX(tblPiNAnalysis[Education], MATCH(tblPiNHistorical[[#This Row],[ID]], tblPiNAnalysis[ID], 0)), "")</f>
        <v/>
      </c>
      <c r="W689" s="28" t="str">
        <f>IFERROR(INDEX(tblPiNAnalysis[Food Security and Livlihoods], MATCH(tblPiNHistorical[[#This Row],[ID]], tblPiNAnalysis[ID], 0)), "")</f>
        <v/>
      </c>
      <c r="X689" s="28" t="str">
        <f>IFERROR(INDEX(tblPiNAnalysis[[Health ]], MATCH(tblPiNHistorical[[#This Row],[ID]], tblPiNAnalysis[ID], 0)), "")</f>
        <v/>
      </c>
      <c r="Y689" s="28" t="str">
        <f>IFERROR(INDEX(tblPiNAnalysis[Nutrition], MATCH(tblPiNHistorical[[#This Row],[ID]], tblPiNAnalysis[ID], 0)), "")</f>
        <v/>
      </c>
      <c r="Z689" s="28" t="str">
        <f>IFERROR(INDEX(tblPiNAnalysis[Protection], MATCH(tblPiNHistorical[[#This Row],[ID]], tblPiNAnalysis[ID], 0)), "")</f>
        <v/>
      </c>
      <c r="AA689" s="28" t="str">
        <f>IFERROR(INDEX(tblPiNAnalysis[CP], MATCH(tblPiNHistorical[[#This Row],[ID]], tblPiNAnalysis[ID], 0)), "")</f>
        <v/>
      </c>
      <c r="AB689" s="83" t="str">
        <f>IFERROR(INDEX(tblPiNAnalysis[GBV], MATCH(tblPiNHistorical[[#This Row],[ID]], tblPiNAnalysis[ID], 0)), "")</f>
        <v/>
      </c>
      <c r="AC689" s="28" t="str">
        <f>IFERROR(INDEX(tblPiNAnalysis[Mine Action], MATCH(tblPiNHistorical[[#This Row],[ID]], tblPiNAnalysis[ID], 0)), "")</f>
        <v/>
      </c>
      <c r="AD689" s="83" t="str">
        <f>IFERROR(INDEX(tblPiNAnalysis[[Shelter NFI ]], MATCH(tblPiNHistorical[[#This Row],[ID]], tblPiNAnalysis[ID], 0)), "")</f>
        <v/>
      </c>
      <c r="AE689" s="28" t="str">
        <f>IFERROR(INDEX(tblPiNAnalysis[WASH], MATCH(tblPiNHistorical[[#This Row],[ID]], tblPiNAnalysis[ID], 0)), "")</f>
        <v/>
      </c>
      <c r="AF689"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689" s="136" t="str">
        <f>IF(OR(tblPiNHistorical[[#This Row],[Education Old]]="", tblPiNHistorical[[#This Row],[Education Old]]=0, tblPiNHistorical[[#This Row],[Education New]]="", tblPiNHistorical[[#This Row],[Education New]]=0), "", tblPiNHistorical[[#This Row],[Education New]]-tblPiNHistorical[[#This Row],[Education Old]])</f>
        <v/>
      </c>
      <c r="AH689"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689" s="137" t="str">
        <f>IF(OR(tblPiNHistorical[[#This Row],[Health Old]]="", tblPiNHistorical[[#This Row],[Health Old]]=0, tblPiNHistorical[[#This Row],[Health New]]="", tblPiNHistorical[[#This Row],[Health New]]=0), "", tblPiNHistorical[[#This Row],[Health New]]-tblPiNHistorical[[#This Row],[Health Old]])</f>
        <v/>
      </c>
      <c r="AJ689" s="136" t="str">
        <f>IF(OR(tblPiNHistorical[[#This Row],[Nutrition Old]]="", tblPiNHistorical[[#This Row],[Nutrition Old]]=0, tblPiNHistorical[[#This Row],[Nutrition New]]="", tblPiNHistorical[[#This Row],[Nutrition New]]=0), "", tblPiNHistorical[[#This Row],[Nutrition New]]-tblPiNHistorical[[#This Row],[Nutrition Old]])</f>
        <v/>
      </c>
      <c r="AK689" s="136" t="str">
        <f>IF(OR(tblPiNHistorical[[#This Row],[Protection Old]]="", tblPiNHistorical[[#This Row],[Protection Old]]=0, tblPiNHistorical[[#This Row],[Protection New]]="", tblPiNHistorical[[#This Row],[Protection New]]=0), "", tblPiNHistorical[[#This Row],[Protection New]]-tblPiNHistorical[[#This Row],[Protection Old]])</f>
        <v/>
      </c>
      <c r="AL689" s="136" t="str">
        <f>IF(OR(tblPiNHistorical[[#This Row],[CP Old ]]="", tblPiNHistorical[[#This Row],[CP Old ]]=0, tblPiNHistorical[[#This Row],[CP New]]="", tblPiNHistorical[[#This Row],[CP New]]=0), "", tblPiNHistorical[[#This Row],[CP New]]-tblPiNHistorical[[#This Row],[CP Old ]])</f>
        <v/>
      </c>
      <c r="AM689" s="83" t="str">
        <f>IF(OR(tblPiNHistorical[[#This Row],[GBV Old]]="", tblPiNHistorical[[#This Row],[GBV Old]]=0, tblPiNHistorical[[#This Row],[GBV New]]="", tblPiNHistorical[[#This Row],[GBV New]]=0), "", tblPiNHistorical[[#This Row],[GBV New]]-tblPiNHistorical[[#This Row],[GBV Old]])</f>
        <v/>
      </c>
      <c r="AN689" s="83" t="str">
        <f>IF(OR(tblPiNHistorical[[#This Row],[Mine Action Old]]="", tblPiNHistorical[[#This Row],[Mine Action Old]]=0, tblPiNHistorical[[#This Row],[Mine Action New]]="", tblPiNHistorical[[#This Row],[Mine Action New]]=0), "", tblPiNHistorical[[#This Row],[Mine Action New]]-tblPiNHistorical[[#This Row],[Mine Action Old]])</f>
        <v/>
      </c>
      <c r="AO689" s="136" t="str">
        <f>IF(OR(tblPiNHistorical[[#This Row],[Shelter NFI Old]]="", tblPiNHistorical[[#This Row],[Shelter NFI Old]]=0, tblPiNHistorical[[#This Row],[Shelter NFI New]]="", tblPiNHistorical[[#This Row],[Shelter NFI New]]=0), "", tblPiNHistorical[[#This Row],[Shelter NFI New]]-tblPiNHistorical[[#This Row],[Shelter NFI Old]])</f>
        <v/>
      </c>
      <c r="AP689" s="138" t="str">
        <f>IF(OR(tblPiNHistorical[[#This Row],[WASH Old]]="", tblPiNHistorical[[#This Row],[WASH Old]]=0, tblPiNHistorical[[#This Row],[WASH New]]="", tblPiNHistorical[[#This Row],[WASH New]]=0), "", tblPiNHistorical[[#This Row],[WASH New]]-tblPiNHistorical[[#This Row],[WASH Old]])</f>
        <v/>
      </c>
      <c r="AQ689" s="139" t="str">
        <f>IFERROR(ROUND((tblPiNHistorical[[#This Row],[Site Management - New]] - tblPiNHistorical[[#This Row],[Site Management - Old]])/tblPiNHistorical[[#This Row],[Site Management - Old]], 1), "")</f>
        <v/>
      </c>
      <c r="AR689" s="140" t="str">
        <f>IFERROR(ROUND((tblPiNHistorical[[#This Row],[Education New]]-tblPiNHistorical[[#This Row],[Education Old]])/tblPiNHistorical[[#This Row],[Education Old]], 1), "")</f>
        <v/>
      </c>
      <c r="AS689" s="141" t="str">
        <f>IFERROR(ROUND((tblPiNHistorical[[#This Row],[Food Security and Livlihoods New]]-tblPiNHistorical[[#This Row],[Food Security and Livlihoods Old]])/tblPiNHistorical[[#This Row],[Food Security and Livlihoods Old]], 1), "")</f>
        <v/>
      </c>
      <c r="AT689" s="142" t="str">
        <f>IFERROR(ROUND((tblPiNHistorical[[#This Row],[Health New]]-tblPiNHistorical[[#This Row],[Health Old]])/tblPiNHistorical[[#This Row],[Health Old]], 1), "")</f>
        <v/>
      </c>
      <c r="AU689" s="140" t="str">
        <f>IFERROR(ROUND((tblPiNHistorical[[#This Row],[Nutrition New]]-tblPiNHistorical[[#This Row],[Nutrition Old]])/tblPiNHistorical[[#This Row],[Nutrition Old]], 1), "")</f>
        <v/>
      </c>
      <c r="AV689" s="140" t="str">
        <f>IFERROR(ROUND((tblPiNHistorical[[#This Row],[Protection New]]-tblPiNHistorical[[#This Row],[Protection Old]])/tblPiNHistorical[[#This Row],[Protection Old]], 1), "")</f>
        <v/>
      </c>
      <c r="AW689" s="84" t="str">
        <f>IFERROR(ROUND((tblPiNHistorical[[#This Row],[CP New]]-tblPiNHistorical[[#This Row],[CP Old ]])/tblPiNHistorical[[#This Row],[CP Old ]], 1), "")</f>
        <v/>
      </c>
      <c r="AX689" s="84" t="str">
        <f>IFERROR(ROUND((tblPiNHistorical[[#This Row],[GBV New]]-tblPiNHistorical[[#This Row],[GBV Old]])/tblPiNHistorical[[#This Row],[GBV Old]], 1), "")</f>
        <v/>
      </c>
      <c r="AY689" s="84" t="str">
        <f>IFERROR(ROUND((tblPiNHistorical[[#This Row],[Mine Action New]]-tblPiNHistorical[[#This Row],[Mine Action Old]])/tblPiNHistorical[[#This Row],[Mine Action Old]], 1), "")</f>
        <v/>
      </c>
      <c r="AZ689" s="140" t="str">
        <f>IFERROR(ROUND((tblPiNHistorical[[#This Row],[Shelter NFI New]]-tblPiNHistorical[[#This Row],[Shelter NFI Old]])/tblPiNHistorical[[#This Row],[Shelter NFI Old]], 1), "")</f>
        <v/>
      </c>
      <c r="BA689" s="31" t="str">
        <f>IFERROR(ROUND((tblPiNHistorical[[#This Row],[WASH New]]-tblPiNHistorical[[#This Row],[WASH Old]])/tblPiNHistorical[[#This Row],[WASH Old]], 1), "")</f>
        <v/>
      </c>
    </row>
    <row r="690" spans="1:53" ht="38.25" x14ac:dyDescent="0.25">
      <c r="A690"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Non-displaced PopulationSD14040</v>
      </c>
      <c r="B690" s="134" t="s">
        <v>182</v>
      </c>
      <c r="C690" s="124" t="s">
        <v>131</v>
      </c>
      <c r="D690" s="124" t="s">
        <v>488</v>
      </c>
      <c r="E690" s="59" t="s">
        <v>489</v>
      </c>
      <c r="F690" s="54"/>
      <c r="G690" s="29"/>
      <c r="H690" s="53">
        <v>37744</v>
      </c>
      <c r="I690" s="53" t="s">
        <v>89</v>
      </c>
      <c r="J690" s="34">
        <v>0</v>
      </c>
      <c r="K690" s="116">
        <v>14633.3488</v>
      </c>
      <c r="L690" s="114">
        <v>11323.2</v>
      </c>
      <c r="M690" s="114">
        <v>0</v>
      </c>
      <c r="N690" s="114">
        <v>19390</v>
      </c>
      <c r="O690" s="114">
        <v>4151.84</v>
      </c>
      <c r="P690" s="114">
        <v>4152</v>
      </c>
      <c r="Q690" s="114">
        <v>0</v>
      </c>
      <c r="R690" s="114">
        <v>0</v>
      </c>
      <c r="S690" s="114">
        <v>7549</v>
      </c>
      <c r="T690" s="196">
        <v>32656.108799999998</v>
      </c>
      <c r="U690" s="52" t="str">
        <f>IFERROR(INDEX(tblPiNAnalysis[[Site Management ]], MATCH(tblPiNHistorical[[#This Row],[ID]], tblPiNAnalysis[ID], 0)), "")</f>
        <v/>
      </c>
      <c r="V690" s="52" t="str">
        <f>IFERROR(INDEX(tblPiNAnalysis[Education], MATCH(tblPiNHistorical[[#This Row],[ID]], tblPiNAnalysis[ID], 0)), "")</f>
        <v/>
      </c>
      <c r="W690" s="28" t="str">
        <f>IFERROR(INDEX(tblPiNAnalysis[Food Security and Livlihoods], MATCH(tblPiNHistorical[[#This Row],[ID]], tblPiNAnalysis[ID], 0)), "")</f>
        <v/>
      </c>
      <c r="X690" s="28" t="str">
        <f>IFERROR(INDEX(tblPiNAnalysis[[Health ]], MATCH(tblPiNHistorical[[#This Row],[ID]], tblPiNAnalysis[ID], 0)), "")</f>
        <v/>
      </c>
      <c r="Y690" s="28" t="str">
        <f>IFERROR(INDEX(tblPiNAnalysis[Nutrition], MATCH(tblPiNHistorical[[#This Row],[ID]], tblPiNAnalysis[ID], 0)), "")</f>
        <v/>
      </c>
      <c r="Z690" s="28" t="str">
        <f>IFERROR(INDEX(tblPiNAnalysis[Protection], MATCH(tblPiNHistorical[[#This Row],[ID]], tblPiNAnalysis[ID], 0)), "")</f>
        <v/>
      </c>
      <c r="AA690" s="28" t="str">
        <f>IFERROR(INDEX(tblPiNAnalysis[CP], MATCH(tblPiNHistorical[[#This Row],[ID]], tblPiNAnalysis[ID], 0)), "")</f>
        <v/>
      </c>
      <c r="AB690" s="83" t="str">
        <f>IFERROR(INDEX(tblPiNAnalysis[GBV], MATCH(tblPiNHistorical[[#This Row],[ID]], tblPiNAnalysis[ID], 0)), "")</f>
        <v/>
      </c>
      <c r="AC690" s="28" t="str">
        <f>IFERROR(INDEX(tblPiNAnalysis[Mine Action], MATCH(tblPiNHistorical[[#This Row],[ID]], tblPiNAnalysis[ID], 0)), "")</f>
        <v/>
      </c>
      <c r="AD690" s="83" t="str">
        <f>IFERROR(INDEX(tblPiNAnalysis[[Shelter NFI ]], MATCH(tblPiNHistorical[[#This Row],[ID]], tblPiNAnalysis[ID], 0)), "")</f>
        <v/>
      </c>
      <c r="AE690" s="28" t="str">
        <f>IFERROR(INDEX(tblPiNAnalysis[WASH], MATCH(tblPiNHistorical[[#This Row],[ID]], tblPiNAnalysis[ID], 0)), "")</f>
        <v/>
      </c>
      <c r="AF690"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690" s="136" t="str">
        <f>IF(OR(tblPiNHistorical[[#This Row],[Education Old]]="", tblPiNHistorical[[#This Row],[Education Old]]=0, tblPiNHistorical[[#This Row],[Education New]]="", tblPiNHistorical[[#This Row],[Education New]]=0), "", tblPiNHistorical[[#This Row],[Education New]]-tblPiNHistorical[[#This Row],[Education Old]])</f>
        <v/>
      </c>
      <c r="AH690"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690" s="137" t="str">
        <f>IF(OR(tblPiNHistorical[[#This Row],[Health Old]]="", tblPiNHistorical[[#This Row],[Health Old]]=0, tblPiNHistorical[[#This Row],[Health New]]="", tblPiNHistorical[[#This Row],[Health New]]=0), "", tblPiNHistorical[[#This Row],[Health New]]-tblPiNHistorical[[#This Row],[Health Old]])</f>
        <v/>
      </c>
      <c r="AJ690" s="136" t="str">
        <f>IF(OR(tblPiNHistorical[[#This Row],[Nutrition Old]]="", tblPiNHistorical[[#This Row],[Nutrition Old]]=0, tblPiNHistorical[[#This Row],[Nutrition New]]="", tblPiNHistorical[[#This Row],[Nutrition New]]=0), "", tblPiNHistorical[[#This Row],[Nutrition New]]-tblPiNHistorical[[#This Row],[Nutrition Old]])</f>
        <v/>
      </c>
      <c r="AK690" s="136" t="str">
        <f>IF(OR(tblPiNHistorical[[#This Row],[Protection Old]]="", tblPiNHistorical[[#This Row],[Protection Old]]=0, tblPiNHistorical[[#This Row],[Protection New]]="", tblPiNHistorical[[#This Row],[Protection New]]=0), "", tblPiNHistorical[[#This Row],[Protection New]]-tblPiNHistorical[[#This Row],[Protection Old]])</f>
        <v/>
      </c>
      <c r="AL690" s="136" t="str">
        <f>IF(OR(tblPiNHistorical[[#This Row],[CP Old ]]="", tblPiNHistorical[[#This Row],[CP Old ]]=0, tblPiNHistorical[[#This Row],[CP New]]="", tblPiNHistorical[[#This Row],[CP New]]=0), "", tblPiNHistorical[[#This Row],[CP New]]-tblPiNHistorical[[#This Row],[CP Old ]])</f>
        <v/>
      </c>
      <c r="AM690" s="83" t="str">
        <f>IF(OR(tblPiNHistorical[[#This Row],[GBV Old]]="", tblPiNHistorical[[#This Row],[GBV Old]]=0, tblPiNHistorical[[#This Row],[GBV New]]="", tblPiNHistorical[[#This Row],[GBV New]]=0), "", tblPiNHistorical[[#This Row],[GBV New]]-tblPiNHistorical[[#This Row],[GBV Old]])</f>
        <v/>
      </c>
      <c r="AN690" s="83" t="str">
        <f>IF(OR(tblPiNHistorical[[#This Row],[Mine Action Old]]="", tblPiNHistorical[[#This Row],[Mine Action Old]]=0, tblPiNHistorical[[#This Row],[Mine Action New]]="", tblPiNHistorical[[#This Row],[Mine Action New]]=0), "", tblPiNHistorical[[#This Row],[Mine Action New]]-tblPiNHistorical[[#This Row],[Mine Action Old]])</f>
        <v/>
      </c>
      <c r="AO690" s="136" t="str">
        <f>IF(OR(tblPiNHistorical[[#This Row],[Shelter NFI Old]]="", tblPiNHistorical[[#This Row],[Shelter NFI Old]]=0, tblPiNHistorical[[#This Row],[Shelter NFI New]]="", tblPiNHistorical[[#This Row],[Shelter NFI New]]=0), "", tblPiNHistorical[[#This Row],[Shelter NFI New]]-tblPiNHistorical[[#This Row],[Shelter NFI Old]])</f>
        <v/>
      </c>
      <c r="AP690" s="138" t="str">
        <f>IF(OR(tblPiNHistorical[[#This Row],[WASH Old]]="", tblPiNHistorical[[#This Row],[WASH Old]]=0, tblPiNHistorical[[#This Row],[WASH New]]="", tblPiNHistorical[[#This Row],[WASH New]]=0), "", tblPiNHistorical[[#This Row],[WASH New]]-tblPiNHistorical[[#This Row],[WASH Old]])</f>
        <v/>
      </c>
      <c r="AQ690" s="139" t="str">
        <f>IFERROR(ROUND((tblPiNHistorical[[#This Row],[Site Management - New]] - tblPiNHistorical[[#This Row],[Site Management - Old]])/tblPiNHistorical[[#This Row],[Site Management - Old]], 1), "")</f>
        <v/>
      </c>
      <c r="AR690" s="140" t="str">
        <f>IFERROR(ROUND((tblPiNHistorical[[#This Row],[Education New]]-tblPiNHistorical[[#This Row],[Education Old]])/tblPiNHistorical[[#This Row],[Education Old]], 1), "")</f>
        <v/>
      </c>
      <c r="AS690" s="141" t="str">
        <f>IFERROR(ROUND((tblPiNHistorical[[#This Row],[Food Security and Livlihoods New]]-tblPiNHistorical[[#This Row],[Food Security and Livlihoods Old]])/tblPiNHistorical[[#This Row],[Food Security and Livlihoods Old]], 1), "")</f>
        <v/>
      </c>
      <c r="AT690" s="142" t="str">
        <f>IFERROR(ROUND((tblPiNHistorical[[#This Row],[Health New]]-tblPiNHistorical[[#This Row],[Health Old]])/tblPiNHistorical[[#This Row],[Health Old]], 1), "")</f>
        <v/>
      </c>
      <c r="AU690" s="140" t="str">
        <f>IFERROR(ROUND((tblPiNHistorical[[#This Row],[Nutrition New]]-tblPiNHistorical[[#This Row],[Nutrition Old]])/tblPiNHistorical[[#This Row],[Nutrition Old]], 1), "")</f>
        <v/>
      </c>
      <c r="AV690" s="140" t="str">
        <f>IFERROR(ROUND((tblPiNHistorical[[#This Row],[Protection New]]-tblPiNHistorical[[#This Row],[Protection Old]])/tblPiNHistorical[[#This Row],[Protection Old]], 1), "")</f>
        <v/>
      </c>
      <c r="AW690" s="84" t="str">
        <f>IFERROR(ROUND((tblPiNHistorical[[#This Row],[CP New]]-tblPiNHistorical[[#This Row],[CP Old ]])/tblPiNHistorical[[#This Row],[CP Old ]], 1), "")</f>
        <v/>
      </c>
      <c r="AX690" s="84" t="str">
        <f>IFERROR(ROUND((tblPiNHistorical[[#This Row],[GBV New]]-tblPiNHistorical[[#This Row],[GBV Old]])/tblPiNHistorical[[#This Row],[GBV Old]], 1), "")</f>
        <v/>
      </c>
      <c r="AY690" s="84" t="str">
        <f>IFERROR(ROUND((tblPiNHistorical[[#This Row],[Mine Action New]]-tblPiNHistorical[[#This Row],[Mine Action Old]])/tblPiNHistorical[[#This Row],[Mine Action Old]], 1), "")</f>
        <v/>
      </c>
      <c r="AZ690" s="140" t="str">
        <f>IFERROR(ROUND((tblPiNHistorical[[#This Row],[Shelter NFI New]]-tblPiNHistorical[[#This Row],[Shelter NFI Old]])/tblPiNHistorical[[#This Row],[Shelter NFI Old]], 1), "")</f>
        <v/>
      </c>
      <c r="BA690" s="31" t="str">
        <f>IFERROR(ROUND((tblPiNHistorical[[#This Row],[WASH New]]-tblPiNHistorical[[#This Row],[WASH Old]])/tblPiNHistorical[[#This Row],[WASH Old]], 1), "")</f>
        <v/>
      </c>
    </row>
    <row r="691" spans="1:53" ht="38.25" x14ac:dyDescent="0.25">
      <c r="A691"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Non-displaced PopulationSD14041</v>
      </c>
      <c r="B691" s="134" t="s">
        <v>182</v>
      </c>
      <c r="C691" s="124" t="s">
        <v>131</v>
      </c>
      <c r="D691" s="124" t="s">
        <v>490</v>
      </c>
      <c r="E691" s="59" t="s">
        <v>491</v>
      </c>
      <c r="F691" s="54"/>
      <c r="G691" s="29"/>
      <c r="H691" s="53">
        <v>17266</v>
      </c>
      <c r="I691" s="53" t="s">
        <v>89</v>
      </c>
      <c r="J691" s="34">
        <v>0</v>
      </c>
      <c r="K691" s="116">
        <v>6694.0281999999997</v>
      </c>
      <c r="L691" s="114">
        <v>3453.2</v>
      </c>
      <c r="M691" s="114">
        <v>6425</v>
      </c>
      <c r="N691" s="114">
        <v>17266</v>
      </c>
      <c r="O691" s="114">
        <v>1899.2600000000002</v>
      </c>
      <c r="P691" s="114">
        <v>1899</v>
      </c>
      <c r="Q691" s="114">
        <v>0</v>
      </c>
      <c r="R691" s="114">
        <v>0</v>
      </c>
      <c r="S691" s="114">
        <v>3453</v>
      </c>
      <c r="T691" s="196">
        <v>10449.3832</v>
      </c>
      <c r="U691" s="52" t="str">
        <f>IFERROR(INDEX(tblPiNAnalysis[[Site Management ]], MATCH(tblPiNHistorical[[#This Row],[ID]], tblPiNAnalysis[ID], 0)), "")</f>
        <v/>
      </c>
      <c r="V691" s="52" t="str">
        <f>IFERROR(INDEX(tblPiNAnalysis[Education], MATCH(tblPiNHistorical[[#This Row],[ID]], tblPiNAnalysis[ID], 0)), "")</f>
        <v/>
      </c>
      <c r="W691" s="28" t="str">
        <f>IFERROR(INDEX(tblPiNAnalysis[Food Security and Livlihoods], MATCH(tblPiNHistorical[[#This Row],[ID]], tblPiNAnalysis[ID], 0)), "")</f>
        <v/>
      </c>
      <c r="X691" s="28" t="str">
        <f>IFERROR(INDEX(tblPiNAnalysis[[Health ]], MATCH(tblPiNHistorical[[#This Row],[ID]], tblPiNAnalysis[ID], 0)), "")</f>
        <v/>
      </c>
      <c r="Y691" s="28" t="str">
        <f>IFERROR(INDEX(tblPiNAnalysis[Nutrition], MATCH(tblPiNHistorical[[#This Row],[ID]], tblPiNAnalysis[ID], 0)), "")</f>
        <v/>
      </c>
      <c r="Z691" s="28" t="str">
        <f>IFERROR(INDEX(tblPiNAnalysis[Protection], MATCH(tblPiNHistorical[[#This Row],[ID]], tblPiNAnalysis[ID], 0)), "")</f>
        <v/>
      </c>
      <c r="AA691" s="28" t="str">
        <f>IFERROR(INDEX(tblPiNAnalysis[CP], MATCH(tblPiNHistorical[[#This Row],[ID]], tblPiNAnalysis[ID], 0)), "")</f>
        <v/>
      </c>
      <c r="AB691" s="83" t="str">
        <f>IFERROR(INDEX(tblPiNAnalysis[GBV], MATCH(tblPiNHistorical[[#This Row],[ID]], tblPiNAnalysis[ID], 0)), "")</f>
        <v/>
      </c>
      <c r="AC691" s="28" t="str">
        <f>IFERROR(INDEX(tblPiNAnalysis[Mine Action], MATCH(tblPiNHistorical[[#This Row],[ID]], tblPiNAnalysis[ID], 0)), "")</f>
        <v/>
      </c>
      <c r="AD691" s="83" t="str">
        <f>IFERROR(INDEX(tblPiNAnalysis[[Shelter NFI ]], MATCH(tblPiNHistorical[[#This Row],[ID]], tblPiNAnalysis[ID], 0)), "")</f>
        <v/>
      </c>
      <c r="AE691" s="28" t="str">
        <f>IFERROR(INDEX(tblPiNAnalysis[WASH], MATCH(tblPiNHistorical[[#This Row],[ID]], tblPiNAnalysis[ID], 0)), "")</f>
        <v/>
      </c>
      <c r="AF691"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691" s="136" t="str">
        <f>IF(OR(tblPiNHistorical[[#This Row],[Education Old]]="", tblPiNHistorical[[#This Row],[Education Old]]=0, tblPiNHistorical[[#This Row],[Education New]]="", tblPiNHistorical[[#This Row],[Education New]]=0), "", tblPiNHistorical[[#This Row],[Education New]]-tblPiNHistorical[[#This Row],[Education Old]])</f>
        <v/>
      </c>
      <c r="AH691"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691" s="137" t="str">
        <f>IF(OR(tblPiNHistorical[[#This Row],[Health Old]]="", tblPiNHistorical[[#This Row],[Health Old]]=0, tblPiNHistorical[[#This Row],[Health New]]="", tblPiNHistorical[[#This Row],[Health New]]=0), "", tblPiNHistorical[[#This Row],[Health New]]-tblPiNHistorical[[#This Row],[Health Old]])</f>
        <v/>
      </c>
      <c r="AJ691" s="136" t="str">
        <f>IF(OR(tblPiNHistorical[[#This Row],[Nutrition Old]]="", tblPiNHistorical[[#This Row],[Nutrition Old]]=0, tblPiNHistorical[[#This Row],[Nutrition New]]="", tblPiNHistorical[[#This Row],[Nutrition New]]=0), "", tblPiNHistorical[[#This Row],[Nutrition New]]-tblPiNHistorical[[#This Row],[Nutrition Old]])</f>
        <v/>
      </c>
      <c r="AK691" s="136" t="str">
        <f>IF(OR(tblPiNHistorical[[#This Row],[Protection Old]]="", tblPiNHistorical[[#This Row],[Protection Old]]=0, tblPiNHistorical[[#This Row],[Protection New]]="", tblPiNHistorical[[#This Row],[Protection New]]=0), "", tblPiNHistorical[[#This Row],[Protection New]]-tblPiNHistorical[[#This Row],[Protection Old]])</f>
        <v/>
      </c>
      <c r="AL691" s="136" t="str">
        <f>IF(OR(tblPiNHistorical[[#This Row],[CP Old ]]="", tblPiNHistorical[[#This Row],[CP Old ]]=0, tblPiNHistorical[[#This Row],[CP New]]="", tblPiNHistorical[[#This Row],[CP New]]=0), "", tblPiNHistorical[[#This Row],[CP New]]-tblPiNHistorical[[#This Row],[CP Old ]])</f>
        <v/>
      </c>
      <c r="AM691" s="83" t="str">
        <f>IF(OR(tblPiNHistorical[[#This Row],[GBV Old]]="", tblPiNHistorical[[#This Row],[GBV Old]]=0, tblPiNHistorical[[#This Row],[GBV New]]="", tblPiNHistorical[[#This Row],[GBV New]]=0), "", tblPiNHistorical[[#This Row],[GBV New]]-tblPiNHistorical[[#This Row],[GBV Old]])</f>
        <v/>
      </c>
      <c r="AN691" s="83" t="str">
        <f>IF(OR(tblPiNHistorical[[#This Row],[Mine Action Old]]="", tblPiNHistorical[[#This Row],[Mine Action Old]]=0, tblPiNHistorical[[#This Row],[Mine Action New]]="", tblPiNHistorical[[#This Row],[Mine Action New]]=0), "", tblPiNHistorical[[#This Row],[Mine Action New]]-tblPiNHistorical[[#This Row],[Mine Action Old]])</f>
        <v/>
      </c>
      <c r="AO691" s="136" t="str">
        <f>IF(OR(tblPiNHistorical[[#This Row],[Shelter NFI Old]]="", tblPiNHistorical[[#This Row],[Shelter NFI Old]]=0, tblPiNHistorical[[#This Row],[Shelter NFI New]]="", tblPiNHistorical[[#This Row],[Shelter NFI New]]=0), "", tblPiNHistorical[[#This Row],[Shelter NFI New]]-tblPiNHistorical[[#This Row],[Shelter NFI Old]])</f>
        <v/>
      </c>
      <c r="AP691" s="138" t="str">
        <f>IF(OR(tblPiNHistorical[[#This Row],[WASH Old]]="", tblPiNHistorical[[#This Row],[WASH Old]]=0, tblPiNHistorical[[#This Row],[WASH New]]="", tblPiNHistorical[[#This Row],[WASH New]]=0), "", tblPiNHistorical[[#This Row],[WASH New]]-tblPiNHistorical[[#This Row],[WASH Old]])</f>
        <v/>
      </c>
      <c r="AQ691" s="139" t="str">
        <f>IFERROR(ROUND((tblPiNHistorical[[#This Row],[Site Management - New]] - tblPiNHistorical[[#This Row],[Site Management - Old]])/tblPiNHistorical[[#This Row],[Site Management - Old]], 1), "")</f>
        <v/>
      </c>
      <c r="AR691" s="140" t="str">
        <f>IFERROR(ROUND((tblPiNHistorical[[#This Row],[Education New]]-tblPiNHistorical[[#This Row],[Education Old]])/tblPiNHistorical[[#This Row],[Education Old]], 1), "")</f>
        <v/>
      </c>
      <c r="AS691" s="141" t="str">
        <f>IFERROR(ROUND((tblPiNHistorical[[#This Row],[Food Security and Livlihoods New]]-tblPiNHistorical[[#This Row],[Food Security and Livlihoods Old]])/tblPiNHistorical[[#This Row],[Food Security and Livlihoods Old]], 1), "")</f>
        <v/>
      </c>
      <c r="AT691" s="142" t="str">
        <f>IFERROR(ROUND((tblPiNHistorical[[#This Row],[Health New]]-tblPiNHistorical[[#This Row],[Health Old]])/tblPiNHistorical[[#This Row],[Health Old]], 1), "")</f>
        <v/>
      </c>
      <c r="AU691" s="140" t="str">
        <f>IFERROR(ROUND((tblPiNHistorical[[#This Row],[Nutrition New]]-tblPiNHistorical[[#This Row],[Nutrition Old]])/tblPiNHistorical[[#This Row],[Nutrition Old]], 1), "")</f>
        <v/>
      </c>
      <c r="AV691" s="140" t="str">
        <f>IFERROR(ROUND((tblPiNHistorical[[#This Row],[Protection New]]-tblPiNHistorical[[#This Row],[Protection Old]])/tblPiNHistorical[[#This Row],[Protection Old]], 1), "")</f>
        <v/>
      </c>
      <c r="AW691" s="84" t="str">
        <f>IFERROR(ROUND((tblPiNHistorical[[#This Row],[CP New]]-tblPiNHistorical[[#This Row],[CP Old ]])/tblPiNHistorical[[#This Row],[CP Old ]], 1), "")</f>
        <v/>
      </c>
      <c r="AX691" s="84" t="str">
        <f>IFERROR(ROUND((tblPiNHistorical[[#This Row],[GBV New]]-tblPiNHistorical[[#This Row],[GBV Old]])/tblPiNHistorical[[#This Row],[GBV Old]], 1), "")</f>
        <v/>
      </c>
      <c r="AY691" s="84" t="str">
        <f>IFERROR(ROUND((tblPiNHistorical[[#This Row],[Mine Action New]]-tblPiNHistorical[[#This Row],[Mine Action Old]])/tblPiNHistorical[[#This Row],[Mine Action Old]], 1), "")</f>
        <v/>
      </c>
      <c r="AZ691" s="140" t="str">
        <f>IFERROR(ROUND((tblPiNHistorical[[#This Row],[Shelter NFI New]]-tblPiNHistorical[[#This Row],[Shelter NFI Old]])/tblPiNHistorical[[#This Row],[Shelter NFI Old]], 1), "")</f>
        <v/>
      </c>
      <c r="BA691" s="31" t="str">
        <f>IFERROR(ROUND((tblPiNHistorical[[#This Row],[WASH New]]-tblPiNHistorical[[#This Row],[WASH Old]])/tblPiNHistorical[[#This Row],[WASH Old]], 1), "")</f>
        <v/>
      </c>
    </row>
    <row r="692" spans="1:53" ht="38.25" x14ac:dyDescent="0.25">
      <c r="A692"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Non-displaced PopulationSD14038</v>
      </c>
      <c r="B692" s="134" t="s">
        <v>182</v>
      </c>
      <c r="C692" s="124" t="s">
        <v>131</v>
      </c>
      <c r="D692" s="124" t="s">
        <v>182</v>
      </c>
      <c r="E692" s="59" t="s">
        <v>485</v>
      </c>
      <c r="F692" s="54"/>
      <c r="G692" s="29"/>
      <c r="H692" s="53">
        <v>114379</v>
      </c>
      <c r="I692" s="53" t="s">
        <v>89</v>
      </c>
      <c r="J692" s="34">
        <v>0</v>
      </c>
      <c r="K692" s="116">
        <v>44344.738299999997</v>
      </c>
      <c r="L692" s="114">
        <v>30313.7</v>
      </c>
      <c r="M692" s="114">
        <v>8215</v>
      </c>
      <c r="N692" s="114">
        <v>28144</v>
      </c>
      <c r="O692" s="114">
        <v>12581.690000000002</v>
      </c>
      <c r="P692" s="114">
        <v>12582</v>
      </c>
      <c r="Q692" s="114">
        <v>0</v>
      </c>
      <c r="R692" s="114">
        <v>0</v>
      </c>
      <c r="S692" s="114">
        <v>22876</v>
      </c>
      <c r="T692" s="196">
        <v>50086.564099999996</v>
      </c>
      <c r="U692" s="52" t="str">
        <f>IFERROR(INDEX(tblPiNAnalysis[[Site Management ]], MATCH(tblPiNHistorical[[#This Row],[ID]], tblPiNAnalysis[ID], 0)), "")</f>
        <v/>
      </c>
      <c r="V692" s="52" t="str">
        <f>IFERROR(INDEX(tblPiNAnalysis[Education], MATCH(tblPiNHistorical[[#This Row],[ID]], tblPiNAnalysis[ID], 0)), "")</f>
        <v/>
      </c>
      <c r="W692" s="28" t="str">
        <f>IFERROR(INDEX(tblPiNAnalysis[Food Security and Livlihoods], MATCH(tblPiNHistorical[[#This Row],[ID]], tblPiNAnalysis[ID], 0)), "")</f>
        <v/>
      </c>
      <c r="X692" s="28" t="str">
        <f>IFERROR(INDEX(tblPiNAnalysis[[Health ]], MATCH(tblPiNHistorical[[#This Row],[ID]], tblPiNAnalysis[ID], 0)), "")</f>
        <v/>
      </c>
      <c r="Y692" s="28" t="str">
        <f>IFERROR(INDEX(tblPiNAnalysis[Nutrition], MATCH(tblPiNHistorical[[#This Row],[ID]], tblPiNAnalysis[ID], 0)), "")</f>
        <v/>
      </c>
      <c r="Z692" s="28" t="str">
        <f>IFERROR(INDEX(tblPiNAnalysis[Protection], MATCH(tblPiNHistorical[[#This Row],[ID]], tblPiNAnalysis[ID], 0)), "")</f>
        <v/>
      </c>
      <c r="AA692" s="28" t="str">
        <f>IFERROR(INDEX(tblPiNAnalysis[CP], MATCH(tblPiNHistorical[[#This Row],[ID]], tblPiNAnalysis[ID], 0)), "")</f>
        <v/>
      </c>
      <c r="AB692" s="83" t="str">
        <f>IFERROR(INDEX(tblPiNAnalysis[GBV], MATCH(tblPiNHistorical[[#This Row],[ID]], tblPiNAnalysis[ID], 0)), "")</f>
        <v/>
      </c>
      <c r="AC692" s="28" t="str">
        <f>IFERROR(INDEX(tblPiNAnalysis[Mine Action], MATCH(tblPiNHistorical[[#This Row],[ID]], tblPiNAnalysis[ID], 0)), "")</f>
        <v/>
      </c>
      <c r="AD692" s="83" t="str">
        <f>IFERROR(INDEX(tblPiNAnalysis[[Shelter NFI ]], MATCH(tblPiNHistorical[[#This Row],[ID]], tblPiNAnalysis[ID], 0)), "")</f>
        <v/>
      </c>
      <c r="AE692" s="28" t="str">
        <f>IFERROR(INDEX(tblPiNAnalysis[WASH], MATCH(tblPiNHistorical[[#This Row],[ID]], tblPiNAnalysis[ID], 0)), "")</f>
        <v/>
      </c>
      <c r="AF692"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692" s="136" t="str">
        <f>IF(OR(tblPiNHistorical[[#This Row],[Education Old]]="", tblPiNHistorical[[#This Row],[Education Old]]=0, tblPiNHistorical[[#This Row],[Education New]]="", tblPiNHistorical[[#This Row],[Education New]]=0), "", tblPiNHistorical[[#This Row],[Education New]]-tblPiNHistorical[[#This Row],[Education Old]])</f>
        <v/>
      </c>
      <c r="AH692"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692" s="137" t="str">
        <f>IF(OR(tblPiNHistorical[[#This Row],[Health Old]]="", tblPiNHistorical[[#This Row],[Health Old]]=0, tblPiNHistorical[[#This Row],[Health New]]="", tblPiNHistorical[[#This Row],[Health New]]=0), "", tblPiNHistorical[[#This Row],[Health New]]-tblPiNHistorical[[#This Row],[Health Old]])</f>
        <v/>
      </c>
      <c r="AJ692" s="136" t="str">
        <f>IF(OR(tblPiNHistorical[[#This Row],[Nutrition Old]]="", tblPiNHistorical[[#This Row],[Nutrition Old]]=0, tblPiNHistorical[[#This Row],[Nutrition New]]="", tblPiNHistorical[[#This Row],[Nutrition New]]=0), "", tblPiNHistorical[[#This Row],[Nutrition New]]-tblPiNHistorical[[#This Row],[Nutrition Old]])</f>
        <v/>
      </c>
      <c r="AK692" s="136" t="str">
        <f>IF(OR(tblPiNHistorical[[#This Row],[Protection Old]]="", tblPiNHistorical[[#This Row],[Protection Old]]=0, tblPiNHistorical[[#This Row],[Protection New]]="", tblPiNHistorical[[#This Row],[Protection New]]=0), "", tblPiNHistorical[[#This Row],[Protection New]]-tblPiNHistorical[[#This Row],[Protection Old]])</f>
        <v/>
      </c>
      <c r="AL692" s="136" t="str">
        <f>IF(OR(tblPiNHistorical[[#This Row],[CP Old ]]="", tblPiNHistorical[[#This Row],[CP Old ]]=0, tblPiNHistorical[[#This Row],[CP New]]="", tblPiNHistorical[[#This Row],[CP New]]=0), "", tblPiNHistorical[[#This Row],[CP New]]-tblPiNHistorical[[#This Row],[CP Old ]])</f>
        <v/>
      </c>
      <c r="AM692" s="83" t="str">
        <f>IF(OR(tblPiNHistorical[[#This Row],[GBV Old]]="", tblPiNHistorical[[#This Row],[GBV Old]]=0, tblPiNHistorical[[#This Row],[GBV New]]="", tblPiNHistorical[[#This Row],[GBV New]]=0), "", tblPiNHistorical[[#This Row],[GBV New]]-tblPiNHistorical[[#This Row],[GBV Old]])</f>
        <v/>
      </c>
      <c r="AN692" s="83" t="str">
        <f>IF(OR(tblPiNHistorical[[#This Row],[Mine Action Old]]="", tblPiNHistorical[[#This Row],[Mine Action Old]]=0, tblPiNHistorical[[#This Row],[Mine Action New]]="", tblPiNHistorical[[#This Row],[Mine Action New]]=0), "", tblPiNHistorical[[#This Row],[Mine Action New]]-tblPiNHistorical[[#This Row],[Mine Action Old]])</f>
        <v/>
      </c>
      <c r="AO692" s="136" t="str">
        <f>IF(OR(tblPiNHistorical[[#This Row],[Shelter NFI Old]]="", tblPiNHistorical[[#This Row],[Shelter NFI Old]]=0, tblPiNHistorical[[#This Row],[Shelter NFI New]]="", tblPiNHistorical[[#This Row],[Shelter NFI New]]=0), "", tblPiNHistorical[[#This Row],[Shelter NFI New]]-tblPiNHistorical[[#This Row],[Shelter NFI Old]])</f>
        <v/>
      </c>
      <c r="AP692" s="138" t="str">
        <f>IF(OR(tblPiNHistorical[[#This Row],[WASH Old]]="", tblPiNHistorical[[#This Row],[WASH Old]]=0, tblPiNHistorical[[#This Row],[WASH New]]="", tblPiNHistorical[[#This Row],[WASH New]]=0), "", tblPiNHistorical[[#This Row],[WASH New]]-tblPiNHistorical[[#This Row],[WASH Old]])</f>
        <v/>
      </c>
      <c r="AQ692" s="139" t="str">
        <f>IFERROR(ROUND((tblPiNHistorical[[#This Row],[Site Management - New]] - tblPiNHistorical[[#This Row],[Site Management - Old]])/tblPiNHistorical[[#This Row],[Site Management - Old]], 1), "")</f>
        <v/>
      </c>
      <c r="AR692" s="140" t="str">
        <f>IFERROR(ROUND((tblPiNHistorical[[#This Row],[Education New]]-tblPiNHistorical[[#This Row],[Education Old]])/tblPiNHistorical[[#This Row],[Education Old]], 1), "")</f>
        <v/>
      </c>
      <c r="AS692" s="141" t="str">
        <f>IFERROR(ROUND((tblPiNHistorical[[#This Row],[Food Security and Livlihoods New]]-tblPiNHistorical[[#This Row],[Food Security and Livlihoods Old]])/tblPiNHistorical[[#This Row],[Food Security and Livlihoods Old]], 1), "")</f>
        <v/>
      </c>
      <c r="AT692" s="142" t="str">
        <f>IFERROR(ROUND((tblPiNHistorical[[#This Row],[Health New]]-tblPiNHistorical[[#This Row],[Health Old]])/tblPiNHistorical[[#This Row],[Health Old]], 1), "")</f>
        <v/>
      </c>
      <c r="AU692" s="140" t="str">
        <f>IFERROR(ROUND((tblPiNHistorical[[#This Row],[Nutrition New]]-tblPiNHistorical[[#This Row],[Nutrition Old]])/tblPiNHistorical[[#This Row],[Nutrition Old]], 1), "")</f>
        <v/>
      </c>
      <c r="AV692" s="140" t="str">
        <f>IFERROR(ROUND((tblPiNHistorical[[#This Row],[Protection New]]-tblPiNHistorical[[#This Row],[Protection Old]])/tblPiNHistorical[[#This Row],[Protection Old]], 1), "")</f>
        <v/>
      </c>
      <c r="AW692" s="84" t="str">
        <f>IFERROR(ROUND((tblPiNHistorical[[#This Row],[CP New]]-tblPiNHistorical[[#This Row],[CP Old ]])/tblPiNHistorical[[#This Row],[CP Old ]], 1), "")</f>
        <v/>
      </c>
      <c r="AX692" s="84" t="str">
        <f>IFERROR(ROUND((tblPiNHistorical[[#This Row],[GBV New]]-tblPiNHistorical[[#This Row],[GBV Old]])/tblPiNHistorical[[#This Row],[GBV Old]], 1), "")</f>
        <v/>
      </c>
      <c r="AY692" s="84" t="str">
        <f>IFERROR(ROUND((tblPiNHistorical[[#This Row],[Mine Action New]]-tblPiNHistorical[[#This Row],[Mine Action Old]])/tblPiNHistorical[[#This Row],[Mine Action Old]], 1), "")</f>
        <v/>
      </c>
      <c r="AZ692" s="140" t="str">
        <f>IFERROR(ROUND((tblPiNHistorical[[#This Row],[Shelter NFI New]]-tblPiNHistorical[[#This Row],[Shelter NFI Old]])/tblPiNHistorical[[#This Row],[Shelter NFI Old]], 1), "")</f>
        <v/>
      </c>
      <c r="BA692" s="31" t="str">
        <f>IFERROR(ROUND((tblPiNHistorical[[#This Row],[WASH New]]-tblPiNHistorical[[#This Row],[WASH Old]])/tblPiNHistorical[[#This Row],[WASH Old]], 1), "")</f>
        <v/>
      </c>
    </row>
    <row r="693" spans="1:53" ht="38.25" x14ac:dyDescent="0.25">
      <c r="A693"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Non-displaced PopulationSD14042</v>
      </c>
      <c r="B693" s="134" t="s">
        <v>182</v>
      </c>
      <c r="C693" s="124" t="s">
        <v>131</v>
      </c>
      <c r="D693" s="124" t="s">
        <v>492</v>
      </c>
      <c r="E693" s="59" t="s">
        <v>493</v>
      </c>
      <c r="F693" s="54"/>
      <c r="G693" s="29"/>
      <c r="H693" s="53">
        <v>129710</v>
      </c>
      <c r="I693" s="53" t="s">
        <v>89</v>
      </c>
      <c r="J693" s="34">
        <v>0</v>
      </c>
      <c r="K693" s="116">
        <v>50288.566999999995</v>
      </c>
      <c r="L693" s="114">
        <v>18884</v>
      </c>
      <c r="M693" s="114">
        <v>5175</v>
      </c>
      <c r="N693" s="114">
        <v>30571</v>
      </c>
      <c r="O693" s="114">
        <v>14268.1</v>
      </c>
      <c r="P693" s="114">
        <v>14268</v>
      </c>
      <c r="Q693" s="114">
        <v>6846</v>
      </c>
      <c r="R693" s="114">
        <v>0</v>
      </c>
      <c r="S693" s="114">
        <v>25942</v>
      </c>
      <c r="T693" s="196">
        <v>98592.571000000011</v>
      </c>
      <c r="U693" s="52" t="str">
        <f>IFERROR(INDEX(tblPiNAnalysis[[Site Management ]], MATCH(tblPiNHistorical[[#This Row],[ID]], tblPiNAnalysis[ID], 0)), "")</f>
        <v/>
      </c>
      <c r="V693" s="52" t="str">
        <f>IFERROR(INDEX(tblPiNAnalysis[Education], MATCH(tblPiNHistorical[[#This Row],[ID]], tblPiNAnalysis[ID], 0)), "")</f>
        <v/>
      </c>
      <c r="W693" s="28" t="str">
        <f>IFERROR(INDEX(tblPiNAnalysis[Food Security and Livlihoods], MATCH(tblPiNHistorical[[#This Row],[ID]], tblPiNAnalysis[ID], 0)), "")</f>
        <v/>
      </c>
      <c r="X693" s="28" t="str">
        <f>IFERROR(INDEX(tblPiNAnalysis[[Health ]], MATCH(tblPiNHistorical[[#This Row],[ID]], tblPiNAnalysis[ID], 0)), "")</f>
        <v/>
      </c>
      <c r="Y693" s="28" t="str">
        <f>IFERROR(INDEX(tblPiNAnalysis[Nutrition], MATCH(tblPiNHistorical[[#This Row],[ID]], tblPiNAnalysis[ID], 0)), "")</f>
        <v/>
      </c>
      <c r="Z693" s="28" t="str">
        <f>IFERROR(INDEX(tblPiNAnalysis[Protection], MATCH(tblPiNHistorical[[#This Row],[ID]], tblPiNAnalysis[ID], 0)), "")</f>
        <v/>
      </c>
      <c r="AA693" s="28" t="str">
        <f>IFERROR(INDEX(tblPiNAnalysis[CP], MATCH(tblPiNHistorical[[#This Row],[ID]], tblPiNAnalysis[ID], 0)), "")</f>
        <v/>
      </c>
      <c r="AB693" s="83" t="str">
        <f>IFERROR(INDEX(tblPiNAnalysis[GBV], MATCH(tblPiNHistorical[[#This Row],[ID]], tblPiNAnalysis[ID], 0)), "")</f>
        <v/>
      </c>
      <c r="AC693" s="28" t="str">
        <f>IFERROR(INDEX(tblPiNAnalysis[Mine Action], MATCH(tblPiNHistorical[[#This Row],[ID]], tblPiNAnalysis[ID], 0)), "")</f>
        <v/>
      </c>
      <c r="AD693" s="83" t="str">
        <f>IFERROR(INDEX(tblPiNAnalysis[[Shelter NFI ]], MATCH(tblPiNHistorical[[#This Row],[ID]], tblPiNAnalysis[ID], 0)), "")</f>
        <v/>
      </c>
      <c r="AE693" s="28" t="str">
        <f>IFERROR(INDEX(tblPiNAnalysis[WASH], MATCH(tblPiNHistorical[[#This Row],[ID]], tblPiNAnalysis[ID], 0)), "")</f>
        <v/>
      </c>
      <c r="AF693"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693" s="136" t="str">
        <f>IF(OR(tblPiNHistorical[[#This Row],[Education Old]]="", tblPiNHistorical[[#This Row],[Education Old]]=0, tblPiNHistorical[[#This Row],[Education New]]="", tblPiNHistorical[[#This Row],[Education New]]=0), "", tblPiNHistorical[[#This Row],[Education New]]-tblPiNHistorical[[#This Row],[Education Old]])</f>
        <v/>
      </c>
      <c r="AH693"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693" s="137" t="str">
        <f>IF(OR(tblPiNHistorical[[#This Row],[Health Old]]="", tblPiNHistorical[[#This Row],[Health Old]]=0, tblPiNHistorical[[#This Row],[Health New]]="", tblPiNHistorical[[#This Row],[Health New]]=0), "", tblPiNHistorical[[#This Row],[Health New]]-tblPiNHistorical[[#This Row],[Health Old]])</f>
        <v/>
      </c>
      <c r="AJ693" s="136" t="str">
        <f>IF(OR(tblPiNHistorical[[#This Row],[Nutrition Old]]="", tblPiNHistorical[[#This Row],[Nutrition Old]]=0, tblPiNHistorical[[#This Row],[Nutrition New]]="", tblPiNHistorical[[#This Row],[Nutrition New]]=0), "", tblPiNHistorical[[#This Row],[Nutrition New]]-tblPiNHistorical[[#This Row],[Nutrition Old]])</f>
        <v/>
      </c>
      <c r="AK693" s="136" t="str">
        <f>IF(OR(tblPiNHistorical[[#This Row],[Protection Old]]="", tblPiNHistorical[[#This Row],[Protection Old]]=0, tblPiNHistorical[[#This Row],[Protection New]]="", tblPiNHistorical[[#This Row],[Protection New]]=0), "", tblPiNHistorical[[#This Row],[Protection New]]-tblPiNHistorical[[#This Row],[Protection Old]])</f>
        <v/>
      </c>
      <c r="AL693" s="136" t="str">
        <f>IF(OR(tblPiNHistorical[[#This Row],[CP Old ]]="", tblPiNHistorical[[#This Row],[CP Old ]]=0, tblPiNHistorical[[#This Row],[CP New]]="", tblPiNHistorical[[#This Row],[CP New]]=0), "", tblPiNHistorical[[#This Row],[CP New]]-tblPiNHistorical[[#This Row],[CP Old ]])</f>
        <v/>
      </c>
      <c r="AM693" s="83" t="str">
        <f>IF(OR(tblPiNHistorical[[#This Row],[GBV Old]]="", tblPiNHistorical[[#This Row],[GBV Old]]=0, tblPiNHistorical[[#This Row],[GBV New]]="", tblPiNHistorical[[#This Row],[GBV New]]=0), "", tblPiNHistorical[[#This Row],[GBV New]]-tblPiNHistorical[[#This Row],[GBV Old]])</f>
        <v/>
      </c>
      <c r="AN693" s="83" t="str">
        <f>IF(OR(tblPiNHistorical[[#This Row],[Mine Action Old]]="", tblPiNHistorical[[#This Row],[Mine Action Old]]=0, tblPiNHistorical[[#This Row],[Mine Action New]]="", tblPiNHistorical[[#This Row],[Mine Action New]]=0), "", tblPiNHistorical[[#This Row],[Mine Action New]]-tblPiNHistorical[[#This Row],[Mine Action Old]])</f>
        <v/>
      </c>
      <c r="AO693" s="136" t="str">
        <f>IF(OR(tblPiNHistorical[[#This Row],[Shelter NFI Old]]="", tblPiNHistorical[[#This Row],[Shelter NFI Old]]=0, tblPiNHistorical[[#This Row],[Shelter NFI New]]="", tblPiNHistorical[[#This Row],[Shelter NFI New]]=0), "", tblPiNHistorical[[#This Row],[Shelter NFI New]]-tblPiNHistorical[[#This Row],[Shelter NFI Old]])</f>
        <v/>
      </c>
      <c r="AP693" s="138" t="str">
        <f>IF(OR(tblPiNHistorical[[#This Row],[WASH Old]]="", tblPiNHistorical[[#This Row],[WASH Old]]=0, tblPiNHistorical[[#This Row],[WASH New]]="", tblPiNHistorical[[#This Row],[WASH New]]=0), "", tblPiNHistorical[[#This Row],[WASH New]]-tblPiNHistorical[[#This Row],[WASH Old]])</f>
        <v/>
      </c>
      <c r="AQ693" s="139" t="str">
        <f>IFERROR(ROUND((tblPiNHistorical[[#This Row],[Site Management - New]] - tblPiNHistorical[[#This Row],[Site Management - Old]])/tblPiNHistorical[[#This Row],[Site Management - Old]], 1), "")</f>
        <v/>
      </c>
      <c r="AR693" s="140" t="str">
        <f>IFERROR(ROUND((tblPiNHistorical[[#This Row],[Education New]]-tblPiNHistorical[[#This Row],[Education Old]])/tblPiNHistorical[[#This Row],[Education Old]], 1), "")</f>
        <v/>
      </c>
      <c r="AS693" s="141" t="str">
        <f>IFERROR(ROUND((tblPiNHistorical[[#This Row],[Food Security and Livlihoods New]]-tblPiNHistorical[[#This Row],[Food Security and Livlihoods Old]])/tblPiNHistorical[[#This Row],[Food Security and Livlihoods Old]], 1), "")</f>
        <v/>
      </c>
      <c r="AT693" s="142" t="str">
        <f>IFERROR(ROUND((tblPiNHistorical[[#This Row],[Health New]]-tblPiNHistorical[[#This Row],[Health Old]])/tblPiNHistorical[[#This Row],[Health Old]], 1), "")</f>
        <v/>
      </c>
      <c r="AU693" s="140" t="str">
        <f>IFERROR(ROUND((tblPiNHistorical[[#This Row],[Nutrition New]]-tblPiNHistorical[[#This Row],[Nutrition Old]])/tblPiNHistorical[[#This Row],[Nutrition Old]], 1), "")</f>
        <v/>
      </c>
      <c r="AV693" s="140" t="str">
        <f>IFERROR(ROUND((tblPiNHistorical[[#This Row],[Protection New]]-tblPiNHistorical[[#This Row],[Protection Old]])/tblPiNHistorical[[#This Row],[Protection Old]], 1), "")</f>
        <v/>
      </c>
      <c r="AW693" s="84" t="str">
        <f>IFERROR(ROUND((tblPiNHistorical[[#This Row],[CP New]]-tblPiNHistorical[[#This Row],[CP Old ]])/tblPiNHistorical[[#This Row],[CP Old ]], 1), "")</f>
        <v/>
      </c>
      <c r="AX693" s="84" t="str">
        <f>IFERROR(ROUND((tblPiNHistorical[[#This Row],[GBV New]]-tblPiNHistorical[[#This Row],[GBV Old]])/tblPiNHistorical[[#This Row],[GBV Old]], 1), "")</f>
        <v/>
      </c>
      <c r="AY693" s="84" t="str">
        <f>IFERROR(ROUND((tblPiNHistorical[[#This Row],[Mine Action New]]-tblPiNHistorical[[#This Row],[Mine Action Old]])/tblPiNHistorical[[#This Row],[Mine Action Old]], 1), "")</f>
        <v/>
      </c>
      <c r="AZ693" s="140" t="str">
        <f>IFERROR(ROUND((tblPiNHistorical[[#This Row],[Shelter NFI New]]-tblPiNHistorical[[#This Row],[Shelter NFI Old]])/tblPiNHistorical[[#This Row],[Shelter NFI Old]], 1), "")</f>
        <v/>
      </c>
      <c r="BA693" s="31" t="str">
        <f>IFERROR(ROUND((tblPiNHistorical[[#This Row],[WASH New]]-tblPiNHistorical[[#This Row],[WASH Old]])/tblPiNHistorical[[#This Row],[WASH Old]], 1), "")</f>
        <v/>
      </c>
    </row>
    <row r="694" spans="1:53" ht="38.25" x14ac:dyDescent="0.25">
      <c r="A694"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Non-displaced PopulationSD14043</v>
      </c>
      <c r="B694" s="134" t="s">
        <v>182</v>
      </c>
      <c r="C694" s="124" t="s">
        <v>131</v>
      </c>
      <c r="D694" s="124" t="s">
        <v>494</v>
      </c>
      <c r="E694" s="59" t="s">
        <v>495</v>
      </c>
      <c r="F694" s="54"/>
      <c r="G694" s="29"/>
      <c r="H694" s="53">
        <v>40085</v>
      </c>
      <c r="I694" s="53" t="s">
        <v>89</v>
      </c>
      <c r="J694" s="34">
        <v>0</v>
      </c>
      <c r="K694" s="116">
        <v>15540.9545</v>
      </c>
      <c r="L694" s="114">
        <v>12025.5</v>
      </c>
      <c r="M694" s="114">
        <v>24425</v>
      </c>
      <c r="N694" s="114">
        <v>11401</v>
      </c>
      <c r="O694" s="114">
        <v>4409.3500000000004</v>
      </c>
      <c r="P694" s="114">
        <v>4409</v>
      </c>
      <c r="Q694" s="114">
        <v>0</v>
      </c>
      <c r="R694" s="114">
        <v>0</v>
      </c>
      <c r="S694" s="114">
        <v>0</v>
      </c>
      <c r="T694" s="196">
        <v>19673.718000000001</v>
      </c>
      <c r="U694" s="52" t="str">
        <f>IFERROR(INDEX(tblPiNAnalysis[[Site Management ]], MATCH(tblPiNHistorical[[#This Row],[ID]], tblPiNAnalysis[ID], 0)), "")</f>
        <v/>
      </c>
      <c r="V694" s="52" t="str">
        <f>IFERROR(INDEX(tblPiNAnalysis[Education], MATCH(tblPiNHistorical[[#This Row],[ID]], tblPiNAnalysis[ID], 0)), "")</f>
        <v/>
      </c>
      <c r="W694" s="28" t="str">
        <f>IFERROR(INDEX(tblPiNAnalysis[Food Security and Livlihoods], MATCH(tblPiNHistorical[[#This Row],[ID]], tblPiNAnalysis[ID], 0)), "")</f>
        <v/>
      </c>
      <c r="X694" s="28" t="str">
        <f>IFERROR(INDEX(tblPiNAnalysis[[Health ]], MATCH(tblPiNHistorical[[#This Row],[ID]], tblPiNAnalysis[ID], 0)), "")</f>
        <v/>
      </c>
      <c r="Y694" s="28" t="str">
        <f>IFERROR(INDEX(tblPiNAnalysis[Nutrition], MATCH(tblPiNHistorical[[#This Row],[ID]], tblPiNAnalysis[ID], 0)), "")</f>
        <v/>
      </c>
      <c r="Z694" s="28" t="str">
        <f>IFERROR(INDEX(tblPiNAnalysis[Protection], MATCH(tblPiNHistorical[[#This Row],[ID]], tblPiNAnalysis[ID], 0)), "")</f>
        <v/>
      </c>
      <c r="AA694" s="28" t="str">
        <f>IFERROR(INDEX(tblPiNAnalysis[CP], MATCH(tblPiNHistorical[[#This Row],[ID]], tblPiNAnalysis[ID], 0)), "")</f>
        <v/>
      </c>
      <c r="AB694" s="83" t="str">
        <f>IFERROR(INDEX(tblPiNAnalysis[GBV], MATCH(tblPiNHistorical[[#This Row],[ID]], tblPiNAnalysis[ID], 0)), "")</f>
        <v/>
      </c>
      <c r="AC694" s="28" t="str">
        <f>IFERROR(INDEX(tblPiNAnalysis[Mine Action], MATCH(tblPiNHistorical[[#This Row],[ID]], tblPiNAnalysis[ID], 0)), "")</f>
        <v/>
      </c>
      <c r="AD694" s="83" t="str">
        <f>IFERROR(INDEX(tblPiNAnalysis[[Shelter NFI ]], MATCH(tblPiNHistorical[[#This Row],[ID]], tblPiNAnalysis[ID], 0)), "")</f>
        <v/>
      </c>
      <c r="AE694" s="28" t="str">
        <f>IFERROR(INDEX(tblPiNAnalysis[WASH], MATCH(tblPiNHistorical[[#This Row],[ID]], tblPiNAnalysis[ID], 0)), "")</f>
        <v/>
      </c>
      <c r="AF694"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694" s="136" t="str">
        <f>IF(OR(tblPiNHistorical[[#This Row],[Education Old]]="", tblPiNHistorical[[#This Row],[Education Old]]=0, tblPiNHistorical[[#This Row],[Education New]]="", tblPiNHistorical[[#This Row],[Education New]]=0), "", tblPiNHistorical[[#This Row],[Education New]]-tblPiNHistorical[[#This Row],[Education Old]])</f>
        <v/>
      </c>
      <c r="AH694"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694" s="137" t="str">
        <f>IF(OR(tblPiNHistorical[[#This Row],[Health Old]]="", tblPiNHistorical[[#This Row],[Health Old]]=0, tblPiNHistorical[[#This Row],[Health New]]="", tblPiNHistorical[[#This Row],[Health New]]=0), "", tblPiNHistorical[[#This Row],[Health New]]-tblPiNHistorical[[#This Row],[Health Old]])</f>
        <v/>
      </c>
      <c r="AJ694" s="136" t="str">
        <f>IF(OR(tblPiNHistorical[[#This Row],[Nutrition Old]]="", tblPiNHistorical[[#This Row],[Nutrition Old]]=0, tblPiNHistorical[[#This Row],[Nutrition New]]="", tblPiNHistorical[[#This Row],[Nutrition New]]=0), "", tblPiNHistorical[[#This Row],[Nutrition New]]-tblPiNHistorical[[#This Row],[Nutrition Old]])</f>
        <v/>
      </c>
      <c r="AK694" s="136" t="str">
        <f>IF(OR(tblPiNHistorical[[#This Row],[Protection Old]]="", tblPiNHistorical[[#This Row],[Protection Old]]=0, tblPiNHistorical[[#This Row],[Protection New]]="", tblPiNHistorical[[#This Row],[Protection New]]=0), "", tblPiNHistorical[[#This Row],[Protection New]]-tblPiNHistorical[[#This Row],[Protection Old]])</f>
        <v/>
      </c>
      <c r="AL694" s="136" t="str">
        <f>IF(OR(tblPiNHistorical[[#This Row],[CP Old ]]="", tblPiNHistorical[[#This Row],[CP Old ]]=0, tblPiNHistorical[[#This Row],[CP New]]="", tblPiNHistorical[[#This Row],[CP New]]=0), "", tblPiNHistorical[[#This Row],[CP New]]-tblPiNHistorical[[#This Row],[CP Old ]])</f>
        <v/>
      </c>
      <c r="AM694" s="83" t="str">
        <f>IF(OR(tblPiNHistorical[[#This Row],[GBV Old]]="", tblPiNHistorical[[#This Row],[GBV Old]]=0, tblPiNHistorical[[#This Row],[GBV New]]="", tblPiNHistorical[[#This Row],[GBV New]]=0), "", tblPiNHistorical[[#This Row],[GBV New]]-tblPiNHistorical[[#This Row],[GBV Old]])</f>
        <v/>
      </c>
      <c r="AN694" s="83" t="str">
        <f>IF(OR(tblPiNHistorical[[#This Row],[Mine Action Old]]="", tblPiNHistorical[[#This Row],[Mine Action Old]]=0, tblPiNHistorical[[#This Row],[Mine Action New]]="", tblPiNHistorical[[#This Row],[Mine Action New]]=0), "", tblPiNHistorical[[#This Row],[Mine Action New]]-tblPiNHistorical[[#This Row],[Mine Action Old]])</f>
        <v/>
      </c>
      <c r="AO694" s="136" t="str">
        <f>IF(OR(tblPiNHistorical[[#This Row],[Shelter NFI Old]]="", tblPiNHistorical[[#This Row],[Shelter NFI Old]]=0, tblPiNHistorical[[#This Row],[Shelter NFI New]]="", tblPiNHistorical[[#This Row],[Shelter NFI New]]=0), "", tblPiNHistorical[[#This Row],[Shelter NFI New]]-tblPiNHistorical[[#This Row],[Shelter NFI Old]])</f>
        <v/>
      </c>
      <c r="AP694" s="138" t="str">
        <f>IF(OR(tblPiNHistorical[[#This Row],[WASH Old]]="", tblPiNHistorical[[#This Row],[WASH Old]]=0, tblPiNHistorical[[#This Row],[WASH New]]="", tblPiNHistorical[[#This Row],[WASH New]]=0), "", tblPiNHistorical[[#This Row],[WASH New]]-tblPiNHistorical[[#This Row],[WASH Old]])</f>
        <v/>
      </c>
      <c r="AQ694" s="139" t="str">
        <f>IFERROR(ROUND((tblPiNHistorical[[#This Row],[Site Management - New]] - tblPiNHistorical[[#This Row],[Site Management - Old]])/tblPiNHistorical[[#This Row],[Site Management - Old]], 1), "")</f>
        <v/>
      </c>
      <c r="AR694" s="140" t="str">
        <f>IFERROR(ROUND((tblPiNHistorical[[#This Row],[Education New]]-tblPiNHistorical[[#This Row],[Education Old]])/tblPiNHistorical[[#This Row],[Education Old]], 1), "")</f>
        <v/>
      </c>
      <c r="AS694" s="141" t="str">
        <f>IFERROR(ROUND((tblPiNHistorical[[#This Row],[Food Security and Livlihoods New]]-tblPiNHistorical[[#This Row],[Food Security and Livlihoods Old]])/tblPiNHistorical[[#This Row],[Food Security and Livlihoods Old]], 1), "")</f>
        <v/>
      </c>
      <c r="AT694" s="142" t="str">
        <f>IFERROR(ROUND((tblPiNHistorical[[#This Row],[Health New]]-tblPiNHistorical[[#This Row],[Health Old]])/tblPiNHistorical[[#This Row],[Health Old]], 1), "")</f>
        <v/>
      </c>
      <c r="AU694" s="140" t="str">
        <f>IFERROR(ROUND((tblPiNHistorical[[#This Row],[Nutrition New]]-tblPiNHistorical[[#This Row],[Nutrition Old]])/tblPiNHistorical[[#This Row],[Nutrition Old]], 1), "")</f>
        <v/>
      </c>
      <c r="AV694" s="140" t="str">
        <f>IFERROR(ROUND((tblPiNHistorical[[#This Row],[Protection New]]-tblPiNHistorical[[#This Row],[Protection Old]])/tblPiNHistorical[[#This Row],[Protection Old]], 1), "")</f>
        <v/>
      </c>
      <c r="AW694" s="84" t="str">
        <f>IFERROR(ROUND((tblPiNHistorical[[#This Row],[CP New]]-tblPiNHistorical[[#This Row],[CP Old ]])/tblPiNHistorical[[#This Row],[CP Old ]], 1), "")</f>
        <v/>
      </c>
      <c r="AX694" s="84" t="str">
        <f>IFERROR(ROUND((tblPiNHistorical[[#This Row],[GBV New]]-tblPiNHistorical[[#This Row],[GBV Old]])/tblPiNHistorical[[#This Row],[GBV Old]], 1), "")</f>
        <v/>
      </c>
      <c r="AY694" s="84" t="str">
        <f>IFERROR(ROUND((tblPiNHistorical[[#This Row],[Mine Action New]]-tblPiNHistorical[[#This Row],[Mine Action Old]])/tblPiNHistorical[[#This Row],[Mine Action Old]], 1), "")</f>
        <v/>
      </c>
      <c r="AZ694" s="140" t="str">
        <f>IFERROR(ROUND((tblPiNHistorical[[#This Row],[Shelter NFI New]]-tblPiNHistorical[[#This Row],[Shelter NFI Old]])/tblPiNHistorical[[#This Row],[Shelter NFI Old]], 1), "")</f>
        <v/>
      </c>
      <c r="BA694" s="31" t="str">
        <f>IFERROR(ROUND((tblPiNHistorical[[#This Row],[WASH New]]-tblPiNHistorical[[#This Row],[WASH Old]])/tblPiNHistorical[[#This Row],[WASH Old]], 1), "")</f>
        <v/>
      </c>
    </row>
    <row r="695" spans="1:53" ht="38.25" x14ac:dyDescent="0.25">
      <c r="A695"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Non-displaced PopulationSD03141</v>
      </c>
      <c r="B695" s="134" t="s">
        <v>185</v>
      </c>
      <c r="C695" s="124" t="s">
        <v>120</v>
      </c>
      <c r="D695" s="124" t="s">
        <v>233</v>
      </c>
      <c r="E695" s="59" t="s">
        <v>232</v>
      </c>
      <c r="F695" s="54"/>
      <c r="G695" s="29"/>
      <c r="H695" s="53">
        <v>14993</v>
      </c>
      <c r="I695" s="53" t="s">
        <v>89</v>
      </c>
      <c r="J695" s="34">
        <v>0</v>
      </c>
      <c r="K695" s="116">
        <v>5812.7861000000003</v>
      </c>
      <c r="L695" s="114">
        <v>5997.2</v>
      </c>
      <c r="M695" s="114">
        <v>0</v>
      </c>
      <c r="N695" s="114">
        <v>5773</v>
      </c>
      <c r="O695" s="114">
        <v>1649.2300000000005</v>
      </c>
      <c r="P695" s="114">
        <v>1649</v>
      </c>
      <c r="Q695" s="114">
        <v>1187</v>
      </c>
      <c r="R695" s="114">
        <v>0</v>
      </c>
      <c r="S695" s="114">
        <v>2999</v>
      </c>
      <c r="T695" s="196">
        <v>13028.917000000001</v>
      </c>
      <c r="U695" s="52" t="str">
        <f>IFERROR(INDEX(tblPiNAnalysis[[Site Management ]], MATCH(tblPiNHistorical[[#This Row],[ID]], tblPiNAnalysis[ID], 0)), "")</f>
        <v/>
      </c>
      <c r="V695" s="52" t="str">
        <f>IFERROR(INDEX(tblPiNAnalysis[Education], MATCH(tblPiNHistorical[[#This Row],[ID]], tblPiNAnalysis[ID], 0)), "")</f>
        <v/>
      </c>
      <c r="W695" s="28" t="str">
        <f>IFERROR(INDEX(tblPiNAnalysis[Food Security and Livlihoods], MATCH(tblPiNHistorical[[#This Row],[ID]], tblPiNAnalysis[ID], 0)), "")</f>
        <v/>
      </c>
      <c r="X695" s="28" t="str">
        <f>IFERROR(INDEX(tblPiNAnalysis[[Health ]], MATCH(tblPiNHistorical[[#This Row],[ID]], tblPiNAnalysis[ID], 0)), "")</f>
        <v/>
      </c>
      <c r="Y695" s="28" t="str">
        <f>IFERROR(INDEX(tblPiNAnalysis[Nutrition], MATCH(tblPiNHistorical[[#This Row],[ID]], tblPiNAnalysis[ID], 0)), "")</f>
        <v/>
      </c>
      <c r="Z695" s="28" t="str">
        <f>IFERROR(INDEX(tblPiNAnalysis[Protection], MATCH(tblPiNHistorical[[#This Row],[ID]], tblPiNAnalysis[ID], 0)), "")</f>
        <v/>
      </c>
      <c r="AA695" s="28" t="str">
        <f>IFERROR(INDEX(tblPiNAnalysis[CP], MATCH(tblPiNHistorical[[#This Row],[ID]], tblPiNAnalysis[ID], 0)), "")</f>
        <v/>
      </c>
      <c r="AB695" s="83" t="str">
        <f>IFERROR(INDEX(tblPiNAnalysis[GBV], MATCH(tblPiNHistorical[[#This Row],[ID]], tblPiNAnalysis[ID], 0)), "")</f>
        <v/>
      </c>
      <c r="AC695" s="28" t="str">
        <f>IFERROR(INDEX(tblPiNAnalysis[Mine Action], MATCH(tblPiNHistorical[[#This Row],[ID]], tblPiNAnalysis[ID], 0)), "")</f>
        <v/>
      </c>
      <c r="AD695" s="83" t="str">
        <f>IFERROR(INDEX(tblPiNAnalysis[[Shelter NFI ]], MATCH(tblPiNHistorical[[#This Row],[ID]], tblPiNAnalysis[ID], 0)), "")</f>
        <v/>
      </c>
      <c r="AE695" s="28" t="str">
        <f>IFERROR(INDEX(tblPiNAnalysis[WASH], MATCH(tblPiNHistorical[[#This Row],[ID]], tblPiNAnalysis[ID], 0)), "")</f>
        <v/>
      </c>
      <c r="AF695"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695" s="136" t="str">
        <f>IF(OR(tblPiNHistorical[[#This Row],[Education Old]]="", tblPiNHistorical[[#This Row],[Education Old]]=0, tblPiNHistorical[[#This Row],[Education New]]="", tblPiNHistorical[[#This Row],[Education New]]=0), "", tblPiNHistorical[[#This Row],[Education New]]-tblPiNHistorical[[#This Row],[Education Old]])</f>
        <v/>
      </c>
      <c r="AH695"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695" s="137" t="str">
        <f>IF(OR(tblPiNHistorical[[#This Row],[Health Old]]="", tblPiNHistorical[[#This Row],[Health Old]]=0, tblPiNHistorical[[#This Row],[Health New]]="", tblPiNHistorical[[#This Row],[Health New]]=0), "", tblPiNHistorical[[#This Row],[Health New]]-tblPiNHistorical[[#This Row],[Health Old]])</f>
        <v/>
      </c>
      <c r="AJ695" s="136" t="str">
        <f>IF(OR(tblPiNHistorical[[#This Row],[Nutrition Old]]="", tblPiNHistorical[[#This Row],[Nutrition Old]]=0, tblPiNHistorical[[#This Row],[Nutrition New]]="", tblPiNHistorical[[#This Row],[Nutrition New]]=0), "", tblPiNHistorical[[#This Row],[Nutrition New]]-tblPiNHistorical[[#This Row],[Nutrition Old]])</f>
        <v/>
      </c>
      <c r="AK695" s="136" t="str">
        <f>IF(OR(tblPiNHistorical[[#This Row],[Protection Old]]="", tblPiNHistorical[[#This Row],[Protection Old]]=0, tblPiNHistorical[[#This Row],[Protection New]]="", tblPiNHistorical[[#This Row],[Protection New]]=0), "", tblPiNHistorical[[#This Row],[Protection New]]-tblPiNHistorical[[#This Row],[Protection Old]])</f>
        <v/>
      </c>
      <c r="AL695" s="136" t="str">
        <f>IF(OR(tblPiNHistorical[[#This Row],[CP Old ]]="", tblPiNHistorical[[#This Row],[CP Old ]]=0, tblPiNHistorical[[#This Row],[CP New]]="", tblPiNHistorical[[#This Row],[CP New]]=0), "", tblPiNHistorical[[#This Row],[CP New]]-tblPiNHistorical[[#This Row],[CP Old ]])</f>
        <v/>
      </c>
      <c r="AM695" s="83" t="str">
        <f>IF(OR(tblPiNHistorical[[#This Row],[GBV Old]]="", tblPiNHistorical[[#This Row],[GBV Old]]=0, tblPiNHistorical[[#This Row],[GBV New]]="", tblPiNHistorical[[#This Row],[GBV New]]=0), "", tblPiNHistorical[[#This Row],[GBV New]]-tblPiNHistorical[[#This Row],[GBV Old]])</f>
        <v/>
      </c>
      <c r="AN695" s="83" t="str">
        <f>IF(OR(tblPiNHistorical[[#This Row],[Mine Action Old]]="", tblPiNHistorical[[#This Row],[Mine Action Old]]=0, tblPiNHistorical[[#This Row],[Mine Action New]]="", tblPiNHistorical[[#This Row],[Mine Action New]]=0), "", tblPiNHistorical[[#This Row],[Mine Action New]]-tblPiNHistorical[[#This Row],[Mine Action Old]])</f>
        <v/>
      </c>
      <c r="AO695" s="136" t="str">
        <f>IF(OR(tblPiNHistorical[[#This Row],[Shelter NFI Old]]="", tblPiNHistorical[[#This Row],[Shelter NFI Old]]=0, tblPiNHistorical[[#This Row],[Shelter NFI New]]="", tblPiNHistorical[[#This Row],[Shelter NFI New]]=0), "", tblPiNHistorical[[#This Row],[Shelter NFI New]]-tblPiNHistorical[[#This Row],[Shelter NFI Old]])</f>
        <v/>
      </c>
      <c r="AP695" s="138" t="str">
        <f>IF(OR(tblPiNHistorical[[#This Row],[WASH Old]]="", tblPiNHistorical[[#This Row],[WASH Old]]=0, tblPiNHistorical[[#This Row],[WASH New]]="", tblPiNHistorical[[#This Row],[WASH New]]=0), "", tblPiNHistorical[[#This Row],[WASH New]]-tblPiNHistorical[[#This Row],[WASH Old]])</f>
        <v/>
      </c>
      <c r="AQ695" s="139" t="str">
        <f>IFERROR(ROUND((tblPiNHistorical[[#This Row],[Site Management - New]] - tblPiNHistorical[[#This Row],[Site Management - Old]])/tblPiNHistorical[[#This Row],[Site Management - Old]], 1), "")</f>
        <v/>
      </c>
      <c r="AR695" s="140" t="str">
        <f>IFERROR(ROUND((tblPiNHistorical[[#This Row],[Education New]]-tblPiNHistorical[[#This Row],[Education Old]])/tblPiNHistorical[[#This Row],[Education Old]], 1), "")</f>
        <v/>
      </c>
      <c r="AS695" s="141" t="str">
        <f>IFERROR(ROUND((tblPiNHistorical[[#This Row],[Food Security and Livlihoods New]]-tblPiNHistorical[[#This Row],[Food Security and Livlihoods Old]])/tblPiNHistorical[[#This Row],[Food Security and Livlihoods Old]], 1), "")</f>
        <v/>
      </c>
      <c r="AT695" s="142" t="str">
        <f>IFERROR(ROUND((tblPiNHistorical[[#This Row],[Health New]]-tblPiNHistorical[[#This Row],[Health Old]])/tblPiNHistorical[[#This Row],[Health Old]], 1), "")</f>
        <v/>
      </c>
      <c r="AU695" s="140" t="str">
        <f>IFERROR(ROUND((tblPiNHistorical[[#This Row],[Nutrition New]]-tblPiNHistorical[[#This Row],[Nutrition Old]])/tblPiNHistorical[[#This Row],[Nutrition Old]], 1), "")</f>
        <v/>
      </c>
      <c r="AV695" s="140" t="str">
        <f>IFERROR(ROUND((tblPiNHistorical[[#This Row],[Protection New]]-tblPiNHistorical[[#This Row],[Protection Old]])/tblPiNHistorical[[#This Row],[Protection Old]], 1), "")</f>
        <v/>
      </c>
      <c r="AW695" s="84" t="str">
        <f>IFERROR(ROUND((tblPiNHistorical[[#This Row],[CP New]]-tblPiNHistorical[[#This Row],[CP Old ]])/tblPiNHistorical[[#This Row],[CP Old ]], 1), "")</f>
        <v/>
      </c>
      <c r="AX695" s="84" t="str">
        <f>IFERROR(ROUND((tblPiNHistorical[[#This Row],[GBV New]]-tblPiNHistorical[[#This Row],[GBV Old]])/tblPiNHistorical[[#This Row],[GBV Old]], 1), "")</f>
        <v/>
      </c>
      <c r="AY695" s="84" t="str">
        <f>IFERROR(ROUND((tblPiNHistorical[[#This Row],[Mine Action New]]-tblPiNHistorical[[#This Row],[Mine Action Old]])/tblPiNHistorical[[#This Row],[Mine Action Old]], 1), "")</f>
        <v/>
      </c>
      <c r="AZ695" s="140" t="str">
        <f>IFERROR(ROUND((tblPiNHistorical[[#This Row],[Shelter NFI New]]-tblPiNHistorical[[#This Row],[Shelter NFI Old]])/tblPiNHistorical[[#This Row],[Shelter NFI Old]], 1), "")</f>
        <v/>
      </c>
      <c r="BA695" s="31" t="str">
        <f>IFERROR(ROUND((tblPiNHistorical[[#This Row],[WASH New]]-tblPiNHistorical[[#This Row],[WASH Old]])/tblPiNHistorical[[#This Row],[WASH Old]], 1), "")</f>
        <v/>
      </c>
    </row>
    <row r="696" spans="1:53" ht="38.25" x14ac:dyDescent="0.25">
      <c r="A696"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Non-displaced PopulationSD03150</v>
      </c>
      <c r="B696" s="134" t="s">
        <v>185</v>
      </c>
      <c r="C696" s="124" t="s">
        <v>120</v>
      </c>
      <c r="D696" s="124" t="s">
        <v>247</v>
      </c>
      <c r="E696" s="59" t="s">
        <v>246</v>
      </c>
      <c r="F696" s="54"/>
      <c r="G696" s="29"/>
      <c r="H696" s="53">
        <v>33153</v>
      </c>
      <c r="I696" s="53" t="s">
        <v>89</v>
      </c>
      <c r="J696" s="34">
        <v>0</v>
      </c>
      <c r="K696" s="116">
        <v>12853.418099999999</v>
      </c>
      <c r="L696" s="114">
        <v>19891.8</v>
      </c>
      <c r="M696" s="114">
        <v>0</v>
      </c>
      <c r="N696" s="114">
        <v>3292</v>
      </c>
      <c r="O696" s="114">
        <v>4972.95</v>
      </c>
      <c r="P696" s="114">
        <v>3647</v>
      </c>
      <c r="Q696" s="114">
        <v>2625</v>
      </c>
      <c r="R696" s="114">
        <v>4972.95</v>
      </c>
      <c r="S696" s="114">
        <v>0</v>
      </c>
      <c r="T696" s="196">
        <v>20180.231099999997</v>
      </c>
      <c r="U696" s="52" t="str">
        <f>IFERROR(INDEX(tblPiNAnalysis[[Site Management ]], MATCH(tblPiNHistorical[[#This Row],[ID]], tblPiNAnalysis[ID], 0)), "")</f>
        <v/>
      </c>
      <c r="V696" s="52" t="str">
        <f>IFERROR(INDEX(tblPiNAnalysis[Education], MATCH(tblPiNHistorical[[#This Row],[ID]], tblPiNAnalysis[ID], 0)), "")</f>
        <v/>
      </c>
      <c r="W696" s="28" t="str">
        <f>IFERROR(INDEX(tblPiNAnalysis[Food Security and Livlihoods], MATCH(tblPiNHistorical[[#This Row],[ID]], tblPiNAnalysis[ID], 0)), "")</f>
        <v/>
      </c>
      <c r="X696" s="28" t="str">
        <f>IFERROR(INDEX(tblPiNAnalysis[[Health ]], MATCH(tblPiNHistorical[[#This Row],[ID]], tblPiNAnalysis[ID], 0)), "")</f>
        <v/>
      </c>
      <c r="Y696" s="28" t="str">
        <f>IFERROR(INDEX(tblPiNAnalysis[Nutrition], MATCH(tblPiNHistorical[[#This Row],[ID]], tblPiNAnalysis[ID], 0)), "")</f>
        <v/>
      </c>
      <c r="Z696" s="28" t="str">
        <f>IFERROR(INDEX(tblPiNAnalysis[Protection], MATCH(tblPiNHistorical[[#This Row],[ID]], tblPiNAnalysis[ID], 0)), "")</f>
        <v/>
      </c>
      <c r="AA696" s="28" t="str">
        <f>IFERROR(INDEX(tblPiNAnalysis[CP], MATCH(tblPiNHistorical[[#This Row],[ID]], tblPiNAnalysis[ID], 0)), "")</f>
        <v/>
      </c>
      <c r="AB696" s="83" t="str">
        <f>IFERROR(INDEX(tblPiNAnalysis[GBV], MATCH(tblPiNHistorical[[#This Row],[ID]], tblPiNAnalysis[ID], 0)), "")</f>
        <v/>
      </c>
      <c r="AC696" s="28" t="str">
        <f>IFERROR(INDEX(tblPiNAnalysis[Mine Action], MATCH(tblPiNHistorical[[#This Row],[ID]], tblPiNAnalysis[ID], 0)), "")</f>
        <v/>
      </c>
      <c r="AD696" s="83" t="str">
        <f>IFERROR(INDEX(tblPiNAnalysis[[Shelter NFI ]], MATCH(tblPiNHistorical[[#This Row],[ID]], tblPiNAnalysis[ID], 0)), "")</f>
        <v/>
      </c>
      <c r="AE696" s="28" t="str">
        <f>IFERROR(INDEX(tblPiNAnalysis[WASH], MATCH(tblPiNHistorical[[#This Row],[ID]], tblPiNAnalysis[ID], 0)), "")</f>
        <v/>
      </c>
      <c r="AF696"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696" s="136" t="str">
        <f>IF(OR(tblPiNHistorical[[#This Row],[Education Old]]="", tblPiNHistorical[[#This Row],[Education Old]]=0, tblPiNHistorical[[#This Row],[Education New]]="", tblPiNHistorical[[#This Row],[Education New]]=0), "", tblPiNHistorical[[#This Row],[Education New]]-tblPiNHistorical[[#This Row],[Education Old]])</f>
        <v/>
      </c>
      <c r="AH696"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696" s="137" t="str">
        <f>IF(OR(tblPiNHistorical[[#This Row],[Health Old]]="", tblPiNHistorical[[#This Row],[Health Old]]=0, tblPiNHistorical[[#This Row],[Health New]]="", tblPiNHistorical[[#This Row],[Health New]]=0), "", tblPiNHistorical[[#This Row],[Health New]]-tblPiNHistorical[[#This Row],[Health Old]])</f>
        <v/>
      </c>
      <c r="AJ696" s="136" t="str">
        <f>IF(OR(tblPiNHistorical[[#This Row],[Nutrition Old]]="", tblPiNHistorical[[#This Row],[Nutrition Old]]=0, tblPiNHistorical[[#This Row],[Nutrition New]]="", tblPiNHistorical[[#This Row],[Nutrition New]]=0), "", tblPiNHistorical[[#This Row],[Nutrition New]]-tblPiNHistorical[[#This Row],[Nutrition Old]])</f>
        <v/>
      </c>
      <c r="AK696" s="136" t="str">
        <f>IF(OR(tblPiNHistorical[[#This Row],[Protection Old]]="", tblPiNHistorical[[#This Row],[Protection Old]]=0, tblPiNHistorical[[#This Row],[Protection New]]="", tblPiNHistorical[[#This Row],[Protection New]]=0), "", tblPiNHistorical[[#This Row],[Protection New]]-tblPiNHistorical[[#This Row],[Protection Old]])</f>
        <v/>
      </c>
      <c r="AL696" s="136" t="str">
        <f>IF(OR(tblPiNHistorical[[#This Row],[CP Old ]]="", tblPiNHistorical[[#This Row],[CP Old ]]=0, tblPiNHistorical[[#This Row],[CP New]]="", tblPiNHistorical[[#This Row],[CP New]]=0), "", tblPiNHistorical[[#This Row],[CP New]]-tblPiNHistorical[[#This Row],[CP Old ]])</f>
        <v/>
      </c>
      <c r="AM696" s="83" t="str">
        <f>IF(OR(tblPiNHistorical[[#This Row],[GBV Old]]="", tblPiNHistorical[[#This Row],[GBV Old]]=0, tblPiNHistorical[[#This Row],[GBV New]]="", tblPiNHistorical[[#This Row],[GBV New]]=0), "", tblPiNHistorical[[#This Row],[GBV New]]-tblPiNHistorical[[#This Row],[GBV Old]])</f>
        <v/>
      </c>
      <c r="AN696" s="83" t="str">
        <f>IF(OR(tblPiNHistorical[[#This Row],[Mine Action Old]]="", tblPiNHistorical[[#This Row],[Mine Action Old]]=0, tblPiNHistorical[[#This Row],[Mine Action New]]="", tblPiNHistorical[[#This Row],[Mine Action New]]=0), "", tblPiNHistorical[[#This Row],[Mine Action New]]-tblPiNHistorical[[#This Row],[Mine Action Old]])</f>
        <v/>
      </c>
      <c r="AO696" s="136" t="str">
        <f>IF(OR(tblPiNHistorical[[#This Row],[Shelter NFI Old]]="", tblPiNHistorical[[#This Row],[Shelter NFI Old]]=0, tblPiNHistorical[[#This Row],[Shelter NFI New]]="", tblPiNHistorical[[#This Row],[Shelter NFI New]]=0), "", tblPiNHistorical[[#This Row],[Shelter NFI New]]-tblPiNHistorical[[#This Row],[Shelter NFI Old]])</f>
        <v/>
      </c>
      <c r="AP696" s="138" t="str">
        <f>IF(OR(tblPiNHistorical[[#This Row],[WASH Old]]="", tblPiNHistorical[[#This Row],[WASH Old]]=0, tblPiNHistorical[[#This Row],[WASH New]]="", tblPiNHistorical[[#This Row],[WASH New]]=0), "", tblPiNHistorical[[#This Row],[WASH New]]-tblPiNHistorical[[#This Row],[WASH Old]])</f>
        <v/>
      </c>
      <c r="AQ696" s="139" t="str">
        <f>IFERROR(ROUND((tblPiNHistorical[[#This Row],[Site Management - New]] - tblPiNHistorical[[#This Row],[Site Management - Old]])/tblPiNHistorical[[#This Row],[Site Management - Old]], 1), "")</f>
        <v/>
      </c>
      <c r="AR696" s="140" t="str">
        <f>IFERROR(ROUND((tblPiNHistorical[[#This Row],[Education New]]-tblPiNHistorical[[#This Row],[Education Old]])/tblPiNHistorical[[#This Row],[Education Old]], 1), "")</f>
        <v/>
      </c>
      <c r="AS696" s="141" t="str">
        <f>IFERROR(ROUND((tblPiNHistorical[[#This Row],[Food Security and Livlihoods New]]-tblPiNHistorical[[#This Row],[Food Security and Livlihoods Old]])/tblPiNHistorical[[#This Row],[Food Security and Livlihoods Old]], 1), "")</f>
        <v/>
      </c>
      <c r="AT696" s="142" t="str">
        <f>IFERROR(ROUND((tblPiNHistorical[[#This Row],[Health New]]-tblPiNHistorical[[#This Row],[Health Old]])/tblPiNHistorical[[#This Row],[Health Old]], 1), "")</f>
        <v/>
      </c>
      <c r="AU696" s="140" t="str">
        <f>IFERROR(ROUND((tblPiNHistorical[[#This Row],[Nutrition New]]-tblPiNHistorical[[#This Row],[Nutrition Old]])/tblPiNHistorical[[#This Row],[Nutrition Old]], 1), "")</f>
        <v/>
      </c>
      <c r="AV696" s="140" t="str">
        <f>IFERROR(ROUND((tblPiNHistorical[[#This Row],[Protection New]]-tblPiNHistorical[[#This Row],[Protection Old]])/tblPiNHistorical[[#This Row],[Protection Old]], 1), "")</f>
        <v/>
      </c>
      <c r="AW696" s="84" t="str">
        <f>IFERROR(ROUND((tblPiNHistorical[[#This Row],[CP New]]-tblPiNHistorical[[#This Row],[CP Old ]])/tblPiNHistorical[[#This Row],[CP Old ]], 1), "")</f>
        <v/>
      </c>
      <c r="AX696" s="84" t="str">
        <f>IFERROR(ROUND((tblPiNHistorical[[#This Row],[GBV New]]-tblPiNHistorical[[#This Row],[GBV Old]])/tblPiNHistorical[[#This Row],[GBV Old]], 1), "")</f>
        <v/>
      </c>
      <c r="AY696" s="84" t="str">
        <f>IFERROR(ROUND((tblPiNHistorical[[#This Row],[Mine Action New]]-tblPiNHistorical[[#This Row],[Mine Action Old]])/tblPiNHistorical[[#This Row],[Mine Action Old]], 1), "")</f>
        <v/>
      </c>
      <c r="AZ696" s="140" t="str">
        <f>IFERROR(ROUND((tblPiNHistorical[[#This Row],[Shelter NFI New]]-tblPiNHistorical[[#This Row],[Shelter NFI Old]])/tblPiNHistorical[[#This Row],[Shelter NFI Old]], 1), "")</f>
        <v/>
      </c>
      <c r="BA696" s="31" t="str">
        <f>IFERROR(ROUND((tblPiNHistorical[[#This Row],[WASH New]]-tblPiNHistorical[[#This Row],[WASH Old]])/tblPiNHistorical[[#This Row],[WASH Old]], 1), "")</f>
        <v/>
      </c>
    </row>
    <row r="697" spans="1:53" ht="38.25" x14ac:dyDescent="0.25">
      <c r="A697"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Non-displaced PopulationSD03166</v>
      </c>
      <c r="B697" s="134" t="s">
        <v>185</v>
      </c>
      <c r="C697" s="124" t="s">
        <v>120</v>
      </c>
      <c r="D697" s="124" t="s">
        <v>269</v>
      </c>
      <c r="E697" s="59" t="s">
        <v>268</v>
      </c>
      <c r="F697" s="54"/>
      <c r="G697" s="29"/>
      <c r="H697" s="53">
        <v>53663</v>
      </c>
      <c r="I697" s="53" t="s">
        <v>89</v>
      </c>
      <c r="J697" s="34">
        <v>0</v>
      </c>
      <c r="K697" s="116">
        <v>20805.145099999998</v>
      </c>
      <c r="L697" s="114">
        <v>29514.65</v>
      </c>
      <c r="M697" s="114">
        <v>0</v>
      </c>
      <c r="N697" s="114">
        <v>8032</v>
      </c>
      <c r="O697" s="114">
        <v>8049.45</v>
      </c>
      <c r="P697" s="114">
        <v>5903</v>
      </c>
      <c r="Q697" s="114">
        <v>4248</v>
      </c>
      <c r="R697" s="114">
        <v>8049.45</v>
      </c>
      <c r="S697" s="114">
        <v>0</v>
      </c>
      <c r="T697" s="196">
        <v>40225.784800000009</v>
      </c>
      <c r="U697" s="52" t="str">
        <f>IFERROR(INDEX(tblPiNAnalysis[[Site Management ]], MATCH(tblPiNHistorical[[#This Row],[ID]], tblPiNAnalysis[ID], 0)), "")</f>
        <v/>
      </c>
      <c r="V697" s="52" t="str">
        <f>IFERROR(INDEX(tblPiNAnalysis[Education], MATCH(tblPiNHistorical[[#This Row],[ID]], tblPiNAnalysis[ID], 0)), "")</f>
        <v/>
      </c>
      <c r="W697" s="28" t="str">
        <f>IFERROR(INDEX(tblPiNAnalysis[Food Security and Livlihoods], MATCH(tblPiNHistorical[[#This Row],[ID]], tblPiNAnalysis[ID], 0)), "")</f>
        <v/>
      </c>
      <c r="X697" s="28" t="str">
        <f>IFERROR(INDEX(tblPiNAnalysis[[Health ]], MATCH(tblPiNHistorical[[#This Row],[ID]], tblPiNAnalysis[ID], 0)), "")</f>
        <v/>
      </c>
      <c r="Y697" s="28" t="str">
        <f>IFERROR(INDEX(tblPiNAnalysis[Nutrition], MATCH(tblPiNHistorical[[#This Row],[ID]], tblPiNAnalysis[ID], 0)), "")</f>
        <v/>
      </c>
      <c r="Z697" s="28" t="str">
        <f>IFERROR(INDEX(tblPiNAnalysis[Protection], MATCH(tblPiNHistorical[[#This Row],[ID]], tblPiNAnalysis[ID], 0)), "")</f>
        <v/>
      </c>
      <c r="AA697" s="28" t="str">
        <f>IFERROR(INDEX(tblPiNAnalysis[CP], MATCH(tblPiNHistorical[[#This Row],[ID]], tblPiNAnalysis[ID], 0)), "")</f>
        <v/>
      </c>
      <c r="AB697" s="83" t="str">
        <f>IFERROR(INDEX(tblPiNAnalysis[GBV], MATCH(tblPiNHistorical[[#This Row],[ID]], tblPiNAnalysis[ID], 0)), "")</f>
        <v/>
      </c>
      <c r="AC697" s="28" t="str">
        <f>IFERROR(INDEX(tblPiNAnalysis[Mine Action], MATCH(tblPiNHistorical[[#This Row],[ID]], tblPiNAnalysis[ID], 0)), "")</f>
        <v/>
      </c>
      <c r="AD697" s="83" t="str">
        <f>IFERROR(INDEX(tblPiNAnalysis[[Shelter NFI ]], MATCH(tblPiNHistorical[[#This Row],[ID]], tblPiNAnalysis[ID], 0)), "")</f>
        <v/>
      </c>
      <c r="AE697" s="28" t="str">
        <f>IFERROR(INDEX(tblPiNAnalysis[WASH], MATCH(tblPiNHistorical[[#This Row],[ID]], tblPiNAnalysis[ID], 0)), "")</f>
        <v/>
      </c>
      <c r="AF697"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697" s="136" t="str">
        <f>IF(OR(tblPiNHistorical[[#This Row],[Education Old]]="", tblPiNHistorical[[#This Row],[Education Old]]=0, tblPiNHistorical[[#This Row],[Education New]]="", tblPiNHistorical[[#This Row],[Education New]]=0), "", tblPiNHistorical[[#This Row],[Education New]]-tblPiNHistorical[[#This Row],[Education Old]])</f>
        <v/>
      </c>
      <c r="AH697"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697" s="137" t="str">
        <f>IF(OR(tblPiNHistorical[[#This Row],[Health Old]]="", tblPiNHistorical[[#This Row],[Health Old]]=0, tblPiNHistorical[[#This Row],[Health New]]="", tblPiNHistorical[[#This Row],[Health New]]=0), "", tblPiNHistorical[[#This Row],[Health New]]-tblPiNHistorical[[#This Row],[Health Old]])</f>
        <v/>
      </c>
      <c r="AJ697" s="136" t="str">
        <f>IF(OR(tblPiNHistorical[[#This Row],[Nutrition Old]]="", tblPiNHistorical[[#This Row],[Nutrition Old]]=0, tblPiNHistorical[[#This Row],[Nutrition New]]="", tblPiNHistorical[[#This Row],[Nutrition New]]=0), "", tblPiNHistorical[[#This Row],[Nutrition New]]-tblPiNHistorical[[#This Row],[Nutrition Old]])</f>
        <v/>
      </c>
      <c r="AK697" s="136" t="str">
        <f>IF(OR(tblPiNHistorical[[#This Row],[Protection Old]]="", tblPiNHistorical[[#This Row],[Protection Old]]=0, tblPiNHistorical[[#This Row],[Protection New]]="", tblPiNHistorical[[#This Row],[Protection New]]=0), "", tblPiNHistorical[[#This Row],[Protection New]]-tblPiNHistorical[[#This Row],[Protection Old]])</f>
        <v/>
      </c>
      <c r="AL697" s="136" t="str">
        <f>IF(OR(tblPiNHistorical[[#This Row],[CP Old ]]="", tblPiNHistorical[[#This Row],[CP Old ]]=0, tblPiNHistorical[[#This Row],[CP New]]="", tblPiNHistorical[[#This Row],[CP New]]=0), "", tblPiNHistorical[[#This Row],[CP New]]-tblPiNHistorical[[#This Row],[CP Old ]])</f>
        <v/>
      </c>
      <c r="AM697" s="83" t="str">
        <f>IF(OR(tblPiNHistorical[[#This Row],[GBV Old]]="", tblPiNHistorical[[#This Row],[GBV Old]]=0, tblPiNHistorical[[#This Row],[GBV New]]="", tblPiNHistorical[[#This Row],[GBV New]]=0), "", tblPiNHistorical[[#This Row],[GBV New]]-tblPiNHistorical[[#This Row],[GBV Old]])</f>
        <v/>
      </c>
      <c r="AN697" s="83" t="str">
        <f>IF(OR(tblPiNHistorical[[#This Row],[Mine Action Old]]="", tblPiNHistorical[[#This Row],[Mine Action Old]]=0, tblPiNHistorical[[#This Row],[Mine Action New]]="", tblPiNHistorical[[#This Row],[Mine Action New]]=0), "", tblPiNHistorical[[#This Row],[Mine Action New]]-tblPiNHistorical[[#This Row],[Mine Action Old]])</f>
        <v/>
      </c>
      <c r="AO697" s="136" t="str">
        <f>IF(OR(tblPiNHistorical[[#This Row],[Shelter NFI Old]]="", tblPiNHistorical[[#This Row],[Shelter NFI Old]]=0, tblPiNHistorical[[#This Row],[Shelter NFI New]]="", tblPiNHistorical[[#This Row],[Shelter NFI New]]=0), "", tblPiNHistorical[[#This Row],[Shelter NFI New]]-tblPiNHistorical[[#This Row],[Shelter NFI Old]])</f>
        <v/>
      </c>
      <c r="AP697" s="138" t="str">
        <f>IF(OR(tblPiNHistorical[[#This Row],[WASH Old]]="", tblPiNHistorical[[#This Row],[WASH Old]]=0, tblPiNHistorical[[#This Row],[WASH New]]="", tblPiNHistorical[[#This Row],[WASH New]]=0), "", tblPiNHistorical[[#This Row],[WASH New]]-tblPiNHistorical[[#This Row],[WASH Old]])</f>
        <v/>
      </c>
      <c r="AQ697" s="139" t="str">
        <f>IFERROR(ROUND((tblPiNHistorical[[#This Row],[Site Management - New]] - tblPiNHistorical[[#This Row],[Site Management - Old]])/tblPiNHistorical[[#This Row],[Site Management - Old]], 1), "")</f>
        <v/>
      </c>
      <c r="AR697" s="140" t="str">
        <f>IFERROR(ROUND((tblPiNHistorical[[#This Row],[Education New]]-tblPiNHistorical[[#This Row],[Education Old]])/tblPiNHistorical[[#This Row],[Education Old]], 1), "")</f>
        <v/>
      </c>
      <c r="AS697" s="141" t="str">
        <f>IFERROR(ROUND((tblPiNHistorical[[#This Row],[Food Security and Livlihoods New]]-tblPiNHistorical[[#This Row],[Food Security and Livlihoods Old]])/tblPiNHistorical[[#This Row],[Food Security and Livlihoods Old]], 1), "")</f>
        <v/>
      </c>
      <c r="AT697" s="142" t="str">
        <f>IFERROR(ROUND((tblPiNHistorical[[#This Row],[Health New]]-tblPiNHistorical[[#This Row],[Health Old]])/tblPiNHistorical[[#This Row],[Health Old]], 1), "")</f>
        <v/>
      </c>
      <c r="AU697" s="140" t="str">
        <f>IFERROR(ROUND((tblPiNHistorical[[#This Row],[Nutrition New]]-tblPiNHistorical[[#This Row],[Nutrition Old]])/tblPiNHistorical[[#This Row],[Nutrition Old]], 1), "")</f>
        <v/>
      </c>
      <c r="AV697" s="140" t="str">
        <f>IFERROR(ROUND((tblPiNHistorical[[#This Row],[Protection New]]-tblPiNHistorical[[#This Row],[Protection Old]])/tblPiNHistorical[[#This Row],[Protection Old]], 1), "")</f>
        <v/>
      </c>
      <c r="AW697" s="84" t="str">
        <f>IFERROR(ROUND((tblPiNHistorical[[#This Row],[CP New]]-tblPiNHistorical[[#This Row],[CP Old ]])/tblPiNHistorical[[#This Row],[CP Old ]], 1), "")</f>
        <v/>
      </c>
      <c r="AX697" s="84" t="str">
        <f>IFERROR(ROUND((tblPiNHistorical[[#This Row],[GBV New]]-tblPiNHistorical[[#This Row],[GBV Old]])/tblPiNHistorical[[#This Row],[GBV Old]], 1), "")</f>
        <v/>
      </c>
      <c r="AY697" s="84" t="str">
        <f>IFERROR(ROUND((tblPiNHistorical[[#This Row],[Mine Action New]]-tblPiNHistorical[[#This Row],[Mine Action Old]])/tblPiNHistorical[[#This Row],[Mine Action Old]], 1), "")</f>
        <v/>
      </c>
      <c r="AZ697" s="140" t="str">
        <f>IFERROR(ROUND((tblPiNHistorical[[#This Row],[Shelter NFI New]]-tblPiNHistorical[[#This Row],[Shelter NFI Old]])/tblPiNHistorical[[#This Row],[Shelter NFI Old]], 1), "")</f>
        <v/>
      </c>
      <c r="BA697" s="31" t="str">
        <f>IFERROR(ROUND((tblPiNHistorical[[#This Row],[WASH New]]-tblPiNHistorical[[#This Row],[WASH Old]])/tblPiNHistorical[[#This Row],[WASH Old]], 1), "")</f>
        <v/>
      </c>
    </row>
    <row r="698" spans="1:53" ht="38.25" x14ac:dyDescent="0.25">
      <c r="A698"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Non-displaced PopulationSD03156</v>
      </c>
      <c r="B698" s="134" t="s">
        <v>185</v>
      </c>
      <c r="C698" s="124" t="s">
        <v>120</v>
      </c>
      <c r="D698" s="124" t="s">
        <v>255</v>
      </c>
      <c r="E698" s="59" t="s">
        <v>254</v>
      </c>
      <c r="F698" s="54"/>
      <c r="G698" s="29"/>
      <c r="H698" s="53">
        <v>75770</v>
      </c>
      <c r="I698" s="53" t="s">
        <v>89</v>
      </c>
      <c r="J698" s="34">
        <v>0</v>
      </c>
      <c r="K698" s="116">
        <v>29376.028999999999</v>
      </c>
      <c r="L698" s="114">
        <v>37885</v>
      </c>
      <c r="M698" s="114">
        <v>0</v>
      </c>
      <c r="N698" s="114">
        <v>17676</v>
      </c>
      <c r="O698" s="114">
        <v>8334.7000000000007</v>
      </c>
      <c r="P698" s="114">
        <v>8335</v>
      </c>
      <c r="Q698" s="114">
        <v>5998</v>
      </c>
      <c r="R698" s="114">
        <v>0</v>
      </c>
      <c r="S698" s="114">
        <v>0</v>
      </c>
      <c r="T698" s="196">
        <v>71693.574000000008</v>
      </c>
      <c r="U698" s="52" t="str">
        <f>IFERROR(INDEX(tblPiNAnalysis[[Site Management ]], MATCH(tblPiNHistorical[[#This Row],[ID]], tblPiNAnalysis[ID], 0)), "")</f>
        <v/>
      </c>
      <c r="V698" s="52" t="str">
        <f>IFERROR(INDEX(tblPiNAnalysis[Education], MATCH(tblPiNHistorical[[#This Row],[ID]], tblPiNAnalysis[ID], 0)), "")</f>
        <v/>
      </c>
      <c r="W698" s="28" t="str">
        <f>IFERROR(INDEX(tblPiNAnalysis[Food Security and Livlihoods], MATCH(tblPiNHistorical[[#This Row],[ID]], tblPiNAnalysis[ID], 0)), "")</f>
        <v/>
      </c>
      <c r="X698" s="28" t="str">
        <f>IFERROR(INDEX(tblPiNAnalysis[[Health ]], MATCH(tblPiNHistorical[[#This Row],[ID]], tblPiNAnalysis[ID], 0)), "")</f>
        <v/>
      </c>
      <c r="Y698" s="28" t="str">
        <f>IFERROR(INDEX(tblPiNAnalysis[Nutrition], MATCH(tblPiNHistorical[[#This Row],[ID]], tblPiNAnalysis[ID], 0)), "")</f>
        <v/>
      </c>
      <c r="Z698" s="28" t="str">
        <f>IFERROR(INDEX(tblPiNAnalysis[Protection], MATCH(tblPiNHistorical[[#This Row],[ID]], tblPiNAnalysis[ID], 0)), "")</f>
        <v/>
      </c>
      <c r="AA698" s="28" t="str">
        <f>IFERROR(INDEX(tblPiNAnalysis[CP], MATCH(tblPiNHistorical[[#This Row],[ID]], tblPiNAnalysis[ID], 0)), "")</f>
        <v/>
      </c>
      <c r="AB698" s="83" t="str">
        <f>IFERROR(INDEX(tblPiNAnalysis[GBV], MATCH(tblPiNHistorical[[#This Row],[ID]], tblPiNAnalysis[ID], 0)), "")</f>
        <v/>
      </c>
      <c r="AC698" s="28" t="str">
        <f>IFERROR(INDEX(tblPiNAnalysis[Mine Action], MATCH(tblPiNHistorical[[#This Row],[ID]], tblPiNAnalysis[ID], 0)), "")</f>
        <v/>
      </c>
      <c r="AD698" s="83" t="str">
        <f>IFERROR(INDEX(tblPiNAnalysis[[Shelter NFI ]], MATCH(tblPiNHistorical[[#This Row],[ID]], tblPiNAnalysis[ID], 0)), "")</f>
        <v/>
      </c>
      <c r="AE698" s="28" t="str">
        <f>IFERROR(INDEX(tblPiNAnalysis[WASH], MATCH(tblPiNHistorical[[#This Row],[ID]], tblPiNAnalysis[ID], 0)), "")</f>
        <v/>
      </c>
      <c r="AF698"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698" s="136" t="str">
        <f>IF(OR(tblPiNHistorical[[#This Row],[Education Old]]="", tblPiNHistorical[[#This Row],[Education Old]]=0, tblPiNHistorical[[#This Row],[Education New]]="", tblPiNHistorical[[#This Row],[Education New]]=0), "", tblPiNHistorical[[#This Row],[Education New]]-tblPiNHistorical[[#This Row],[Education Old]])</f>
        <v/>
      </c>
      <c r="AH698"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698" s="137" t="str">
        <f>IF(OR(tblPiNHistorical[[#This Row],[Health Old]]="", tblPiNHistorical[[#This Row],[Health Old]]=0, tblPiNHistorical[[#This Row],[Health New]]="", tblPiNHistorical[[#This Row],[Health New]]=0), "", tblPiNHistorical[[#This Row],[Health New]]-tblPiNHistorical[[#This Row],[Health Old]])</f>
        <v/>
      </c>
      <c r="AJ698" s="136" t="str">
        <f>IF(OR(tblPiNHistorical[[#This Row],[Nutrition Old]]="", tblPiNHistorical[[#This Row],[Nutrition Old]]=0, tblPiNHistorical[[#This Row],[Nutrition New]]="", tblPiNHistorical[[#This Row],[Nutrition New]]=0), "", tblPiNHistorical[[#This Row],[Nutrition New]]-tblPiNHistorical[[#This Row],[Nutrition Old]])</f>
        <v/>
      </c>
      <c r="AK698" s="136" t="str">
        <f>IF(OR(tblPiNHistorical[[#This Row],[Protection Old]]="", tblPiNHistorical[[#This Row],[Protection Old]]=0, tblPiNHistorical[[#This Row],[Protection New]]="", tblPiNHistorical[[#This Row],[Protection New]]=0), "", tblPiNHistorical[[#This Row],[Protection New]]-tblPiNHistorical[[#This Row],[Protection Old]])</f>
        <v/>
      </c>
      <c r="AL698" s="136" t="str">
        <f>IF(OR(tblPiNHistorical[[#This Row],[CP Old ]]="", tblPiNHistorical[[#This Row],[CP Old ]]=0, tblPiNHistorical[[#This Row],[CP New]]="", tblPiNHistorical[[#This Row],[CP New]]=0), "", tblPiNHistorical[[#This Row],[CP New]]-tblPiNHistorical[[#This Row],[CP Old ]])</f>
        <v/>
      </c>
      <c r="AM698" s="83" t="str">
        <f>IF(OR(tblPiNHistorical[[#This Row],[GBV Old]]="", tblPiNHistorical[[#This Row],[GBV Old]]=0, tblPiNHistorical[[#This Row],[GBV New]]="", tblPiNHistorical[[#This Row],[GBV New]]=0), "", tblPiNHistorical[[#This Row],[GBV New]]-tblPiNHistorical[[#This Row],[GBV Old]])</f>
        <v/>
      </c>
      <c r="AN698" s="83" t="str">
        <f>IF(OR(tblPiNHistorical[[#This Row],[Mine Action Old]]="", tblPiNHistorical[[#This Row],[Mine Action Old]]=0, tblPiNHistorical[[#This Row],[Mine Action New]]="", tblPiNHistorical[[#This Row],[Mine Action New]]=0), "", tblPiNHistorical[[#This Row],[Mine Action New]]-tblPiNHistorical[[#This Row],[Mine Action Old]])</f>
        <v/>
      </c>
      <c r="AO698" s="136" t="str">
        <f>IF(OR(tblPiNHistorical[[#This Row],[Shelter NFI Old]]="", tblPiNHistorical[[#This Row],[Shelter NFI Old]]=0, tblPiNHistorical[[#This Row],[Shelter NFI New]]="", tblPiNHistorical[[#This Row],[Shelter NFI New]]=0), "", tblPiNHistorical[[#This Row],[Shelter NFI New]]-tblPiNHistorical[[#This Row],[Shelter NFI Old]])</f>
        <v/>
      </c>
      <c r="AP698" s="138" t="str">
        <f>IF(OR(tblPiNHistorical[[#This Row],[WASH Old]]="", tblPiNHistorical[[#This Row],[WASH Old]]=0, tblPiNHistorical[[#This Row],[WASH New]]="", tblPiNHistorical[[#This Row],[WASH New]]=0), "", tblPiNHistorical[[#This Row],[WASH New]]-tblPiNHistorical[[#This Row],[WASH Old]])</f>
        <v/>
      </c>
      <c r="AQ698" s="139" t="str">
        <f>IFERROR(ROUND((tblPiNHistorical[[#This Row],[Site Management - New]] - tblPiNHistorical[[#This Row],[Site Management - Old]])/tblPiNHistorical[[#This Row],[Site Management - Old]], 1), "")</f>
        <v/>
      </c>
      <c r="AR698" s="140" t="str">
        <f>IFERROR(ROUND((tblPiNHistorical[[#This Row],[Education New]]-tblPiNHistorical[[#This Row],[Education Old]])/tblPiNHistorical[[#This Row],[Education Old]], 1), "")</f>
        <v/>
      </c>
      <c r="AS698" s="141" t="str">
        <f>IFERROR(ROUND((tblPiNHistorical[[#This Row],[Food Security and Livlihoods New]]-tblPiNHistorical[[#This Row],[Food Security and Livlihoods Old]])/tblPiNHistorical[[#This Row],[Food Security and Livlihoods Old]], 1), "")</f>
        <v/>
      </c>
      <c r="AT698" s="142" t="str">
        <f>IFERROR(ROUND((tblPiNHistorical[[#This Row],[Health New]]-tblPiNHistorical[[#This Row],[Health Old]])/tblPiNHistorical[[#This Row],[Health Old]], 1), "")</f>
        <v/>
      </c>
      <c r="AU698" s="140" t="str">
        <f>IFERROR(ROUND((tblPiNHistorical[[#This Row],[Nutrition New]]-tblPiNHistorical[[#This Row],[Nutrition Old]])/tblPiNHistorical[[#This Row],[Nutrition Old]], 1), "")</f>
        <v/>
      </c>
      <c r="AV698" s="140" t="str">
        <f>IFERROR(ROUND((tblPiNHistorical[[#This Row],[Protection New]]-tblPiNHistorical[[#This Row],[Protection Old]])/tblPiNHistorical[[#This Row],[Protection Old]], 1), "")</f>
        <v/>
      </c>
      <c r="AW698" s="84" t="str">
        <f>IFERROR(ROUND((tblPiNHistorical[[#This Row],[CP New]]-tblPiNHistorical[[#This Row],[CP Old ]])/tblPiNHistorical[[#This Row],[CP Old ]], 1), "")</f>
        <v/>
      </c>
      <c r="AX698" s="84" t="str">
        <f>IFERROR(ROUND((tblPiNHistorical[[#This Row],[GBV New]]-tblPiNHistorical[[#This Row],[GBV Old]])/tblPiNHistorical[[#This Row],[GBV Old]], 1), "")</f>
        <v/>
      </c>
      <c r="AY698" s="84" t="str">
        <f>IFERROR(ROUND((tblPiNHistorical[[#This Row],[Mine Action New]]-tblPiNHistorical[[#This Row],[Mine Action Old]])/tblPiNHistorical[[#This Row],[Mine Action Old]], 1), "")</f>
        <v/>
      </c>
      <c r="AZ698" s="140" t="str">
        <f>IFERROR(ROUND((tblPiNHistorical[[#This Row],[Shelter NFI New]]-tblPiNHistorical[[#This Row],[Shelter NFI Old]])/tblPiNHistorical[[#This Row],[Shelter NFI Old]], 1), "")</f>
        <v/>
      </c>
      <c r="BA698" s="31" t="str">
        <f>IFERROR(ROUND((tblPiNHistorical[[#This Row],[WASH New]]-tblPiNHistorical[[#This Row],[WASH Old]])/tblPiNHistorical[[#This Row],[WASH Old]], 1), "")</f>
        <v/>
      </c>
    </row>
    <row r="699" spans="1:53" ht="38.25" x14ac:dyDescent="0.25">
      <c r="A699"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Non-displaced PopulationSD03162</v>
      </c>
      <c r="B699" s="134" t="s">
        <v>185</v>
      </c>
      <c r="C699" s="124" t="s">
        <v>120</v>
      </c>
      <c r="D699" s="124" t="s">
        <v>265</v>
      </c>
      <c r="E699" s="59" t="s">
        <v>264</v>
      </c>
      <c r="F699" s="54"/>
      <c r="G699" s="29"/>
      <c r="H699" s="53">
        <v>198115.45</v>
      </c>
      <c r="I699" s="53" t="s">
        <v>89</v>
      </c>
      <c r="J699" s="34">
        <v>0</v>
      </c>
      <c r="K699" s="116">
        <v>76809.359964999996</v>
      </c>
      <c r="L699" s="114">
        <v>118869.27</v>
      </c>
      <c r="M699" s="114">
        <v>0</v>
      </c>
      <c r="N699" s="114">
        <v>17923</v>
      </c>
      <c r="O699" s="114">
        <v>99057.725000000006</v>
      </c>
      <c r="P699" s="114">
        <v>21793</v>
      </c>
      <c r="Q699" s="114">
        <v>15683</v>
      </c>
      <c r="R699" s="114">
        <v>99057.725000000006</v>
      </c>
      <c r="S699" s="114">
        <v>59435</v>
      </c>
      <c r="T699" s="196">
        <v>101355.86421999999</v>
      </c>
      <c r="U699" s="52" t="str">
        <f>IFERROR(INDEX(tblPiNAnalysis[[Site Management ]], MATCH(tblPiNHistorical[[#This Row],[ID]], tblPiNAnalysis[ID], 0)), "")</f>
        <v/>
      </c>
      <c r="V699" s="52" t="str">
        <f>IFERROR(INDEX(tblPiNAnalysis[Education], MATCH(tblPiNHistorical[[#This Row],[ID]], tblPiNAnalysis[ID], 0)), "")</f>
        <v/>
      </c>
      <c r="W699" s="28" t="str">
        <f>IFERROR(INDEX(tblPiNAnalysis[Food Security and Livlihoods], MATCH(tblPiNHistorical[[#This Row],[ID]], tblPiNAnalysis[ID], 0)), "")</f>
        <v/>
      </c>
      <c r="X699" s="28" t="str">
        <f>IFERROR(INDEX(tblPiNAnalysis[[Health ]], MATCH(tblPiNHistorical[[#This Row],[ID]], tblPiNAnalysis[ID], 0)), "")</f>
        <v/>
      </c>
      <c r="Y699" s="28" t="str">
        <f>IFERROR(INDEX(tblPiNAnalysis[Nutrition], MATCH(tblPiNHistorical[[#This Row],[ID]], tblPiNAnalysis[ID], 0)), "")</f>
        <v/>
      </c>
      <c r="Z699" s="28" t="str">
        <f>IFERROR(INDEX(tblPiNAnalysis[Protection], MATCH(tblPiNHistorical[[#This Row],[ID]], tblPiNAnalysis[ID], 0)), "")</f>
        <v/>
      </c>
      <c r="AA699" s="28" t="str">
        <f>IFERROR(INDEX(tblPiNAnalysis[CP], MATCH(tblPiNHistorical[[#This Row],[ID]], tblPiNAnalysis[ID], 0)), "")</f>
        <v/>
      </c>
      <c r="AB699" s="83" t="str">
        <f>IFERROR(INDEX(tblPiNAnalysis[GBV], MATCH(tblPiNHistorical[[#This Row],[ID]], tblPiNAnalysis[ID], 0)), "")</f>
        <v/>
      </c>
      <c r="AC699" s="28" t="str">
        <f>IFERROR(INDEX(tblPiNAnalysis[Mine Action], MATCH(tblPiNHistorical[[#This Row],[ID]], tblPiNAnalysis[ID], 0)), "")</f>
        <v/>
      </c>
      <c r="AD699" s="83" t="str">
        <f>IFERROR(INDEX(tblPiNAnalysis[[Shelter NFI ]], MATCH(tblPiNHistorical[[#This Row],[ID]], tblPiNAnalysis[ID], 0)), "")</f>
        <v/>
      </c>
      <c r="AE699" s="28" t="str">
        <f>IFERROR(INDEX(tblPiNAnalysis[WASH], MATCH(tblPiNHistorical[[#This Row],[ID]], tblPiNAnalysis[ID], 0)), "")</f>
        <v/>
      </c>
      <c r="AF699"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699" s="136" t="str">
        <f>IF(OR(tblPiNHistorical[[#This Row],[Education Old]]="", tblPiNHistorical[[#This Row],[Education Old]]=0, tblPiNHistorical[[#This Row],[Education New]]="", tblPiNHistorical[[#This Row],[Education New]]=0), "", tblPiNHistorical[[#This Row],[Education New]]-tblPiNHistorical[[#This Row],[Education Old]])</f>
        <v/>
      </c>
      <c r="AH699"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699" s="137" t="str">
        <f>IF(OR(tblPiNHistorical[[#This Row],[Health Old]]="", tblPiNHistorical[[#This Row],[Health Old]]=0, tblPiNHistorical[[#This Row],[Health New]]="", tblPiNHistorical[[#This Row],[Health New]]=0), "", tblPiNHistorical[[#This Row],[Health New]]-tblPiNHistorical[[#This Row],[Health Old]])</f>
        <v/>
      </c>
      <c r="AJ699" s="136" t="str">
        <f>IF(OR(tblPiNHistorical[[#This Row],[Nutrition Old]]="", tblPiNHistorical[[#This Row],[Nutrition Old]]=0, tblPiNHistorical[[#This Row],[Nutrition New]]="", tblPiNHistorical[[#This Row],[Nutrition New]]=0), "", tblPiNHistorical[[#This Row],[Nutrition New]]-tblPiNHistorical[[#This Row],[Nutrition Old]])</f>
        <v/>
      </c>
      <c r="AK699" s="136" t="str">
        <f>IF(OR(tblPiNHistorical[[#This Row],[Protection Old]]="", tblPiNHistorical[[#This Row],[Protection Old]]=0, tblPiNHistorical[[#This Row],[Protection New]]="", tblPiNHistorical[[#This Row],[Protection New]]=0), "", tblPiNHistorical[[#This Row],[Protection New]]-tblPiNHistorical[[#This Row],[Protection Old]])</f>
        <v/>
      </c>
      <c r="AL699" s="136" t="str">
        <f>IF(OR(tblPiNHistorical[[#This Row],[CP Old ]]="", tblPiNHistorical[[#This Row],[CP Old ]]=0, tblPiNHistorical[[#This Row],[CP New]]="", tblPiNHistorical[[#This Row],[CP New]]=0), "", tblPiNHistorical[[#This Row],[CP New]]-tblPiNHistorical[[#This Row],[CP Old ]])</f>
        <v/>
      </c>
      <c r="AM699" s="83" t="str">
        <f>IF(OR(tblPiNHistorical[[#This Row],[GBV Old]]="", tblPiNHistorical[[#This Row],[GBV Old]]=0, tblPiNHistorical[[#This Row],[GBV New]]="", tblPiNHistorical[[#This Row],[GBV New]]=0), "", tblPiNHistorical[[#This Row],[GBV New]]-tblPiNHistorical[[#This Row],[GBV Old]])</f>
        <v/>
      </c>
      <c r="AN699" s="83" t="str">
        <f>IF(OR(tblPiNHistorical[[#This Row],[Mine Action Old]]="", tblPiNHistorical[[#This Row],[Mine Action Old]]=0, tblPiNHistorical[[#This Row],[Mine Action New]]="", tblPiNHistorical[[#This Row],[Mine Action New]]=0), "", tblPiNHistorical[[#This Row],[Mine Action New]]-tblPiNHistorical[[#This Row],[Mine Action Old]])</f>
        <v/>
      </c>
      <c r="AO699" s="136" t="str">
        <f>IF(OR(tblPiNHistorical[[#This Row],[Shelter NFI Old]]="", tblPiNHistorical[[#This Row],[Shelter NFI Old]]=0, tblPiNHistorical[[#This Row],[Shelter NFI New]]="", tblPiNHistorical[[#This Row],[Shelter NFI New]]=0), "", tblPiNHistorical[[#This Row],[Shelter NFI New]]-tblPiNHistorical[[#This Row],[Shelter NFI Old]])</f>
        <v/>
      </c>
      <c r="AP699" s="138" t="str">
        <f>IF(OR(tblPiNHistorical[[#This Row],[WASH Old]]="", tblPiNHistorical[[#This Row],[WASH Old]]=0, tblPiNHistorical[[#This Row],[WASH New]]="", tblPiNHistorical[[#This Row],[WASH New]]=0), "", tblPiNHistorical[[#This Row],[WASH New]]-tblPiNHistorical[[#This Row],[WASH Old]])</f>
        <v/>
      </c>
      <c r="AQ699" s="139" t="str">
        <f>IFERROR(ROUND((tblPiNHistorical[[#This Row],[Site Management - New]] - tblPiNHistorical[[#This Row],[Site Management - Old]])/tblPiNHistorical[[#This Row],[Site Management - Old]], 1), "")</f>
        <v/>
      </c>
      <c r="AR699" s="140" t="str">
        <f>IFERROR(ROUND((tblPiNHistorical[[#This Row],[Education New]]-tblPiNHistorical[[#This Row],[Education Old]])/tblPiNHistorical[[#This Row],[Education Old]], 1), "")</f>
        <v/>
      </c>
      <c r="AS699" s="141" t="str">
        <f>IFERROR(ROUND((tblPiNHistorical[[#This Row],[Food Security and Livlihoods New]]-tblPiNHistorical[[#This Row],[Food Security and Livlihoods Old]])/tblPiNHistorical[[#This Row],[Food Security and Livlihoods Old]], 1), "")</f>
        <v/>
      </c>
      <c r="AT699" s="142" t="str">
        <f>IFERROR(ROUND((tblPiNHistorical[[#This Row],[Health New]]-tblPiNHistorical[[#This Row],[Health Old]])/tblPiNHistorical[[#This Row],[Health Old]], 1), "")</f>
        <v/>
      </c>
      <c r="AU699" s="140" t="str">
        <f>IFERROR(ROUND((tblPiNHistorical[[#This Row],[Nutrition New]]-tblPiNHistorical[[#This Row],[Nutrition Old]])/tblPiNHistorical[[#This Row],[Nutrition Old]], 1), "")</f>
        <v/>
      </c>
      <c r="AV699" s="140" t="str">
        <f>IFERROR(ROUND((tblPiNHistorical[[#This Row],[Protection New]]-tblPiNHistorical[[#This Row],[Protection Old]])/tblPiNHistorical[[#This Row],[Protection Old]], 1), "")</f>
        <v/>
      </c>
      <c r="AW699" s="84" t="str">
        <f>IFERROR(ROUND((tblPiNHistorical[[#This Row],[CP New]]-tblPiNHistorical[[#This Row],[CP Old ]])/tblPiNHistorical[[#This Row],[CP Old ]], 1), "")</f>
        <v/>
      </c>
      <c r="AX699" s="84" t="str">
        <f>IFERROR(ROUND((tblPiNHistorical[[#This Row],[GBV New]]-tblPiNHistorical[[#This Row],[GBV Old]])/tblPiNHistorical[[#This Row],[GBV Old]], 1), "")</f>
        <v/>
      </c>
      <c r="AY699" s="84" t="str">
        <f>IFERROR(ROUND((tblPiNHistorical[[#This Row],[Mine Action New]]-tblPiNHistorical[[#This Row],[Mine Action Old]])/tblPiNHistorical[[#This Row],[Mine Action Old]], 1), "")</f>
        <v/>
      </c>
      <c r="AZ699" s="140" t="str">
        <f>IFERROR(ROUND((tblPiNHistorical[[#This Row],[Shelter NFI New]]-tblPiNHistorical[[#This Row],[Shelter NFI Old]])/tblPiNHistorical[[#This Row],[Shelter NFI Old]], 1), "")</f>
        <v/>
      </c>
      <c r="BA699" s="31" t="str">
        <f>IFERROR(ROUND((tblPiNHistorical[[#This Row],[WASH New]]-tblPiNHistorical[[#This Row],[WASH Old]])/tblPiNHistorical[[#This Row],[WASH Old]], 1), "")</f>
        <v/>
      </c>
    </row>
    <row r="700" spans="1:53" ht="38.25" x14ac:dyDescent="0.25">
      <c r="A700"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Non-displaced PopulationSD03161</v>
      </c>
      <c r="B700" s="134" t="s">
        <v>185</v>
      </c>
      <c r="C700" s="124" t="s">
        <v>120</v>
      </c>
      <c r="D700" s="124" t="s">
        <v>263</v>
      </c>
      <c r="E700" s="59" t="s">
        <v>262</v>
      </c>
      <c r="F700" s="54"/>
      <c r="G700" s="29"/>
      <c r="H700" s="53">
        <v>56744</v>
      </c>
      <c r="I700" s="53" t="s">
        <v>89</v>
      </c>
      <c r="J700" s="34">
        <v>0</v>
      </c>
      <c r="K700" s="116">
        <v>21999.648799999999</v>
      </c>
      <c r="L700" s="114">
        <v>31209.200000000001</v>
      </c>
      <c r="M700" s="114">
        <v>0</v>
      </c>
      <c r="N700" s="114">
        <v>9040</v>
      </c>
      <c r="O700" s="114">
        <v>6241.84</v>
      </c>
      <c r="P700" s="114">
        <v>6242</v>
      </c>
      <c r="Q700" s="114">
        <v>4491</v>
      </c>
      <c r="R700" s="114">
        <v>5674.4000000000005</v>
      </c>
      <c r="S700" s="114">
        <v>11349</v>
      </c>
      <c r="T700" s="196">
        <v>45151.200799999991</v>
      </c>
      <c r="U700" s="52" t="str">
        <f>IFERROR(INDEX(tblPiNAnalysis[[Site Management ]], MATCH(tblPiNHistorical[[#This Row],[ID]], tblPiNAnalysis[ID], 0)), "")</f>
        <v/>
      </c>
      <c r="V700" s="52" t="str">
        <f>IFERROR(INDEX(tblPiNAnalysis[Education], MATCH(tblPiNHistorical[[#This Row],[ID]], tblPiNAnalysis[ID], 0)), "")</f>
        <v/>
      </c>
      <c r="W700" s="28" t="str">
        <f>IFERROR(INDEX(tblPiNAnalysis[Food Security and Livlihoods], MATCH(tblPiNHistorical[[#This Row],[ID]], tblPiNAnalysis[ID], 0)), "")</f>
        <v/>
      </c>
      <c r="X700" s="28" t="str">
        <f>IFERROR(INDEX(tblPiNAnalysis[[Health ]], MATCH(tblPiNHistorical[[#This Row],[ID]], tblPiNAnalysis[ID], 0)), "")</f>
        <v/>
      </c>
      <c r="Y700" s="28" t="str">
        <f>IFERROR(INDEX(tblPiNAnalysis[Nutrition], MATCH(tblPiNHistorical[[#This Row],[ID]], tblPiNAnalysis[ID], 0)), "")</f>
        <v/>
      </c>
      <c r="Z700" s="28" t="str">
        <f>IFERROR(INDEX(tblPiNAnalysis[Protection], MATCH(tblPiNHistorical[[#This Row],[ID]], tblPiNAnalysis[ID], 0)), "")</f>
        <v/>
      </c>
      <c r="AA700" s="28" t="str">
        <f>IFERROR(INDEX(tblPiNAnalysis[CP], MATCH(tblPiNHistorical[[#This Row],[ID]], tblPiNAnalysis[ID], 0)), "")</f>
        <v/>
      </c>
      <c r="AB700" s="83" t="str">
        <f>IFERROR(INDEX(tblPiNAnalysis[GBV], MATCH(tblPiNHistorical[[#This Row],[ID]], tblPiNAnalysis[ID], 0)), "")</f>
        <v/>
      </c>
      <c r="AC700" s="28" t="str">
        <f>IFERROR(INDEX(tblPiNAnalysis[Mine Action], MATCH(tblPiNHistorical[[#This Row],[ID]], tblPiNAnalysis[ID], 0)), "")</f>
        <v/>
      </c>
      <c r="AD700" s="83" t="str">
        <f>IFERROR(INDEX(tblPiNAnalysis[[Shelter NFI ]], MATCH(tblPiNHistorical[[#This Row],[ID]], tblPiNAnalysis[ID], 0)), "")</f>
        <v/>
      </c>
      <c r="AE700" s="28" t="str">
        <f>IFERROR(INDEX(tblPiNAnalysis[WASH], MATCH(tblPiNHistorical[[#This Row],[ID]], tblPiNAnalysis[ID], 0)), "")</f>
        <v/>
      </c>
      <c r="AF700"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700" s="136" t="str">
        <f>IF(OR(tblPiNHistorical[[#This Row],[Education Old]]="", tblPiNHistorical[[#This Row],[Education Old]]=0, tblPiNHistorical[[#This Row],[Education New]]="", tblPiNHistorical[[#This Row],[Education New]]=0), "", tblPiNHistorical[[#This Row],[Education New]]-tblPiNHistorical[[#This Row],[Education Old]])</f>
        <v/>
      </c>
      <c r="AH700"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700" s="137" t="str">
        <f>IF(OR(tblPiNHistorical[[#This Row],[Health Old]]="", tblPiNHistorical[[#This Row],[Health Old]]=0, tblPiNHistorical[[#This Row],[Health New]]="", tblPiNHistorical[[#This Row],[Health New]]=0), "", tblPiNHistorical[[#This Row],[Health New]]-tblPiNHistorical[[#This Row],[Health Old]])</f>
        <v/>
      </c>
      <c r="AJ700" s="136" t="str">
        <f>IF(OR(tblPiNHistorical[[#This Row],[Nutrition Old]]="", tblPiNHistorical[[#This Row],[Nutrition Old]]=0, tblPiNHistorical[[#This Row],[Nutrition New]]="", tblPiNHistorical[[#This Row],[Nutrition New]]=0), "", tblPiNHistorical[[#This Row],[Nutrition New]]-tblPiNHistorical[[#This Row],[Nutrition Old]])</f>
        <v/>
      </c>
      <c r="AK700" s="136" t="str">
        <f>IF(OR(tblPiNHistorical[[#This Row],[Protection Old]]="", tblPiNHistorical[[#This Row],[Protection Old]]=0, tblPiNHistorical[[#This Row],[Protection New]]="", tblPiNHistorical[[#This Row],[Protection New]]=0), "", tblPiNHistorical[[#This Row],[Protection New]]-tblPiNHistorical[[#This Row],[Protection Old]])</f>
        <v/>
      </c>
      <c r="AL700" s="136" t="str">
        <f>IF(OR(tblPiNHistorical[[#This Row],[CP Old ]]="", tblPiNHistorical[[#This Row],[CP Old ]]=0, tblPiNHistorical[[#This Row],[CP New]]="", tblPiNHistorical[[#This Row],[CP New]]=0), "", tblPiNHistorical[[#This Row],[CP New]]-tblPiNHistorical[[#This Row],[CP Old ]])</f>
        <v/>
      </c>
      <c r="AM700" s="83" t="str">
        <f>IF(OR(tblPiNHistorical[[#This Row],[GBV Old]]="", tblPiNHistorical[[#This Row],[GBV Old]]=0, tblPiNHistorical[[#This Row],[GBV New]]="", tblPiNHistorical[[#This Row],[GBV New]]=0), "", tblPiNHistorical[[#This Row],[GBV New]]-tblPiNHistorical[[#This Row],[GBV Old]])</f>
        <v/>
      </c>
      <c r="AN700" s="83" t="str">
        <f>IF(OR(tblPiNHistorical[[#This Row],[Mine Action Old]]="", tblPiNHistorical[[#This Row],[Mine Action Old]]=0, tblPiNHistorical[[#This Row],[Mine Action New]]="", tblPiNHistorical[[#This Row],[Mine Action New]]=0), "", tblPiNHistorical[[#This Row],[Mine Action New]]-tblPiNHistorical[[#This Row],[Mine Action Old]])</f>
        <v/>
      </c>
      <c r="AO700" s="136" t="str">
        <f>IF(OR(tblPiNHistorical[[#This Row],[Shelter NFI Old]]="", tblPiNHistorical[[#This Row],[Shelter NFI Old]]=0, tblPiNHistorical[[#This Row],[Shelter NFI New]]="", tblPiNHistorical[[#This Row],[Shelter NFI New]]=0), "", tblPiNHistorical[[#This Row],[Shelter NFI New]]-tblPiNHistorical[[#This Row],[Shelter NFI Old]])</f>
        <v/>
      </c>
      <c r="AP700" s="138" t="str">
        <f>IF(OR(tblPiNHistorical[[#This Row],[WASH Old]]="", tblPiNHistorical[[#This Row],[WASH Old]]=0, tblPiNHistorical[[#This Row],[WASH New]]="", tblPiNHistorical[[#This Row],[WASH New]]=0), "", tblPiNHistorical[[#This Row],[WASH New]]-tblPiNHistorical[[#This Row],[WASH Old]])</f>
        <v/>
      </c>
      <c r="AQ700" s="139" t="str">
        <f>IFERROR(ROUND((tblPiNHistorical[[#This Row],[Site Management - New]] - tblPiNHistorical[[#This Row],[Site Management - Old]])/tblPiNHistorical[[#This Row],[Site Management - Old]], 1), "")</f>
        <v/>
      </c>
      <c r="AR700" s="140" t="str">
        <f>IFERROR(ROUND((tblPiNHistorical[[#This Row],[Education New]]-tblPiNHistorical[[#This Row],[Education Old]])/tblPiNHistorical[[#This Row],[Education Old]], 1), "")</f>
        <v/>
      </c>
      <c r="AS700" s="141" t="str">
        <f>IFERROR(ROUND((tblPiNHistorical[[#This Row],[Food Security and Livlihoods New]]-tblPiNHistorical[[#This Row],[Food Security and Livlihoods Old]])/tblPiNHistorical[[#This Row],[Food Security and Livlihoods Old]], 1), "")</f>
        <v/>
      </c>
      <c r="AT700" s="142" t="str">
        <f>IFERROR(ROUND((tblPiNHistorical[[#This Row],[Health New]]-tblPiNHistorical[[#This Row],[Health Old]])/tblPiNHistorical[[#This Row],[Health Old]], 1), "")</f>
        <v/>
      </c>
      <c r="AU700" s="140" t="str">
        <f>IFERROR(ROUND((tblPiNHistorical[[#This Row],[Nutrition New]]-tblPiNHistorical[[#This Row],[Nutrition Old]])/tblPiNHistorical[[#This Row],[Nutrition Old]], 1), "")</f>
        <v/>
      </c>
      <c r="AV700" s="140" t="str">
        <f>IFERROR(ROUND((tblPiNHistorical[[#This Row],[Protection New]]-tblPiNHistorical[[#This Row],[Protection Old]])/tblPiNHistorical[[#This Row],[Protection Old]], 1), "")</f>
        <v/>
      </c>
      <c r="AW700" s="84" t="str">
        <f>IFERROR(ROUND((tblPiNHistorical[[#This Row],[CP New]]-tblPiNHistorical[[#This Row],[CP Old ]])/tblPiNHistorical[[#This Row],[CP Old ]], 1), "")</f>
        <v/>
      </c>
      <c r="AX700" s="84" t="str">
        <f>IFERROR(ROUND((tblPiNHistorical[[#This Row],[GBV New]]-tblPiNHistorical[[#This Row],[GBV Old]])/tblPiNHistorical[[#This Row],[GBV Old]], 1), "")</f>
        <v/>
      </c>
      <c r="AY700" s="84" t="str">
        <f>IFERROR(ROUND((tblPiNHistorical[[#This Row],[Mine Action New]]-tblPiNHistorical[[#This Row],[Mine Action Old]])/tblPiNHistorical[[#This Row],[Mine Action Old]], 1), "")</f>
        <v/>
      </c>
      <c r="AZ700" s="140" t="str">
        <f>IFERROR(ROUND((tblPiNHistorical[[#This Row],[Shelter NFI New]]-tblPiNHistorical[[#This Row],[Shelter NFI Old]])/tblPiNHistorical[[#This Row],[Shelter NFI Old]], 1), "")</f>
        <v/>
      </c>
      <c r="BA700" s="31" t="str">
        <f>IFERROR(ROUND((tblPiNHistorical[[#This Row],[WASH New]]-tblPiNHistorical[[#This Row],[WASH Old]])/tblPiNHistorical[[#This Row],[WASH Old]], 1), "")</f>
        <v/>
      </c>
    </row>
    <row r="701" spans="1:53" ht="38.25" x14ac:dyDescent="0.25">
      <c r="A701"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Non-displaced PopulationSD03172</v>
      </c>
      <c r="B701" s="134" t="s">
        <v>185</v>
      </c>
      <c r="C701" s="124" t="s">
        <v>120</v>
      </c>
      <c r="D701" s="124" t="s">
        <v>273</v>
      </c>
      <c r="E701" s="59" t="s">
        <v>272</v>
      </c>
      <c r="F701" s="54"/>
      <c r="G701" s="29"/>
      <c r="H701" s="53">
        <v>73119</v>
      </c>
      <c r="I701" s="53" t="s">
        <v>89</v>
      </c>
      <c r="J701" s="34">
        <v>0</v>
      </c>
      <c r="K701" s="116">
        <v>28348.2363</v>
      </c>
      <c r="L701" s="114">
        <v>32903.550000000003</v>
      </c>
      <c r="M701" s="114">
        <v>0</v>
      </c>
      <c r="N701" s="114">
        <v>21001</v>
      </c>
      <c r="O701" s="114">
        <v>8043.0900000000011</v>
      </c>
      <c r="P701" s="114">
        <v>8043</v>
      </c>
      <c r="Q701" s="114">
        <v>5788</v>
      </c>
      <c r="R701" s="114">
        <v>0</v>
      </c>
      <c r="S701" s="114">
        <v>0</v>
      </c>
      <c r="T701" s="196">
        <v>53654.722199999997</v>
      </c>
      <c r="U701" s="52" t="str">
        <f>IFERROR(INDEX(tblPiNAnalysis[[Site Management ]], MATCH(tblPiNHistorical[[#This Row],[ID]], tblPiNAnalysis[ID], 0)), "")</f>
        <v/>
      </c>
      <c r="V701" s="52" t="str">
        <f>IFERROR(INDEX(tblPiNAnalysis[Education], MATCH(tblPiNHistorical[[#This Row],[ID]], tblPiNAnalysis[ID], 0)), "")</f>
        <v/>
      </c>
      <c r="W701" s="28" t="str">
        <f>IFERROR(INDEX(tblPiNAnalysis[Food Security and Livlihoods], MATCH(tblPiNHistorical[[#This Row],[ID]], tblPiNAnalysis[ID], 0)), "")</f>
        <v/>
      </c>
      <c r="X701" s="28" t="str">
        <f>IFERROR(INDEX(tblPiNAnalysis[[Health ]], MATCH(tblPiNHistorical[[#This Row],[ID]], tblPiNAnalysis[ID], 0)), "")</f>
        <v/>
      </c>
      <c r="Y701" s="28" t="str">
        <f>IFERROR(INDEX(tblPiNAnalysis[Nutrition], MATCH(tblPiNHistorical[[#This Row],[ID]], tblPiNAnalysis[ID], 0)), "")</f>
        <v/>
      </c>
      <c r="Z701" s="28" t="str">
        <f>IFERROR(INDEX(tblPiNAnalysis[Protection], MATCH(tblPiNHistorical[[#This Row],[ID]], tblPiNAnalysis[ID], 0)), "")</f>
        <v/>
      </c>
      <c r="AA701" s="28" t="str">
        <f>IFERROR(INDEX(tblPiNAnalysis[CP], MATCH(tblPiNHistorical[[#This Row],[ID]], tblPiNAnalysis[ID], 0)), "")</f>
        <v/>
      </c>
      <c r="AB701" s="83" t="str">
        <f>IFERROR(INDEX(tblPiNAnalysis[GBV], MATCH(tblPiNHistorical[[#This Row],[ID]], tblPiNAnalysis[ID], 0)), "")</f>
        <v/>
      </c>
      <c r="AC701" s="28" t="str">
        <f>IFERROR(INDEX(tblPiNAnalysis[Mine Action], MATCH(tblPiNHistorical[[#This Row],[ID]], tblPiNAnalysis[ID], 0)), "")</f>
        <v/>
      </c>
      <c r="AD701" s="83" t="str">
        <f>IFERROR(INDEX(tblPiNAnalysis[[Shelter NFI ]], MATCH(tblPiNHistorical[[#This Row],[ID]], tblPiNAnalysis[ID], 0)), "")</f>
        <v/>
      </c>
      <c r="AE701" s="28" t="str">
        <f>IFERROR(INDEX(tblPiNAnalysis[WASH], MATCH(tblPiNHistorical[[#This Row],[ID]], tblPiNAnalysis[ID], 0)), "")</f>
        <v/>
      </c>
      <c r="AF701"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701" s="136" t="str">
        <f>IF(OR(tblPiNHistorical[[#This Row],[Education Old]]="", tblPiNHistorical[[#This Row],[Education Old]]=0, tblPiNHistorical[[#This Row],[Education New]]="", tblPiNHistorical[[#This Row],[Education New]]=0), "", tblPiNHistorical[[#This Row],[Education New]]-tblPiNHistorical[[#This Row],[Education Old]])</f>
        <v/>
      </c>
      <c r="AH701"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701" s="137" t="str">
        <f>IF(OR(tblPiNHistorical[[#This Row],[Health Old]]="", tblPiNHistorical[[#This Row],[Health Old]]=0, tblPiNHistorical[[#This Row],[Health New]]="", tblPiNHistorical[[#This Row],[Health New]]=0), "", tblPiNHistorical[[#This Row],[Health New]]-tblPiNHistorical[[#This Row],[Health Old]])</f>
        <v/>
      </c>
      <c r="AJ701" s="136" t="str">
        <f>IF(OR(tblPiNHistorical[[#This Row],[Nutrition Old]]="", tblPiNHistorical[[#This Row],[Nutrition Old]]=0, tblPiNHistorical[[#This Row],[Nutrition New]]="", tblPiNHistorical[[#This Row],[Nutrition New]]=0), "", tblPiNHistorical[[#This Row],[Nutrition New]]-tblPiNHistorical[[#This Row],[Nutrition Old]])</f>
        <v/>
      </c>
      <c r="AK701" s="136" t="str">
        <f>IF(OR(tblPiNHistorical[[#This Row],[Protection Old]]="", tblPiNHistorical[[#This Row],[Protection Old]]=0, tblPiNHistorical[[#This Row],[Protection New]]="", tblPiNHistorical[[#This Row],[Protection New]]=0), "", tblPiNHistorical[[#This Row],[Protection New]]-tblPiNHistorical[[#This Row],[Protection Old]])</f>
        <v/>
      </c>
      <c r="AL701" s="136" t="str">
        <f>IF(OR(tblPiNHistorical[[#This Row],[CP Old ]]="", tblPiNHistorical[[#This Row],[CP Old ]]=0, tblPiNHistorical[[#This Row],[CP New]]="", tblPiNHistorical[[#This Row],[CP New]]=0), "", tblPiNHistorical[[#This Row],[CP New]]-tblPiNHistorical[[#This Row],[CP Old ]])</f>
        <v/>
      </c>
      <c r="AM701" s="83" t="str">
        <f>IF(OR(tblPiNHistorical[[#This Row],[GBV Old]]="", tblPiNHistorical[[#This Row],[GBV Old]]=0, tblPiNHistorical[[#This Row],[GBV New]]="", tblPiNHistorical[[#This Row],[GBV New]]=0), "", tblPiNHistorical[[#This Row],[GBV New]]-tblPiNHistorical[[#This Row],[GBV Old]])</f>
        <v/>
      </c>
      <c r="AN701" s="83" t="str">
        <f>IF(OR(tblPiNHistorical[[#This Row],[Mine Action Old]]="", tblPiNHistorical[[#This Row],[Mine Action Old]]=0, tblPiNHistorical[[#This Row],[Mine Action New]]="", tblPiNHistorical[[#This Row],[Mine Action New]]=0), "", tblPiNHistorical[[#This Row],[Mine Action New]]-tblPiNHistorical[[#This Row],[Mine Action Old]])</f>
        <v/>
      </c>
      <c r="AO701" s="136" t="str">
        <f>IF(OR(tblPiNHistorical[[#This Row],[Shelter NFI Old]]="", tblPiNHistorical[[#This Row],[Shelter NFI Old]]=0, tblPiNHistorical[[#This Row],[Shelter NFI New]]="", tblPiNHistorical[[#This Row],[Shelter NFI New]]=0), "", tblPiNHistorical[[#This Row],[Shelter NFI New]]-tblPiNHistorical[[#This Row],[Shelter NFI Old]])</f>
        <v/>
      </c>
      <c r="AP701" s="138" t="str">
        <f>IF(OR(tblPiNHistorical[[#This Row],[WASH Old]]="", tblPiNHistorical[[#This Row],[WASH Old]]=0, tblPiNHistorical[[#This Row],[WASH New]]="", tblPiNHistorical[[#This Row],[WASH New]]=0), "", tblPiNHistorical[[#This Row],[WASH New]]-tblPiNHistorical[[#This Row],[WASH Old]])</f>
        <v/>
      </c>
      <c r="AQ701" s="139" t="str">
        <f>IFERROR(ROUND((tblPiNHistorical[[#This Row],[Site Management - New]] - tblPiNHistorical[[#This Row],[Site Management - Old]])/tblPiNHistorical[[#This Row],[Site Management - Old]], 1), "")</f>
        <v/>
      </c>
      <c r="AR701" s="140" t="str">
        <f>IFERROR(ROUND((tblPiNHistorical[[#This Row],[Education New]]-tblPiNHistorical[[#This Row],[Education Old]])/tblPiNHistorical[[#This Row],[Education Old]], 1), "")</f>
        <v/>
      </c>
      <c r="AS701" s="141" t="str">
        <f>IFERROR(ROUND((tblPiNHistorical[[#This Row],[Food Security and Livlihoods New]]-tblPiNHistorical[[#This Row],[Food Security and Livlihoods Old]])/tblPiNHistorical[[#This Row],[Food Security and Livlihoods Old]], 1), "")</f>
        <v/>
      </c>
      <c r="AT701" s="142" t="str">
        <f>IFERROR(ROUND((tblPiNHistorical[[#This Row],[Health New]]-tblPiNHistorical[[#This Row],[Health Old]])/tblPiNHistorical[[#This Row],[Health Old]], 1), "")</f>
        <v/>
      </c>
      <c r="AU701" s="140" t="str">
        <f>IFERROR(ROUND((tblPiNHistorical[[#This Row],[Nutrition New]]-tblPiNHistorical[[#This Row],[Nutrition Old]])/tblPiNHistorical[[#This Row],[Nutrition Old]], 1), "")</f>
        <v/>
      </c>
      <c r="AV701" s="140" t="str">
        <f>IFERROR(ROUND((tblPiNHistorical[[#This Row],[Protection New]]-tblPiNHistorical[[#This Row],[Protection Old]])/tblPiNHistorical[[#This Row],[Protection Old]], 1), "")</f>
        <v/>
      </c>
      <c r="AW701" s="84" t="str">
        <f>IFERROR(ROUND((tblPiNHistorical[[#This Row],[CP New]]-tblPiNHistorical[[#This Row],[CP Old ]])/tblPiNHistorical[[#This Row],[CP Old ]], 1), "")</f>
        <v/>
      </c>
      <c r="AX701" s="84" t="str">
        <f>IFERROR(ROUND((tblPiNHistorical[[#This Row],[GBV New]]-tblPiNHistorical[[#This Row],[GBV Old]])/tblPiNHistorical[[#This Row],[GBV Old]], 1), "")</f>
        <v/>
      </c>
      <c r="AY701" s="84" t="str">
        <f>IFERROR(ROUND((tblPiNHistorical[[#This Row],[Mine Action New]]-tblPiNHistorical[[#This Row],[Mine Action Old]])/tblPiNHistorical[[#This Row],[Mine Action Old]], 1), "")</f>
        <v/>
      </c>
      <c r="AZ701" s="140" t="str">
        <f>IFERROR(ROUND((tblPiNHistorical[[#This Row],[Shelter NFI New]]-tblPiNHistorical[[#This Row],[Shelter NFI Old]])/tblPiNHistorical[[#This Row],[Shelter NFI Old]], 1), "")</f>
        <v/>
      </c>
      <c r="BA701" s="31" t="str">
        <f>IFERROR(ROUND((tblPiNHistorical[[#This Row],[WASH New]]-tblPiNHistorical[[#This Row],[WASH Old]])/tblPiNHistorical[[#This Row],[WASH Old]], 1), "")</f>
        <v/>
      </c>
    </row>
    <row r="702" spans="1:53" ht="38.25" x14ac:dyDescent="0.25">
      <c r="A702"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Non-displaced PopulationSD03143</v>
      </c>
      <c r="B702" s="134" t="s">
        <v>185</v>
      </c>
      <c r="C702" s="124" t="s">
        <v>120</v>
      </c>
      <c r="D702" s="124" t="s">
        <v>235</v>
      </c>
      <c r="E702" s="59" t="s">
        <v>234</v>
      </c>
      <c r="F702" s="54"/>
      <c r="G702" s="29"/>
      <c r="H702" s="53">
        <v>88274</v>
      </c>
      <c r="I702" s="53" t="s">
        <v>89</v>
      </c>
      <c r="J702" s="34">
        <v>0</v>
      </c>
      <c r="K702" s="116">
        <v>34223.8298</v>
      </c>
      <c r="L702" s="114">
        <v>30895.9</v>
      </c>
      <c r="M702" s="114">
        <v>0</v>
      </c>
      <c r="N702" s="114">
        <v>20411</v>
      </c>
      <c r="O702" s="114">
        <v>9710.1400000000012</v>
      </c>
      <c r="P702" s="114">
        <v>9710</v>
      </c>
      <c r="Q702" s="114">
        <v>6988</v>
      </c>
      <c r="R702" s="114">
        <v>0</v>
      </c>
      <c r="S702" s="114">
        <v>17655</v>
      </c>
      <c r="T702" s="196">
        <v>86234.870599999995</v>
      </c>
      <c r="U702" s="52" t="str">
        <f>IFERROR(INDEX(tblPiNAnalysis[[Site Management ]], MATCH(tblPiNHistorical[[#This Row],[ID]], tblPiNAnalysis[ID], 0)), "")</f>
        <v/>
      </c>
      <c r="V702" s="52" t="str">
        <f>IFERROR(INDEX(tblPiNAnalysis[Education], MATCH(tblPiNHistorical[[#This Row],[ID]], tblPiNAnalysis[ID], 0)), "")</f>
        <v/>
      </c>
      <c r="W702" s="28" t="str">
        <f>IFERROR(INDEX(tblPiNAnalysis[Food Security and Livlihoods], MATCH(tblPiNHistorical[[#This Row],[ID]], tblPiNAnalysis[ID], 0)), "")</f>
        <v/>
      </c>
      <c r="X702" s="28" t="str">
        <f>IFERROR(INDEX(tblPiNAnalysis[[Health ]], MATCH(tblPiNHistorical[[#This Row],[ID]], tblPiNAnalysis[ID], 0)), "")</f>
        <v/>
      </c>
      <c r="Y702" s="28" t="str">
        <f>IFERROR(INDEX(tblPiNAnalysis[Nutrition], MATCH(tblPiNHistorical[[#This Row],[ID]], tblPiNAnalysis[ID], 0)), "")</f>
        <v/>
      </c>
      <c r="Z702" s="28" t="str">
        <f>IFERROR(INDEX(tblPiNAnalysis[Protection], MATCH(tblPiNHistorical[[#This Row],[ID]], tblPiNAnalysis[ID], 0)), "")</f>
        <v/>
      </c>
      <c r="AA702" s="28" t="str">
        <f>IFERROR(INDEX(tblPiNAnalysis[CP], MATCH(tblPiNHistorical[[#This Row],[ID]], tblPiNAnalysis[ID], 0)), "")</f>
        <v/>
      </c>
      <c r="AB702" s="83" t="str">
        <f>IFERROR(INDEX(tblPiNAnalysis[GBV], MATCH(tblPiNHistorical[[#This Row],[ID]], tblPiNAnalysis[ID], 0)), "")</f>
        <v/>
      </c>
      <c r="AC702" s="28" t="str">
        <f>IFERROR(INDEX(tblPiNAnalysis[Mine Action], MATCH(tblPiNHistorical[[#This Row],[ID]], tblPiNAnalysis[ID], 0)), "")</f>
        <v/>
      </c>
      <c r="AD702" s="83" t="str">
        <f>IFERROR(INDEX(tblPiNAnalysis[[Shelter NFI ]], MATCH(tblPiNHistorical[[#This Row],[ID]], tblPiNAnalysis[ID], 0)), "")</f>
        <v/>
      </c>
      <c r="AE702" s="28" t="str">
        <f>IFERROR(INDEX(tblPiNAnalysis[WASH], MATCH(tblPiNHistorical[[#This Row],[ID]], tblPiNAnalysis[ID], 0)), "")</f>
        <v/>
      </c>
      <c r="AF702"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702" s="136" t="str">
        <f>IF(OR(tblPiNHistorical[[#This Row],[Education Old]]="", tblPiNHistorical[[#This Row],[Education Old]]=0, tblPiNHistorical[[#This Row],[Education New]]="", tblPiNHistorical[[#This Row],[Education New]]=0), "", tblPiNHistorical[[#This Row],[Education New]]-tblPiNHistorical[[#This Row],[Education Old]])</f>
        <v/>
      </c>
      <c r="AH702"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702" s="137" t="str">
        <f>IF(OR(tblPiNHistorical[[#This Row],[Health Old]]="", tblPiNHistorical[[#This Row],[Health Old]]=0, tblPiNHistorical[[#This Row],[Health New]]="", tblPiNHistorical[[#This Row],[Health New]]=0), "", tblPiNHistorical[[#This Row],[Health New]]-tblPiNHistorical[[#This Row],[Health Old]])</f>
        <v/>
      </c>
      <c r="AJ702" s="136" t="str">
        <f>IF(OR(tblPiNHistorical[[#This Row],[Nutrition Old]]="", tblPiNHistorical[[#This Row],[Nutrition Old]]=0, tblPiNHistorical[[#This Row],[Nutrition New]]="", tblPiNHistorical[[#This Row],[Nutrition New]]=0), "", tblPiNHistorical[[#This Row],[Nutrition New]]-tblPiNHistorical[[#This Row],[Nutrition Old]])</f>
        <v/>
      </c>
      <c r="AK702" s="136" t="str">
        <f>IF(OR(tblPiNHistorical[[#This Row],[Protection Old]]="", tblPiNHistorical[[#This Row],[Protection Old]]=0, tblPiNHistorical[[#This Row],[Protection New]]="", tblPiNHistorical[[#This Row],[Protection New]]=0), "", tblPiNHistorical[[#This Row],[Protection New]]-tblPiNHistorical[[#This Row],[Protection Old]])</f>
        <v/>
      </c>
      <c r="AL702" s="136" t="str">
        <f>IF(OR(tblPiNHistorical[[#This Row],[CP Old ]]="", tblPiNHistorical[[#This Row],[CP Old ]]=0, tblPiNHistorical[[#This Row],[CP New]]="", tblPiNHistorical[[#This Row],[CP New]]=0), "", tblPiNHistorical[[#This Row],[CP New]]-tblPiNHistorical[[#This Row],[CP Old ]])</f>
        <v/>
      </c>
      <c r="AM702" s="83" t="str">
        <f>IF(OR(tblPiNHistorical[[#This Row],[GBV Old]]="", tblPiNHistorical[[#This Row],[GBV Old]]=0, tblPiNHistorical[[#This Row],[GBV New]]="", tblPiNHistorical[[#This Row],[GBV New]]=0), "", tblPiNHistorical[[#This Row],[GBV New]]-tblPiNHistorical[[#This Row],[GBV Old]])</f>
        <v/>
      </c>
      <c r="AN702" s="83" t="str">
        <f>IF(OR(tblPiNHistorical[[#This Row],[Mine Action Old]]="", tblPiNHistorical[[#This Row],[Mine Action Old]]=0, tblPiNHistorical[[#This Row],[Mine Action New]]="", tblPiNHistorical[[#This Row],[Mine Action New]]=0), "", tblPiNHistorical[[#This Row],[Mine Action New]]-tblPiNHistorical[[#This Row],[Mine Action Old]])</f>
        <v/>
      </c>
      <c r="AO702" s="136" t="str">
        <f>IF(OR(tblPiNHistorical[[#This Row],[Shelter NFI Old]]="", tblPiNHistorical[[#This Row],[Shelter NFI Old]]=0, tblPiNHistorical[[#This Row],[Shelter NFI New]]="", tblPiNHistorical[[#This Row],[Shelter NFI New]]=0), "", tblPiNHistorical[[#This Row],[Shelter NFI New]]-tblPiNHistorical[[#This Row],[Shelter NFI Old]])</f>
        <v/>
      </c>
      <c r="AP702" s="138" t="str">
        <f>IF(OR(tblPiNHistorical[[#This Row],[WASH Old]]="", tblPiNHistorical[[#This Row],[WASH Old]]=0, tblPiNHistorical[[#This Row],[WASH New]]="", tblPiNHistorical[[#This Row],[WASH New]]=0), "", tblPiNHistorical[[#This Row],[WASH New]]-tblPiNHistorical[[#This Row],[WASH Old]])</f>
        <v/>
      </c>
      <c r="AQ702" s="139" t="str">
        <f>IFERROR(ROUND((tblPiNHistorical[[#This Row],[Site Management - New]] - tblPiNHistorical[[#This Row],[Site Management - Old]])/tblPiNHistorical[[#This Row],[Site Management - Old]], 1), "")</f>
        <v/>
      </c>
      <c r="AR702" s="140" t="str">
        <f>IFERROR(ROUND((tblPiNHistorical[[#This Row],[Education New]]-tblPiNHistorical[[#This Row],[Education Old]])/tblPiNHistorical[[#This Row],[Education Old]], 1), "")</f>
        <v/>
      </c>
      <c r="AS702" s="141" t="str">
        <f>IFERROR(ROUND((tblPiNHistorical[[#This Row],[Food Security and Livlihoods New]]-tblPiNHistorical[[#This Row],[Food Security and Livlihoods Old]])/tblPiNHistorical[[#This Row],[Food Security and Livlihoods Old]], 1), "")</f>
        <v/>
      </c>
      <c r="AT702" s="142" t="str">
        <f>IFERROR(ROUND((tblPiNHistorical[[#This Row],[Health New]]-tblPiNHistorical[[#This Row],[Health Old]])/tblPiNHistorical[[#This Row],[Health Old]], 1), "")</f>
        <v/>
      </c>
      <c r="AU702" s="140" t="str">
        <f>IFERROR(ROUND((tblPiNHistorical[[#This Row],[Nutrition New]]-tblPiNHistorical[[#This Row],[Nutrition Old]])/tblPiNHistorical[[#This Row],[Nutrition Old]], 1), "")</f>
        <v/>
      </c>
      <c r="AV702" s="140" t="str">
        <f>IFERROR(ROUND((tblPiNHistorical[[#This Row],[Protection New]]-tblPiNHistorical[[#This Row],[Protection Old]])/tblPiNHistorical[[#This Row],[Protection Old]], 1), "")</f>
        <v/>
      </c>
      <c r="AW702" s="84" t="str">
        <f>IFERROR(ROUND((tblPiNHistorical[[#This Row],[CP New]]-tblPiNHistorical[[#This Row],[CP Old ]])/tblPiNHistorical[[#This Row],[CP Old ]], 1), "")</f>
        <v/>
      </c>
      <c r="AX702" s="84" t="str">
        <f>IFERROR(ROUND((tblPiNHistorical[[#This Row],[GBV New]]-tblPiNHistorical[[#This Row],[GBV Old]])/tblPiNHistorical[[#This Row],[GBV Old]], 1), "")</f>
        <v/>
      </c>
      <c r="AY702" s="84" t="str">
        <f>IFERROR(ROUND((tblPiNHistorical[[#This Row],[Mine Action New]]-tblPiNHistorical[[#This Row],[Mine Action Old]])/tblPiNHistorical[[#This Row],[Mine Action Old]], 1), "")</f>
        <v/>
      </c>
      <c r="AZ702" s="140" t="str">
        <f>IFERROR(ROUND((tblPiNHistorical[[#This Row],[Shelter NFI New]]-tblPiNHistorical[[#This Row],[Shelter NFI Old]])/tblPiNHistorical[[#This Row],[Shelter NFI Old]], 1), "")</f>
        <v/>
      </c>
      <c r="BA702" s="31" t="str">
        <f>IFERROR(ROUND((tblPiNHistorical[[#This Row],[WASH New]]-tblPiNHistorical[[#This Row],[WASH Old]])/tblPiNHistorical[[#This Row],[WASH Old]], 1), "")</f>
        <v/>
      </c>
    </row>
    <row r="703" spans="1:53" ht="38.25" x14ac:dyDescent="0.25">
      <c r="A703"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Non-displaced PopulationSD03153</v>
      </c>
      <c r="B703" s="134" t="s">
        <v>185</v>
      </c>
      <c r="C703" s="124" t="s">
        <v>120</v>
      </c>
      <c r="D703" s="124" t="s">
        <v>251</v>
      </c>
      <c r="E703" s="59" t="s">
        <v>250</v>
      </c>
      <c r="F703" s="54"/>
      <c r="G703" s="29"/>
      <c r="H703" s="53">
        <v>67800.95</v>
      </c>
      <c r="I703" s="53" t="s">
        <v>89</v>
      </c>
      <c r="J703" s="34">
        <v>0</v>
      </c>
      <c r="K703" s="116">
        <v>26286.428314999997</v>
      </c>
      <c r="L703" s="114">
        <v>37290.522499999999</v>
      </c>
      <c r="M703" s="114">
        <v>0</v>
      </c>
      <c r="N703" s="114">
        <v>7709</v>
      </c>
      <c r="O703" s="114">
        <v>7458.1045000000004</v>
      </c>
      <c r="P703" s="114">
        <v>7458</v>
      </c>
      <c r="Q703" s="114">
        <v>5368</v>
      </c>
      <c r="R703" s="114">
        <v>6780.0950000000003</v>
      </c>
      <c r="S703" s="114">
        <v>13560</v>
      </c>
      <c r="T703" s="196">
        <v>48701.422384999998</v>
      </c>
      <c r="U703" s="52" t="str">
        <f>IFERROR(INDEX(tblPiNAnalysis[[Site Management ]], MATCH(tblPiNHistorical[[#This Row],[ID]], tblPiNAnalysis[ID], 0)), "")</f>
        <v/>
      </c>
      <c r="V703" s="52" t="str">
        <f>IFERROR(INDEX(tblPiNAnalysis[Education], MATCH(tblPiNHistorical[[#This Row],[ID]], tblPiNAnalysis[ID], 0)), "")</f>
        <v/>
      </c>
      <c r="W703" s="28" t="str">
        <f>IFERROR(INDEX(tblPiNAnalysis[Food Security and Livlihoods], MATCH(tblPiNHistorical[[#This Row],[ID]], tblPiNAnalysis[ID], 0)), "")</f>
        <v/>
      </c>
      <c r="X703" s="28" t="str">
        <f>IFERROR(INDEX(tblPiNAnalysis[[Health ]], MATCH(tblPiNHistorical[[#This Row],[ID]], tblPiNAnalysis[ID], 0)), "")</f>
        <v/>
      </c>
      <c r="Y703" s="28" t="str">
        <f>IFERROR(INDEX(tblPiNAnalysis[Nutrition], MATCH(tblPiNHistorical[[#This Row],[ID]], tblPiNAnalysis[ID], 0)), "")</f>
        <v/>
      </c>
      <c r="Z703" s="28" t="str">
        <f>IFERROR(INDEX(tblPiNAnalysis[Protection], MATCH(tblPiNHistorical[[#This Row],[ID]], tblPiNAnalysis[ID], 0)), "")</f>
        <v/>
      </c>
      <c r="AA703" s="28" t="str">
        <f>IFERROR(INDEX(tblPiNAnalysis[CP], MATCH(tblPiNHistorical[[#This Row],[ID]], tblPiNAnalysis[ID], 0)), "")</f>
        <v/>
      </c>
      <c r="AB703" s="83" t="str">
        <f>IFERROR(INDEX(tblPiNAnalysis[GBV], MATCH(tblPiNHistorical[[#This Row],[ID]], tblPiNAnalysis[ID], 0)), "")</f>
        <v/>
      </c>
      <c r="AC703" s="28" t="str">
        <f>IFERROR(INDEX(tblPiNAnalysis[Mine Action], MATCH(tblPiNHistorical[[#This Row],[ID]], tblPiNAnalysis[ID], 0)), "")</f>
        <v/>
      </c>
      <c r="AD703" s="83" t="str">
        <f>IFERROR(INDEX(tblPiNAnalysis[[Shelter NFI ]], MATCH(tblPiNHistorical[[#This Row],[ID]], tblPiNAnalysis[ID], 0)), "")</f>
        <v/>
      </c>
      <c r="AE703" s="28" t="str">
        <f>IFERROR(INDEX(tblPiNAnalysis[WASH], MATCH(tblPiNHistorical[[#This Row],[ID]], tblPiNAnalysis[ID], 0)), "")</f>
        <v/>
      </c>
      <c r="AF703"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703" s="136" t="str">
        <f>IF(OR(tblPiNHistorical[[#This Row],[Education Old]]="", tblPiNHistorical[[#This Row],[Education Old]]=0, tblPiNHistorical[[#This Row],[Education New]]="", tblPiNHistorical[[#This Row],[Education New]]=0), "", tblPiNHistorical[[#This Row],[Education New]]-tblPiNHistorical[[#This Row],[Education Old]])</f>
        <v/>
      </c>
      <c r="AH703"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703" s="137" t="str">
        <f>IF(OR(tblPiNHistorical[[#This Row],[Health Old]]="", tblPiNHistorical[[#This Row],[Health Old]]=0, tblPiNHistorical[[#This Row],[Health New]]="", tblPiNHistorical[[#This Row],[Health New]]=0), "", tblPiNHistorical[[#This Row],[Health New]]-tblPiNHistorical[[#This Row],[Health Old]])</f>
        <v/>
      </c>
      <c r="AJ703" s="136" t="str">
        <f>IF(OR(tblPiNHistorical[[#This Row],[Nutrition Old]]="", tblPiNHistorical[[#This Row],[Nutrition Old]]=0, tblPiNHistorical[[#This Row],[Nutrition New]]="", tblPiNHistorical[[#This Row],[Nutrition New]]=0), "", tblPiNHistorical[[#This Row],[Nutrition New]]-tblPiNHistorical[[#This Row],[Nutrition Old]])</f>
        <v/>
      </c>
      <c r="AK703" s="136" t="str">
        <f>IF(OR(tblPiNHistorical[[#This Row],[Protection Old]]="", tblPiNHistorical[[#This Row],[Protection Old]]=0, tblPiNHistorical[[#This Row],[Protection New]]="", tblPiNHistorical[[#This Row],[Protection New]]=0), "", tblPiNHistorical[[#This Row],[Protection New]]-tblPiNHistorical[[#This Row],[Protection Old]])</f>
        <v/>
      </c>
      <c r="AL703" s="136" t="str">
        <f>IF(OR(tblPiNHistorical[[#This Row],[CP Old ]]="", tblPiNHistorical[[#This Row],[CP Old ]]=0, tblPiNHistorical[[#This Row],[CP New]]="", tblPiNHistorical[[#This Row],[CP New]]=0), "", tblPiNHistorical[[#This Row],[CP New]]-tblPiNHistorical[[#This Row],[CP Old ]])</f>
        <v/>
      </c>
      <c r="AM703" s="83" t="str">
        <f>IF(OR(tblPiNHistorical[[#This Row],[GBV Old]]="", tblPiNHistorical[[#This Row],[GBV Old]]=0, tblPiNHistorical[[#This Row],[GBV New]]="", tblPiNHistorical[[#This Row],[GBV New]]=0), "", tblPiNHistorical[[#This Row],[GBV New]]-tblPiNHistorical[[#This Row],[GBV Old]])</f>
        <v/>
      </c>
      <c r="AN703" s="83" t="str">
        <f>IF(OR(tblPiNHistorical[[#This Row],[Mine Action Old]]="", tblPiNHistorical[[#This Row],[Mine Action Old]]=0, tblPiNHistorical[[#This Row],[Mine Action New]]="", tblPiNHistorical[[#This Row],[Mine Action New]]=0), "", tblPiNHistorical[[#This Row],[Mine Action New]]-tblPiNHistorical[[#This Row],[Mine Action Old]])</f>
        <v/>
      </c>
      <c r="AO703" s="136" t="str">
        <f>IF(OR(tblPiNHistorical[[#This Row],[Shelter NFI Old]]="", tblPiNHistorical[[#This Row],[Shelter NFI Old]]=0, tblPiNHistorical[[#This Row],[Shelter NFI New]]="", tblPiNHistorical[[#This Row],[Shelter NFI New]]=0), "", tblPiNHistorical[[#This Row],[Shelter NFI New]]-tblPiNHistorical[[#This Row],[Shelter NFI Old]])</f>
        <v/>
      </c>
      <c r="AP703" s="138" t="str">
        <f>IF(OR(tblPiNHistorical[[#This Row],[WASH Old]]="", tblPiNHistorical[[#This Row],[WASH Old]]=0, tblPiNHistorical[[#This Row],[WASH New]]="", tblPiNHistorical[[#This Row],[WASH New]]=0), "", tblPiNHistorical[[#This Row],[WASH New]]-tblPiNHistorical[[#This Row],[WASH Old]])</f>
        <v/>
      </c>
      <c r="AQ703" s="139" t="str">
        <f>IFERROR(ROUND((tblPiNHistorical[[#This Row],[Site Management - New]] - tblPiNHistorical[[#This Row],[Site Management - Old]])/tblPiNHistorical[[#This Row],[Site Management - Old]], 1), "")</f>
        <v/>
      </c>
      <c r="AR703" s="140" t="str">
        <f>IFERROR(ROUND((tblPiNHistorical[[#This Row],[Education New]]-tblPiNHistorical[[#This Row],[Education Old]])/tblPiNHistorical[[#This Row],[Education Old]], 1), "")</f>
        <v/>
      </c>
      <c r="AS703" s="141" t="str">
        <f>IFERROR(ROUND((tblPiNHistorical[[#This Row],[Food Security and Livlihoods New]]-tblPiNHistorical[[#This Row],[Food Security and Livlihoods Old]])/tblPiNHistorical[[#This Row],[Food Security and Livlihoods Old]], 1), "")</f>
        <v/>
      </c>
      <c r="AT703" s="142" t="str">
        <f>IFERROR(ROUND((tblPiNHistorical[[#This Row],[Health New]]-tblPiNHistorical[[#This Row],[Health Old]])/tblPiNHistorical[[#This Row],[Health Old]], 1), "")</f>
        <v/>
      </c>
      <c r="AU703" s="140" t="str">
        <f>IFERROR(ROUND((tblPiNHistorical[[#This Row],[Nutrition New]]-tblPiNHistorical[[#This Row],[Nutrition Old]])/tblPiNHistorical[[#This Row],[Nutrition Old]], 1), "")</f>
        <v/>
      </c>
      <c r="AV703" s="140" t="str">
        <f>IFERROR(ROUND((tblPiNHistorical[[#This Row],[Protection New]]-tblPiNHistorical[[#This Row],[Protection Old]])/tblPiNHistorical[[#This Row],[Protection Old]], 1), "")</f>
        <v/>
      </c>
      <c r="AW703" s="84" t="str">
        <f>IFERROR(ROUND((tblPiNHistorical[[#This Row],[CP New]]-tblPiNHistorical[[#This Row],[CP Old ]])/tblPiNHistorical[[#This Row],[CP Old ]], 1), "")</f>
        <v/>
      </c>
      <c r="AX703" s="84" t="str">
        <f>IFERROR(ROUND((tblPiNHistorical[[#This Row],[GBV New]]-tblPiNHistorical[[#This Row],[GBV Old]])/tblPiNHistorical[[#This Row],[GBV Old]], 1), "")</f>
        <v/>
      </c>
      <c r="AY703" s="84" t="str">
        <f>IFERROR(ROUND((tblPiNHistorical[[#This Row],[Mine Action New]]-tblPiNHistorical[[#This Row],[Mine Action Old]])/tblPiNHistorical[[#This Row],[Mine Action Old]], 1), "")</f>
        <v/>
      </c>
      <c r="AZ703" s="140" t="str">
        <f>IFERROR(ROUND((tblPiNHistorical[[#This Row],[Shelter NFI New]]-tblPiNHistorical[[#This Row],[Shelter NFI Old]])/tblPiNHistorical[[#This Row],[Shelter NFI Old]], 1), "")</f>
        <v/>
      </c>
      <c r="BA703" s="31" t="str">
        <f>IFERROR(ROUND((tblPiNHistorical[[#This Row],[WASH New]]-tblPiNHistorical[[#This Row],[WASH Old]])/tblPiNHistorical[[#This Row],[WASH Old]], 1), "")</f>
        <v/>
      </c>
    </row>
    <row r="704" spans="1:53" ht="38.25" x14ac:dyDescent="0.25">
      <c r="A704"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Non-displaced PopulationSD03144</v>
      </c>
      <c r="B704" s="134" t="s">
        <v>185</v>
      </c>
      <c r="C704" s="124" t="s">
        <v>120</v>
      </c>
      <c r="D704" s="124" t="s">
        <v>237</v>
      </c>
      <c r="E704" s="59" t="s">
        <v>236</v>
      </c>
      <c r="F704" s="54"/>
      <c r="G704" s="29"/>
      <c r="H704" s="53">
        <v>0</v>
      </c>
      <c r="I704" s="53" t="s">
        <v>89</v>
      </c>
      <c r="J704" s="34">
        <v>0</v>
      </c>
      <c r="K704" s="116">
        <v>0</v>
      </c>
      <c r="L704" s="114">
        <v>0</v>
      </c>
      <c r="M704" s="114">
        <v>690</v>
      </c>
      <c r="N704" s="114">
        <v>0</v>
      </c>
      <c r="O704" s="114">
        <v>0</v>
      </c>
      <c r="P704" s="114">
        <v>0</v>
      </c>
      <c r="Q704" s="114">
        <v>0</v>
      </c>
      <c r="R704" s="114">
        <v>0</v>
      </c>
      <c r="S704" s="114">
        <v>0</v>
      </c>
      <c r="T704" s="196">
        <v>0</v>
      </c>
      <c r="U704" s="52" t="str">
        <f>IFERROR(INDEX(tblPiNAnalysis[[Site Management ]], MATCH(tblPiNHistorical[[#This Row],[ID]], tblPiNAnalysis[ID], 0)), "")</f>
        <v/>
      </c>
      <c r="V704" s="52" t="str">
        <f>IFERROR(INDEX(tblPiNAnalysis[Education], MATCH(tblPiNHistorical[[#This Row],[ID]], tblPiNAnalysis[ID], 0)), "")</f>
        <v/>
      </c>
      <c r="W704" s="28" t="str">
        <f>IFERROR(INDEX(tblPiNAnalysis[Food Security and Livlihoods], MATCH(tblPiNHistorical[[#This Row],[ID]], tblPiNAnalysis[ID], 0)), "")</f>
        <v/>
      </c>
      <c r="X704" s="28" t="str">
        <f>IFERROR(INDEX(tblPiNAnalysis[[Health ]], MATCH(tblPiNHistorical[[#This Row],[ID]], tblPiNAnalysis[ID], 0)), "")</f>
        <v/>
      </c>
      <c r="Y704" s="28" t="str">
        <f>IFERROR(INDEX(tblPiNAnalysis[Nutrition], MATCH(tblPiNHistorical[[#This Row],[ID]], tblPiNAnalysis[ID], 0)), "")</f>
        <v/>
      </c>
      <c r="Z704" s="28" t="str">
        <f>IFERROR(INDEX(tblPiNAnalysis[Protection], MATCH(tblPiNHistorical[[#This Row],[ID]], tblPiNAnalysis[ID], 0)), "")</f>
        <v/>
      </c>
      <c r="AA704" s="28" t="str">
        <f>IFERROR(INDEX(tblPiNAnalysis[CP], MATCH(tblPiNHistorical[[#This Row],[ID]], tblPiNAnalysis[ID], 0)), "")</f>
        <v/>
      </c>
      <c r="AB704" s="83" t="str">
        <f>IFERROR(INDEX(tblPiNAnalysis[GBV], MATCH(tblPiNHistorical[[#This Row],[ID]], tblPiNAnalysis[ID], 0)), "")</f>
        <v/>
      </c>
      <c r="AC704" s="28" t="str">
        <f>IFERROR(INDEX(tblPiNAnalysis[Mine Action], MATCH(tblPiNHistorical[[#This Row],[ID]], tblPiNAnalysis[ID], 0)), "")</f>
        <v/>
      </c>
      <c r="AD704" s="83" t="str">
        <f>IFERROR(INDEX(tblPiNAnalysis[[Shelter NFI ]], MATCH(tblPiNHistorical[[#This Row],[ID]], tblPiNAnalysis[ID], 0)), "")</f>
        <v/>
      </c>
      <c r="AE704" s="28" t="str">
        <f>IFERROR(INDEX(tblPiNAnalysis[WASH], MATCH(tblPiNHistorical[[#This Row],[ID]], tblPiNAnalysis[ID], 0)), "")</f>
        <v/>
      </c>
      <c r="AF704"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704" s="136" t="str">
        <f>IF(OR(tblPiNHistorical[[#This Row],[Education Old]]="", tblPiNHistorical[[#This Row],[Education Old]]=0, tblPiNHistorical[[#This Row],[Education New]]="", tblPiNHistorical[[#This Row],[Education New]]=0), "", tblPiNHistorical[[#This Row],[Education New]]-tblPiNHistorical[[#This Row],[Education Old]])</f>
        <v/>
      </c>
      <c r="AH704"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704" s="137" t="str">
        <f>IF(OR(tblPiNHistorical[[#This Row],[Health Old]]="", tblPiNHistorical[[#This Row],[Health Old]]=0, tblPiNHistorical[[#This Row],[Health New]]="", tblPiNHistorical[[#This Row],[Health New]]=0), "", tblPiNHistorical[[#This Row],[Health New]]-tblPiNHistorical[[#This Row],[Health Old]])</f>
        <v/>
      </c>
      <c r="AJ704" s="136" t="str">
        <f>IF(OR(tblPiNHistorical[[#This Row],[Nutrition Old]]="", tblPiNHistorical[[#This Row],[Nutrition Old]]=0, tblPiNHistorical[[#This Row],[Nutrition New]]="", tblPiNHistorical[[#This Row],[Nutrition New]]=0), "", tblPiNHistorical[[#This Row],[Nutrition New]]-tblPiNHistorical[[#This Row],[Nutrition Old]])</f>
        <v/>
      </c>
      <c r="AK704" s="136" t="str">
        <f>IF(OR(tblPiNHistorical[[#This Row],[Protection Old]]="", tblPiNHistorical[[#This Row],[Protection Old]]=0, tblPiNHistorical[[#This Row],[Protection New]]="", tblPiNHistorical[[#This Row],[Protection New]]=0), "", tblPiNHistorical[[#This Row],[Protection New]]-tblPiNHistorical[[#This Row],[Protection Old]])</f>
        <v/>
      </c>
      <c r="AL704" s="136" t="str">
        <f>IF(OR(tblPiNHistorical[[#This Row],[CP Old ]]="", tblPiNHistorical[[#This Row],[CP Old ]]=0, tblPiNHistorical[[#This Row],[CP New]]="", tblPiNHistorical[[#This Row],[CP New]]=0), "", tblPiNHistorical[[#This Row],[CP New]]-tblPiNHistorical[[#This Row],[CP Old ]])</f>
        <v/>
      </c>
      <c r="AM704" s="83" t="str">
        <f>IF(OR(tblPiNHistorical[[#This Row],[GBV Old]]="", tblPiNHistorical[[#This Row],[GBV Old]]=0, tblPiNHistorical[[#This Row],[GBV New]]="", tblPiNHistorical[[#This Row],[GBV New]]=0), "", tblPiNHistorical[[#This Row],[GBV New]]-tblPiNHistorical[[#This Row],[GBV Old]])</f>
        <v/>
      </c>
      <c r="AN704" s="83" t="str">
        <f>IF(OR(tblPiNHistorical[[#This Row],[Mine Action Old]]="", tblPiNHistorical[[#This Row],[Mine Action Old]]=0, tblPiNHistorical[[#This Row],[Mine Action New]]="", tblPiNHistorical[[#This Row],[Mine Action New]]=0), "", tblPiNHistorical[[#This Row],[Mine Action New]]-tblPiNHistorical[[#This Row],[Mine Action Old]])</f>
        <v/>
      </c>
      <c r="AO704" s="136" t="str">
        <f>IF(OR(tblPiNHistorical[[#This Row],[Shelter NFI Old]]="", tblPiNHistorical[[#This Row],[Shelter NFI Old]]=0, tblPiNHistorical[[#This Row],[Shelter NFI New]]="", tblPiNHistorical[[#This Row],[Shelter NFI New]]=0), "", tblPiNHistorical[[#This Row],[Shelter NFI New]]-tblPiNHistorical[[#This Row],[Shelter NFI Old]])</f>
        <v/>
      </c>
      <c r="AP704" s="138" t="str">
        <f>IF(OR(tblPiNHistorical[[#This Row],[WASH Old]]="", tblPiNHistorical[[#This Row],[WASH Old]]=0, tblPiNHistorical[[#This Row],[WASH New]]="", tblPiNHistorical[[#This Row],[WASH New]]=0), "", tblPiNHistorical[[#This Row],[WASH New]]-tblPiNHistorical[[#This Row],[WASH Old]])</f>
        <v/>
      </c>
      <c r="AQ704" s="139" t="str">
        <f>IFERROR(ROUND((tblPiNHistorical[[#This Row],[Site Management - New]] - tblPiNHistorical[[#This Row],[Site Management - Old]])/tblPiNHistorical[[#This Row],[Site Management - Old]], 1), "")</f>
        <v/>
      </c>
      <c r="AR704" s="140" t="str">
        <f>IFERROR(ROUND((tblPiNHistorical[[#This Row],[Education New]]-tblPiNHistorical[[#This Row],[Education Old]])/tblPiNHistorical[[#This Row],[Education Old]], 1), "")</f>
        <v/>
      </c>
      <c r="AS704" s="141" t="str">
        <f>IFERROR(ROUND((tblPiNHistorical[[#This Row],[Food Security and Livlihoods New]]-tblPiNHistorical[[#This Row],[Food Security and Livlihoods Old]])/tblPiNHistorical[[#This Row],[Food Security and Livlihoods Old]], 1), "")</f>
        <v/>
      </c>
      <c r="AT704" s="142" t="str">
        <f>IFERROR(ROUND((tblPiNHistorical[[#This Row],[Health New]]-tblPiNHistorical[[#This Row],[Health Old]])/tblPiNHistorical[[#This Row],[Health Old]], 1), "")</f>
        <v/>
      </c>
      <c r="AU704" s="140" t="str">
        <f>IFERROR(ROUND((tblPiNHistorical[[#This Row],[Nutrition New]]-tblPiNHistorical[[#This Row],[Nutrition Old]])/tblPiNHistorical[[#This Row],[Nutrition Old]], 1), "")</f>
        <v/>
      </c>
      <c r="AV704" s="140" t="str">
        <f>IFERROR(ROUND((tblPiNHistorical[[#This Row],[Protection New]]-tblPiNHistorical[[#This Row],[Protection Old]])/tblPiNHistorical[[#This Row],[Protection Old]], 1), "")</f>
        <v/>
      </c>
      <c r="AW704" s="84" t="str">
        <f>IFERROR(ROUND((tblPiNHistorical[[#This Row],[CP New]]-tblPiNHistorical[[#This Row],[CP Old ]])/tblPiNHistorical[[#This Row],[CP Old ]], 1), "")</f>
        <v/>
      </c>
      <c r="AX704" s="84" t="str">
        <f>IFERROR(ROUND((tblPiNHistorical[[#This Row],[GBV New]]-tblPiNHistorical[[#This Row],[GBV Old]])/tblPiNHistorical[[#This Row],[GBV Old]], 1), "")</f>
        <v/>
      </c>
      <c r="AY704" s="84" t="str">
        <f>IFERROR(ROUND((tblPiNHistorical[[#This Row],[Mine Action New]]-tblPiNHistorical[[#This Row],[Mine Action Old]])/tblPiNHistorical[[#This Row],[Mine Action Old]], 1), "")</f>
        <v/>
      </c>
      <c r="AZ704" s="140" t="str">
        <f>IFERROR(ROUND((tblPiNHistorical[[#This Row],[Shelter NFI New]]-tblPiNHistorical[[#This Row],[Shelter NFI Old]])/tblPiNHistorical[[#This Row],[Shelter NFI Old]], 1), "")</f>
        <v/>
      </c>
      <c r="BA704" s="31" t="str">
        <f>IFERROR(ROUND((tblPiNHistorical[[#This Row],[WASH New]]-tblPiNHistorical[[#This Row],[WASH Old]])/tblPiNHistorical[[#This Row],[WASH Old]], 1), "")</f>
        <v/>
      </c>
    </row>
    <row r="705" spans="1:53" ht="38.25" x14ac:dyDescent="0.25">
      <c r="A705"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Non-displaced PopulationSD03159</v>
      </c>
      <c r="B705" s="134" t="s">
        <v>185</v>
      </c>
      <c r="C705" s="124" t="s">
        <v>120</v>
      </c>
      <c r="D705" s="124" t="s">
        <v>261</v>
      </c>
      <c r="E705" s="59" t="s">
        <v>260</v>
      </c>
      <c r="F705" s="54"/>
      <c r="G705" s="29"/>
      <c r="H705" s="53">
        <v>45671</v>
      </c>
      <c r="I705" s="53" t="s">
        <v>89</v>
      </c>
      <c r="J705" s="34">
        <v>0</v>
      </c>
      <c r="K705" s="116">
        <v>17706.646700000001</v>
      </c>
      <c r="L705" s="114">
        <v>18268.400000000001</v>
      </c>
      <c r="M705" s="114">
        <v>0</v>
      </c>
      <c r="N705" s="114">
        <v>10263</v>
      </c>
      <c r="O705" s="114">
        <v>5023.8100000000013</v>
      </c>
      <c r="P705" s="114">
        <v>5024</v>
      </c>
      <c r="Q705" s="114">
        <v>3614</v>
      </c>
      <c r="R705" s="114">
        <v>4567.1000000000004</v>
      </c>
      <c r="S705" s="114">
        <v>0</v>
      </c>
      <c r="T705" s="196">
        <v>44721.0432</v>
      </c>
      <c r="U705" s="52" t="str">
        <f>IFERROR(INDEX(tblPiNAnalysis[[Site Management ]], MATCH(tblPiNHistorical[[#This Row],[ID]], tblPiNAnalysis[ID], 0)), "")</f>
        <v/>
      </c>
      <c r="V705" s="52" t="str">
        <f>IFERROR(INDEX(tblPiNAnalysis[Education], MATCH(tblPiNHistorical[[#This Row],[ID]], tblPiNAnalysis[ID], 0)), "")</f>
        <v/>
      </c>
      <c r="W705" s="28" t="str">
        <f>IFERROR(INDEX(tblPiNAnalysis[Food Security and Livlihoods], MATCH(tblPiNHistorical[[#This Row],[ID]], tblPiNAnalysis[ID], 0)), "")</f>
        <v/>
      </c>
      <c r="X705" s="28" t="str">
        <f>IFERROR(INDEX(tblPiNAnalysis[[Health ]], MATCH(tblPiNHistorical[[#This Row],[ID]], tblPiNAnalysis[ID], 0)), "")</f>
        <v/>
      </c>
      <c r="Y705" s="28" t="str">
        <f>IFERROR(INDEX(tblPiNAnalysis[Nutrition], MATCH(tblPiNHistorical[[#This Row],[ID]], tblPiNAnalysis[ID], 0)), "")</f>
        <v/>
      </c>
      <c r="Z705" s="28" t="str">
        <f>IFERROR(INDEX(tblPiNAnalysis[Protection], MATCH(tblPiNHistorical[[#This Row],[ID]], tblPiNAnalysis[ID], 0)), "")</f>
        <v/>
      </c>
      <c r="AA705" s="28" t="str">
        <f>IFERROR(INDEX(tblPiNAnalysis[CP], MATCH(tblPiNHistorical[[#This Row],[ID]], tblPiNAnalysis[ID], 0)), "")</f>
        <v/>
      </c>
      <c r="AB705" s="83" t="str">
        <f>IFERROR(INDEX(tblPiNAnalysis[GBV], MATCH(tblPiNHistorical[[#This Row],[ID]], tblPiNAnalysis[ID], 0)), "")</f>
        <v/>
      </c>
      <c r="AC705" s="28" t="str">
        <f>IFERROR(INDEX(tblPiNAnalysis[Mine Action], MATCH(tblPiNHistorical[[#This Row],[ID]], tblPiNAnalysis[ID], 0)), "")</f>
        <v/>
      </c>
      <c r="AD705" s="83" t="str">
        <f>IFERROR(INDEX(tblPiNAnalysis[[Shelter NFI ]], MATCH(tblPiNHistorical[[#This Row],[ID]], tblPiNAnalysis[ID], 0)), "")</f>
        <v/>
      </c>
      <c r="AE705" s="28" t="str">
        <f>IFERROR(INDEX(tblPiNAnalysis[WASH], MATCH(tblPiNHistorical[[#This Row],[ID]], tblPiNAnalysis[ID], 0)), "")</f>
        <v/>
      </c>
      <c r="AF705"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705" s="136" t="str">
        <f>IF(OR(tblPiNHistorical[[#This Row],[Education Old]]="", tblPiNHistorical[[#This Row],[Education Old]]=0, tblPiNHistorical[[#This Row],[Education New]]="", tblPiNHistorical[[#This Row],[Education New]]=0), "", tblPiNHistorical[[#This Row],[Education New]]-tblPiNHistorical[[#This Row],[Education Old]])</f>
        <v/>
      </c>
      <c r="AH705"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705" s="137" t="str">
        <f>IF(OR(tblPiNHistorical[[#This Row],[Health Old]]="", tblPiNHistorical[[#This Row],[Health Old]]=0, tblPiNHistorical[[#This Row],[Health New]]="", tblPiNHistorical[[#This Row],[Health New]]=0), "", tblPiNHistorical[[#This Row],[Health New]]-tblPiNHistorical[[#This Row],[Health Old]])</f>
        <v/>
      </c>
      <c r="AJ705" s="136" t="str">
        <f>IF(OR(tblPiNHistorical[[#This Row],[Nutrition Old]]="", tblPiNHistorical[[#This Row],[Nutrition Old]]=0, tblPiNHistorical[[#This Row],[Nutrition New]]="", tblPiNHistorical[[#This Row],[Nutrition New]]=0), "", tblPiNHistorical[[#This Row],[Nutrition New]]-tblPiNHistorical[[#This Row],[Nutrition Old]])</f>
        <v/>
      </c>
      <c r="AK705" s="136" t="str">
        <f>IF(OR(tblPiNHistorical[[#This Row],[Protection Old]]="", tblPiNHistorical[[#This Row],[Protection Old]]=0, tblPiNHistorical[[#This Row],[Protection New]]="", tblPiNHistorical[[#This Row],[Protection New]]=0), "", tblPiNHistorical[[#This Row],[Protection New]]-tblPiNHistorical[[#This Row],[Protection Old]])</f>
        <v/>
      </c>
      <c r="AL705" s="136" t="str">
        <f>IF(OR(tblPiNHistorical[[#This Row],[CP Old ]]="", tblPiNHistorical[[#This Row],[CP Old ]]=0, tblPiNHistorical[[#This Row],[CP New]]="", tblPiNHistorical[[#This Row],[CP New]]=0), "", tblPiNHistorical[[#This Row],[CP New]]-tblPiNHistorical[[#This Row],[CP Old ]])</f>
        <v/>
      </c>
      <c r="AM705" s="83" t="str">
        <f>IF(OR(tblPiNHistorical[[#This Row],[GBV Old]]="", tblPiNHistorical[[#This Row],[GBV Old]]=0, tblPiNHistorical[[#This Row],[GBV New]]="", tblPiNHistorical[[#This Row],[GBV New]]=0), "", tblPiNHistorical[[#This Row],[GBV New]]-tblPiNHistorical[[#This Row],[GBV Old]])</f>
        <v/>
      </c>
      <c r="AN705" s="83" t="str">
        <f>IF(OR(tblPiNHistorical[[#This Row],[Mine Action Old]]="", tblPiNHistorical[[#This Row],[Mine Action Old]]=0, tblPiNHistorical[[#This Row],[Mine Action New]]="", tblPiNHistorical[[#This Row],[Mine Action New]]=0), "", tblPiNHistorical[[#This Row],[Mine Action New]]-tblPiNHistorical[[#This Row],[Mine Action Old]])</f>
        <v/>
      </c>
      <c r="AO705" s="136" t="str">
        <f>IF(OR(tblPiNHistorical[[#This Row],[Shelter NFI Old]]="", tblPiNHistorical[[#This Row],[Shelter NFI Old]]=0, tblPiNHistorical[[#This Row],[Shelter NFI New]]="", tblPiNHistorical[[#This Row],[Shelter NFI New]]=0), "", tblPiNHistorical[[#This Row],[Shelter NFI New]]-tblPiNHistorical[[#This Row],[Shelter NFI Old]])</f>
        <v/>
      </c>
      <c r="AP705" s="138" t="str">
        <f>IF(OR(tblPiNHistorical[[#This Row],[WASH Old]]="", tblPiNHistorical[[#This Row],[WASH Old]]=0, tblPiNHistorical[[#This Row],[WASH New]]="", tblPiNHistorical[[#This Row],[WASH New]]=0), "", tblPiNHistorical[[#This Row],[WASH New]]-tblPiNHistorical[[#This Row],[WASH Old]])</f>
        <v/>
      </c>
      <c r="AQ705" s="139" t="str">
        <f>IFERROR(ROUND((tblPiNHistorical[[#This Row],[Site Management - New]] - tblPiNHistorical[[#This Row],[Site Management - Old]])/tblPiNHistorical[[#This Row],[Site Management - Old]], 1), "")</f>
        <v/>
      </c>
      <c r="AR705" s="140" t="str">
        <f>IFERROR(ROUND((tblPiNHistorical[[#This Row],[Education New]]-tblPiNHistorical[[#This Row],[Education Old]])/tblPiNHistorical[[#This Row],[Education Old]], 1), "")</f>
        <v/>
      </c>
      <c r="AS705" s="141" t="str">
        <f>IFERROR(ROUND((tblPiNHistorical[[#This Row],[Food Security and Livlihoods New]]-tblPiNHistorical[[#This Row],[Food Security and Livlihoods Old]])/tblPiNHistorical[[#This Row],[Food Security and Livlihoods Old]], 1), "")</f>
        <v/>
      </c>
      <c r="AT705" s="142" t="str">
        <f>IFERROR(ROUND((tblPiNHistorical[[#This Row],[Health New]]-tblPiNHistorical[[#This Row],[Health Old]])/tblPiNHistorical[[#This Row],[Health Old]], 1), "")</f>
        <v/>
      </c>
      <c r="AU705" s="140" t="str">
        <f>IFERROR(ROUND((tblPiNHistorical[[#This Row],[Nutrition New]]-tblPiNHistorical[[#This Row],[Nutrition Old]])/tblPiNHistorical[[#This Row],[Nutrition Old]], 1), "")</f>
        <v/>
      </c>
      <c r="AV705" s="140" t="str">
        <f>IFERROR(ROUND((tblPiNHistorical[[#This Row],[Protection New]]-tblPiNHistorical[[#This Row],[Protection Old]])/tblPiNHistorical[[#This Row],[Protection Old]], 1), "")</f>
        <v/>
      </c>
      <c r="AW705" s="84" t="str">
        <f>IFERROR(ROUND((tblPiNHistorical[[#This Row],[CP New]]-tblPiNHistorical[[#This Row],[CP Old ]])/tblPiNHistorical[[#This Row],[CP Old ]], 1), "")</f>
        <v/>
      </c>
      <c r="AX705" s="84" t="str">
        <f>IFERROR(ROUND((tblPiNHistorical[[#This Row],[GBV New]]-tblPiNHistorical[[#This Row],[GBV Old]])/tblPiNHistorical[[#This Row],[GBV Old]], 1), "")</f>
        <v/>
      </c>
      <c r="AY705" s="84" t="str">
        <f>IFERROR(ROUND((tblPiNHistorical[[#This Row],[Mine Action New]]-tblPiNHistorical[[#This Row],[Mine Action Old]])/tblPiNHistorical[[#This Row],[Mine Action Old]], 1), "")</f>
        <v/>
      </c>
      <c r="AZ705" s="140" t="str">
        <f>IFERROR(ROUND((tblPiNHistorical[[#This Row],[Shelter NFI New]]-tblPiNHistorical[[#This Row],[Shelter NFI Old]])/tblPiNHistorical[[#This Row],[Shelter NFI Old]], 1), "")</f>
        <v/>
      </c>
      <c r="BA705" s="31" t="str">
        <f>IFERROR(ROUND((tblPiNHistorical[[#This Row],[WASH New]]-tblPiNHistorical[[#This Row],[WASH Old]])/tblPiNHistorical[[#This Row],[WASH Old]], 1), "")</f>
        <v/>
      </c>
    </row>
    <row r="706" spans="1:53" ht="38.25" x14ac:dyDescent="0.25">
      <c r="A706"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Non-displaced PopulationSD03157</v>
      </c>
      <c r="B706" s="134" t="s">
        <v>185</v>
      </c>
      <c r="C706" s="124" t="s">
        <v>120</v>
      </c>
      <c r="D706" s="124" t="s">
        <v>257</v>
      </c>
      <c r="E706" s="59" t="s">
        <v>256</v>
      </c>
      <c r="F706" s="54"/>
      <c r="G706" s="29"/>
      <c r="H706" s="53">
        <v>87310</v>
      </c>
      <c r="I706" s="53" t="s">
        <v>89</v>
      </c>
      <c r="J706" s="34">
        <v>0</v>
      </c>
      <c r="K706" s="116">
        <v>33850.087</v>
      </c>
      <c r="L706" s="114">
        <v>34924</v>
      </c>
      <c r="M706" s="114">
        <v>0</v>
      </c>
      <c r="N706" s="114">
        <v>23899</v>
      </c>
      <c r="O706" s="114">
        <v>9604.1000000000022</v>
      </c>
      <c r="P706" s="114">
        <v>9604</v>
      </c>
      <c r="Q706" s="114">
        <v>6912</v>
      </c>
      <c r="R706" s="114">
        <v>8731</v>
      </c>
      <c r="S706" s="114">
        <v>17462</v>
      </c>
      <c r="T706" s="196">
        <v>65456.307000000001</v>
      </c>
      <c r="U706" s="52" t="str">
        <f>IFERROR(INDEX(tblPiNAnalysis[[Site Management ]], MATCH(tblPiNHistorical[[#This Row],[ID]], tblPiNAnalysis[ID], 0)), "")</f>
        <v/>
      </c>
      <c r="V706" s="52" t="str">
        <f>IFERROR(INDEX(tblPiNAnalysis[Education], MATCH(tblPiNHistorical[[#This Row],[ID]], tblPiNAnalysis[ID], 0)), "")</f>
        <v/>
      </c>
      <c r="W706" s="28" t="str">
        <f>IFERROR(INDEX(tblPiNAnalysis[Food Security and Livlihoods], MATCH(tblPiNHistorical[[#This Row],[ID]], tblPiNAnalysis[ID], 0)), "")</f>
        <v/>
      </c>
      <c r="X706" s="28" t="str">
        <f>IFERROR(INDEX(tblPiNAnalysis[[Health ]], MATCH(tblPiNHistorical[[#This Row],[ID]], tblPiNAnalysis[ID], 0)), "")</f>
        <v/>
      </c>
      <c r="Y706" s="28" t="str">
        <f>IFERROR(INDEX(tblPiNAnalysis[Nutrition], MATCH(tblPiNHistorical[[#This Row],[ID]], tblPiNAnalysis[ID], 0)), "")</f>
        <v/>
      </c>
      <c r="Z706" s="28" t="str">
        <f>IFERROR(INDEX(tblPiNAnalysis[Protection], MATCH(tblPiNHistorical[[#This Row],[ID]], tblPiNAnalysis[ID], 0)), "")</f>
        <v/>
      </c>
      <c r="AA706" s="28" t="str">
        <f>IFERROR(INDEX(tblPiNAnalysis[CP], MATCH(tblPiNHistorical[[#This Row],[ID]], tblPiNAnalysis[ID], 0)), "")</f>
        <v/>
      </c>
      <c r="AB706" s="83" t="str">
        <f>IFERROR(INDEX(tblPiNAnalysis[GBV], MATCH(tblPiNHistorical[[#This Row],[ID]], tblPiNAnalysis[ID], 0)), "")</f>
        <v/>
      </c>
      <c r="AC706" s="28" t="str">
        <f>IFERROR(INDEX(tblPiNAnalysis[Mine Action], MATCH(tblPiNHistorical[[#This Row],[ID]], tblPiNAnalysis[ID], 0)), "")</f>
        <v/>
      </c>
      <c r="AD706" s="83" t="str">
        <f>IFERROR(INDEX(tblPiNAnalysis[[Shelter NFI ]], MATCH(tblPiNHistorical[[#This Row],[ID]], tblPiNAnalysis[ID], 0)), "")</f>
        <v/>
      </c>
      <c r="AE706" s="28" t="str">
        <f>IFERROR(INDEX(tblPiNAnalysis[WASH], MATCH(tblPiNHistorical[[#This Row],[ID]], tblPiNAnalysis[ID], 0)), "")</f>
        <v/>
      </c>
      <c r="AF706"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706" s="136" t="str">
        <f>IF(OR(tblPiNHistorical[[#This Row],[Education Old]]="", tblPiNHistorical[[#This Row],[Education Old]]=0, tblPiNHistorical[[#This Row],[Education New]]="", tblPiNHistorical[[#This Row],[Education New]]=0), "", tblPiNHistorical[[#This Row],[Education New]]-tblPiNHistorical[[#This Row],[Education Old]])</f>
        <v/>
      </c>
      <c r="AH706"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706" s="137" t="str">
        <f>IF(OR(tblPiNHistorical[[#This Row],[Health Old]]="", tblPiNHistorical[[#This Row],[Health Old]]=0, tblPiNHistorical[[#This Row],[Health New]]="", tblPiNHistorical[[#This Row],[Health New]]=0), "", tblPiNHistorical[[#This Row],[Health New]]-tblPiNHistorical[[#This Row],[Health Old]])</f>
        <v/>
      </c>
      <c r="AJ706" s="136" t="str">
        <f>IF(OR(tblPiNHistorical[[#This Row],[Nutrition Old]]="", tblPiNHistorical[[#This Row],[Nutrition Old]]=0, tblPiNHistorical[[#This Row],[Nutrition New]]="", tblPiNHistorical[[#This Row],[Nutrition New]]=0), "", tblPiNHistorical[[#This Row],[Nutrition New]]-tblPiNHistorical[[#This Row],[Nutrition Old]])</f>
        <v/>
      </c>
      <c r="AK706" s="136" t="str">
        <f>IF(OR(tblPiNHistorical[[#This Row],[Protection Old]]="", tblPiNHistorical[[#This Row],[Protection Old]]=0, tblPiNHistorical[[#This Row],[Protection New]]="", tblPiNHistorical[[#This Row],[Protection New]]=0), "", tblPiNHistorical[[#This Row],[Protection New]]-tblPiNHistorical[[#This Row],[Protection Old]])</f>
        <v/>
      </c>
      <c r="AL706" s="136" t="str">
        <f>IF(OR(tblPiNHistorical[[#This Row],[CP Old ]]="", tblPiNHistorical[[#This Row],[CP Old ]]=0, tblPiNHistorical[[#This Row],[CP New]]="", tblPiNHistorical[[#This Row],[CP New]]=0), "", tblPiNHistorical[[#This Row],[CP New]]-tblPiNHistorical[[#This Row],[CP Old ]])</f>
        <v/>
      </c>
      <c r="AM706" s="83" t="str">
        <f>IF(OR(tblPiNHistorical[[#This Row],[GBV Old]]="", tblPiNHistorical[[#This Row],[GBV Old]]=0, tblPiNHistorical[[#This Row],[GBV New]]="", tblPiNHistorical[[#This Row],[GBV New]]=0), "", tblPiNHistorical[[#This Row],[GBV New]]-tblPiNHistorical[[#This Row],[GBV Old]])</f>
        <v/>
      </c>
      <c r="AN706" s="83" t="str">
        <f>IF(OR(tblPiNHistorical[[#This Row],[Mine Action Old]]="", tblPiNHistorical[[#This Row],[Mine Action Old]]=0, tblPiNHistorical[[#This Row],[Mine Action New]]="", tblPiNHistorical[[#This Row],[Mine Action New]]=0), "", tblPiNHistorical[[#This Row],[Mine Action New]]-tblPiNHistorical[[#This Row],[Mine Action Old]])</f>
        <v/>
      </c>
      <c r="AO706" s="136" t="str">
        <f>IF(OR(tblPiNHistorical[[#This Row],[Shelter NFI Old]]="", tblPiNHistorical[[#This Row],[Shelter NFI Old]]=0, tblPiNHistorical[[#This Row],[Shelter NFI New]]="", tblPiNHistorical[[#This Row],[Shelter NFI New]]=0), "", tblPiNHistorical[[#This Row],[Shelter NFI New]]-tblPiNHistorical[[#This Row],[Shelter NFI Old]])</f>
        <v/>
      </c>
      <c r="AP706" s="138" t="str">
        <f>IF(OR(tblPiNHistorical[[#This Row],[WASH Old]]="", tblPiNHistorical[[#This Row],[WASH Old]]=0, tblPiNHistorical[[#This Row],[WASH New]]="", tblPiNHistorical[[#This Row],[WASH New]]=0), "", tblPiNHistorical[[#This Row],[WASH New]]-tblPiNHistorical[[#This Row],[WASH Old]])</f>
        <v/>
      </c>
      <c r="AQ706" s="139" t="str">
        <f>IFERROR(ROUND((tblPiNHistorical[[#This Row],[Site Management - New]] - tblPiNHistorical[[#This Row],[Site Management - Old]])/tblPiNHistorical[[#This Row],[Site Management - Old]], 1), "")</f>
        <v/>
      </c>
      <c r="AR706" s="140" t="str">
        <f>IFERROR(ROUND((tblPiNHistorical[[#This Row],[Education New]]-tblPiNHistorical[[#This Row],[Education Old]])/tblPiNHistorical[[#This Row],[Education Old]], 1), "")</f>
        <v/>
      </c>
      <c r="AS706" s="141" t="str">
        <f>IFERROR(ROUND((tblPiNHistorical[[#This Row],[Food Security and Livlihoods New]]-tblPiNHistorical[[#This Row],[Food Security and Livlihoods Old]])/tblPiNHistorical[[#This Row],[Food Security and Livlihoods Old]], 1), "")</f>
        <v/>
      </c>
      <c r="AT706" s="142" t="str">
        <f>IFERROR(ROUND((tblPiNHistorical[[#This Row],[Health New]]-tblPiNHistorical[[#This Row],[Health Old]])/tblPiNHistorical[[#This Row],[Health Old]], 1), "")</f>
        <v/>
      </c>
      <c r="AU706" s="140" t="str">
        <f>IFERROR(ROUND((tblPiNHistorical[[#This Row],[Nutrition New]]-tblPiNHistorical[[#This Row],[Nutrition Old]])/tblPiNHistorical[[#This Row],[Nutrition Old]], 1), "")</f>
        <v/>
      </c>
      <c r="AV706" s="140" t="str">
        <f>IFERROR(ROUND((tblPiNHistorical[[#This Row],[Protection New]]-tblPiNHistorical[[#This Row],[Protection Old]])/tblPiNHistorical[[#This Row],[Protection Old]], 1), "")</f>
        <v/>
      </c>
      <c r="AW706" s="84" t="str">
        <f>IFERROR(ROUND((tblPiNHistorical[[#This Row],[CP New]]-tblPiNHistorical[[#This Row],[CP Old ]])/tblPiNHistorical[[#This Row],[CP Old ]], 1), "")</f>
        <v/>
      </c>
      <c r="AX706" s="84" t="str">
        <f>IFERROR(ROUND((tblPiNHistorical[[#This Row],[GBV New]]-tblPiNHistorical[[#This Row],[GBV Old]])/tblPiNHistorical[[#This Row],[GBV Old]], 1), "")</f>
        <v/>
      </c>
      <c r="AY706" s="84" t="str">
        <f>IFERROR(ROUND((tblPiNHistorical[[#This Row],[Mine Action New]]-tblPiNHistorical[[#This Row],[Mine Action Old]])/tblPiNHistorical[[#This Row],[Mine Action Old]], 1), "")</f>
        <v/>
      </c>
      <c r="AZ706" s="140" t="str">
        <f>IFERROR(ROUND((tblPiNHistorical[[#This Row],[Shelter NFI New]]-tblPiNHistorical[[#This Row],[Shelter NFI Old]])/tblPiNHistorical[[#This Row],[Shelter NFI Old]], 1), "")</f>
        <v/>
      </c>
      <c r="BA706" s="31" t="str">
        <f>IFERROR(ROUND((tblPiNHistorical[[#This Row],[WASH New]]-tblPiNHistorical[[#This Row],[WASH Old]])/tblPiNHistorical[[#This Row],[WASH Old]], 1), "")</f>
        <v/>
      </c>
    </row>
    <row r="707" spans="1:53" ht="38.25" x14ac:dyDescent="0.25">
      <c r="A707"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Non-displaced PopulationSD03145</v>
      </c>
      <c r="B707" s="134" t="s">
        <v>185</v>
      </c>
      <c r="C707" s="124" t="s">
        <v>120</v>
      </c>
      <c r="D707" s="124" t="s">
        <v>239</v>
      </c>
      <c r="E707" s="59" t="s">
        <v>238</v>
      </c>
      <c r="F707" s="54"/>
      <c r="G707" s="29"/>
      <c r="H707" s="53">
        <v>14521.75</v>
      </c>
      <c r="I707" s="53" t="s">
        <v>89</v>
      </c>
      <c r="J707" s="34">
        <v>0</v>
      </c>
      <c r="K707" s="116">
        <v>5630.0824750000002</v>
      </c>
      <c r="L707" s="114">
        <v>6986.9624999999996</v>
      </c>
      <c r="M707" s="114">
        <v>0</v>
      </c>
      <c r="N707" s="114">
        <v>1484</v>
      </c>
      <c r="O707" s="114">
        <v>2178.2624999999998</v>
      </c>
      <c r="P707" s="114">
        <v>1597</v>
      </c>
      <c r="Q707" s="114">
        <v>1149</v>
      </c>
      <c r="R707" s="114">
        <v>2178.2624999999998</v>
      </c>
      <c r="S707" s="114">
        <v>2904</v>
      </c>
      <c r="T707" s="196">
        <v>8766.7804749999996</v>
      </c>
      <c r="U707" s="52" t="str">
        <f>IFERROR(INDEX(tblPiNAnalysis[[Site Management ]], MATCH(tblPiNHistorical[[#This Row],[ID]], tblPiNAnalysis[ID], 0)), "")</f>
        <v/>
      </c>
      <c r="V707" s="52" t="str">
        <f>IFERROR(INDEX(tblPiNAnalysis[Education], MATCH(tblPiNHistorical[[#This Row],[ID]], tblPiNAnalysis[ID], 0)), "")</f>
        <v/>
      </c>
      <c r="W707" s="28" t="str">
        <f>IFERROR(INDEX(tblPiNAnalysis[Food Security and Livlihoods], MATCH(tblPiNHistorical[[#This Row],[ID]], tblPiNAnalysis[ID], 0)), "")</f>
        <v/>
      </c>
      <c r="X707" s="28" t="str">
        <f>IFERROR(INDEX(tblPiNAnalysis[[Health ]], MATCH(tblPiNHistorical[[#This Row],[ID]], tblPiNAnalysis[ID], 0)), "")</f>
        <v/>
      </c>
      <c r="Y707" s="28" t="str">
        <f>IFERROR(INDEX(tblPiNAnalysis[Nutrition], MATCH(tblPiNHistorical[[#This Row],[ID]], tblPiNAnalysis[ID], 0)), "")</f>
        <v/>
      </c>
      <c r="Z707" s="28" t="str">
        <f>IFERROR(INDEX(tblPiNAnalysis[Protection], MATCH(tblPiNHistorical[[#This Row],[ID]], tblPiNAnalysis[ID], 0)), "")</f>
        <v/>
      </c>
      <c r="AA707" s="28" t="str">
        <f>IFERROR(INDEX(tblPiNAnalysis[CP], MATCH(tblPiNHistorical[[#This Row],[ID]], tblPiNAnalysis[ID], 0)), "")</f>
        <v/>
      </c>
      <c r="AB707" s="83" t="str">
        <f>IFERROR(INDEX(tblPiNAnalysis[GBV], MATCH(tblPiNHistorical[[#This Row],[ID]], tblPiNAnalysis[ID], 0)), "")</f>
        <v/>
      </c>
      <c r="AC707" s="28" t="str">
        <f>IFERROR(INDEX(tblPiNAnalysis[Mine Action], MATCH(tblPiNHistorical[[#This Row],[ID]], tblPiNAnalysis[ID], 0)), "")</f>
        <v/>
      </c>
      <c r="AD707" s="83" t="str">
        <f>IFERROR(INDEX(tblPiNAnalysis[[Shelter NFI ]], MATCH(tblPiNHistorical[[#This Row],[ID]], tblPiNAnalysis[ID], 0)), "")</f>
        <v/>
      </c>
      <c r="AE707" s="28" t="str">
        <f>IFERROR(INDEX(tblPiNAnalysis[WASH], MATCH(tblPiNHistorical[[#This Row],[ID]], tblPiNAnalysis[ID], 0)), "")</f>
        <v/>
      </c>
      <c r="AF707"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707" s="136" t="str">
        <f>IF(OR(tblPiNHistorical[[#This Row],[Education Old]]="", tblPiNHistorical[[#This Row],[Education Old]]=0, tblPiNHistorical[[#This Row],[Education New]]="", tblPiNHistorical[[#This Row],[Education New]]=0), "", tblPiNHistorical[[#This Row],[Education New]]-tblPiNHistorical[[#This Row],[Education Old]])</f>
        <v/>
      </c>
      <c r="AH707"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707" s="137" t="str">
        <f>IF(OR(tblPiNHistorical[[#This Row],[Health Old]]="", tblPiNHistorical[[#This Row],[Health Old]]=0, tblPiNHistorical[[#This Row],[Health New]]="", tblPiNHistorical[[#This Row],[Health New]]=0), "", tblPiNHistorical[[#This Row],[Health New]]-tblPiNHistorical[[#This Row],[Health Old]])</f>
        <v/>
      </c>
      <c r="AJ707" s="136" t="str">
        <f>IF(OR(tblPiNHistorical[[#This Row],[Nutrition Old]]="", tblPiNHistorical[[#This Row],[Nutrition Old]]=0, tblPiNHistorical[[#This Row],[Nutrition New]]="", tblPiNHistorical[[#This Row],[Nutrition New]]=0), "", tblPiNHistorical[[#This Row],[Nutrition New]]-tblPiNHistorical[[#This Row],[Nutrition Old]])</f>
        <v/>
      </c>
      <c r="AK707" s="136" t="str">
        <f>IF(OR(tblPiNHistorical[[#This Row],[Protection Old]]="", tblPiNHistorical[[#This Row],[Protection Old]]=0, tblPiNHistorical[[#This Row],[Protection New]]="", tblPiNHistorical[[#This Row],[Protection New]]=0), "", tblPiNHistorical[[#This Row],[Protection New]]-tblPiNHistorical[[#This Row],[Protection Old]])</f>
        <v/>
      </c>
      <c r="AL707" s="136" t="str">
        <f>IF(OR(tblPiNHistorical[[#This Row],[CP Old ]]="", tblPiNHistorical[[#This Row],[CP Old ]]=0, tblPiNHistorical[[#This Row],[CP New]]="", tblPiNHistorical[[#This Row],[CP New]]=0), "", tblPiNHistorical[[#This Row],[CP New]]-tblPiNHistorical[[#This Row],[CP Old ]])</f>
        <v/>
      </c>
      <c r="AM707" s="83" t="str">
        <f>IF(OR(tblPiNHistorical[[#This Row],[GBV Old]]="", tblPiNHistorical[[#This Row],[GBV Old]]=0, tblPiNHistorical[[#This Row],[GBV New]]="", tblPiNHistorical[[#This Row],[GBV New]]=0), "", tblPiNHistorical[[#This Row],[GBV New]]-tblPiNHistorical[[#This Row],[GBV Old]])</f>
        <v/>
      </c>
      <c r="AN707" s="83" t="str">
        <f>IF(OR(tblPiNHistorical[[#This Row],[Mine Action Old]]="", tblPiNHistorical[[#This Row],[Mine Action Old]]=0, tblPiNHistorical[[#This Row],[Mine Action New]]="", tblPiNHistorical[[#This Row],[Mine Action New]]=0), "", tblPiNHistorical[[#This Row],[Mine Action New]]-tblPiNHistorical[[#This Row],[Mine Action Old]])</f>
        <v/>
      </c>
      <c r="AO707" s="136" t="str">
        <f>IF(OR(tblPiNHistorical[[#This Row],[Shelter NFI Old]]="", tblPiNHistorical[[#This Row],[Shelter NFI Old]]=0, tblPiNHistorical[[#This Row],[Shelter NFI New]]="", tblPiNHistorical[[#This Row],[Shelter NFI New]]=0), "", tblPiNHistorical[[#This Row],[Shelter NFI New]]-tblPiNHistorical[[#This Row],[Shelter NFI Old]])</f>
        <v/>
      </c>
      <c r="AP707" s="138" t="str">
        <f>IF(OR(tblPiNHistorical[[#This Row],[WASH Old]]="", tblPiNHistorical[[#This Row],[WASH Old]]=0, tblPiNHistorical[[#This Row],[WASH New]]="", tblPiNHistorical[[#This Row],[WASH New]]=0), "", tblPiNHistorical[[#This Row],[WASH New]]-tblPiNHistorical[[#This Row],[WASH Old]])</f>
        <v/>
      </c>
      <c r="AQ707" s="139" t="str">
        <f>IFERROR(ROUND((tblPiNHistorical[[#This Row],[Site Management - New]] - tblPiNHistorical[[#This Row],[Site Management - Old]])/tblPiNHistorical[[#This Row],[Site Management - Old]], 1), "")</f>
        <v/>
      </c>
      <c r="AR707" s="140" t="str">
        <f>IFERROR(ROUND((tblPiNHistorical[[#This Row],[Education New]]-tblPiNHistorical[[#This Row],[Education Old]])/tblPiNHistorical[[#This Row],[Education Old]], 1), "")</f>
        <v/>
      </c>
      <c r="AS707" s="141" t="str">
        <f>IFERROR(ROUND((tblPiNHistorical[[#This Row],[Food Security and Livlihoods New]]-tblPiNHistorical[[#This Row],[Food Security and Livlihoods Old]])/tblPiNHistorical[[#This Row],[Food Security and Livlihoods Old]], 1), "")</f>
        <v/>
      </c>
      <c r="AT707" s="142" t="str">
        <f>IFERROR(ROUND((tblPiNHistorical[[#This Row],[Health New]]-tblPiNHistorical[[#This Row],[Health Old]])/tblPiNHistorical[[#This Row],[Health Old]], 1), "")</f>
        <v/>
      </c>
      <c r="AU707" s="140" t="str">
        <f>IFERROR(ROUND((tblPiNHistorical[[#This Row],[Nutrition New]]-tblPiNHistorical[[#This Row],[Nutrition Old]])/tblPiNHistorical[[#This Row],[Nutrition Old]], 1), "")</f>
        <v/>
      </c>
      <c r="AV707" s="140" t="str">
        <f>IFERROR(ROUND((tblPiNHistorical[[#This Row],[Protection New]]-tblPiNHistorical[[#This Row],[Protection Old]])/tblPiNHistorical[[#This Row],[Protection Old]], 1), "")</f>
        <v/>
      </c>
      <c r="AW707" s="84" t="str">
        <f>IFERROR(ROUND((tblPiNHistorical[[#This Row],[CP New]]-tblPiNHistorical[[#This Row],[CP Old ]])/tblPiNHistorical[[#This Row],[CP Old ]], 1), "")</f>
        <v/>
      </c>
      <c r="AX707" s="84" t="str">
        <f>IFERROR(ROUND((tblPiNHistorical[[#This Row],[GBV New]]-tblPiNHistorical[[#This Row],[GBV Old]])/tblPiNHistorical[[#This Row],[GBV Old]], 1), "")</f>
        <v/>
      </c>
      <c r="AY707" s="84" t="str">
        <f>IFERROR(ROUND((tblPiNHistorical[[#This Row],[Mine Action New]]-tblPiNHistorical[[#This Row],[Mine Action Old]])/tblPiNHistorical[[#This Row],[Mine Action Old]], 1), "")</f>
        <v/>
      </c>
      <c r="AZ707" s="140" t="str">
        <f>IFERROR(ROUND((tblPiNHistorical[[#This Row],[Shelter NFI New]]-tblPiNHistorical[[#This Row],[Shelter NFI Old]])/tblPiNHistorical[[#This Row],[Shelter NFI Old]], 1), "")</f>
        <v/>
      </c>
      <c r="BA707" s="31" t="str">
        <f>IFERROR(ROUND((tblPiNHistorical[[#This Row],[WASH New]]-tblPiNHistorical[[#This Row],[WASH Old]])/tblPiNHistorical[[#This Row],[WASH Old]], 1), "")</f>
        <v/>
      </c>
    </row>
    <row r="708" spans="1:53" ht="38.25" x14ac:dyDescent="0.25">
      <c r="A708"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Non-displaced PopulationSD03151</v>
      </c>
      <c r="B708" s="134" t="s">
        <v>185</v>
      </c>
      <c r="C708" s="124" t="s">
        <v>120</v>
      </c>
      <c r="D708" s="124" t="s">
        <v>249</v>
      </c>
      <c r="E708" s="59" t="s">
        <v>248</v>
      </c>
      <c r="F708" s="54"/>
      <c r="G708" s="29"/>
      <c r="H708" s="53">
        <v>46963.5</v>
      </c>
      <c r="I708" s="53" t="s">
        <v>89</v>
      </c>
      <c r="J708" s="34">
        <v>0</v>
      </c>
      <c r="K708" s="116">
        <v>18207.748950000001</v>
      </c>
      <c r="L708" s="114">
        <v>25829.924999999999</v>
      </c>
      <c r="M708" s="114">
        <v>0</v>
      </c>
      <c r="N708" s="114">
        <v>8548</v>
      </c>
      <c r="O708" s="114">
        <v>5165.9850000000006</v>
      </c>
      <c r="P708" s="114">
        <v>5166</v>
      </c>
      <c r="Q708" s="114">
        <v>3718</v>
      </c>
      <c r="R708" s="114">
        <v>0</v>
      </c>
      <c r="S708" s="114">
        <v>0</v>
      </c>
      <c r="T708" s="196">
        <v>35344.730100000001</v>
      </c>
      <c r="U708" s="52" t="str">
        <f>IFERROR(INDEX(tblPiNAnalysis[[Site Management ]], MATCH(tblPiNHistorical[[#This Row],[ID]], tblPiNAnalysis[ID], 0)), "")</f>
        <v/>
      </c>
      <c r="V708" s="52" t="str">
        <f>IFERROR(INDEX(tblPiNAnalysis[Education], MATCH(tblPiNHistorical[[#This Row],[ID]], tblPiNAnalysis[ID], 0)), "")</f>
        <v/>
      </c>
      <c r="W708" s="28" t="str">
        <f>IFERROR(INDEX(tblPiNAnalysis[Food Security and Livlihoods], MATCH(tblPiNHistorical[[#This Row],[ID]], tblPiNAnalysis[ID], 0)), "")</f>
        <v/>
      </c>
      <c r="X708" s="28" t="str">
        <f>IFERROR(INDEX(tblPiNAnalysis[[Health ]], MATCH(tblPiNHistorical[[#This Row],[ID]], tblPiNAnalysis[ID], 0)), "")</f>
        <v/>
      </c>
      <c r="Y708" s="28" t="str">
        <f>IFERROR(INDEX(tblPiNAnalysis[Nutrition], MATCH(tblPiNHistorical[[#This Row],[ID]], tblPiNAnalysis[ID], 0)), "")</f>
        <v/>
      </c>
      <c r="Z708" s="28" t="str">
        <f>IFERROR(INDEX(tblPiNAnalysis[Protection], MATCH(tblPiNHistorical[[#This Row],[ID]], tblPiNAnalysis[ID], 0)), "")</f>
        <v/>
      </c>
      <c r="AA708" s="28" t="str">
        <f>IFERROR(INDEX(tblPiNAnalysis[CP], MATCH(tblPiNHistorical[[#This Row],[ID]], tblPiNAnalysis[ID], 0)), "")</f>
        <v/>
      </c>
      <c r="AB708" s="83" t="str">
        <f>IFERROR(INDEX(tblPiNAnalysis[GBV], MATCH(tblPiNHistorical[[#This Row],[ID]], tblPiNAnalysis[ID], 0)), "")</f>
        <v/>
      </c>
      <c r="AC708" s="28" t="str">
        <f>IFERROR(INDEX(tblPiNAnalysis[Mine Action], MATCH(tblPiNHistorical[[#This Row],[ID]], tblPiNAnalysis[ID], 0)), "")</f>
        <v/>
      </c>
      <c r="AD708" s="83" t="str">
        <f>IFERROR(INDEX(tblPiNAnalysis[[Shelter NFI ]], MATCH(tblPiNHistorical[[#This Row],[ID]], tblPiNAnalysis[ID], 0)), "")</f>
        <v/>
      </c>
      <c r="AE708" s="28" t="str">
        <f>IFERROR(INDEX(tblPiNAnalysis[WASH], MATCH(tblPiNHistorical[[#This Row],[ID]], tblPiNAnalysis[ID], 0)), "")</f>
        <v/>
      </c>
      <c r="AF708"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708" s="136" t="str">
        <f>IF(OR(tblPiNHistorical[[#This Row],[Education Old]]="", tblPiNHistorical[[#This Row],[Education Old]]=0, tblPiNHistorical[[#This Row],[Education New]]="", tblPiNHistorical[[#This Row],[Education New]]=0), "", tblPiNHistorical[[#This Row],[Education New]]-tblPiNHistorical[[#This Row],[Education Old]])</f>
        <v/>
      </c>
      <c r="AH708"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708" s="137" t="str">
        <f>IF(OR(tblPiNHistorical[[#This Row],[Health Old]]="", tblPiNHistorical[[#This Row],[Health Old]]=0, tblPiNHistorical[[#This Row],[Health New]]="", tblPiNHistorical[[#This Row],[Health New]]=0), "", tblPiNHistorical[[#This Row],[Health New]]-tblPiNHistorical[[#This Row],[Health Old]])</f>
        <v/>
      </c>
      <c r="AJ708" s="136" t="str">
        <f>IF(OR(tblPiNHistorical[[#This Row],[Nutrition Old]]="", tblPiNHistorical[[#This Row],[Nutrition Old]]=0, tblPiNHistorical[[#This Row],[Nutrition New]]="", tblPiNHistorical[[#This Row],[Nutrition New]]=0), "", tblPiNHistorical[[#This Row],[Nutrition New]]-tblPiNHistorical[[#This Row],[Nutrition Old]])</f>
        <v/>
      </c>
      <c r="AK708" s="136" t="str">
        <f>IF(OR(tblPiNHistorical[[#This Row],[Protection Old]]="", tblPiNHistorical[[#This Row],[Protection Old]]=0, tblPiNHistorical[[#This Row],[Protection New]]="", tblPiNHistorical[[#This Row],[Protection New]]=0), "", tblPiNHistorical[[#This Row],[Protection New]]-tblPiNHistorical[[#This Row],[Protection Old]])</f>
        <v/>
      </c>
      <c r="AL708" s="136" t="str">
        <f>IF(OR(tblPiNHistorical[[#This Row],[CP Old ]]="", tblPiNHistorical[[#This Row],[CP Old ]]=0, tblPiNHistorical[[#This Row],[CP New]]="", tblPiNHistorical[[#This Row],[CP New]]=0), "", tblPiNHistorical[[#This Row],[CP New]]-tblPiNHistorical[[#This Row],[CP Old ]])</f>
        <v/>
      </c>
      <c r="AM708" s="83" t="str">
        <f>IF(OR(tblPiNHistorical[[#This Row],[GBV Old]]="", tblPiNHistorical[[#This Row],[GBV Old]]=0, tblPiNHistorical[[#This Row],[GBV New]]="", tblPiNHistorical[[#This Row],[GBV New]]=0), "", tblPiNHistorical[[#This Row],[GBV New]]-tblPiNHistorical[[#This Row],[GBV Old]])</f>
        <v/>
      </c>
      <c r="AN708" s="83" t="str">
        <f>IF(OR(tblPiNHistorical[[#This Row],[Mine Action Old]]="", tblPiNHistorical[[#This Row],[Mine Action Old]]=0, tblPiNHistorical[[#This Row],[Mine Action New]]="", tblPiNHistorical[[#This Row],[Mine Action New]]=0), "", tblPiNHistorical[[#This Row],[Mine Action New]]-tblPiNHistorical[[#This Row],[Mine Action Old]])</f>
        <v/>
      </c>
      <c r="AO708" s="136" t="str">
        <f>IF(OR(tblPiNHistorical[[#This Row],[Shelter NFI Old]]="", tblPiNHistorical[[#This Row],[Shelter NFI Old]]=0, tblPiNHistorical[[#This Row],[Shelter NFI New]]="", tblPiNHistorical[[#This Row],[Shelter NFI New]]=0), "", tblPiNHistorical[[#This Row],[Shelter NFI New]]-tblPiNHistorical[[#This Row],[Shelter NFI Old]])</f>
        <v/>
      </c>
      <c r="AP708" s="138" t="str">
        <f>IF(OR(tblPiNHistorical[[#This Row],[WASH Old]]="", tblPiNHistorical[[#This Row],[WASH Old]]=0, tblPiNHistorical[[#This Row],[WASH New]]="", tblPiNHistorical[[#This Row],[WASH New]]=0), "", tblPiNHistorical[[#This Row],[WASH New]]-tblPiNHistorical[[#This Row],[WASH Old]])</f>
        <v/>
      </c>
      <c r="AQ708" s="139" t="str">
        <f>IFERROR(ROUND((tblPiNHistorical[[#This Row],[Site Management - New]] - tblPiNHistorical[[#This Row],[Site Management - Old]])/tblPiNHistorical[[#This Row],[Site Management - Old]], 1), "")</f>
        <v/>
      </c>
      <c r="AR708" s="140" t="str">
        <f>IFERROR(ROUND((tblPiNHistorical[[#This Row],[Education New]]-tblPiNHistorical[[#This Row],[Education Old]])/tblPiNHistorical[[#This Row],[Education Old]], 1), "")</f>
        <v/>
      </c>
      <c r="AS708" s="141" t="str">
        <f>IFERROR(ROUND((tblPiNHistorical[[#This Row],[Food Security and Livlihoods New]]-tblPiNHistorical[[#This Row],[Food Security and Livlihoods Old]])/tblPiNHistorical[[#This Row],[Food Security and Livlihoods Old]], 1), "")</f>
        <v/>
      </c>
      <c r="AT708" s="142" t="str">
        <f>IFERROR(ROUND((tblPiNHistorical[[#This Row],[Health New]]-tblPiNHistorical[[#This Row],[Health Old]])/tblPiNHistorical[[#This Row],[Health Old]], 1), "")</f>
        <v/>
      </c>
      <c r="AU708" s="140" t="str">
        <f>IFERROR(ROUND((tblPiNHistorical[[#This Row],[Nutrition New]]-tblPiNHistorical[[#This Row],[Nutrition Old]])/tblPiNHistorical[[#This Row],[Nutrition Old]], 1), "")</f>
        <v/>
      </c>
      <c r="AV708" s="140" t="str">
        <f>IFERROR(ROUND((tblPiNHistorical[[#This Row],[Protection New]]-tblPiNHistorical[[#This Row],[Protection Old]])/tblPiNHistorical[[#This Row],[Protection Old]], 1), "")</f>
        <v/>
      </c>
      <c r="AW708" s="84" t="str">
        <f>IFERROR(ROUND((tblPiNHistorical[[#This Row],[CP New]]-tblPiNHistorical[[#This Row],[CP Old ]])/tblPiNHistorical[[#This Row],[CP Old ]], 1), "")</f>
        <v/>
      </c>
      <c r="AX708" s="84" t="str">
        <f>IFERROR(ROUND((tblPiNHistorical[[#This Row],[GBV New]]-tblPiNHistorical[[#This Row],[GBV Old]])/tblPiNHistorical[[#This Row],[GBV Old]], 1), "")</f>
        <v/>
      </c>
      <c r="AY708" s="84" t="str">
        <f>IFERROR(ROUND((tblPiNHistorical[[#This Row],[Mine Action New]]-tblPiNHistorical[[#This Row],[Mine Action Old]])/tblPiNHistorical[[#This Row],[Mine Action Old]], 1), "")</f>
        <v/>
      </c>
      <c r="AZ708" s="140" t="str">
        <f>IFERROR(ROUND((tblPiNHistorical[[#This Row],[Shelter NFI New]]-tblPiNHistorical[[#This Row],[Shelter NFI Old]])/tblPiNHistorical[[#This Row],[Shelter NFI Old]], 1), "")</f>
        <v/>
      </c>
      <c r="BA708" s="31" t="str">
        <f>IFERROR(ROUND((tblPiNHistorical[[#This Row],[WASH New]]-tblPiNHistorical[[#This Row],[WASH Old]])/tblPiNHistorical[[#This Row],[WASH Old]], 1), "")</f>
        <v/>
      </c>
    </row>
    <row r="709" spans="1:53" ht="38.25" x14ac:dyDescent="0.25">
      <c r="A709"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Non-displaced PopulationSD03167</v>
      </c>
      <c r="B709" s="134" t="s">
        <v>185</v>
      </c>
      <c r="C709" s="124" t="s">
        <v>120</v>
      </c>
      <c r="D709" s="124" t="s">
        <v>271</v>
      </c>
      <c r="E709" s="59" t="s">
        <v>270</v>
      </c>
      <c r="F709" s="54"/>
      <c r="G709" s="29"/>
      <c r="H709" s="53">
        <v>72587.899999999994</v>
      </c>
      <c r="I709" s="53" t="s">
        <v>89</v>
      </c>
      <c r="J709" s="34">
        <v>0</v>
      </c>
      <c r="K709" s="116">
        <v>28142.328829999999</v>
      </c>
      <c r="L709" s="114">
        <v>50811.53</v>
      </c>
      <c r="M709" s="114">
        <v>5000</v>
      </c>
      <c r="N709" s="114">
        <v>11050</v>
      </c>
      <c r="O709" s="114">
        <v>29035.16</v>
      </c>
      <c r="P709" s="114">
        <v>7985</v>
      </c>
      <c r="Q709" s="114">
        <v>7661</v>
      </c>
      <c r="R709" s="114">
        <v>29035.16</v>
      </c>
      <c r="S709" s="114">
        <v>21776</v>
      </c>
      <c r="T709" s="196">
        <v>18858.33642</v>
      </c>
      <c r="U709" s="52" t="str">
        <f>IFERROR(INDEX(tblPiNAnalysis[[Site Management ]], MATCH(tblPiNHistorical[[#This Row],[ID]], tblPiNAnalysis[ID], 0)), "")</f>
        <v/>
      </c>
      <c r="V709" s="52" t="str">
        <f>IFERROR(INDEX(tblPiNAnalysis[Education], MATCH(tblPiNHistorical[[#This Row],[ID]], tblPiNAnalysis[ID], 0)), "")</f>
        <v/>
      </c>
      <c r="W709" s="28" t="str">
        <f>IFERROR(INDEX(tblPiNAnalysis[Food Security and Livlihoods], MATCH(tblPiNHistorical[[#This Row],[ID]], tblPiNAnalysis[ID], 0)), "")</f>
        <v/>
      </c>
      <c r="X709" s="28" t="str">
        <f>IFERROR(INDEX(tblPiNAnalysis[[Health ]], MATCH(tblPiNHistorical[[#This Row],[ID]], tblPiNAnalysis[ID], 0)), "")</f>
        <v/>
      </c>
      <c r="Y709" s="28" t="str">
        <f>IFERROR(INDEX(tblPiNAnalysis[Nutrition], MATCH(tblPiNHistorical[[#This Row],[ID]], tblPiNAnalysis[ID], 0)), "")</f>
        <v/>
      </c>
      <c r="Z709" s="28" t="str">
        <f>IFERROR(INDEX(tblPiNAnalysis[Protection], MATCH(tblPiNHistorical[[#This Row],[ID]], tblPiNAnalysis[ID], 0)), "")</f>
        <v/>
      </c>
      <c r="AA709" s="28" t="str">
        <f>IFERROR(INDEX(tblPiNAnalysis[CP], MATCH(tblPiNHistorical[[#This Row],[ID]], tblPiNAnalysis[ID], 0)), "")</f>
        <v/>
      </c>
      <c r="AB709" s="83" t="str">
        <f>IFERROR(INDEX(tblPiNAnalysis[GBV], MATCH(tblPiNHistorical[[#This Row],[ID]], tblPiNAnalysis[ID], 0)), "")</f>
        <v/>
      </c>
      <c r="AC709" s="28" t="str">
        <f>IFERROR(INDEX(tblPiNAnalysis[Mine Action], MATCH(tblPiNHistorical[[#This Row],[ID]], tblPiNAnalysis[ID], 0)), "")</f>
        <v/>
      </c>
      <c r="AD709" s="83" t="str">
        <f>IFERROR(INDEX(tblPiNAnalysis[[Shelter NFI ]], MATCH(tblPiNHistorical[[#This Row],[ID]], tblPiNAnalysis[ID], 0)), "")</f>
        <v/>
      </c>
      <c r="AE709" s="28" t="str">
        <f>IFERROR(INDEX(tblPiNAnalysis[WASH], MATCH(tblPiNHistorical[[#This Row],[ID]], tblPiNAnalysis[ID], 0)), "")</f>
        <v/>
      </c>
      <c r="AF709"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709" s="136" t="str">
        <f>IF(OR(tblPiNHistorical[[#This Row],[Education Old]]="", tblPiNHistorical[[#This Row],[Education Old]]=0, tblPiNHistorical[[#This Row],[Education New]]="", tblPiNHistorical[[#This Row],[Education New]]=0), "", tblPiNHistorical[[#This Row],[Education New]]-tblPiNHistorical[[#This Row],[Education Old]])</f>
        <v/>
      </c>
      <c r="AH709"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709" s="137" t="str">
        <f>IF(OR(tblPiNHistorical[[#This Row],[Health Old]]="", tblPiNHistorical[[#This Row],[Health Old]]=0, tblPiNHistorical[[#This Row],[Health New]]="", tblPiNHistorical[[#This Row],[Health New]]=0), "", tblPiNHistorical[[#This Row],[Health New]]-tblPiNHistorical[[#This Row],[Health Old]])</f>
        <v/>
      </c>
      <c r="AJ709" s="136" t="str">
        <f>IF(OR(tblPiNHistorical[[#This Row],[Nutrition Old]]="", tblPiNHistorical[[#This Row],[Nutrition Old]]=0, tblPiNHistorical[[#This Row],[Nutrition New]]="", tblPiNHistorical[[#This Row],[Nutrition New]]=0), "", tblPiNHistorical[[#This Row],[Nutrition New]]-tblPiNHistorical[[#This Row],[Nutrition Old]])</f>
        <v/>
      </c>
      <c r="AK709" s="136" t="str">
        <f>IF(OR(tblPiNHistorical[[#This Row],[Protection Old]]="", tblPiNHistorical[[#This Row],[Protection Old]]=0, tblPiNHistorical[[#This Row],[Protection New]]="", tblPiNHistorical[[#This Row],[Protection New]]=0), "", tblPiNHistorical[[#This Row],[Protection New]]-tblPiNHistorical[[#This Row],[Protection Old]])</f>
        <v/>
      </c>
      <c r="AL709" s="136" t="str">
        <f>IF(OR(tblPiNHistorical[[#This Row],[CP Old ]]="", tblPiNHistorical[[#This Row],[CP Old ]]=0, tblPiNHistorical[[#This Row],[CP New]]="", tblPiNHistorical[[#This Row],[CP New]]=0), "", tblPiNHistorical[[#This Row],[CP New]]-tblPiNHistorical[[#This Row],[CP Old ]])</f>
        <v/>
      </c>
      <c r="AM709" s="83" t="str">
        <f>IF(OR(tblPiNHistorical[[#This Row],[GBV Old]]="", tblPiNHistorical[[#This Row],[GBV Old]]=0, tblPiNHistorical[[#This Row],[GBV New]]="", tblPiNHistorical[[#This Row],[GBV New]]=0), "", tblPiNHistorical[[#This Row],[GBV New]]-tblPiNHistorical[[#This Row],[GBV Old]])</f>
        <v/>
      </c>
      <c r="AN709" s="83" t="str">
        <f>IF(OR(tblPiNHistorical[[#This Row],[Mine Action Old]]="", tblPiNHistorical[[#This Row],[Mine Action Old]]=0, tblPiNHistorical[[#This Row],[Mine Action New]]="", tblPiNHistorical[[#This Row],[Mine Action New]]=0), "", tblPiNHistorical[[#This Row],[Mine Action New]]-tblPiNHistorical[[#This Row],[Mine Action Old]])</f>
        <v/>
      </c>
      <c r="AO709" s="136" t="str">
        <f>IF(OR(tblPiNHistorical[[#This Row],[Shelter NFI Old]]="", tblPiNHistorical[[#This Row],[Shelter NFI Old]]=0, tblPiNHistorical[[#This Row],[Shelter NFI New]]="", tblPiNHistorical[[#This Row],[Shelter NFI New]]=0), "", tblPiNHistorical[[#This Row],[Shelter NFI New]]-tblPiNHistorical[[#This Row],[Shelter NFI Old]])</f>
        <v/>
      </c>
      <c r="AP709" s="138" t="str">
        <f>IF(OR(tblPiNHistorical[[#This Row],[WASH Old]]="", tblPiNHistorical[[#This Row],[WASH Old]]=0, tblPiNHistorical[[#This Row],[WASH New]]="", tblPiNHistorical[[#This Row],[WASH New]]=0), "", tblPiNHistorical[[#This Row],[WASH New]]-tblPiNHistorical[[#This Row],[WASH Old]])</f>
        <v/>
      </c>
      <c r="AQ709" s="139" t="str">
        <f>IFERROR(ROUND((tblPiNHistorical[[#This Row],[Site Management - New]] - tblPiNHistorical[[#This Row],[Site Management - Old]])/tblPiNHistorical[[#This Row],[Site Management - Old]], 1), "")</f>
        <v/>
      </c>
      <c r="AR709" s="140" t="str">
        <f>IFERROR(ROUND((tblPiNHistorical[[#This Row],[Education New]]-tblPiNHistorical[[#This Row],[Education Old]])/tblPiNHistorical[[#This Row],[Education Old]], 1), "")</f>
        <v/>
      </c>
      <c r="AS709" s="141" t="str">
        <f>IFERROR(ROUND((tblPiNHistorical[[#This Row],[Food Security and Livlihoods New]]-tblPiNHistorical[[#This Row],[Food Security and Livlihoods Old]])/tblPiNHistorical[[#This Row],[Food Security and Livlihoods Old]], 1), "")</f>
        <v/>
      </c>
      <c r="AT709" s="142" t="str">
        <f>IFERROR(ROUND((tblPiNHistorical[[#This Row],[Health New]]-tblPiNHistorical[[#This Row],[Health Old]])/tblPiNHistorical[[#This Row],[Health Old]], 1), "")</f>
        <v/>
      </c>
      <c r="AU709" s="140" t="str">
        <f>IFERROR(ROUND((tblPiNHistorical[[#This Row],[Nutrition New]]-tblPiNHistorical[[#This Row],[Nutrition Old]])/tblPiNHistorical[[#This Row],[Nutrition Old]], 1), "")</f>
        <v/>
      </c>
      <c r="AV709" s="140" t="str">
        <f>IFERROR(ROUND((tblPiNHistorical[[#This Row],[Protection New]]-tblPiNHistorical[[#This Row],[Protection Old]])/tblPiNHistorical[[#This Row],[Protection Old]], 1), "")</f>
        <v/>
      </c>
      <c r="AW709" s="84" t="str">
        <f>IFERROR(ROUND((tblPiNHistorical[[#This Row],[CP New]]-tblPiNHistorical[[#This Row],[CP Old ]])/tblPiNHistorical[[#This Row],[CP Old ]], 1), "")</f>
        <v/>
      </c>
      <c r="AX709" s="84" t="str">
        <f>IFERROR(ROUND((tblPiNHistorical[[#This Row],[GBV New]]-tblPiNHistorical[[#This Row],[GBV Old]])/tblPiNHistorical[[#This Row],[GBV Old]], 1), "")</f>
        <v/>
      </c>
      <c r="AY709" s="84" t="str">
        <f>IFERROR(ROUND((tblPiNHistorical[[#This Row],[Mine Action New]]-tblPiNHistorical[[#This Row],[Mine Action Old]])/tblPiNHistorical[[#This Row],[Mine Action Old]], 1), "")</f>
        <v/>
      </c>
      <c r="AZ709" s="140" t="str">
        <f>IFERROR(ROUND((tblPiNHistorical[[#This Row],[Shelter NFI New]]-tblPiNHistorical[[#This Row],[Shelter NFI Old]])/tblPiNHistorical[[#This Row],[Shelter NFI Old]], 1), "")</f>
        <v/>
      </c>
      <c r="BA709" s="31" t="str">
        <f>IFERROR(ROUND((tblPiNHistorical[[#This Row],[WASH New]]-tblPiNHistorical[[#This Row],[WASH Old]])/tblPiNHistorical[[#This Row],[WASH Old]], 1), "")</f>
        <v/>
      </c>
    </row>
    <row r="710" spans="1:53" ht="38.25" x14ac:dyDescent="0.25">
      <c r="A710"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Non-displaced PopulationSD03164</v>
      </c>
      <c r="B710" s="134" t="s">
        <v>185</v>
      </c>
      <c r="C710" s="124" t="s">
        <v>120</v>
      </c>
      <c r="D710" s="124" t="s">
        <v>267</v>
      </c>
      <c r="E710" s="59" t="s">
        <v>266</v>
      </c>
      <c r="F710" s="54"/>
      <c r="G710" s="29"/>
      <c r="H710" s="53">
        <v>0</v>
      </c>
      <c r="I710" s="53" t="s">
        <v>89</v>
      </c>
      <c r="J710" s="34">
        <v>0</v>
      </c>
      <c r="K710" s="116">
        <v>0</v>
      </c>
      <c r="L710" s="114">
        <v>0</v>
      </c>
      <c r="M710" s="114">
        <v>15325</v>
      </c>
      <c r="N710" s="114">
        <v>0</v>
      </c>
      <c r="O710" s="114">
        <v>0</v>
      </c>
      <c r="P710" s="114">
        <v>0</v>
      </c>
      <c r="Q710" s="114">
        <v>0</v>
      </c>
      <c r="R710" s="114">
        <v>0</v>
      </c>
      <c r="S710" s="114">
        <v>0</v>
      </c>
      <c r="T710" s="196">
        <v>0</v>
      </c>
      <c r="U710" s="52" t="str">
        <f>IFERROR(INDEX(tblPiNAnalysis[[Site Management ]], MATCH(tblPiNHistorical[[#This Row],[ID]], tblPiNAnalysis[ID], 0)), "")</f>
        <v/>
      </c>
      <c r="V710" s="52" t="str">
        <f>IFERROR(INDEX(tblPiNAnalysis[Education], MATCH(tblPiNHistorical[[#This Row],[ID]], tblPiNAnalysis[ID], 0)), "")</f>
        <v/>
      </c>
      <c r="W710" s="28" t="str">
        <f>IFERROR(INDEX(tblPiNAnalysis[Food Security and Livlihoods], MATCH(tblPiNHistorical[[#This Row],[ID]], tblPiNAnalysis[ID], 0)), "")</f>
        <v/>
      </c>
      <c r="X710" s="28" t="str">
        <f>IFERROR(INDEX(tblPiNAnalysis[[Health ]], MATCH(tblPiNHistorical[[#This Row],[ID]], tblPiNAnalysis[ID], 0)), "")</f>
        <v/>
      </c>
      <c r="Y710" s="28" t="str">
        <f>IFERROR(INDEX(tblPiNAnalysis[Nutrition], MATCH(tblPiNHistorical[[#This Row],[ID]], tblPiNAnalysis[ID], 0)), "")</f>
        <v/>
      </c>
      <c r="Z710" s="28" t="str">
        <f>IFERROR(INDEX(tblPiNAnalysis[Protection], MATCH(tblPiNHistorical[[#This Row],[ID]], tblPiNAnalysis[ID], 0)), "")</f>
        <v/>
      </c>
      <c r="AA710" s="28" t="str">
        <f>IFERROR(INDEX(tblPiNAnalysis[CP], MATCH(tblPiNHistorical[[#This Row],[ID]], tblPiNAnalysis[ID], 0)), "")</f>
        <v/>
      </c>
      <c r="AB710" s="83" t="str">
        <f>IFERROR(INDEX(tblPiNAnalysis[GBV], MATCH(tblPiNHistorical[[#This Row],[ID]], tblPiNAnalysis[ID], 0)), "")</f>
        <v/>
      </c>
      <c r="AC710" s="28" t="str">
        <f>IFERROR(INDEX(tblPiNAnalysis[Mine Action], MATCH(tblPiNHistorical[[#This Row],[ID]], tblPiNAnalysis[ID], 0)), "")</f>
        <v/>
      </c>
      <c r="AD710" s="83" t="str">
        <f>IFERROR(INDEX(tblPiNAnalysis[[Shelter NFI ]], MATCH(tblPiNHistorical[[#This Row],[ID]], tblPiNAnalysis[ID], 0)), "")</f>
        <v/>
      </c>
      <c r="AE710" s="28" t="str">
        <f>IFERROR(INDEX(tblPiNAnalysis[WASH], MATCH(tblPiNHistorical[[#This Row],[ID]], tblPiNAnalysis[ID], 0)), "")</f>
        <v/>
      </c>
      <c r="AF710"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710" s="136" t="str">
        <f>IF(OR(tblPiNHistorical[[#This Row],[Education Old]]="", tblPiNHistorical[[#This Row],[Education Old]]=0, tblPiNHistorical[[#This Row],[Education New]]="", tblPiNHistorical[[#This Row],[Education New]]=0), "", tblPiNHistorical[[#This Row],[Education New]]-tblPiNHistorical[[#This Row],[Education Old]])</f>
        <v/>
      </c>
      <c r="AH710"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710" s="137" t="str">
        <f>IF(OR(tblPiNHistorical[[#This Row],[Health Old]]="", tblPiNHistorical[[#This Row],[Health Old]]=0, tblPiNHistorical[[#This Row],[Health New]]="", tblPiNHistorical[[#This Row],[Health New]]=0), "", tblPiNHistorical[[#This Row],[Health New]]-tblPiNHistorical[[#This Row],[Health Old]])</f>
        <v/>
      </c>
      <c r="AJ710" s="136" t="str">
        <f>IF(OR(tblPiNHistorical[[#This Row],[Nutrition Old]]="", tblPiNHistorical[[#This Row],[Nutrition Old]]=0, tblPiNHistorical[[#This Row],[Nutrition New]]="", tblPiNHistorical[[#This Row],[Nutrition New]]=0), "", tblPiNHistorical[[#This Row],[Nutrition New]]-tblPiNHistorical[[#This Row],[Nutrition Old]])</f>
        <v/>
      </c>
      <c r="AK710" s="136" t="str">
        <f>IF(OR(tblPiNHistorical[[#This Row],[Protection Old]]="", tblPiNHistorical[[#This Row],[Protection Old]]=0, tblPiNHistorical[[#This Row],[Protection New]]="", tblPiNHistorical[[#This Row],[Protection New]]=0), "", tblPiNHistorical[[#This Row],[Protection New]]-tblPiNHistorical[[#This Row],[Protection Old]])</f>
        <v/>
      </c>
      <c r="AL710" s="136" t="str">
        <f>IF(OR(tblPiNHistorical[[#This Row],[CP Old ]]="", tblPiNHistorical[[#This Row],[CP Old ]]=0, tblPiNHistorical[[#This Row],[CP New]]="", tblPiNHistorical[[#This Row],[CP New]]=0), "", tblPiNHistorical[[#This Row],[CP New]]-tblPiNHistorical[[#This Row],[CP Old ]])</f>
        <v/>
      </c>
      <c r="AM710" s="83" t="str">
        <f>IF(OR(tblPiNHistorical[[#This Row],[GBV Old]]="", tblPiNHistorical[[#This Row],[GBV Old]]=0, tblPiNHistorical[[#This Row],[GBV New]]="", tblPiNHistorical[[#This Row],[GBV New]]=0), "", tblPiNHistorical[[#This Row],[GBV New]]-tblPiNHistorical[[#This Row],[GBV Old]])</f>
        <v/>
      </c>
      <c r="AN710" s="83" t="str">
        <f>IF(OR(tblPiNHistorical[[#This Row],[Mine Action Old]]="", tblPiNHistorical[[#This Row],[Mine Action Old]]=0, tblPiNHistorical[[#This Row],[Mine Action New]]="", tblPiNHistorical[[#This Row],[Mine Action New]]=0), "", tblPiNHistorical[[#This Row],[Mine Action New]]-tblPiNHistorical[[#This Row],[Mine Action Old]])</f>
        <v/>
      </c>
      <c r="AO710" s="136" t="str">
        <f>IF(OR(tblPiNHistorical[[#This Row],[Shelter NFI Old]]="", tblPiNHistorical[[#This Row],[Shelter NFI Old]]=0, tblPiNHistorical[[#This Row],[Shelter NFI New]]="", tblPiNHistorical[[#This Row],[Shelter NFI New]]=0), "", tblPiNHistorical[[#This Row],[Shelter NFI New]]-tblPiNHistorical[[#This Row],[Shelter NFI Old]])</f>
        <v/>
      </c>
      <c r="AP710" s="138" t="str">
        <f>IF(OR(tblPiNHistorical[[#This Row],[WASH Old]]="", tblPiNHistorical[[#This Row],[WASH Old]]=0, tblPiNHistorical[[#This Row],[WASH New]]="", tblPiNHistorical[[#This Row],[WASH New]]=0), "", tblPiNHistorical[[#This Row],[WASH New]]-tblPiNHistorical[[#This Row],[WASH Old]])</f>
        <v/>
      </c>
      <c r="AQ710" s="139" t="str">
        <f>IFERROR(ROUND((tblPiNHistorical[[#This Row],[Site Management - New]] - tblPiNHistorical[[#This Row],[Site Management - Old]])/tblPiNHistorical[[#This Row],[Site Management - Old]], 1), "")</f>
        <v/>
      </c>
      <c r="AR710" s="140" t="str">
        <f>IFERROR(ROUND((tblPiNHistorical[[#This Row],[Education New]]-tblPiNHistorical[[#This Row],[Education Old]])/tblPiNHistorical[[#This Row],[Education Old]], 1), "")</f>
        <v/>
      </c>
      <c r="AS710" s="141" t="str">
        <f>IFERROR(ROUND((tblPiNHistorical[[#This Row],[Food Security and Livlihoods New]]-tblPiNHistorical[[#This Row],[Food Security and Livlihoods Old]])/tblPiNHistorical[[#This Row],[Food Security and Livlihoods Old]], 1), "")</f>
        <v/>
      </c>
      <c r="AT710" s="142" t="str">
        <f>IFERROR(ROUND((tblPiNHistorical[[#This Row],[Health New]]-tblPiNHistorical[[#This Row],[Health Old]])/tblPiNHistorical[[#This Row],[Health Old]], 1), "")</f>
        <v/>
      </c>
      <c r="AU710" s="140" t="str">
        <f>IFERROR(ROUND((tblPiNHistorical[[#This Row],[Nutrition New]]-tblPiNHistorical[[#This Row],[Nutrition Old]])/tblPiNHistorical[[#This Row],[Nutrition Old]], 1), "")</f>
        <v/>
      </c>
      <c r="AV710" s="140" t="str">
        <f>IFERROR(ROUND((tblPiNHistorical[[#This Row],[Protection New]]-tblPiNHistorical[[#This Row],[Protection Old]])/tblPiNHistorical[[#This Row],[Protection Old]], 1), "")</f>
        <v/>
      </c>
      <c r="AW710" s="84" t="str">
        <f>IFERROR(ROUND((tblPiNHistorical[[#This Row],[CP New]]-tblPiNHistorical[[#This Row],[CP Old ]])/tblPiNHistorical[[#This Row],[CP Old ]], 1), "")</f>
        <v/>
      </c>
      <c r="AX710" s="84" t="str">
        <f>IFERROR(ROUND((tblPiNHistorical[[#This Row],[GBV New]]-tblPiNHistorical[[#This Row],[GBV Old]])/tblPiNHistorical[[#This Row],[GBV Old]], 1), "")</f>
        <v/>
      </c>
      <c r="AY710" s="84" t="str">
        <f>IFERROR(ROUND((tblPiNHistorical[[#This Row],[Mine Action New]]-tblPiNHistorical[[#This Row],[Mine Action Old]])/tblPiNHistorical[[#This Row],[Mine Action Old]], 1), "")</f>
        <v/>
      </c>
      <c r="AZ710" s="140" t="str">
        <f>IFERROR(ROUND((tblPiNHistorical[[#This Row],[Shelter NFI New]]-tblPiNHistorical[[#This Row],[Shelter NFI Old]])/tblPiNHistorical[[#This Row],[Shelter NFI Old]], 1), "")</f>
        <v/>
      </c>
      <c r="BA710" s="31" t="str">
        <f>IFERROR(ROUND((tblPiNHistorical[[#This Row],[WASH New]]-tblPiNHistorical[[#This Row],[WASH Old]])/tblPiNHistorical[[#This Row],[WASH Old]], 1), "")</f>
        <v/>
      </c>
    </row>
    <row r="711" spans="1:53" ht="38.25" x14ac:dyDescent="0.25">
      <c r="A711"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Non-displaced PopulationSD03158</v>
      </c>
      <c r="B711" s="134" t="s">
        <v>185</v>
      </c>
      <c r="C711" s="124" t="s">
        <v>120</v>
      </c>
      <c r="D711" s="124" t="s">
        <v>259</v>
      </c>
      <c r="E711" s="59" t="s">
        <v>258</v>
      </c>
      <c r="F711" s="54"/>
      <c r="G711" s="29"/>
      <c r="H711" s="53">
        <v>115790</v>
      </c>
      <c r="I711" s="53" t="s">
        <v>89</v>
      </c>
      <c r="J711" s="34">
        <v>0</v>
      </c>
      <c r="K711" s="116">
        <v>44891.782999999996</v>
      </c>
      <c r="L711" s="114">
        <v>57895</v>
      </c>
      <c r="M711" s="114">
        <v>0</v>
      </c>
      <c r="N711" s="114">
        <v>13993</v>
      </c>
      <c r="O711" s="114">
        <v>12736.900000000001</v>
      </c>
      <c r="P711" s="114">
        <v>12737</v>
      </c>
      <c r="Q711" s="114">
        <v>9165</v>
      </c>
      <c r="R711" s="114">
        <v>0</v>
      </c>
      <c r="S711" s="114">
        <v>23158</v>
      </c>
      <c r="T711" s="196">
        <v>95109.906000000003</v>
      </c>
      <c r="U711" s="52" t="str">
        <f>IFERROR(INDEX(tblPiNAnalysis[[Site Management ]], MATCH(tblPiNHistorical[[#This Row],[ID]], tblPiNAnalysis[ID], 0)), "")</f>
        <v/>
      </c>
      <c r="V711" s="52" t="str">
        <f>IFERROR(INDEX(tblPiNAnalysis[Education], MATCH(tblPiNHistorical[[#This Row],[ID]], tblPiNAnalysis[ID], 0)), "")</f>
        <v/>
      </c>
      <c r="W711" s="28" t="str">
        <f>IFERROR(INDEX(tblPiNAnalysis[Food Security and Livlihoods], MATCH(tblPiNHistorical[[#This Row],[ID]], tblPiNAnalysis[ID], 0)), "")</f>
        <v/>
      </c>
      <c r="X711" s="28" t="str">
        <f>IFERROR(INDEX(tblPiNAnalysis[[Health ]], MATCH(tblPiNHistorical[[#This Row],[ID]], tblPiNAnalysis[ID], 0)), "")</f>
        <v/>
      </c>
      <c r="Y711" s="28" t="str">
        <f>IFERROR(INDEX(tblPiNAnalysis[Nutrition], MATCH(tblPiNHistorical[[#This Row],[ID]], tblPiNAnalysis[ID], 0)), "")</f>
        <v/>
      </c>
      <c r="Z711" s="28" t="str">
        <f>IFERROR(INDEX(tblPiNAnalysis[Protection], MATCH(tblPiNHistorical[[#This Row],[ID]], tblPiNAnalysis[ID], 0)), "")</f>
        <v/>
      </c>
      <c r="AA711" s="28" t="str">
        <f>IFERROR(INDEX(tblPiNAnalysis[CP], MATCH(tblPiNHistorical[[#This Row],[ID]], tblPiNAnalysis[ID], 0)), "")</f>
        <v/>
      </c>
      <c r="AB711" s="83" t="str">
        <f>IFERROR(INDEX(tblPiNAnalysis[GBV], MATCH(tblPiNHistorical[[#This Row],[ID]], tblPiNAnalysis[ID], 0)), "")</f>
        <v/>
      </c>
      <c r="AC711" s="28" t="str">
        <f>IFERROR(INDEX(tblPiNAnalysis[Mine Action], MATCH(tblPiNHistorical[[#This Row],[ID]], tblPiNAnalysis[ID], 0)), "")</f>
        <v/>
      </c>
      <c r="AD711" s="83" t="str">
        <f>IFERROR(INDEX(tblPiNAnalysis[[Shelter NFI ]], MATCH(tblPiNHistorical[[#This Row],[ID]], tblPiNAnalysis[ID], 0)), "")</f>
        <v/>
      </c>
      <c r="AE711" s="28" t="str">
        <f>IFERROR(INDEX(tblPiNAnalysis[WASH], MATCH(tblPiNHistorical[[#This Row],[ID]], tblPiNAnalysis[ID], 0)), "")</f>
        <v/>
      </c>
      <c r="AF711"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711" s="136" t="str">
        <f>IF(OR(tblPiNHistorical[[#This Row],[Education Old]]="", tblPiNHistorical[[#This Row],[Education Old]]=0, tblPiNHistorical[[#This Row],[Education New]]="", tblPiNHistorical[[#This Row],[Education New]]=0), "", tblPiNHistorical[[#This Row],[Education New]]-tblPiNHistorical[[#This Row],[Education Old]])</f>
        <v/>
      </c>
      <c r="AH711"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711" s="137" t="str">
        <f>IF(OR(tblPiNHistorical[[#This Row],[Health Old]]="", tblPiNHistorical[[#This Row],[Health Old]]=0, tblPiNHistorical[[#This Row],[Health New]]="", tblPiNHistorical[[#This Row],[Health New]]=0), "", tblPiNHistorical[[#This Row],[Health New]]-tblPiNHistorical[[#This Row],[Health Old]])</f>
        <v/>
      </c>
      <c r="AJ711" s="136" t="str">
        <f>IF(OR(tblPiNHistorical[[#This Row],[Nutrition Old]]="", tblPiNHistorical[[#This Row],[Nutrition Old]]=0, tblPiNHistorical[[#This Row],[Nutrition New]]="", tblPiNHistorical[[#This Row],[Nutrition New]]=0), "", tblPiNHistorical[[#This Row],[Nutrition New]]-tblPiNHistorical[[#This Row],[Nutrition Old]])</f>
        <v/>
      </c>
      <c r="AK711" s="136" t="str">
        <f>IF(OR(tblPiNHistorical[[#This Row],[Protection Old]]="", tblPiNHistorical[[#This Row],[Protection Old]]=0, tblPiNHistorical[[#This Row],[Protection New]]="", tblPiNHistorical[[#This Row],[Protection New]]=0), "", tblPiNHistorical[[#This Row],[Protection New]]-tblPiNHistorical[[#This Row],[Protection Old]])</f>
        <v/>
      </c>
      <c r="AL711" s="136" t="str">
        <f>IF(OR(tblPiNHistorical[[#This Row],[CP Old ]]="", tblPiNHistorical[[#This Row],[CP Old ]]=0, tblPiNHistorical[[#This Row],[CP New]]="", tblPiNHistorical[[#This Row],[CP New]]=0), "", tblPiNHistorical[[#This Row],[CP New]]-tblPiNHistorical[[#This Row],[CP Old ]])</f>
        <v/>
      </c>
      <c r="AM711" s="83" t="str">
        <f>IF(OR(tblPiNHistorical[[#This Row],[GBV Old]]="", tblPiNHistorical[[#This Row],[GBV Old]]=0, tblPiNHistorical[[#This Row],[GBV New]]="", tblPiNHistorical[[#This Row],[GBV New]]=0), "", tblPiNHistorical[[#This Row],[GBV New]]-tblPiNHistorical[[#This Row],[GBV Old]])</f>
        <v/>
      </c>
      <c r="AN711" s="83" t="str">
        <f>IF(OR(tblPiNHistorical[[#This Row],[Mine Action Old]]="", tblPiNHistorical[[#This Row],[Mine Action Old]]=0, tblPiNHistorical[[#This Row],[Mine Action New]]="", tblPiNHistorical[[#This Row],[Mine Action New]]=0), "", tblPiNHistorical[[#This Row],[Mine Action New]]-tblPiNHistorical[[#This Row],[Mine Action Old]])</f>
        <v/>
      </c>
      <c r="AO711" s="136" t="str">
        <f>IF(OR(tblPiNHistorical[[#This Row],[Shelter NFI Old]]="", tblPiNHistorical[[#This Row],[Shelter NFI Old]]=0, tblPiNHistorical[[#This Row],[Shelter NFI New]]="", tblPiNHistorical[[#This Row],[Shelter NFI New]]=0), "", tblPiNHistorical[[#This Row],[Shelter NFI New]]-tblPiNHistorical[[#This Row],[Shelter NFI Old]])</f>
        <v/>
      </c>
      <c r="AP711" s="138" t="str">
        <f>IF(OR(tblPiNHistorical[[#This Row],[WASH Old]]="", tblPiNHistorical[[#This Row],[WASH Old]]=0, tblPiNHistorical[[#This Row],[WASH New]]="", tblPiNHistorical[[#This Row],[WASH New]]=0), "", tblPiNHistorical[[#This Row],[WASH New]]-tblPiNHistorical[[#This Row],[WASH Old]])</f>
        <v/>
      </c>
      <c r="AQ711" s="139" t="str">
        <f>IFERROR(ROUND((tblPiNHistorical[[#This Row],[Site Management - New]] - tblPiNHistorical[[#This Row],[Site Management - Old]])/tblPiNHistorical[[#This Row],[Site Management - Old]], 1), "")</f>
        <v/>
      </c>
      <c r="AR711" s="140" t="str">
        <f>IFERROR(ROUND((tblPiNHistorical[[#This Row],[Education New]]-tblPiNHistorical[[#This Row],[Education Old]])/tblPiNHistorical[[#This Row],[Education Old]], 1), "")</f>
        <v/>
      </c>
      <c r="AS711" s="141" t="str">
        <f>IFERROR(ROUND((tblPiNHistorical[[#This Row],[Food Security and Livlihoods New]]-tblPiNHistorical[[#This Row],[Food Security and Livlihoods Old]])/tblPiNHistorical[[#This Row],[Food Security and Livlihoods Old]], 1), "")</f>
        <v/>
      </c>
      <c r="AT711" s="142" t="str">
        <f>IFERROR(ROUND((tblPiNHistorical[[#This Row],[Health New]]-tblPiNHistorical[[#This Row],[Health Old]])/tblPiNHistorical[[#This Row],[Health Old]], 1), "")</f>
        <v/>
      </c>
      <c r="AU711" s="140" t="str">
        <f>IFERROR(ROUND((tblPiNHistorical[[#This Row],[Nutrition New]]-tblPiNHistorical[[#This Row],[Nutrition Old]])/tblPiNHistorical[[#This Row],[Nutrition Old]], 1), "")</f>
        <v/>
      </c>
      <c r="AV711" s="140" t="str">
        <f>IFERROR(ROUND((tblPiNHistorical[[#This Row],[Protection New]]-tblPiNHistorical[[#This Row],[Protection Old]])/tblPiNHistorical[[#This Row],[Protection Old]], 1), "")</f>
        <v/>
      </c>
      <c r="AW711" s="84" t="str">
        <f>IFERROR(ROUND((tblPiNHistorical[[#This Row],[CP New]]-tblPiNHistorical[[#This Row],[CP Old ]])/tblPiNHistorical[[#This Row],[CP Old ]], 1), "")</f>
        <v/>
      </c>
      <c r="AX711" s="84" t="str">
        <f>IFERROR(ROUND((tblPiNHistorical[[#This Row],[GBV New]]-tblPiNHistorical[[#This Row],[GBV Old]])/tblPiNHistorical[[#This Row],[GBV Old]], 1), "")</f>
        <v/>
      </c>
      <c r="AY711" s="84" t="str">
        <f>IFERROR(ROUND((tblPiNHistorical[[#This Row],[Mine Action New]]-tblPiNHistorical[[#This Row],[Mine Action Old]])/tblPiNHistorical[[#This Row],[Mine Action Old]], 1), "")</f>
        <v/>
      </c>
      <c r="AZ711" s="140" t="str">
        <f>IFERROR(ROUND((tblPiNHistorical[[#This Row],[Shelter NFI New]]-tblPiNHistorical[[#This Row],[Shelter NFI Old]])/tblPiNHistorical[[#This Row],[Shelter NFI Old]], 1), "")</f>
        <v/>
      </c>
      <c r="BA711" s="31" t="str">
        <f>IFERROR(ROUND((tblPiNHistorical[[#This Row],[WASH New]]-tblPiNHistorical[[#This Row],[WASH Old]])/tblPiNHistorical[[#This Row],[WASH Old]], 1), "")</f>
        <v/>
      </c>
    </row>
    <row r="712" spans="1:53" ht="38.25" x14ac:dyDescent="0.25">
      <c r="A712"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Non-displaced PopulationSD03147</v>
      </c>
      <c r="B712" s="134" t="s">
        <v>185</v>
      </c>
      <c r="C712" s="124" t="s">
        <v>120</v>
      </c>
      <c r="D712" s="124" t="s">
        <v>243</v>
      </c>
      <c r="E712" s="59" t="s">
        <v>242</v>
      </c>
      <c r="F712" s="54"/>
      <c r="G712" s="29"/>
      <c r="H712" s="53">
        <v>6554</v>
      </c>
      <c r="I712" s="53" t="s">
        <v>89</v>
      </c>
      <c r="J712" s="34">
        <v>0</v>
      </c>
      <c r="K712" s="116">
        <v>2540.9857999999999</v>
      </c>
      <c r="L712" s="114">
        <v>4588</v>
      </c>
      <c r="M712" s="114">
        <v>0</v>
      </c>
      <c r="N712" s="114">
        <v>1446</v>
      </c>
      <c r="O712" s="114">
        <v>720.94</v>
      </c>
      <c r="P712" s="114">
        <v>721</v>
      </c>
      <c r="Q712" s="114">
        <v>520</v>
      </c>
      <c r="R712" s="114">
        <v>655.40000000000009</v>
      </c>
      <c r="S712" s="114">
        <v>1311</v>
      </c>
      <c r="T712" s="196">
        <v>3932.4</v>
      </c>
      <c r="U712" s="52" t="str">
        <f>IFERROR(INDEX(tblPiNAnalysis[[Site Management ]], MATCH(tblPiNHistorical[[#This Row],[ID]], tblPiNAnalysis[ID], 0)), "")</f>
        <v/>
      </c>
      <c r="V712" s="52" t="str">
        <f>IFERROR(INDEX(tblPiNAnalysis[Education], MATCH(tblPiNHistorical[[#This Row],[ID]], tblPiNAnalysis[ID], 0)), "")</f>
        <v/>
      </c>
      <c r="W712" s="28" t="str">
        <f>IFERROR(INDEX(tblPiNAnalysis[Food Security and Livlihoods], MATCH(tblPiNHistorical[[#This Row],[ID]], tblPiNAnalysis[ID], 0)), "")</f>
        <v/>
      </c>
      <c r="X712" s="28" t="str">
        <f>IFERROR(INDEX(tblPiNAnalysis[[Health ]], MATCH(tblPiNHistorical[[#This Row],[ID]], tblPiNAnalysis[ID], 0)), "")</f>
        <v/>
      </c>
      <c r="Y712" s="28" t="str">
        <f>IFERROR(INDEX(tblPiNAnalysis[Nutrition], MATCH(tblPiNHistorical[[#This Row],[ID]], tblPiNAnalysis[ID], 0)), "")</f>
        <v/>
      </c>
      <c r="Z712" s="28" t="str">
        <f>IFERROR(INDEX(tblPiNAnalysis[Protection], MATCH(tblPiNHistorical[[#This Row],[ID]], tblPiNAnalysis[ID], 0)), "")</f>
        <v/>
      </c>
      <c r="AA712" s="28" t="str">
        <f>IFERROR(INDEX(tblPiNAnalysis[CP], MATCH(tblPiNHistorical[[#This Row],[ID]], tblPiNAnalysis[ID], 0)), "")</f>
        <v/>
      </c>
      <c r="AB712" s="83" t="str">
        <f>IFERROR(INDEX(tblPiNAnalysis[GBV], MATCH(tblPiNHistorical[[#This Row],[ID]], tblPiNAnalysis[ID], 0)), "")</f>
        <v/>
      </c>
      <c r="AC712" s="28" t="str">
        <f>IFERROR(INDEX(tblPiNAnalysis[Mine Action], MATCH(tblPiNHistorical[[#This Row],[ID]], tblPiNAnalysis[ID], 0)), "")</f>
        <v/>
      </c>
      <c r="AD712" s="83" t="str">
        <f>IFERROR(INDEX(tblPiNAnalysis[[Shelter NFI ]], MATCH(tblPiNHistorical[[#This Row],[ID]], tblPiNAnalysis[ID], 0)), "")</f>
        <v/>
      </c>
      <c r="AE712" s="28" t="str">
        <f>IFERROR(INDEX(tblPiNAnalysis[WASH], MATCH(tblPiNHistorical[[#This Row],[ID]], tblPiNAnalysis[ID], 0)), "")</f>
        <v/>
      </c>
      <c r="AF712"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712" s="136" t="str">
        <f>IF(OR(tblPiNHistorical[[#This Row],[Education Old]]="", tblPiNHistorical[[#This Row],[Education Old]]=0, tblPiNHistorical[[#This Row],[Education New]]="", tblPiNHistorical[[#This Row],[Education New]]=0), "", tblPiNHistorical[[#This Row],[Education New]]-tblPiNHistorical[[#This Row],[Education Old]])</f>
        <v/>
      </c>
      <c r="AH712"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712" s="137" t="str">
        <f>IF(OR(tblPiNHistorical[[#This Row],[Health Old]]="", tblPiNHistorical[[#This Row],[Health Old]]=0, tblPiNHistorical[[#This Row],[Health New]]="", tblPiNHistorical[[#This Row],[Health New]]=0), "", tblPiNHistorical[[#This Row],[Health New]]-tblPiNHistorical[[#This Row],[Health Old]])</f>
        <v/>
      </c>
      <c r="AJ712" s="136" t="str">
        <f>IF(OR(tblPiNHistorical[[#This Row],[Nutrition Old]]="", tblPiNHistorical[[#This Row],[Nutrition Old]]=0, tblPiNHistorical[[#This Row],[Nutrition New]]="", tblPiNHistorical[[#This Row],[Nutrition New]]=0), "", tblPiNHistorical[[#This Row],[Nutrition New]]-tblPiNHistorical[[#This Row],[Nutrition Old]])</f>
        <v/>
      </c>
      <c r="AK712" s="136" t="str">
        <f>IF(OR(tblPiNHistorical[[#This Row],[Protection Old]]="", tblPiNHistorical[[#This Row],[Protection Old]]=0, tblPiNHistorical[[#This Row],[Protection New]]="", tblPiNHistorical[[#This Row],[Protection New]]=0), "", tblPiNHistorical[[#This Row],[Protection New]]-tblPiNHistorical[[#This Row],[Protection Old]])</f>
        <v/>
      </c>
      <c r="AL712" s="136" t="str">
        <f>IF(OR(tblPiNHistorical[[#This Row],[CP Old ]]="", tblPiNHistorical[[#This Row],[CP Old ]]=0, tblPiNHistorical[[#This Row],[CP New]]="", tblPiNHistorical[[#This Row],[CP New]]=0), "", tblPiNHistorical[[#This Row],[CP New]]-tblPiNHistorical[[#This Row],[CP Old ]])</f>
        <v/>
      </c>
      <c r="AM712" s="83" t="str">
        <f>IF(OR(tblPiNHistorical[[#This Row],[GBV Old]]="", tblPiNHistorical[[#This Row],[GBV Old]]=0, tblPiNHistorical[[#This Row],[GBV New]]="", tblPiNHistorical[[#This Row],[GBV New]]=0), "", tblPiNHistorical[[#This Row],[GBV New]]-tblPiNHistorical[[#This Row],[GBV Old]])</f>
        <v/>
      </c>
      <c r="AN712" s="83" t="str">
        <f>IF(OR(tblPiNHistorical[[#This Row],[Mine Action Old]]="", tblPiNHistorical[[#This Row],[Mine Action Old]]=0, tblPiNHistorical[[#This Row],[Mine Action New]]="", tblPiNHistorical[[#This Row],[Mine Action New]]=0), "", tblPiNHistorical[[#This Row],[Mine Action New]]-tblPiNHistorical[[#This Row],[Mine Action Old]])</f>
        <v/>
      </c>
      <c r="AO712" s="136" t="str">
        <f>IF(OR(tblPiNHistorical[[#This Row],[Shelter NFI Old]]="", tblPiNHistorical[[#This Row],[Shelter NFI Old]]=0, tblPiNHistorical[[#This Row],[Shelter NFI New]]="", tblPiNHistorical[[#This Row],[Shelter NFI New]]=0), "", tblPiNHistorical[[#This Row],[Shelter NFI New]]-tblPiNHistorical[[#This Row],[Shelter NFI Old]])</f>
        <v/>
      </c>
      <c r="AP712" s="138" t="str">
        <f>IF(OR(tblPiNHistorical[[#This Row],[WASH Old]]="", tblPiNHistorical[[#This Row],[WASH Old]]=0, tblPiNHistorical[[#This Row],[WASH New]]="", tblPiNHistorical[[#This Row],[WASH New]]=0), "", tblPiNHistorical[[#This Row],[WASH New]]-tblPiNHistorical[[#This Row],[WASH Old]])</f>
        <v/>
      </c>
      <c r="AQ712" s="139" t="str">
        <f>IFERROR(ROUND((tblPiNHistorical[[#This Row],[Site Management - New]] - tblPiNHistorical[[#This Row],[Site Management - Old]])/tblPiNHistorical[[#This Row],[Site Management - Old]], 1), "")</f>
        <v/>
      </c>
      <c r="AR712" s="140" t="str">
        <f>IFERROR(ROUND((tblPiNHistorical[[#This Row],[Education New]]-tblPiNHistorical[[#This Row],[Education Old]])/tblPiNHistorical[[#This Row],[Education Old]], 1), "")</f>
        <v/>
      </c>
      <c r="AS712" s="141" t="str">
        <f>IFERROR(ROUND((tblPiNHistorical[[#This Row],[Food Security and Livlihoods New]]-tblPiNHistorical[[#This Row],[Food Security and Livlihoods Old]])/tblPiNHistorical[[#This Row],[Food Security and Livlihoods Old]], 1), "")</f>
        <v/>
      </c>
      <c r="AT712" s="142" t="str">
        <f>IFERROR(ROUND((tblPiNHistorical[[#This Row],[Health New]]-tblPiNHistorical[[#This Row],[Health Old]])/tblPiNHistorical[[#This Row],[Health Old]], 1), "")</f>
        <v/>
      </c>
      <c r="AU712" s="140" t="str">
        <f>IFERROR(ROUND((tblPiNHistorical[[#This Row],[Nutrition New]]-tblPiNHistorical[[#This Row],[Nutrition Old]])/tblPiNHistorical[[#This Row],[Nutrition Old]], 1), "")</f>
        <v/>
      </c>
      <c r="AV712" s="140" t="str">
        <f>IFERROR(ROUND((tblPiNHistorical[[#This Row],[Protection New]]-tblPiNHistorical[[#This Row],[Protection Old]])/tblPiNHistorical[[#This Row],[Protection Old]], 1), "")</f>
        <v/>
      </c>
      <c r="AW712" s="84" t="str">
        <f>IFERROR(ROUND((tblPiNHistorical[[#This Row],[CP New]]-tblPiNHistorical[[#This Row],[CP Old ]])/tblPiNHistorical[[#This Row],[CP Old ]], 1), "")</f>
        <v/>
      </c>
      <c r="AX712" s="84" t="str">
        <f>IFERROR(ROUND((tblPiNHistorical[[#This Row],[GBV New]]-tblPiNHistorical[[#This Row],[GBV Old]])/tblPiNHistorical[[#This Row],[GBV Old]], 1), "")</f>
        <v/>
      </c>
      <c r="AY712" s="84" t="str">
        <f>IFERROR(ROUND((tblPiNHistorical[[#This Row],[Mine Action New]]-tblPiNHistorical[[#This Row],[Mine Action Old]])/tblPiNHistorical[[#This Row],[Mine Action Old]], 1), "")</f>
        <v/>
      </c>
      <c r="AZ712" s="140" t="str">
        <f>IFERROR(ROUND((tblPiNHistorical[[#This Row],[Shelter NFI New]]-tblPiNHistorical[[#This Row],[Shelter NFI Old]])/tblPiNHistorical[[#This Row],[Shelter NFI Old]], 1), "")</f>
        <v/>
      </c>
      <c r="BA712" s="31" t="str">
        <f>IFERROR(ROUND((tblPiNHistorical[[#This Row],[WASH New]]-tblPiNHistorical[[#This Row],[WASH Old]])/tblPiNHistorical[[#This Row],[WASH Old]], 1), "")</f>
        <v/>
      </c>
    </row>
    <row r="713" spans="1:53" ht="38.25" x14ac:dyDescent="0.25">
      <c r="A713"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Non-displaced PopulationSD03154</v>
      </c>
      <c r="B713" s="134" t="s">
        <v>185</v>
      </c>
      <c r="C713" s="124" t="s">
        <v>120</v>
      </c>
      <c r="D713" s="124" t="s">
        <v>253</v>
      </c>
      <c r="E713" s="59" t="s">
        <v>252</v>
      </c>
      <c r="F713" s="54"/>
      <c r="G713" s="29"/>
      <c r="H713" s="53">
        <v>28522</v>
      </c>
      <c r="I713" s="53" t="s">
        <v>89</v>
      </c>
      <c r="J713" s="34">
        <v>0</v>
      </c>
      <c r="K713" s="116">
        <v>11057.9794</v>
      </c>
      <c r="L713" s="114">
        <v>14261</v>
      </c>
      <c r="M713" s="114">
        <v>0</v>
      </c>
      <c r="N713" s="114">
        <v>8610</v>
      </c>
      <c r="O713" s="114">
        <v>3137.42</v>
      </c>
      <c r="P713" s="114">
        <v>3137</v>
      </c>
      <c r="Q713" s="114">
        <v>2258</v>
      </c>
      <c r="R713" s="114">
        <v>0</v>
      </c>
      <c r="S713" s="114">
        <v>0</v>
      </c>
      <c r="T713" s="196">
        <v>26785.010199999997</v>
      </c>
      <c r="U713" s="52" t="str">
        <f>IFERROR(INDEX(tblPiNAnalysis[[Site Management ]], MATCH(tblPiNHistorical[[#This Row],[ID]], tblPiNAnalysis[ID], 0)), "")</f>
        <v/>
      </c>
      <c r="V713" s="52" t="str">
        <f>IFERROR(INDEX(tblPiNAnalysis[Education], MATCH(tblPiNHistorical[[#This Row],[ID]], tblPiNAnalysis[ID], 0)), "")</f>
        <v/>
      </c>
      <c r="W713" s="28" t="str">
        <f>IFERROR(INDEX(tblPiNAnalysis[Food Security and Livlihoods], MATCH(tblPiNHistorical[[#This Row],[ID]], tblPiNAnalysis[ID], 0)), "")</f>
        <v/>
      </c>
      <c r="X713" s="28" t="str">
        <f>IFERROR(INDEX(tblPiNAnalysis[[Health ]], MATCH(tblPiNHistorical[[#This Row],[ID]], tblPiNAnalysis[ID], 0)), "")</f>
        <v/>
      </c>
      <c r="Y713" s="28" t="str">
        <f>IFERROR(INDEX(tblPiNAnalysis[Nutrition], MATCH(tblPiNHistorical[[#This Row],[ID]], tblPiNAnalysis[ID], 0)), "")</f>
        <v/>
      </c>
      <c r="Z713" s="28" t="str">
        <f>IFERROR(INDEX(tblPiNAnalysis[Protection], MATCH(tblPiNHistorical[[#This Row],[ID]], tblPiNAnalysis[ID], 0)), "")</f>
        <v/>
      </c>
      <c r="AA713" s="28" t="str">
        <f>IFERROR(INDEX(tblPiNAnalysis[CP], MATCH(tblPiNHistorical[[#This Row],[ID]], tblPiNAnalysis[ID], 0)), "")</f>
        <v/>
      </c>
      <c r="AB713" s="83" t="str">
        <f>IFERROR(INDEX(tblPiNAnalysis[GBV], MATCH(tblPiNHistorical[[#This Row],[ID]], tblPiNAnalysis[ID], 0)), "")</f>
        <v/>
      </c>
      <c r="AC713" s="28" t="str">
        <f>IFERROR(INDEX(tblPiNAnalysis[Mine Action], MATCH(tblPiNHistorical[[#This Row],[ID]], tblPiNAnalysis[ID], 0)), "")</f>
        <v/>
      </c>
      <c r="AD713" s="83" t="str">
        <f>IFERROR(INDEX(tblPiNAnalysis[[Shelter NFI ]], MATCH(tblPiNHistorical[[#This Row],[ID]], tblPiNAnalysis[ID], 0)), "")</f>
        <v/>
      </c>
      <c r="AE713" s="28" t="str">
        <f>IFERROR(INDEX(tblPiNAnalysis[WASH], MATCH(tblPiNHistorical[[#This Row],[ID]], tblPiNAnalysis[ID], 0)), "")</f>
        <v/>
      </c>
      <c r="AF713"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713" s="136" t="str">
        <f>IF(OR(tblPiNHistorical[[#This Row],[Education Old]]="", tblPiNHistorical[[#This Row],[Education Old]]=0, tblPiNHistorical[[#This Row],[Education New]]="", tblPiNHistorical[[#This Row],[Education New]]=0), "", tblPiNHistorical[[#This Row],[Education New]]-tblPiNHistorical[[#This Row],[Education Old]])</f>
        <v/>
      </c>
      <c r="AH713"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713" s="137" t="str">
        <f>IF(OR(tblPiNHistorical[[#This Row],[Health Old]]="", tblPiNHistorical[[#This Row],[Health Old]]=0, tblPiNHistorical[[#This Row],[Health New]]="", tblPiNHistorical[[#This Row],[Health New]]=0), "", tblPiNHistorical[[#This Row],[Health New]]-tblPiNHistorical[[#This Row],[Health Old]])</f>
        <v/>
      </c>
      <c r="AJ713" s="136" t="str">
        <f>IF(OR(tblPiNHistorical[[#This Row],[Nutrition Old]]="", tblPiNHistorical[[#This Row],[Nutrition Old]]=0, tblPiNHistorical[[#This Row],[Nutrition New]]="", tblPiNHistorical[[#This Row],[Nutrition New]]=0), "", tblPiNHistorical[[#This Row],[Nutrition New]]-tblPiNHistorical[[#This Row],[Nutrition Old]])</f>
        <v/>
      </c>
      <c r="AK713" s="136" t="str">
        <f>IF(OR(tblPiNHistorical[[#This Row],[Protection Old]]="", tblPiNHistorical[[#This Row],[Protection Old]]=0, tblPiNHistorical[[#This Row],[Protection New]]="", tblPiNHistorical[[#This Row],[Protection New]]=0), "", tblPiNHistorical[[#This Row],[Protection New]]-tblPiNHistorical[[#This Row],[Protection Old]])</f>
        <v/>
      </c>
      <c r="AL713" s="136" t="str">
        <f>IF(OR(tblPiNHistorical[[#This Row],[CP Old ]]="", tblPiNHistorical[[#This Row],[CP Old ]]=0, tblPiNHistorical[[#This Row],[CP New]]="", tblPiNHistorical[[#This Row],[CP New]]=0), "", tblPiNHistorical[[#This Row],[CP New]]-tblPiNHistorical[[#This Row],[CP Old ]])</f>
        <v/>
      </c>
      <c r="AM713" s="83" t="str">
        <f>IF(OR(tblPiNHistorical[[#This Row],[GBV Old]]="", tblPiNHistorical[[#This Row],[GBV Old]]=0, tblPiNHistorical[[#This Row],[GBV New]]="", tblPiNHistorical[[#This Row],[GBV New]]=0), "", tblPiNHistorical[[#This Row],[GBV New]]-tblPiNHistorical[[#This Row],[GBV Old]])</f>
        <v/>
      </c>
      <c r="AN713" s="83" t="str">
        <f>IF(OR(tblPiNHistorical[[#This Row],[Mine Action Old]]="", tblPiNHistorical[[#This Row],[Mine Action Old]]=0, tblPiNHistorical[[#This Row],[Mine Action New]]="", tblPiNHistorical[[#This Row],[Mine Action New]]=0), "", tblPiNHistorical[[#This Row],[Mine Action New]]-tblPiNHistorical[[#This Row],[Mine Action Old]])</f>
        <v/>
      </c>
      <c r="AO713" s="136" t="str">
        <f>IF(OR(tblPiNHistorical[[#This Row],[Shelter NFI Old]]="", tblPiNHistorical[[#This Row],[Shelter NFI Old]]=0, tblPiNHistorical[[#This Row],[Shelter NFI New]]="", tblPiNHistorical[[#This Row],[Shelter NFI New]]=0), "", tblPiNHistorical[[#This Row],[Shelter NFI New]]-tblPiNHistorical[[#This Row],[Shelter NFI Old]])</f>
        <v/>
      </c>
      <c r="AP713" s="138" t="str">
        <f>IF(OR(tblPiNHistorical[[#This Row],[WASH Old]]="", tblPiNHistorical[[#This Row],[WASH Old]]=0, tblPiNHistorical[[#This Row],[WASH New]]="", tblPiNHistorical[[#This Row],[WASH New]]=0), "", tblPiNHistorical[[#This Row],[WASH New]]-tblPiNHistorical[[#This Row],[WASH Old]])</f>
        <v/>
      </c>
      <c r="AQ713" s="139" t="str">
        <f>IFERROR(ROUND((tblPiNHistorical[[#This Row],[Site Management - New]] - tblPiNHistorical[[#This Row],[Site Management - Old]])/tblPiNHistorical[[#This Row],[Site Management - Old]], 1), "")</f>
        <v/>
      </c>
      <c r="AR713" s="140" t="str">
        <f>IFERROR(ROUND((tblPiNHistorical[[#This Row],[Education New]]-tblPiNHistorical[[#This Row],[Education Old]])/tblPiNHistorical[[#This Row],[Education Old]], 1), "")</f>
        <v/>
      </c>
      <c r="AS713" s="141" t="str">
        <f>IFERROR(ROUND((tblPiNHistorical[[#This Row],[Food Security and Livlihoods New]]-tblPiNHistorical[[#This Row],[Food Security and Livlihoods Old]])/tblPiNHistorical[[#This Row],[Food Security and Livlihoods Old]], 1), "")</f>
        <v/>
      </c>
      <c r="AT713" s="142" t="str">
        <f>IFERROR(ROUND((tblPiNHistorical[[#This Row],[Health New]]-tblPiNHistorical[[#This Row],[Health Old]])/tblPiNHistorical[[#This Row],[Health Old]], 1), "")</f>
        <v/>
      </c>
      <c r="AU713" s="140" t="str">
        <f>IFERROR(ROUND((tblPiNHistorical[[#This Row],[Nutrition New]]-tblPiNHistorical[[#This Row],[Nutrition Old]])/tblPiNHistorical[[#This Row],[Nutrition Old]], 1), "")</f>
        <v/>
      </c>
      <c r="AV713" s="140" t="str">
        <f>IFERROR(ROUND((tblPiNHistorical[[#This Row],[Protection New]]-tblPiNHistorical[[#This Row],[Protection Old]])/tblPiNHistorical[[#This Row],[Protection Old]], 1), "")</f>
        <v/>
      </c>
      <c r="AW713" s="84" t="str">
        <f>IFERROR(ROUND((tblPiNHistorical[[#This Row],[CP New]]-tblPiNHistorical[[#This Row],[CP Old ]])/tblPiNHistorical[[#This Row],[CP Old ]], 1), "")</f>
        <v/>
      </c>
      <c r="AX713" s="84" t="str">
        <f>IFERROR(ROUND((tblPiNHistorical[[#This Row],[GBV New]]-tblPiNHistorical[[#This Row],[GBV Old]])/tblPiNHistorical[[#This Row],[GBV Old]], 1), "")</f>
        <v/>
      </c>
      <c r="AY713" s="84" t="str">
        <f>IFERROR(ROUND((tblPiNHistorical[[#This Row],[Mine Action New]]-tblPiNHistorical[[#This Row],[Mine Action Old]])/tblPiNHistorical[[#This Row],[Mine Action Old]], 1), "")</f>
        <v/>
      </c>
      <c r="AZ713" s="140" t="str">
        <f>IFERROR(ROUND((tblPiNHistorical[[#This Row],[Shelter NFI New]]-tblPiNHistorical[[#This Row],[Shelter NFI Old]])/tblPiNHistorical[[#This Row],[Shelter NFI Old]], 1), "")</f>
        <v/>
      </c>
      <c r="BA713" s="31" t="str">
        <f>IFERROR(ROUND((tblPiNHistorical[[#This Row],[WASH New]]-tblPiNHistorical[[#This Row],[WASH Old]])/tblPiNHistorical[[#This Row],[WASH Old]], 1), "")</f>
        <v/>
      </c>
    </row>
    <row r="714" spans="1:53" ht="38.25" x14ac:dyDescent="0.25">
      <c r="A714"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Non-displaced PopulationSD03149</v>
      </c>
      <c r="B714" s="134" t="s">
        <v>185</v>
      </c>
      <c r="C714" s="124" t="s">
        <v>120</v>
      </c>
      <c r="D714" s="124" t="s">
        <v>245</v>
      </c>
      <c r="E714" s="59" t="s">
        <v>244</v>
      </c>
      <c r="F714" s="54"/>
      <c r="G714" s="29"/>
      <c r="H714" s="53">
        <v>142571</v>
      </c>
      <c r="I714" s="53" t="s">
        <v>89</v>
      </c>
      <c r="J714" s="34">
        <v>0</v>
      </c>
      <c r="K714" s="116">
        <v>55274.776699999995</v>
      </c>
      <c r="L714" s="114">
        <v>64156.95</v>
      </c>
      <c r="M714" s="114">
        <v>0</v>
      </c>
      <c r="N714" s="114">
        <v>27731</v>
      </c>
      <c r="O714" s="114">
        <v>15682.810000000001</v>
      </c>
      <c r="P714" s="114">
        <v>15683</v>
      </c>
      <c r="Q714" s="114">
        <v>11287</v>
      </c>
      <c r="R714" s="114">
        <v>0</v>
      </c>
      <c r="S714" s="114">
        <v>28514</v>
      </c>
      <c r="T714" s="196">
        <v>76432.313099999999</v>
      </c>
      <c r="U714" s="52" t="str">
        <f>IFERROR(INDEX(tblPiNAnalysis[[Site Management ]], MATCH(tblPiNHistorical[[#This Row],[ID]], tblPiNAnalysis[ID], 0)), "")</f>
        <v/>
      </c>
      <c r="V714" s="52" t="str">
        <f>IFERROR(INDEX(tblPiNAnalysis[Education], MATCH(tblPiNHistorical[[#This Row],[ID]], tblPiNAnalysis[ID], 0)), "")</f>
        <v/>
      </c>
      <c r="W714" s="28" t="str">
        <f>IFERROR(INDEX(tblPiNAnalysis[Food Security and Livlihoods], MATCH(tblPiNHistorical[[#This Row],[ID]], tblPiNAnalysis[ID], 0)), "")</f>
        <v/>
      </c>
      <c r="X714" s="28" t="str">
        <f>IFERROR(INDEX(tblPiNAnalysis[[Health ]], MATCH(tblPiNHistorical[[#This Row],[ID]], tblPiNAnalysis[ID], 0)), "")</f>
        <v/>
      </c>
      <c r="Y714" s="28" t="str">
        <f>IFERROR(INDEX(tblPiNAnalysis[Nutrition], MATCH(tblPiNHistorical[[#This Row],[ID]], tblPiNAnalysis[ID], 0)), "")</f>
        <v/>
      </c>
      <c r="Z714" s="28" t="str">
        <f>IFERROR(INDEX(tblPiNAnalysis[Protection], MATCH(tblPiNHistorical[[#This Row],[ID]], tblPiNAnalysis[ID], 0)), "")</f>
        <v/>
      </c>
      <c r="AA714" s="28" t="str">
        <f>IFERROR(INDEX(tblPiNAnalysis[CP], MATCH(tblPiNHistorical[[#This Row],[ID]], tblPiNAnalysis[ID], 0)), "")</f>
        <v/>
      </c>
      <c r="AB714" s="83" t="str">
        <f>IFERROR(INDEX(tblPiNAnalysis[GBV], MATCH(tblPiNHistorical[[#This Row],[ID]], tblPiNAnalysis[ID], 0)), "")</f>
        <v/>
      </c>
      <c r="AC714" s="28" t="str">
        <f>IFERROR(INDEX(tblPiNAnalysis[Mine Action], MATCH(tblPiNHistorical[[#This Row],[ID]], tblPiNAnalysis[ID], 0)), "")</f>
        <v/>
      </c>
      <c r="AD714" s="83" t="str">
        <f>IFERROR(INDEX(tblPiNAnalysis[[Shelter NFI ]], MATCH(tblPiNHistorical[[#This Row],[ID]], tblPiNAnalysis[ID], 0)), "")</f>
        <v/>
      </c>
      <c r="AE714" s="28" t="str">
        <f>IFERROR(INDEX(tblPiNAnalysis[WASH], MATCH(tblPiNHistorical[[#This Row],[ID]], tblPiNAnalysis[ID], 0)), "")</f>
        <v/>
      </c>
      <c r="AF714"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714" s="136" t="str">
        <f>IF(OR(tblPiNHistorical[[#This Row],[Education Old]]="", tblPiNHistorical[[#This Row],[Education Old]]=0, tblPiNHistorical[[#This Row],[Education New]]="", tblPiNHistorical[[#This Row],[Education New]]=0), "", tblPiNHistorical[[#This Row],[Education New]]-tblPiNHistorical[[#This Row],[Education Old]])</f>
        <v/>
      </c>
      <c r="AH714"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714" s="137" t="str">
        <f>IF(OR(tblPiNHistorical[[#This Row],[Health Old]]="", tblPiNHistorical[[#This Row],[Health Old]]=0, tblPiNHistorical[[#This Row],[Health New]]="", tblPiNHistorical[[#This Row],[Health New]]=0), "", tblPiNHistorical[[#This Row],[Health New]]-tblPiNHistorical[[#This Row],[Health Old]])</f>
        <v/>
      </c>
      <c r="AJ714" s="136" t="str">
        <f>IF(OR(tblPiNHistorical[[#This Row],[Nutrition Old]]="", tblPiNHistorical[[#This Row],[Nutrition Old]]=0, tblPiNHistorical[[#This Row],[Nutrition New]]="", tblPiNHistorical[[#This Row],[Nutrition New]]=0), "", tblPiNHistorical[[#This Row],[Nutrition New]]-tblPiNHistorical[[#This Row],[Nutrition Old]])</f>
        <v/>
      </c>
      <c r="AK714" s="136" t="str">
        <f>IF(OR(tblPiNHistorical[[#This Row],[Protection Old]]="", tblPiNHistorical[[#This Row],[Protection Old]]=0, tblPiNHistorical[[#This Row],[Protection New]]="", tblPiNHistorical[[#This Row],[Protection New]]=0), "", tblPiNHistorical[[#This Row],[Protection New]]-tblPiNHistorical[[#This Row],[Protection Old]])</f>
        <v/>
      </c>
      <c r="AL714" s="136" t="str">
        <f>IF(OR(tblPiNHistorical[[#This Row],[CP Old ]]="", tblPiNHistorical[[#This Row],[CP Old ]]=0, tblPiNHistorical[[#This Row],[CP New]]="", tblPiNHistorical[[#This Row],[CP New]]=0), "", tblPiNHistorical[[#This Row],[CP New]]-tblPiNHistorical[[#This Row],[CP Old ]])</f>
        <v/>
      </c>
      <c r="AM714" s="83" t="str">
        <f>IF(OR(tblPiNHistorical[[#This Row],[GBV Old]]="", tblPiNHistorical[[#This Row],[GBV Old]]=0, tblPiNHistorical[[#This Row],[GBV New]]="", tblPiNHistorical[[#This Row],[GBV New]]=0), "", tblPiNHistorical[[#This Row],[GBV New]]-tblPiNHistorical[[#This Row],[GBV Old]])</f>
        <v/>
      </c>
      <c r="AN714" s="83" t="str">
        <f>IF(OR(tblPiNHistorical[[#This Row],[Mine Action Old]]="", tblPiNHistorical[[#This Row],[Mine Action Old]]=0, tblPiNHistorical[[#This Row],[Mine Action New]]="", tblPiNHistorical[[#This Row],[Mine Action New]]=0), "", tblPiNHistorical[[#This Row],[Mine Action New]]-tblPiNHistorical[[#This Row],[Mine Action Old]])</f>
        <v/>
      </c>
      <c r="AO714" s="136" t="str">
        <f>IF(OR(tblPiNHistorical[[#This Row],[Shelter NFI Old]]="", tblPiNHistorical[[#This Row],[Shelter NFI Old]]=0, tblPiNHistorical[[#This Row],[Shelter NFI New]]="", tblPiNHistorical[[#This Row],[Shelter NFI New]]=0), "", tblPiNHistorical[[#This Row],[Shelter NFI New]]-tblPiNHistorical[[#This Row],[Shelter NFI Old]])</f>
        <v/>
      </c>
      <c r="AP714" s="138" t="str">
        <f>IF(OR(tblPiNHistorical[[#This Row],[WASH Old]]="", tblPiNHistorical[[#This Row],[WASH Old]]=0, tblPiNHistorical[[#This Row],[WASH New]]="", tblPiNHistorical[[#This Row],[WASH New]]=0), "", tblPiNHistorical[[#This Row],[WASH New]]-tblPiNHistorical[[#This Row],[WASH Old]])</f>
        <v/>
      </c>
      <c r="AQ714" s="139" t="str">
        <f>IFERROR(ROUND((tblPiNHistorical[[#This Row],[Site Management - New]] - tblPiNHistorical[[#This Row],[Site Management - Old]])/tblPiNHistorical[[#This Row],[Site Management - Old]], 1), "")</f>
        <v/>
      </c>
      <c r="AR714" s="140" t="str">
        <f>IFERROR(ROUND((tblPiNHistorical[[#This Row],[Education New]]-tblPiNHistorical[[#This Row],[Education Old]])/tblPiNHistorical[[#This Row],[Education Old]], 1), "")</f>
        <v/>
      </c>
      <c r="AS714" s="141" t="str">
        <f>IFERROR(ROUND((tblPiNHistorical[[#This Row],[Food Security and Livlihoods New]]-tblPiNHistorical[[#This Row],[Food Security and Livlihoods Old]])/tblPiNHistorical[[#This Row],[Food Security and Livlihoods Old]], 1), "")</f>
        <v/>
      </c>
      <c r="AT714" s="142" t="str">
        <f>IFERROR(ROUND((tblPiNHistorical[[#This Row],[Health New]]-tblPiNHistorical[[#This Row],[Health Old]])/tblPiNHistorical[[#This Row],[Health Old]], 1), "")</f>
        <v/>
      </c>
      <c r="AU714" s="140" t="str">
        <f>IFERROR(ROUND((tblPiNHistorical[[#This Row],[Nutrition New]]-tblPiNHistorical[[#This Row],[Nutrition Old]])/tblPiNHistorical[[#This Row],[Nutrition Old]], 1), "")</f>
        <v/>
      </c>
      <c r="AV714" s="140" t="str">
        <f>IFERROR(ROUND((tblPiNHistorical[[#This Row],[Protection New]]-tblPiNHistorical[[#This Row],[Protection Old]])/tblPiNHistorical[[#This Row],[Protection Old]], 1), "")</f>
        <v/>
      </c>
      <c r="AW714" s="84" t="str">
        <f>IFERROR(ROUND((tblPiNHistorical[[#This Row],[CP New]]-tblPiNHistorical[[#This Row],[CP Old ]])/tblPiNHistorical[[#This Row],[CP Old ]], 1), "")</f>
        <v/>
      </c>
      <c r="AX714" s="84" t="str">
        <f>IFERROR(ROUND((tblPiNHistorical[[#This Row],[GBV New]]-tblPiNHistorical[[#This Row],[GBV Old]])/tblPiNHistorical[[#This Row],[GBV Old]], 1), "")</f>
        <v/>
      </c>
      <c r="AY714" s="84" t="str">
        <f>IFERROR(ROUND((tblPiNHistorical[[#This Row],[Mine Action New]]-tblPiNHistorical[[#This Row],[Mine Action Old]])/tblPiNHistorical[[#This Row],[Mine Action Old]], 1), "")</f>
        <v/>
      </c>
      <c r="AZ714" s="140" t="str">
        <f>IFERROR(ROUND((tblPiNHistorical[[#This Row],[Shelter NFI New]]-tblPiNHistorical[[#This Row],[Shelter NFI Old]])/tblPiNHistorical[[#This Row],[Shelter NFI Old]], 1), "")</f>
        <v/>
      </c>
      <c r="BA714" s="31" t="str">
        <f>IFERROR(ROUND((tblPiNHistorical[[#This Row],[WASH New]]-tblPiNHistorical[[#This Row],[WASH Old]])/tblPiNHistorical[[#This Row],[WASH Old]], 1), "")</f>
        <v/>
      </c>
    </row>
    <row r="715" spans="1:53" ht="38.25" x14ac:dyDescent="0.25">
      <c r="A715"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Non-displaced PopulationSD03146</v>
      </c>
      <c r="B715" s="134" t="s">
        <v>185</v>
      </c>
      <c r="C715" s="124" t="s">
        <v>120</v>
      </c>
      <c r="D715" s="124" t="s">
        <v>241</v>
      </c>
      <c r="E715" s="59" t="s">
        <v>240</v>
      </c>
      <c r="F715" s="54"/>
      <c r="G715" s="29"/>
      <c r="H715" s="53">
        <v>29991</v>
      </c>
      <c r="I715" s="53" t="s">
        <v>89</v>
      </c>
      <c r="J715" s="34">
        <v>0</v>
      </c>
      <c r="K715" s="116">
        <v>11627.510699999999</v>
      </c>
      <c r="L715" s="114">
        <v>13495.95</v>
      </c>
      <c r="M715" s="114">
        <v>0</v>
      </c>
      <c r="N715" s="114">
        <v>3610</v>
      </c>
      <c r="O715" s="114">
        <v>3299.0100000000007</v>
      </c>
      <c r="P715" s="114">
        <v>3299</v>
      </c>
      <c r="Q715" s="114">
        <v>2373</v>
      </c>
      <c r="R715" s="114">
        <v>2999.1000000000004</v>
      </c>
      <c r="S715" s="114">
        <v>5998</v>
      </c>
      <c r="T715" s="196">
        <v>29772.065699999996</v>
      </c>
      <c r="U715" s="52" t="str">
        <f>IFERROR(INDEX(tblPiNAnalysis[[Site Management ]], MATCH(tblPiNHistorical[[#This Row],[ID]], tblPiNAnalysis[ID], 0)), "")</f>
        <v/>
      </c>
      <c r="V715" s="52" t="str">
        <f>IFERROR(INDEX(tblPiNAnalysis[Education], MATCH(tblPiNHistorical[[#This Row],[ID]], tblPiNAnalysis[ID], 0)), "")</f>
        <v/>
      </c>
      <c r="W715" s="28" t="str">
        <f>IFERROR(INDEX(tblPiNAnalysis[Food Security and Livlihoods], MATCH(tblPiNHistorical[[#This Row],[ID]], tblPiNAnalysis[ID], 0)), "")</f>
        <v/>
      </c>
      <c r="X715" s="28" t="str">
        <f>IFERROR(INDEX(tblPiNAnalysis[[Health ]], MATCH(tblPiNHistorical[[#This Row],[ID]], tblPiNAnalysis[ID], 0)), "")</f>
        <v/>
      </c>
      <c r="Y715" s="28" t="str">
        <f>IFERROR(INDEX(tblPiNAnalysis[Nutrition], MATCH(tblPiNHistorical[[#This Row],[ID]], tblPiNAnalysis[ID], 0)), "")</f>
        <v/>
      </c>
      <c r="Z715" s="28" t="str">
        <f>IFERROR(INDEX(tblPiNAnalysis[Protection], MATCH(tblPiNHistorical[[#This Row],[ID]], tblPiNAnalysis[ID], 0)), "")</f>
        <v/>
      </c>
      <c r="AA715" s="28" t="str">
        <f>IFERROR(INDEX(tblPiNAnalysis[CP], MATCH(tblPiNHistorical[[#This Row],[ID]], tblPiNAnalysis[ID], 0)), "")</f>
        <v/>
      </c>
      <c r="AB715" s="83" t="str">
        <f>IFERROR(INDEX(tblPiNAnalysis[GBV], MATCH(tblPiNHistorical[[#This Row],[ID]], tblPiNAnalysis[ID], 0)), "")</f>
        <v/>
      </c>
      <c r="AC715" s="28" t="str">
        <f>IFERROR(INDEX(tblPiNAnalysis[Mine Action], MATCH(tblPiNHistorical[[#This Row],[ID]], tblPiNAnalysis[ID], 0)), "")</f>
        <v/>
      </c>
      <c r="AD715" s="83" t="str">
        <f>IFERROR(INDEX(tblPiNAnalysis[[Shelter NFI ]], MATCH(tblPiNHistorical[[#This Row],[ID]], tblPiNAnalysis[ID], 0)), "")</f>
        <v/>
      </c>
      <c r="AE715" s="28" t="str">
        <f>IFERROR(INDEX(tblPiNAnalysis[WASH], MATCH(tblPiNHistorical[[#This Row],[ID]], tblPiNAnalysis[ID], 0)), "")</f>
        <v/>
      </c>
      <c r="AF715"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715" s="136" t="str">
        <f>IF(OR(tblPiNHistorical[[#This Row],[Education Old]]="", tblPiNHistorical[[#This Row],[Education Old]]=0, tblPiNHistorical[[#This Row],[Education New]]="", tblPiNHistorical[[#This Row],[Education New]]=0), "", tblPiNHistorical[[#This Row],[Education New]]-tblPiNHistorical[[#This Row],[Education Old]])</f>
        <v/>
      </c>
      <c r="AH715"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715" s="137" t="str">
        <f>IF(OR(tblPiNHistorical[[#This Row],[Health Old]]="", tblPiNHistorical[[#This Row],[Health Old]]=0, tblPiNHistorical[[#This Row],[Health New]]="", tblPiNHistorical[[#This Row],[Health New]]=0), "", tblPiNHistorical[[#This Row],[Health New]]-tblPiNHistorical[[#This Row],[Health Old]])</f>
        <v/>
      </c>
      <c r="AJ715" s="136" t="str">
        <f>IF(OR(tblPiNHistorical[[#This Row],[Nutrition Old]]="", tblPiNHistorical[[#This Row],[Nutrition Old]]=0, tblPiNHistorical[[#This Row],[Nutrition New]]="", tblPiNHistorical[[#This Row],[Nutrition New]]=0), "", tblPiNHistorical[[#This Row],[Nutrition New]]-tblPiNHistorical[[#This Row],[Nutrition Old]])</f>
        <v/>
      </c>
      <c r="AK715" s="136" t="str">
        <f>IF(OR(tblPiNHistorical[[#This Row],[Protection Old]]="", tblPiNHistorical[[#This Row],[Protection Old]]=0, tblPiNHistorical[[#This Row],[Protection New]]="", tblPiNHistorical[[#This Row],[Protection New]]=0), "", tblPiNHistorical[[#This Row],[Protection New]]-tblPiNHistorical[[#This Row],[Protection Old]])</f>
        <v/>
      </c>
      <c r="AL715" s="136" t="str">
        <f>IF(OR(tblPiNHistorical[[#This Row],[CP Old ]]="", tblPiNHistorical[[#This Row],[CP Old ]]=0, tblPiNHistorical[[#This Row],[CP New]]="", tblPiNHistorical[[#This Row],[CP New]]=0), "", tblPiNHistorical[[#This Row],[CP New]]-tblPiNHistorical[[#This Row],[CP Old ]])</f>
        <v/>
      </c>
      <c r="AM715" s="83" t="str">
        <f>IF(OR(tblPiNHistorical[[#This Row],[GBV Old]]="", tblPiNHistorical[[#This Row],[GBV Old]]=0, tblPiNHistorical[[#This Row],[GBV New]]="", tblPiNHistorical[[#This Row],[GBV New]]=0), "", tblPiNHistorical[[#This Row],[GBV New]]-tblPiNHistorical[[#This Row],[GBV Old]])</f>
        <v/>
      </c>
      <c r="AN715" s="83" t="str">
        <f>IF(OR(tblPiNHistorical[[#This Row],[Mine Action Old]]="", tblPiNHistorical[[#This Row],[Mine Action Old]]=0, tblPiNHistorical[[#This Row],[Mine Action New]]="", tblPiNHistorical[[#This Row],[Mine Action New]]=0), "", tblPiNHistorical[[#This Row],[Mine Action New]]-tblPiNHistorical[[#This Row],[Mine Action Old]])</f>
        <v/>
      </c>
      <c r="AO715" s="136" t="str">
        <f>IF(OR(tblPiNHistorical[[#This Row],[Shelter NFI Old]]="", tblPiNHistorical[[#This Row],[Shelter NFI Old]]=0, tblPiNHistorical[[#This Row],[Shelter NFI New]]="", tblPiNHistorical[[#This Row],[Shelter NFI New]]=0), "", tblPiNHistorical[[#This Row],[Shelter NFI New]]-tblPiNHistorical[[#This Row],[Shelter NFI Old]])</f>
        <v/>
      </c>
      <c r="AP715" s="138" t="str">
        <f>IF(OR(tblPiNHistorical[[#This Row],[WASH Old]]="", tblPiNHistorical[[#This Row],[WASH Old]]=0, tblPiNHistorical[[#This Row],[WASH New]]="", tblPiNHistorical[[#This Row],[WASH New]]=0), "", tblPiNHistorical[[#This Row],[WASH New]]-tblPiNHistorical[[#This Row],[WASH Old]])</f>
        <v/>
      </c>
      <c r="AQ715" s="139" t="str">
        <f>IFERROR(ROUND((tblPiNHistorical[[#This Row],[Site Management - New]] - tblPiNHistorical[[#This Row],[Site Management - Old]])/tblPiNHistorical[[#This Row],[Site Management - Old]], 1), "")</f>
        <v/>
      </c>
      <c r="AR715" s="140" t="str">
        <f>IFERROR(ROUND((tblPiNHistorical[[#This Row],[Education New]]-tblPiNHistorical[[#This Row],[Education Old]])/tblPiNHistorical[[#This Row],[Education Old]], 1), "")</f>
        <v/>
      </c>
      <c r="AS715" s="141" t="str">
        <f>IFERROR(ROUND((tblPiNHistorical[[#This Row],[Food Security and Livlihoods New]]-tblPiNHistorical[[#This Row],[Food Security and Livlihoods Old]])/tblPiNHistorical[[#This Row],[Food Security and Livlihoods Old]], 1), "")</f>
        <v/>
      </c>
      <c r="AT715" s="142" t="str">
        <f>IFERROR(ROUND((tblPiNHistorical[[#This Row],[Health New]]-tblPiNHistorical[[#This Row],[Health Old]])/tblPiNHistorical[[#This Row],[Health Old]], 1), "")</f>
        <v/>
      </c>
      <c r="AU715" s="140" t="str">
        <f>IFERROR(ROUND((tblPiNHistorical[[#This Row],[Nutrition New]]-tblPiNHistorical[[#This Row],[Nutrition Old]])/tblPiNHistorical[[#This Row],[Nutrition Old]], 1), "")</f>
        <v/>
      </c>
      <c r="AV715" s="140" t="str">
        <f>IFERROR(ROUND((tblPiNHistorical[[#This Row],[Protection New]]-tblPiNHistorical[[#This Row],[Protection Old]])/tblPiNHistorical[[#This Row],[Protection Old]], 1), "")</f>
        <v/>
      </c>
      <c r="AW715" s="84" t="str">
        <f>IFERROR(ROUND((tblPiNHistorical[[#This Row],[CP New]]-tblPiNHistorical[[#This Row],[CP Old ]])/tblPiNHistorical[[#This Row],[CP Old ]], 1), "")</f>
        <v/>
      </c>
      <c r="AX715" s="84" t="str">
        <f>IFERROR(ROUND((tblPiNHistorical[[#This Row],[GBV New]]-tblPiNHistorical[[#This Row],[GBV Old]])/tblPiNHistorical[[#This Row],[GBV Old]], 1), "")</f>
        <v/>
      </c>
      <c r="AY715" s="84" t="str">
        <f>IFERROR(ROUND((tblPiNHistorical[[#This Row],[Mine Action New]]-tblPiNHistorical[[#This Row],[Mine Action Old]])/tblPiNHistorical[[#This Row],[Mine Action Old]], 1), "")</f>
        <v/>
      </c>
      <c r="AZ715" s="140" t="str">
        <f>IFERROR(ROUND((tblPiNHistorical[[#This Row],[Shelter NFI New]]-tblPiNHistorical[[#This Row],[Shelter NFI Old]])/tblPiNHistorical[[#This Row],[Shelter NFI Old]], 1), "")</f>
        <v/>
      </c>
      <c r="BA715" s="31" t="str">
        <f>IFERROR(ROUND((tblPiNHistorical[[#This Row],[WASH New]]-tblPiNHistorical[[#This Row],[WASH Old]])/tblPiNHistorical[[#This Row],[WASH Old]], 1), "")</f>
        <v/>
      </c>
    </row>
    <row r="716" spans="1:53" ht="38.25" x14ac:dyDescent="0.25">
      <c r="A716"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Non-displaced PopulationSD07090</v>
      </c>
      <c r="B716" s="134" t="s">
        <v>188</v>
      </c>
      <c r="C716" s="124" t="s">
        <v>124</v>
      </c>
      <c r="D716" s="124" t="s">
        <v>340</v>
      </c>
      <c r="E716" s="59" t="s">
        <v>341</v>
      </c>
      <c r="F716" s="54"/>
      <c r="G716" s="29"/>
      <c r="H716" s="53">
        <v>61790</v>
      </c>
      <c r="I716" s="53" t="s">
        <v>89</v>
      </c>
      <c r="J716" s="34">
        <v>0</v>
      </c>
      <c r="K716" s="116">
        <v>23955.983</v>
      </c>
      <c r="L716" s="114">
        <v>40163.5</v>
      </c>
      <c r="M716" s="114">
        <v>0</v>
      </c>
      <c r="N716" s="114">
        <v>4813</v>
      </c>
      <c r="O716" s="114">
        <v>6796.9000000000005</v>
      </c>
      <c r="P716" s="114">
        <v>6797</v>
      </c>
      <c r="Q716" s="114">
        <v>4892</v>
      </c>
      <c r="R716" s="114">
        <v>0</v>
      </c>
      <c r="S716" s="114">
        <v>0</v>
      </c>
      <c r="T716" s="196">
        <v>54022.997000000003</v>
      </c>
      <c r="U716" s="52" t="str">
        <f>IFERROR(INDEX(tblPiNAnalysis[[Site Management ]], MATCH(tblPiNHistorical[[#This Row],[ID]], tblPiNAnalysis[ID], 0)), "")</f>
        <v/>
      </c>
      <c r="V716" s="52" t="str">
        <f>IFERROR(INDEX(tblPiNAnalysis[Education], MATCH(tblPiNHistorical[[#This Row],[ID]], tblPiNAnalysis[ID], 0)), "")</f>
        <v/>
      </c>
      <c r="W716" s="28" t="str">
        <f>IFERROR(INDEX(tblPiNAnalysis[Food Security and Livlihoods], MATCH(tblPiNHistorical[[#This Row],[ID]], tblPiNAnalysis[ID], 0)), "")</f>
        <v/>
      </c>
      <c r="X716" s="28" t="str">
        <f>IFERROR(INDEX(tblPiNAnalysis[[Health ]], MATCH(tblPiNHistorical[[#This Row],[ID]], tblPiNAnalysis[ID], 0)), "")</f>
        <v/>
      </c>
      <c r="Y716" s="28" t="str">
        <f>IFERROR(INDEX(tblPiNAnalysis[Nutrition], MATCH(tblPiNHistorical[[#This Row],[ID]], tblPiNAnalysis[ID], 0)), "")</f>
        <v/>
      </c>
      <c r="Z716" s="28" t="str">
        <f>IFERROR(INDEX(tblPiNAnalysis[Protection], MATCH(tblPiNHistorical[[#This Row],[ID]], tblPiNAnalysis[ID], 0)), "")</f>
        <v/>
      </c>
      <c r="AA716" s="28" t="str">
        <f>IFERROR(INDEX(tblPiNAnalysis[CP], MATCH(tblPiNHistorical[[#This Row],[ID]], tblPiNAnalysis[ID], 0)), "")</f>
        <v/>
      </c>
      <c r="AB716" s="83" t="str">
        <f>IFERROR(INDEX(tblPiNAnalysis[GBV], MATCH(tblPiNHistorical[[#This Row],[ID]], tblPiNAnalysis[ID], 0)), "")</f>
        <v/>
      </c>
      <c r="AC716" s="28" t="str">
        <f>IFERROR(INDEX(tblPiNAnalysis[Mine Action], MATCH(tblPiNHistorical[[#This Row],[ID]], tblPiNAnalysis[ID], 0)), "")</f>
        <v/>
      </c>
      <c r="AD716" s="83" t="str">
        <f>IFERROR(INDEX(tblPiNAnalysis[[Shelter NFI ]], MATCH(tblPiNHistorical[[#This Row],[ID]], tblPiNAnalysis[ID], 0)), "")</f>
        <v/>
      </c>
      <c r="AE716" s="28" t="str">
        <f>IFERROR(INDEX(tblPiNAnalysis[WASH], MATCH(tblPiNHistorical[[#This Row],[ID]], tblPiNAnalysis[ID], 0)), "")</f>
        <v/>
      </c>
      <c r="AF716"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716" s="136" t="str">
        <f>IF(OR(tblPiNHistorical[[#This Row],[Education Old]]="", tblPiNHistorical[[#This Row],[Education Old]]=0, tblPiNHistorical[[#This Row],[Education New]]="", tblPiNHistorical[[#This Row],[Education New]]=0), "", tblPiNHistorical[[#This Row],[Education New]]-tblPiNHistorical[[#This Row],[Education Old]])</f>
        <v/>
      </c>
      <c r="AH716"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716" s="137" t="str">
        <f>IF(OR(tblPiNHistorical[[#This Row],[Health Old]]="", tblPiNHistorical[[#This Row],[Health Old]]=0, tblPiNHistorical[[#This Row],[Health New]]="", tblPiNHistorical[[#This Row],[Health New]]=0), "", tblPiNHistorical[[#This Row],[Health New]]-tblPiNHistorical[[#This Row],[Health Old]])</f>
        <v/>
      </c>
      <c r="AJ716" s="136" t="str">
        <f>IF(OR(tblPiNHistorical[[#This Row],[Nutrition Old]]="", tblPiNHistorical[[#This Row],[Nutrition Old]]=0, tblPiNHistorical[[#This Row],[Nutrition New]]="", tblPiNHistorical[[#This Row],[Nutrition New]]=0), "", tblPiNHistorical[[#This Row],[Nutrition New]]-tblPiNHistorical[[#This Row],[Nutrition Old]])</f>
        <v/>
      </c>
      <c r="AK716" s="136" t="str">
        <f>IF(OR(tblPiNHistorical[[#This Row],[Protection Old]]="", tblPiNHistorical[[#This Row],[Protection Old]]=0, tblPiNHistorical[[#This Row],[Protection New]]="", tblPiNHistorical[[#This Row],[Protection New]]=0), "", tblPiNHistorical[[#This Row],[Protection New]]-tblPiNHistorical[[#This Row],[Protection Old]])</f>
        <v/>
      </c>
      <c r="AL716" s="136" t="str">
        <f>IF(OR(tblPiNHistorical[[#This Row],[CP Old ]]="", tblPiNHistorical[[#This Row],[CP Old ]]=0, tblPiNHistorical[[#This Row],[CP New]]="", tblPiNHistorical[[#This Row],[CP New]]=0), "", tblPiNHistorical[[#This Row],[CP New]]-tblPiNHistorical[[#This Row],[CP Old ]])</f>
        <v/>
      </c>
      <c r="AM716" s="83" t="str">
        <f>IF(OR(tblPiNHistorical[[#This Row],[GBV Old]]="", tblPiNHistorical[[#This Row],[GBV Old]]=0, tblPiNHistorical[[#This Row],[GBV New]]="", tblPiNHistorical[[#This Row],[GBV New]]=0), "", tblPiNHistorical[[#This Row],[GBV New]]-tblPiNHistorical[[#This Row],[GBV Old]])</f>
        <v/>
      </c>
      <c r="AN716" s="83" t="str">
        <f>IF(OR(tblPiNHistorical[[#This Row],[Mine Action Old]]="", tblPiNHistorical[[#This Row],[Mine Action Old]]=0, tblPiNHistorical[[#This Row],[Mine Action New]]="", tblPiNHistorical[[#This Row],[Mine Action New]]=0), "", tblPiNHistorical[[#This Row],[Mine Action New]]-tblPiNHistorical[[#This Row],[Mine Action Old]])</f>
        <v/>
      </c>
      <c r="AO716" s="136" t="str">
        <f>IF(OR(tblPiNHistorical[[#This Row],[Shelter NFI Old]]="", tblPiNHistorical[[#This Row],[Shelter NFI Old]]=0, tblPiNHistorical[[#This Row],[Shelter NFI New]]="", tblPiNHistorical[[#This Row],[Shelter NFI New]]=0), "", tblPiNHistorical[[#This Row],[Shelter NFI New]]-tblPiNHistorical[[#This Row],[Shelter NFI Old]])</f>
        <v/>
      </c>
      <c r="AP716" s="138" t="str">
        <f>IF(OR(tblPiNHistorical[[#This Row],[WASH Old]]="", tblPiNHistorical[[#This Row],[WASH Old]]=0, tblPiNHistorical[[#This Row],[WASH New]]="", tblPiNHistorical[[#This Row],[WASH New]]=0), "", tblPiNHistorical[[#This Row],[WASH New]]-tblPiNHistorical[[#This Row],[WASH Old]])</f>
        <v/>
      </c>
      <c r="AQ716" s="139" t="str">
        <f>IFERROR(ROUND((tblPiNHistorical[[#This Row],[Site Management - New]] - tblPiNHistorical[[#This Row],[Site Management - Old]])/tblPiNHistorical[[#This Row],[Site Management - Old]], 1), "")</f>
        <v/>
      </c>
      <c r="AR716" s="140" t="str">
        <f>IFERROR(ROUND((tblPiNHistorical[[#This Row],[Education New]]-tblPiNHistorical[[#This Row],[Education Old]])/tblPiNHistorical[[#This Row],[Education Old]], 1), "")</f>
        <v/>
      </c>
      <c r="AS716" s="141" t="str">
        <f>IFERROR(ROUND((tblPiNHistorical[[#This Row],[Food Security and Livlihoods New]]-tblPiNHistorical[[#This Row],[Food Security and Livlihoods Old]])/tblPiNHistorical[[#This Row],[Food Security and Livlihoods Old]], 1), "")</f>
        <v/>
      </c>
      <c r="AT716" s="142" t="str">
        <f>IFERROR(ROUND((tblPiNHistorical[[#This Row],[Health New]]-tblPiNHistorical[[#This Row],[Health Old]])/tblPiNHistorical[[#This Row],[Health Old]], 1), "")</f>
        <v/>
      </c>
      <c r="AU716" s="140" t="str">
        <f>IFERROR(ROUND((tblPiNHistorical[[#This Row],[Nutrition New]]-tblPiNHistorical[[#This Row],[Nutrition Old]])/tblPiNHistorical[[#This Row],[Nutrition Old]], 1), "")</f>
        <v/>
      </c>
      <c r="AV716" s="140" t="str">
        <f>IFERROR(ROUND((tblPiNHistorical[[#This Row],[Protection New]]-tblPiNHistorical[[#This Row],[Protection Old]])/tblPiNHistorical[[#This Row],[Protection Old]], 1), "")</f>
        <v/>
      </c>
      <c r="AW716" s="84" t="str">
        <f>IFERROR(ROUND((tblPiNHistorical[[#This Row],[CP New]]-tblPiNHistorical[[#This Row],[CP Old ]])/tblPiNHistorical[[#This Row],[CP Old ]], 1), "")</f>
        <v/>
      </c>
      <c r="AX716" s="84" t="str">
        <f>IFERROR(ROUND((tblPiNHistorical[[#This Row],[GBV New]]-tblPiNHistorical[[#This Row],[GBV Old]])/tblPiNHistorical[[#This Row],[GBV Old]], 1), "")</f>
        <v/>
      </c>
      <c r="AY716" s="84" t="str">
        <f>IFERROR(ROUND((tblPiNHistorical[[#This Row],[Mine Action New]]-tblPiNHistorical[[#This Row],[Mine Action Old]])/tblPiNHistorical[[#This Row],[Mine Action Old]], 1), "")</f>
        <v/>
      </c>
      <c r="AZ716" s="140" t="str">
        <f>IFERROR(ROUND((tblPiNHistorical[[#This Row],[Shelter NFI New]]-tblPiNHistorical[[#This Row],[Shelter NFI Old]])/tblPiNHistorical[[#This Row],[Shelter NFI Old]], 1), "")</f>
        <v/>
      </c>
      <c r="BA716" s="31" t="str">
        <f>IFERROR(ROUND((tblPiNHistorical[[#This Row],[WASH New]]-tblPiNHistorical[[#This Row],[WASH Old]])/tblPiNHistorical[[#This Row],[WASH Old]], 1), "")</f>
        <v/>
      </c>
    </row>
    <row r="717" spans="1:53" ht="38.25" x14ac:dyDescent="0.25">
      <c r="A717"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Non-displaced PopulationSD07088</v>
      </c>
      <c r="B717" s="134" t="s">
        <v>188</v>
      </c>
      <c r="C717" s="124" t="s">
        <v>124</v>
      </c>
      <c r="D717" s="124" t="s">
        <v>336</v>
      </c>
      <c r="E717" s="59" t="s">
        <v>337</v>
      </c>
      <c r="F717" s="54"/>
      <c r="G717" s="29"/>
      <c r="H717" s="53">
        <v>40979</v>
      </c>
      <c r="I717" s="53" t="s">
        <v>89</v>
      </c>
      <c r="J717" s="34">
        <v>0</v>
      </c>
      <c r="K717" s="116">
        <v>15887.558299999999</v>
      </c>
      <c r="L717" s="114">
        <v>20489.5</v>
      </c>
      <c r="M717" s="114">
        <v>0</v>
      </c>
      <c r="N717" s="114">
        <v>10717</v>
      </c>
      <c r="O717" s="114">
        <v>6146.8499999999995</v>
      </c>
      <c r="P717" s="114">
        <v>4508</v>
      </c>
      <c r="Q717" s="114">
        <v>3243</v>
      </c>
      <c r="R717" s="114">
        <v>6146.8499999999995</v>
      </c>
      <c r="S717" s="114">
        <v>8196</v>
      </c>
      <c r="T717" s="196">
        <v>38319.462900000006</v>
      </c>
      <c r="U717" s="52" t="str">
        <f>IFERROR(INDEX(tblPiNAnalysis[[Site Management ]], MATCH(tblPiNHistorical[[#This Row],[ID]], tblPiNAnalysis[ID], 0)), "")</f>
        <v/>
      </c>
      <c r="V717" s="52" t="str">
        <f>IFERROR(INDEX(tblPiNAnalysis[Education], MATCH(tblPiNHistorical[[#This Row],[ID]], tblPiNAnalysis[ID], 0)), "")</f>
        <v/>
      </c>
      <c r="W717" s="28" t="str">
        <f>IFERROR(INDEX(tblPiNAnalysis[Food Security and Livlihoods], MATCH(tblPiNHistorical[[#This Row],[ID]], tblPiNAnalysis[ID], 0)), "")</f>
        <v/>
      </c>
      <c r="X717" s="28" t="str">
        <f>IFERROR(INDEX(tblPiNAnalysis[[Health ]], MATCH(tblPiNHistorical[[#This Row],[ID]], tblPiNAnalysis[ID], 0)), "")</f>
        <v/>
      </c>
      <c r="Y717" s="28" t="str">
        <f>IFERROR(INDEX(tblPiNAnalysis[Nutrition], MATCH(tblPiNHistorical[[#This Row],[ID]], tblPiNAnalysis[ID], 0)), "")</f>
        <v/>
      </c>
      <c r="Z717" s="28" t="str">
        <f>IFERROR(INDEX(tblPiNAnalysis[Protection], MATCH(tblPiNHistorical[[#This Row],[ID]], tblPiNAnalysis[ID], 0)), "")</f>
        <v/>
      </c>
      <c r="AA717" s="28" t="str">
        <f>IFERROR(INDEX(tblPiNAnalysis[CP], MATCH(tblPiNHistorical[[#This Row],[ID]], tblPiNAnalysis[ID], 0)), "")</f>
        <v/>
      </c>
      <c r="AB717" s="83" t="str">
        <f>IFERROR(INDEX(tblPiNAnalysis[GBV], MATCH(tblPiNHistorical[[#This Row],[ID]], tblPiNAnalysis[ID], 0)), "")</f>
        <v/>
      </c>
      <c r="AC717" s="28" t="str">
        <f>IFERROR(INDEX(tblPiNAnalysis[Mine Action], MATCH(tblPiNHistorical[[#This Row],[ID]], tblPiNAnalysis[ID], 0)), "")</f>
        <v/>
      </c>
      <c r="AD717" s="83" t="str">
        <f>IFERROR(INDEX(tblPiNAnalysis[[Shelter NFI ]], MATCH(tblPiNHistorical[[#This Row],[ID]], tblPiNAnalysis[ID], 0)), "")</f>
        <v/>
      </c>
      <c r="AE717" s="28" t="str">
        <f>IFERROR(INDEX(tblPiNAnalysis[WASH], MATCH(tblPiNHistorical[[#This Row],[ID]], tblPiNAnalysis[ID], 0)), "")</f>
        <v/>
      </c>
      <c r="AF717"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717" s="136" t="str">
        <f>IF(OR(tblPiNHistorical[[#This Row],[Education Old]]="", tblPiNHistorical[[#This Row],[Education Old]]=0, tblPiNHistorical[[#This Row],[Education New]]="", tblPiNHistorical[[#This Row],[Education New]]=0), "", tblPiNHistorical[[#This Row],[Education New]]-tblPiNHistorical[[#This Row],[Education Old]])</f>
        <v/>
      </c>
      <c r="AH717"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717" s="137" t="str">
        <f>IF(OR(tblPiNHistorical[[#This Row],[Health Old]]="", tblPiNHistorical[[#This Row],[Health Old]]=0, tblPiNHistorical[[#This Row],[Health New]]="", tblPiNHistorical[[#This Row],[Health New]]=0), "", tblPiNHistorical[[#This Row],[Health New]]-tblPiNHistorical[[#This Row],[Health Old]])</f>
        <v/>
      </c>
      <c r="AJ717" s="136" t="str">
        <f>IF(OR(tblPiNHistorical[[#This Row],[Nutrition Old]]="", tblPiNHistorical[[#This Row],[Nutrition Old]]=0, tblPiNHistorical[[#This Row],[Nutrition New]]="", tblPiNHistorical[[#This Row],[Nutrition New]]=0), "", tblPiNHistorical[[#This Row],[Nutrition New]]-tblPiNHistorical[[#This Row],[Nutrition Old]])</f>
        <v/>
      </c>
      <c r="AK717" s="136" t="str">
        <f>IF(OR(tblPiNHistorical[[#This Row],[Protection Old]]="", tblPiNHistorical[[#This Row],[Protection Old]]=0, tblPiNHistorical[[#This Row],[Protection New]]="", tblPiNHistorical[[#This Row],[Protection New]]=0), "", tblPiNHistorical[[#This Row],[Protection New]]-tblPiNHistorical[[#This Row],[Protection Old]])</f>
        <v/>
      </c>
      <c r="AL717" s="136" t="str">
        <f>IF(OR(tblPiNHistorical[[#This Row],[CP Old ]]="", tblPiNHistorical[[#This Row],[CP Old ]]=0, tblPiNHistorical[[#This Row],[CP New]]="", tblPiNHistorical[[#This Row],[CP New]]=0), "", tblPiNHistorical[[#This Row],[CP New]]-tblPiNHistorical[[#This Row],[CP Old ]])</f>
        <v/>
      </c>
      <c r="AM717" s="83" t="str">
        <f>IF(OR(tblPiNHistorical[[#This Row],[GBV Old]]="", tblPiNHistorical[[#This Row],[GBV Old]]=0, tblPiNHistorical[[#This Row],[GBV New]]="", tblPiNHistorical[[#This Row],[GBV New]]=0), "", tblPiNHistorical[[#This Row],[GBV New]]-tblPiNHistorical[[#This Row],[GBV Old]])</f>
        <v/>
      </c>
      <c r="AN717" s="83" t="str">
        <f>IF(OR(tblPiNHistorical[[#This Row],[Mine Action Old]]="", tblPiNHistorical[[#This Row],[Mine Action Old]]=0, tblPiNHistorical[[#This Row],[Mine Action New]]="", tblPiNHistorical[[#This Row],[Mine Action New]]=0), "", tblPiNHistorical[[#This Row],[Mine Action New]]-tblPiNHistorical[[#This Row],[Mine Action Old]])</f>
        <v/>
      </c>
      <c r="AO717" s="136" t="str">
        <f>IF(OR(tblPiNHistorical[[#This Row],[Shelter NFI Old]]="", tblPiNHistorical[[#This Row],[Shelter NFI Old]]=0, tblPiNHistorical[[#This Row],[Shelter NFI New]]="", tblPiNHistorical[[#This Row],[Shelter NFI New]]=0), "", tblPiNHistorical[[#This Row],[Shelter NFI New]]-tblPiNHistorical[[#This Row],[Shelter NFI Old]])</f>
        <v/>
      </c>
      <c r="AP717" s="138" t="str">
        <f>IF(OR(tblPiNHistorical[[#This Row],[WASH Old]]="", tblPiNHistorical[[#This Row],[WASH Old]]=0, tblPiNHistorical[[#This Row],[WASH New]]="", tblPiNHistorical[[#This Row],[WASH New]]=0), "", tblPiNHistorical[[#This Row],[WASH New]]-tblPiNHistorical[[#This Row],[WASH Old]])</f>
        <v/>
      </c>
      <c r="AQ717" s="139" t="str">
        <f>IFERROR(ROUND((tblPiNHistorical[[#This Row],[Site Management - New]] - tblPiNHistorical[[#This Row],[Site Management - Old]])/tblPiNHistorical[[#This Row],[Site Management - Old]], 1), "")</f>
        <v/>
      </c>
      <c r="AR717" s="140" t="str">
        <f>IFERROR(ROUND((tblPiNHistorical[[#This Row],[Education New]]-tblPiNHistorical[[#This Row],[Education Old]])/tblPiNHistorical[[#This Row],[Education Old]], 1), "")</f>
        <v/>
      </c>
      <c r="AS717" s="141" t="str">
        <f>IFERROR(ROUND((tblPiNHistorical[[#This Row],[Food Security and Livlihoods New]]-tblPiNHistorical[[#This Row],[Food Security and Livlihoods Old]])/tblPiNHistorical[[#This Row],[Food Security and Livlihoods Old]], 1), "")</f>
        <v/>
      </c>
      <c r="AT717" s="142" t="str">
        <f>IFERROR(ROUND((tblPiNHistorical[[#This Row],[Health New]]-tblPiNHistorical[[#This Row],[Health Old]])/tblPiNHistorical[[#This Row],[Health Old]], 1), "")</f>
        <v/>
      </c>
      <c r="AU717" s="140" t="str">
        <f>IFERROR(ROUND((tblPiNHistorical[[#This Row],[Nutrition New]]-tblPiNHistorical[[#This Row],[Nutrition Old]])/tblPiNHistorical[[#This Row],[Nutrition Old]], 1), "")</f>
        <v/>
      </c>
      <c r="AV717" s="140" t="str">
        <f>IFERROR(ROUND((tblPiNHistorical[[#This Row],[Protection New]]-tblPiNHistorical[[#This Row],[Protection Old]])/tblPiNHistorical[[#This Row],[Protection Old]], 1), "")</f>
        <v/>
      </c>
      <c r="AW717" s="84" t="str">
        <f>IFERROR(ROUND((tblPiNHistorical[[#This Row],[CP New]]-tblPiNHistorical[[#This Row],[CP Old ]])/tblPiNHistorical[[#This Row],[CP Old ]], 1), "")</f>
        <v/>
      </c>
      <c r="AX717" s="84" t="str">
        <f>IFERROR(ROUND((tblPiNHistorical[[#This Row],[GBV New]]-tblPiNHistorical[[#This Row],[GBV Old]])/tblPiNHistorical[[#This Row],[GBV Old]], 1), "")</f>
        <v/>
      </c>
      <c r="AY717" s="84" t="str">
        <f>IFERROR(ROUND((tblPiNHistorical[[#This Row],[Mine Action New]]-tblPiNHistorical[[#This Row],[Mine Action Old]])/tblPiNHistorical[[#This Row],[Mine Action Old]], 1), "")</f>
        <v/>
      </c>
      <c r="AZ717" s="140" t="str">
        <f>IFERROR(ROUND((tblPiNHistorical[[#This Row],[Shelter NFI New]]-tblPiNHistorical[[#This Row],[Shelter NFI Old]])/tblPiNHistorical[[#This Row],[Shelter NFI Old]], 1), "")</f>
        <v/>
      </c>
      <c r="BA717" s="31" t="str">
        <f>IFERROR(ROUND((tblPiNHistorical[[#This Row],[WASH New]]-tblPiNHistorical[[#This Row],[WASH Old]])/tblPiNHistorical[[#This Row],[WASH Old]], 1), "")</f>
        <v/>
      </c>
    </row>
    <row r="718" spans="1:53" ht="38.25" x14ac:dyDescent="0.25">
      <c r="A718"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Non-displaced PopulationSD07104</v>
      </c>
      <c r="B718" s="134" t="s">
        <v>188</v>
      </c>
      <c r="C718" s="124" t="s">
        <v>124</v>
      </c>
      <c r="D718" s="124" t="s">
        <v>360</v>
      </c>
      <c r="E718" s="59" t="s">
        <v>361</v>
      </c>
      <c r="F718" s="54"/>
      <c r="G718" s="29"/>
      <c r="H718" s="53">
        <v>35416</v>
      </c>
      <c r="I718" s="53" t="s">
        <v>89</v>
      </c>
      <c r="J718" s="34">
        <v>0</v>
      </c>
      <c r="K718" s="116">
        <v>13730.7832</v>
      </c>
      <c r="L718" s="114">
        <v>17708</v>
      </c>
      <c r="M718" s="114">
        <v>3200</v>
      </c>
      <c r="N718" s="114">
        <v>4042</v>
      </c>
      <c r="O718" s="114">
        <v>14166.400000000001</v>
      </c>
      <c r="P718" s="114">
        <v>3896</v>
      </c>
      <c r="Q718" s="114">
        <v>2804</v>
      </c>
      <c r="R718" s="114">
        <v>14166.400000000001</v>
      </c>
      <c r="S718" s="114">
        <v>7083</v>
      </c>
      <c r="T718" s="196">
        <v>30503.800799999997</v>
      </c>
      <c r="U718" s="52" t="str">
        <f>IFERROR(INDEX(tblPiNAnalysis[[Site Management ]], MATCH(tblPiNHistorical[[#This Row],[ID]], tblPiNAnalysis[ID], 0)), "")</f>
        <v/>
      </c>
      <c r="V718" s="52" t="str">
        <f>IFERROR(INDEX(tblPiNAnalysis[Education], MATCH(tblPiNHistorical[[#This Row],[ID]], tblPiNAnalysis[ID], 0)), "")</f>
        <v/>
      </c>
      <c r="W718" s="28" t="str">
        <f>IFERROR(INDEX(tblPiNAnalysis[Food Security and Livlihoods], MATCH(tblPiNHistorical[[#This Row],[ID]], tblPiNAnalysis[ID], 0)), "")</f>
        <v/>
      </c>
      <c r="X718" s="28" t="str">
        <f>IFERROR(INDEX(tblPiNAnalysis[[Health ]], MATCH(tblPiNHistorical[[#This Row],[ID]], tblPiNAnalysis[ID], 0)), "")</f>
        <v/>
      </c>
      <c r="Y718" s="28" t="str">
        <f>IFERROR(INDEX(tblPiNAnalysis[Nutrition], MATCH(tblPiNHistorical[[#This Row],[ID]], tblPiNAnalysis[ID], 0)), "")</f>
        <v/>
      </c>
      <c r="Z718" s="28" t="str">
        <f>IFERROR(INDEX(tblPiNAnalysis[Protection], MATCH(tblPiNHistorical[[#This Row],[ID]], tblPiNAnalysis[ID], 0)), "")</f>
        <v/>
      </c>
      <c r="AA718" s="28" t="str">
        <f>IFERROR(INDEX(tblPiNAnalysis[CP], MATCH(tblPiNHistorical[[#This Row],[ID]], tblPiNAnalysis[ID], 0)), "")</f>
        <v/>
      </c>
      <c r="AB718" s="83" t="str">
        <f>IFERROR(INDEX(tblPiNAnalysis[GBV], MATCH(tblPiNHistorical[[#This Row],[ID]], tblPiNAnalysis[ID], 0)), "")</f>
        <v/>
      </c>
      <c r="AC718" s="28" t="str">
        <f>IFERROR(INDEX(tblPiNAnalysis[Mine Action], MATCH(tblPiNHistorical[[#This Row],[ID]], tblPiNAnalysis[ID], 0)), "")</f>
        <v/>
      </c>
      <c r="AD718" s="83" t="str">
        <f>IFERROR(INDEX(tblPiNAnalysis[[Shelter NFI ]], MATCH(tblPiNHistorical[[#This Row],[ID]], tblPiNAnalysis[ID], 0)), "")</f>
        <v/>
      </c>
      <c r="AE718" s="28" t="str">
        <f>IFERROR(INDEX(tblPiNAnalysis[WASH], MATCH(tblPiNHistorical[[#This Row],[ID]], tblPiNAnalysis[ID], 0)), "")</f>
        <v/>
      </c>
      <c r="AF718"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718" s="136" t="str">
        <f>IF(OR(tblPiNHistorical[[#This Row],[Education Old]]="", tblPiNHistorical[[#This Row],[Education Old]]=0, tblPiNHistorical[[#This Row],[Education New]]="", tblPiNHistorical[[#This Row],[Education New]]=0), "", tblPiNHistorical[[#This Row],[Education New]]-tblPiNHistorical[[#This Row],[Education Old]])</f>
        <v/>
      </c>
      <c r="AH718"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718" s="137" t="str">
        <f>IF(OR(tblPiNHistorical[[#This Row],[Health Old]]="", tblPiNHistorical[[#This Row],[Health Old]]=0, tblPiNHistorical[[#This Row],[Health New]]="", tblPiNHistorical[[#This Row],[Health New]]=0), "", tblPiNHistorical[[#This Row],[Health New]]-tblPiNHistorical[[#This Row],[Health Old]])</f>
        <v/>
      </c>
      <c r="AJ718" s="136" t="str">
        <f>IF(OR(tblPiNHistorical[[#This Row],[Nutrition Old]]="", tblPiNHistorical[[#This Row],[Nutrition Old]]=0, tblPiNHistorical[[#This Row],[Nutrition New]]="", tblPiNHistorical[[#This Row],[Nutrition New]]=0), "", tblPiNHistorical[[#This Row],[Nutrition New]]-tblPiNHistorical[[#This Row],[Nutrition Old]])</f>
        <v/>
      </c>
      <c r="AK718" s="136" t="str">
        <f>IF(OR(tblPiNHistorical[[#This Row],[Protection Old]]="", tblPiNHistorical[[#This Row],[Protection Old]]=0, tblPiNHistorical[[#This Row],[Protection New]]="", tblPiNHistorical[[#This Row],[Protection New]]=0), "", tblPiNHistorical[[#This Row],[Protection New]]-tblPiNHistorical[[#This Row],[Protection Old]])</f>
        <v/>
      </c>
      <c r="AL718" s="136" t="str">
        <f>IF(OR(tblPiNHistorical[[#This Row],[CP Old ]]="", tblPiNHistorical[[#This Row],[CP Old ]]=0, tblPiNHistorical[[#This Row],[CP New]]="", tblPiNHistorical[[#This Row],[CP New]]=0), "", tblPiNHistorical[[#This Row],[CP New]]-tblPiNHistorical[[#This Row],[CP Old ]])</f>
        <v/>
      </c>
      <c r="AM718" s="83" t="str">
        <f>IF(OR(tblPiNHistorical[[#This Row],[GBV Old]]="", tblPiNHistorical[[#This Row],[GBV Old]]=0, tblPiNHistorical[[#This Row],[GBV New]]="", tblPiNHistorical[[#This Row],[GBV New]]=0), "", tblPiNHistorical[[#This Row],[GBV New]]-tblPiNHistorical[[#This Row],[GBV Old]])</f>
        <v/>
      </c>
      <c r="AN718" s="83" t="str">
        <f>IF(OR(tblPiNHistorical[[#This Row],[Mine Action Old]]="", tblPiNHistorical[[#This Row],[Mine Action Old]]=0, tblPiNHistorical[[#This Row],[Mine Action New]]="", tblPiNHistorical[[#This Row],[Mine Action New]]=0), "", tblPiNHistorical[[#This Row],[Mine Action New]]-tblPiNHistorical[[#This Row],[Mine Action Old]])</f>
        <v/>
      </c>
      <c r="AO718" s="136" t="str">
        <f>IF(OR(tblPiNHistorical[[#This Row],[Shelter NFI Old]]="", tblPiNHistorical[[#This Row],[Shelter NFI Old]]=0, tblPiNHistorical[[#This Row],[Shelter NFI New]]="", tblPiNHistorical[[#This Row],[Shelter NFI New]]=0), "", tblPiNHistorical[[#This Row],[Shelter NFI New]]-tblPiNHistorical[[#This Row],[Shelter NFI Old]])</f>
        <v/>
      </c>
      <c r="AP718" s="138" t="str">
        <f>IF(OR(tblPiNHistorical[[#This Row],[WASH Old]]="", tblPiNHistorical[[#This Row],[WASH Old]]=0, tblPiNHistorical[[#This Row],[WASH New]]="", tblPiNHistorical[[#This Row],[WASH New]]=0), "", tblPiNHistorical[[#This Row],[WASH New]]-tblPiNHistorical[[#This Row],[WASH Old]])</f>
        <v/>
      </c>
      <c r="AQ718" s="139" t="str">
        <f>IFERROR(ROUND((tblPiNHistorical[[#This Row],[Site Management - New]] - tblPiNHistorical[[#This Row],[Site Management - Old]])/tblPiNHistorical[[#This Row],[Site Management - Old]], 1), "")</f>
        <v/>
      </c>
      <c r="AR718" s="140" t="str">
        <f>IFERROR(ROUND((tblPiNHistorical[[#This Row],[Education New]]-tblPiNHistorical[[#This Row],[Education Old]])/tblPiNHistorical[[#This Row],[Education Old]], 1), "")</f>
        <v/>
      </c>
      <c r="AS718" s="141" t="str">
        <f>IFERROR(ROUND((tblPiNHistorical[[#This Row],[Food Security and Livlihoods New]]-tblPiNHistorical[[#This Row],[Food Security and Livlihoods Old]])/tblPiNHistorical[[#This Row],[Food Security and Livlihoods Old]], 1), "")</f>
        <v/>
      </c>
      <c r="AT718" s="142" t="str">
        <f>IFERROR(ROUND((tblPiNHistorical[[#This Row],[Health New]]-tblPiNHistorical[[#This Row],[Health Old]])/tblPiNHistorical[[#This Row],[Health Old]], 1), "")</f>
        <v/>
      </c>
      <c r="AU718" s="140" t="str">
        <f>IFERROR(ROUND((tblPiNHistorical[[#This Row],[Nutrition New]]-tblPiNHistorical[[#This Row],[Nutrition Old]])/tblPiNHistorical[[#This Row],[Nutrition Old]], 1), "")</f>
        <v/>
      </c>
      <c r="AV718" s="140" t="str">
        <f>IFERROR(ROUND((tblPiNHistorical[[#This Row],[Protection New]]-tblPiNHistorical[[#This Row],[Protection Old]])/tblPiNHistorical[[#This Row],[Protection Old]], 1), "")</f>
        <v/>
      </c>
      <c r="AW718" s="84" t="str">
        <f>IFERROR(ROUND((tblPiNHistorical[[#This Row],[CP New]]-tblPiNHistorical[[#This Row],[CP Old ]])/tblPiNHistorical[[#This Row],[CP Old ]], 1), "")</f>
        <v/>
      </c>
      <c r="AX718" s="84" t="str">
        <f>IFERROR(ROUND((tblPiNHistorical[[#This Row],[GBV New]]-tblPiNHistorical[[#This Row],[GBV Old]])/tblPiNHistorical[[#This Row],[GBV Old]], 1), "")</f>
        <v/>
      </c>
      <c r="AY718" s="84" t="str">
        <f>IFERROR(ROUND((tblPiNHistorical[[#This Row],[Mine Action New]]-tblPiNHistorical[[#This Row],[Mine Action Old]])/tblPiNHistorical[[#This Row],[Mine Action Old]], 1), "")</f>
        <v/>
      </c>
      <c r="AZ718" s="140" t="str">
        <f>IFERROR(ROUND((tblPiNHistorical[[#This Row],[Shelter NFI New]]-tblPiNHistorical[[#This Row],[Shelter NFI Old]])/tblPiNHistorical[[#This Row],[Shelter NFI Old]], 1), "")</f>
        <v/>
      </c>
      <c r="BA718" s="31" t="str">
        <f>IFERROR(ROUND((tblPiNHistorical[[#This Row],[WASH New]]-tblPiNHistorical[[#This Row],[WASH Old]])/tblPiNHistorical[[#This Row],[WASH Old]], 1), "")</f>
        <v/>
      </c>
    </row>
    <row r="719" spans="1:53" ht="38.25" x14ac:dyDescent="0.25">
      <c r="A719"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Non-displaced PopulationSD07099</v>
      </c>
      <c r="B719" s="134" t="s">
        <v>188</v>
      </c>
      <c r="C719" s="124" t="s">
        <v>124</v>
      </c>
      <c r="D719" s="124" t="s">
        <v>356</v>
      </c>
      <c r="E719" s="59" t="s">
        <v>357</v>
      </c>
      <c r="F719" s="54"/>
      <c r="G719" s="29"/>
      <c r="H719" s="53">
        <v>114776</v>
      </c>
      <c r="I719" s="53" t="s">
        <v>89</v>
      </c>
      <c r="J719" s="34">
        <v>0</v>
      </c>
      <c r="K719" s="116">
        <v>44498.655200000001</v>
      </c>
      <c r="L719" s="114">
        <v>74604.399999999994</v>
      </c>
      <c r="M719" s="114">
        <v>0</v>
      </c>
      <c r="N719" s="114">
        <v>12226</v>
      </c>
      <c r="O719" s="114">
        <v>45910.400000000001</v>
      </c>
      <c r="P719" s="114">
        <v>12625</v>
      </c>
      <c r="Q719" s="114">
        <v>9086</v>
      </c>
      <c r="R719" s="114">
        <v>45910.400000000001</v>
      </c>
      <c r="S719" s="114">
        <v>22955</v>
      </c>
      <c r="T719" s="196">
        <v>95860.915199999989</v>
      </c>
      <c r="U719" s="52" t="str">
        <f>IFERROR(INDEX(tblPiNAnalysis[[Site Management ]], MATCH(tblPiNHistorical[[#This Row],[ID]], tblPiNAnalysis[ID], 0)), "")</f>
        <v/>
      </c>
      <c r="V719" s="52" t="str">
        <f>IFERROR(INDEX(tblPiNAnalysis[Education], MATCH(tblPiNHistorical[[#This Row],[ID]], tblPiNAnalysis[ID], 0)), "")</f>
        <v/>
      </c>
      <c r="W719" s="28" t="str">
        <f>IFERROR(INDEX(tblPiNAnalysis[Food Security and Livlihoods], MATCH(tblPiNHistorical[[#This Row],[ID]], tblPiNAnalysis[ID], 0)), "")</f>
        <v/>
      </c>
      <c r="X719" s="28" t="str">
        <f>IFERROR(INDEX(tblPiNAnalysis[[Health ]], MATCH(tblPiNHistorical[[#This Row],[ID]], tblPiNAnalysis[ID], 0)), "")</f>
        <v/>
      </c>
      <c r="Y719" s="28" t="str">
        <f>IFERROR(INDEX(tblPiNAnalysis[Nutrition], MATCH(tblPiNHistorical[[#This Row],[ID]], tblPiNAnalysis[ID], 0)), "")</f>
        <v/>
      </c>
      <c r="Z719" s="28" t="str">
        <f>IFERROR(INDEX(tblPiNAnalysis[Protection], MATCH(tblPiNHistorical[[#This Row],[ID]], tblPiNAnalysis[ID], 0)), "")</f>
        <v/>
      </c>
      <c r="AA719" s="28" t="str">
        <f>IFERROR(INDEX(tblPiNAnalysis[CP], MATCH(tblPiNHistorical[[#This Row],[ID]], tblPiNAnalysis[ID], 0)), "")</f>
        <v/>
      </c>
      <c r="AB719" s="83" t="str">
        <f>IFERROR(INDEX(tblPiNAnalysis[GBV], MATCH(tblPiNHistorical[[#This Row],[ID]], tblPiNAnalysis[ID], 0)), "")</f>
        <v/>
      </c>
      <c r="AC719" s="28" t="str">
        <f>IFERROR(INDEX(tblPiNAnalysis[Mine Action], MATCH(tblPiNHistorical[[#This Row],[ID]], tblPiNAnalysis[ID], 0)), "")</f>
        <v/>
      </c>
      <c r="AD719" s="83" t="str">
        <f>IFERROR(INDEX(tblPiNAnalysis[[Shelter NFI ]], MATCH(tblPiNHistorical[[#This Row],[ID]], tblPiNAnalysis[ID], 0)), "")</f>
        <v/>
      </c>
      <c r="AE719" s="28" t="str">
        <f>IFERROR(INDEX(tblPiNAnalysis[WASH], MATCH(tblPiNHistorical[[#This Row],[ID]], tblPiNAnalysis[ID], 0)), "")</f>
        <v/>
      </c>
      <c r="AF719"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719" s="136" t="str">
        <f>IF(OR(tblPiNHistorical[[#This Row],[Education Old]]="", tblPiNHistorical[[#This Row],[Education Old]]=0, tblPiNHistorical[[#This Row],[Education New]]="", tblPiNHistorical[[#This Row],[Education New]]=0), "", tblPiNHistorical[[#This Row],[Education New]]-tblPiNHistorical[[#This Row],[Education Old]])</f>
        <v/>
      </c>
      <c r="AH719"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719" s="137" t="str">
        <f>IF(OR(tblPiNHistorical[[#This Row],[Health Old]]="", tblPiNHistorical[[#This Row],[Health Old]]=0, tblPiNHistorical[[#This Row],[Health New]]="", tblPiNHistorical[[#This Row],[Health New]]=0), "", tblPiNHistorical[[#This Row],[Health New]]-tblPiNHistorical[[#This Row],[Health Old]])</f>
        <v/>
      </c>
      <c r="AJ719" s="136" t="str">
        <f>IF(OR(tblPiNHistorical[[#This Row],[Nutrition Old]]="", tblPiNHistorical[[#This Row],[Nutrition Old]]=0, tblPiNHistorical[[#This Row],[Nutrition New]]="", tblPiNHistorical[[#This Row],[Nutrition New]]=0), "", tblPiNHistorical[[#This Row],[Nutrition New]]-tblPiNHistorical[[#This Row],[Nutrition Old]])</f>
        <v/>
      </c>
      <c r="AK719" s="136" t="str">
        <f>IF(OR(tblPiNHistorical[[#This Row],[Protection Old]]="", tblPiNHistorical[[#This Row],[Protection Old]]=0, tblPiNHistorical[[#This Row],[Protection New]]="", tblPiNHistorical[[#This Row],[Protection New]]=0), "", tblPiNHistorical[[#This Row],[Protection New]]-tblPiNHistorical[[#This Row],[Protection Old]])</f>
        <v/>
      </c>
      <c r="AL719" s="136" t="str">
        <f>IF(OR(tblPiNHistorical[[#This Row],[CP Old ]]="", tblPiNHistorical[[#This Row],[CP Old ]]=0, tblPiNHistorical[[#This Row],[CP New]]="", tblPiNHistorical[[#This Row],[CP New]]=0), "", tblPiNHistorical[[#This Row],[CP New]]-tblPiNHistorical[[#This Row],[CP Old ]])</f>
        <v/>
      </c>
      <c r="AM719" s="83" t="str">
        <f>IF(OR(tblPiNHistorical[[#This Row],[GBV Old]]="", tblPiNHistorical[[#This Row],[GBV Old]]=0, tblPiNHistorical[[#This Row],[GBV New]]="", tblPiNHistorical[[#This Row],[GBV New]]=0), "", tblPiNHistorical[[#This Row],[GBV New]]-tblPiNHistorical[[#This Row],[GBV Old]])</f>
        <v/>
      </c>
      <c r="AN719" s="83" t="str">
        <f>IF(OR(tblPiNHistorical[[#This Row],[Mine Action Old]]="", tblPiNHistorical[[#This Row],[Mine Action Old]]=0, tblPiNHistorical[[#This Row],[Mine Action New]]="", tblPiNHistorical[[#This Row],[Mine Action New]]=0), "", tblPiNHistorical[[#This Row],[Mine Action New]]-tblPiNHistorical[[#This Row],[Mine Action Old]])</f>
        <v/>
      </c>
      <c r="AO719" s="136" t="str">
        <f>IF(OR(tblPiNHistorical[[#This Row],[Shelter NFI Old]]="", tblPiNHistorical[[#This Row],[Shelter NFI Old]]=0, tblPiNHistorical[[#This Row],[Shelter NFI New]]="", tblPiNHistorical[[#This Row],[Shelter NFI New]]=0), "", tblPiNHistorical[[#This Row],[Shelter NFI New]]-tblPiNHistorical[[#This Row],[Shelter NFI Old]])</f>
        <v/>
      </c>
      <c r="AP719" s="138" t="str">
        <f>IF(OR(tblPiNHistorical[[#This Row],[WASH Old]]="", tblPiNHistorical[[#This Row],[WASH Old]]=0, tblPiNHistorical[[#This Row],[WASH New]]="", tblPiNHistorical[[#This Row],[WASH New]]=0), "", tblPiNHistorical[[#This Row],[WASH New]]-tblPiNHistorical[[#This Row],[WASH Old]])</f>
        <v/>
      </c>
      <c r="AQ719" s="139" t="str">
        <f>IFERROR(ROUND((tblPiNHistorical[[#This Row],[Site Management - New]] - tblPiNHistorical[[#This Row],[Site Management - Old]])/tblPiNHistorical[[#This Row],[Site Management - Old]], 1), "")</f>
        <v/>
      </c>
      <c r="AR719" s="140" t="str">
        <f>IFERROR(ROUND((tblPiNHistorical[[#This Row],[Education New]]-tblPiNHistorical[[#This Row],[Education Old]])/tblPiNHistorical[[#This Row],[Education Old]], 1), "")</f>
        <v/>
      </c>
      <c r="AS719" s="141" t="str">
        <f>IFERROR(ROUND((tblPiNHistorical[[#This Row],[Food Security and Livlihoods New]]-tblPiNHistorical[[#This Row],[Food Security and Livlihoods Old]])/tblPiNHistorical[[#This Row],[Food Security and Livlihoods Old]], 1), "")</f>
        <v/>
      </c>
      <c r="AT719" s="142" t="str">
        <f>IFERROR(ROUND((tblPiNHistorical[[#This Row],[Health New]]-tblPiNHistorical[[#This Row],[Health Old]])/tblPiNHistorical[[#This Row],[Health Old]], 1), "")</f>
        <v/>
      </c>
      <c r="AU719" s="140" t="str">
        <f>IFERROR(ROUND((tblPiNHistorical[[#This Row],[Nutrition New]]-tblPiNHistorical[[#This Row],[Nutrition Old]])/tblPiNHistorical[[#This Row],[Nutrition Old]], 1), "")</f>
        <v/>
      </c>
      <c r="AV719" s="140" t="str">
        <f>IFERROR(ROUND((tblPiNHistorical[[#This Row],[Protection New]]-tblPiNHistorical[[#This Row],[Protection Old]])/tblPiNHistorical[[#This Row],[Protection Old]], 1), "")</f>
        <v/>
      </c>
      <c r="AW719" s="84" t="str">
        <f>IFERROR(ROUND((tblPiNHistorical[[#This Row],[CP New]]-tblPiNHistorical[[#This Row],[CP Old ]])/tblPiNHistorical[[#This Row],[CP Old ]], 1), "")</f>
        <v/>
      </c>
      <c r="AX719" s="84" t="str">
        <f>IFERROR(ROUND((tblPiNHistorical[[#This Row],[GBV New]]-tblPiNHistorical[[#This Row],[GBV Old]])/tblPiNHistorical[[#This Row],[GBV Old]], 1), "")</f>
        <v/>
      </c>
      <c r="AY719" s="84" t="str">
        <f>IFERROR(ROUND((tblPiNHistorical[[#This Row],[Mine Action New]]-tblPiNHistorical[[#This Row],[Mine Action Old]])/tblPiNHistorical[[#This Row],[Mine Action Old]], 1), "")</f>
        <v/>
      </c>
      <c r="AZ719" s="140" t="str">
        <f>IFERROR(ROUND((tblPiNHistorical[[#This Row],[Shelter NFI New]]-tblPiNHistorical[[#This Row],[Shelter NFI Old]])/tblPiNHistorical[[#This Row],[Shelter NFI Old]], 1), "")</f>
        <v/>
      </c>
      <c r="BA719" s="31" t="str">
        <f>IFERROR(ROUND((tblPiNHistorical[[#This Row],[WASH New]]-tblPiNHistorical[[#This Row],[WASH Old]])/tblPiNHistorical[[#This Row],[WASH Old]], 1), "")</f>
        <v/>
      </c>
    </row>
    <row r="720" spans="1:53" ht="38.25" x14ac:dyDescent="0.25">
      <c r="A720"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Non-displaced PopulationSD07105</v>
      </c>
      <c r="B720" s="134" t="s">
        <v>188</v>
      </c>
      <c r="C720" s="124" t="s">
        <v>124</v>
      </c>
      <c r="D720" s="124" t="s">
        <v>362</v>
      </c>
      <c r="E720" s="59" t="s">
        <v>363</v>
      </c>
      <c r="F720" s="54"/>
      <c r="G720" s="29"/>
      <c r="H720" s="53">
        <v>16647</v>
      </c>
      <c r="I720" s="53" t="s">
        <v>89</v>
      </c>
      <c r="J720" s="34">
        <v>0</v>
      </c>
      <c r="K720" s="116">
        <v>6454.0419000000002</v>
      </c>
      <c r="L720" s="114">
        <v>11304.674877846131</v>
      </c>
      <c r="M720" s="114">
        <v>0</v>
      </c>
      <c r="N720" s="114">
        <v>2349</v>
      </c>
      <c r="O720" s="114">
        <v>1831.17</v>
      </c>
      <c r="P720" s="114">
        <v>1831</v>
      </c>
      <c r="Q720" s="114">
        <v>1317</v>
      </c>
      <c r="R720" s="114">
        <v>0</v>
      </c>
      <c r="S720" s="114">
        <v>3329</v>
      </c>
      <c r="T720" s="196">
        <v>16154.248800000001</v>
      </c>
      <c r="U720" s="52" t="str">
        <f>IFERROR(INDEX(tblPiNAnalysis[[Site Management ]], MATCH(tblPiNHistorical[[#This Row],[ID]], tblPiNAnalysis[ID], 0)), "")</f>
        <v/>
      </c>
      <c r="V720" s="52" t="str">
        <f>IFERROR(INDEX(tblPiNAnalysis[Education], MATCH(tblPiNHistorical[[#This Row],[ID]], tblPiNAnalysis[ID], 0)), "")</f>
        <v/>
      </c>
      <c r="W720" s="28" t="str">
        <f>IFERROR(INDEX(tblPiNAnalysis[Food Security and Livlihoods], MATCH(tblPiNHistorical[[#This Row],[ID]], tblPiNAnalysis[ID], 0)), "")</f>
        <v/>
      </c>
      <c r="X720" s="28" t="str">
        <f>IFERROR(INDEX(tblPiNAnalysis[[Health ]], MATCH(tblPiNHistorical[[#This Row],[ID]], tblPiNAnalysis[ID], 0)), "")</f>
        <v/>
      </c>
      <c r="Y720" s="28" t="str">
        <f>IFERROR(INDEX(tblPiNAnalysis[Nutrition], MATCH(tblPiNHistorical[[#This Row],[ID]], tblPiNAnalysis[ID], 0)), "")</f>
        <v/>
      </c>
      <c r="Z720" s="28" t="str">
        <f>IFERROR(INDEX(tblPiNAnalysis[Protection], MATCH(tblPiNHistorical[[#This Row],[ID]], tblPiNAnalysis[ID], 0)), "")</f>
        <v/>
      </c>
      <c r="AA720" s="28" t="str">
        <f>IFERROR(INDEX(tblPiNAnalysis[CP], MATCH(tblPiNHistorical[[#This Row],[ID]], tblPiNAnalysis[ID], 0)), "")</f>
        <v/>
      </c>
      <c r="AB720" s="83" t="str">
        <f>IFERROR(INDEX(tblPiNAnalysis[GBV], MATCH(tblPiNHistorical[[#This Row],[ID]], tblPiNAnalysis[ID], 0)), "")</f>
        <v/>
      </c>
      <c r="AC720" s="28" t="str">
        <f>IFERROR(INDEX(tblPiNAnalysis[Mine Action], MATCH(tblPiNHistorical[[#This Row],[ID]], tblPiNAnalysis[ID], 0)), "")</f>
        <v/>
      </c>
      <c r="AD720" s="83" t="str">
        <f>IFERROR(INDEX(tblPiNAnalysis[[Shelter NFI ]], MATCH(tblPiNHistorical[[#This Row],[ID]], tblPiNAnalysis[ID], 0)), "")</f>
        <v/>
      </c>
      <c r="AE720" s="28" t="str">
        <f>IFERROR(INDEX(tblPiNAnalysis[WASH], MATCH(tblPiNHistorical[[#This Row],[ID]], tblPiNAnalysis[ID], 0)), "")</f>
        <v/>
      </c>
      <c r="AF720"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720" s="136" t="str">
        <f>IF(OR(tblPiNHistorical[[#This Row],[Education Old]]="", tblPiNHistorical[[#This Row],[Education Old]]=0, tblPiNHistorical[[#This Row],[Education New]]="", tblPiNHistorical[[#This Row],[Education New]]=0), "", tblPiNHistorical[[#This Row],[Education New]]-tblPiNHistorical[[#This Row],[Education Old]])</f>
        <v/>
      </c>
      <c r="AH720"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720" s="137" t="str">
        <f>IF(OR(tblPiNHistorical[[#This Row],[Health Old]]="", tblPiNHistorical[[#This Row],[Health Old]]=0, tblPiNHistorical[[#This Row],[Health New]]="", tblPiNHistorical[[#This Row],[Health New]]=0), "", tblPiNHistorical[[#This Row],[Health New]]-tblPiNHistorical[[#This Row],[Health Old]])</f>
        <v/>
      </c>
      <c r="AJ720" s="136" t="str">
        <f>IF(OR(tblPiNHistorical[[#This Row],[Nutrition Old]]="", tblPiNHistorical[[#This Row],[Nutrition Old]]=0, tblPiNHistorical[[#This Row],[Nutrition New]]="", tblPiNHistorical[[#This Row],[Nutrition New]]=0), "", tblPiNHistorical[[#This Row],[Nutrition New]]-tblPiNHistorical[[#This Row],[Nutrition Old]])</f>
        <v/>
      </c>
      <c r="AK720" s="136" t="str">
        <f>IF(OR(tblPiNHistorical[[#This Row],[Protection Old]]="", tblPiNHistorical[[#This Row],[Protection Old]]=0, tblPiNHistorical[[#This Row],[Protection New]]="", tblPiNHistorical[[#This Row],[Protection New]]=0), "", tblPiNHistorical[[#This Row],[Protection New]]-tblPiNHistorical[[#This Row],[Protection Old]])</f>
        <v/>
      </c>
      <c r="AL720" s="136" t="str">
        <f>IF(OR(tblPiNHistorical[[#This Row],[CP Old ]]="", tblPiNHistorical[[#This Row],[CP Old ]]=0, tblPiNHistorical[[#This Row],[CP New]]="", tblPiNHistorical[[#This Row],[CP New]]=0), "", tblPiNHistorical[[#This Row],[CP New]]-tblPiNHistorical[[#This Row],[CP Old ]])</f>
        <v/>
      </c>
      <c r="AM720" s="83" t="str">
        <f>IF(OR(tblPiNHistorical[[#This Row],[GBV Old]]="", tblPiNHistorical[[#This Row],[GBV Old]]=0, tblPiNHistorical[[#This Row],[GBV New]]="", tblPiNHistorical[[#This Row],[GBV New]]=0), "", tblPiNHistorical[[#This Row],[GBV New]]-tblPiNHistorical[[#This Row],[GBV Old]])</f>
        <v/>
      </c>
      <c r="AN720" s="83" t="str">
        <f>IF(OR(tblPiNHistorical[[#This Row],[Mine Action Old]]="", tblPiNHistorical[[#This Row],[Mine Action Old]]=0, tblPiNHistorical[[#This Row],[Mine Action New]]="", tblPiNHistorical[[#This Row],[Mine Action New]]=0), "", tblPiNHistorical[[#This Row],[Mine Action New]]-tblPiNHistorical[[#This Row],[Mine Action Old]])</f>
        <v/>
      </c>
      <c r="AO720" s="136" t="str">
        <f>IF(OR(tblPiNHistorical[[#This Row],[Shelter NFI Old]]="", tblPiNHistorical[[#This Row],[Shelter NFI Old]]=0, tblPiNHistorical[[#This Row],[Shelter NFI New]]="", tblPiNHistorical[[#This Row],[Shelter NFI New]]=0), "", tblPiNHistorical[[#This Row],[Shelter NFI New]]-tblPiNHistorical[[#This Row],[Shelter NFI Old]])</f>
        <v/>
      </c>
      <c r="AP720" s="138" t="str">
        <f>IF(OR(tblPiNHistorical[[#This Row],[WASH Old]]="", tblPiNHistorical[[#This Row],[WASH Old]]=0, tblPiNHistorical[[#This Row],[WASH New]]="", tblPiNHistorical[[#This Row],[WASH New]]=0), "", tblPiNHistorical[[#This Row],[WASH New]]-tblPiNHistorical[[#This Row],[WASH Old]])</f>
        <v/>
      </c>
      <c r="AQ720" s="139" t="str">
        <f>IFERROR(ROUND((tblPiNHistorical[[#This Row],[Site Management - New]] - tblPiNHistorical[[#This Row],[Site Management - Old]])/tblPiNHistorical[[#This Row],[Site Management - Old]], 1), "")</f>
        <v/>
      </c>
      <c r="AR720" s="140" t="str">
        <f>IFERROR(ROUND((tblPiNHistorical[[#This Row],[Education New]]-tblPiNHistorical[[#This Row],[Education Old]])/tblPiNHistorical[[#This Row],[Education Old]], 1), "")</f>
        <v/>
      </c>
      <c r="AS720" s="141" t="str">
        <f>IFERROR(ROUND((tblPiNHistorical[[#This Row],[Food Security and Livlihoods New]]-tblPiNHistorical[[#This Row],[Food Security and Livlihoods Old]])/tblPiNHistorical[[#This Row],[Food Security and Livlihoods Old]], 1), "")</f>
        <v/>
      </c>
      <c r="AT720" s="142" t="str">
        <f>IFERROR(ROUND((tblPiNHistorical[[#This Row],[Health New]]-tblPiNHistorical[[#This Row],[Health Old]])/tblPiNHistorical[[#This Row],[Health Old]], 1), "")</f>
        <v/>
      </c>
      <c r="AU720" s="140" t="str">
        <f>IFERROR(ROUND((tblPiNHistorical[[#This Row],[Nutrition New]]-tblPiNHistorical[[#This Row],[Nutrition Old]])/tblPiNHistorical[[#This Row],[Nutrition Old]], 1), "")</f>
        <v/>
      </c>
      <c r="AV720" s="140" t="str">
        <f>IFERROR(ROUND((tblPiNHistorical[[#This Row],[Protection New]]-tblPiNHistorical[[#This Row],[Protection Old]])/tblPiNHistorical[[#This Row],[Protection Old]], 1), "")</f>
        <v/>
      </c>
      <c r="AW720" s="84" t="str">
        <f>IFERROR(ROUND((tblPiNHistorical[[#This Row],[CP New]]-tblPiNHistorical[[#This Row],[CP Old ]])/tblPiNHistorical[[#This Row],[CP Old ]], 1), "")</f>
        <v/>
      </c>
      <c r="AX720" s="84" t="str">
        <f>IFERROR(ROUND((tblPiNHistorical[[#This Row],[GBV New]]-tblPiNHistorical[[#This Row],[GBV Old]])/tblPiNHistorical[[#This Row],[GBV Old]], 1), "")</f>
        <v/>
      </c>
      <c r="AY720" s="84" t="str">
        <f>IFERROR(ROUND((tblPiNHistorical[[#This Row],[Mine Action New]]-tblPiNHistorical[[#This Row],[Mine Action Old]])/tblPiNHistorical[[#This Row],[Mine Action Old]], 1), "")</f>
        <v/>
      </c>
      <c r="AZ720" s="140" t="str">
        <f>IFERROR(ROUND((tblPiNHistorical[[#This Row],[Shelter NFI New]]-tblPiNHistorical[[#This Row],[Shelter NFI Old]])/tblPiNHistorical[[#This Row],[Shelter NFI Old]], 1), "")</f>
        <v/>
      </c>
      <c r="BA720" s="31" t="str">
        <f>IFERROR(ROUND((tblPiNHistorical[[#This Row],[WASH New]]-tblPiNHistorical[[#This Row],[WASH Old]])/tblPiNHistorical[[#This Row],[WASH Old]], 1), "")</f>
        <v/>
      </c>
    </row>
    <row r="721" spans="1:53" ht="38.25" x14ac:dyDescent="0.25">
      <c r="A721"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Non-displaced PopulationSD07094</v>
      </c>
      <c r="B721" s="134" t="s">
        <v>188</v>
      </c>
      <c r="C721" s="124" t="s">
        <v>124</v>
      </c>
      <c r="D721" s="124" t="s">
        <v>346</v>
      </c>
      <c r="E721" s="59" t="s">
        <v>347</v>
      </c>
      <c r="F721" s="54"/>
      <c r="G721" s="29"/>
      <c r="H721" s="53">
        <v>60502</v>
      </c>
      <c r="I721" s="53" t="s">
        <v>89</v>
      </c>
      <c r="J721" s="34">
        <v>0</v>
      </c>
      <c r="K721" s="116">
        <v>0</v>
      </c>
      <c r="L721" s="114">
        <v>30251</v>
      </c>
      <c r="M721" s="114">
        <v>0</v>
      </c>
      <c r="N721" s="114">
        <v>5865</v>
      </c>
      <c r="O721" s="114">
        <v>6655.2200000000012</v>
      </c>
      <c r="P721" s="114">
        <v>6655</v>
      </c>
      <c r="Q721" s="114">
        <v>4790</v>
      </c>
      <c r="R721" s="114">
        <v>0</v>
      </c>
      <c r="S721" s="114">
        <v>0</v>
      </c>
      <c r="T721" s="196">
        <v>49448.284600000006</v>
      </c>
      <c r="U721" s="52" t="str">
        <f>IFERROR(INDEX(tblPiNAnalysis[[Site Management ]], MATCH(tblPiNHistorical[[#This Row],[ID]], tblPiNAnalysis[ID], 0)), "")</f>
        <v/>
      </c>
      <c r="V721" s="52" t="str">
        <f>IFERROR(INDEX(tblPiNAnalysis[Education], MATCH(tblPiNHistorical[[#This Row],[ID]], tblPiNAnalysis[ID], 0)), "")</f>
        <v/>
      </c>
      <c r="W721" s="28" t="str">
        <f>IFERROR(INDEX(tblPiNAnalysis[Food Security and Livlihoods], MATCH(tblPiNHistorical[[#This Row],[ID]], tblPiNAnalysis[ID], 0)), "")</f>
        <v/>
      </c>
      <c r="X721" s="28" t="str">
        <f>IFERROR(INDEX(tblPiNAnalysis[[Health ]], MATCH(tblPiNHistorical[[#This Row],[ID]], tblPiNAnalysis[ID], 0)), "")</f>
        <v/>
      </c>
      <c r="Y721" s="28" t="str">
        <f>IFERROR(INDEX(tblPiNAnalysis[Nutrition], MATCH(tblPiNHistorical[[#This Row],[ID]], tblPiNAnalysis[ID], 0)), "")</f>
        <v/>
      </c>
      <c r="Z721" s="28" t="str">
        <f>IFERROR(INDEX(tblPiNAnalysis[Protection], MATCH(tblPiNHistorical[[#This Row],[ID]], tblPiNAnalysis[ID], 0)), "")</f>
        <v/>
      </c>
      <c r="AA721" s="28" t="str">
        <f>IFERROR(INDEX(tblPiNAnalysis[CP], MATCH(tblPiNHistorical[[#This Row],[ID]], tblPiNAnalysis[ID], 0)), "")</f>
        <v/>
      </c>
      <c r="AB721" s="83" t="str">
        <f>IFERROR(INDEX(tblPiNAnalysis[GBV], MATCH(tblPiNHistorical[[#This Row],[ID]], tblPiNAnalysis[ID], 0)), "")</f>
        <v/>
      </c>
      <c r="AC721" s="28" t="str">
        <f>IFERROR(INDEX(tblPiNAnalysis[Mine Action], MATCH(tblPiNHistorical[[#This Row],[ID]], tblPiNAnalysis[ID], 0)), "")</f>
        <v/>
      </c>
      <c r="AD721" s="83" t="str">
        <f>IFERROR(INDEX(tblPiNAnalysis[[Shelter NFI ]], MATCH(tblPiNHistorical[[#This Row],[ID]], tblPiNAnalysis[ID], 0)), "")</f>
        <v/>
      </c>
      <c r="AE721" s="28" t="str">
        <f>IFERROR(INDEX(tblPiNAnalysis[WASH], MATCH(tblPiNHistorical[[#This Row],[ID]], tblPiNAnalysis[ID], 0)), "")</f>
        <v/>
      </c>
      <c r="AF721"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721" s="136" t="str">
        <f>IF(OR(tblPiNHistorical[[#This Row],[Education Old]]="", tblPiNHistorical[[#This Row],[Education Old]]=0, tblPiNHistorical[[#This Row],[Education New]]="", tblPiNHistorical[[#This Row],[Education New]]=0), "", tblPiNHistorical[[#This Row],[Education New]]-tblPiNHistorical[[#This Row],[Education Old]])</f>
        <v/>
      </c>
      <c r="AH721"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721" s="137" t="str">
        <f>IF(OR(tblPiNHistorical[[#This Row],[Health Old]]="", tblPiNHistorical[[#This Row],[Health Old]]=0, tblPiNHistorical[[#This Row],[Health New]]="", tblPiNHistorical[[#This Row],[Health New]]=0), "", tblPiNHistorical[[#This Row],[Health New]]-tblPiNHistorical[[#This Row],[Health Old]])</f>
        <v/>
      </c>
      <c r="AJ721" s="136" t="str">
        <f>IF(OR(tblPiNHistorical[[#This Row],[Nutrition Old]]="", tblPiNHistorical[[#This Row],[Nutrition Old]]=0, tblPiNHistorical[[#This Row],[Nutrition New]]="", tblPiNHistorical[[#This Row],[Nutrition New]]=0), "", tblPiNHistorical[[#This Row],[Nutrition New]]-tblPiNHistorical[[#This Row],[Nutrition Old]])</f>
        <v/>
      </c>
      <c r="AK721" s="136" t="str">
        <f>IF(OR(tblPiNHistorical[[#This Row],[Protection Old]]="", tblPiNHistorical[[#This Row],[Protection Old]]=0, tblPiNHistorical[[#This Row],[Protection New]]="", tblPiNHistorical[[#This Row],[Protection New]]=0), "", tblPiNHistorical[[#This Row],[Protection New]]-tblPiNHistorical[[#This Row],[Protection Old]])</f>
        <v/>
      </c>
      <c r="AL721" s="136" t="str">
        <f>IF(OR(tblPiNHistorical[[#This Row],[CP Old ]]="", tblPiNHistorical[[#This Row],[CP Old ]]=0, tblPiNHistorical[[#This Row],[CP New]]="", tblPiNHistorical[[#This Row],[CP New]]=0), "", tblPiNHistorical[[#This Row],[CP New]]-tblPiNHistorical[[#This Row],[CP Old ]])</f>
        <v/>
      </c>
      <c r="AM721" s="83" t="str">
        <f>IF(OR(tblPiNHistorical[[#This Row],[GBV Old]]="", tblPiNHistorical[[#This Row],[GBV Old]]=0, tblPiNHistorical[[#This Row],[GBV New]]="", tblPiNHistorical[[#This Row],[GBV New]]=0), "", tblPiNHistorical[[#This Row],[GBV New]]-tblPiNHistorical[[#This Row],[GBV Old]])</f>
        <v/>
      </c>
      <c r="AN721" s="83" t="str">
        <f>IF(OR(tblPiNHistorical[[#This Row],[Mine Action Old]]="", tblPiNHistorical[[#This Row],[Mine Action Old]]=0, tblPiNHistorical[[#This Row],[Mine Action New]]="", tblPiNHistorical[[#This Row],[Mine Action New]]=0), "", tblPiNHistorical[[#This Row],[Mine Action New]]-tblPiNHistorical[[#This Row],[Mine Action Old]])</f>
        <v/>
      </c>
      <c r="AO721" s="136" t="str">
        <f>IF(OR(tblPiNHistorical[[#This Row],[Shelter NFI Old]]="", tblPiNHistorical[[#This Row],[Shelter NFI Old]]=0, tblPiNHistorical[[#This Row],[Shelter NFI New]]="", tblPiNHistorical[[#This Row],[Shelter NFI New]]=0), "", tblPiNHistorical[[#This Row],[Shelter NFI New]]-tblPiNHistorical[[#This Row],[Shelter NFI Old]])</f>
        <v/>
      </c>
      <c r="AP721" s="138" t="str">
        <f>IF(OR(tblPiNHistorical[[#This Row],[WASH Old]]="", tblPiNHistorical[[#This Row],[WASH Old]]=0, tblPiNHistorical[[#This Row],[WASH New]]="", tblPiNHistorical[[#This Row],[WASH New]]=0), "", tblPiNHistorical[[#This Row],[WASH New]]-tblPiNHistorical[[#This Row],[WASH Old]])</f>
        <v/>
      </c>
      <c r="AQ721" s="139" t="str">
        <f>IFERROR(ROUND((tblPiNHistorical[[#This Row],[Site Management - New]] - tblPiNHistorical[[#This Row],[Site Management - Old]])/tblPiNHistorical[[#This Row],[Site Management - Old]], 1), "")</f>
        <v/>
      </c>
      <c r="AR721" s="140" t="str">
        <f>IFERROR(ROUND((tblPiNHistorical[[#This Row],[Education New]]-tblPiNHistorical[[#This Row],[Education Old]])/tblPiNHistorical[[#This Row],[Education Old]], 1), "")</f>
        <v/>
      </c>
      <c r="AS721" s="141" t="str">
        <f>IFERROR(ROUND((tblPiNHistorical[[#This Row],[Food Security and Livlihoods New]]-tblPiNHistorical[[#This Row],[Food Security and Livlihoods Old]])/tblPiNHistorical[[#This Row],[Food Security and Livlihoods Old]], 1), "")</f>
        <v/>
      </c>
      <c r="AT721" s="142" t="str">
        <f>IFERROR(ROUND((tblPiNHistorical[[#This Row],[Health New]]-tblPiNHistorical[[#This Row],[Health Old]])/tblPiNHistorical[[#This Row],[Health Old]], 1), "")</f>
        <v/>
      </c>
      <c r="AU721" s="140" t="str">
        <f>IFERROR(ROUND((tblPiNHistorical[[#This Row],[Nutrition New]]-tblPiNHistorical[[#This Row],[Nutrition Old]])/tblPiNHistorical[[#This Row],[Nutrition Old]], 1), "")</f>
        <v/>
      </c>
      <c r="AV721" s="140" t="str">
        <f>IFERROR(ROUND((tblPiNHistorical[[#This Row],[Protection New]]-tblPiNHistorical[[#This Row],[Protection Old]])/tblPiNHistorical[[#This Row],[Protection Old]], 1), "")</f>
        <v/>
      </c>
      <c r="AW721" s="84" t="str">
        <f>IFERROR(ROUND((tblPiNHistorical[[#This Row],[CP New]]-tblPiNHistorical[[#This Row],[CP Old ]])/tblPiNHistorical[[#This Row],[CP Old ]], 1), "")</f>
        <v/>
      </c>
      <c r="AX721" s="84" t="str">
        <f>IFERROR(ROUND((tblPiNHistorical[[#This Row],[GBV New]]-tblPiNHistorical[[#This Row],[GBV Old]])/tblPiNHistorical[[#This Row],[GBV Old]], 1), "")</f>
        <v/>
      </c>
      <c r="AY721" s="84" t="str">
        <f>IFERROR(ROUND((tblPiNHistorical[[#This Row],[Mine Action New]]-tblPiNHistorical[[#This Row],[Mine Action Old]])/tblPiNHistorical[[#This Row],[Mine Action Old]], 1), "")</f>
        <v/>
      </c>
      <c r="AZ721" s="140" t="str">
        <f>IFERROR(ROUND((tblPiNHistorical[[#This Row],[Shelter NFI New]]-tblPiNHistorical[[#This Row],[Shelter NFI Old]])/tblPiNHistorical[[#This Row],[Shelter NFI Old]], 1), "")</f>
        <v/>
      </c>
      <c r="BA721" s="31" t="str">
        <f>IFERROR(ROUND((tblPiNHistorical[[#This Row],[WASH New]]-tblPiNHistorical[[#This Row],[WASH Old]])/tblPiNHistorical[[#This Row],[WASH Old]], 1), "")</f>
        <v/>
      </c>
    </row>
    <row r="722" spans="1:53" ht="38.25" x14ac:dyDescent="0.25">
      <c r="A722"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Non-displaced PopulationSD07093</v>
      </c>
      <c r="B722" s="134" t="s">
        <v>188</v>
      </c>
      <c r="C722" s="124" t="s">
        <v>124</v>
      </c>
      <c r="D722" s="124" t="s">
        <v>344</v>
      </c>
      <c r="E722" s="59" t="s">
        <v>345</v>
      </c>
      <c r="F722" s="54"/>
      <c r="G722" s="29"/>
      <c r="H722" s="53">
        <v>16645</v>
      </c>
      <c r="I722" s="53" t="s">
        <v>89</v>
      </c>
      <c r="J722" s="34">
        <v>0</v>
      </c>
      <c r="K722" s="116">
        <v>0</v>
      </c>
      <c r="L722" s="114">
        <v>11304.674877846131</v>
      </c>
      <c r="M722" s="114">
        <v>0</v>
      </c>
      <c r="N722" s="114">
        <v>2270</v>
      </c>
      <c r="O722" s="114">
        <v>8322.5</v>
      </c>
      <c r="P722" s="114">
        <v>1831</v>
      </c>
      <c r="Q722" s="114">
        <v>1317</v>
      </c>
      <c r="R722" s="114">
        <v>8322.5</v>
      </c>
      <c r="S722" s="114">
        <v>0</v>
      </c>
      <c r="T722" s="196">
        <v>14607.652</v>
      </c>
      <c r="U722" s="52" t="str">
        <f>IFERROR(INDEX(tblPiNAnalysis[[Site Management ]], MATCH(tblPiNHistorical[[#This Row],[ID]], tblPiNAnalysis[ID], 0)), "")</f>
        <v/>
      </c>
      <c r="V722" s="52" t="str">
        <f>IFERROR(INDEX(tblPiNAnalysis[Education], MATCH(tblPiNHistorical[[#This Row],[ID]], tblPiNAnalysis[ID], 0)), "")</f>
        <v/>
      </c>
      <c r="W722" s="28" t="str">
        <f>IFERROR(INDEX(tblPiNAnalysis[Food Security and Livlihoods], MATCH(tblPiNHistorical[[#This Row],[ID]], tblPiNAnalysis[ID], 0)), "")</f>
        <v/>
      </c>
      <c r="X722" s="28" t="str">
        <f>IFERROR(INDEX(tblPiNAnalysis[[Health ]], MATCH(tblPiNHistorical[[#This Row],[ID]], tblPiNAnalysis[ID], 0)), "")</f>
        <v/>
      </c>
      <c r="Y722" s="28" t="str">
        <f>IFERROR(INDEX(tblPiNAnalysis[Nutrition], MATCH(tblPiNHistorical[[#This Row],[ID]], tblPiNAnalysis[ID], 0)), "")</f>
        <v/>
      </c>
      <c r="Z722" s="28" t="str">
        <f>IFERROR(INDEX(tblPiNAnalysis[Protection], MATCH(tblPiNHistorical[[#This Row],[ID]], tblPiNAnalysis[ID], 0)), "")</f>
        <v/>
      </c>
      <c r="AA722" s="28" t="str">
        <f>IFERROR(INDEX(tblPiNAnalysis[CP], MATCH(tblPiNHistorical[[#This Row],[ID]], tblPiNAnalysis[ID], 0)), "")</f>
        <v/>
      </c>
      <c r="AB722" s="83" t="str">
        <f>IFERROR(INDEX(tblPiNAnalysis[GBV], MATCH(tblPiNHistorical[[#This Row],[ID]], tblPiNAnalysis[ID], 0)), "")</f>
        <v/>
      </c>
      <c r="AC722" s="28" t="str">
        <f>IFERROR(INDEX(tblPiNAnalysis[Mine Action], MATCH(tblPiNHistorical[[#This Row],[ID]], tblPiNAnalysis[ID], 0)), "")</f>
        <v/>
      </c>
      <c r="AD722" s="83" t="str">
        <f>IFERROR(INDEX(tblPiNAnalysis[[Shelter NFI ]], MATCH(tblPiNHistorical[[#This Row],[ID]], tblPiNAnalysis[ID], 0)), "")</f>
        <v/>
      </c>
      <c r="AE722" s="28" t="str">
        <f>IFERROR(INDEX(tblPiNAnalysis[WASH], MATCH(tblPiNHistorical[[#This Row],[ID]], tblPiNAnalysis[ID], 0)), "")</f>
        <v/>
      </c>
      <c r="AF722"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722" s="136" t="str">
        <f>IF(OR(tblPiNHistorical[[#This Row],[Education Old]]="", tblPiNHistorical[[#This Row],[Education Old]]=0, tblPiNHistorical[[#This Row],[Education New]]="", tblPiNHistorical[[#This Row],[Education New]]=0), "", tblPiNHistorical[[#This Row],[Education New]]-tblPiNHistorical[[#This Row],[Education Old]])</f>
        <v/>
      </c>
      <c r="AH722"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722" s="137" t="str">
        <f>IF(OR(tblPiNHistorical[[#This Row],[Health Old]]="", tblPiNHistorical[[#This Row],[Health Old]]=0, tblPiNHistorical[[#This Row],[Health New]]="", tblPiNHistorical[[#This Row],[Health New]]=0), "", tblPiNHistorical[[#This Row],[Health New]]-tblPiNHistorical[[#This Row],[Health Old]])</f>
        <v/>
      </c>
      <c r="AJ722" s="136" t="str">
        <f>IF(OR(tblPiNHistorical[[#This Row],[Nutrition Old]]="", tblPiNHistorical[[#This Row],[Nutrition Old]]=0, tblPiNHistorical[[#This Row],[Nutrition New]]="", tblPiNHistorical[[#This Row],[Nutrition New]]=0), "", tblPiNHistorical[[#This Row],[Nutrition New]]-tblPiNHistorical[[#This Row],[Nutrition Old]])</f>
        <v/>
      </c>
      <c r="AK722" s="136" t="str">
        <f>IF(OR(tblPiNHistorical[[#This Row],[Protection Old]]="", tblPiNHistorical[[#This Row],[Protection Old]]=0, tblPiNHistorical[[#This Row],[Protection New]]="", tblPiNHistorical[[#This Row],[Protection New]]=0), "", tblPiNHistorical[[#This Row],[Protection New]]-tblPiNHistorical[[#This Row],[Protection Old]])</f>
        <v/>
      </c>
      <c r="AL722" s="136" t="str">
        <f>IF(OR(tblPiNHistorical[[#This Row],[CP Old ]]="", tblPiNHistorical[[#This Row],[CP Old ]]=0, tblPiNHistorical[[#This Row],[CP New]]="", tblPiNHistorical[[#This Row],[CP New]]=0), "", tblPiNHistorical[[#This Row],[CP New]]-tblPiNHistorical[[#This Row],[CP Old ]])</f>
        <v/>
      </c>
      <c r="AM722" s="83" t="str">
        <f>IF(OR(tblPiNHistorical[[#This Row],[GBV Old]]="", tblPiNHistorical[[#This Row],[GBV Old]]=0, tblPiNHistorical[[#This Row],[GBV New]]="", tblPiNHistorical[[#This Row],[GBV New]]=0), "", tblPiNHistorical[[#This Row],[GBV New]]-tblPiNHistorical[[#This Row],[GBV Old]])</f>
        <v/>
      </c>
      <c r="AN722" s="83" t="str">
        <f>IF(OR(tblPiNHistorical[[#This Row],[Mine Action Old]]="", tblPiNHistorical[[#This Row],[Mine Action Old]]=0, tblPiNHistorical[[#This Row],[Mine Action New]]="", tblPiNHistorical[[#This Row],[Mine Action New]]=0), "", tblPiNHistorical[[#This Row],[Mine Action New]]-tblPiNHistorical[[#This Row],[Mine Action Old]])</f>
        <v/>
      </c>
      <c r="AO722" s="136" t="str">
        <f>IF(OR(tblPiNHistorical[[#This Row],[Shelter NFI Old]]="", tblPiNHistorical[[#This Row],[Shelter NFI Old]]=0, tblPiNHistorical[[#This Row],[Shelter NFI New]]="", tblPiNHistorical[[#This Row],[Shelter NFI New]]=0), "", tblPiNHistorical[[#This Row],[Shelter NFI New]]-tblPiNHistorical[[#This Row],[Shelter NFI Old]])</f>
        <v/>
      </c>
      <c r="AP722" s="138" t="str">
        <f>IF(OR(tblPiNHistorical[[#This Row],[WASH Old]]="", tblPiNHistorical[[#This Row],[WASH Old]]=0, tblPiNHistorical[[#This Row],[WASH New]]="", tblPiNHistorical[[#This Row],[WASH New]]=0), "", tblPiNHistorical[[#This Row],[WASH New]]-tblPiNHistorical[[#This Row],[WASH Old]])</f>
        <v/>
      </c>
      <c r="AQ722" s="139" t="str">
        <f>IFERROR(ROUND((tblPiNHistorical[[#This Row],[Site Management - New]] - tblPiNHistorical[[#This Row],[Site Management - Old]])/tblPiNHistorical[[#This Row],[Site Management - Old]], 1), "")</f>
        <v/>
      </c>
      <c r="AR722" s="140" t="str">
        <f>IFERROR(ROUND((tblPiNHistorical[[#This Row],[Education New]]-tblPiNHistorical[[#This Row],[Education Old]])/tblPiNHistorical[[#This Row],[Education Old]], 1), "")</f>
        <v/>
      </c>
      <c r="AS722" s="141" t="str">
        <f>IFERROR(ROUND((tblPiNHistorical[[#This Row],[Food Security and Livlihoods New]]-tblPiNHistorical[[#This Row],[Food Security and Livlihoods Old]])/tblPiNHistorical[[#This Row],[Food Security and Livlihoods Old]], 1), "")</f>
        <v/>
      </c>
      <c r="AT722" s="142" t="str">
        <f>IFERROR(ROUND((tblPiNHistorical[[#This Row],[Health New]]-tblPiNHistorical[[#This Row],[Health Old]])/tblPiNHistorical[[#This Row],[Health Old]], 1), "")</f>
        <v/>
      </c>
      <c r="AU722" s="140" t="str">
        <f>IFERROR(ROUND((tblPiNHistorical[[#This Row],[Nutrition New]]-tblPiNHistorical[[#This Row],[Nutrition Old]])/tblPiNHistorical[[#This Row],[Nutrition Old]], 1), "")</f>
        <v/>
      </c>
      <c r="AV722" s="140" t="str">
        <f>IFERROR(ROUND((tblPiNHistorical[[#This Row],[Protection New]]-tblPiNHistorical[[#This Row],[Protection Old]])/tblPiNHistorical[[#This Row],[Protection Old]], 1), "")</f>
        <v/>
      </c>
      <c r="AW722" s="84" t="str">
        <f>IFERROR(ROUND((tblPiNHistorical[[#This Row],[CP New]]-tblPiNHistorical[[#This Row],[CP Old ]])/tblPiNHistorical[[#This Row],[CP Old ]], 1), "")</f>
        <v/>
      </c>
      <c r="AX722" s="84" t="str">
        <f>IFERROR(ROUND((tblPiNHistorical[[#This Row],[GBV New]]-tblPiNHistorical[[#This Row],[GBV Old]])/tblPiNHistorical[[#This Row],[GBV Old]], 1), "")</f>
        <v/>
      </c>
      <c r="AY722" s="84" t="str">
        <f>IFERROR(ROUND((tblPiNHistorical[[#This Row],[Mine Action New]]-tblPiNHistorical[[#This Row],[Mine Action Old]])/tblPiNHistorical[[#This Row],[Mine Action Old]], 1), "")</f>
        <v/>
      </c>
      <c r="AZ722" s="140" t="str">
        <f>IFERROR(ROUND((tblPiNHistorical[[#This Row],[Shelter NFI New]]-tblPiNHistorical[[#This Row],[Shelter NFI Old]])/tblPiNHistorical[[#This Row],[Shelter NFI Old]], 1), "")</f>
        <v/>
      </c>
      <c r="BA722" s="31" t="str">
        <f>IFERROR(ROUND((tblPiNHistorical[[#This Row],[WASH New]]-tblPiNHistorical[[#This Row],[WASH Old]])/tblPiNHistorical[[#This Row],[WASH Old]], 1), "")</f>
        <v/>
      </c>
    </row>
    <row r="723" spans="1:53" ht="38.25" x14ac:dyDescent="0.25">
      <c r="A723"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Non-displaced PopulationSD07097</v>
      </c>
      <c r="B723" s="134" t="s">
        <v>188</v>
      </c>
      <c r="C723" s="124" t="s">
        <v>124</v>
      </c>
      <c r="D723" s="124" t="s">
        <v>352</v>
      </c>
      <c r="E723" s="59" t="s">
        <v>353</v>
      </c>
      <c r="F723" s="54"/>
      <c r="G723" s="29"/>
      <c r="H723" s="53">
        <v>12928</v>
      </c>
      <c r="I723" s="53" t="s">
        <v>89</v>
      </c>
      <c r="J723" s="34">
        <v>0</v>
      </c>
      <c r="K723" s="116">
        <v>5012.1855999999998</v>
      </c>
      <c r="L723" s="114">
        <v>9026.6960350000008</v>
      </c>
      <c r="M723" s="114">
        <v>0</v>
      </c>
      <c r="N723" s="114">
        <v>2443</v>
      </c>
      <c r="O723" s="114">
        <v>1422.0800000000002</v>
      </c>
      <c r="P723" s="114">
        <v>1422</v>
      </c>
      <c r="Q723" s="114">
        <v>1023</v>
      </c>
      <c r="R723" s="114">
        <v>1292.8000000000002</v>
      </c>
      <c r="S723" s="114">
        <v>0</v>
      </c>
      <c r="T723" s="196">
        <v>9860.1856000000007</v>
      </c>
      <c r="U723" s="52" t="str">
        <f>IFERROR(INDEX(tblPiNAnalysis[[Site Management ]], MATCH(tblPiNHistorical[[#This Row],[ID]], tblPiNAnalysis[ID], 0)), "")</f>
        <v/>
      </c>
      <c r="V723" s="52" t="str">
        <f>IFERROR(INDEX(tblPiNAnalysis[Education], MATCH(tblPiNHistorical[[#This Row],[ID]], tblPiNAnalysis[ID], 0)), "")</f>
        <v/>
      </c>
      <c r="W723" s="28" t="str">
        <f>IFERROR(INDEX(tblPiNAnalysis[Food Security and Livlihoods], MATCH(tblPiNHistorical[[#This Row],[ID]], tblPiNAnalysis[ID], 0)), "")</f>
        <v/>
      </c>
      <c r="X723" s="28" t="str">
        <f>IFERROR(INDEX(tblPiNAnalysis[[Health ]], MATCH(tblPiNHistorical[[#This Row],[ID]], tblPiNAnalysis[ID], 0)), "")</f>
        <v/>
      </c>
      <c r="Y723" s="28" t="str">
        <f>IFERROR(INDEX(tblPiNAnalysis[Nutrition], MATCH(tblPiNHistorical[[#This Row],[ID]], tblPiNAnalysis[ID], 0)), "")</f>
        <v/>
      </c>
      <c r="Z723" s="28" t="str">
        <f>IFERROR(INDEX(tblPiNAnalysis[Protection], MATCH(tblPiNHistorical[[#This Row],[ID]], tblPiNAnalysis[ID], 0)), "")</f>
        <v/>
      </c>
      <c r="AA723" s="28" t="str">
        <f>IFERROR(INDEX(tblPiNAnalysis[CP], MATCH(tblPiNHistorical[[#This Row],[ID]], tblPiNAnalysis[ID], 0)), "")</f>
        <v/>
      </c>
      <c r="AB723" s="83" t="str">
        <f>IFERROR(INDEX(tblPiNAnalysis[GBV], MATCH(tblPiNHistorical[[#This Row],[ID]], tblPiNAnalysis[ID], 0)), "")</f>
        <v/>
      </c>
      <c r="AC723" s="28" t="str">
        <f>IFERROR(INDEX(tblPiNAnalysis[Mine Action], MATCH(tblPiNHistorical[[#This Row],[ID]], tblPiNAnalysis[ID], 0)), "")</f>
        <v/>
      </c>
      <c r="AD723" s="83" t="str">
        <f>IFERROR(INDEX(tblPiNAnalysis[[Shelter NFI ]], MATCH(tblPiNHistorical[[#This Row],[ID]], tblPiNAnalysis[ID], 0)), "")</f>
        <v/>
      </c>
      <c r="AE723" s="28" t="str">
        <f>IFERROR(INDEX(tblPiNAnalysis[WASH], MATCH(tblPiNHistorical[[#This Row],[ID]], tblPiNAnalysis[ID], 0)), "")</f>
        <v/>
      </c>
      <c r="AF723"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723" s="136" t="str">
        <f>IF(OR(tblPiNHistorical[[#This Row],[Education Old]]="", tblPiNHistorical[[#This Row],[Education Old]]=0, tblPiNHistorical[[#This Row],[Education New]]="", tblPiNHistorical[[#This Row],[Education New]]=0), "", tblPiNHistorical[[#This Row],[Education New]]-tblPiNHistorical[[#This Row],[Education Old]])</f>
        <v/>
      </c>
      <c r="AH723"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723" s="137" t="str">
        <f>IF(OR(tblPiNHistorical[[#This Row],[Health Old]]="", tblPiNHistorical[[#This Row],[Health Old]]=0, tblPiNHistorical[[#This Row],[Health New]]="", tblPiNHistorical[[#This Row],[Health New]]=0), "", tblPiNHistorical[[#This Row],[Health New]]-tblPiNHistorical[[#This Row],[Health Old]])</f>
        <v/>
      </c>
      <c r="AJ723" s="136" t="str">
        <f>IF(OR(tblPiNHistorical[[#This Row],[Nutrition Old]]="", tblPiNHistorical[[#This Row],[Nutrition Old]]=0, tblPiNHistorical[[#This Row],[Nutrition New]]="", tblPiNHistorical[[#This Row],[Nutrition New]]=0), "", tblPiNHistorical[[#This Row],[Nutrition New]]-tblPiNHistorical[[#This Row],[Nutrition Old]])</f>
        <v/>
      </c>
      <c r="AK723" s="136" t="str">
        <f>IF(OR(tblPiNHistorical[[#This Row],[Protection Old]]="", tblPiNHistorical[[#This Row],[Protection Old]]=0, tblPiNHistorical[[#This Row],[Protection New]]="", tblPiNHistorical[[#This Row],[Protection New]]=0), "", tblPiNHistorical[[#This Row],[Protection New]]-tblPiNHistorical[[#This Row],[Protection Old]])</f>
        <v/>
      </c>
      <c r="AL723" s="136" t="str">
        <f>IF(OR(tblPiNHistorical[[#This Row],[CP Old ]]="", tblPiNHistorical[[#This Row],[CP Old ]]=0, tblPiNHistorical[[#This Row],[CP New]]="", tblPiNHistorical[[#This Row],[CP New]]=0), "", tblPiNHistorical[[#This Row],[CP New]]-tblPiNHistorical[[#This Row],[CP Old ]])</f>
        <v/>
      </c>
      <c r="AM723" s="83" t="str">
        <f>IF(OR(tblPiNHistorical[[#This Row],[GBV Old]]="", tblPiNHistorical[[#This Row],[GBV Old]]=0, tblPiNHistorical[[#This Row],[GBV New]]="", tblPiNHistorical[[#This Row],[GBV New]]=0), "", tblPiNHistorical[[#This Row],[GBV New]]-tblPiNHistorical[[#This Row],[GBV Old]])</f>
        <v/>
      </c>
      <c r="AN723" s="83" t="str">
        <f>IF(OR(tblPiNHistorical[[#This Row],[Mine Action Old]]="", tblPiNHistorical[[#This Row],[Mine Action Old]]=0, tblPiNHistorical[[#This Row],[Mine Action New]]="", tblPiNHistorical[[#This Row],[Mine Action New]]=0), "", tblPiNHistorical[[#This Row],[Mine Action New]]-tblPiNHistorical[[#This Row],[Mine Action Old]])</f>
        <v/>
      </c>
      <c r="AO723" s="136" t="str">
        <f>IF(OR(tblPiNHistorical[[#This Row],[Shelter NFI Old]]="", tblPiNHistorical[[#This Row],[Shelter NFI Old]]=0, tblPiNHistorical[[#This Row],[Shelter NFI New]]="", tblPiNHistorical[[#This Row],[Shelter NFI New]]=0), "", tblPiNHistorical[[#This Row],[Shelter NFI New]]-tblPiNHistorical[[#This Row],[Shelter NFI Old]])</f>
        <v/>
      </c>
      <c r="AP723" s="138" t="str">
        <f>IF(OR(tblPiNHistorical[[#This Row],[WASH Old]]="", tblPiNHistorical[[#This Row],[WASH Old]]=0, tblPiNHistorical[[#This Row],[WASH New]]="", tblPiNHistorical[[#This Row],[WASH New]]=0), "", tblPiNHistorical[[#This Row],[WASH New]]-tblPiNHistorical[[#This Row],[WASH Old]])</f>
        <v/>
      </c>
      <c r="AQ723" s="139" t="str">
        <f>IFERROR(ROUND((tblPiNHistorical[[#This Row],[Site Management - New]] - tblPiNHistorical[[#This Row],[Site Management - Old]])/tblPiNHistorical[[#This Row],[Site Management - Old]], 1), "")</f>
        <v/>
      </c>
      <c r="AR723" s="140" t="str">
        <f>IFERROR(ROUND((tblPiNHistorical[[#This Row],[Education New]]-tblPiNHistorical[[#This Row],[Education Old]])/tblPiNHistorical[[#This Row],[Education Old]], 1), "")</f>
        <v/>
      </c>
      <c r="AS723" s="141" t="str">
        <f>IFERROR(ROUND((tblPiNHistorical[[#This Row],[Food Security and Livlihoods New]]-tblPiNHistorical[[#This Row],[Food Security and Livlihoods Old]])/tblPiNHistorical[[#This Row],[Food Security and Livlihoods Old]], 1), "")</f>
        <v/>
      </c>
      <c r="AT723" s="142" t="str">
        <f>IFERROR(ROUND((tblPiNHistorical[[#This Row],[Health New]]-tblPiNHistorical[[#This Row],[Health Old]])/tblPiNHistorical[[#This Row],[Health Old]], 1), "")</f>
        <v/>
      </c>
      <c r="AU723" s="140" t="str">
        <f>IFERROR(ROUND((tblPiNHistorical[[#This Row],[Nutrition New]]-tblPiNHistorical[[#This Row],[Nutrition Old]])/tblPiNHistorical[[#This Row],[Nutrition Old]], 1), "")</f>
        <v/>
      </c>
      <c r="AV723" s="140" t="str">
        <f>IFERROR(ROUND((tblPiNHistorical[[#This Row],[Protection New]]-tblPiNHistorical[[#This Row],[Protection Old]])/tblPiNHistorical[[#This Row],[Protection Old]], 1), "")</f>
        <v/>
      </c>
      <c r="AW723" s="84" t="str">
        <f>IFERROR(ROUND((tblPiNHistorical[[#This Row],[CP New]]-tblPiNHistorical[[#This Row],[CP Old ]])/tblPiNHistorical[[#This Row],[CP Old ]], 1), "")</f>
        <v/>
      </c>
      <c r="AX723" s="84" t="str">
        <f>IFERROR(ROUND((tblPiNHistorical[[#This Row],[GBV New]]-tblPiNHistorical[[#This Row],[GBV Old]])/tblPiNHistorical[[#This Row],[GBV Old]], 1), "")</f>
        <v/>
      </c>
      <c r="AY723" s="84" t="str">
        <f>IFERROR(ROUND((tblPiNHistorical[[#This Row],[Mine Action New]]-tblPiNHistorical[[#This Row],[Mine Action Old]])/tblPiNHistorical[[#This Row],[Mine Action Old]], 1), "")</f>
        <v/>
      </c>
      <c r="AZ723" s="140" t="str">
        <f>IFERROR(ROUND((tblPiNHistorical[[#This Row],[Shelter NFI New]]-tblPiNHistorical[[#This Row],[Shelter NFI Old]])/tblPiNHistorical[[#This Row],[Shelter NFI Old]], 1), "")</f>
        <v/>
      </c>
      <c r="BA723" s="31" t="str">
        <f>IFERROR(ROUND((tblPiNHistorical[[#This Row],[WASH New]]-tblPiNHistorical[[#This Row],[WASH Old]])/tblPiNHistorical[[#This Row],[WASH Old]], 1), "")</f>
        <v/>
      </c>
    </row>
    <row r="724" spans="1:53" ht="38.25" x14ac:dyDescent="0.25">
      <c r="A724"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Non-displaced PopulationSD07106</v>
      </c>
      <c r="B724" s="134" t="s">
        <v>188</v>
      </c>
      <c r="C724" s="124" t="s">
        <v>124</v>
      </c>
      <c r="D724" s="124" t="s">
        <v>364</v>
      </c>
      <c r="E724" s="59" t="s">
        <v>365</v>
      </c>
      <c r="F724" s="54"/>
      <c r="G724" s="29"/>
      <c r="H724" s="53">
        <v>41478</v>
      </c>
      <c r="I724" s="53" t="s">
        <v>89</v>
      </c>
      <c r="J724" s="34">
        <v>0</v>
      </c>
      <c r="K724" s="116">
        <v>16081.0206</v>
      </c>
      <c r="L724" s="114">
        <v>20739</v>
      </c>
      <c r="M724" s="114">
        <v>0</v>
      </c>
      <c r="N724" s="114">
        <v>24924</v>
      </c>
      <c r="O724" s="114">
        <v>4562.5800000000008</v>
      </c>
      <c r="P724" s="114">
        <v>4563</v>
      </c>
      <c r="Q724" s="114">
        <v>2190</v>
      </c>
      <c r="R724" s="114">
        <v>0</v>
      </c>
      <c r="S724" s="114">
        <v>8296</v>
      </c>
      <c r="T724" s="196">
        <v>39785.6976</v>
      </c>
      <c r="U724" s="52" t="str">
        <f>IFERROR(INDEX(tblPiNAnalysis[[Site Management ]], MATCH(tblPiNHistorical[[#This Row],[ID]], tblPiNAnalysis[ID], 0)), "")</f>
        <v/>
      </c>
      <c r="V724" s="52" t="str">
        <f>IFERROR(INDEX(tblPiNAnalysis[Education], MATCH(tblPiNHistorical[[#This Row],[ID]], tblPiNAnalysis[ID], 0)), "")</f>
        <v/>
      </c>
      <c r="W724" s="28" t="str">
        <f>IFERROR(INDEX(tblPiNAnalysis[Food Security and Livlihoods], MATCH(tblPiNHistorical[[#This Row],[ID]], tblPiNAnalysis[ID], 0)), "")</f>
        <v/>
      </c>
      <c r="X724" s="28" t="str">
        <f>IFERROR(INDEX(tblPiNAnalysis[[Health ]], MATCH(tblPiNHistorical[[#This Row],[ID]], tblPiNAnalysis[ID], 0)), "")</f>
        <v/>
      </c>
      <c r="Y724" s="28" t="str">
        <f>IFERROR(INDEX(tblPiNAnalysis[Nutrition], MATCH(tblPiNHistorical[[#This Row],[ID]], tblPiNAnalysis[ID], 0)), "")</f>
        <v/>
      </c>
      <c r="Z724" s="28" t="str">
        <f>IFERROR(INDEX(tblPiNAnalysis[Protection], MATCH(tblPiNHistorical[[#This Row],[ID]], tblPiNAnalysis[ID], 0)), "")</f>
        <v/>
      </c>
      <c r="AA724" s="28" t="str">
        <f>IFERROR(INDEX(tblPiNAnalysis[CP], MATCH(tblPiNHistorical[[#This Row],[ID]], tblPiNAnalysis[ID], 0)), "")</f>
        <v/>
      </c>
      <c r="AB724" s="83" t="str">
        <f>IFERROR(INDEX(tblPiNAnalysis[GBV], MATCH(tblPiNHistorical[[#This Row],[ID]], tblPiNAnalysis[ID], 0)), "")</f>
        <v/>
      </c>
      <c r="AC724" s="28" t="str">
        <f>IFERROR(INDEX(tblPiNAnalysis[Mine Action], MATCH(tblPiNHistorical[[#This Row],[ID]], tblPiNAnalysis[ID], 0)), "")</f>
        <v/>
      </c>
      <c r="AD724" s="83" t="str">
        <f>IFERROR(INDEX(tblPiNAnalysis[[Shelter NFI ]], MATCH(tblPiNHistorical[[#This Row],[ID]], tblPiNAnalysis[ID], 0)), "")</f>
        <v/>
      </c>
      <c r="AE724" s="28" t="str">
        <f>IFERROR(INDEX(tblPiNAnalysis[WASH], MATCH(tblPiNHistorical[[#This Row],[ID]], tblPiNAnalysis[ID], 0)), "")</f>
        <v/>
      </c>
      <c r="AF724"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724" s="136" t="str">
        <f>IF(OR(tblPiNHistorical[[#This Row],[Education Old]]="", tblPiNHistorical[[#This Row],[Education Old]]=0, tblPiNHistorical[[#This Row],[Education New]]="", tblPiNHistorical[[#This Row],[Education New]]=0), "", tblPiNHistorical[[#This Row],[Education New]]-tblPiNHistorical[[#This Row],[Education Old]])</f>
        <v/>
      </c>
      <c r="AH724"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724" s="137" t="str">
        <f>IF(OR(tblPiNHistorical[[#This Row],[Health Old]]="", tblPiNHistorical[[#This Row],[Health Old]]=0, tblPiNHistorical[[#This Row],[Health New]]="", tblPiNHistorical[[#This Row],[Health New]]=0), "", tblPiNHistorical[[#This Row],[Health New]]-tblPiNHistorical[[#This Row],[Health Old]])</f>
        <v/>
      </c>
      <c r="AJ724" s="136" t="str">
        <f>IF(OR(tblPiNHistorical[[#This Row],[Nutrition Old]]="", tblPiNHistorical[[#This Row],[Nutrition Old]]=0, tblPiNHistorical[[#This Row],[Nutrition New]]="", tblPiNHistorical[[#This Row],[Nutrition New]]=0), "", tblPiNHistorical[[#This Row],[Nutrition New]]-tblPiNHistorical[[#This Row],[Nutrition Old]])</f>
        <v/>
      </c>
      <c r="AK724" s="136" t="str">
        <f>IF(OR(tblPiNHistorical[[#This Row],[Protection Old]]="", tblPiNHistorical[[#This Row],[Protection Old]]=0, tblPiNHistorical[[#This Row],[Protection New]]="", tblPiNHistorical[[#This Row],[Protection New]]=0), "", tblPiNHistorical[[#This Row],[Protection New]]-tblPiNHistorical[[#This Row],[Protection Old]])</f>
        <v/>
      </c>
      <c r="AL724" s="136" t="str">
        <f>IF(OR(tblPiNHistorical[[#This Row],[CP Old ]]="", tblPiNHistorical[[#This Row],[CP Old ]]=0, tblPiNHistorical[[#This Row],[CP New]]="", tblPiNHistorical[[#This Row],[CP New]]=0), "", tblPiNHistorical[[#This Row],[CP New]]-tblPiNHistorical[[#This Row],[CP Old ]])</f>
        <v/>
      </c>
      <c r="AM724" s="83" t="str">
        <f>IF(OR(tblPiNHistorical[[#This Row],[GBV Old]]="", tblPiNHistorical[[#This Row],[GBV Old]]=0, tblPiNHistorical[[#This Row],[GBV New]]="", tblPiNHistorical[[#This Row],[GBV New]]=0), "", tblPiNHistorical[[#This Row],[GBV New]]-tblPiNHistorical[[#This Row],[GBV Old]])</f>
        <v/>
      </c>
      <c r="AN724" s="83" t="str">
        <f>IF(OR(tblPiNHistorical[[#This Row],[Mine Action Old]]="", tblPiNHistorical[[#This Row],[Mine Action Old]]=0, tblPiNHistorical[[#This Row],[Mine Action New]]="", tblPiNHistorical[[#This Row],[Mine Action New]]=0), "", tblPiNHistorical[[#This Row],[Mine Action New]]-tblPiNHistorical[[#This Row],[Mine Action Old]])</f>
        <v/>
      </c>
      <c r="AO724" s="136" t="str">
        <f>IF(OR(tblPiNHistorical[[#This Row],[Shelter NFI Old]]="", tblPiNHistorical[[#This Row],[Shelter NFI Old]]=0, tblPiNHistorical[[#This Row],[Shelter NFI New]]="", tblPiNHistorical[[#This Row],[Shelter NFI New]]=0), "", tblPiNHistorical[[#This Row],[Shelter NFI New]]-tblPiNHistorical[[#This Row],[Shelter NFI Old]])</f>
        <v/>
      </c>
      <c r="AP724" s="138" t="str">
        <f>IF(OR(tblPiNHistorical[[#This Row],[WASH Old]]="", tblPiNHistorical[[#This Row],[WASH Old]]=0, tblPiNHistorical[[#This Row],[WASH New]]="", tblPiNHistorical[[#This Row],[WASH New]]=0), "", tblPiNHistorical[[#This Row],[WASH New]]-tblPiNHistorical[[#This Row],[WASH Old]])</f>
        <v/>
      </c>
      <c r="AQ724" s="139" t="str">
        <f>IFERROR(ROUND((tblPiNHistorical[[#This Row],[Site Management - New]] - tblPiNHistorical[[#This Row],[Site Management - Old]])/tblPiNHistorical[[#This Row],[Site Management - Old]], 1), "")</f>
        <v/>
      </c>
      <c r="AR724" s="140" t="str">
        <f>IFERROR(ROUND((tblPiNHistorical[[#This Row],[Education New]]-tblPiNHistorical[[#This Row],[Education Old]])/tblPiNHistorical[[#This Row],[Education Old]], 1), "")</f>
        <v/>
      </c>
      <c r="AS724" s="141" t="str">
        <f>IFERROR(ROUND((tblPiNHistorical[[#This Row],[Food Security and Livlihoods New]]-tblPiNHistorical[[#This Row],[Food Security and Livlihoods Old]])/tblPiNHistorical[[#This Row],[Food Security and Livlihoods Old]], 1), "")</f>
        <v/>
      </c>
      <c r="AT724" s="142" t="str">
        <f>IFERROR(ROUND((tblPiNHistorical[[#This Row],[Health New]]-tblPiNHistorical[[#This Row],[Health Old]])/tblPiNHistorical[[#This Row],[Health Old]], 1), "")</f>
        <v/>
      </c>
      <c r="AU724" s="140" t="str">
        <f>IFERROR(ROUND((tblPiNHistorical[[#This Row],[Nutrition New]]-tblPiNHistorical[[#This Row],[Nutrition Old]])/tblPiNHistorical[[#This Row],[Nutrition Old]], 1), "")</f>
        <v/>
      </c>
      <c r="AV724" s="140" t="str">
        <f>IFERROR(ROUND((tblPiNHistorical[[#This Row],[Protection New]]-tblPiNHistorical[[#This Row],[Protection Old]])/tblPiNHistorical[[#This Row],[Protection Old]], 1), "")</f>
        <v/>
      </c>
      <c r="AW724" s="84" t="str">
        <f>IFERROR(ROUND((tblPiNHistorical[[#This Row],[CP New]]-tblPiNHistorical[[#This Row],[CP Old ]])/tblPiNHistorical[[#This Row],[CP Old ]], 1), "")</f>
        <v/>
      </c>
      <c r="AX724" s="84" t="str">
        <f>IFERROR(ROUND((tblPiNHistorical[[#This Row],[GBV New]]-tblPiNHistorical[[#This Row],[GBV Old]])/tblPiNHistorical[[#This Row],[GBV Old]], 1), "")</f>
        <v/>
      </c>
      <c r="AY724" s="84" t="str">
        <f>IFERROR(ROUND((tblPiNHistorical[[#This Row],[Mine Action New]]-tblPiNHistorical[[#This Row],[Mine Action Old]])/tblPiNHistorical[[#This Row],[Mine Action Old]], 1), "")</f>
        <v/>
      </c>
      <c r="AZ724" s="140" t="str">
        <f>IFERROR(ROUND((tblPiNHistorical[[#This Row],[Shelter NFI New]]-tblPiNHistorical[[#This Row],[Shelter NFI Old]])/tblPiNHistorical[[#This Row],[Shelter NFI Old]], 1), "")</f>
        <v/>
      </c>
      <c r="BA724" s="31" t="str">
        <f>IFERROR(ROUND((tblPiNHistorical[[#This Row],[WASH New]]-tblPiNHistorical[[#This Row],[WASH Old]])/tblPiNHistorical[[#This Row],[WASH Old]], 1), "")</f>
        <v/>
      </c>
    </row>
    <row r="725" spans="1:53" ht="38.25" x14ac:dyDescent="0.25">
      <c r="A725"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Non-displaced PopulationSD07107</v>
      </c>
      <c r="B725" s="134" t="s">
        <v>188</v>
      </c>
      <c r="C725" s="124" t="s">
        <v>124</v>
      </c>
      <c r="D725" s="124" t="s">
        <v>366</v>
      </c>
      <c r="E725" s="59" t="s">
        <v>367</v>
      </c>
      <c r="F725" s="54"/>
      <c r="G725" s="29"/>
      <c r="H725" s="53">
        <v>23809</v>
      </c>
      <c r="I725" s="53" t="s">
        <v>89</v>
      </c>
      <c r="J725" s="34">
        <v>0</v>
      </c>
      <c r="K725" s="116">
        <v>9230.7492999999995</v>
      </c>
      <c r="L725" s="114">
        <v>11904.5</v>
      </c>
      <c r="M725" s="114">
        <v>0</v>
      </c>
      <c r="N725" s="114">
        <v>2554</v>
      </c>
      <c r="O725" s="114">
        <v>2618.9900000000002</v>
      </c>
      <c r="P725" s="114">
        <v>2619</v>
      </c>
      <c r="Q725" s="114">
        <v>1885</v>
      </c>
      <c r="R725" s="114">
        <v>2380.9</v>
      </c>
      <c r="S725" s="114">
        <v>0</v>
      </c>
      <c r="T725" s="196">
        <v>17282.953100000002</v>
      </c>
      <c r="U725" s="52" t="str">
        <f>IFERROR(INDEX(tblPiNAnalysis[[Site Management ]], MATCH(tblPiNHistorical[[#This Row],[ID]], tblPiNAnalysis[ID], 0)), "")</f>
        <v/>
      </c>
      <c r="V725" s="52" t="str">
        <f>IFERROR(INDEX(tblPiNAnalysis[Education], MATCH(tblPiNHistorical[[#This Row],[ID]], tblPiNAnalysis[ID], 0)), "")</f>
        <v/>
      </c>
      <c r="W725" s="28" t="str">
        <f>IFERROR(INDEX(tblPiNAnalysis[Food Security and Livlihoods], MATCH(tblPiNHistorical[[#This Row],[ID]], tblPiNAnalysis[ID], 0)), "")</f>
        <v/>
      </c>
      <c r="X725" s="28" t="str">
        <f>IFERROR(INDEX(tblPiNAnalysis[[Health ]], MATCH(tblPiNHistorical[[#This Row],[ID]], tblPiNAnalysis[ID], 0)), "")</f>
        <v/>
      </c>
      <c r="Y725" s="28" t="str">
        <f>IFERROR(INDEX(tblPiNAnalysis[Nutrition], MATCH(tblPiNHistorical[[#This Row],[ID]], tblPiNAnalysis[ID], 0)), "")</f>
        <v/>
      </c>
      <c r="Z725" s="28" t="str">
        <f>IFERROR(INDEX(tblPiNAnalysis[Protection], MATCH(tblPiNHistorical[[#This Row],[ID]], tblPiNAnalysis[ID], 0)), "")</f>
        <v/>
      </c>
      <c r="AA725" s="28" t="str">
        <f>IFERROR(INDEX(tblPiNAnalysis[CP], MATCH(tblPiNHistorical[[#This Row],[ID]], tblPiNAnalysis[ID], 0)), "")</f>
        <v/>
      </c>
      <c r="AB725" s="83" t="str">
        <f>IFERROR(INDEX(tblPiNAnalysis[GBV], MATCH(tblPiNHistorical[[#This Row],[ID]], tblPiNAnalysis[ID], 0)), "")</f>
        <v/>
      </c>
      <c r="AC725" s="28" t="str">
        <f>IFERROR(INDEX(tblPiNAnalysis[Mine Action], MATCH(tblPiNHistorical[[#This Row],[ID]], tblPiNAnalysis[ID], 0)), "")</f>
        <v/>
      </c>
      <c r="AD725" s="83" t="str">
        <f>IFERROR(INDEX(tblPiNAnalysis[[Shelter NFI ]], MATCH(tblPiNHistorical[[#This Row],[ID]], tblPiNAnalysis[ID], 0)), "")</f>
        <v/>
      </c>
      <c r="AE725" s="28" t="str">
        <f>IFERROR(INDEX(tblPiNAnalysis[WASH], MATCH(tblPiNHistorical[[#This Row],[ID]], tblPiNAnalysis[ID], 0)), "")</f>
        <v/>
      </c>
      <c r="AF725"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725" s="136" t="str">
        <f>IF(OR(tblPiNHistorical[[#This Row],[Education Old]]="", tblPiNHistorical[[#This Row],[Education Old]]=0, tblPiNHistorical[[#This Row],[Education New]]="", tblPiNHistorical[[#This Row],[Education New]]=0), "", tblPiNHistorical[[#This Row],[Education New]]-tblPiNHistorical[[#This Row],[Education Old]])</f>
        <v/>
      </c>
      <c r="AH725"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725" s="137" t="str">
        <f>IF(OR(tblPiNHistorical[[#This Row],[Health Old]]="", tblPiNHistorical[[#This Row],[Health Old]]=0, tblPiNHistorical[[#This Row],[Health New]]="", tblPiNHistorical[[#This Row],[Health New]]=0), "", tblPiNHistorical[[#This Row],[Health New]]-tblPiNHistorical[[#This Row],[Health Old]])</f>
        <v/>
      </c>
      <c r="AJ725" s="136" t="str">
        <f>IF(OR(tblPiNHistorical[[#This Row],[Nutrition Old]]="", tblPiNHistorical[[#This Row],[Nutrition Old]]=0, tblPiNHistorical[[#This Row],[Nutrition New]]="", tblPiNHistorical[[#This Row],[Nutrition New]]=0), "", tblPiNHistorical[[#This Row],[Nutrition New]]-tblPiNHistorical[[#This Row],[Nutrition Old]])</f>
        <v/>
      </c>
      <c r="AK725" s="136" t="str">
        <f>IF(OR(tblPiNHistorical[[#This Row],[Protection Old]]="", tblPiNHistorical[[#This Row],[Protection Old]]=0, tblPiNHistorical[[#This Row],[Protection New]]="", tblPiNHistorical[[#This Row],[Protection New]]=0), "", tblPiNHistorical[[#This Row],[Protection New]]-tblPiNHistorical[[#This Row],[Protection Old]])</f>
        <v/>
      </c>
      <c r="AL725" s="136" t="str">
        <f>IF(OR(tblPiNHistorical[[#This Row],[CP Old ]]="", tblPiNHistorical[[#This Row],[CP Old ]]=0, tblPiNHistorical[[#This Row],[CP New]]="", tblPiNHistorical[[#This Row],[CP New]]=0), "", tblPiNHistorical[[#This Row],[CP New]]-tblPiNHistorical[[#This Row],[CP Old ]])</f>
        <v/>
      </c>
      <c r="AM725" s="83" t="str">
        <f>IF(OR(tblPiNHistorical[[#This Row],[GBV Old]]="", tblPiNHistorical[[#This Row],[GBV Old]]=0, tblPiNHistorical[[#This Row],[GBV New]]="", tblPiNHistorical[[#This Row],[GBV New]]=0), "", tblPiNHistorical[[#This Row],[GBV New]]-tblPiNHistorical[[#This Row],[GBV Old]])</f>
        <v/>
      </c>
      <c r="AN725" s="83" t="str">
        <f>IF(OR(tblPiNHistorical[[#This Row],[Mine Action Old]]="", tblPiNHistorical[[#This Row],[Mine Action Old]]=0, tblPiNHistorical[[#This Row],[Mine Action New]]="", tblPiNHistorical[[#This Row],[Mine Action New]]=0), "", tblPiNHistorical[[#This Row],[Mine Action New]]-tblPiNHistorical[[#This Row],[Mine Action Old]])</f>
        <v/>
      </c>
      <c r="AO725" s="136" t="str">
        <f>IF(OR(tblPiNHistorical[[#This Row],[Shelter NFI Old]]="", tblPiNHistorical[[#This Row],[Shelter NFI Old]]=0, tblPiNHistorical[[#This Row],[Shelter NFI New]]="", tblPiNHistorical[[#This Row],[Shelter NFI New]]=0), "", tblPiNHistorical[[#This Row],[Shelter NFI New]]-tblPiNHistorical[[#This Row],[Shelter NFI Old]])</f>
        <v/>
      </c>
      <c r="AP725" s="138" t="str">
        <f>IF(OR(tblPiNHistorical[[#This Row],[WASH Old]]="", tblPiNHistorical[[#This Row],[WASH Old]]=0, tblPiNHistorical[[#This Row],[WASH New]]="", tblPiNHistorical[[#This Row],[WASH New]]=0), "", tblPiNHistorical[[#This Row],[WASH New]]-tblPiNHistorical[[#This Row],[WASH Old]])</f>
        <v/>
      </c>
      <c r="AQ725" s="139" t="str">
        <f>IFERROR(ROUND((tblPiNHistorical[[#This Row],[Site Management - New]] - tblPiNHistorical[[#This Row],[Site Management - Old]])/tblPiNHistorical[[#This Row],[Site Management - Old]], 1), "")</f>
        <v/>
      </c>
      <c r="AR725" s="140" t="str">
        <f>IFERROR(ROUND((tblPiNHistorical[[#This Row],[Education New]]-tblPiNHistorical[[#This Row],[Education Old]])/tblPiNHistorical[[#This Row],[Education Old]], 1), "")</f>
        <v/>
      </c>
      <c r="AS725" s="141" t="str">
        <f>IFERROR(ROUND((tblPiNHistorical[[#This Row],[Food Security and Livlihoods New]]-tblPiNHistorical[[#This Row],[Food Security and Livlihoods Old]])/tblPiNHistorical[[#This Row],[Food Security and Livlihoods Old]], 1), "")</f>
        <v/>
      </c>
      <c r="AT725" s="142" t="str">
        <f>IFERROR(ROUND((tblPiNHistorical[[#This Row],[Health New]]-tblPiNHistorical[[#This Row],[Health Old]])/tblPiNHistorical[[#This Row],[Health Old]], 1), "")</f>
        <v/>
      </c>
      <c r="AU725" s="140" t="str">
        <f>IFERROR(ROUND((tblPiNHistorical[[#This Row],[Nutrition New]]-tblPiNHistorical[[#This Row],[Nutrition Old]])/tblPiNHistorical[[#This Row],[Nutrition Old]], 1), "")</f>
        <v/>
      </c>
      <c r="AV725" s="140" t="str">
        <f>IFERROR(ROUND((tblPiNHistorical[[#This Row],[Protection New]]-tblPiNHistorical[[#This Row],[Protection Old]])/tblPiNHistorical[[#This Row],[Protection Old]], 1), "")</f>
        <v/>
      </c>
      <c r="AW725" s="84" t="str">
        <f>IFERROR(ROUND((tblPiNHistorical[[#This Row],[CP New]]-tblPiNHistorical[[#This Row],[CP Old ]])/tblPiNHistorical[[#This Row],[CP Old ]], 1), "")</f>
        <v/>
      </c>
      <c r="AX725" s="84" t="str">
        <f>IFERROR(ROUND((tblPiNHistorical[[#This Row],[GBV New]]-tblPiNHistorical[[#This Row],[GBV Old]])/tblPiNHistorical[[#This Row],[GBV Old]], 1), "")</f>
        <v/>
      </c>
      <c r="AY725" s="84" t="str">
        <f>IFERROR(ROUND((tblPiNHistorical[[#This Row],[Mine Action New]]-tblPiNHistorical[[#This Row],[Mine Action Old]])/tblPiNHistorical[[#This Row],[Mine Action Old]], 1), "")</f>
        <v/>
      </c>
      <c r="AZ725" s="140" t="str">
        <f>IFERROR(ROUND((tblPiNHistorical[[#This Row],[Shelter NFI New]]-tblPiNHistorical[[#This Row],[Shelter NFI Old]])/tblPiNHistorical[[#This Row],[Shelter NFI Old]], 1), "")</f>
        <v/>
      </c>
      <c r="BA725" s="31" t="str">
        <f>IFERROR(ROUND((tblPiNHistorical[[#This Row],[WASH New]]-tblPiNHistorical[[#This Row],[WASH Old]])/tblPiNHistorical[[#This Row],[WASH Old]], 1), "")</f>
        <v/>
      </c>
    </row>
    <row r="726" spans="1:53" ht="38.25" x14ac:dyDescent="0.25">
      <c r="A726"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Non-displaced PopulationSD07095</v>
      </c>
      <c r="B726" s="134" t="s">
        <v>188</v>
      </c>
      <c r="C726" s="124" t="s">
        <v>124</v>
      </c>
      <c r="D726" s="124" t="s">
        <v>348</v>
      </c>
      <c r="E726" s="59" t="s">
        <v>349</v>
      </c>
      <c r="F726" s="54"/>
      <c r="G726" s="29"/>
      <c r="H726" s="53">
        <v>116590</v>
      </c>
      <c r="I726" s="53" t="s">
        <v>89</v>
      </c>
      <c r="J726" s="34">
        <v>0</v>
      </c>
      <c r="K726" s="116">
        <v>45201.942999999999</v>
      </c>
      <c r="L726" s="114">
        <v>75783.5</v>
      </c>
      <c r="M726" s="114">
        <v>0</v>
      </c>
      <c r="N726" s="114">
        <v>7404</v>
      </c>
      <c r="O726" s="114">
        <v>12824.900000000001</v>
      </c>
      <c r="P726" s="114">
        <v>12825</v>
      </c>
      <c r="Q726" s="114">
        <v>9229</v>
      </c>
      <c r="R726" s="114">
        <v>11659</v>
      </c>
      <c r="S726" s="114">
        <v>23318</v>
      </c>
      <c r="T726" s="196">
        <v>65127.173999999999</v>
      </c>
      <c r="U726" s="52" t="str">
        <f>IFERROR(INDEX(tblPiNAnalysis[[Site Management ]], MATCH(tblPiNHistorical[[#This Row],[ID]], tblPiNAnalysis[ID], 0)), "")</f>
        <v/>
      </c>
      <c r="V726" s="52" t="str">
        <f>IFERROR(INDEX(tblPiNAnalysis[Education], MATCH(tblPiNHistorical[[#This Row],[ID]], tblPiNAnalysis[ID], 0)), "")</f>
        <v/>
      </c>
      <c r="W726" s="28" t="str">
        <f>IFERROR(INDEX(tblPiNAnalysis[Food Security and Livlihoods], MATCH(tblPiNHistorical[[#This Row],[ID]], tblPiNAnalysis[ID], 0)), "")</f>
        <v/>
      </c>
      <c r="X726" s="28" t="str">
        <f>IFERROR(INDEX(tblPiNAnalysis[[Health ]], MATCH(tblPiNHistorical[[#This Row],[ID]], tblPiNAnalysis[ID], 0)), "")</f>
        <v/>
      </c>
      <c r="Y726" s="28" t="str">
        <f>IFERROR(INDEX(tblPiNAnalysis[Nutrition], MATCH(tblPiNHistorical[[#This Row],[ID]], tblPiNAnalysis[ID], 0)), "")</f>
        <v/>
      </c>
      <c r="Z726" s="28" t="str">
        <f>IFERROR(INDEX(tblPiNAnalysis[Protection], MATCH(tblPiNHistorical[[#This Row],[ID]], tblPiNAnalysis[ID], 0)), "")</f>
        <v/>
      </c>
      <c r="AA726" s="28" t="str">
        <f>IFERROR(INDEX(tblPiNAnalysis[CP], MATCH(tblPiNHistorical[[#This Row],[ID]], tblPiNAnalysis[ID], 0)), "")</f>
        <v/>
      </c>
      <c r="AB726" s="83" t="str">
        <f>IFERROR(INDEX(tblPiNAnalysis[GBV], MATCH(tblPiNHistorical[[#This Row],[ID]], tblPiNAnalysis[ID], 0)), "")</f>
        <v/>
      </c>
      <c r="AC726" s="28" t="str">
        <f>IFERROR(INDEX(tblPiNAnalysis[Mine Action], MATCH(tblPiNHistorical[[#This Row],[ID]], tblPiNAnalysis[ID], 0)), "")</f>
        <v/>
      </c>
      <c r="AD726" s="83" t="str">
        <f>IFERROR(INDEX(tblPiNAnalysis[[Shelter NFI ]], MATCH(tblPiNHistorical[[#This Row],[ID]], tblPiNAnalysis[ID], 0)), "")</f>
        <v/>
      </c>
      <c r="AE726" s="28" t="str">
        <f>IFERROR(INDEX(tblPiNAnalysis[WASH], MATCH(tblPiNHistorical[[#This Row],[ID]], tblPiNAnalysis[ID], 0)), "")</f>
        <v/>
      </c>
      <c r="AF726"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726" s="136" t="str">
        <f>IF(OR(tblPiNHistorical[[#This Row],[Education Old]]="", tblPiNHistorical[[#This Row],[Education Old]]=0, tblPiNHistorical[[#This Row],[Education New]]="", tblPiNHistorical[[#This Row],[Education New]]=0), "", tblPiNHistorical[[#This Row],[Education New]]-tblPiNHistorical[[#This Row],[Education Old]])</f>
        <v/>
      </c>
      <c r="AH726"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726" s="137" t="str">
        <f>IF(OR(tblPiNHistorical[[#This Row],[Health Old]]="", tblPiNHistorical[[#This Row],[Health Old]]=0, tblPiNHistorical[[#This Row],[Health New]]="", tblPiNHistorical[[#This Row],[Health New]]=0), "", tblPiNHistorical[[#This Row],[Health New]]-tblPiNHistorical[[#This Row],[Health Old]])</f>
        <v/>
      </c>
      <c r="AJ726" s="136" t="str">
        <f>IF(OR(tblPiNHistorical[[#This Row],[Nutrition Old]]="", tblPiNHistorical[[#This Row],[Nutrition Old]]=0, tblPiNHistorical[[#This Row],[Nutrition New]]="", tblPiNHistorical[[#This Row],[Nutrition New]]=0), "", tblPiNHistorical[[#This Row],[Nutrition New]]-tblPiNHistorical[[#This Row],[Nutrition Old]])</f>
        <v/>
      </c>
      <c r="AK726" s="136" t="str">
        <f>IF(OR(tblPiNHistorical[[#This Row],[Protection Old]]="", tblPiNHistorical[[#This Row],[Protection Old]]=0, tblPiNHistorical[[#This Row],[Protection New]]="", tblPiNHistorical[[#This Row],[Protection New]]=0), "", tblPiNHistorical[[#This Row],[Protection New]]-tblPiNHistorical[[#This Row],[Protection Old]])</f>
        <v/>
      </c>
      <c r="AL726" s="136" t="str">
        <f>IF(OR(tblPiNHistorical[[#This Row],[CP Old ]]="", tblPiNHistorical[[#This Row],[CP Old ]]=0, tblPiNHistorical[[#This Row],[CP New]]="", tblPiNHistorical[[#This Row],[CP New]]=0), "", tblPiNHistorical[[#This Row],[CP New]]-tblPiNHistorical[[#This Row],[CP Old ]])</f>
        <v/>
      </c>
      <c r="AM726" s="83" t="str">
        <f>IF(OR(tblPiNHistorical[[#This Row],[GBV Old]]="", tblPiNHistorical[[#This Row],[GBV Old]]=0, tblPiNHistorical[[#This Row],[GBV New]]="", tblPiNHistorical[[#This Row],[GBV New]]=0), "", tblPiNHistorical[[#This Row],[GBV New]]-tblPiNHistorical[[#This Row],[GBV Old]])</f>
        <v/>
      </c>
      <c r="AN726" s="83" t="str">
        <f>IF(OR(tblPiNHistorical[[#This Row],[Mine Action Old]]="", tblPiNHistorical[[#This Row],[Mine Action Old]]=0, tblPiNHistorical[[#This Row],[Mine Action New]]="", tblPiNHistorical[[#This Row],[Mine Action New]]=0), "", tblPiNHistorical[[#This Row],[Mine Action New]]-tblPiNHistorical[[#This Row],[Mine Action Old]])</f>
        <v/>
      </c>
      <c r="AO726" s="136" t="str">
        <f>IF(OR(tblPiNHistorical[[#This Row],[Shelter NFI Old]]="", tblPiNHistorical[[#This Row],[Shelter NFI Old]]=0, tblPiNHistorical[[#This Row],[Shelter NFI New]]="", tblPiNHistorical[[#This Row],[Shelter NFI New]]=0), "", tblPiNHistorical[[#This Row],[Shelter NFI New]]-tblPiNHistorical[[#This Row],[Shelter NFI Old]])</f>
        <v/>
      </c>
      <c r="AP726" s="138" t="str">
        <f>IF(OR(tblPiNHistorical[[#This Row],[WASH Old]]="", tblPiNHistorical[[#This Row],[WASH Old]]=0, tblPiNHistorical[[#This Row],[WASH New]]="", tblPiNHistorical[[#This Row],[WASH New]]=0), "", tblPiNHistorical[[#This Row],[WASH New]]-tblPiNHistorical[[#This Row],[WASH Old]])</f>
        <v/>
      </c>
      <c r="AQ726" s="139" t="str">
        <f>IFERROR(ROUND((tblPiNHistorical[[#This Row],[Site Management - New]] - tblPiNHistorical[[#This Row],[Site Management - Old]])/tblPiNHistorical[[#This Row],[Site Management - Old]], 1), "")</f>
        <v/>
      </c>
      <c r="AR726" s="140" t="str">
        <f>IFERROR(ROUND((tblPiNHistorical[[#This Row],[Education New]]-tblPiNHistorical[[#This Row],[Education Old]])/tblPiNHistorical[[#This Row],[Education Old]], 1), "")</f>
        <v/>
      </c>
      <c r="AS726" s="141" t="str">
        <f>IFERROR(ROUND((tblPiNHistorical[[#This Row],[Food Security and Livlihoods New]]-tblPiNHistorical[[#This Row],[Food Security and Livlihoods Old]])/tblPiNHistorical[[#This Row],[Food Security and Livlihoods Old]], 1), "")</f>
        <v/>
      </c>
      <c r="AT726" s="142" t="str">
        <f>IFERROR(ROUND((tblPiNHistorical[[#This Row],[Health New]]-tblPiNHistorical[[#This Row],[Health Old]])/tblPiNHistorical[[#This Row],[Health Old]], 1), "")</f>
        <v/>
      </c>
      <c r="AU726" s="140" t="str">
        <f>IFERROR(ROUND((tblPiNHistorical[[#This Row],[Nutrition New]]-tblPiNHistorical[[#This Row],[Nutrition Old]])/tblPiNHistorical[[#This Row],[Nutrition Old]], 1), "")</f>
        <v/>
      </c>
      <c r="AV726" s="140" t="str">
        <f>IFERROR(ROUND((tblPiNHistorical[[#This Row],[Protection New]]-tblPiNHistorical[[#This Row],[Protection Old]])/tblPiNHistorical[[#This Row],[Protection Old]], 1), "")</f>
        <v/>
      </c>
      <c r="AW726" s="84" t="str">
        <f>IFERROR(ROUND((tblPiNHistorical[[#This Row],[CP New]]-tblPiNHistorical[[#This Row],[CP Old ]])/tblPiNHistorical[[#This Row],[CP Old ]], 1), "")</f>
        <v/>
      </c>
      <c r="AX726" s="84" t="str">
        <f>IFERROR(ROUND((tblPiNHistorical[[#This Row],[GBV New]]-tblPiNHistorical[[#This Row],[GBV Old]])/tblPiNHistorical[[#This Row],[GBV Old]], 1), "")</f>
        <v/>
      </c>
      <c r="AY726" s="84" t="str">
        <f>IFERROR(ROUND((tblPiNHistorical[[#This Row],[Mine Action New]]-tblPiNHistorical[[#This Row],[Mine Action Old]])/tblPiNHistorical[[#This Row],[Mine Action Old]], 1), "")</f>
        <v/>
      </c>
      <c r="AZ726" s="140" t="str">
        <f>IFERROR(ROUND((tblPiNHistorical[[#This Row],[Shelter NFI New]]-tblPiNHistorical[[#This Row],[Shelter NFI Old]])/tblPiNHistorical[[#This Row],[Shelter NFI Old]], 1), "")</f>
        <v/>
      </c>
      <c r="BA726" s="31" t="str">
        <f>IFERROR(ROUND((tblPiNHistorical[[#This Row],[WASH New]]-tblPiNHistorical[[#This Row],[WASH Old]])/tblPiNHistorical[[#This Row],[WASH Old]], 1), "")</f>
        <v/>
      </c>
    </row>
    <row r="727" spans="1:53" ht="38.25" x14ac:dyDescent="0.25">
      <c r="A727"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Non-displaced PopulationSD07108</v>
      </c>
      <c r="B727" s="134" t="s">
        <v>188</v>
      </c>
      <c r="C727" s="124" t="s">
        <v>124</v>
      </c>
      <c r="D727" s="124" t="s">
        <v>368</v>
      </c>
      <c r="E727" s="59" t="s">
        <v>369</v>
      </c>
      <c r="F727" s="54"/>
      <c r="G727" s="29"/>
      <c r="H727" s="53">
        <v>0</v>
      </c>
      <c r="I727" s="53" t="s">
        <v>89</v>
      </c>
      <c r="J727" s="34">
        <v>0</v>
      </c>
      <c r="K727" s="116">
        <v>0</v>
      </c>
      <c r="L727" s="114">
        <v>0</v>
      </c>
      <c r="M727" s="114">
        <v>0</v>
      </c>
      <c r="N727" s="114">
        <v>3441</v>
      </c>
      <c r="O727" s="114">
        <v>0</v>
      </c>
      <c r="P727" s="114">
        <v>0</v>
      </c>
      <c r="Q727" s="114">
        <v>0</v>
      </c>
      <c r="R727" s="114">
        <v>0</v>
      </c>
      <c r="S727" s="114">
        <v>0</v>
      </c>
      <c r="T727" s="196">
        <v>0</v>
      </c>
      <c r="U727" s="52" t="str">
        <f>IFERROR(INDEX(tblPiNAnalysis[[Site Management ]], MATCH(tblPiNHistorical[[#This Row],[ID]], tblPiNAnalysis[ID], 0)), "")</f>
        <v/>
      </c>
      <c r="V727" s="52" t="str">
        <f>IFERROR(INDEX(tblPiNAnalysis[Education], MATCH(tblPiNHistorical[[#This Row],[ID]], tblPiNAnalysis[ID], 0)), "")</f>
        <v/>
      </c>
      <c r="W727" s="28" t="str">
        <f>IFERROR(INDEX(tblPiNAnalysis[Food Security and Livlihoods], MATCH(tblPiNHistorical[[#This Row],[ID]], tblPiNAnalysis[ID], 0)), "")</f>
        <v/>
      </c>
      <c r="X727" s="28" t="str">
        <f>IFERROR(INDEX(tblPiNAnalysis[[Health ]], MATCH(tblPiNHistorical[[#This Row],[ID]], tblPiNAnalysis[ID], 0)), "")</f>
        <v/>
      </c>
      <c r="Y727" s="28" t="str">
        <f>IFERROR(INDEX(tblPiNAnalysis[Nutrition], MATCH(tblPiNHistorical[[#This Row],[ID]], tblPiNAnalysis[ID], 0)), "")</f>
        <v/>
      </c>
      <c r="Z727" s="28" t="str">
        <f>IFERROR(INDEX(tblPiNAnalysis[Protection], MATCH(tblPiNHistorical[[#This Row],[ID]], tblPiNAnalysis[ID], 0)), "")</f>
        <v/>
      </c>
      <c r="AA727" s="28" t="str">
        <f>IFERROR(INDEX(tblPiNAnalysis[CP], MATCH(tblPiNHistorical[[#This Row],[ID]], tblPiNAnalysis[ID], 0)), "")</f>
        <v/>
      </c>
      <c r="AB727" s="83" t="str">
        <f>IFERROR(INDEX(tblPiNAnalysis[GBV], MATCH(tblPiNHistorical[[#This Row],[ID]], tblPiNAnalysis[ID], 0)), "")</f>
        <v/>
      </c>
      <c r="AC727" s="28" t="str">
        <f>IFERROR(INDEX(tblPiNAnalysis[Mine Action], MATCH(tblPiNHistorical[[#This Row],[ID]], tblPiNAnalysis[ID], 0)), "")</f>
        <v/>
      </c>
      <c r="AD727" s="83" t="str">
        <f>IFERROR(INDEX(tblPiNAnalysis[[Shelter NFI ]], MATCH(tblPiNHistorical[[#This Row],[ID]], tblPiNAnalysis[ID], 0)), "")</f>
        <v/>
      </c>
      <c r="AE727" s="28" t="str">
        <f>IFERROR(INDEX(tblPiNAnalysis[WASH], MATCH(tblPiNHistorical[[#This Row],[ID]], tblPiNAnalysis[ID], 0)), "")</f>
        <v/>
      </c>
      <c r="AF727"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727" s="136" t="str">
        <f>IF(OR(tblPiNHistorical[[#This Row],[Education Old]]="", tblPiNHistorical[[#This Row],[Education Old]]=0, tblPiNHistorical[[#This Row],[Education New]]="", tblPiNHistorical[[#This Row],[Education New]]=0), "", tblPiNHistorical[[#This Row],[Education New]]-tblPiNHistorical[[#This Row],[Education Old]])</f>
        <v/>
      </c>
      <c r="AH727"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727" s="137" t="str">
        <f>IF(OR(tblPiNHistorical[[#This Row],[Health Old]]="", tblPiNHistorical[[#This Row],[Health Old]]=0, tblPiNHistorical[[#This Row],[Health New]]="", tblPiNHistorical[[#This Row],[Health New]]=0), "", tblPiNHistorical[[#This Row],[Health New]]-tblPiNHistorical[[#This Row],[Health Old]])</f>
        <v/>
      </c>
      <c r="AJ727" s="136" t="str">
        <f>IF(OR(tblPiNHistorical[[#This Row],[Nutrition Old]]="", tblPiNHistorical[[#This Row],[Nutrition Old]]=0, tblPiNHistorical[[#This Row],[Nutrition New]]="", tblPiNHistorical[[#This Row],[Nutrition New]]=0), "", tblPiNHistorical[[#This Row],[Nutrition New]]-tblPiNHistorical[[#This Row],[Nutrition Old]])</f>
        <v/>
      </c>
      <c r="AK727" s="136" t="str">
        <f>IF(OR(tblPiNHistorical[[#This Row],[Protection Old]]="", tblPiNHistorical[[#This Row],[Protection Old]]=0, tblPiNHistorical[[#This Row],[Protection New]]="", tblPiNHistorical[[#This Row],[Protection New]]=0), "", tblPiNHistorical[[#This Row],[Protection New]]-tblPiNHistorical[[#This Row],[Protection Old]])</f>
        <v/>
      </c>
      <c r="AL727" s="136" t="str">
        <f>IF(OR(tblPiNHistorical[[#This Row],[CP Old ]]="", tblPiNHistorical[[#This Row],[CP Old ]]=0, tblPiNHistorical[[#This Row],[CP New]]="", tblPiNHistorical[[#This Row],[CP New]]=0), "", tblPiNHistorical[[#This Row],[CP New]]-tblPiNHistorical[[#This Row],[CP Old ]])</f>
        <v/>
      </c>
      <c r="AM727" s="83" t="str">
        <f>IF(OR(tblPiNHistorical[[#This Row],[GBV Old]]="", tblPiNHistorical[[#This Row],[GBV Old]]=0, tblPiNHistorical[[#This Row],[GBV New]]="", tblPiNHistorical[[#This Row],[GBV New]]=0), "", tblPiNHistorical[[#This Row],[GBV New]]-tblPiNHistorical[[#This Row],[GBV Old]])</f>
        <v/>
      </c>
      <c r="AN727" s="83" t="str">
        <f>IF(OR(tblPiNHistorical[[#This Row],[Mine Action Old]]="", tblPiNHistorical[[#This Row],[Mine Action Old]]=0, tblPiNHistorical[[#This Row],[Mine Action New]]="", tblPiNHistorical[[#This Row],[Mine Action New]]=0), "", tblPiNHistorical[[#This Row],[Mine Action New]]-tblPiNHistorical[[#This Row],[Mine Action Old]])</f>
        <v/>
      </c>
      <c r="AO727" s="136" t="str">
        <f>IF(OR(tblPiNHistorical[[#This Row],[Shelter NFI Old]]="", tblPiNHistorical[[#This Row],[Shelter NFI Old]]=0, tblPiNHistorical[[#This Row],[Shelter NFI New]]="", tblPiNHistorical[[#This Row],[Shelter NFI New]]=0), "", tblPiNHistorical[[#This Row],[Shelter NFI New]]-tblPiNHistorical[[#This Row],[Shelter NFI Old]])</f>
        <v/>
      </c>
      <c r="AP727" s="138" t="str">
        <f>IF(OR(tblPiNHistorical[[#This Row],[WASH Old]]="", tblPiNHistorical[[#This Row],[WASH Old]]=0, tblPiNHistorical[[#This Row],[WASH New]]="", tblPiNHistorical[[#This Row],[WASH New]]=0), "", tblPiNHistorical[[#This Row],[WASH New]]-tblPiNHistorical[[#This Row],[WASH Old]])</f>
        <v/>
      </c>
      <c r="AQ727" s="139" t="str">
        <f>IFERROR(ROUND((tblPiNHistorical[[#This Row],[Site Management - New]] - tblPiNHistorical[[#This Row],[Site Management - Old]])/tblPiNHistorical[[#This Row],[Site Management - Old]], 1), "")</f>
        <v/>
      </c>
      <c r="AR727" s="140" t="str">
        <f>IFERROR(ROUND((tblPiNHistorical[[#This Row],[Education New]]-tblPiNHistorical[[#This Row],[Education Old]])/tblPiNHistorical[[#This Row],[Education Old]], 1), "")</f>
        <v/>
      </c>
      <c r="AS727" s="141" t="str">
        <f>IFERROR(ROUND((tblPiNHistorical[[#This Row],[Food Security and Livlihoods New]]-tblPiNHistorical[[#This Row],[Food Security and Livlihoods Old]])/tblPiNHistorical[[#This Row],[Food Security and Livlihoods Old]], 1), "")</f>
        <v/>
      </c>
      <c r="AT727" s="142" t="str">
        <f>IFERROR(ROUND((tblPiNHistorical[[#This Row],[Health New]]-tblPiNHistorical[[#This Row],[Health Old]])/tblPiNHistorical[[#This Row],[Health Old]], 1), "")</f>
        <v/>
      </c>
      <c r="AU727" s="140" t="str">
        <f>IFERROR(ROUND((tblPiNHistorical[[#This Row],[Nutrition New]]-tblPiNHistorical[[#This Row],[Nutrition Old]])/tblPiNHistorical[[#This Row],[Nutrition Old]], 1), "")</f>
        <v/>
      </c>
      <c r="AV727" s="140" t="str">
        <f>IFERROR(ROUND((tblPiNHistorical[[#This Row],[Protection New]]-tblPiNHistorical[[#This Row],[Protection Old]])/tblPiNHistorical[[#This Row],[Protection Old]], 1), "")</f>
        <v/>
      </c>
      <c r="AW727" s="84" t="str">
        <f>IFERROR(ROUND((tblPiNHistorical[[#This Row],[CP New]]-tblPiNHistorical[[#This Row],[CP Old ]])/tblPiNHistorical[[#This Row],[CP Old ]], 1), "")</f>
        <v/>
      </c>
      <c r="AX727" s="84" t="str">
        <f>IFERROR(ROUND((tblPiNHistorical[[#This Row],[GBV New]]-tblPiNHistorical[[#This Row],[GBV Old]])/tblPiNHistorical[[#This Row],[GBV Old]], 1), "")</f>
        <v/>
      </c>
      <c r="AY727" s="84" t="str">
        <f>IFERROR(ROUND((tblPiNHistorical[[#This Row],[Mine Action New]]-tblPiNHistorical[[#This Row],[Mine Action Old]])/tblPiNHistorical[[#This Row],[Mine Action Old]], 1), "")</f>
        <v/>
      </c>
      <c r="AZ727" s="140" t="str">
        <f>IFERROR(ROUND((tblPiNHistorical[[#This Row],[Shelter NFI New]]-tblPiNHistorical[[#This Row],[Shelter NFI Old]])/tblPiNHistorical[[#This Row],[Shelter NFI Old]], 1), "")</f>
        <v/>
      </c>
      <c r="BA727" s="31" t="str">
        <f>IFERROR(ROUND((tblPiNHistorical[[#This Row],[WASH New]]-tblPiNHistorical[[#This Row],[WASH Old]])/tblPiNHistorical[[#This Row],[WASH Old]], 1), "")</f>
        <v/>
      </c>
    </row>
    <row r="728" spans="1:53" ht="38.25" x14ac:dyDescent="0.25">
      <c r="A728"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Non-displaced PopulationSD07103</v>
      </c>
      <c r="B728" s="134" t="s">
        <v>188</v>
      </c>
      <c r="C728" s="124" t="s">
        <v>124</v>
      </c>
      <c r="D728" s="124" t="s">
        <v>358</v>
      </c>
      <c r="E728" s="59" t="s">
        <v>359</v>
      </c>
      <c r="F728" s="54"/>
      <c r="G728" s="29"/>
      <c r="H728" s="53">
        <v>31492.65</v>
      </c>
      <c r="I728" s="53" t="s">
        <v>89</v>
      </c>
      <c r="J728" s="34">
        <v>0</v>
      </c>
      <c r="K728" s="116">
        <v>12209.700405</v>
      </c>
      <c r="L728" s="114">
        <v>15746.325000000001</v>
      </c>
      <c r="M728" s="114">
        <v>0</v>
      </c>
      <c r="N728" s="114">
        <v>5187</v>
      </c>
      <c r="O728" s="114">
        <v>12597.060000000001</v>
      </c>
      <c r="P728" s="114">
        <v>3464</v>
      </c>
      <c r="Q728" s="114">
        <v>2492</v>
      </c>
      <c r="R728" s="114">
        <v>12597.060000000001</v>
      </c>
      <c r="S728" s="114">
        <v>6299</v>
      </c>
      <c r="T728" s="196">
        <v>27612.755520000002</v>
      </c>
      <c r="U728" s="52" t="str">
        <f>IFERROR(INDEX(tblPiNAnalysis[[Site Management ]], MATCH(tblPiNHistorical[[#This Row],[ID]], tblPiNAnalysis[ID], 0)), "")</f>
        <v/>
      </c>
      <c r="V728" s="52" t="str">
        <f>IFERROR(INDEX(tblPiNAnalysis[Education], MATCH(tblPiNHistorical[[#This Row],[ID]], tblPiNAnalysis[ID], 0)), "")</f>
        <v/>
      </c>
      <c r="W728" s="28" t="str">
        <f>IFERROR(INDEX(tblPiNAnalysis[Food Security and Livlihoods], MATCH(tblPiNHistorical[[#This Row],[ID]], tblPiNAnalysis[ID], 0)), "")</f>
        <v/>
      </c>
      <c r="X728" s="28" t="str">
        <f>IFERROR(INDEX(tblPiNAnalysis[[Health ]], MATCH(tblPiNHistorical[[#This Row],[ID]], tblPiNAnalysis[ID], 0)), "")</f>
        <v/>
      </c>
      <c r="Y728" s="28" t="str">
        <f>IFERROR(INDEX(tblPiNAnalysis[Nutrition], MATCH(tblPiNHistorical[[#This Row],[ID]], tblPiNAnalysis[ID], 0)), "")</f>
        <v/>
      </c>
      <c r="Z728" s="28" t="str">
        <f>IFERROR(INDEX(tblPiNAnalysis[Protection], MATCH(tblPiNHistorical[[#This Row],[ID]], tblPiNAnalysis[ID], 0)), "")</f>
        <v/>
      </c>
      <c r="AA728" s="28" t="str">
        <f>IFERROR(INDEX(tblPiNAnalysis[CP], MATCH(tblPiNHistorical[[#This Row],[ID]], tblPiNAnalysis[ID], 0)), "")</f>
        <v/>
      </c>
      <c r="AB728" s="83" t="str">
        <f>IFERROR(INDEX(tblPiNAnalysis[GBV], MATCH(tblPiNHistorical[[#This Row],[ID]], tblPiNAnalysis[ID], 0)), "")</f>
        <v/>
      </c>
      <c r="AC728" s="28" t="str">
        <f>IFERROR(INDEX(tblPiNAnalysis[Mine Action], MATCH(tblPiNHistorical[[#This Row],[ID]], tblPiNAnalysis[ID], 0)), "")</f>
        <v/>
      </c>
      <c r="AD728" s="83" t="str">
        <f>IFERROR(INDEX(tblPiNAnalysis[[Shelter NFI ]], MATCH(tblPiNHistorical[[#This Row],[ID]], tblPiNAnalysis[ID], 0)), "")</f>
        <v/>
      </c>
      <c r="AE728" s="28" t="str">
        <f>IFERROR(INDEX(tblPiNAnalysis[WASH], MATCH(tblPiNHistorical[[#This Row],[ID]], tblPiNAnalysis[ID], 0)), "")</f>
        <v/>
      </c>
      <c r="AF728"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728" s="136" t="str">
        <f>IF(OR(tblPiNHistorical[[#This Row],[Education Old]]="", tblPiNHistorical[[#This Row],[Education Old]]=0, tblPiNHistorical[[#This Row],[Education New]]="", tblPiNHistorical[[#This Row],[Education New]]=0), "", tblPiNHistorical[[#This Row],[Education New]]-tblPiNHistorical[[#This Row],[Education Old]])</f>
        <v/>
      </c>
      <c r="AH728"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728" s="137" t="str">
        <f>IF(OR(tblPiNHistorical[[#This Row],[Health Old]]="", tblPiNHistorical[[#This Row],[Health Old]]=0, tblPiNHistorical[[#This Row],[Health New]]="", tblPiNHistorical[[#This Row],[Health New]]=0), "", tblPiNHistorical[[#This Row],[Health New]]-tblPiNHistorical[[#This Row],[Health Old]])</f>
        <v/>
      </c>
      <c r="AJ728" s="136" t="str">
        <f>IF(OR(tblPiNHistorical[[#This Row],[Nutrition Old]]="", tblPiNHistorical[[#This Row],[Nutrition Old]]=0, tblPiNHistorical[[#This Row],[Nutrition New]]="", tblPiNHistorical[[#This Row],[Nutrition New]]=0), "", tblPiNHistorical[[#This Row],[Nutrition New]]-tblPiNHistorical[[#This Row],[Nutrition Old]])</f>
        <v/>
      </c>
      <c r="AK728" s="136" t="str">
        <f>IF(OR(tblPiNHistorical[[#This Row],[Protection Old]]="", tblPiNHistorical[[#This Row],[Protection Old]]=0, tblPiNHistorical[[#This Row],[Protection New]]="", tblPiNHistorical[[#This Row],[Protection New]]=0), "", tblPiNHistorical[[#This Row],[Protection New]]-tblPiNHistorical[[#This Row],[Protection Old]])</f>
        <v/>
      </c>
      <c r="AL728" s="136" t="str">
        <f>IF(OR(tblPiNHistorical[[#This Row],[CP Old ]]="", tblPiNHistorical[[#This Row],[CP Old ]]=0, tblPiNHistorical[[#This Row],[CP New]]="", tblPiNHistorical[[#This Row],[CP New]]=0), "", tblPiNHistorical[[#This Row],[CP New]]-tblPiNHistorical[[#This Row],[CP Old ]])</f>
        <v/>
      </c>
      <c r="AM728" s="83" t="str">
        <f>IF(OR(tblPiNHistorical[[#This Row],[GBV Old]]="", tblPiNHistorical[[#This Row],[GBV Old]]=0, tblPiNHistorical[[#This Row],[GBV New]]="", tblPiNHistorical[[#This Row],[GBV New]]=0), "", tblPiNHistorical[[#This Row],[GBV New]]-tblPiNHistorical[[#This Row],[GBV Old]])</f>
        <v/>
      </c>
      <c r="AN728" s="83" t="str">
        <f>IF(OR(tblPiNHistorical[[#This Row],[Mine Action Old]]="", tblPiNHistorical[[#This Row],[Mine Action Old]]=0, tblPiNHistorical[[#This Row],[Mine Action New]]="", tblPiNHistorical[[#This Row],[Mine Action New]]=0), "", tblPiNHistorical[[#This Row],[Mine Action New]]-tblPiNHistorical[[#This Row],[Mine Action Old]])</f>
        <v/>
      </c>
      <c r="AO728" s="136" t="str">
        <f>IF(OR(tblPiNHistorical[[#This Row],[Shelter NFI Old]]="", tblPiNHistorical[[#This Row],[Shelter NFI Old]]=0, tblPiNHistorical[[#This Row],[Shelter NFI New]]="", tblPiNHistorical[[#This Row],[Shelter NFI New]]=0), "", tblPiNHistorical[[#This Row],[Shelter NFI New]]-tblPiNHistorical[[#This Row],[Shelter NFI Old]])</f>
        <v/>
      </c>
      <c r="AP728" s="138" t="str">
        <f>IF(OR(tblPiNHistorical[[#This Row],[WASH Old]]="", tblPiNHistorical[[#This Row],[WASH Old]]=0, tblPiNHistorical[[#This Row],[WASH New]]="", tblPiNHistorical[[#This Row],[WASH New]]=0), "", tblPiNHistorical[[#This Row],[WASH New]]-tblPiNHistorical[[#This Row],[WASH Old]])</f>
        <v/>
      </c>
      <c r="AQ728" s="139" t="str">
        <f>IFERROR(ROUND((tblPiNHistorical[[#This Row],[Site Management - New]] - tblPiNHistorical[[#This Row],[Site Management - Old]])/tblPiNHistorical[[#This Row],[Site Management - Old]], 1), "")</f>
        <v/>
      </c>
      <c r="AR728" s="140" t="str">
        <f>IFERROR(ROUND((tblPiNHistorical[[#This Row],[Education New]]-tblPiNHistorical[[#This Row],[Education Old]])/tblPiNHistorical[[#This Row],[Education Old]], 1), "")</f>
        <v/>
      </c>
      <c r="AS728" s="141" t="str">
        <f>IFERROR(ROUND((tblPiNHistorical[[#This Row],[Food Security and Livlihoods New]]-tblPiNHistorical[[#This Row],[Food Security and Livlihoods Old]])/tblPiNHistorical[[#This Row],[Food Security and Livlihoods Old]], 1), "")</f>
        <v/>
      </c>
      <c r="AT728" s="142" t="str">
        <f>IFERROR(ROUND((tblPiNHistorical[[#This Row],[Health New]]-tblPiNHistorical[[#This Row],[Health Old]])/tblPiNHistorical[[#This Row],[Health Old]], 1), "")</f>
        <v/>
      </c>
      <c r="AU728" s="140" t="str">
        <f>IFERROR(ROUND((tblPiNHistorical[[#This Row],[Nutrition New]]-tblPiNHistorical[[#This Row],[Nutrition Old]])/tblPiNHistorical[[#This Row],[Nutrition Old]], 1), "")</f>
        <v/>
      </c>
      <c r="AV728" s="140" t="str">
        <f>IFERROR(ROUND((tblPiNHistorical[[#This Row],[Protection New]]-tblPiNHistorical[[#This Row],[Protection Old]])/tblPiNHistorical[[#This Row],[Protection Old]], 1), "")</f>
        <v/>
      </c>
      <c r="AW728" s="84" t="str">
        <f>IFERROR(ROUND((tblPiNHistorical[[#This Row],[CP New]]-tblPiNHistorical[[#This Row],[CP Old ]])/tblPiNHistorical[[#This Row],[CP Old ]], 1), "")</f>
        <v/>
      </c>
      <c r="AX728" s="84" t="str">
        <f>IFERROR(ROUND((tblPiNHistorical[[#This Row],[GBV New]]-tblPiNHistorical[[#This Row],[GBV Old]])/tblPiNHistorical[[#This Row],[GBV Old]], 1), "")</f>
        <v/>
      </c>
      <c r="AY728" s="84" t="str">
        <f>IFERROR(ROUND((tblPiNHistorical[[#This Row],[Mine Action New]]-tblPiNHistorical[[#This Row],[Mine Action Old]])/tblPiNHistorical[[#This Row],[Mine Action Old]], 1), "")</f>
        <v/>
      </c>
      <c r="AZ728" s="140" t="str">
        <f>IFERROR(ROUND((tblPiNHistorical[[#This Row],[Shelter NFI New]]-tblPiNHistorical[[#This Row],[Shelter NFI Old]])/tblPiNHistorical[[#This Row],[Shelter NFI Old]], 1), "")</f>
        <v/>
      </c>
      <c r="BA728" s="31" t="str">
        <f>IFERROR(ROUND((tblPiNHistorical[[#This Row],[WASH New]]-tblPiNHistorical[[#This Row],[WASH Old]])/tblPiNHistorical[[#This Row],[WASH Old]], 1), "")</f>
        <v/>
      </c>
    </row>
    <row r="729" spans="1:53" ht="38.25" x14ac:dyDescent="0.25">
      <c r="A729"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Non-displaced PopulationSD07096</v>
      </c>
      <c r="B729" s="134" t="s">
        <v>188</v>
      </c>
      <c r="C729" s="124" t="s">
        <v>124</v>
      </c>
      <c r="D729" s="124" t="s">
        <v>350</v>
      </c>
      <c r="E729" s="59" t="s">
        <v>351</v>
      </c>
      <c r="F729" s="54"/>
      <c r="G729" s="29"/>
      <c r="H729" s="53">
        <v>125134</v>
      </c>
      <c r="I729" s="53" t="s">
        <v>89</v>
      </c>
      <c r="J729" s="34">
        <v>0</v>
      </c>
      <c r="K729" s="116">
        <v>0</v>
      </c>
      <c r="L729" s="114">
        <v>62567</v>
      </c>
      <c r="M729" s="114">
        <v>0</v>
      </c>
      <c r="N729" s="114">
        <v>17329</v>
      </c>
      <c r="O729" s="114">
        <v>13764.740000000003</v>
      </c>
      <c r="P729" s="114">
        <v>13765</v>
      </c>
      <c r="Q729" s="114">
        <v>9906</v>
      </c>
      <c r="R729" s="114">
        <v>12513.400000000001</v>
      </c>
      <c r="S729" s="114">
        <v>25027</v>
      </c>
      <c r="T729" s="196">
        <v>104511.91679999999</v>
      </c>
      <c r="U729" s="52" t="str">
        <f>IFERROR(INDEX(tblPiNAnalysis[[Site Management ]], MATCH(tblPiNHistorical[[#This Row],[ID]], tblPiNAnalysis[ID], 0)), "")</f>
        <v/>
      </c>
      <c r="V729" s="52" t="str">
        <f>IFERROR(INDEX(tblPiNAnalysis[Education], MATCH(tblPiNHistorical[[#This Row],[ID]], tblPiNAnalysis[ID], 0)), "")</f>
        <v/>
      </c>
      <c r="W729" s="28" t="str">
        <f>IFERROR(INDEX(tblPiNAnalysis[Food Security and Livlihoods], MATCH(tblPiNHistorical[[#This Row],[ID]], tblPiNAnalysis[ID], 0)), "")</f>
        <v/>
      </c>
      <c r="X729" s="28" t="str">
        <f>IFERROR(INDEX(tblPiNAnalysis[[Health ]], MATCH(tblPiNHistorical[[#This Row],[ID]], tblPiNAnalysis[ID], 0)), "")</f>
        <v/>
      </c>
      <c r="Y729" s="28" t="str">
        <f>IFERROR(INDEX(tblPiNAnalysis[Nutrition], MATCH(tblPiNHistorical[[#This Row],[ID]], tblPiNAnalysis[ID], 0)), "")</f>
        <v/>
      </c>
      <c r="Z729" s="28" t="str">
        <f>IFERROR(INDEX(tblPiNAnalysis[Protection], MATCH(tblPiNHistorical[[#This Row],[ID]], tblPiNAnalysis[ID], 0)), "")</f>
        <v/>
      </c>
      <c r="AA729" s="28" t="str">
        <f>IFERROR(INDEX(tblPiNAnalysis[CP], MATCH(tblPiNHistorical[[#This Row],[ID]], tblPiNAnalysis[ID], 0)), "")</f>
        <v/>
      </c>
      <c r="AB729" s="83" t="str">
        <f>IFERROR(INDEX(tblPiNAnalysis[GBV], MATCH(tblPiNHistorical[[#This Row],[ID]], tblPiNAnalysis[ID], 0)), "")</f>
        <v/>
      </c>
      <c r="AC729" s="28" t="str">
        <f>IFERROR(INDEX(tblPiNAnalysis[Mine Action], MATCH(tblPiNHistorical[[#This Row],[ID]], tblPiNAnalysis[ID], 0)), "")</f>
        <v/>
      </c>
      <c r="AD729" s="83" t="str">
        <f>IFERROR(INDEX(tblPiNAnalysis[[Shelter NFI ]], MATCH(tblPiNHistorical[[#This Row],[ID]], tblPiNAnalysis[ID], 0)), "")</f>
        <v/>
      </c>
      <c r="AE729" s="28" t="str">
        <f>IFERROR(INDEX(tblPiNAnalysis[WASH], MATCH(tblPiNHistorical[[#This Row],[ID]], tblPiNAnalysis[ID], 0)), "")</f>
        <v/>
      </c>
      <c r="AF729"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729" s="136" t="str">
        <f>IF(OR(tblPiNHistorical[[#This Row],[Education Old]]="", tblPiNHistorical[[#This Row],[Education Old]]=0, tblPiNHistorical[[#This Row],[Education New]]="", tblPiNHistorical[[#This Row],[Education New]]=0), "", tblPiNHistorical[[#This Row],[Education New]]-tblPiNHistorical[[#This Row],[Education Old]])</f>
        <v/>
      </c>
      <c r="AH729"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729" s="137" t="str">
        <f>IF(OR(tblPiNHistorical[[#This Row],[Health Old]]="", tblPiNHistorical[[#This Row],[Health Old]]=0, tblPiNHistorical[[#This Row],[Health New]]="", tblPiNHistorical[[#This Row],[Health New]]=0), "", tblPiNHistorical[[#This Row],[Health New]]-tblPiNHistorical[[#This Row],[Health Old]])</f>
        <v/>
      </c>
      <c r="AJ729" s="136" t="str">
        <f>IF(OR(tblPiNHistorical[[#This Row],[Nutrition Old]]="", tblPiNHistorical[[#This Row],[Nutrition Old]]=0, tblPiNHistorical[[#This Row],[Nutrition New]]="", tblPiNHistorical[[#This Row],[Nutrition New]]=0), "", tblPiNHistorical[[#This Row],[Nutrition New]]-tblPiNHistorical[[#This Row],[Nutrition Old]])</f>
        <v/>
      </c>
      <c r="AK729" s="136" t="str">
        <f>IF(OR(tblPiNHistorical[[#This Row],[Protection Old]]="", tblPiNHistorical[[#This Row],[Protection Old]]=0, tblPiNHistorical[[#This Row],[Protection New]]="", tblPiNHistorical[[#This Row],[Protection New]]=0), "", tblPiNHistorical[[#This Row],[Protection New]]-tblPiNHistorical[[#This Row],[Protection Old]])</f>
        <v/>
      </c>
      <c r="AL729" s="136" t="str">
        <f>IF(OR(tblPiNHistorical[[#This Row],[CP Old ]]="", tblPiNHistorical[[#This Row],[CP Old ]]=0, tblPiNHistorical[[#This Row],[CP New]]="", tblPiNHistorical[[#This Row],[CP New]]=0), "", tblPiNHistorical[[#This Row],[CP New]]-tblPiNHistorical[[#This Row],[CP Old ]])</f>
        <v/>
      </c>
      <c r="AM729" s="83" t="str">
        <f>IF(OR(tblPiNHistorical[[#This Row],[GBV Old]]="", tblPiNHistorical[[#This Row],[GBV Old]]=0, tblPiNHistorical[[#This Row],[GBV New]]="", tblPiNHistorical[[#This Row],[GBV New]]=0), "", tblPiNHistorical[[#This Row],[GBV New]]-tblPiNHistorical[[#This Row],[GBV Old]])</f>
        <v/>
      </c>
      <c r="AN729" s="83" t="str">
        <f>IF(OR(tblPiNHistorical[[#This Row],[Mine Action Old]]="", tblPiNHistorical[[#This Row],[Mine Action Old]]=0, tblPiNHistorical[[#This Row],[Mine Action New]]="", tblPiNHistorical[[#This Row],[Mine Action New]]=0), "", tblPiNHistorical[[#This Row],[Mine Action New]]-tblPiNHistorical[[#This Row],[Mine Action Old]])</f>
        <v/>
      </c>
      <c r="AO729" s="136" t="str">
        <f>IF(OR(tblPiNHistorical[[#This Row],[Shelter NFI Old]]="", tblPiNHistorical[[#This Row],[Shelter NFI Old]]=0, tblPiNHistorical[[#This Row],[Shelter NFI New]]="", tblPiNHistorical[[#This Row],[Shelter NFI New]]=0), "", tblPiNHistorical[[#This Row],[Shelter NFI New]]-tblPiNHistorical[[#This Row],[Shelter NFI Old]])</f>
        <v/>
      </c>
      <c r="AP729" s="138" t="str">
        <f>IF(OR(tblPiNHistorical[[#This Row],[WASH Old]]="", tblPiNHistorical[[#This Row],[WASH Old]]=0, tblPiNHistorical[[#This Row],[WASH New]]="", tblPiNHistorical[[#This Row],[WASH New]]=0), "", tblPiNHistorical[[#This Row],[WASH New]]-tblPiNHistorical[[#This Row],[WASH Old]])</f>
        <v/>
      </c>
      <c r="AQ729" s="139" t="str">
        <f>IFERROR(ROUND((tblPiNHistorical[[#This Row],[Site Management - New]] - tblPiNHistorical[[#This Row],[Site Management - Old]])/tblPiNHistorical[[#This Row],[Site Management - Old]], 1), "")</f>
        <v/>
      </c>
      <c r="AR729" s="140" t="str">
        <f>IFERROR(ROUND((tblPiNHistorical[[#This Row],[Education New]]-tblPiNHistorical[[#This Row],[Education Old]])/tblPiNHistorical[[#This Row],[Education Old]], 1), "")</f>
        <v/>
      </c>
      <c r="AS729" s="141" t="str">
        <f>IFERROR(ROUND((tblPiNHistorical[[#This Row],[Food Security and Livlihoods New]]-tblPiNHistorical[[#This Row],[Food Security and Livlihoods Old]])/tblPiNHistorical[[#This Row],[Food Security and Livlihoods Old]], 1), "")</f>
        <v/>
      </c>
      <c r="AT729" s="142" t="str">
        <f>IFERROR(ROUND((tblPiNHistorical[[#This Row],[Health New]]-tblPiNHistorical[[#This Row],[Health Old]])/tblPiNHistorical[[#This Row],[Health Old]], 1), "")</f>
        <v/>
      </c>
      <c r="AU729" s="140" t="str">
        <f>IFERROR(ROUND((tblPiNHistorical[[#This Row],[Nutrition New]]-tblPiNHistorical[[#This Row],[Nutrition Old]])/tblPiNHistorical[[#This Row],[Nutrition Old]], 1), "")</f>
        <v/>
      </c>
      <c r="AV729" s="140" t="str">
        <f>IFERROR(ROUND((tblPiNHistorical[[#This Row],[Protection New]]-tblPiNHistorical[[#This Row],[Protection Old]])/tblPiNHistorical[[#This Row],[Protection Old]], 1), "")</f>
        <v/>
      </c>
      <c r="AW729" s="84" t="str">
        <f>IFERROR(ROUND((tblPiNHistorical[[#This Row],[CP New]]-tblPiNHistorical[[#This Row],[CP Old ]])/tblPiNHistorical[[#This Row],[CP Old ]], 1), "")</f>
        <v/>
      </c>
      <c r="AX729" s="84" t="str">
        <f>IFERROR(ROUND((tblPiNHistorical[[#This Row],[GBV New]]-tblPiNHistorical[[#This Row],[GBV Old]])/tblPiNHistorical[[#This Row],[GBV Old]], 1), "")</f>
        <v/>
      </c>
      <c r="AY729" s="84" t="str">
        <f>IFERROR(ROUND((tblPiNHistorical[[#This Row],[Mine Action New]]-tblPiNHistorical[[#This Row],[Mine Action Old]])/tblPiNHistorical[[#This Row],[Mine Action Old]], 1), "")</f>
        <v/>
      </c>
      <c r="AZ729" s="140" t="str">
        <f>IFERROR(ROUND((tblPiNHistorical[[#This Row],[Shelter NFI New]]-tblPiNHistorical[[#This Row],[Shelter NFI Old]])/tblPiNHistorical[[#This Row],[Shelter NFI Old]], 1), "")</f>
        <v/>
      </c>
      <c r="BA729" s="31" t="str">
        <f>IFERROR(ROUND((tblPiNHistorical[[#This Row],[WASH New]]-tblPiNHistorical[[#This Row],[WASH Old]])/tblPiNHistorical[[#This Row],[WASH Old]], 1), "")</f>
        <v/>
      </c>
    </row>
    <row r="730" spans="1:53" ht="38.25" x14ac:dyDescent="0.25">
      <c r="A730"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Non-displaced PopulationSD07098</v>
      </c>
      <c r="B730" s="134" t="s">
        <v>188</v>
      </c>
      <c r="C730" s="124" t="s">
        <v>124</v>
      </c>
      <c r="D730" s="124" t="s">
        <v>354</v>
      </c>
      <c r="E730" s="59" t="s">
        <v>355</v>
      </c>
      <c r="F730" s="54"/>
      <c r="G730" s="29"/>
      <c r="H730" s="53">
        <v>33259.399999999994</v>
      </c>
      <c r="I730" s="53" t="s">
        <v>89</v>
      </c>
      <c r="J730" s="34">
        <v>0</v>
      </c>
      <c r="K730" s="116">
        <v>12894.669379999998</v>
      </c>
      <c r="L730" s="114">
        <v>21618.609999999997</v>
      </c>
      <c r="M730" s="114">
        <v>0</v>
      </c>
      <c r="N730" s="114">
        <v>2562</v>
      </c>
      <c r="O730" s="114">
        <v>13303.759999999998</v>
      </c>
      <c r="P730" s="114">
        <v>3659</v>
      </c>
      <c r="Q730" s="114">
        <v>2633</v>
      </c>
      <c r="R730" s="114">
        <v>13303.759999999998</v>
      </c>
      <c r="S730" s="114">
        <v>9978</v>
      </c>
      <c r="T730" s="196">
        <v>23298.209699999996</v>
      </c>
      <c r="U730" s="52" t="str">
        <f>IFERROR(INDEX(tblPiNAnalysis[[Site Management ]], MATCH(tblPiNHistorical[[#This Row],[ID]], tblPiNAnalysis[ID], 0)), "")</f>
        <v/>
      </c>
      <c r="V730" s="52" t="str">
        <f>IFERROR(INDEX(tblPiNAnalysis[Education], MATCH(tblPiNHistorical[[#This Row],[ID]], tblPiNAnalysis[ID], 0)), "")</f>
        <v/>
      </c>
      <c r="W730" s="28" t="str">
        <f>IFERROR(INDEX(tblPiNAnalysis[Food Security and Livlihoods], MATCH(tblPiNHistorical[[#This Row],[ID]], tblPiNAnalysis[ID], 0)), "")</f>
        <v/>
      </c>
      <c r="X730" s="28" t="str">
        <f>IFERROR(INDEX(tblPiNAnalysis[[Health ]], MATCH(tblPiNHistorical[[#This Row],[ID]], tblPiNAnalysis[ID], 0)), "")</f>
        <v/>
      </c>
      <c r="Y730" s="28" t="str">
        <f>IFERROR(INDEX(tblPiNAnalysis[Nutrition], MATCH(tblPiNHistorical[[#This Row],[ID]], tblPiNAnalysis[ID], 0)), "")</f>
        <v/>
      </c>
      <c r="Z730" s="28" t="str">
        <f>IFERROR(INDEX(tblPiNAnalysis[Protection], MATCH(tblPiNHistorical[[#This Row],[ID]], tblPiNAnalysis[ID], 0)), "")</f>
        <v/>
      </c>
      <c r="AA730" s="28" t="str">
        <f>IFERROR(INDEX(tblPiNAnalysis[CP], MATCH(tblPiNHistorical[[#This Row],[ID]], tblPiNAnalysis[ID], 0)), "")</f>
        <v/>
      </c>
      <c r="AB730" s="83" t="str">
        <f>IFERROR(INDEX(tblPiNAnalysis[GBV], MATCH(tblPiNHistorical[[#This Row],[ID]], tblPiNAnalysis[ID], 0)), "")</f>
        <v/>
      </c>
      <c r="AC730" s="28" t="str">
        <f>IFERROR(INDEX(tblPiNAnalysis[Mine Action], MATCH(tblPiNHistorical[[#This Row],[ID]], tblPiNAnalysis[ID], 0)), "")</f>
        <v/>
      </c>
      <c r="AD730" s="83" t="str">
        <f>IFERROR(INDEX(tblPiNAnalysis[[Shelter NFI ]], MATCH(tblPiNHistorical[[#This Row],[ID]], tblPiNAnalysis[ID], 0)), "")</f>
        <v/>
      </c>
      <c r="AE730" s="28" t="str">
        <f>IFERROR(INDEX(tblPiNAnalysis[WASH], MATCH(tblPiNHistorical[[#This Row],[ID]], tblPiNAnalysis[ID], 0)), "")</f>
        <v/>
      </c>
      <c r="AF730"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730" s="136" t="str">
        <f>IF(OR(tblPiNHistorical[[#This Row],[Education Old]]="", tblPiNHistorical[[#This Row],[Education Old]]=0, tblPiNHistorical[[#This Row],[Education New]]="", tblPiNHistorical[[#This Row],[Education New]]=0), "", tblPiNHistorical[[#This Row],[Education New]]-tblPiNHistorical[[#This Row],[Education Old]])</f>
        <v/>
      </c>
      <c r="AH730"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730" s="137" t="str">
        <f>IF(OR(tblPiNHistorical[[#This Row],[Health Old]]="", tblPiNHistorical[[#This Row],[Health Old]]=0, tblPiNHistorical[[#This Row],[Health New]]="", tblPiNHistorical[[#This Row],[Health New]]=0), "", tblPiNHistorical[[#This Row],[Health New]]-tblPiNHistorical[[#This Row],[Health Old]])</f>
        <v/>
      </c>
      <c r="AJ730" s="136" t="str">
        <f>IF(OR(tblPiNHistorical[[#This Row],[Nutrition Old]]="", tblPiNHistorical[[#This Row],[Nutrition Old]]=0, tblPiNHistorical[[#This Row],[Nutrition New]]="", tblPiNHistorical[[#This Row],[Nutrition New]]=0), "", tblPiNHistorical[[#This Row],[Nutrition New]]-tblPiNHistorical[[#This Row],[Nutrition Old]])</f>
        <v/>
      </c>
      <c r="AK730" s="136" t="str">
        <f>IF(OR(tblPiNHistorical[[#This Row],[Protection Old]]="", tblPiNHistorical[[#This Row],[Protection Old]]=0, tblPiNHistorical[[#This Row],[Protection New]]="", tblPiNHistorical[[#This Row],[Protection New]]=0), "", tblPiNHistorical[[#This Row],[Protection New]]-tblPiNHistorical[[#This Row],[Protection Old]])</f>
        <v/>
      </c>
      <c r="AL730" s="136" t="str">
        <f>IF(OR(tblPiNHistorical[[#This Row],[CP Old ]]="", tblPiNHistorical[[#This Row],[CP Old ]]=0, tblPiNHistorical[[#This Row],[CP New]]="", tblPiNHistorical[[#This Row],[CP New]]=0), "", tblPiNHistorical[[#This Row],[CP New]]-tblPiNHistorical[[#This Row],[CP Old ]])</f>
        <v/>
      </c>
      <c r="AM730" s="83" t="str">
        <f>IF(OR(tblPiNHistorical[[#This Row],[GBV Old]]="", tblPiNHistorical[[#This Row],[GBV Old]]=0, tblPiNHistorical[[#This Row],[GBV New]]="", tblPiNHistorical[[#This Row],[GBV New]]=0), "", tblPiNHistorical[[#This Row],[GBV New]]-tblPiNHistorical[[#This Row],[GBV Old]])</f>
        <v/>
      </c>
      <c r="AN730" s="83" t="str">
        <f>IF(OR(tblPiNHistorical[[#This Row],[Mine Action Old]]="", tblPiNHistorical[[#This Row],[Mine Action Old]]=0, tblPiNHistorical[[#This Row],[Mine Action New]]="", tblPiNHistorical[[#This Row],[Mine Action New]]=0), "", tblPiNHistorical[[#This Row],[Mine Action New]]-tblPiNHistorical[[#This Row],[Mine Action Old]])</f>
        <v/>
      </c>
      <c r="AO730" s="136" t="str">
        <f>IF(OR(tblPiNHistorical[[#This Row],[Shelter NFI Old]]="", tblPiNHistorical[[#This Row],[Shelter NFI Old]]=0, tblPiNHistorical[[#This Row],[Shelter NFI New]]="", tblPiNHistorical[[#This Row],[Shelter NFI New]]=0), "", tblPiNHistorical[[#This Row],[Shelter NFI New]]-tblPiNHistorical[[#This Row],[Shelter NFI Old]])</f>
        <v/>
      </c>
      <c r="AP730" s="138" t="str">
        <f>IF(OR(tblPiNHistorical[[#This Row],[WASH Old]]="", tblPiNHistorical[[#This Row],[WASH Old]]=0, tblPiNHistorical[[#This Row],[WASH New]]="", tblPiNHistorical[[#This Row],[WASH New]]=0), "", tblPiNHistorical[[#This Row],[WASH New]]-tblPiNHistorical[[#This Row],[WASH Old]])</f>
        <v/>
      </c>
      <c r="AQ730" s="139" t="str">
        <f>IFERROR(ROUND((tblPiNHistorical[[#This Row],[Site Management - New]] - tblPiNHistorical[[#This Row],[Site Management - Old]])/tblPiNHistorical[[#This Row],[Site Management - Old]], 1), "")</f>
        <v/>
      </c>
      <c r="AR730" s="140" t="str">
        <f>IFERROR(ROUND((tblPiNHistorical[[#This Row],[Education New]]-tblPiNHistorical[[#This Row],[Education Old]])/tblPiNHistorical[[#This Row],[Education Old]], 1), "")</f>
        <v/>
      </c>
      <c r="AS730" s="141" t="str">
        <f>IFERROR(ROUND((tblPiNHistorical[[#This Row],[Food Security and Livlihoods New]]-tblPiNHistorical[[#This Row],[Food Security and Livlihoods Old]])/tblPiNHistorical[[#This Row],[Food Security and Livlihoods Old]], 1), "")</f>
        <v/>
      </c>
      <c r="AT730" s="142" t="str">
        <f>IFERROR(ROUND((tblPiNHistorical[[#This Row],[Health New]]-tblPiNHistorical[[#This Row],[Health Old]])/tblPiNHistorical[[#This Row],[Health Old]], 1), "")</f>
        <v/>
      </c>
      <c r="AU730" s="140" t="str">
        <f>IFERROR(ROUND((tblPiNHistorical[[#This Row],[Nutrition New]]-tblPiNHistorical[[#This Row],[Nutrition Old]])/tblPiNHistorical[[#This Row],[Nutrition Old]], 1), "")</f>
        <v/>
      </c>
      <c r="AV730" s="140" t="str">
        <f>IFERROR(ROUND((tblPiNHistorical[[#This Row],[Protection New]]-tblPiNHistorical[[#This Row],[Protection Old]])/tblPiNHistorical[[#This Row],[Protection Old]], 1), "")</f>
        <v/>
      </c>
      <c r="AW730" s="84" t="str">
        <f>IFERROR(ROUND((tblPiNHistorical[[#This Row],[CP New]]-tblPiNHistorical[[#This Row],[CP Old ]])/tblPiNHistorical[[#This Row],[CP Old ]], 1), "")</f>
        <v/>
      </c>
      <c r="AX730" s="84" t="str">
        <f>IFERROR(ROUND((tblPiNHistorical[[#This Row],[GBV New]]-tblPiNHistorical[[#This Row],[GBV Old]])/tblPiNHistorical[[#This Row],[GBV Old]], 1), "")</f>
        <v/>
      </c>
      <c r="AY730" s="84" t="str">
        <f>IFERROR(ROUND((tblPiNHistorical[[#This Row],[Mine Action New]]-tblPiNHistorical[[#This Row],[Mine Action Old]])/tblPiNHistorical[[#This Row],[Mine Action Old]], 1), "")</f>
        <v/>
      </c>
      <c r="AZ730" s="140" t="str">
        <f>IFERROR(ROUND((tblPiNHistorical[[#This Row],[Shelter NFI New]]-tblPiNHistorical[[#This Row],[Shelter NFI Old]])/tblPiNHistorical[[#This Row],[Shelter NFI Old]], 1), "")</f>
        <v/>
      </c>
      <c r="BA730" s="31" t="str">
        <f>IFERROR(ROUND((tblPiNHistorical[[#This Row],[WASH New]]-tblPiNHistorical[[#This Row],[WASH Old]])/tblPiNHistorical[[#This Row],[WASH Old]], 1), "")</f>
        <v/>
      </c>
    </row>
    <row r="731" spans="1:53" ht="38.25" x14ac:dyDescent="0.25">
      <c r="A731"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Non-displaced PopulationSD07089</v>
      </c>
      <c r="B731" s="134" t="s">
        <v>188</v>
      </c>
      <c r="C731" s="124" t="s">
        <v>124</v>
      </c>
      <c r="D731" s="124" t="s">
        <v>338</v>
      </c>
      <c r="E731" s="59" t="s">
        <v>339</v>
      </c>
      <c r="F731" s="54"/>
      <c r="G731" s="29"/>
      <c r="H731" s="53">
        <v>8616</v>
      </c>
      <c r="I731" s="53" t="s">
        <v>89</v>
      </c>
      <c r="J731" s="34">
        <v>0</v>
      </c>
      <c r="K731" s="116">
        <v>3340.4231999999997</v>
      </c>
      <c r="L731" s="114">
        <v>4738.8</v>
      </c>
      <c r="M731" s="114">
        <v>0</v>
      </c>
      <c r="N731" s="114">
        <v>1356</v>
      </c>
      <c r="O731" s="114">
        <v>947.7600000000001</v>
      </c>
      <c r="P731" s="114">
        <v>948</v>
      </c>
      <c r="Q731" s="114">
        <v>683</v>
      </c>
      <c r="R731" s="114">
        <v>861.6</v>
      </c>
      <c r="S731" s="114">
        <v>0</v>
      </c>
      <c r="T731" s="196">
        <v>8191.2311999999984</v>
      </c>
      <c r="U731" s="52" t="str">
        <f>IFERROR(INDEX(tblPiNAnalysis[[Site Management ]], MATCH(tblPiNHistorical[[#This Row],[ID]], tblPiNAnalysis[ID], 0)), "")</f>
        <v/>
      </c>
      <c r="V731" s="52" t="str">
        <f>IFERROR(INDEX(tblPiNAnalysis[Education], MATCH(tblPiNHistorical[[#This Row],[ID]], tblPiNAnalysis[ID], 0)), "")</f>
        <v/>
      </c>
      <c r="W731" s="28" t="str">
        <f>IFERROR(INDEX(tblPiNAnalysis[Food Security and Livlihoods], MATCH(tblPiNHistorical[[#This Row],[ID]], tblPiNAnalysis[ID], 0)), "")</f>
        <v/>
      </c>
      <c r="X731" s="28" t="str">
        <f>IFERROR(INDEX(tblPiNAnalysis[[Health ]], MATCH(tblPiNHistorical[[#This Row],[ID]], tblPiNAnalysis[ID], 0)), "")</f>
        <v/>
      </c>
      <c r="Y731" s="28" t="str">
        <f>IFERROR(INDEX(tblPiNAnalysis[Nutrition], MATCH(tblPiNHistorical[[#This Row],[ID]], tblPiNAnalysis[ID], 0)), "")</f>
        <v/>
      </c>
      <c r="Z731" s="28" t="str">
        <f>IFERROR(INDEX(tblPiNAnalysis[Protection], MATCH(tblPiNHistorical[[#This Row],[ID]], tblPiNAnalysis[ID], 0)), "")</f>
        <v/>
      </c>
      <c r="AA731" s="28" t="str">
        <f>IFERROR(INDEX(tblPiNAnalysis[CP], MATCH(tblPiNHistorical[[#This Row],[ID]], tblPiNAnalysis[ID], 0)), "")</f>
        <v/>
      </c>
      <c r="AB731" s="83" t="str">
        <f>IFERROR(INDEX(tblPiNAnalysis[GBV], MATCH(tblPiNHistorical[[#This Row],[ID]], tblPiNAnalysis[ID], 0)), "")</f>
        <v/>
      </c>
      <c r="AC731" s="28" t="str">
        <f>IFERROR(INDEX(tblPiNAnalysis[Mine Action], MATCH(tblPiNHistorical[[#This Row],[ID]], tblPiNAnalysis[ID], 0)), "")</f>
        <v/>
      </c>
      <c r="AD731" s="83" t="str">
        <f>IFERROR(INDEX(tblPiNAnalysis[[Shelter NFI ]], MATCH(tblPiNHistorical[[#This Row],[ID]], tblPiNAnalysis[ID], 0)), "")</f>
        <v/>
      </c>
      <c r="AE731" s="28" t="str">
        <f>IFERROR(INDEX(tblPiNAnalysis[WASH], MATCH(tblPiNHistorical[[#This Row],[ID]], tblPiNAnalysis[ID], 0)), "")</f>
        <v/>
      </c>
      <c r="AF731"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731" s="136" t="str">
        <f>IF(OR(tblPiNHistorical[[#This Row],[Education Old]]="", tblPiNHistorical[[#This Row],[Education Old]]=0, tblPiNHistorical[[#This Row],[Education New]]="", tblPiNHistorical[[#This Row],[Education New]]=0), "", tblPiNHistorical[[#This Row],[Education New]]-tblPiNHistorical[[#This Row],[Education Old]])</f>
        <v/>
      </c>
      <c r="AH731"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731" s="137" t="str">
        <f>IF(OR(tblPiNHistorical[[#This Row],[Health Old]]="", tblPiNHistorical[[#This Row],[Health Old]]=0, tblPiNHistorical[[#This Row],[Health New]]="", tblPiNHistorical[[#This Row],[Health New]]=0), "", tblPiNHistorical[[#This Row],[Health New]]-tblPiNHistorical[[#This Row],[Health Old]])</f>
        <v/>
      </c>
      <c r="AJ731" s="136" t="str">
        <f>IF(OR(tblPiNHistorical[[#This Row],[Nutrition Old]]="", tblPiNHistorical[[#This Row],[Nutrition Old]]=0, tblPiNHistorical[[#This Row],[Nutrition New]]="", tblPiNHistorical[[#This Row],[Nutrition New]]=0), "", tblPiNHistorical[[#This Row],[Nutrition New]]-tblPiNHistorical[[#This Row],[Nutrition Old]])</f>
        <v/>
      </c>
      <c r="AK731" s="136" t="str">
        <f>IF(OR(tblPiNHistorical[[#This Row],[Protection Old]]="", tblPiNHistorical[[#This Row],[Protection Old]]=0, tblPiNHistorical[[#This Row],[Protection New]]="", tblPiNHistorical[[#This Row],[Protection New]]=0), "", tblPiNHistorical[[#This Row],[Protection New]]-tblPiNHistorical[[#This Row],[Protection Old]])</f>
        <v/>
      </c>
      <c r="AL731" s="136" t="str">
        <f>IF(OR(tblPiNHistorical[[#This Row],[CP Old ]]="", tblPiNHistorical[[#This Row],[CP Old ]]=0, tblPiNHistorical[[#This Row],[CP New]]="", tblPiNHistorical[[#This Row],[CP New]]=0), "", tblPiNHistorical[[#This Row],[CP New]]-tblPiNHistorical[[#This Row],[CP Old ]])</f>
        <v/>
      </c>
      <c r="AM731" s="83" t="str">
        <f>IF(OR(tblPiNHistorical[[#This Row],[GBV Old]]="", tblPiNHistorical[[#This Row],[GBV Old]]=0, tblPiNHistorical[[#This Row],[GBV New]]="", tblPiNHistorical[[#This Row],[GBV New]]=0), "", tblPiNHistorical[[#This Row],[GBV New]]-tblPiNHistorical[[#This Row],[GBV Old]])</f>
        <v/>
      </c>
      <c r="AN731" s="83" t="str">
        <f>IF(OR(tblPiNHistorical[[#This Row],[Mine Action Old]]="", tblPiNHistorical[[#This Row],[Mine Action Old]]=0, tblPiNHistorical[[#This Row],[Mine Action New]]="", tblPiNHistorical[[#This Row],[Mine Action New]]=0), "", tblPiNHistorical[[#This Row],[Mine Action New]]-tblPiNHistorical[[#This Row],[Mine Action Old]])</f>
        <v/>
      </c>
      <c r="AO731" s="136" t="str">
        <f>IF(OR(tblPiNHistorical[[#This Row],[Shelter NFI Old]]="", tblPiNHistorical[[#This Row],[Shelter NFI Old]]=0, tblPiNHistorical[[#This Row],[Shelter NFI New]]="", tblPiNHistorical[[#This Row],[Shelter NFI New]]=0), "", tblPiNHistorical[[#This Row],[Shelter NFI New]]-tblPiNHistorical[[#This Row],[Shelter NFI Old]])</f>
        <v/>
      </c>
      <c r="AP731" s="138" t="str">
        <f>IF(OR(tblPiNHistorical[[#This Row],[WASH Old]]="", tblPiNHistorical[[#This Row],[WASH Old]]=0, tblPiNHistorical[[#This Row],[WASH New]]="", tblPiNHistorical[[#This Row],[WASH New]]=0), "", tblPiNHistorical[[#This Row],[WASH New]]-tblPiNHistorical[[#This Row],[WASH Old]])</f>
        <v/>
      </c>
      <c r="AQ731" s="139" t="str">
        <f>IFERROR(ROUND((tblPiNHistorical[[#This Row],[Site Management - New]] - tblPiNHistorical[[#This Row],[Site Management - Old]])/tblPiNHistorical[[#This Row],[Site Management - Old]], 1), "")</f>
        <v/>
      </c>
      <c r="AR731" s="140" t="str">
        <f>IFERROR(ROUND((tblPiNHistorical[[#This Row],[Education New]]-tblPiNHistorical[[#This Row],[Education Old]])/tblPiNHistorical[[#This Row],[Education Old]], 1), "")</f>
        <v/>
      </c>
      <c r="AS731" s="141" t="str">
        <f>IFERROR(ROUND((tblPiNHistorical[[#This Row],[Food Security and Livlihoods New]]-tblPiNHistorical[[#This Row],[Food Security and Livlihoods Old]])/tblPiNHistorical[[#This Row],[Food Security and Livlihoods Old]], 1), "")</f>
        <v/>
      </c>
      <c r="AT731" s="142" t="str">
        <f>IFERROR(ROUND((tblPiNHistorical[[#This Row],[Health New]]-tblPiNHistorical[[#This Row],[Health Old]])/tblPiNHistorical[[#This Row],[Health Old]], 1), "")</f>
        <v/>
      </c>
      <c r="AU731" s="140" t="str">
        <f>IFERROR(ROUND((tblPiNHistorical[[#This Row],[Nutrition New]]-tblPiNHistorical[[#This Row],[Nutrition Old]])/tblPiNHistorical[[#This Row],[Nutrition Old]], 1), "")</f>
        <v/>
      </c>
      <c r="AV731" s="140" t="str">
        <f>IFERROR(ROUND((tblPiNHistorical[[#This Row],[Protection New]]-tblPiNHistorical[[#This Row],[Protection Old]])/tblPiNHistorical[[#This Row],[Protection Old]], 1), "")</f>
        <v/>
      </c>
      <c r="AW731" s="84" t="str">
        <f>IFERROR(ROUND((tblPiNHistorical[[#This Row],[CP New]]-tblPiNHistorical[[#This Row],[CP Old ]])/tblPiNHistorical[[#This Row],[CP Old ]], 1), "")</f>
        <v/>
      </c>
      <c r="AX731" s="84" t="str">
        <f>IFERROR(ROUND((tblPiNHistorical[[#This Row],[GBV New]]-tblPiNHistorical[[#This Row],[GBV Old]])/tblPiNHistorical[[#This Row],[GBV Old]], 1), "")</f>
        <v/>
      </c>
      <c r="AY731" s="84" t="str">
        <f>IFERROR(ROUND((tblPiNHistorical[[#This Row],[Mine Action New]]-tblPiNHistorical[[#This Row],[Mine Action Old]])/tblPiNHistorical[[#This Row],[Mine Action Old]], 1), "")</f>
        <v/>
      </c>
      <c r="AZ731" s="140" t="str">
        <f>IFERROR(ROUND((tblPiNHistorical[[#This Row],[Shelter NFI New]]-tblPiNHistorical[[#This Row],[Shelter NFI Old]])/tblPiNHistorical[[#This Row],[Shelter NFI Old]], 1), "")</f>
        <v/>
      </c>
      <c r="BA731" s="31" t="str">
        <f>IFERROR(ROUND((tblPiNHistorical[[#This Row],[WASH New]]-tblPiNHistorical[[#This Row],[WASH Old]])/tblPiNHistorical[[#This Row],[WASH Old]], 1), "")</f>
        <v/>
      </c>
    </row>
    <row r="732" spans="1:53" ht="38.25" x14ac:dyDescent="0.25">
      <c r="A732"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Non-displaced PopulationSD07091</v>
      </c>
      <c r="B732" s="134" t="s">
        <v>188</v>
      </c>
      <c r="C732" s="124" t="s">
        <v>124</v>
      </c>
      <c r="D732" s="124" t="s">
        <v>342</v>
      </c>
      <c r="E732" s="59" t="s">
        <v>343</v>
      </c>
      <c r="F732" s="54"/>
      <c r="G732" s="29"/>
      <c r="H732" s="53">
        <v>84466</v>
      </c>
      <c r="I732" s="53" t="s">
        <v>89</v>
      </c>
      <c r="J732" s="34">
        <v>0</v>
      </c>
      <c r="K732" s="116">
        <v>32747.468199999999</v>
      </c>
      <c r="L732" s="114">
        <v>54902.9</v>
      </c>
      <c r="M732" s="114">
        <v>0</v>
      </c>
      <c r="N732" s="114">
        <v>8998</v>
      </c>
      <c r="O732" s="114">
        <v>42233</v>
      </c>
      <c r="P732" s="114">
        <v>9291</v>
      </c>
      <c r="Q732" s="114">
        <v>6686</v>
      </c>
      <c r="R732" s="114">
        <v>42233</v>
      </c>
      <c r="S732" s="114">
        <v>0</v>
      </c>
      <c r="T732" s="196">
        <v>70546.003200000006</v>
      </c>
      <c r="U732" s="52" t="str">
        <f>IFERROR(INDEX(tblPiNAnalysis[[Site Management ]], MATCH(tblPiNHistorical[[#This Row],[ID]], tblPiNAnalysis[ID], 0)), "")</f>
        <v/>
      </c>
      <c r="V732" s="52" t="str">
        <f>IFERROR(INDEX(tblPiNAnalysis[Education], MATCH(tblPiNHistorical[[#This Row],[ID]], tblPiNAnalysis[ID], 0)), "")</f>
        <v/>
      </c>
      <c r="W732" s="28" t="str">
        <f>IFERROR(INDEX(tblPiNAnalysis[Food Security and Livlihoods], MATCH(tblPiNHistorical[[#This Row],[ID]], tblPiNAnalysis[ID], 0)), "")</f>
        <v/>
      </c>
      <c r="X732" s="28" t="str">
        <f>IFERROR(INDEX(tblPiNAnalysis[[Health ]], MATCH(tblPiNHistorical[[#This Row],[ID]], tblPiNAnalysis[ID], 0)), "")</f>
        <v/>
      </c>
      <c r="Y732" s="28" t="str">
        <f>IFERROR(INDEX(tblPiNAnalysis[Nutrition], MATCH(tblPiNHistorical[[#This Row],[ID]], tblPiNAnalysis[ID], 0)), "")</f>
        <v/>
      </c>
      <c r="Z732" s="28" t="str">
        <f>IFERROR(INDEX(tblPiNAnalysis[Protection], MATCH(tblPiNHistorical[[#This Row],[ID]], tblPiNAnalysis[ID], 0)), "")</f>
        <v/>
      </c>
      <c r="AA732" s="28" t="str">
        <f>IFERROR(INDEX(tblPiNAnalysis[CP], MATCH(tblPiNHistorical[[#This Row],[ID]], tblPiNAnalysis[ID], 0)), "")</f>
        <v/>
      </c>
      <c r="AB732" s="83" t="str">
        <f>IFERROR(INDEX(tblPiNAnalysis[GBV], MATCH(tblPiNHistorical[[#This Row],[ID]], tblPiNAnalysis[ID], 0)), "")</f>
        <v/>
      </c>
      <c r="AC732" s="28" t="str">
        <f>IFERROR(INDEX(tblPiNAnalysis[Mine Action], MATCH(tblPiNHistorical[[#This Row],[ID]], tblPiNAnalysis[ID], 0)), "")</f>
        <v/>
      </c>
      <c r="AD732" s="83" t="str">
        <f>IFERROR(INDEX(tblPiNAnalysis[[Shelter NFI ]], MATCH(tblPiNHistorical[[#This Row],[ID]], tblPiNAnalysis[ID], 0)), "")</f>
        <v/>
      </c>
      <c r="AE732" s="28" t="str">
        <f>IFERROR(INDEX(tblPiNAnalysis[WASH], MATCH(tblPiNHistorical[[#This Row],[ID]], tblPiNAnalysis[ID], 0)), "")</f>
        <v/>
      </c>
      <c r="AF732"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732" s="136" t="str">
        <f>IF(OR(tblPiNHistorical[[#This Row],[Education Old]]="", tblPiNHistorical[[#This Row],[Education Old]]=0, tblPiNHistorical[[#This Row],[Education New]]="", tblPiNHistorical[[#This Row],[Education New]]=0), "", tblPiNHistorical[[#This Row],[Education New]]-tblPiNHistorical[[#This Row],[Education Old]])</f>
        <v/>
      </c>
      <c r="AH732"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732" s="137" t="str">
        <f>IF(OR(tblPiNHistorical[[#This Row],[Health Old]]="", tblPiNHistorical[[#This Row],[Health Old]]=0, tblPiNHistorical[[#This Row],[Health New]]="", tblPiNHistorical[[#This Row],[Health New]]=0), "", tblPiNHistorical[[#This Row],[Health New]]-tblPiNHistorical[[#This Row],[Health Old]])</f>
        <v/>
      </c>
      <c r="AJ732" s="136" t="str">
        <f>IF(OR(tblPiNHistorical[[#This Row],[Nutrition Old]]="", tblPiNHistorical[[#This Row],[Nutrition Old]]=0, tblPiNHistorical[[#This Row],[Nutrition New]]="", tblPiNHistorical[[#This Row],[Nutrition New]]=0), "", tblPiNHistorical[[#This Row],[Nutrition New]]-tblPiNHistorical[[#This Row],[Nutrition Old]])</f>
        <v/>
      </c>
      <c r="AK732" s="136" t="str">
        <f>IF(OR(tblPiNHistorical[[#This Row],[Protection Old]]="", tblPiNHistorical[[#This Row],[Protection Old]]=0, tblPiNHistorical[[#This Row],[Protection New]]="", tblPiNHistorical[[#This Row],[Protection New]]=0), "", tblPiNHistorical[[#This Row],[Protection New]]-tblPiNHistorical[[#This Row],[Protection Old]])</f>
        <v/>
      </c>
      <c r="AL732" s="136" t="str">
        <f>IF(OR(tblPiNHistorical[[#This Row],[CP Old ]]="", tblPiNHistorical[[#This Row],[CP Old ]]=0, tblPiNHistorical[[#This Row],[CP New]]="", tblPiNHistorical[[#This Row],[CP New]]=0), "", tblPiNHistorical[[#This Row],[CP New]]-tblPiNHistorical[[#This Row],[CP Old ]])</f>
        <v/>
      </c>
      <c r="AM732" s="83" t="str">
        <f>IF(OR(tblPiNHistorical[[#This Row],[GBV Old]]="", tblPiNHistorical[[#This Row],[GBV Old]]=0, tblPiNHistorical[[#This Row],[GBV New]]="", tblPiNHistorical[[#This Row],[GBV New]]=0), "", tblPiNHistorical[[#This Row],[GBV New]]-tblPiNHistorical[[#This Row],[GBV Old]])</f>
        <v/>
      </c>
      <c r="AN732" s="83" t="str">
        <f>IF(OR(tblPiNHistorical[[#This Row],[Mine Action Old]]="", tblPiNHistorical[[#This Row],[Mine Action Old]]=0, tblPiNHistorical[[#This Row],[Mine Action New]]="", tblPiNHistorical[[#This Row],[Mine Action New]]=0), "", tblPiNHistorical[[#This Row],[Mine Action New]]-tblPiNHistorical[[#This Row],[Mine Action Old]])</f>
        <v/>
      </c>
      <c r="AO732" s="136" t="str">
        <f>IF(OR(tblPiNHistorical[[#This Row],[Shelter NFI Old]]="", tblPiNHistorical[[#This Row],[Shelter NFI Old]]=0, tblPiNHistorical[[#This Row],[Shelter NFI New]]="", tblPiNHistorical[[#This Row],[Shelter NFI New]]=0), "", tblPiNHistorical[[#This Row],[Shelter NFI New]]-tblPiNHistorical[[#This Row],[Shelter NFI Old]])</f>
        <v/>
      </c>
      <c r="AP732" s="138" t="str">
        <f>IF(OR(tblPiNHistorical[[#This Row],[WASH Old]]="", tblPiNHistorical[[#This Row],[WASH Old]]=0, tblPiNHistorical[[#This Row],[WASH New]]="", tblPiNHistorical[[#This Row],[WASH New]]=0), "", tblPiNHistorical[[#This Row],[WASH New]]-tblPiNHistorical[[#This Row],[WASH Old]])</f>
        <v/>
      </c>
      <c r="AQ732" s="139" t="str">
        <f>IFERROR(ROUND((tblPiNHistorical[[#This Row],[Site Management - New]] - tblPiNHistorical[[#This Row],[Site Management - Old]])/tblPiNHistorical[[#This Row],[Site Management - Old]], 1), "")</f>
        <v/>
      </c>
      <c r="AR732" s="140" t="str">
        <f>IFERROR(ROUND((tblPiNHistorical[[#This Row],[Education New]]-tblPiNHistorical[[#This Row],[Education Old]])/tblPiNHistorical[[#This Row],[Education Old]], 1), "")</f>
        <v/>
      </c>
      <c r="AS732" s="141" t="str">
        <f>IFERROR(ROUND((tblPiNHistorical[[#This Row],[Food Security and Livlihoods New]]-tblPiNHistorical[[#This Row],[Food Security and Livlihoods Old]])/tblPiNHistorical[[#This Row],[Food Security and Livlihoods Old]], 1), "")</f>
        <v/>
      </c>
      <c r="AT732" s="142" t="str">
        <f>IFERROR(ROUND((tblPiNHistorical[[#This Row],[Health New]]-tblPiNHistorical[[#This Row],[Health Old]])/tblPiNHistorical[[#This Row],[Health Old]], 1), "")</f>
        <v/>
      </c>
      <c r="AU732" s="140" t="str">
        <f>IFERROR(ROUND((tblPiNHistorical[[#This Row],[Nutrition New]]-tblPiNHistorical[[#This Row],[Nutrition Old]])/tblPiNHistorical[[#This Row],[Nutrition Old]], 1), "")</f>
        <v/>
      </c>
      <c r="AV732" s="140" t="str">
        <f>IFERROR(ROUND((tblPiNHistorical[[#This Row],[Protection New]]-tblPiNHistorical[[#This Row],[Protection Old]])/tblPiNHistorical[[#This Row],[Protection Old]], 1), "")</f>
        <v/>
      </c>
      <c r="AW732" s="84" t="str">
        <f>IFERROR(ROUND((tblPiNHistorical[[#This Row],[CP New]]-tblPiNHistorical[[#This Row],[CP Old ]])/tblPiNHistorical[[#This Row],[CP Old ]], 1), "")</f>
        <v/>
      </c>
      <c r="AX732" s="84" t="str">
        <f>IFERROR(ROUND((tblPiNHistorical[[#This Row],[GBV New]]-tblPiNHistorical[[#This Row],[GBV Old]])/tblPiNHistorical[[#This Row],[GBV Old]], 1), "")</f>
        <v/>
      </c>
      <c r="AY732" s="84" t="str">
        <f>IFERROR(ROUND((tblPiNHistorical[[#This Row],[Mine Action New]]-tblPiNHistorical[[#This Row],[Mine Action Old]])/tblPiNHistorical[[#This Row],[Mine Action Old]], 1), "")</f>
        <v/>
      </c>
      <c r="AZ732" s="140" t="str">
        <f>IFERROR(ROUND((tblPiNHistorical[[#This Row],[Shelter NFI New]]-tblPiNHistorical[[#This Row],[Shelter NFI Old]])/tblPiNHistorical[[#This Row],[Shelter NFI Old]], 1), "")</f>
        <v/>
      </c>
      <c r="BA732" s="31" t="str">
        <f>IFERROR(ROUND((tblPiNHistorical[[#This Row],[WASH New]]-tblPiNHistorical[[#This Row],[WASH Old]])/tblPiNHistorical[[#This Row],[WASH Old]], 1), "")</f>
        <v/>
      </c>
    </row>
    <row r="733" spans="1:53" ht="38.25" x14ac:dyDescent="0.25">
      <c r="A733"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Non-displaced PopulationSD04115</v>
      </c>
      <c r="B733" s="134" t="s">
        <v>191</v>
      </c>
      <c r="C733" s="124" t="s">
        <v>121</v>
      </c>
      <c r="D733" s="124" t="s">
        <v>277</v>
      </c>
      <c r="E733" s="59" t="s">
        <v>276</v>
      </c>
      <c r="F733" s="54"/>
      <c r="G733" s="29"/>
      <c r="H733" s="53">
        <v>459011.20999999996</v>
      </c>
      <c r="I733" s="53" t="s">
        <v>89</v>
      </c>
      <c r="J733" s="34">
        <v>0</v>
      </c>
      <c r="K733" s="116">
        <v>177958.64611699997</v>
      </c>
      <c r="L733" s="114">
        <v>321307.84699999995</v>
      </c>
      <c r="M733" s="114">
        <v>34090</v>
      </c>
      <c r="N733" s="114">
        <v>54587</v>
      </c>
      <c r="O733" s="114">
        <v>321307.84699999995</v>
      </c>
      <c r="P733" s="114">
        <v>50491</v>
      </c>
      <c r="Q733" s="114">
        <v>48448</v>
      </c>
      <c r="R733" s="114">
        <v>321307.84699999995</v>
      </c>
      <c r="S733" s="114">
        <v>137703</v>
      </c>
      <c r="T733" s="196">
        <v>223492.55814899996</v>
      </c>
      <c r="U733" s="52" t="str">
        <f>IFERROR(INDEX(tblPiNAnalysis[[Site Management ]], MATCH(tblPiNHistorical[[#This Row],[ID]], tblPiNAnalysis[ID], 0)), "")</f>
        <v/>
      </c>
      <c r="V733" s="52" t="str">
        <f>IFERROR(INDEX(tblPiNAnalysis[Education], MATCH(tblPiNHistorical[[#This Row],[ID]], tblPiNAnalysis[ID], 0)), "")</f>
        <v/>
      </c>
      <c r="W733" s="28" t="str">
        <f>IFERROR(INDEX(tblPiNAnalysis[Food Security and Livlihoods], MATCH(tblPiNHistorical[[#This Row],[ID]], tblPiNAnalysis[ID], 0)), "")</f>
        <v/>
      </c>
      <c r="X733" s="28" t="str">
        <f>IFERROR(INDEX(tblPiNAnalysis[[Health ]], MATCH(tblPiNHistorical[[#This Row],[ID]], tblPiNAnalysis[ID], 0)), "")</f>
        <v/>
      </c>
      <c r="Y733" s="28" t="str">
        <f>IFERROR(INDEX(tblPiNAnalysis[Nutrition], MATCH(tblPiNHistorical[[#This Row],[ID]], tblPiNAnalysis[ID], 0)), "")</f>
        <v/>
      </c>
      <c r="Z733" s="28" t="str">
        <f>IFERROR(INDEX(tblPiNAnalysis[Protection], MATCH(tblPiNHistorical[[#This Row],[ID]], tblPiNAnalysis[ID], 0)), "")</f>
        <v/>
      </c>
      <c r="AA733" s="28" t="str">
        <f>IFERROR(INDEX(tblPiNAnalysis[CP], MATCH(tblPiNHistorical[[#This Row],[ID]], tblPiNAnalysis[ID], 0)), "")</f>
        <v/>
      </c>
      <c r="AB733" s="83" t="str">
        <f>IFERROR(INDEX(tblPiNAnalysis[GBV], MATCH(tblPiNHistorical[[#This Row],[ID]], tblPiNAnalysis[ID], 0)), "")</f>
        <v/>
      </c>
      <c r="AC733" s="28" t="str">
        <f>IFERROR(INDEX(tblPiNAnalysis[Mine Action], MATCH(tblPiNHistorical[[#This Row],[ID]], tblPiNAnalysis[ID], 0)), "")</f>
        <v/>
      </c>
      <c r="AD733" s="83" t="str">
        <f>IFERROR(INDEX(tblPiNAnalysis[[Shelter NFI ]], MATCH(tblPiNHistorical[[#This Row],[ID]], tblPiNAnalysis[ID], 0)), "")</f>
        <v/>
      </c>
      <c r="AE733" s="28" t="str">
        <f>IFERROR(INDEX(tblPiNAnalysis[WASH], MATCH(tblPiNHistorical[[#This Row],[ID]], tblPiNAnalysis[ID], 0)), "")</f>
        <v/>
      </c>
      <c r="AF733"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733" s="136" t="str">
        <f>IF(OR(tblPiNHistorical[[#This Row],[Education Old]]="", tblPiNHistorical[[#This Row],[Education Old]]=0, tblPiNHistorical[[#This Row],[Education New]]="", tblPiNHistorical[[#This Row],[Education New]]=0), "", tblPiNHistorical[[#This Row],[Education New]]-tblPiNHistorical[[#This Row],[Education Old]])</f>
        <v/>
      </c>
      <c r="AH733"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733" s="137" t="str">
        <f>IF(OR(tblPiNHistorical[[#This Row],[Health Old]]="", tblPiNHistorical[[#This Row],[Health Old]]=0, tblPiNHistorical[[#This Row],[Health New]]="", tblPiNHistorical[[#This Row],[Health New]]=0), "", tblPiNHistorical[[#This Row],[Health New]]-tblPiNHistorical[[#This Row],[Health Old]])</f>
        <v/>
      </c>
      <c r="AJ733" s="136" t="str">
        <f>IF(OR(tblPiNHistorical[[#This Row],[Nutrition Old]]="", tblPiNHistorical[[#This Row],[Nutrition Old]]=0, tblPiNHistorical[[#This Row],[Nutrition New]]="", tblPiNHistorical[[#This Row],[Nutrition New]]=0), "", tblPiNHistorical[[#This Row],[Nutrition New]]-tblPiNHistorical[[#This Row],[Nutrition Old]])</f>
        <v/>
      </c>
      <c r="AK733" s="136" t="str">
        <f>IF(OR(tblPiNHistorical[[#This Row],[Protection Old]]="", tblPiNHistorical[[#This Row],[Protection Old]]=0, tblPiNHistorical[[#This Row],[Protection New]]="", tblPiNHistorical[[#This Row],[Protection New]]=0), "", tblPiNHistorical[[#This Row],[Protection New]]-tblPiNHistorical[[#This Row],[Protection Old]])</f>
        <v/>
      </c>
      <c r="AL733" s="136" t="str">
        <f>IF(OR(tblPiNHistorical[[#This Row],[CP Old ]]="", tblPiNHistorical[[#This Row],[CP Old ]]=0, tblPiNHistorical[[#This Row],[CP New]]="", tblPiNHistorical[[#This Row],[CP New]]=0), "", tblPiNHistorical[[#This Row],[CP New]]-tblPiNHistorical[[#This Row],[CP Old ]])</f>
        <v/>
      </c>
      <c r="AM733" s="83" t="str">
        <f>IF(OR(tblPiNHistorical[[#This Row],[GBV Old]]="", tblPiNHistorical[[#This Row],[GBV Old]]=0, tblPiNHistorical[[#This Row],[GBV New]]="", tblPiNHistorical[[#This Row],[GBV New]]=0), "", tblPiNHistorical[[#This Row],[GBV New]]-tblPiNHistorical[[#This Row],[GBV Old]])</f>
        <v/>
      </c>
      <c r="AN733" s="83" t="str">
        <f>IF(OR(tblPiNHistorical[[#This Row],[Mine Action Old]]="", tblPiNHistorical[[#This Row],[Mine Action Old]]=0, tblPiNHistorical[[#This Row],[Mine Action New]]="", tblPiNHistorical[[#This Row],[Mine Action New]]=0), "", tblPiNHistorical[[#This Row],[Mine Action New]]-tblPiNHistorical[[#This Row],[Mine Action Old]])</f>
        <v/>
      </c>
      <c r="AO733" s="136" t="str">
        <f>IF(OR(tblPiNHistorical[[#This Row],[Shelter NFI Old]]="", tblPiNHistorical[[#This Row],[Shelter NFI Old]]=0, tblPiNHistorical[[#This Row],[Shelter NFI New]]="", tblPiNHistorical[[#This Row],[Shelter NFI New]]=0), "", tblPiNHistorical[[#This Row],[Shelter NFI New]]-tblPiNHistorical[[#This Row],[Shelter NFI Old]])</f>
        <v/>
      </c>
      <c r="AP733" s="138" t="str">
        <f>IF(OR(tblPiNHistorical[[#This Row],[WASH Old]]="", tblPiNHistorical[[#This Row],[WASH Old]]=0, tblPiNHistorical[[#This Row],[WASH New]]="", tblPiNHistorical[[#This Row],[WASH New]]=0), "", tblPiNHistorical[[#This Row],[WASH New]]-tblPiNHistorical[[#This Row],[WASH Old]])</f>
        <v/>
      </c>
      <c r="AQ733" s="139" t="str">
        <f>IFERROR(ROUND((tblPiNHistorical[[#This Row],[Site Management - New]] - tblPiNHistorical[[#This Row],[Site Management - Old]])/tblPiNHistorical[[#This Row],[Site Management - Old]], 1), "")</f>
        <v/>
      </c>
      <c r="AR733" s="140" t="str">
        <f>IFERROR(ROUND((tblPiNHistorical[[#This Row],[Education New]]-tblPiNHistorical[[#This Row],[Education Old]])/tblPiNHistorical[[#This Row],[Education Old]], 1), "")</f>
        <v/>
      </c>
      <c r="AS733" s="141" t="str">
        <f>IFERROR(ROUND((tblPiNHistorical[[#This Row],[Food Security and Livlihoods New]]-tblPiNHistorical[[#This Row],[Food Security and Livlihoods Old]])/tblPiNHistorical[[#This Row],[Food Security and Livlihoods Old]], 1), "")</f>
        <v/>
      </c>
      <c r="AT733" s="142" t="str">
        <f>IFERROR(ROUND((tblPiNHistorical[[#This Row],[Health New]]-tblPiNHistorical[[#This Row],[Health Old]])/tblPiNHistorical[[#This Row],[Health Old]], 1), "")</f>
        <v/>
      </c>
      <c r="AU733" s="140" t="str">
        <f>IFERROR(ROUND((tblPiNHistorical[[#This Row],[Nutrition New]]-tblPiNHistorical[[#This Row],[Nutrition Old]])/tblPiNHistorical[[#This Row],[Nutrition Old]], 1), "")</f>
        <v/>
      </c>
      <c r="AV733" s="140" t="str">
        <f>IFERROR(ROUND((tblPiNHistorical[[#This Row],[Protection New]]-tblPiNHistorical[[#This Row],[Protection Old]])/tblPiNHistorical[[#This Row],[Protection Old]], 1), "")</f>
        <v/>
      </c>
      <c r="AW733" s="84" t="str">
        <f>IFERROR(ROUND((tblPiNHistorical[[#This Row],[CP New]]-tblPiNHistorical[[#This Row],[CP Old ]])/tblPiNHistorical[[#This Row],[CP Old ]], 1), "")</f>
        <v/>
      </c>
      <c r="AX733" s="84" t="str">
        <f>IFERROR(ROUND((tblPiNHistorical[[#This Row],[GBV New]]-tblPiNHistorical[[#This Row],[GBV Old]])/tblPiNHistorical[[#This Row],[GBV Old]], 1), "")</f>
        <v/>
      </c>
      <c r="AY733" s="84" t="str">
        <f>IFERROR(ROUND((tblPiNHistorical[[#This Row],[Mine Action New]]-tblPiNHistorical[[#This Row],[Mine Action Old]])/tblPiNHistorical[[#This Row],[Mine Action Old]], 1), "")</f>
        <v/>
      </c>
      <c r="AZ733" s="140" t="str">
        <f>IFERROR(ROUND((tblPiNHistorical[[#This Row],[Shelter NFI New]]-tblPiNHistorical[[#This Row],[Shelter NFI Old]])/tblPiNHistorical[[#This Row],[Shelter NFI Old]], 1), "")</f>
        <v/>
      </c>
      <c r="BA733" s="31" t="str">
        <f>IFERROR(ROUND((tblPiNHistorical[[#This Row],[WASH New]]-tblPiNHistorical[[#This Row],[WASH Old]])/tblPiNHistorical[[#This Row],[WASH Old]], 1), "")</f>
        <v/>
      </c>
    </row>
    <row r="734" spans="1:53" ht="38.25" x14ac:dyDescent="0.25">
      <c r="A734"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Non-displaced PopulationSD04111</v>
      </c>
      <c r="B734" s="134" t="s">
        <v>191</v>
      </c>
      <c r="C734" s="124" t="s">
        <v>121</v>
      </c>
      <c r="D734" s="124" t="s">
        <v>275</v>
      </c>
      <c r="E734" s="59" t="s">
        <v>274</v>
      </c>
      <c r="F734" s="54"/>
      <c r="G734" s="29"/>
      <c r="H734" s="53">
        <v>116049</v>
      </c>
      <c r="I734" s="53" t="s">
        <v>89</v>
      </c>
      <c r="J734" s="34">
        <v>0</v>
      </c>
      <c r="K734" s="116">
        <v>44992.1973</v>
      </c>
      <c r="L734" s="114">
        <v>69629.399999999994</v>
      </c>
      <c r="M734" s="114">
        <v>0</v>
      </c>
      <c r="N734" s="114">
        <v>8557</v>
      </c>
      <c r="O734" s="114">
        <v>46419.600000000006</v>
      </c>
      <c r="P734" s="114">
        <v>12765</v>
      </c>
      <c r="Q734" s="114">
        <v>12248</v>
      </c>
      <c r="R734" s="114">
        <v>46419.600000000006</v>
      </c>
      <c r="S734" s="114">
        <v>23210</v>
      </c>
      <c r="T734" s="196">
        <v>74758.765799999994</v>
      </c>
      <c r="U734" s="52" t="str">
        <f>IFERROR(INDEX(tblPiNAnalysis[[Site Management ]], MATCH(tblPiNHistorical[[#This Row],[ID]], tblPiNAnalysis[ID], 0)), "")</f>
        <v/>
      </c>
      <c r="V734" s="52" t="str">
        <f>IFERROR(INDEX(tblPiNAnalysis[Education], MATCH(tblPiNHistorical[[#This Row],[ID]], tblPiNAnalysis[ID], 0)), "")</f>
        <v/>
      </c>
      <c r="W734" s="28" t="str">
        <f>IFERROR(INDEX(tblPiNAnalysis[Food Security and Livlihoods], MATCH(tblPiNHistorical[[#This Row],[ID]], tblPiNAnalysis[ID], 0)), "")</f>
        <v/>
      </c>
      <c r="X734" s="28" t="str">
        <f>IFERROR(INDEX(tblPiNAnalysis[[Health ]], MATCH(tblPiNHistorical[[#This Row],[ID]], tblPiNAnalysis[ID], 0)), "")</f>
        <v/>
      </c>
      <c r="Y734" s="28" t="str">
        <f>IFERROR(INDEX(tblPiNAnalysis[Nutrition], MATCH(tblPiNHistorical[[#This Row],[ID]], tblPiNAnalysis[ID], 0)), "")</f>
        <v/>
      </c>
      <c r="Z734" s="28" t="str">
        <f>IFERROR(INDEX(tblPiNAnalysis[Protection], MATCH(tblPiNHistorical[[#This Row],[ID]], tblPiNAnalysis[ID], 0)), "")</f>
        <v/>
      </c>
      <c r="AA734" s="28" t="str">
        <f>IFERROR(INDEX(tblPiNAnalysis[CP], MATCH(tblPiNHistorical[[#This Row],[ID]], tblPiNAnalysis[ID], 0)), "")</f>
        <v/>
      </c>
      <c r="AB734" s="83" t="str">
        <f>IFERROR(INDEX(tblPiNAnalysis[GBV], MATCH(tblPiNHistorical[[#This Row],[ID]], tblPiNAnalysis[ID], 0)), "")</f>
        <v/>
      </c>
      <c r="AC734" s="28" t="str">
        <f>IFERROR(INDEX(tblPiNAnalysis[Mine Action], MATCH(tblPiNHistorical[[#This Row],[ID]], tblPiNAnalysis[ID], 0)), "")</f>
        <v/>
      </c>
      <c r="AD734" s="83" t="str">
        <f>IFERROR(INDEX(tblPiNAnalysis[[Shelter NFI ]], MATCH(tblPiNHistorical[[#This Row],[ID]], tblPiNAnalysis[ID], 0)), "")</f>
        <v/>
      </c>
      <c r="AE734" s="28" t="str">
        <f>IFERROR(INDEX(tblPiNAnalysis[WASH], MATCH(tblPiNHistorical[[#This Row],[ID]], tblPiNAnalysis[ID], 0)), "")</f>
        <v/>
      </c>
      <c r="AF734"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734" s="136" t="str">
        <f>IF(OR(tblPiNHistorical[[#This Row],[Education Old]]="", tblPiNHistorical[[#This Row],[Education Old]]=0, tblPiNHistorical[[#This Row],[Education New]]="", tblPiNHistorical[[#This Row],[Education New]]=0), "", tblPiNHistorical[[#This Row],[Education New]]-tblPiNHistorical[[#This Row],[Education Old]])</f>
        <v/>
      </c>
      <c r="AH734"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734" s="137" t="str">
        <f>IF(OR(tblPiNHistorical[[#This Row],[Health Old]]="", tblPiNHistorical[[#This Row],[Health Old]]=0, tblPiNHistorical[[#This Row],[Health New]]="", tblPiNHistorical[[#This Row],[Health New]]=0), "", tblPiNHistorical[[#This Row],[Health New]]-tblPiNHistorical[[#This Row],[Health Old]])</f>
        <v/>
      </c>
      <c r="AJ734" s="136" t="str">
        <f>IF(OR(tblPiNHistorical[[#This Row],[Nutrition Old]]="", tblPiNHistorical[[#This Row],[Nutrition Old]]=0, tblPiNHistorical[[#This Row],[Nutrition New]]="", tblPiNHistorical[[#This Row],[Nutrition New]]=0), "", tblPiNHistorical[[#This Row],[Nutrition New]]-tblPiNHistorical[[#This Row],[Nutrition Old]])</f>
        <v/>
      </c>
      <c r="AK734" s="136" t="str">
        <f>IF(OR(tblPiNHistorical[[#This Row],[Protection Old]]="", tblPiNHistorical[[#This Row],[Protection Old]]=0, tblPiNHistorical[[#This Row],[Protection New]]="", tblPiNHistorical[[#This Row],[Protection New]]=0), "", tblPiNHistorical[[#This Row],[Protection New]]-tblPiNHistorical[[#This Row],[Protection Old]])</f>
        <v/>
      </c>
      <c r="AL734" s="136" t="str">
        <f>IF(OR(tblPiNHistorical[[#This Row],[CP Old ]]="", tblPiNHistorical[[#This Row],[CP Old ]]=0, tblPiNHistorical[[#This Row],[CP New]]="", tblPiNHistorical[[#This Row],[CP New]]=0), "", tblPiNHistorical[[#This Row],[CP New]]-tblPiNHistorical[[#This Row],[CP Old ]])</f>
        <v/>
      </c>
      <c r="AM734" s="83" t="str">
        <f>IF(OR(tblPiNHistorical[[#This Row],[GBV Old]]="", tblPiNHistorical[[#This Row],[GBV Old]]=0, tblPiNHistorical[[#This Row],[GBV New]]="", tblPiNHistorical[[#This Row],[GBV New]]=0), "", tblPiNHistorical[[#This Row],[GBV New]]-tblPiNHistorical[[#This Row],[GBV Old]])</f>
        <v/>
      </c>
      <c r="AN734" s="83" t="str">
        <f>IF(OR(tblPiNHistorical[[#This Row],[Mine Action Old]]="", tblPiNHistorical[[#This Row],[Mine Action Old]]=0, tblPiNHistorical[[#This Row],[Mine Action New]]="", tblPiNHistorical[[#This Row],[Mine Action New]]=0), "", tblPiNHistorical[[#This Row],[Mine Action New]]-tblPiNHistorical[[#This Row],[Mine Action Old]])</f>
        <v/>
      </c>
      <c r="AO734" s="136" t="str">
        <f>IF(OR(tblPiNHistorical[[#This Row],[Shelter NFI Old]]="", tblPiNHistorical[[#This Row],[Shelter NFI Old]]=0, tblPiNHistorical[[#This Row],[Shelter NFI New]]="", tblPiNHistorical[[#This Row],[Shelter NFI New]]=0), "", tblPiNHistorical[[#This Row],[Shelter NFI New]]-tblPiNHistorical[[#This Row],[Shelter NFI Old]])</f>
        <v/>
      </c>
      <c r="AP734" s="138" t="str">
        <f>IF(OR(tblPiNHistorical[[#This Row],[WASH Old]]="", tblPiNHistorical[[#This Row],[WASH Old]]=0, tblPiNHistorical[[#This Row],[WASH New]]="", tblPiNHistorical[[#This Row],[WASH New]]=0), "", tblPiNHistorical[[#This Row],[WASH New]]-tblPiNHistorical[[#This Row],[WASH Old]])</f>
        <v/>
      </c>
      <c r="AQ734" s="139" t="str">
        <f>IFERROR(ROUND((tblPiNHistorical[[#This Row],[Site Management - New]] - tblPiNHistorical[[#This Row],[Site Management - Old]])/tblPiNHistorical[[#This Row],[Site Management - Old]], 1), "")</f>
        <v/>
      </c>
      <c r="AR734" s="140" t="str">
        <f>IFERROR(ROUND((tblPiNHistorical[[#This Row],[Education New]]-tblPiNHistorical[[#This Row],[Education Old]])/tblPiNHistorical[[#This Row],[Education Old]], 1), "")</f>
        <v/>
      </c>
      <c r="AS734" s="141" t="str">
        <f>IFERROR(ROUND((tblPiNHistorical[[#This Row],[Food Security and Livlihoods New]]-tblPiNHistorical[[#This Row],[Food Security and Livlihoods Old]])/tblPiNHistorical[[#This Row],[Food Security and Livlihoods Old]], 1), "")</f>
        <v/>
      </c>
      <c r="AT734" s="142" t="str">
        <f>IFERROR(ROUND((tblPiNHistorical[[#This Row],[Health New]]-tblPiNHistorical[[#This Row],[Health Old]])/tblPiNHistorical[[#This Row],[Health Old]], 1), "")</f>
        <v/>
      </c>
      <c r="AU734" s="140" t="str">
        <f>IFERROR(ROUND((tblPiNHistorical[[#This Row],[Nutrition New]]-tblPiNHistorical[[#This Row],[Nutrition Old]])/tblPiNHistorical[[#This Row],[Nutrition Old]], 1), "")</f>
        <v/>
      </c>
      <c r="AV734" s="140" t="str">
        <f>IFERROR(ROUND((tblPiNHistorical[[#This Row],[Protection New]]-tblPiNHistorical[[#This Row],[Protection Old]])/tblPiNHistorical[[#This Row],[Protection Old]], 1), "")</f>
        <v/>
      </c>
      <c r="AW734" s="84" t="str">
        <f>IFERROR(ROUND((tblPiNHistorical[[#This Row],[CP New]]-tblPiNHistorical[[#This Row],[CP Old ]])/tblPiNHistorical[[#This Row],[CP Old ]], 1), "")</f>
        <v/>
      </c>
      <c r="AX734" s="84" t="str">
        <f>IFERROR(ROUND((tblPiNHistorical[[#This Row],[GBV New]]-tblPiNHistorical[[#This Row],[GBV Old]])/tblPiNHistorical[[#This Row],[GBV Old]], 1), "")</f>
        <v/>
      </c>
      <c r="AY734" s="84" t="str">
        <f>IFERROR(ROUND((tblPiNHistorical[[#This Row],[Mine Action New]]-tblPiNHistorical[[#This Row],[Mine Action Old]])/tblPiNHistorical[[#This Row],[Mine Action Old]], 1), "")</f>
        <v/>
      </c>
      <c r="AZ734" s="140" t="str">
        <f>IFERROR(ROUND((tblPiNHistorical[[#This Row],[Shelter NFI New]]-tblPiNHistorical[[#This Row],[Shelter NFI Old]])/tblPiNHistorical[[#This Row],[Shelter NFI Old]], 1), "")</f>
        <v/>
      </c>
      <c r="BA734" s="31" t="str">
        <f>IFERROR(ROUND((tblPiNHistorical[[#This Row],[WASH New]]-tblPiNHistorical[[#This Row],[WASH Old]])/tblPiNHistorical[[#This Row],[WASH Old]], 1), "")</f>
        <v/>
      </c>
    </row>
    <row r="735" spans="1:53" ht="38.25" x14ac:dyDescent="0.25">
      <c r="A735"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Non-displaced PopulationSD04121</v>
      </c>
      <c r="B735" s="134" t="s">
        <v>191</v>
      </c>
      <c r="C735" s="124" t="s">
        <v>121</v>
      </c>
      <c r="D735" s="124" t="s">
        <v>279</v>
      </c>
      <c r="E735" s="59" t="s">
        <v>278</v>
      </c>
      <c r="F735" s="54"/>
      <c r="G735" s="29"/>
      <c r="H735" s="53">
        <v>51088</v>
      </c>
      <c r="I735" s="53" t="s">
        <v>89</v>
      </c>
      <c r="J735" s="34">
        <v>0</v>
      </c>
      <c r="K735" s="116">
        <v>19806.817599999998</v>
      </c>
      <c r="L735" s="114">
        <v>33207.199999999997</v>
      </c>
      <c r="M735" s="114">
        <v>2520</v>
      </c>
      <c r="N735" s="114">
        <v>5150</v>
      </c>
      <c r="O735" s="114">
        <v>5619.68</v>
      </c>
      <c r="P735" s="114">
        <v>5620</v>
      </c>
      <c r="Q735" s="114">
        <v>5391</v>
      </c>
      <c r="R735" s="114">
        <v>5108.8</v>
      </c>
      <c r="S735" s="114">
        <v>10218</v>
      </c>
      <c r="T735" s="196">
        <v>49478.728000000003</v>
      </c>
      <c r="U735" s="52" t="str">
        <f>IFERROR(INDEX(tblPiNAnalysis[[Site Management ]], MATCH(tblPiNHistorical[[#This Row],[ID]], tblPiNAnalysis[ID], 0)), "")</f>
        <v/>
      </c>
      <c r="V735" s="52" t="str">
        <f>IFERROR(INDEX(tblPiNAnalysis[Education], MATCH(tblPiNHistorical[[#This Row],[ID]], tblPiNAnalysis[ID], 0)), "")</f>
        <v/>
      </c>
      <c r="W735" s="28" t="str">
        <f>IFERROR(INDEX(tblPiNAnalysis[Food Security and Livlihoods], MATCH(tblPiNHistorical[[#This Row],[ID]], tblPiNAnalysis[ID], 0)), "")</f>
        <v/>
      </c>
      <c r="X735" s="28" t="str">
        <f>IFERROR(INDEX(tblPiNAnalysis[[Health ]], MATCH(tblPiNHistorical[[#This Row],[ID]], tblPiNAnalysis[ID], 0)), "")</f>
        <v/>
      </c>
      <c r="Y735" s="28" t="str">
        <f>IFERROR(INDEX(tblPiNAnalysis[Nutrition], MATCH(tblPiNHistorical[[#This Row],[ID]], tblPiNAnalysis[ID], 0)), "")</f>
        <v/>
      </c>
      <c r="Z735" s="28" t="str">
        <f>IFERROR(INDEX(tblPiNAnalysis[Protection], MATCH(tblPiNHistorical[[#This Row],[ID]], tblPiNAnalysis[ID], 0)), "")</f>
        <v/>
      </c>
      <c r="AA735" s="28" t="str">
        <f>IFERROR(INDEX(tblPiNAnalysis[CP], MATCH(tblPiNHistorical[[#This Row],[ID]], tblPiNAnalysis[ID], 0)), "")</f>
        <v/>
      </c>
      <c r="AB735" s="83" t="str">
        <f>IFERROR(INDEX(tblPiNAnalysis[GBV], MATCH(tblPiNHistorical[[#This Row],[ID]], tblPiNAnalysis[ID], 0)), "")</f>
        <v/>
      </c>
      <c r="AC735" s="28" t="str">
        <f>IFERROR(INDEX(tblPiNAnalysis[Mine Action], MATCH(tblPiNHistorical[[#This Row],[ID]], tblPiNAnalysis[ID], 0)), "")</f>
        <v/>
      </c>
      <c r="AD735" s="83" t="str">
        <f>IFERROR(INDEX(tblPiNAnalysis[[Shelter NFI ]], MATCH(tblPiNHistorical[[#This Row],[ID]], tblPiNAnalysis[ID], 0)), "")</f>
        <v/>
      </c>
      <c r="AE735" s="28" t="str">
        <f>IFERROR(INDEX(tblPiNAnalysis[WASH], MATCH(tblPiNHistorical[[#This Row],[ID]], tblPiNAnalysis[ID], 0)), "")</f>
        <v/>
      </c>
      <c r="AF735"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735" s="136" t="str">
        <f>IF(OR(tblPiNHistorical[[#This Row],[Education Old]]="", tblPiNHistorical[[#This Row],[Education Old]]=0, tblPiNHistorical[[#This Row],[Education New]]="", tblPiNHistorical[[#This Row],[Education New]]=0), "", tblPiNHistorical[[#This Row],[Education New]]-tblPiNHistorical[[#This Row],[Education Old]])</f>
        <v/>
      </c>
      <c r="AH735"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735" s="137" t="str">
        <f>IF(OR(tblPiNHistorical[[#This Row],[Health Old]]="", tblPiNHistorical[[#This Row],[Health Old]]=0, tblPiNHistorical[[#This Row],[Health New]]="", tblPiNHistorical[[#This Row],[Health New]]=0), "", tblPiNHistorical[[#This Row],[Health New]]-tblPiNHistorical[[#This Row],[Health Old]])</f>
        <v/>
      </c>
      <c r="AJ735" s="136" t="str">
        <f>IF(OR(tblPiNHistorical[[#This Row],[Nutrition Old]]="", tblPiNHistorical[[#This Row],[Nutrition Old]]=0, tblPiNHistorical[[#This Row],[Nutrition New]]="", tblPiNHistorical[[#This Row],[Nutrition New]]=0), "", tblPiNHistorical[[#This Row],[Nutrition New]]-tblPiNHistorical[[#This Row],[Nutrition Old]])</f>
        <v/>
      </c>
      <c r="AK735" s="136" t="str">
        <f>IF(OR(tblPiNHistorical[[#This Row],[Protection Old]]="", tblPiNHistorical[[#This Row],[Protection Old]]=0, tblPiNHistorical[[#This Row],[Protection New]]="", tblPiNHistorical[[#This Row],[Protection New]]=0), "", tblPiNHistorical[[#This Row],[Protection New]]-tblPiNHistorical[[#This Row],[Protection Old]])</f>
        <v/>
      </c>
      <c r="AL735" s="136" t="str">
        <f>IF(OR(tblPiNHistorical[[#This Row],[CP Old ]]="", tblPiNHistorical[[#This Row],[CP Old ]]=0, tblPiNHistorical[[#This Row],[CP New]]="", tblPiNHistorical[[#This Row],[CP New]]=0), "", tblPiNHistorical[[#This Row],[CP New]]-tblPiNHistorical[[#This Row],[CP Old ]])</f>
        <v/>
      </c>
      <c r="AM735" s="83" t="str">
        <f>IF(OR(tblPiNHistorical[[#This Row],[GBV Old]]="", tblPiNHistorical[[#This Row],[GBV Old]]=0, tblPiNHistorical[[#This Row],[GBV New]]="", tblPiNHistorical[[#This Row],[GBV New]]=0), "", tblPiNHistorical[[#This Row],[GBV New]]-tblPiNHistorical[[#This Row],[GBV Old]])</f>
        <v/>
      </c>
      <c r="AN735" s="83" t="str">
        <f>IF(OR(tblPiNHistorical[[#This Row],[Mine Action Old]]="", tblPiNHistorical[[#This Row],[Mine Action Old]]=0, tblPiNHistorical[[#This Row],[Mine Action New]]="", tblPiNHistorical[[#This Row],[Mine Action New]]=0), "", tblPiNHistorical[[#This Row],[Mine Action New]]-tblPiNHistorical[[#This Row],[Mine Action Old]])</f>
        <v/>
      </c>
      <c r="AO735" s="136" t="str">
        <f>IF(OR(tblPiNHistorical[[#This Row],[Shelter NFI Old]]="", tblPiNHistorical[[#This Row],[Shelter NFI Old]]=0, tblPiNHistorical[[#This Row],[Shelter NFI New]]="", tblPiNHistorical[[#This Row],[Shelter NFI New]]=0), "", tblPiNHistorical[[#This Row],[Shelter NFI New]]-tblPiNHistorical[[#This Row],[Shelter NFI Old]])</f>
        <v/>
      </c>
      <c r="AP735" s="138" t="str">
        <f>IF(OR(tblPiNHistorical[[#This Row],[WASH Old]]="", tblPiNHistorical[[#This Row],[WASH Old]]=0, tblPiNHistorical[[#This Row],[WASH New]]="", tblPiNHistorical[[#This Row],[WASH New]]=0), "", tblPiNHistorical[[#This Row],[WASH New]]-tblPiNHistorical[[#This Row],[WASH Old]])</f>
        <v/>
      </c>
      <c r="AQ735" s="139" t="str">
        <f>IFERROR(ROUND((tblPiNHistorical[[#This Row],[Site Management - New]] - tblPiNHistorical[[#This Row],[Site Management - Old]])/tblPiNHistorical[[#This Row],[Site Management - Old]], 1), "")</f>
        <v/>
      </c>
      <c r="AR735" s="140" t="str">
        <f>IFERROR(ROUND((tblPiNHistorical[[#This Row],[Education New]]-tblPiNHistorical[[#This Row],[Education Old]])/tblPiNHistorical[[#This Row],[Education Old]], 1), "")</f>
        <v/>
      </c>
      <c r="AS735" s="141" t="str">
        <f>IFERROR(ROUND((tblPiNHistorical[[#This Row],[Food Security and Livlihoods New]]-tblPiNHistorical[[#This Row],[Food Security and Livlihoods Old]])/tblPiNHistorical[[#This Row],[Food Security and Livlihoods Old]], 1), "")</f>
        <v/>
      </c>
      <c r="AT735" s="142" t="str">
        <f>IFERROR(ROUND((tblPiNHistorical[[#This Row],[Health New]]-tblPiNHistorical[[#This Row],[Health Old]])/tblPiNHistorical[[#This Row],[Health Old]], 1), "")</f>
        <v/>
      </c>
      <c r="AU735" s="140" t="str">
        <f>IFERROR(ROUND((tblPiNHistorical[[#This Row],[Nutrition New]]-tblPiNHistorical[[#This Row],[Nutrition Old]])/tblPiNHistorical[[#This Row],[Nutrition Old]], 1), "")</f>
        <v/>
      </c>
      <c r="AV735" s="140" t="str">
        <f>IFERROR(ROUND((tblPiNHistorical[[#This Row],[Protection New]]-tblPiNHistorical[[#This Row],[Protection Old]])/tblPiNHistorical[[#This Row],[Protection Old]], 1), "")</f>
        <v/>
      </c>
      <c r="AW735" s="84" t="str">
        <f>IFERROR(ROUND((tblPiNHistorical[[#This Row],[CP New]]-tblPiNHistorical[[#This Row],[CP Old ]])/tblPiNHistorical[[#This Row],[CP Old ]], 1), "")</f>
        <v/>
      </c>
      <c r="AX735" s="84" t="str">
        <f>IFERROR(ROUND((tblPiNHistorical[[#This Row],[GBV New]]-tblPiNHistorical[[#This Row],[GBV Old]])/tblPiNHistorical[[#This Row],[GBV Old]], 1), "")</f>
        <v/>
      </c>
      <c r="AY735" s="84" t="str">
        <f>IFERROR(ROUND((tblPiNHistorical[[#This Row],[Mine Action New]]-tblPiNHistorical[[#This Row],[Mine Action Old]])/tblPiNHistorical[[#This Row],[Mine Action Old]], 1), "")</f>
        <v/>
      </c>
      <c r="AZ735" s="140" t="str">
        <f>IFERROR(ROUND((tblPiNHistorical[[#This Row],[Shelter NFI New]]-tblPiNHistorical[[#This Row],[Shelter NFI Old]])/tblPiNHistorical[[#This Row],[Shelter NFI Old]], 1), "")</f>
        <v/>
      </c>
      <c r="BA735" s="31" t="str">
        <f>IFERROR(ROUND((tblPiNHistorical[[#This Row],[WASH New]]-tblPiNHistorical[[#This Row],[WASH Old]])/tblPiNHistorical[[#This Row],[WASH Old]], 1), "")</f>
        <v/>
      </c>
    </row>
    <row r="736" spans="1:53" ht="38.25" x14ac:dyDescent="0.25">
      <c r="A736"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Non-displaced PopulationSD04122</v>
      </c>
      <c r="B736" s="134" t="s">
        <v>191</v>
      </c>
      <c r="C736" s="124" t="s">
        <v>121</v>
      </c>
      <c r="D736" s="124" t="s">
        <v>281</v>
      </c>
      <c r="E736" s="59" t="s">
        <v>280</v>
      </c>
      <c r="F736" s="54"/>
      <c r="G736" s="29"/>
      <c r="H736" s="53">
        <v>34141</v>
      </c>
      <c r="I736" s="53" t="s">
        <v>89</v>
      </c>
      <c r="J736" s="34">
        <v>0</v>
      </c>
      <c r="K736" s="116">
        <v>13236.465699999999</v>
      </c>
      <c r="L736" s="114">
        <v>18777.55</v>
      </c>
      <c r="M736" s="114">
        <v>0</v>
      </c>
      <c r="N736" s="114">
        <v>2393</v>
      </c>
      <c r="O736" s="114">
        <v>13656.400000000001</v>
      </c>
      <c r="P736" s="114">
        <v>3756</v>
      </c>
      <c r="Q736" s="114">
        <v>2702</v>
      </c>
      <c r="R736" s="114">
        <v>13656.400000000001</v>
      </c>
      <c r="S736" s="114">
        <v>6828</v>
      </c>
      <c r="T736" s="196">
        <v>33195.294300000001</v>
      </c>
      <c r="U736" s="52" t="str">
        <f>IFERROR(INDEX(tblPiNAnalysis[[Site Management ]], MATCH(tblPiNHistorical[[#This Row],[ID]], tblPiNAnalysis[ID], 0)), "")</f>
        <v/>
      </c>
      <c r="V736" s="52" t="str">
        <f>IFERROR(INDEX(tblPiNAnalysis[Education], MATCH(tblPiNHistorical[[#This Row],[ID]], tblPiNAnalysis[ID], 0)), "")</f>
        <v/>
      </c>
      <c r="W736" s="28" t="str">
        <f>IFERROR(INDEX(tblPiNAnalysis[Food Security and Livlihoods], MATCH(tblPiNHistorical[[#This Row],[ID]], tblPiNAnalysis[ID], 0)), "")</f>
        <v/>
      </c>
      <c r="X736" s="28" t="str">
        <f>IFERROR(INDEX(tblPiNAnalysis[[Health ]], MATCH(tblPiNHistorical[[#This Row],[ID]], tblPiNAnalysis[ID], 0)), "")</f>
        <v/>
      </c>
      <c r="Y736" s="28" t="str">
        <f>IFERROR(INDEX(tblPiNAnalysis[Nutrition], MATCH(tblPiNHistorical[[#This Row],[ID]], tblPiNAnalysis[ID], 0)), "")</f>
        <v/>
      </c>
      <c r="Z736" s="28" t="str">
        <f>IFERROR(INDEX(tblPiNAnalysis[Protection], MATCH(tblPiNHistorical[[#This Row],[ID]], tblPiNAnalysis[ID], 0)), "")</f>
        <v/>
      </c>
      <c r="AA736" s="28" t="str">
        <f>IFERROR(INDEX(tblPiNAnalysis[CP], MATCH(tblPiNHistorical[[#This Row],[ID]], tblPiNAnalysis[ID], 0)), "")</f>
        <v/>
      </c>
      <c r="AB736" s="83" t="str">
        <f>IFERROR(INDEX(tblPiNAnalysis[GBV], MATCH(tblPiNHistorical[[#This Row],[ID]], tblPiNAnalysis[ID], 0)), "")</f>
        <v/>
      </c>
      <c r="AC736" s="28" t="str">
        <f>IFERROR(INDEX(tblPiNAnalysis[Mine Action], MATCH(tblPiNHistorical[[#This Row],[ID]], tblPiNAnalysis[ID], 0)), "")</f>
        <v/>
      </c>
      <c r="AD736" s="83" t="str">
        <f>IFERROR(INDEX(tblPiNAnalysis[[Shelter NFI ]], MATCH(tblPiNHistorical[[#This Row],[ID]], tblPiNAnalysis[ID], 0)), "")</f>
        <v/>
      </c>
      <c r="AE736" s="28" t="str">
        <f>IFERROR(INDEX(tblPiNAnalysis[WASH], MATCH(tblPiNHistorical[[#This Row],[ID]], tblPiNAnalysis[ID], 0)), "")</f>
        <v/>
      </c>
      <c r="AF736"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736" s="136" t="str">
        <f>IF(OR(tblPiNHistorical[[#This Row],[Education Old]]="", tblPiNHistorical[[#This Row],[Education Old]]=0, tblPiNHistorical[[#This Row],[Education New]]="", tblPiNHistorical[[#This Row],[Education New]]=0), "", tblPiNHistorical[[#This Row],[Education New]]-tblPiNHistorical[[#This Row],[Education Old]])</f>
        <v/>
      </c>
      <c r="AH736"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736" s="137" t="str">
        <f>IF(OR(tblPiNHistorical[[#This Row],[Health Old]]="", tblPiNHistorical[[#This Row],[Health Old]]=0, tblPiNHistorical[[#This Row],[Health New]]="", tblPiNHistorical[[#This Row],[Health New]]=0), "", tblPiNHistorical[[#This Row],[Health New]]-tblPiNHistorical[[#This Row],[Health Old]])</f>
        <v/>
      </c>
      <c r="AJ736" s="136" t="str">
        <f>IF(OR(tblPiNHistorical[[#This Row],[Nutrition Old]]="", tblPiNHistorical[[#This Row],[Nutrition Old]]=0, tblPiNHistorical[[#This Row],[Nutrition New]]="", tblPiNHistorical[[#This Row],[Nutrition New]]=0), "", tblPiNHistorical[[#This Row],[Nutrition New]]-tblPiNHistorical[[#This Row],[Nutrition Old]])</f>
        <v/>
      </c>
      <c r="AK736" s="136" t="str">
        <f>IF(OR(tblPiNHistorical[[#This Row],[Protection Old]]="", tblPiNHistorical[[#This Row],[Protection Old]]=0, tblPiNHistorical[[#This Row],[Protection New]]="", tblPiNHistorical[[#This Row],[Protection New]]=0), "", tblPiNHistorical[[#This Row],[Protection New]]-tblPiNHistorical[[#This Row],[Protection Old]])</f>
        <v/>
      </c>
      <c r="AL736" s="136" t="str">
        <f>IF(OR(tblPiNHistorical[[#This Row],[CP Old ]]="", tblPiNHistorical[[#This Row],[CP Old ]]=0, tblPiNHistorical[[#This Row],[CP New]]="", tblPiNHistorical[[#This Row],[CP New]]=0), "", tblPiNHistorical[[#This Row],[CP New]]-tblPiNHistorical[[#This Row],[CP Old ]])</f>
        <v/>
      </c>
      <c r="AM736" s="83" t="str">
        <f>IF(OR(tblPiNHistorical[[#This Row],[GBV Old]]="", tblPiNHistorical[[#This Row],[GBV Old]]=0, tblPiNHistorical[[#This Row],[GBV New]]="", tblPiNHistorical[[#This Row],[GBV New]]=0), "", tblPiNHistorical[[#This Row],[GBV New]]-tblPiNHistorical[[#This Row],[GBV Old]])</f>
        <v/>
      </c>
      <c r="AN736" s="83" t="str">
        <f>IF(OR(tblPiNHistorical[[#This Row],[Mine Action Old]]="", tblPiNHistorical[[#This Row],[Mine Action Old]]=0, tblPiNHistorical[[#This Row],[Mine Action New]]="", tblPiNHistorical[[#This Row],[Mine Action New]]=0), "", tblPiNHistorical[[#This Row],[Mine Action New]]-tblPiNHistorical[[#This Row],[Mine Action Old]])</f>
        <v/>
      </c>
      <c r="AO736" s="136" t="str">
        <f>IF(OR(tblPiNHistorical[[#This Row],[Shelter NFI Old]]="", tblPiNHistorical[[#This Row],[Shelter NFI Old]]=0, tblPiNHistorical[[#This Row],[Shelter NFI New]]="", tblPiNHistorical[[#This Row],[Shelter NFI New]]=0), "", tblPiNHistorical[[#This Row],[Shelter NFI New]]-tblPiNHistorical[[#This Row],[Shelter NFI Old]])</f>
        <v/>
      </c>
      <c r="AP736" s="138" t="str">
        <f>IF(OR(tblPiNHistorical[[#This Row],[WASH Old]]="", tblPiNHistorical[[#This Row],[WASH Old]]=0, tblPiNHistorical[[#This Row],[WASH New]]="", tblPiNHistorical[[#This Row],[WASH New]]=0), "", tblPiNHistorical[[#This Row],[WASH New]]-tblPiNHistorical[[#This Row],[WASH Old]])</f>
        <v/>
      </c>
      <c r="AQ736" s="139" t="str">
        <f>IFERROR(ROUND((tblPiNHistorical[[#This Row],[Site Management - New]] - tblPiNHistorical[[#This Row],[Site Management - Old]])/tblPiNHistorical[[#This Row],[Site Management - Old]], 1), "")</f>
        <v/>
      </c>
      <c r="AR736" s="140" t="str">
        <f>IFERROR(ROUND((tblPiNHistorical[[#This Row],[Education New]]-tblPiNHistorical[[#This Row],[Education Old]])/tblPiNHistorical[[#This Row],[Education Old]], 1), "")</f>
        <v/>
      </c>
      <c r="AS736" s="141" t="str">
        <f>IFERROR(ROUND((tblPiNHistorical[[#This Row],[Food Security and Livlihoods New]]-tblPiNHistorical[[#This Row],[Food Security and Livlihoods Old]])/tblPiNHistorical[[#This Row],[Food Security and Livlihoods Old]], 1), "")</f>
        <v/>
      </c>
      <c r="AT736" s="142" t="str">
        <f>IFERROR(ROUND((tblPiNHistorical[[#This Row],[Health New]]-tblPiNHistorical[[#This Row],[Health Old]])/tblPiNHistorical[[#This Row],[Health Old]], 1), "")</f>
        <v/>
      </c>
      <c r="AU736" s="140" t="str">
        <f>IFERROR(ROUND((tblPiNHistorical[[#This Row],[Nutrition New]]-tblPiNHistorical[[#This Row],[Nutrition Old]])/tblPiNHistorical[[#This Row],[Nutrition Old]], 1), "")</f>
        <v/>
      </c>
      <c r="AV736" s="140" t="str">
        <f>IFERROR(ROUND((tblPiNHistorical[[#This Row],[Protection New]]-tblPiNHistorical[[#This Row],[Protection Old]])/tblPiNHistorical[[#This Row],[Protection Old]], 1), "")</f>
        <v/>
      </c>
      <c r="AW736" s="84" t="str">
        <f>IFERROR(ROUND((tblPiNHistorical[[#This Row],[CP New]]-tblPiNHistorical[[#This Row],[CP Old ]])/tblPiNHistorical[[#This Row],[CP Old ]], 1), "")</f>
        <v/>
      </c>
      <c r="AX736" s="84" t="str">
        <f>IFERROR(ROUND((tblPiNHistorical[[#This Row],[GBV New]]-tblPiNHistorical[[#This Row],[GBV Old]])/tblPiNHistorical[[#This Row],[GBV Old]], 1), "")</f>
        <v/>
      </c>
      <c r="AY736" s="84" t="str">
        <f>IFERROR(ROUND((tblPiNHistorical[[#This Row],[Mine Action New]]-tblPiNHistorical[[#This Row],[Mine Action Old]])/tblPiNHistorical[[#This Row],[Mine Action Old]], 1), "")</f>
        <v/>
      </c>
      <c r="AZ736" s="140" t="str">
        <f>IFERROR(ROUND((tblPiNHistorical[[#This Row],[Shelter NFI New]]-tblPiNHistorical[[#This Row],[Shelter NFI Old]])/tblPiNHistorical[[#This Row],[Shelter NFI Old]], 1), "")</f>
        <v/>
      </c>
      <c r="BA736" s="31" t="str">
        <f>IFERROR(ROUND((tblPiNHistorical[[#This Row],[WASH New]]-tblPiNHistorical[[#This Row],[WASH Old]])/tblPiNHistorical[[#This Row],[WASH Old]], 1), "")</f>
        <v/>
      </c>
    </row>
    <row r="737" spans="1:53" ht="38.25" x14ac:dyDescent="0.25">
      <c r="A737"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Non-displaced PopulationSD04123</v>
      </c>
      <c r="B737" s="134" t="s">
        <v>191</v>
      </c>
      <c r="C737" s="124" t="s">
        <v>121</v>
      </c>
      <c r="D737" s="124" t="s">
        <v>283</v>
      </c>
      <c r="E737" s="59" t="s">
        <v>282</v>
      </c>
      <c r="F737" s="54"/>
      <c r="G737" s="29"/>
      <c r="H737" s="53">
        <v>31573.7</v>
      </c>
      <c r="I737" s="53" t="s">
        <v>89</v>
      </c>
      <c r="J737" s="34">
        <v>0</v>
      </c>
      <c r="K737" s="116">
        <v>12241.12349</v>
      </c>
      <c r="L737" s="114">
        <v>18944.22</v>
      </c>
      <c r="M737" s="114">
        <v>0</v>
      </c>
      <c r="N737" s="114">
        <v>1499</v>
      </c>
      <c r="O737" s="114">
        <v>15786.85</v>
      </c>
      <c r="P737" s="114">
        <v>3473</v>
      </c>
      <c r="Q737" s="114">
        <v>2498</v>
      </c>
      <c r="R737" s="114">
        <v>15786.85</v>
      </c>
      <c r="S737" s="114">
        <v>6315</v>
      </c>
      <c r="T737" s="196">
        <v>30866.449120000001</v>
      </c>
      <c r="U737" s="52" t="str">
        <f>IFERROR(INDEX(tblPiNAnalysis[[Site Management ]], MATCH(tblPiNHistorical[[#This Row],[ID]], tblPiNAnalysis[ID], 0)), "")</f>
        <v/>
      </c>
      <c r="V737" s="52" t="str">
        <f>IFERROR(INDEX(tblPiNAnalysis[Education], MATCH(tblPiNHistorical[[#This Row],[ID]], tblPiNAnalysis[ID], 0)), "")</f>
        <v/>
      </c>
      <c r="W737" s="28" t="str">
        <f>IFERROR(INDEX(tblPiNAnalysis[Food Security and Livlihoods], MATCH(tblPiNHistorical[[#This Row],[ID]], tblPiNAnalysis[ID], 0)), "")</f>
        <v/>
      </c>
      <c r="X737" s="28" t="str">
        <f>IFERROR(INDEX(tblPiNAnalysis[[Health ]], MATCH(tblPiNHistorical[[#This Row],[ID]], tblPiNAnalysis[ID], 0)), "")</f>
        <v/>
      </c>
      <c r="Y737" s="28" t="str">
        <f>IFERROR(INDEX(tblPiNAnalysis[Nutrition], MATCH(tblPiNHistorical[[#This Row],[ID]], tblPiNAnalysis[ID], 0)), "")</f>
        <v/>
      </c>
      <c r="Z737" s="28" t="str">
        <f>IFERROR(INDEX(tblPiNAnalysis[Protection], MATCH(tblPiNHistorical[[#This Row],[ID]], tblPiNAnalysis[ID], 0)), "")</f>
        <v/>
      </c>
      <c r="AA737" s="28" t="str">
        <f>IFERROR(INDEX(tblPiNAnalysis[CP], MATCH(tblPiNHistorical[[#This Row],[ID]], tblPiNAnalysis[ID], 0)), "")</f>
        <v/>
      </c>
      <c r="AB737" s="83" t="str">
        <f>IFERROR(INDEX(tblPiNAnalysis[GBV], MATCH(tblPiNHistorical[[#This Row],[ID]], tblPiNAnalysis[ID], 0)), "")</f>
        <v/>
      </c>
      <c r="AC737" s="28" t="str">
        <f>IFERROR(INDEX(tblPiNAnalysis[Mine Action], MATCH(tblPiNHistorical[[#This Row],[ID]], tblPiNAnalysis[ID], 0)), "")</f>
        <v/>
      </c>
      <c r="AD737" s="83" t="str">
        <f>IFERROR(INDEX(tblPiNAnalysis[[Shelter NFI ]], MATCH(tblPiNHistorical[[#This Row],[ID]], tblPiNAnalysis[ID], 0)), "")</f>
        <v/>
      </c>
      <c r="AE737" s="28" t="str">
        <f>IFERROR(INDEX(tblPiNAnalysis[WASH], MATCH(tblPiNHistorical[[#This Row],[ID]], tblPiNAnalysis[ID], 0)), "")</f>
        <v/>
      </c>
      <c r="AF737"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737" s="136" t="str">
        <f>IF(OR(tblPiNHistorical[[#This Row],[Education Old]]="", tblPiNHistorical[[#This Row],[Education Old]]=0, tblPiNHistorical[[#This Row],[Education New]]="", tblPiNHistorical[[#This Row],[Education New]]=0), "", tblPiNHistorical[[#This Row],[Education New]]-tblPiNHistorical[[#This Row],[Education Old]])</f>
        <v/>
      </c>
      <c r="AH737"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737" s="137" t="str">
        <f>IF(OR(tblPiNHistorical[[#This Row],[Health Old]]="", tblPiNHistorical[[#This Row],[Health Old]]=0, tblPiNHistorical[[#This Row],[Health New]]="", tblPiNHistorical[[#This Row],[Health New]]=0), "", tblPiNHistorical[[#This Row],[Health New]]-tblPiNHistorical[[#This Row],[Health Old]])</f>
        <v/>
      </c>
      <c r="AJ737" s="136" t="str">
        <f>IF(OR(tblPiNHistorical[[#This Row],[Nutrition Old]]="", tblPiNHistorical[[#This Row],[Nutrition Old]]=0, tblPiNHistorical[[#This Row],[Nutrition New]]="", tblPiNHistorical[[#This Row],[Nutrition New]]=0), "", tblPiNHistorical[[#This Row],[Nutrition New]]-tblPiNHistorical[[#This Row],[Nutrition Old]])</f>
        <v/>
      </c>
      <c r="AK737" s="136" t="str">
        <f>IF(OR(tblPiNHistorical[[#This Row],[Protection Old]]="", tblPiNHistorical[[#This Row],[Protection Old]]=0, tblPiNHistorical[[#This Row],[Protection New]]="", tblPiNHistorical[[#This Row],[Protection New]]=0), "", tblPiNHistorical[[#This Row],[Protection New]]-tblPiNHistorical[[#This Row],[Protection Old]])</f>
        <v/>
      </c>
      <c r="AL737" s="136" t="str">
        <f>IF(OR(tblPiNHistorical[[#This Row],[CP Old ]]="", tblPiNHistorical[[#This Row],[CP Old ]]=0, tblPiNHistorical[[#This Row],[CP New]]="", tblPiNHistorical[[#This Row],[CP New]]=0), "", tblPiNHistorical[[#This Row],[CP New]]-tblPiNHistorical[[#This Row],[CP Old ]])</f>
        <v/>
      </c>
      <c r="AM737" s="83" t="str">
        <f>IF(OR(tblPiNHistorical[[#This Row],[GBV Old]]="", tblPiNHistorical[[#This Row],[GBV Old]]=0, tblPiNHistorical[[#This Row],[GBV New]]="", tblPiNHistorical[[#This Row],[GBV New]]=0), "", tblPiNHistorical[[#This Row],[GBV New]]-tblPiNHistorical[[#This Row],[GBV Old]])</f>
        <v/>
      </c>
      <c r="AN737" s="83" t="str">
        <f>IF(OR(tblPiNHistorical[[#This Row],[Mine Action Old]]="", tblPiNHistorical[[#This Row],[Mine Action Old]]=0, tblPiNHistorical[[#This Row],[Mine Action New]]="", tblPiNHistorical[[#This Row],[Mine Action New]]=0), "", tblPiNHistorical[[#This Row],[Mine Action New]]-tblPiNHistorical[[#This Row],[Mine Action Old]])</f>
        <v/>
      </c>
      <c r="AO737" s="136" t="str">
        <f>IF(OR(tblPiNHistorical[[#This Row],[Shelter NFI Old]]="", tblPiNHistorical[[#This Row],[Shelter NFI Old]]=0, tblPiNHistorical[[#This Row],[Shelter NFI New]]="", tblPiNHistorical[[#This Row],[Shelter NFI New]]=0), "", tblPiNHistorical[[#This Row],[Shelter NFI New]]-tblPiNHistorical[[#This Row],[Shelter NFI Old]])</f>
        <v/>
      </c>
      <c r="AP737" s="138" t="str">
        <f>IF(OR(tblPiNHistorical[[#This Row],[WASH Old]]="", tblPiNHistorical[[#This Row],[WASH Old]]=0, tblPiNHistorical[[#This Row],[WASH New]]="", tblPiNHistorical[[#This Row],[WASH New]]=0), "", tblPiNHistorical[[#This Row],[WASH New]]-tblPiNHistorical[[#This Row],[WASH Old]])</f>
        <v/>
      </c>
      <c r="AQ737" s="139" t="str">
        <f>IFERROR(ROUND((tblPiNHistorical[[#This Row],[Site Management - New]] - tblPiNHistorical[[#This Row],[Site Management - Old]])/tblPiNHistorical[[#This Row],[Site Management - Old]], 1), "")</f>
        <v/>
      </c>
      <c r="AR737" s="140" t="str">
        <f>IFERROR(ROUND((tblPiNHistorical[[#This Row],[Education New]]-tblPiNHistorical[[#This Row],[Education Old]])/tblPiNHistorical[[#This Row],[Education Old]], 1), "")</f>
        <v/>
      </c>
      <c r="AS737" s="141" t="str">
        <f>IFERROR(ROUND((tblPiNHistorical[[#This Row],[Food Security and Livlihoods New]]-tblPiNHistorical[[#This Row],[Food Security and Livlihoods Old]])/tblPiNHistorical[[#This Row],[Food Security and Livlihoods Old]], 1), "")</f>
        <v/>
      </c>
      <c r="AT737" s="142" t="str">
        <f>IFERROR(ROUND((tblPiNHistorical[[#This Row],[Health New]]-tblPiNHistorical[[#This Row],[Health Old]])/tblPiNHistorical[[#This Row],[Health Old]], 1), "")</f>
        <v/>
      </c>
      <c r="AU737" s="140" t="str">
        <f>IFERROR(ROUND((tblPiNHistorical[[#This Row],[Nutrition New]]-tblPiNHistorical[[#This Row],[Nutrition Old]])/tblPiNHistorical[[#This Row],[Nutrition Old]], 1), "")</f>
        <v/>
      </c>
      <c r="AV737" s="140" t="str">
        <f>IFERROR(ROUND((tblPiNHistorical[[#This Row],[Protection New]]-tblPiNHistorical[[#This Row],[Protection Old]])/tblPiNHistorical[[#This Row],[Protection Old]], 1), "")</f>
        <v/>
      </c>
      <c r="AW737" s="84" t="str">
        <f>IFERROR(ROUND((tblPiNHistorical[[#This Row],[CP New]]-tblPiNHistorical[[#This Row],[CP Old ]])/tblPiNHistorical[[#This Row],[CP Old ]], 1), "")</f>
        <v/>
      </c>
      <c r="AX737" s="84" t="str">
        <f>IFERROR(ROUND((tblPiNHistorical[[#This Row],[GBV New]]-tblPiNHistorical[[#This Row],[GBV Old]])/tblPiNHistorical[[#This Row],[GBV Old]], 1), "")</f>
        <v/>
      </c>
      <c r="AY737" s="84" t="str">
        <f>IFERROR(ROUND((tblPiNHistorical[[#This Row],[Mine Action New]]-tblPiNHistorical[[#This Row],[Mine Action Old]])/tblPiNHistorical[[#This Row],[Mine Action Old]], 1), "")</f>
        <v/>
      </c>
      <c r="AZ737" s="140" t="str">
        <f>IFERROR(ROUND((tblPiNHistorical[[#This Row],[Shelter NFI New]]-tblPiNHistorical[[#This Row],[Shelter NFI Old]])/tblPiNHistorical[[#This Row],[Shelter NFI Old]], 1), "")</f>
        <v/>
      </c>
      <c r="BA737" s="31" t="str">
        <f>IFERROR(ROUND((tblPiNHistorical[[#This Row],[WASH New]]-tblPiNHistorical[[#This Row],[WASH Old]])/tblPiNHistorical[[#This Row],[WASH Old]], 1), "")</f>
        <v/>
      </c>
    </row>
    <row r="738" spans="1:53" ht="38.25" x14ac:dyDescent="0.25">
      <c r="A738"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Non-displaced PopulationSD04125</v>
      </c>
      <c r="B738" s="134" t="s">
        <v>191</v>
      </c>
      <c r="C738" s="124" t="s">
        <v>121</v>
      </c>
      <c r="D738" s="124" t="s">
        <v>285</v>
      </c>
      <c r="E738" s="59" t="s">
        <v>284</v>
      </c>
      <c r="F738" s="54"/>
      <c r="G738" s="29"/>
      <c r="H738" s="53">
        <v>209960.5</v>
      </c>
      <c r="I738" s="53" t="s">
        <v>89</v>
      </c>
      <c r="J738" s="34">
        <v>0</v>
      </c>
      <c r="K738" s="116">
        <v>81401.685849999994</v>
      </c>
      <c r="L738" s="114">
        <v>125976.3</v>
      </c>
      <c r="M738" s="114">
        <v>33340</v>
      </c>
      <c r="N738" s="114">
        <v>19637</v>
      </c>
      <c r="O738" s="114">
        <v>23095.655000000002</v>
      </c>
      <c r="P738" s="114">
        <v>23096</v>
      </c>
      <c r="Q738" s="114">
        <v>16621</v>
      </c>
      <c r="R738" s="114">
        <v>20996.050000000003</v>
      </c>
      <c r="S738" s="114">
        <v>41992</v>
      </c>
      <c r="T738" s="196">
        <v>75921.716799999995</v>
      </c>
      <c r="U738" s="52" t="str">
        <f>IFERROR(INDEX(tblPiNAnalysis[[Site Management ]], MATCH(tblPiNHistorical[[#This Row],[ID]], tblPiNAnalysis[ID], 0)), "")</f>
        <v/>
      </c>
      <c r="V738" s="52" t="str">
        <f>IFERROR(INDEX(tblPiNAnalysis[Education], MATCH(tblPiNHistorical[[#This Row],[ID]], tblPiNAnalysis[ID], 0)), "")</f>
        <v/>
      </c>
      <c r="W738" s="28" t="str">
        <f>IFERROR(INDEX(tblPiNAnalysis[Food Security and Livlihoods], MATCH(tblPiNHistorical[[#This Row],[ID]], tblPiNAnalysis[ID], 0)), "")</f>
        <v/>
      </c>
      <c r="X738" s="28" t="str">
        <f>IFERROR(INDEX(tblPiNAnalysis[[Health ]], MATCH(tblPiNHistorical[[#This Row],[ID]], tblPiNAnalysis[ID], 0)), "")</f>
        <v/>
      </c>
      <c r="Y738" s="28" t="str">
        <f>IFERROR(INDEX(tblPiNAnalysis[Nutrition], MATCH(tblPiNHistorical[[#This Row],[ID]], tblPiNAnalysis[ID], 0)), "")</f>
        <v/>
      </c>
      <c r="Z738" s="28" t="str">
        <f>IFERROR(INDEX(tblPiNAnalysis[Protection], MATCH(tblPiNHistorical[[#This Row],[ID]], tblPiNAnalysis[ID], 0)), "")</f>
        <v/>
      </c>
      <c r="AA738" s="28" t="str">
        <f>IFERROR(INDEX(tblPiNAnalysis[CP], MATCH(tblPiNHistorical[[#This Row],[ID]], tblPiNAnalysis[ID], 0)), "")</f>
        <v/>
      </c>
      <c r="AB738" s="83" t="str">
        <f>IFERROR(INDEX(tblPiNAnalysis[GBV], MATCH(tblPiNHistorical[[#This Row],[ID]], tblPiNAnalysis[ID], 0)), "")</f>
        <v/>
      </c>
      <c r="AC738" s="28" t="str">
        <f>IFERROR(INDEX(tblPiNAnalysis[Mine Action], MATCH(tblPiNHistorical[[#This Row],[ID]], tblPiNAnalysis[ID], 0)), "")</f>
        <v/>
      </c>
      <c r="AD738" s="83" t="str">
        <f>IFERROR(INDEX(tblPiNAnalysis[[Shelter NFI ]], MATCH(tblPiNHistorical[[#This Row],[ID]], tblPiNAnalysis[ID], 0)), "")</f>
        <v/>
      </c>
      <c r="AE738" s="28" t="str">
        <f>IFERROR(INDEX(tblPiNAnalysis[WASH], MATCH(tblPiNHistorical[[#This Row],[ID]], tblPiNAnalysis[ID], 0)), "")</f>
        <v/>
      </c>
      <c r="AF738"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738" s="136" t="str">
        <f>IF(OR(tblPiNHistorical[[#This Row],[Education Old]]="", tblPiNHistorical[[#This Row],[Education Old]]=0, tblPiNHistorical[[#This Row],[Education New]]="", tblPiNHistorical[[#This Row],[Education New]]=0), "", tblPiNHistorical[[#This Row],[Education New]]-tblPiNHistorical[[#This Row],[Education Old]])</f>
        <v/>
      </c>
      <c r="AH738"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738" s="137" t="str">
        <f>IF(OR(tblPiNHistorical[[#This Row],[Health Old]]="", tblPiNHistorical[[#This Row],[Health Old]]=0, tblPiNHistorical[[#This Row],[Health New]]="", tblPiNHistorical[[#This Row],[Health New]]=0), "", tblPiNHistorical[[#This Row],[Health New]]-tblPiNHistorical[[#This Row],[Health Old]])</f>
        <v/>
      </c>
      <c r="AJ738" s="136" t="str">
        <f>IF(OR(tblPiNHistorical[[#This Row],[Nutrition Old]]="", tblPiNHistorical[[#This Row],[Nutrition Old]]=0, tblPiNHistorical[[#This Row],[Nutrition New]]="", tblPiNHistorical[[#This Row],[Nutrition New]]=0), "", tblPiNHistorical[[#This Row],[Nutrition New]]-tblPiNHistorical[[#This Row],[Nutrition Old]])</f>
        <v/>
      </c>
      <c r="AK738" s="136" t="str">
        <f>IF(OR(tblPiNHistorical[[#This Row],[Protection Old]]="", tblPiNHistorical[[#This Row],[Protection Old]]=0, tblPiNHistorical[[#This Row],[Protection New]]="", tblPiNHistorical[[#This Row],[Protection New]]=0), "", tblPiNHistorical[[#This Row],[Protection New]]-tblPiNHistorical[[#This Row],[Protection Old]])</f>
        <v/>
      </c>
      <c r="AL738" s="136" t="str">
        <f>IF(OR(tblPiNHistorical[[#This Row],[CP Old ]]="", tblPiNHistorical[[#This Row],[CP Old ]]=0, tblPiNHistorical[[#This Row],[CP New]]="", tblPiNHistorical[[#This Row],[CP New]]=0), "", tblPiNHistorical[[#This Row],[CP New]]-tblPiNHistorical[[#This Row],[CP Old ]])</f>
        <v/>
      </c>
      <c r="AM738" s="83" t="str">
        <f>IF(OR(tblPiNHistorical[[#This Row],[GBV Old]]="", tblPiNHistorical[[#This Row],[GBV Old]]=0, tblPiNHistorical[[#This Row],[GBV New]]="", tblPiNHistorical[[#This Row],[GBV New]]=0), "", tblPiNHistorical[[#This Row],[GBV New]]-tblPiNHistorical[[#This Row],[GBV Old]])</f>
        <v/>
      </c>
      <c r="AN738" s="83" t="str">
        <f>IF(OR(tblPiNHistorical[[#This Row],[Mine Action Old]]="", tblPiNHistorical[[#This Row],[Mine Action Old]]=0, tblPiNHistorical[[#This Row],[Mine Action New]]="", tblPiNHistorical[[#This Row],[Mine Action New]]=0), "", tblPiNHistorical[[#This Row],[Mine Action New]]-tblPiNHistorical[[#This Row],[Mine Action Old]])</f>
        <v/>
      </c>
      <c r="AO738" s="136" t="str">
        <f>IF(OR(tblPiNHistorical[[#This Row],[Shelter NFI Old]]="", tblPiNHistorical[[#This Row],[Shelter NFI Old]]=0, tblPiNHistorical[[#This Row],[Shelter NFI New]]="", tblPiNHistorical[[#This Row],[Shelter NFI New]]=0), "", tblPiNHistorical[[#This Row],[Shelter NFI New]]-tblPiNHistorical[[#This Row],[Shelter NFI Old]])</f>
        <v/>
      </c>
      <c r="AP738" s="138" t="str">
        <f>IF(OR(tblPiNHistorical[[#This Row],[WASH Old]]="", tblPiNHistorical[[#This Row],[WASH Old]]=0, tblPiNHistorical[[#This Row],[WASH New]]="", tblPiNHistorical[[#This Row],[WASH New]]=0), "", tblPiNHistorical[[#This Row],[WASH New]]-tblPiNHistorical[[#This Row],[WASH Old]])</f>
        <v/>
      </c>
      <c r="AQ738" s="139" t="str">
        <f>IFERROR(ROUND((tblPiNHistorical[[#This Row],[Site Management - New]] - tblPiNHistorical[[#This Row],[Site Management - Old]])/tblPiNHistorical[[#This Row],[Site Management - Old]], 1), "")</f>
        <v/>
      </c>
      <c r="AR738" s="140" t="str">
        <f>IFERROR(ROUND((tblPiNHistorical[[#This Row],[Education New]]-tblPiNHistorical[[#This Row],[Education Old]])/tblPiNHistorical[[#This Row],[Education Old]], 1), "")</f>
        <v/>
      </c>
      <c r="AS738" s="141" t="str">
        <f>IFERROR(ROUND((tblPiNHistorical[[#This Row],[Food Security and Livlihoods New]]-tblPiNHistorical[[#This Row],[Food Security and Livlihoods Old]])/tblPiNHistorical[[#This Row],[Food Security and Livlihoods Old]], 1), "")</f>
        <v/>
      </c>
      <c r="AT738" s="142" t="str">
        <f>IFERROR(ROUND((tblPiNHistorical[[#This Row],[Health New]]-tblPiNHistorical[[#This Row],[Health Old]])/tblPiNHistorical[[#This Row],[Health Old]], 1), "")</f>
        <v/>
      </c>
      <c r="AU738" s="140" t="str">
        <f>IFERROR(ROUND((tblPiNHistorical[[#This Row],[Nutrition New]]-tblPiNHistorical[[#This Row],[Nutrition Old]])/tblPiNHistorical[[#This Row],[Nutrition Old]], 1), "")</f>
        <v/>
      </c>
      <c r="AV738" s="140" t="str">
        <f>IFERROR(ROUND((tblPiNHistorical[[#This Row],[Protection New]]-tblPiNHistorical[[#This Row],[Protection Old]])/tblPiNHistorical[[#This Row],[Protection Old]], 1), "")</f>
        <v/>
      </c>
      <c r="AW738" s="84" t="str">
        <f>IFERROR(ROUND((tblPiNHistorical[[#This Row],[CP New]]-tblPiNHistorical[[#This Row],[CP Old ]])/tblPiNHistorical[[#This Row],[CP Old ]], 1), "")</f>
        <v/>
      </c>
      <c r="AX738" s="84" t="str">
        <f>IFERROR(ROUND((tblPiNHistorical[[#This Row],[GBV New]]-tblPiNHistorical[[#This Row],[GBV Old]])/tblPiNHistorical[[#This Row],[GBV Old]], 1), "")</f>
        <v/>
      </c>
      <c r="AY738" s="84" t="str">
        <f>IFERROR(ROUND((tblPiNHistorical[[#This Row],[Mine Action New]]-tblPiNHistorical[[#This Row],[Mine Action Old]])/tblPiNHistorical[[#This Row],[Mine Action Old]], 1), "")</f>
        <v/>
      </c>
      <c r="AZ738" s="140" t="str">
        <f>IFERROR(ROUND((tblPiNHistorical[[#This Row],[Shelter NFI New]]-tblPiNHistorical[[#This Row],[Shelter NFI Old]])/tblPiNHistorical[[#This Row],[Shelter NFI Old]], 1), "")</f>
        <v/>
      </c>
      <c r="BA738" s="31" t="str">
        <f>IFERROR(ROUND((tblPiNHistorical[[#This Row],[WASH New]]-tblPiNHistorical[[#This Row],[WASH Old]])/tblPiNHistorical[[#This Row],[WASH Old]], 1), "")</f>
        <v/>
      </c>
    </row>
    <row r="739" spans="1:53" ht="38.25" x14ac:dyDescent="0.25">
      <c r="A739"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Non-displaced PopulationSD04127</v>
      </c>
      <c r="B739" s="134" t="s">
        <v>191</v>
      </c>
      <c r="C739" s="124" t="s">
        <v>121</v>
      </c>
      <c r="D739" s="124" t="s">
        <v>287</v>
      </c>
      <c r="E739" s="59" t="s">
        <v>286</v>
      </c>
      <c r="F739" s="54"/>
      <c r="G739" s="29"/>
      <c r="H739" s="53">
        <v>14379.05</v>
      </c>
      <c r="I739" s="53" t="s">
        <v>89</v>
      </c>
      <c r="J739" s="34">
        <v>0</v>
      </c>
      <c r="K739" s="116">
        <v>5574.7576849999996</v>
      </c>
      <c r="L739" s="114">
        <v>11801</v>
      </c>
      <c r="M739" s="114">
        <v>0</v>
      </c>
      <c r="N739" s="114">
        <v>1927</v>
      </c>
      <c r="O739" s="114">
        <v>1581.6955</v>
      </c>
      <c r="P739" s="114">
        <v>1582</v>
      </c>
      <c r="Q739" s="114">
        <v>1137</v>
      </c>
      <c r="R739" s="114">
        <v>0</v>
      </c>
      <c r="S739" s="114">
        <v>2876</v>
      </c>
      <c r="T739" s="196">
        <v>11800.886334999997</v>
      </c>
      <c r="U739" s="52" t="str">
        <f>IFERROR(INDEX(tblPiNAnalysis[[Site Management ]], MATCH(tblPiNHistorical[[#This Row],[ID]], tblPiNAnalysis[ID], 0)), "")</f>
        <v/>
      </c>
      <c r="V739" s="52" t="str">
        <f>IFERROR(INDEX(tblPiNAnalysis[Education], MATCH(tblPiNHistorical[[#This Row],[ID]], tblPiNAnalysis[ID], 0)), "")</f>
        <v/>
      </c>
      <c r="W739" s="28" t="str">
        <f>IFERROR(INDEX(tblPiNAnalysis[Food Security and Livlihoods], MATCH(tblPiNHistorical[[#This Row],[ID]], tblPiNAnalysis[ID], 0)), "")</f>
        <v/>
      </c>
      <c r="X739" s="28" t="str">
        <f>IFERROR(INDEX(tblPiNAnalysis[[Health ]], MATCH(tblPiNHistorical[[#This Row],[ID]], tblPiNAnalysis[ID], 0)), "")</f>
        <v/>
      </c>
      <c r="Y739" s="28" t="str">
        <f>IFERROR(INDEX(tblPiNAnalysis[Nutrition], MATCH(tblPiNHistorical[[#This Row],[ID]], tblPiNAnalysis[ID], 0)), "")</f>
        <v/>
      </c>
      <c r="Z739" s="28" t="str">
        <f>IFERROR(INDEX(tblPiNAnalysis[Protection], MATCH(tblPiNHistorical[[#This Row],[ID]], tblPiNAnalysis[ID], 0)), "")</f>
        <v/>
      </c>
      <c r="AA739" s="28" t="str">
        <f>IFERROR(INDEX(tblPiNAnalysis[CP], MATCH(tblPiNHistorical[[#This Row],[ID]], tblPiNAnalysis[ID], 0)), "")</f>
        <v/>
      </c>
      <c r="AB739" s="83" t="str">
        <f>IFERROR(INDEX(tblPiNAnalysis[GBV], MATCH(tblPiNHistorical[[#This Row],[ID]], tblPiNAnalysis[ID], 0)), "")</f>
        <v/>
      </c>
      <c r="AC739" s="28" t="str">
        <f>IFERROR(INDEX(tblPiNAnalysis[Mine Action], MATCH(tblPiNHistorical[[#This Row],[ID]], tblPiNAnalysis[ID], 0)), "")</f>
        <v/>
      </c>
      <c r="AD739" s="83" t="str">
        <f>IFERROR(INDEX(tblPiNAnalysis[[Shelter NFI ]], MATCH(tblPiNHistorical[[#This Row],[ID]], tblPiNAnalysis[ID], 0)), "")</f>
        <v/>
      </c>
      <c r="AE739" s="28" t="str">
        <f>IFERROR(INDEX(tblPiNAnalysis[WASH], MATCH(tblPiNHistorical[[#This Row],[ID]], tblPiNAnalysis[ID], 0)), "")</f>
        <v/>
      </c>
      <c r="AF739"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739" s="136" t="str">
        <f>IF(OR(tblPiNHistorical[[#This Row],[Education Old]]="", tblPiNHistorical[[#This Row],[Education Old]]=0, tblPiNHistorical[[#This Row],[Education New]]="", tblPiNHistorical[[#This Row],[Education New]]=0), "", tblPiNHistorical[[#This Row],[Education New]]-tblPiNHistorical[[#This Row],[Education Old]])</f>
        <v/>
      </c>
      <c r="AH739"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739" s="137" t="str">
        <f>IF(OR(tblPiNHistorical[[#This Row],[Health Old]]="", tblPiNHistorical[[#This Row],[Health Old]]=0, tblPiNHistorical[[#This Row],[Health New]]="", tblPiNHistorical[[#This Row],[Health New]]=0), "", tblPiNHistorical[[#This Row],[Health New]]-tblPiNHistorical[[#This Row],[Health Old]])</f>
        <v/>
      </c>
      <c r="AJ739" s="136" t="str">
        <f>IF(OR(tblPiNHistorical[[#This Row],[Nutrition Old]]="", tblPiNHistorical[[#This Row],[Nutrition Old]]=0, tblPiNHistorical[[#This Row],[Nutrition New]]="", tblPiNHistorical[[#This Row],[Nutrition New]]=0), "", tblPiNHistorical[[#This Row],[Nutrition New]]-tblPiNHistorical[[#This Row],[Nutrition Old]])</f>
        <v/>
      </c>
      <c r="AK739" s="136" t="str">
        <f>IF(OR(tblPiNHistorical[[#This Row],[Protection Old]]="", tblPiNHistorical[[#This Row],[Protection Old]]=0, tblPiNHistorical[[#This Row],[Protection New]]="", tblPiNHistorical[[#This Row],[Protection New]]=0), "", tblPiNHistorical[[#This Row],[Protection New]]-tblPiNHistorical[[#This Row],[Protection Old]])</f>
        <v/>
      </c>
      <c r="AL739" s="136" t="str">
        <f>IF(OR(tblPiNHistorical[[#This Row],[CP Old ]]="", tblPiNHistorical[[#This Row],[CP Old ]]=0, tblPiNHistorical[[#This Row],[CP New]]="", tblPiNHistorical[[#This Row],[CP New]]=0), "", tblPiNHistorical[[#This Row],[CP New]]-tblPiNHistorical[[#This Row],[CP Old ]])</f>
        <v/>
      </c>
      <c r="AM739" s="83" t="str">
        <f>IF(OR(tblPiNHistorical[[#This Row],[GBV Old]]="", tblPiNHistorical[[#This Row],[GBV Old]]=0, tblPiNHistorical[[#This Row],[GBV New]]="", tblPiNHistorical[[#This Row],[GBV New]]=0), "", tblPiNHistorical[[#This Row],[GBV New]]-tblPiNHistorical[[#This Row],[GBV Old]])</f>
        <v/>
      </c>
      <c r="AN739" s="83" t="str">
        <f>IF(OR(tblPiNHistorical[[#This Row],[Mine Action Old]]="", tblPiNHistorical[[#This Row],[Mine Action Old]]=0, tblPiNHistorical[[#This Row],[Mine Action New]]="", tblPiNHistorical[[#This Row],[Mine Action New]]=0), "", tblPiNHistorical[[#This Row],[Mine Action New]]-tblPiNHistorical[[#This Row],[Mine Action Old]])</f>
        <v/>
      </c>
      <c r="AO739" s="136" t="str">
        <f>IF(OR(tblPiNHistorical[[#This Row],[Shelter NFI Old]]="", tblPiNHistorical[[#This Row],[Shelter NFI Old]]=0, tblPiNHistorical[[#This Row],[Shelter NFI New]]="", tblPiNHistorical[[#This Row],[Shelter NFI New]]=0), "", tblPiNHistorical[[#This Row],[Shelter NFI New]]-tblPiNHistorical[[#This Row],[Shelter NFI Old]])</f>
        <v/>
      </c>
      <c r="AP739" s="138" t="str">
        <f>IF(OR(tblPiNHistorical[[#This Row],[WASH Old]]="", tblPiNHistorical[[#This Row],[WASH Old]]=0, tblPiNHistorical[[#This Row],[WASH New]]="", tblPiNHistorical[[#This Row],[WASH New]]=0), "", tblPiNHistorical[[#This Row],[WASH New]]-tblPiNHistorical[[#This Row],[WASH Old]])</f>
        <v/>
      </c>
      <c r="AQ739" s="139" t="str">
        <f>IFERROR(ROUND((tblPiNHistorical[[#This Row],[Site Management - New]] - tblPiNHistorical[[#This Row],[Site Management - Old]])/tblPiNHistorical[[#This Row],[Site Management - Old]], 1), "")</f>
        <v/>
      </c>
      <c r="AR739" s="140" t="str">
        <f>IFERROR(ROUND((tblPiNHistorical[[#This Row],[Education New]]-tblPiNHistorical[[#This Row],[Education Old]])/tblPiNHistorical[[#This Row],[Education Old]], 1), "")</f>
        <v/>
      </c>
      <c r="AS739" s="141" t="str">
        <f>IFERROR(ROUND((tblPiNHistorical[[#This Row],[Food Security and Livlihoods New]]-tblPiNHistorical[[#This Row],[Food Security and Livlihoods Old]])/tblPiNHistorical[[#This Row],[Food Security and Livlihoods Old]], 1), "")</f>
        <v/>
      </c>
      <c r="AT739" s="142" t="str">
        <f>IFERROR(ROUND((tblPiNHistorical[[#This Row],[Health New]]-tblPiNHistorical[[#This Row],[Health Old]])/tblPiNHistorical[[#This Row],[Health Old]], 1), "")</f>
        <v/>
      </c>
      <c r="AU739" s="140" t="str">
        <f>IFERROR(ROUND((tblPiNHistorical[[#This Row],[Nutrition New]]-tblPiNHistorical[[#This Row],[Nutrition Old]])/tblPiNHistorical[[#This Row],[Nutrition Old]], 1), "")</f>
        <v/>
      </c>
      <c r="AV739" s="140" t="str">
        <f>IFERROR(ROUND((tblPiNHistorical[[#This Row],[Protection New]]-tblPiNHistorical[[#This Row],[Protection Old]])/tblPiNHistorical[[#This Row],[Protection Old]], 1), "")</f>
        <v/>
      </c>
      <c r="AW739" s="84" t="str">
        <f>IFERROR(ROUND((tblPiNHistorical[[#This Row],[CP New]]-tblPiNHistorical[[#This Row],[CP Old ]])/tblPiNHistorical[[#This Row],[CP Old ]], 1), "")</f>
        <v/>
      </c>
      <c r="AX739" s="84" t="str">
        <f>IFERROR(ROUND((tblPiNHistorical[[#This Row],[GBV New]]-tblPiNHistorical[[#This Row],[GBV Old]])/tblPiNHistorical[[#This Row],[GBV Old]], 1), "")</f>
        <v/>
      </c>
      <c r="AY739" s="84" t="str">
        <f>IFERROR(ROUND((tblPiNHistorical[[#This Row],[Mine Action New]]-tblPiNHistorical[[#This Row],[Mine Action Old]])/tblPiNHistorical[[#This Row],[Mine Action Old]], 1), "")</f>
        <v/>
      </c>
      <c r="AZ739" s="140" t="str">
        <f>IFERROR(ROUND((tblPiNHistorical[[#This Row],[Shelter NFI New]]-tblPiNHistorical[[#This Row],[Shelter NFI Old]])/tblPiNHistorical[[#This Row],[Shelter NFI Old]], 1), "")</f>
        <v/>
      </c>
      <c r="BA739" s="31" t="str">
        <f>IFERROR(ROUND((tblPiNHistorical[[#This Row],[WASH New]]-tblPiNHistorical[[#This Row],[WASH Old]])/tblPiNHistorical[[#This Row],[WASH Old]], 1), "")</f>
        <v/>
      </c>
    </row>
    <row r="740" spans="1:53" ht="38.25" x14ac:dyDescent="0.25">
      <c r="A740"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Non-displaced PopulationSD04134</v>
      </c>
      <c r="B740" s="134" t="s">
        <v>191</v>
      </c>
      <c r="C740" s="124" t="s">
        <v>121</v>
      </c>
      <c r="D740" s="124" t="s">
        <v>289</v>
      </c>
      <c r="E740" s="59" t="s">
        <v>288</v>
      </c>
      <c r="F740" s="54"/>
      <c r="G740" s="29"/>
      <c r="H740" s="53">
        <v>107455</v>
      </c>
      <c r="I740" s="53" t="s">
        <v>89</v>
      </c>
      <c r="J740" s="34">
        <v>0</v>
      </c>
      <c r="K740" s="116">
        <v>41660.303500000002</v>
      </c>
      <c r="L740" s="114">
        <v>59100.25</v>
      </c>
      <c r="M740" s="114">
        <v>0</v>
      </c>
      <c r="N740" s="114">
        <v>12301</v>
      </c>
      <c r="O740" s="114">
        <v>42982</v>
      </c>
      <c r="P740" s="114">
        <v>11820</v>
      </c>
      <c r="Q740" s="114">
        <v>8507</v>
      </c>
      <c r="R740" s="114">
        <v>42982</v>
      </c>
      <c r="S740" s="114">
        <v>21491</v>
      </c>
      <c r="T740" s="196">
        <v>69931.714000000007</v>
      </c>
      <c r="U740" s="52" t="str">
        <f>IFERROR(INDEX(tblPiNAnalysis[[Site Management ]], MATCH(tblPiNHistorical[[#This Row],[ID]], tblPiNAnalysis[ID], 0)), "")</f>
        <v/>
      </c>
      <c r="V740" s="52" t="str">
        <f>IFERROR(INDEX(tblPiNAnalysis[Education], MATCH(tblPiNHistorical[[#This Row],[ID]], tblPiNAnalysis[ID], 0)), "")</f>
        <v/>
      </c>
      <c r="W740" s="28" t="str">
        <f>IFERROR(INDEX(tblPiNAnalysis[Food Security and Livlihoods], MATCH(tblPiNHistorical[[#This Row],[ID]], tblPiNAnalysis[ID], 0)), "")</f>
        <v/>
      </c>
      <c r="X740" s="28" t="str">
        <f>IFERROR(INDEX(tblPiNAnalysis[[Health ]], MATCH(tblPiNHistorical[[#This Row],[ID]], tblPiNAnalysis[ID], 0)), "")</f>
        <v/>
      </c>
      <c r="Y740" s="28" t="str">
        <f>IFERROR(INDEX(tblPiNAnalysis[Nutrition], MATCH(tblPiNHistorical[[#This Row],[ID]], tblPiNAnalysis[ID], 0)), "")</f>
        <v/>
      </c>
      <c r="Z740" s="28" t="str">
        <f>IFERROR(INDEX(tblPiNAnalysis[Protection], MATCH(tblPiNHistorical[[#This Row],[ID]], tblPiNAnalysis[ID], 0)), "")</f>
        <v/>
      </c>
      <c r="AA740" s="28" t="str">
        <f>IFERROR(INDEX(tblPiNAnalysis[CP], MATCH(tblPiNHistorical[[#This Row],[ID]], tblPiNAnalysis[ID], 0)), "")</f>
        <v/>
      </c>
      <c r="AB740" s="83" t="str">
        <f>IFERROR(INDEX(tblPiNAnalysis[GBV], MATCH(tblPiNHistorical[[#This Row],[ID]], tblPiNAnalysis[ID], 0)), "")</f>
        <v/>
      </c>
      <c r="AC740" s="28" t="str">
        <f>IFERROR(INDEX(tblPiNAnalysis[Mine Action], MATCH(tblPiNHistorical[[#This Row],[ID]], tblPiNAnalysis[ID], 0)), "")</f>
        <v/>
      </c>
      <c r="AD740" s="83" t="str">
        <f>IFERROR(INDEX(tblPiNAnalysis[[Shelter NFI ]], MATCH(tblPiNHistorical[[#This Row],[ID]], tblPiNAnalysis[ID], 0)), "")</f>
        <v/>
      </c>
      <c r="AE740" s="28" t="str">
        <f>IFERROR(INDEX(tblPiNAnalysis[WASH], MATCH(tblPiNHistorical[[#This Row],[ID]], tblPiNAnalysis[ID], 0)), "")</f>
        <v/>
      </c>
      <c r="AF740"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740" s="136" t="str">
        <f>IF(OR(tblPiNHistorical[[#This Row],[Education Old]]="", tblPiNHistorical[[#This Row],[Education Old]]=0, tblPiNHistorical[[#This Row],[Education New]]="", tblPiNHistorical[[#This Row],[Education New]]=0), "", tblPiNHistorical[[#This Row],[Education New]]-tblPiNHistorical[[#This Row],[Education Old]])</f>
        <v/>
      </c>
      <c r="AH740"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740" s="137" t="str">
        <f>IF(OR(tblPiNHistorical[[#This Row],[Health Old]]="", tblPiNHistorical[[#This Row],[Health Old]]=0, tblPiNHistorical[[#This Row],[Health New]]="", tblPiNHistorical[[#This Row],[Health New]]=0), "", tblPiNHistorical[[#This Row],[Health New]]-tblPiNHistorical[[#This Row],[Health Old]])</f>
        <v/>
      </c>
      <c r="AJ740" s="136" t="str">
        <f>IF(OR(tblPiNHistorical[[#This Row],[Nutrition Old]]="", tblPiNHistorical[[#This Row],[Nutrition Old]]=0, tblPiNHistorical[[#This Row],[Nutrition New]]="", tblPiNHistorical[[#This Row],[Nutrition New]]=0), "", tblPiNHistorical[[#This Row],[Nutrition New]]-tblPiNHistorical[[#This Row],[Nutrition Old]])</f>
        <v/>
      </c>
      <c r="AK740" s="136" t="str">
        <f>IF(OR(tblPiNHistorical[[#This Row],[Protection Old]]="", tblPiNHistorical[[#This Row],[Protection Old]]=0, tblPiNHistorical[[#This Row],[Protection New]]="", tblPiNHistorical[[#This Row],[Protection New]]=0), "", tblPiNHistorical[[#This Row],[Protection New]]-tblPiNHistorical[[#This Row],[Protection Old]])</f>
        <v/>
      </c>
      <c r="AL740" s="136" t="str">
        <f>IF(OR(tblPiNHistorical[[#This Row],[CP Old ]]="", tblPiNHistorical[[#This Row],[CP Old ]]=0, tblPiNHistorical[[#This Row],[CP New]]="", tblPiNHistorical[[#This Row],[CP New]]=0), "", tblPiNHistorical[[#This Row],[CP New]]-tblPiNHistorical[[#This Row],[CP Old ]])</f>
        <v/>
      </c>
      <c r="AM740" s="83" t="str">
        <f>IF(OR(tblPiNHistorical[[#This Row],[GBV Old]]="", tblPiNHistorical[[#This Row],[GBV Old]]=0, tblPiNHistorical[[#This Row],[GBV New]]="", tblPiNHistorical[[#This Row],[GBV New]]=0), "", tblPiNHistorical[[#This Row],[GBV New]]-tblPiNHistorical[[#This Row],[GBV Old]])</f>
        <v/>
      </c>
      <c r="AN740" s="83" t="str">
        <f>IF(OR(tblPiNHistorical[[#This Row],[Mine Action Old]]="", tblPiNHistorical[[#This Row],[Mine Action Old]]=0, tblPiNHistorical[[#This Row],[Mine Action New]]="", tblPiNHistorical[[#This Row],[Mine Action New]]=0), "", tblPiNHistorical[[#This Row],[Mine Action New]]-tblPiNHistorical[[#This Row],[Mine Action Old]])</f>
        <v/>
      </c>
      <c r="AO740" s="136" t="str">
        <f>IF(OR(tblPiNHistorical[[#This Row],[Shelter NFI Old]]="", tblPiNHistorical[[#This Row],[Shelter NFI Old]]=0, tblPiNHistorical[[#This Row],[Shelter NFI New]]="", tblPiNHistorical[[#This Row],[Shelter NFI New]]=0), "", tblPiNHistorical[[#This Row],[Shelter NFI New]]-tblPiNHistorical[[#This Row],[Shelter NFI Old]])</f>
        <v/>
      </c>
      <c r="AP740" s="138" t="str">
        <f>IF(OR(tblPiNHistorical[[#This Row],[WASH Old]]="", tblPiNHistorical[[#This Row],[WASH Old]]=0, tblPiNHistorical[[#This Row],[WASH New]]="", tblPiNHistorical[[#This Row],[WASH New]]=0), "", tblPiNHistorical[[#This Row],[WASH New]]-tblPiNHistorical[[#This Row],[WASH Old]])</f>
        <v/>
      </c>
      <c r="AQ740" s="139" t="str">
        <f>IFERROR(ROUND((tblPiNHistorical[[#This Row],[Site Management - New]] - tblPiNHistorical[[#This Row],[Site Management - Old]])/tblPiNHistorical[[#This Row],[Site Management - Old]], 1), "")</f>
        <v/>
      </c>
      <c r="AR740" s="140" t="str">
        <f>IFERROR(ROUND((tblPiNHistorical[[#This Row],[Education New]]-tblPiNHistorical[[#This Row],[Education Old]])/tblPiNHistorical[[#This Row],[Education Old]], 1), "")</f>
        <v/>
      </c>
      <c r="AS740" s="141" t="str">
        <f>IFERROR(ROUND((tblPiNHistorical[[#This Row],[Food Security and Livlihoods New]]-tblPiNHistorical[[#This Row],[Food Security and Livlihoods Old]])/tblPiNHistorical[[#This Row],[Food Security and Livlihoods Old]], 1), "")</f>
        <v/>
      </c>
      <c r="AT740" s="142" t="str">
        <f>IFERROR(ROUND((tblPiNHistorical[[#This Row],[Health New]]-tblPiNHistorical[[#This Row],[Health Old]])/tblPiNHistorical[[#This Row],[Health Old]], 1), "")</f>
        <v/>
      </c>
      <c r="AU740" s="140" t="str">
        <f>IFERROR(ROUND((tblPiNHistorical[[#This Row],[Nutrition New]]-tblPiNHistorical[[#This Row],[Nutrition Old]])/tblPiNHistorical[[#This Row],[Nutrition Old]], 1), "")</f>
        <v/>
      </c>
      <c r="AV740" s="140" t="str">
        <f>IFERROR(ROUND((tblPiNHistorical[[#This Row],[Protection New]]-tblPiNHistorical[[#This Row],[Protection Old]])/tblPiNHistorical[[#This Row],[Protection Old]], 1), "")</f>
        <v/>
      </c>
      <c r="AW740" s="84" t="str">
        <f>IFERROR(ROUND((tblPiNHistorical[[#This Row],[CP New]]-tblPiNHistorical[[#This Row],[CP Old ]])/tblPiNHistorical[[#This Row],[CP Old ]], 1), "")</f>
        <v/>
      </c>
      <c r="AX740" s="84" t="str">
        <f>IFERROR(ROUND((tblPiNHistorical[[#This Row],[GBV New]]-tblPiNHistorical[[#This Row],[GBV Old]])/tblPiNHistorical[[#This Row],[GBV Old]], 1), "")</f>
        <v/>
      </c>
      <c r="AY740" s="84" t="str">
        <f>IFERROR(ROUND((tblPiNHistorical[[#This Row],[Mine Action New]]-tblPiNHistorical[[#This Row],[Mine Action Old]])/tblPiNHistorical[[#This Row],[Mine Action Old]], 1), "")</f>
        <v/>
      </c>
      <c r="AZ740" s="140" t="str">
        <f>IFERROR(ROUND((tblPiNHistorical[[#This Row],[Shelter NFI New]]-tblPiNHistorical[[#This Row],[Shelter NFI Old]])/tblPiNHistorical[[#This Row],[Shelter NFI Old]], 1), "")</f>
        <v/>
      </c>
      <c r="BA740" s="31" t="str">
        <f>IFERROR(ROUND((tblPiNHistorical[[#This Row],[WASH New]]-tblPiNHistorical[[#This Row],[WASH Old]])/tblPiNHistorical[[#This Row],[WASH Old]], 1), "")</f>
        <v/>
      </c>
    </row>
    <row r="741" spans="1:53" ht="38.25" x14ac:dyDescent="0.25">
      <c r="A741"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Non-displaced PopulationSD18028</v>
      </c>
      <c r="B741" s="134" t="s">
        <v>194</v>
      </c>
      <c r="C741" s="124" t="s">
        <v>135</v>
      </c>
      <c r="D741" s="124" t="s">
        <v>544</v>
      </c>
      <c r="E741" s="59" t="s">
        <v>545</v>
      </c>
      <c r="F741" s="54"/>
      <c r="G741" s="29"/>
      <c r="H741" s="53">
        <v>42380</v>
      </c>
      <c r="I741" s="53" t="s">
        <v>89</v>
      </c>
      <c r="J741" s="34">
        <v>0</v>
      </c>
      <c r="K741" s="116">
        <v>16430.725999999999</v>
      </c>
      <c r="L741" s="114">
        <v>19071</v>
      </c>
      <c r="M741" s="114">
        <v>6565</v>
      </c>
      <c r="N741" s="114">
        <v>9687</v>
      </c>
      <c r="O741" s="114">
        <v>4661.8000000000011</v>
      </c>
      <c r="P741" s="114">
        <v>4662</v>
      </c>
      <c r="Q741" s="114">
        <v>2237</v>
      </c>
      <c r="R741" s="114">
        <v>0</v>
      </c>
      <c r="S741" s="114">
        <v>8476</v>
      </c>
      <c r="T741" s="196">
        <v>23342.903999999999</v>
      </c>
      <c r="U741" s="52" t="str">
        <f>IFERROR(INDEX(tblPiNAnalysis[[Site Management ]], MATCH(tblPiNHistorical[[#This Row],[ID]], tblPiNAnalysis[ID], 0)), "")</f>
        <v/>
      </c>
      <c r="V741" s="52" t="str">
        <f>IFERROR(INDEX(tblPiNAnalysis[Education], MATCH(tblPiNHistorical[[#This Row],[ID]], tblPiNAnalysis[ID], 0)), "")</f>
        <v/>
      </c>
      <c r="W741" s="28" t="str">
        <f>IFERROR(INDEX(tblPiNAnalysis[Food Security and Livlihoods], MATCH(tblPiNHistorical[[#This Row],[ID]], tblPiNAnalysis[ID], 0)), "")</f>
        <v/>
      </c>
      <c r="X741" s="28" t="str">
        <f>IFERROR(INDEX(tblPiNAnalysis[[Health ]], MATCH(tblPiNHistorical[[#This Row],[ID]], tblPiNAnalysis[ID], 0)), "")</f>
        <v/>
      </c>
      <c r="Y741" s="28" t="str">
        <f>IFERROR(INDEX(tblPiNAnalysis[Nutrition], MATCH(tblPiNHistorical[[#This Row],[ID]], tblPiNAnalysis[ID], 0)), "")</f>
        <v/>
      </c>
      <c r="Z741" s="28" t="str">
        <f>IFERROR(INDEX(tblPiNAnalysis[Protection], MATCH(tblPiNHistorical[[#This Row],[ID]], tblPiNAnalysis[ID], 0)), "")</f>
        <v/>
      </c>
      <c r="AA741" s="28" t="str">
        <f>IFERROR(INDEX(tblPiNAnalysis[CP], MATCH(tblPiNHistorical[[#This Row],[ID]], tblPiNAnalysis[ID], 0)), "")</f>
        <v/>
      </c>
      <c r="AB741" s="83" t="str">
        <f>IFERROR(INDEX(tblPiNAnalysis[GBV], MATCH(tblPiNHistorical[[#This Row],[ID]], tblPiNAnalysis[ID], 0)), "")</f>
        <v/>
      </c>
      <c r="AC741" s="28" t="str">
        <f>IFERROR(INDEX(tblPiNAnalysis[Mine Action], MATCH(tblPiNHistorical[[#This Row],[ID]], tblPiNAnalysis[ID], 0)), "")</f>
        <v/>
      </c>
      <c r="AD741" s="83" t="str">
        <f>IFERROR(INDEX(tblPiNAnalysis[[Shelter NFI ]], MATCH(tblPiNHistorical[[#This Row],[ID]], tblPiNAnalysis[ID], 0)), "")</f>
        <v/>
      </c>
      <c r="AE741" s="28" t="str">
        <f>IFERROR(INDEX(tblPiNAnalysis[WASH], MATCH(tblPiNHistorical[[#This Row],[ID]], tblPiNAnalysis[ID], 0)), "")</f>
        <v/>
      </c>
      <c r="AF741"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741" s="136" t="str">
        <f>IF(OR(tblPiNHistorical[[#This Row],[Education Old]]="", tblPiNHistorical[[#This Row],[Education Old]]=0, tblPiNHistorical[[#This Row],[Education New]]="", tblPiNHistorical[[#This Row],[Education New]]=0), "", tblPiNHistorical[[#This Row],[Education New]]-tblPiNHistorical[[#This Row],[Education Old]])</f>
        <v/>
      </c>
      <c r="AH741"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741" s="137" t="str">
        <f>IF(OR(tblPiNHistorical[[#This Row],[Health Old]]="", tblPiNHistorical[[#This Row],[Health Old]]=0, tblPiNHistorical[[#This Row],[Health New]]="", tblPiNHistorical[[#This Row],[Health New]]=0), "", tblPiNHistorical[[#This Row],[Health New]]-tblPiNHistorical[[#This Row],[Health Old]])</f>
        <v/>
      </c>
      <c r="AJ741" s="136" t="str">
        <f>IF(OR(tblPiNHistorical[[#This Row],[Nutrition Old]]="", tblPiNHistorical[[#This Row],[Nutrition Old]]=0, tblPiNHistorical[[#This Row],[Nutrition New]]="", tblPiNHistorical[[#This Row],[Nutrition New]]=0), "", tblPiNHistorical[[#This Row],[Nutrition New]]-tblPiNHistorical[[#This Row],[Nutrition Old]])</f>
        <v/>
      </c>
      <c r="AK741" s="136" t="str">
        <f>IF(OR(tblPiNHistorical[[#This Row],[Protection Old]]="", tblPiNHistorical[[#This Row],[Protection Old]]=0, tblPiNHistorical[[#This Row],[Protection New]]="", tblPiNHistorical[[#This Row],[Protection New]]=0), "", tblPiNHistorical[[#This Row],[Protection New]]-tblPiNHistorical[[#This Row],[Protection Old]])</f>
        <v/>
      </c>
      <c r="AL741" s="136" t="str">
        <f>IF(OR(tblPiNHistorical[[#This Row],[CP Old ]]="", tblPiNHistorical[[#This Row],[CP Old ]]=0, tblPiNHistorical[[#This Row],[CP New]]="", tblPiNHistorical[[#This Row],[CP New]]=0), "", tblPiNHistorical[[#This Row],[CP New]]-tblPiNHistorical[[#This Row],[CP Old ]])</f>
        <v/>
      </c>
      <c r="AM741" s="83" t="str">
        <f>IF(OR(tblPiNHistorical[[#This Row],[GBV Old]]="", tblPiNHistorical[[#This Row],[GBV Old]]=0, tblPiNHistorical[[#This Row],[GBV New]]="", tblPiNHistorical[[#This Row],[GBV New]]=0), "", tblPiNHistorical[[#This Row],[GBV New]]-tblPiNHistorical[[#This Row],[GBV Old]])</f>
        <v/>
      </c>
      <c r="AN741" s="83" t="str">
        <f>IF(OR(tblPiNHistorical[[#This Row],[Mine Action Old]]="", tblPiNHistorical[[#This Row],[Mine Action Old]]=0, tblPiNHistorical[[#This Row],[Mine Action New]]="", tblPiNHistorical[[#This Row],[Mine Action New]]=0), "", tblPiNHistorical[[#This Row],[Mine Action New]]-tblPiNHistorical[[#This Row],[Mine Action Old]])</f>
        <v/>
      </c>
      <c r="AO741" s="136" t="str">
        <f>IF(OR(tblPiNHistorical[[#This Row],[Shelter NFI Old]]="", tblPiNHistorical[[#This Row],[Shelter NFI Old]]=0, tblPiNHistorical[[#This Row],[Shelter NFI New]]="", tblPiNHistorical[[#This Row],[Shelter NFI New]]=0), "", tblPiNHistorical[[#This Row],[Shelter NFI New]]-tblPiNHistorical[[#This Row],[Shelter NFI Old]])</f>
        <v/>
      </c>
      <c r="AP741" s="138" t="str">
        <f>IF(OR(tblPiNHistorical[[#This Row],[WASH Old]]="", tblPiNHistorical[[#This Row],[WASH Old]]=0, tblPiNHistorical[[#This Row],[WASH New]]="", tblPiNHistorical[[#This Row],[WASH New]]=0), "", tblPiNHistorical[[#This Row],[WASH New]]-tblPiNHistorical[[#This Row],[WASH Old]])</f>
        <v/>
      </c>
      <c r="AQ741" s="139" t="str">
        <f>IFERROR(ROUND((tblPiNHistorical[[#This Row],[Site Management - New]] - tblPiNHistorical[[#This Row],[Site Management - Old]])/tblPiNHistorical[[#This Row],[Site Management - Old]], 1), "")</f>
        <v/>
      </c>
      <c r="AR741" s="140" t="str">
        <f>IFERROR(ROUND((tblPiNHistorical[[#This Row],[Education New]]-tblPiNHistorical[[#This Row],[Education Old]])/tblPiNHistorical[[#This Row],[Education Old]], 1), "")</f>
        <v/>
      </c>
      <c r="AS741" s="141" t="str">
        <f>IFERROR(ROUND((tblPiNHistorical[[#This Row],[Food Security and Livlihoods New]]-tblPiNHistorical[[#This Row],[Food Security and Livlihoods Old]])/tblPiNHistorical[[#This Row],[Food Security and Livlihoods Old]], 1), "")</f>
        <v/>
      </c>
      <c r="AT741" s="142" t="str">
        <f>IFERROR(ROUND((tblPiNHistorical[[#This Row],[Health New]]-tblPiNHistorical[[#This Row],[Health Old]])/tblPiNHistorical[[#This Row],[Health Old]], 1), "")</f>
        <v/>
      </c>
      <c r="AU741" s="140" t="str">
        <f>IFERROR(ROUND((tblPiNHistorical[[#This Row],[Nutrition New]]-tblPiNHistorical[[#This Row],[Nutrition Old]])/tblPiNHistorical[[#This Row],[Nutrition Old]], 1), "")</f>
        <v/>
      </c>
      <c r="AV741" s="140" t="str">
        <f>IFERROR(ROUND((tblPiNHistorical[[#This Row],[Protection New]]-tblPiNHistorical[[#This Row],[Protection Old]])/tblPiNHistorical[[#This Row],[Protection Old]], 1), "")</f>
        <v/>
      </c>
      <c r="AW741" s="84" t="str">
        <f>IFERROR(ROUND((tblPiNHistorical[[#This Row],[CP New]]-tblPiNHistorical[[#This Row],[CP Old ]])/tblPiNHistorical[[#This Row],[CP Old ]], 1), "")</f>
        <v/>
      </c>
      <c r="AX741" s="84" t="str">
        <f>IFERROR(ROUND((tblPiNHistorical[[#This Row],[GBV New]]-tblPiNHistorical[[#This Row],[GBV Old]])/tblPiNHistorical[[#This Row],[GBV Old]], 1), "")</f>
        <v/>
      </c>
      <c r="AY741" s="84" t="str">
        <f>IFERROR(ROUND((tblPiNHistorical[[#This Row],[Mine Action New]]-tblPiNHistorical[[#This Row],[Mine Action Old]])/tblPiNHistorical[[#This Row],[Mine Action Old]], 1), "")</f>
        <v/>
      </c>
      <c r="AZ741" s="140" t="str">
        <f>IFERROR(ROUND((tblPiNHistorical[[#This Row],[Shelter NFI New]]-tblPiNHistorical[[#This Row],[Shelter NFI Old]])/tblPiNHistorical[[#This Row],[Shelter NFI Old]], 1), "")</f>
        <v/>
      </c>
      <c r="BA741" s="31" t="str">
        <f>IFERROR(ROUND((tblPiNHistorical[[#This Row],[WASH New]]-tblPiNHistorical[[#This Row],[WASH Old]])/tblPiNHistorical[[#This Row],[WASH Old]], 1), "")</f>
        <v/>
      </c>
    </row>
    <row r="742" spans="1:53" ht="38.25" x14ac:dyDescent="0.25">
      <c r="A742"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Non-displaced PopulationSD18087</v>
      </c>
      <c r="B742" s="134" t="s">
        <v>194</v>
      </c>
      <c r="C742" s="124" t="s">
        <v>135</v>
      </c>
      <c r="D742" s="124" t="s">
        <v>552</v>
      </c>
      <c r="E742" s="59" t="s">
        <v>553</v>
      </c>
      <c r="F742" s="54"/>
      <c r="G742" s="29"/>
      <c r="H742" s="53">
        <v>35666</v>
      </c>
      <c r="I742" s="53" t="s">
        <v>89</v>
      </c>
      <c r="J742" s="34">
        <v>0</v>
      </c>
      <c r="K742" s="116">
        <v>0</v>
      </c>
      <c r="L742" s="114">
        <v>16049.7</v>
      </c>
      <c r="M742" s="114">
        <v>5000</v>
      </c>
      <c r="N742" s="114">
        <v>7197</v>
      </c>
      <c r="O742" s="114">
        <v>3923.2600000000007</v>
      </c>
      <c r="P742" s="114">
        <v>3923</v>
      </c>
      <c r="Q742" s="114">
        <v>1882</v>
      </c>
      <c r="R742" s="114">
        <v>0</v>
      </c>
      <c r="S742" s="114">
        <v>0</v>
      </c>
      <c r="T742" s="196">
        <v>30423.097999999998</v>
      </c>
      <c r="U742" s="52" t="str">
        <f>IFERROR(INDEX(tblPiNAnalysis[[Site Management ]], MATCH(tblPiNHistorical[[#This Row],[ID]], tblPiNAnalysis[ID], 0)), "")</f>
        <v/>
      </c>
      <c r="V742" s="52" t="str">
        <f>IFERROR(INDEX(tblPiNAnalysis[Education], MATCH(tblPiNHistorical[[#This Row],[ID]], tblPiNAnalysis[ID], 0)), "")</f>
        <v/>
      </c>
      <c r="W742" s="28" t="str">
        <f>IFERROR(INDEX(tblPiNAnalysis[Food Security and Livlihoods], MATCH(tblPiNHistorical[[#This Row],[ID]], tblPiNAnalysis[ID], 0)), "")</f>
        <v/>
      </c>
      <c r="X742" s="28" t="str">
        <f>IFERROR(INDEX(tblPiNAnalysis[[Health ]], MATCH(tblPiNHistorical[[#This Row],[ID]], tblPiNAnalysis[ID], 0)), "")</f>
        <v/>
      </c>
      <c r="Y742" s="28" t="str">
        <f>IFERROR(INDEX(tblPiNAnalysis[Nutrition], MATCH(tblPiNHistorical[[#This Row],[ID]], tblPiNAnalysis[ID], 0)), "")</f>
        <v/>
      </c>
      <c r="Z742" s="28" t="str">
        <f>IFERROR(INDEX(tblPiNAnalysis[Protection], MATCH(tblPiNHistorical[[#This Row],[ID]], tblPiNAnalysis[ID], 0)), "")</f>
        <v/>
      </c>
      <c r="AA742" s="28" t="str">
        <f>IFERROR(INDEX(tblPiNAnalysis[CP], MATCH(tblPiNHistorical[[#This Row],[ID]], tblPiNAnalysis[ID], 0)), "")</f>
        <v/>
      </c>
      <c r="AB742" s="83" t="str">
        <f>IFERROR(INDEX(tblPiNAnalysis[GBV], MATCH(tblPiNHistorical[[#This Row],[ID]], tblPiNAnalysis[ID], 0)), "")</f>
        <v/>
      </c>
      <c r="AC742" s="28" t="str">
        <f>IFERROR(INDEX(tblPiNAnalysis[Mine Action], MATCH(tblPiNHistorical[[#This Row],[ID]], tblPiNAnalysis[ID], 0)), "")</f>
        <v/>
      </c>
      <c r="AD742" s="83" t="str">
        <f>IFERROR(INDEX(tblPiNAnalysis[[Shelter NFI ]], MATCH(tblPiNHistorical[[#This Row],[ID]], tblPiNAnalysis[ID], 0)), "")</f>
        <v/>
      </c>
      <c r="AE742" s="28" t="str">
        <f>IFERROR(INDEX(tblPiNAnalysis[WASH], MATCH(tblPiNHistorical[[#This Row],[ID]], tblPiNAnalysis[ID], 0)), "")</f>
        <v/>
      </c>
      <c r="AF742"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742" s="136" t="str">
        <f>IF(OR(tblPiNHistorical[[#This Row],[Education Old]]="", tblPiNHistorical[[#This Row],[Education Old]]=0, tblPiNHistorical[[#This Row],[Education New]]="", tblPiNHistorical[[#This Row],[Education New]]=0), "", tblPiNHistorical[[#This Row],[Education New]]-tblPiNHistorical[[#This Row],[Education Old]])</f>
        <v/>
      </c>
      <c r="AH742"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742" s="137" t="str">
        <f>IF(OR(tblPiNHistorical[[#This Row],[Health Old]]="", tblPiNHistorical[[#This Row],[Health Old]]=0, tblPiNHistorical[[#This Row],[Health New]]="", tblPiNHistorical[[#This Row],[Health New]]=0), "", tblPiNHistorical[[#This Row],[Health New]]-tblPiNHistorical[[#This Row],[Health Old]])</f>
        <v/>
      </c>
      <c r="AJ742" s="136" t="str">
        <f>IF(OR(tblPiNHistorical[[#This Row],[Nutrition Old]]="", tblPiNHistorical[[#This Row],[Nutrition Old]]=0, tblPiNHistorical[[#This Row],[Nutrition New]]="", tblPiNHistorical[[#This Row],[Nutrition New]]=0), "", tblPiNHistorical[[#This Row],[Nutrition New]]-tblPiNHistorical[[#This Row],[Nutrition Old]])</f>
        <v/>
      </c>
      <c r="AK742" s="136" t="str">
        <f>IF(OR(tblPiNHistorical[[#This Row],[Protection Old]]="", tblPiNHistorical[[#This Row],[Protection Old]]=0, tblPiNHistorical[[#This Row],[Protection New]]="", tblPiNHistorical[[#This Row],[Protection New]]=0), "", tblPiNHistorical[[#This Row],[Protection New]]-tblPiNHistorical[[#This Row],[Protection Old]])</f>
        <v/>
      </c>
      <c r="AL742" s="136" t="str">
        <f>IF(OR(tblPiNHistorical[[#This Row],[CP Old ]]="", tblPiNHistorical[[#This Row],[CP Old ]]=0, tblPiNHistorical[[#This Row],[CP New]]="", tblPiNHistorical[[#This Row],[CP New]]=0), "", tblPiNHistorical[[#This Row],[CP New]]-tblPiNHistorical[[#This Row],[CP Old ]])</f>
        <v/>
      </c>
      <c r="AM742" s="83" t="str">
        <f>IF(OR(tblPiNHistorical[[#This Row],[GBV Old]]="", tblPiNHistorical[[#This Row],[GBV Old]]=0, tblPiNHistorical[[#This Row],[GBV New]]="", tblPiNHistorical[[#This Row],[GBV New]]=0), "", tblPiNHistorical[[#This Row],[GBV New]]-tblPiNHistorical[[#This Row],[GBV Old]])</f>
        <v/>
      </c>
      <c r="AN742" s="83" t="str">
        <f>IF(OR(tblPiNHistorical[[#This Row],[Mine Action Old]]="", tblPiNHistorical[[#This Row],[Mine Action Old]]=0, tblPiNHistorical[[#This Row],[Mine Action New]]="", tblPiNHistorical[[#This Row],[Mine Action New]]=0), "", tblPiNHistorical[[#This Row],[Mine Action New]]-tblPiNHistorical[[#This Row],[Mine Action Old]])</f>
        <v/>
      </c>
      <c r="AO742" s="136" t="str">
        <f>IF(OR(tblPiNHistorical[[#This Row],[Shelter NFI Old]]="", tblPiNHistorical[[#This Row],[Shelter NFI Old]]=0, tblPiNHistorical[[#This Row],[Shelter NFI New]]="", tblPiNHistorical[[#This Row],[Shelter NFI New]]=0), "", tblPiNHistorical[[#This Row],[Shelter NFI New]]-tblPiNHistorical[[#This Row],[Shelter NFI Old]])</f>
        <v/>
      </c>
      <c r="AP742" s="138" t="str">
        <f>IF(OR(tblPiNHistorical[[#This Row],[WASH Old]]="", tblPiNHistorical[[#This Row],[WASH Old]]=0, tblPiNHistorical[[#This Row],[WASH New]]="", tblPiNHistorical[[#This Row],[WASH New]]=0), "", tblPiNHistorical[[#This Row],[WASH New]]-tblPiNHistorical[[#This Row],[WASH Old]])</f>
        <v/>
      </c>
      <c r="AQ742" s="139" t="str">
        <f>IFERROR(ROUND((tblPiNHistorical[[#This Row],[Site Management - New]] - tblPiNHistorical[[#This Row],[Site Management - Old]])/tblPiNHistorical[[#This Row],[Site Management - Old]], 1), "")</f>
        <v/>
      </c>
      <c r="AR742" s="140" t="str">
        <f>IFERROR(ROUND((tblPiNHistorical[[#This Row],[Education New]]-tblPiNHistorical[[#This Row],[Education Old]])/tblPiNHistorical[[#This Row],[Education Old]], 1), "")</f>
        <v/>
      </c>
      <c r="AS742" s="141" t="str">
        <f>IFERROR(ROUND((tblPiNHistorical[[#This Row],[Food Security and Livlihoods New]]-tblPiNHistorical[[#This Row],[Food Security and Livlihoods Old]])/tblPiNHistorical[[#This Row],[Food Security and Livlihoods Old]], 1), "")</f>
        <v/>
      </c>
      <c r="AT742" s="142" t="str">
        <f>IFERROR(ROUND((tblPiNHistorical[[#This Row],[Health New]]-tblPiNHistorical[[#This Row],[Health Old]])/tblPiNHistorical[[#This Row],[Health Old]], 1), "")</f>
        <v/>
      </c>
      <c r="AU742" s="140" t="str">
        <f>IFERROR(ROUND((tblPiNHistorical[[#This Row],[Nutrition New]]-tblPiNHistorical[[#This Row],[Nutrition Old]])/tblPiNHistorical[[#This Row],[Nutrition Old]], 1), "")</f>
        <v/>
      </c>
      <c r="AV742" s="140" t="str">
        <f>IFERROR(ROUND((tblPiNHistorical[[#This Row],[Protection New]]-tblPiNHistorical[[#This Row],[Protection Old]])/tblPiNHistorical[[#This Row],[Protection Old]], 1), "")</f>
        <v/>
      </c>
      <c r="AW742" s="84" t="str">
        <f>IFERROR(ROUND((tblPiNHistorical[[#This Row],[CP New]]-tblPiNHistorical[[#This Row],[CP Old ]])/tblPiNHistorical[[#This Row],[CP Old ]], 1), "")</f>
        <v/>
      </c>
      <c r="AX742" s="84" t="str">
        <f>IFERROR(ROUND((tblPiNHistorical[[#This Row],[GBV New]]-tblPiNHistorical[[#This Row],[GBV Old]])/tblPiNHistorical[[#This Row],[GBV Old]], 1), "")</f>
        <v/>
      </c>
      <c r="AY742" s="84" t="str">
        <f>IFERROR(ROUND((tblPiNHistorical[[#This Row],[Mine Action New]]-tblPiNHistorical[[#This Row],[Mine Action Old]])/tblPiNHistorical[[#This Row],[Mine Action Old]], 1), "")</f>
        <v/>
      </c>
      <c r="AZ742" s="140" t="str">
        <f>IFERROR(ROUND((tblPiNHistorical[[#This Row],[Shelter NFI New]]-tblPiNHistorical[[#This Row],[Shelter NFI Old]])/tblPiNHistorical[[#This Row],[Shelter NFI Old]], 1), "")</f>
        <v/>
      </c>
      <c r="BA742" s="31" t="str">
        <f>IFERROR(ROUND((tblPiNHistorical[[#This Row],[WASH New]]-tblPiNHistorical[[#This Row],[WASH Old]])/tblPiNHistorical[[#This Row],[WASH Old]], 1), "")</f>
        <v/>
      </c>
    </row>
    <row r="743" spans="1:53" ht="38.25" x14ac:dyDescent="0.25">
      <c r="A743"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Non-displaced PopulationSD18103</v>
      </c>
      <c r="B743" s="134" t="s">
        <v>194</v>
      </c>
      <c r="C743" s="124" t="s">
        <v>135</v>
      </c>
      <c r="D743" s="124" t="s">
        <v>560</v>
      </c>
      <c r="E743" s="59" t="s">
        <v>561</v>
      </c>
      <c r="F743" s="54"/>
      <c r="G743" s="29"/>
      <c r="H743" s="53">
        <v>29130</v>
      </c>
      <c r="I743" s="53" t="s">
        <v>89</v>
      </c>
      <c r="J743" s="34">
        <v>0</v>
      </c>
      <c r="K743" s="116">
        <v>11293.700999999999</v>
      </c>
      <c r="L743" s="114">
        <v>13108.5</v>
      </c>
      <c r="M743" s="114">
        <v>0</v>
      </c>
      <c r="N743" s="114">
        <v>9926</v>
      </c>
      <c r="O743" s="114">
        <v>3204.3000000000006</v>
      </c>
      <c r="P743" s="114">
        <v>3204</v>
      </c>
      <c r="Q743" s="114">
        <v>0</v>
      </c>
      <c r="R743" s="114">
        <v>0</v>
      </c>
      <c r="S743" s="114">
        <v>5826</v>
      </c>
      <c r="T743" s="196">
        <v>25185.798000000003</v>
      </c>
      <c r="U743" s="52" t="str">
        <f>IFERROR(INDEX(tblPiNAnalysis[[Site Management ]], MATCH(tblPiNHistorical[[#This Row],[ID]], tblPiNAnalysis[ID], 0)), "")</f>
        <v/>
      </c>
      <c r="V743" s="52" t="str">
        <f>IFERROR(INDEX(tblPiNAnalysis[Education], MATCH(tblPiNHistorical[[#This Row],[ID]], tblPiNAnalysis[ID], 0)), "")</f>
        <v/>
      </c>
      <c r="W743" s="28" t="str">
        <f>IFERROR(INDEX(tblPiNAnalysis[Food Security and Livlihoods], MATCH(tblPiNHistorical[[#This Row],[ID]], tblPiNAnalysis[ID], 0)), "")</f>
        <v/>
      </c>
      <c r="X743" s="28" t="str">
        <f>IFERROR(INDEX(tblPiNAnalysis[[Health ]], MATCH(tblPiNHistorical[[#This Row],[ID]], tblPiNAnalysis[ID], 0)), "")</f>
        <v/>
      </c>
      <c r="Y743" s="28" t="str">
        <f>IFERROR(INDEX(tblPiNAnalysis[Nutrition], MATCH(tblPiNHistorical[[#This Row],[ID]], tblPiNAnalysis[ID], 0)), "")</f>
        <v/>
      </c>
      <c r="Z743" s="28" t="str">
        <f>IFERROR(INDEX(tblPiNAnalysis[Protection], MATCH(tblPiNHistorical[[#This Row],[ID]], tblPiNAnalysis[ID], 0)), "")</f>
        <v/>
      </c>
      <c r="AA743" s="28" t="str">
        <f>IFERROR(INDEX(tblPiNAnalysis[CP], MATCH(tblPiNHistorical[[#This Row],[ID]], tblPiNAnalysis[ID], 0)), "")</f>
        <v/>
      </c>
      <c r="AB743" s="83" t="str">
        <f>IFERROR(INDEX(tblPiNAnalysis[GBV], MATCH(tblPiNHistorical[[#This Row],[ID]], tblPiNAnalysis[ID], 0)), "")</f>
        <v/>
      </c>
      <c r="AC743" s="28" t="str">
        <f>IFERROR(INDEX(tblPiNAnalysis[Mine Action], MATCH(tblPiNHistorical[[#This Row],[ID]], tblPiNAnalysis[ID], 0)), "")</f>
        <v/>
      </c>
      <c r="AD743" s="83" t="str">
        <f>IFERROR(INDEX(tblPiNAnalysis[[Shelter NFI ]], MATCH(tblPiNHistorical[[#This Row],[ID]], tblPiNAnalysis[ID], 0)), "")</f>
        <v/>
      </c>
      <c r="AE743" s="28" t="str">
        <f>IFERROR(INDEX(tblPiNAnalysis[WASH], MATCH(tblPiNHistorical[[#This Row],[ID]], tblPiNAnalysis[ID], 0)), "")</f>
        <v/>
      </c>
      <c r="AF743"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743" s="136" t="str">
        <f>IF(OR(tblPiNHistorical[[#This Row],[Education Old]]="", tblPiNHistorical[[#This Row],[Education Old]]=0, tblPiNHistorical[[#This Row],[Education New]]="", tblPiNHistorical[[#This Row],[Education New]]=0), "", tblPiNHistorical[[#This Row],[Education New]]-tblPiNHistorical[[#This Row],[Education Old]])</f>
        <v/>
      </c>
      <c r="AH743"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743" s="137" t="str">
        <f>IF(OR(tblPiNHistorical[[#This Row],[Health Old]]="", tblPiNHistorical[[#This Row],[Health Old]]=0, tblPiNHistorical[[#This Row],[Health New]]="", tblPiNHistorical[[#This Row],[Health New]]=0), "", tblPiNHistorical[[#This Row],[Health New]]-tblPiNHistorical[[#This Row],[Health Old]])</f>
        <v/>
      </c>
      <c r="AJ743" s="136" t="str">
        <f>IF(OR(tblPiNHistorical[[#This Row],[Nutrition Old]]="", tblPiNHistorical[[#This Row],[Nutrition Old]]=0, tblPiNHistorical[[#This Row],[Nutrition New]]="", tblPiNHistorical[[#This Row],[Nutrition New]]=0), "", tblPiNHistorical[[#This Row],[Nutrition New]]-tblPiNHistorical[[#This Row],[Nutrition Old]])</f>
        <v/>
      </c>
      <c r="AK743" s="136" t="str">
        <f>IF(OR(tblPiNHistorical[[#This Row],[Protection Old]]="", tblPiNHistorical[[#This Row],[Protection Old]]=0, tblPiNHistorical[[#This Row],[Protection New]]="", tblPiNHistorical[[#This Row],[Protection New]]=0), "", tblPiNHistorical[[#This Row],[Protection New]]-tblPiNHistorical[[#This Row],[Protection Old]])</f>
        <v/>
      </c>
      <c r="AL743" s="136" t="str">
        <f>IF(OR(tblPiNHistorical[[#This Row],[CP Old ]]="", tblPiNHistorical[[#This Row],[CP Old ]]=0, tblPiNHistorical[[#This Row],[CP New]]="", tblPiNHistorical[[#This Row],[CP New]]=0), "", tblPiNHistorical[[#This Row],[CP New]]-tblPiNHistorical[[#This Row],[CP Old ]])</f>
        <v/>
      </c>
      <c r="AM743" s="83" t="str">
        <f>IF(OR(tblPiNHistorical[[#This Row],[GBV Old]]="", tblPiNHistorical[[#This Row],[GBV Old]]=0, tblPiNHistorical[[#This Row],[GBV New]]="", tblPiNHistorical[[#This Row],[GBV New]]=0), "", tblPiNHistorical[[#This Row],[GBV New]]-tblPiNHistorical[[#This Row],[GBV Old]])</f>
        <v/>
      </c>
      <c r="AN743" s="83" t="str">
        <f>IF(OR(tblPiNHistorical[[#This Row],[Mine Action Old]]="", tblPiNHistorical[[#This Row],[Mine Action Old]]=0, tblPiNHistorical[[#This Row],[Mine Action New]]="", tblPiNHistorical[[#This Row],[Mine Action New]]=0), "", tblPiNHistorical[[#This Row],[Mine Action New]]-tblPiNHistorical[[#This Row],[Mine Action Old]])</f>
        <v/>
      </c>
      <c r="AO743" s="136" t="str">
        <f>IF(OR(tblPiNHistorical[[#This Row],[Shelter NFI Old]]="", tblPiNHistorical[[#This Row],[Shelter NFI Old]]=0, tblPiNHistorical[[#This Row],[Shelter NFI New]]="", tblPiNHistorical[[#This Row],[Shelter NFI New]]=0), "", tblPiNHistorical[[#This Row],[Shelter NFI New]]-tblPiNHistorical[[#This Row],[Shelter NFI Old]])</f>
        <v/>
      </c>
      <c r="AP743" s="138" t="str">
        <f>IF(OR(tblPiNHistorical[[#This Row],[WASH Old]]="", tblPiNHistorical[[#This Row],[WASH Old]]=0, tblPiNHistorical[[#This Row],[WASH New]]="", tblPiNHistorical[[#This Row],[WASH New]]=0), "", tblPiNHistorical[[#This Row],[WASH New]]-tblPiNHistorical[[#This Row],[WASH Old]])</f>
        <v/>
      </c>
      <c r="AQ743" s="139" t="str">
        <f>IFERROR(ROUND((tblPiNHistorical[[#This Row],[Site Management - New]] - tblPiNHistorical[[#This Row],[Site Management - Old]])/tblPiNHistorical[[#This Row],[Site Management - Old]], 1), "")</f>
        <v/>
      </c>
      <c r="AR743" s="140" t="str">
        <f>IFERROR(ROUND((tblPiNHistorical[[#This Row],[Education New]]-tblPiNHistorical[[#This Row],[Education Old]])/tblPiNHistorical[[#This Row],[Education Old]], 1), "")</f>
        <v/>
      </c>
      <c r="AS743" s="141" t="str">
        <f>IFERROR(ROUND((tblPiNHistorical[[#This Row],[Food Security and Livlihoods New]]-tblPiNHistorical[[#This Row],[Food Security and Livlihoods Old]])/tblPiNHistorical[[#This Row],[Food Security and Livlihoods Old]], 1), "")</f>
        <v/>
      </c>
      <c r="AT743" s="142" t="str">
        <f>IFERROR(ROUND((tblPiNHistorical[[#This Row],[Health New]]-tblPiNHistorical[[#This Row],[Health Old]])/tblPiNHistorical[[#This Row],[Health Old]], 1), "")</f>
        <v/>
      </c>
      <c r="AU743" s="140" t="str">
        <f>IFERROR(ROUND((tblPiNHistorical[[#This Row],[Nutrition New]]-tblPiNHistorical[[#This Row],[Nutrition Old]])/tblPiNHistorical[[#This Row],[Nutrition Old]], 1), "")</f>
        <v/>
      </c>
      <c r="AV743" s="140" t="str">
        <f>IFERROR(ROUND((tblPiNHistorical[[#This Row],[Protection New]]-tblPiNHistorical[[#This Row],[Protection Old]])/tblPiNHistorical[[#This Row],[Protection Old]], 1), "")</f>
        <v/>
      </c>
      <c r="AW743" s="84" t="str">
        <f>IFERROR(ROUND((tblPiNHistorical[[#This Row],[CP New]]-tblPiNHistorical[[#This Row],[CP Old ]])/tblPiNHistorical[[#This Row],[CP Old ]], 1), "")</f>
        <v/>
      </c>
      <c r="AX743" s="84" t="str">
        <f>IFERROR(ROUND((tblPiNHistorical[[#This Row],[GBV New]]-tblPiNHistorical[[#This Row],[GBV Old]])/tblPiNHistorical[[#This Row],[GBV Old]], 1), "")</f>
        <v/>
      </c>
      <c r="AY743" s="84" t="str">
        <f>IFERROR(ROUND((tblPiNHistorical[[#This Row],[Mine Action New]]-tblPiNHistorical[[#This Row],[Mine Action Old]])/tblPiNHistorical[[#This Row],[Mine Action Old]], 1), "")</f>
        <v/>
      </c>
      <c r="AZ743" s="140" t="str">
        <f>IFERROR(ROUND((tblPiNHistorical[[#This Row],[Shelter NFI New]]-tblPiNHistorical[[#This Row],[Shelter NFI Old]])/tblPiNHistorical[[#This Row],[Shelter NFI Old]], 1), "")</f>
        <v/>
      </c>
      <c r="BA743" s="31" t="str">
        <f>IFERROR(ROUND((tblPiNHistorical[[#This Row],[WASH New]]-tblPiNHistorical[[#This Row],[WASH Old]])/tblPiNHistorical[[#This Row],[WASH Old]], 1), "")</f>
        <v/>
      </c>
    </row>
    <row r="744" spans="1:53" ht="38.25" x14ac:dyDescent="0.25">
      <c r="A744"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Non-displaced PopulationSD18104</v>
      </c>
      <c r="B744" s="134" t="s">
        <v>194</v>
      </c>
      <c r="C744" s="124" t="s">
        <v>135</v>
      </c>
      <c r="D744" s="124" t="s">
        <v>562</v>
      </c>
      <c r="E744" s="59" t="s">
        <v>563</v>
      </c>
      <c r="F744" s="54"/>
      <c r="G744" s="29"/>
      <c r="H744" s="53">
        <v>24836</v>
      </c>
      <c r="I744" s="53" t="s">
        <v>89</v>
      </c>
      <c r="J744" s="34">
        <v>0</v>
      </c>
      <c r="K744" s="116">
        <v>0</v>
      </c>
      <c r="L744" s="114">
        <v>9934.4</v>
      </c>
      <c r="M744" s="114">
        <v>3550</v>
      </c>
      <c r="N744" s="114">
        <v>6703</v>
      </c>
      <c r="O744" s="114">
        <v>2731.9600000000005</v>
      </c>
      <c r="P744" s="114">
        <v>2732</v>
      </c>
      <c r="Q744" s="114">
        <v>1310</v>
      </c>
      <c r="R744" s="114">
        <v>0</v>
      </c>
      <c r="S744" s="114">
        <v>4967</v>
      </c>
      <c r="T744" s="196">
        <v>23157.0864</v>
      </c>
      <c r="U744" s="52" t="str">
        <f>IFERROR(INDEX(tblPiNAnalysis[[Site Management ]], MATCH(tblPiNHistorical[[#This Row],[ID]], tblPiNAnalysis[ID], 0)), "")</f>
        <v/>
      </c>
      <c r="V744" s="52" t="str">
        <f>IFERROR(INDEX(tblPiNAnalysis[Education], MATCH(tblPiNHistorical[[#This Row],[ID]], tblPiNAnalysis[ID], 0)), "")</f>
        <v/>
      </c>
      <c r="W744" s="28" t="str">
        <f>IFERROR(INDEX(tblPiNAnalysis[Food Security and Livlihoods], MATCH(tblPiNHistorical[[#This Row],[ID]], tblPiNAnalysis[ID], 0)), "")</f>
        <v/>
      </c>
      <c r="X744" s="28" t="str">
        <f>IFERROR(INDEX(tblPiNAnalysis[[Health ]], MATCH(tblPiNHistorical[[#This Row],[ID]], tblPiNAnalysis[ID], 0)), "")</f>
        <v/>
      </c>
      <c r="Y744" s="28" t="str">
        <f>IFERROR(INDEX(tblPiNAnalysis[Nutrition], MATCH(tblPiNHistorical[[#This Row],[ID]], tblPiNAnalysis[ID], 0)), "")</f>
        <v/>
      </c>
      <c r="Z744" s="28" t="str">
        <f>IFERROR(INDEX(tblPiNAnalysis[Protection], MATCH(tblPiNHistorical[[#This Row],[ID]], tblPiNAnalysis[ID], 0)), "")</f>
        <v/>
      </c>
      <c r="AA744" s="28" t="str">
        <f>IFERROR(INDEX(tblPiNAnalysis[CP], MATCH(tblPiNHistorical[[#This Row],[ID]], tblPiNAnalysis[ID], 0)), "")</f>
        <v/>
      </c>
      <c r="AB744" s="83" t="str">
        <f>IFERROR(INDEX(tblPiNAnalysis[GBV], MATCH(tblPiNHistorical[[#This Row],[ID]], tblPiNAnalysis[ID], 0)), "")</f>
        <v/>
      </c>
      <c r="AC744" s="28" t="str">
        <f>IFERROR(INDEX(tblPiNAnalysis[Mine Action], MATCH(tblPiNHistorical[[#This Row],[ID]], tblPiNAnalysis[ID], 0)), "")</f>
        <v/>
      </c>
      <c r="AD744" s="83" t="str">
        <f>IFERROR(INDEX(tblPiNAnalysis[[Shelter NFI ]], MATCH(tblPiNHistorical[[#This Row],[ID]], tblPiNAnalysis[ID], 0)), "")</f>
        <v/>
      </c>
      <c r="AE744" s="28" t="str">
        <f>IFERROR(INDEX(tblPiNAnalysis[WASH], MATCH(tblPiNHistorical[[#This Row],[ID]], tblPiNAnalysis[ID], 0)), "")</f>
        <v/>
      </c>
      <c r="AF744"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744" s="136" t="str">
        <f>IF(OR(tblPiNHistorical[[#This Row],[Education Old]]="", tblPiNHistorical[[#This Row],[Education Old]]=0, tblPiNHistorical[[#This Row],[Education New]]="", tblPiNHistorical[[#This Row],[Education New]]=0), "", tblPiNHistorical[[#This Row],[Education New]]-tblPiNHistorical[[#This Row],[Education Old]])</f>
        <v/>
      </c>
      <c r="AH744"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744" s="137" t="str">
        <f>IF(OR(tblPiNHistorical[[#This Row],[Health Old]]="", tblPiNHistorical[[#This Row],[Health Old]]=0, tblPiNHistorical[[#This Row],[Health New]]="", tblPiNHistorical[[#This Row],[Health New]]=0), "", tblPiNHistorical[[#This Row],[Health New]]-tblPiNHistorical[[#This Row],[Health Old]])</f>
        <v/>
      </c>
      <c r="AJ744" s="136" t="str">
        <f>IF(OR(tblPiNHistorical[[#This Row],[Nutrition Old]]="", tblPiNHistorical[[#This Row],[Nutrition Old]]=0, tblPiNHistorical[[#This Row],[Nutrition New]]="", tblPiNHistorical[[#This Row],[Nutrition New]]=0), "", tblPiNHistorical[[#This Row],[Nutrition New]]-tblPiNHistorical[[#This Row],[Nutrition Old]])</f>
        <v/>
      </c>
      <c r="AK744" s="136" t="str">
        <f>IF(OR(tblPiNHistorical[[#This Row],[Protection Old]]="", tblPiNHistorical[[#This Row],[Protection Old]]=0, tblPiNHistorical[[#This Row],[Protection New]]="", tblPiNHistorical[[#This Row],[Protection New]]=0), "", tblPiNHistorical[[#This Row],[Protection New]]-tblPiNHistorical[[#This Row],[Protection Old]])</f>
        <v/>
      </c>
      <c r="AL744" s="136" t="str">
        <f>IF(OR(tblPiNHistorical[[#This Row],[CP Old ]]="", tblPiNHistorical[[#This Row],[CP Old ]]=0, tblPiNHistorical[[#This Row],[CP New]]="", tblPiNHistorical[[#This Row],[CP New]]=0), "", tblPiNHistorical[[#This Row],[CP New]]-tblPiNHistorical[[#This Row],[CP Old ]])</f>
        <v/>
      </c>
      <c r="AM744" s="83" t="str">
        <f>IF(OR(tblPiNHistorical[[#This Row],[GBV Old]]="", tblPiNHistorical[[#This Row],[GBV Old]]=0, tblPiNHistorical[[#This Row],[GBV New]]="", tblPiNHistorical[[#This Row],[GBV New]]=0), "", tblPiNHistorical[[#This Row],[GBV New]]-tblPiNHistorical[[#This Row],[GBV Old]])</f>
        <v/>
      </c>
      <c r="AN744" s="83" t="str">
        <f>IF(OR(tblPiNHistorical[[#This Row],[Mine Action Old]]="", tblPiNHistorical[[#This Row],[Mine Action Old]]=0, tblPiNHistorical[[#This Row],[Mine Action New]]="", tblPiNHistorical[[#This Row],[Mine Action New]]=0), "", tblPiNHistorical[[#This Row],[Mine Action New]]-tblPiNHistorical[[#This Row],[Mine Action Old]])</f>
        <v/>
      </c>
      <c r="AO744" s="136" t="str">
        <f>IF(OR(tblPiNHistorical[[#This Row],[Shelter NFI Old]]="", tblPiNHistorical[[#This Row],[Shelter NFI Old]]=0, tblPiNHistorical[[#This Row],[Shelter NFI New]]="", tblPiNHistorical[[#This Row],[Shelter NFI New]]=0), "", tblPiNHistorical[[#This Row],[Shelter NFI New]]-tblPiNHistorical[[#This Row],[Shelter NFI Old]])</f>
        <v/>
      </c>
      <c r="AP744" s="138" t="str">
        <f>IF(OR(tblPiNHistorical[[#This Row],[WASH Old]]="", tblPiNHistorical[[#This Row],[WASH Old]]=0, tblPiNHistorical[[#This Row],[WASH New]]="", tblPiNHistorical[[#This Row],[WASH New]]=0), "", tblPiNHistorical[[#This Row],[WASH New]]-tblPiNHistorical[[#This Row],[WASH Old]])</f>
        <v/>
      </c>
      <c r="AQ744" s="139" t="str">
        <f>IFERROR(ROUND((tblPiNHistorical[[#This Row],[Site Management - New]] - tblPiNHistorical[[#This Row],[Site Management - Old]])/tblPiNHistorical[[#This Row],[Site Management - Old]], 1), "")</f>
        <v/>
      </c>
      <c r="AR744" s="140" t="str">
        <f>IFERROR(ROUND((tblPiNHistorical[[#This Row],[Education New]]-tblPiNHistorical[[#This Row],[Education Old]])/tblPiNHistorical[[#This Row],[Education Old]], 1), "")</f>
        <v/>
      </c>
      <c r="AS744" s="141" t="str">
        <f>IFERROR(ROUND((tblPiNHistorical[[#This Row],[Food Security and Livlihoods New]]-tblPiNHistorical[[#This Row],[Food Security and Livlihoods Old]])/tblPiNHistorical[[#This Row],[Food Security and Livlihoods Old]], 1), "")</f>
        <v/>
      </c>
      <c r="AT744" s="142" t="str">
        <f>IFERROR(ROUND((tblPiNHistorical[[#This Row],[Health New]]-tblPiNHistorical[[#This Row],[Health Old]])/tblPiNHistorical[[#This Row],[Health Old]], 1), "")</f>
        <v/>
      </c>
      <c r="AU744" s="140" t="str">
        <f>IFERROR(ROUND((tblPiNHistorical[[#This Row],[Nutrition New]]-tblPiNHistorical[[#This Row],[Nutrition Old]])/tblPiNHistorical[[#This Row],[Nutrition Old]], 1), "")</f>
        <v/>
      </c>
      <c r="AV744" s="140" t="str">
        <f>IFERROR(ROUND((tblPiNHistorical[[#This Row],[Protection New]]-tblPiNHistorical[[#This Row],[Protection Old]])/tblPiNHistorical[[#This Row],[Protection Old]], 1), "")</f>
        <v/>
      </c>
      <c r="AW744" s="84" t="str">
        <f>IFERROR(ROUND((tblPiNHistorical[[#This Row],[CP New]]-tblPiNHistorical[[#This Row],[CP Old ]])/tblPiNHistorical[[#This Row],[CP Old ]], 1), "")</f>
        <v/>
      </c>
      <c r="AX744" s="84" t="str">
        <f>IFERROR(ROUND((tblPiNHistorical[[#This Row],[GBV New]]-tblPiNHistorical[[#This Row],[GBV Old]])/tblPiNHistorical[[#This Row],[GBV Old]], 1), "")</f>
        <v/>
      </c>
      <c r="AY744" s="84" t="str">
        <f>IFERROR(ROUND((tblPiNHistorical[[#This Row],[Mine Action New]]-tblPiNHistorical[[#This Row],[Mine Action Old]])/tblPiNHistorical[[#This Row],[Mine Action Old]], 1), "")</f>
        <v/>
      </c>
      <c r="AZ744" s="140" t="str">
        <f>IFERROR(ROUND((tblPiNHistorical[[#This Row],[Shelter NFI New]]-tblPiNHistorical[[#This Row],[Shelter NFI Old]])/tblPiNHistorical[[#This Row],[Shelter NFI Old]], 1), "")</f>
        <v/>
      </c>
      <c r="BA744" s="31" t="str">
        <f>IFERROR(ROUND((tblPiNHistorical[[#This Row],[WASH New]]-tblPiNHistorical[[#This Row],[WASH Old]])/tblPiNHistorical[[#This Row],[WASH Old]], 1), "")</f>
        <v/>
      </c>
    </row>
    <row r="745" spans="1:53" ht="38.25" x14ac:dyDescent="0.25">
      <c r="A745"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Non-displaced PopulationSD18105</v>
      </c>
      <c r="B745" s="134" t="s">
        <v>194</v>
      </c>
      <c r="C745" s="124" t="s">
        <v>135</v>
      </c>
      <c r="D745" s="124" t="s">
        <v>564</v>
      </c>
      <c r="E745" s="59" t="s">
        <v>565</v>
      </c>
      <c r="F745" s="54"/>
      <c r="G745" s="29"/>
      <c r="H745" s="53">
        <v>38552</v>
      </c>
      <c r="I745" s="53" t="s">
        <v>89</v>
      </c>
      <c r="J745" s="34">
        <v>0</v>
      </c>
      <c r="K745" s="116">
        <v>14946.6104</v>
      </c>
      <c r="L745" s="114">
        <v>17348.400000000001</v>
      </c>
      <c r="M745" s="114">
        <v>0</v>
      </c>
      <c r="N745" s="114">
        <v>7264</v>
      </c>
      <c r="O745" s="114">
        <v>4240.72</v>
      </c>
      <c r="P745" s="114">
        <v>4241</v>
      </c>
      <c r="Q745" s="114">
        <v>2035</v>
      </c>
      <c r="R745" s="114">
        <v>0</v>
      </c>
      <c r="S745" s="114">
        <v>0</v>
      </c>
      <c r="T745" s="196">
        <v>20999.274400000002</v>
      </c>
      <c r="U745" s="52" t="str">
        <f>IFERROR(INDEX(tblPiNAnalysis[[Site Management ]], MATCH(tblPiNHistorical[[#This Row],[ID]], tblPiNAnalysis[ID], 0)), "")</f>
        <v/>
      </c>
      <c r="V745" s="52" t="str">
        <f>IFERROR(INDEX(tblPiNAnalysis[Education], MATCH(tblPiNHistorical[[#This Row],[ID]], tblPiNAnalysis[ID], 0)), "")</f>
        <v/>
      </c>
      <c r="W745" s="28" t="str">
        <f>IFERROR(INDEX(tblPiNAnalysis[Food Security and Livlihoods], MATCH(tblPiNHistorical[[#This Row],[ID]], tblPiNAnalysis[ID], 0)), "")</f>
        <v/>
      </c>
      <c r="X745" s="28" t="str">
        <f>IFERROR(INDEX(tblPiNAnalysis[[Health ]], MATCH(tblPiNHistorical[[#This Row],[ID]], tblPiNAnalysis[ID], 0)), "")</f>
        <v/>
      </c>
      <c r="Y745" s="28" t="str">
        <f>IFERROR(INDEX(tblPiNAnalysis[Nutrition], MATCH(tblPiNHistorical[[#This Row],[ID]], tblPiNAnalysis[ID], 0)), "")</f>
        <v/>
      </c>
      <c r="Z745" s="28" t="str">
        <f>IFERROR(INDEX(tblPiNAnalysis[Protection], MATCH(tblPiNHistorical[[#This Row],[ID]], tblPiNAnalysis[ID], 0)), "")</f>
        <v/>
      </c>
      <c r="AA745" s="28" t="str">
        <f>IFERROR(INDEX(tblPiNAnalysis[CP], MATCH(tblPiNHistorical[[#This Row],[ID]], tblPiNAnalysis[ID], 0)), "")</f>
        <v/>
      </c>
      <c r="AB745" s="83" t="str">
        <f>IFERROR(INDEX(tblPiNAnalysis[GBV], MATCH(tblPiNHistorical[[#This Row],[ID]], tblPiNAnalysis[ID], 0)), "")</f>
        <v/>
      </c>
      <c r="AC745" s="28" t="str">
        <f>IFERROR(INDEX(tblPiNAnalysis[Mine Action], MATCH(tblPiNHistorical[[#This Row],[ID]], tblPiNAnalysis[ID], 0)), "")</f>
        <v/>
      </c>
      <c r="AD745" s="83" t="str">
        <f>IFERROR(INDEX(tblPiNAnalysis[[Shelter NFI ]], MATCH(tblPiNHistorical[[#This Row],[ID]], tblPiNAnalysis[ID], 0)), "")</f>
        <v/>
      </c>
      <c r="AE745" s="28" t="str">
        <f>IFERROR(INDEX(tblPiNAnalysis[WASH], MATCH(tblPiNHistorical[[#This Row],[ID]], tblPiNAnalysis[ID], 0)), "")</f>
        <v/>
      </c>
      <c r="AF745"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745" s="136" t="str">
        <f>IF(OR(tblPiNHistorical[[#This Row],[Education Old]]="", tblPiNHistorical[[#This Row],[Education Old]]=0, tblPiNHistorical[[#This Row],[Education New]]="", tblPiNHistorical[[#This Row],[Education New]]=0), "", tblPiNHistorical[[#This Row],[Education New]]-tblPiNHistorical[[#This Row],[Education Old]])</f>
        <v/>
      </c>
      <c r="AH745"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745" s="137" t="str">
        <f>IF(OR(tblPiNHistorical[[#This Row],[Health Old]]="", tblPiNHistorical[[#This Row],[Health Old]]=0, tblPiNHistorical[[#This Row],[Health New]]="", tblPiNHistorical[[#This Row],[Health New]]=0), "", tblPiNHistorical[[#This Row],[Health New]]-tblPiNHistorical[[#This Row],[Health Old]])</f>
        <v/>
      </c>
      <c r="AJ745" s="136" t="str">
        <f>IF(OR(tblPiNHistorical[[#This Row],[Nutrition Old]]="", tblPiNHistorical[[#This Row],[Nutrition Old]]=0, tblPiNHistorical[[#This Row],[Nutrition New]]="", tblPiNHistorical[[#This Row],[Nutrition New]]=0), "", tblPiNHistorical[[#This Row],[Nutrition New]]-tblPiNHistorical[[#This Row],[Nutrition Old]])</f>
        <v/>
      </c>
      <c r="AK745" s="136" t="str">
        <f>IF(OR(tblPiNHistorical[[#This Row],[Protection Old]]="", tblPiNHistorical[[#This Row],[Protection Old]]=0, tblPiNHistorical[[#This Row],[Protection New]]="", tblPiNHistorical[[#This Row],[Protection New]]=0), "", tblPiNHistorical[[#This Row],[Protection New]]-tblPiNHistorical[[#This Row],[Protection Old]])</f>
        <v/>
      </c>
      <c r="AL745" s="136" t="str">
        <f>IF(OR(tblPiNHistorical[[#This Row],[CP Old ]]="", tblPiNHistorical[[#This Row],[CP Old ]]=0, tblPiNHistorical[[#This Row],[CP New]]="", tblPiNHistorical[[#This Row],[CP New]]=0), "", tblPiNHistorical[[#This Row],[CP New]]-tblPiNHistorical[[#This Row],[CP Old ]])</f>
        <v/>
      </c>
      <c r="AM745" s="83" t="str">
        <f>IF(OR(tblPiNHistorical[[#This Row],[GBV Old]]="", tblPiNHistorical[[#This Row],[GBV Old]]=0, tblPiNHistorical[[#This Row],[GBV New]]="", tblPiNHistorical[[#This Row],[GBV New]]=0), "", tblPiNHistorical[[#This Row],[GBV New]]-tblPiNHistorical[[#This Row],[GBV Old]])</f>
        <v/>
      </c>
      <c r="AN745" s="83" t="str">
        <f>IF(OR(tblPiNHistorical[[#This Row],[Mine Action Old]]="", tblPiNHistorical[[#This Row],[Mine Action Old]]=0, tblPiNHistorical[[#This Row],[Mine Action New]]="", tblPiNHistorical[[#This Row],[Mine Action New]]=0), "", tblPiNHistorical[[#This Row],[Mine Action New]]-tblPiNHistorical[[#This Row],[Mine Action Old]])</f>
        <v/>
      </c>
      <c r="AO745" s="136" t="str">
        <f>IF(OR(tblPiNHistorical[[#This Row],[Shelter NFI Old]]="", tblPiNHistorical[[#This Row],[Shelter NFI Old]]=0, tblPiNHistorical[[#This Row],[Shelter NFI New]]="", tblPiNHistorical[[#This Row],[Shelter NFI New]]=0), "", tblPiNHistorical[[#This Row],[Shelter NFI New]]-tblPiNHistorical[[#This Row],[Shelter NFI Old]])</f>
        <v/>
      </c>
      <c r="AP745" s="138" t="str">
        <f>IF(OR(tblPiNHistorical[[#This Row],[WASH Old]]="", tblPiNHistorical[[#This Row],[WASH Old]]=0, tblPiNHistorical[[#This Row],[WASH New]]="", tblPiNHistorical[[#This Row],[WASH New]]=0), "", tblPiNHistorical[[#This Row],[WASH New]]-tblPiNHistorical[[#This Row],[WASH Old]])</f>
        <v/>
      </c>
      <c r="AQ745" s="139" t="str">
        <f>IFERROR(ROUND((tblPiNHistorical[[#This Row],[Site Management - New]] - tblPiNHistorical[[#This Row],[Site Management - Old]])/tblPiNHistorical[[#This Row],[Site Management - Old]], 1), "")</f>
        <v/>
      </c>
      <c r="AR745" s="140" t="str">
        <f>IFERROR(ROUND((tblPiNHistorical[[#This Row],[Education New]]-tblPiNHistorical[[#This Row],[Education Old]])/tblPiNHistorical[[#This Row],[Education Old]], 1), "")</f>
        <v/>
      </c>
      <c r="AS745" s="141" t="str">
        <f>IFERROR(ROUND((tblPiNHistorical[[#This Row],[Food Security and Livlihoods New]]-tblPiNHistorical[[#This Row],[Food Security and Livlihoods Old]])/tblPiNHistorical[[#This Row],[Food Security and Livlihoods Old]], 1), "")</f>
        <v/>
      </c>
      <c r="AT745" s="142" t="str">
        <f>IFERROR(ROUND((tblPiNHistorical[[#This Row],[Health New]]-tblPiNHistorical[[#This Row],[Health Old]])/tblPiNHistorical[[#This Row],[Health Old]], 1), "")</f>
        <v/>
      </c>
      <c r="AU745" s="140" t="str">
        <f>IFERROR(ROUND((tblPiNHistorical[[#This Row],[Nutrition New]]-tblPiNHistorical[[#This Row],[Nutrition Old]])/tblPiNHistorical[[#This Row],[Nutrition Old]], 1), "")</f>
        <v/>
      </c>
      <c r="AV745" s="140" t="str">
        <f>IFERROR(ROUND((tblPiNHistorical[[#This Row],[Protection New]]-tblPiNHistorical[[#This Row],[Protection Old]])/tblPiNHistorical[[#This Row],[Protection Old]], 1), "")</f>
        <v/>
      </c>
      <c r="AW745" s="84" t="str">
        <f>IFERROR(ROUND((tblPiNHistorical[[#This Row],[CP New]]-tblPiNHistorical[[#This Row],[CP Old ]])/tblPiNHistorical[[#This Row],[CP Old ]], 1), "")</f>
        <v/>
      </c>
      <c r="AX745" s="84" t="str">
        <f>IFERROR(ROUND((tblPiNHistorical[[#This Row],[GBV New]]-tblPiNHistorical[[#This Row],[GBV Old]])/tblPiNHistorical[[#This Row],[GBV Old]], 1), "")</f>
        <v/>
      </c>
      <c r="AY745" s="84" t="str">
        <f>IFERROR(ROUND((tblPiNHistorical[[#This Row],[Mine Action New]]-tblPiNHistorical[[#This Row],[Mine Action Old]])/tblPiNHistorical[[#This Row],[Mine Action Old]], 1), "")</f>
        <v/>
      </c>
      <c r="AZ745" s="140" t="str">
        <f>IFERROR(ROUND((tblPiNHistorical[[#This Row],[Shelter NFI New]]-tblPiNHistorical[[#This Row],[Shelter NFI Old]])/tblPiNHistorical[[#This Row],[Shelter NFI Old]], 1), "")</f>
        <v/>
      </c>
      <c r="BA745" s="31" t="str">
        <f>IFERROR(ROUND((tblPiNHistorical[[#This Row],[WASH New]]-tblPiNHistorical[[#This Row],[WASH Old]])/tblPiNHistorical[[#This Row],[WASH Old]], 1), "")</f>
        <v/>
      </c>
    </row>
    <row r="746" spans="1:53" ht="38.25" x14ac:dyDescent="0.25">
      <c r="A746"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Non-displaced PopulationSD18102</v>
      </c>
      <c r="B746" s="134" t="s">
        <v>194</v>
      </c>
      <c r="C746" s="124" t="s">
        <v>135</v>
      </c>
      <c r="D746" s="124" t="s">
        <v>558</v>
      </c>
      <c r="E746" s="59" t="s">
        <v>559</v>
      </c>
      <c r="F746" s="54"/>
      <c r="G746" s="29"/>
      <c r="H746" s="53">
        <v>19386</v>
      </c>
      <c r="I746" s="53" t="s">
        <v>89</v>
      </c>
      <c r="J746" s="34">
        <v>0</v>
      </c>
      <c r="K746" s="116">
        <v>7515.9521999999997</v>
      </c>
      <c r="L746" s="114">
        <v>7754.4</v>
      </c>
      <c r="M746" s="114">
        <v>0</v>
      </c>
      <c r="N746" s="114">
        <v>6065</v>
      </c>
      <c r="O746" s="114">
        <v>2132.4600000000005</v>
      </c>
      <c r="P746" s="114">
        <v>2132</v>
      </c>
      <c r="Q746" s="114">
        <v>1023</v>
      </c>
      <c r="R746" s="114">
        <v>1938.6000000000001</v>
      </c>
      <c r="S746" s="114">
        <v>3877</v>
      </c>
      <c r="T746" s="196">
        <v>18996.341400000001</v>
      </c>
      <c r="U746" s="52" t="str">
        <f>IFERROR(INDEX(tblPiNAnalysis[[Site Management ]], MATCH(tblPiNHistorical[[#This Row],[ID]], tblPiNAnalysis[ID], 0)), "")</f>
        <v/>
      </c>
      <c r="V746" s="52" t="str">
        <f>IFERROR(INDEX(tblPiNAnalysis[Education], MATCH(tblPiNHistorical[[#This Row],[ID]], tblPiNAnalysis[ID], 0)), "")</f>
        <v/>
      </c>
      <c r="W746" s="28" t="str">
        <f>IFERROR(INDEX(tblPiNAnalysis[Food Security and Livlihoods], MATCH(tblPiNHistorical[[#This Row],[ID]], tblPiNAnalysis[ID], 0)), "")</f>
        <v/>
      </c>
      <c r="X746" s="28" t="str">
        <f>IFERROR(INDEX(tblPiNAnalysis[[Health ]], MATCH(tblPiNHistorical[[#This Row],[ID]], tblPiNAnalysis[ID], 0)), "")</f>
        <v/>
      </c>
      <c r="Y746" s="28" t="str">
        <f>IFERROR(INDEX(tblPiNAnalysis[Nutrition], MATCH(tblPiNHistorical[[#This Row],[ID]], tblPiNAnalysis[ID], 0)), "")</f>
        <v/>
      </c>
      <c r="Z746" s="28" t="str">
        <f>IFERROR(INDEX(tblPiNAnalysis[Protection], MATCH(tblPiNHistorical[[#This Row],[ID]], tblPiNAnalysis[ID], 0)), "")</f>
        <v/>
      </c>
      <c r="AA746" s="28" t="str">
        <f>IFERROR(INDEX(tblPiNAnalysis[CP], MATCH(tblPiNHistorical[[#This Row],[ID]], tblPiNAnalysis[ID], 0)), "")</f>
        <v/>
      </c>
      <c r="AB746" s="83" t="str">
        <f>IFERROR(INDEX(tblPiNAnalysis[GBV], MATCH(tblPiNHistorical[[#This Row],[ID]], tblPiNAnalysis[ID], 0)), "")</f>
        <v/>
      </c>
      <c r="AC746" s="28" t="str">
        <f>IFERROR(INDEX(tblPiNAnalysis[Mine Action], MATCH(tblPiNHistorical[[#This Row],[ID]], tblPiNAnalysis[ID], 0)), "")</f>
        <v/>
      </c>
      <c r="AD746" s="83" t="str">
        <f>IFERROR(INDEX(tblPiNAnalysis[[Shelter NFI ]], MATCH(tblPiNHistorical[[#This Row],[ID]], tblPiNAnalysis[ID], 0)), "")</f>
        <v/>
      </c>
      <c r="AE746" s="28" t="str">
        <f>IFERROR(INDEX(tblPiNAnalysis[WASH], MATCH(tblPiNHistorical[[#This Row],[ID]], tblPiNAnalysis[ID], 0)), "")</f>
        <v/>
      </c>
      <c r="AF746"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746" s="136" t="str">
        <f>IF(OR(tblPiNHistorical[[#This Row],[Education Old]]="", tblPiNHistorical[[#This Row],[Education Old]]=0, tblPiNHistorical[[#This Row],[Education New]]="", tblPiNHistorical[[#This Row],[Education New]]=0), "", tblPiNHistorical[[#This Row],[Education New]]-tblPiNHistorical[[#This Row],[Education Old]])</f>
        <v/>
      </c>
      <c r="AH746"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746" s="137" t="str">
        <f>IF(OR(tblPiNHistorical[[#This Row],[Health Old]]="", tblPiNHistorical[[#This Row],[Health Old]]=0, tblPiNHistorical[[#This Row],[Health New]]="", tblPiNHistorical[[#This Row],[Health New]]=0), "", tblPiNHistorical[[#This Row],[Health New]]-tblPiNHistorical[[#This Row],[Health Old]])</f>
        <v/>
      </c>
      <c r="AJ746" s="136" t="str">
        <f>IF(OR(tblPiNHistorical[[#This Row],[Nutrition Old]]="", tblPiNHistorical[[#This Row],[Nutrition Old]]=0, tblPiNHistorical[[#This Row],[Nutrition New]]="", tblPiNHistorical[[#This Row],[Nutrition New]]=0), "", tblPiNHistorical[[#This Row],[Nutrition New]]-tblPiNHistorical[[#This Row],[Nutrition Old]])</f>
        <v/>
      </c>
      <c r="AK746" s="136" t="str">
        <f>IF(OR(tblPiNHistorical[[#This Row],[Protection Old]]="", tblPiNHistorical[[#This Row],[Protection Old]]=0, tblPiNHistorical[[#This Row],[Protection New]]="", tblPiNHistorical[[#This Row],[Protection New]]=0), "", tblPiNHistorical[[#This Row],[Protection New]]-tblPiNHistorical[[#This Row],[Protection Old]])</f>
        <v/>
      </c>
      <c r="AL746" s="136" t="str">
        <f>IF(OR(tblPiNHistorical[[#This Row],[CP Old ]]="", tblPiNHistorical[[#This Row],[CP Old ]]=0, tblPiNHistorical[[#This Row],[CP New]]="", tblPiNHistorical[[#This Row],[CP New]]=0), "", tblPiNHistorical[[#This Row],[CP New]]-tblPiNHistorical[[#This Row],[CP Old ]])</f>
        <v/>
      </c>
      <c r="AM746" s="83" t="str">
        <f>IF(OR(tblPiNHistorical[[#This Row],[GBV Old]]="", tblPiNHistorical[[#This Row],[GBV Old]]=0, tblPiNHistorical[[#This Row],[GBV New]]="", tblPiNHistorical[[#This Row],[GBV New]]=0), "", tblPiNHistorical[[#This Row],[GBV New]]-tblPiNHistorical[[#This Row],[GBV Old]])</f>
        <v/>
      </c>
      <c r="AN746" s="83" t="str">
        <f>IF(OR(tblPiNHistorical[[#This Row],[Mine Action Old]]="", tblPiNHistorical[[#This Row],[Mine Action Old]]=0, tblPiNHistorical[[#This Row],[Mine Action New]]="", tblPiNHistorical[[#This Row],[Mine Action New]]=0), "", tblPiNHistorical[[#This Row],[Mine Action New]]-tblPiNHistorical[[#This Row],[Mine Action Old]])</f>
        <v/>
      </c>
      <c r="AO746" s="136" t="str">
        <f>IF(OR(tblPiNHistorical[[#This Row],[Shelter NFI Old]]="", tblPiNHistorical[[#This Row],[Shelter NFI Old]]=0, tblPiNHistorical[[#This Row],[Shelter NFI New]]="", tblPiNHistorical[[#This Row],[Shelter NFI New]]=0), "", tblPiNHistorical[[#This Row],[Shelter NFI New]]-tblPiNHistorical[[#This Row],[Shelter NFI Old]])</f>
        <v/>
      </c>
      <c r="AP746" s="138" t="str">
        <f>IF(OR(tblPiNHistorical[[#This Row],[WASH Old]]="", tblPiNHistorical[[#This Row],[WASH Old]]=0, tblPiNHistorical[[#This Row],[WASH New]]="", tblPiNHistorical[[#This Row],[WASH New]]=0), "", tblPiNHistorical[[#This Row],[WASH New]]-tblPiNHistorical[[#This Row],[WASH Old]])</f>
        <v/>
      </c>
      <c r="AQ746" s="139" t="str">
        <f>IFERROR(ROUND((tblPiNHistorical[[#This Row],[Site Management - New]] - tblPiNHistorical[[#This Row],[Site Management - Old]])/tblPiNHistorical[[#This Row],[Site Management - Old]], 1), "")</f>
        <v/>
      </c>
      <c r="AR746" s="140" t="str">
        <f>IFERROR(ROUND((tblPiNHistorical[[#This Row],[Education New]]-tblPiNHistorical[[#This Row],[Education Old]])/tblPiNHistorical[[#This Row],[Education Old]], 1), "")</f>
        <v/>
      </c>
      <c r="AS746" s="141" t="str">
        <f>IFERROR(ROUND((tblPiNHistorical[[#This Row],[Food Security and Livlihoods New]]-tblPiNHistorical[[#This Row],[Food Security and Livlihoods Old]])/tblPiNHistorical[[#This Row],[Food Security and Livlihoods Old]], 1), "")</f>
        <v/>
      </c>
      <c r="AT746" s="142" t="str">
        <f>IFERROR(ROUND((tblPiNHistorical[[#This Row],[Health New]]-tblPiNHistorical[[#This Row],[Health Old]])/tblPiNHistorical[[#This Row],[Health Old]], 1), "")</f>
        <v/>
      </c>
      <c r="AU746" s="140" t="str">
        <f>IFERROR(ROUND((tblPiNHistorical[[#This Row],[Nutrition New]]-tblPiNHistorical[[#This Row],[Nutrition Old]])/tblPiNHistorical[[#This Row],[Nutrition Old]], 1), "")</f>
        <v/>
      </c>
      <c r="AV746" s="140" t="str">
        <f>IFERROR(ROUND((tblPiNHistorical[[#This Row],[Protection New]]-tblPiNHistorical[[#This Row],[Protection Old]])/tblPiNHistorical[[#This Row],[Protection Old]], 1), "")</f>
        <v/>
      </c>
      <c r="AW746" s="84" t="str">
        <f>IFERROR(ROUND((tblPiNHistorical[[#This Row],[CP New]]-tblPiNHistorical[[#This Row],[CP Old ]])/tblPiNHistorical[[#This Row],[CP Old ]], 1), "")</f>
        <v/>
      </c>
      <c r="AX746" s="84" t="str">
        <f>IFERROR(ROUND((tblPiNHistorical[[#This Row],[GBV New]]-tblPiNHistorical[[#This Row],[GBV Old]])/tblPiNHistorical[[#This Row],[GBV Old]], 1), "")</f>
        <v/>
      </c>
      <c r="AY746" s="84" t="str">
        <f>IFERROR(ROUND((tblPiNHistorical[[#This Row],[Mine Action New]]-tblPiNHistorical[[#This Row],[Mine Action Old]])/tblPiNHistorical[[#This Row],[Mine Action Old]], 1), "")</f>
        <v/>
      </c>
      <c r="AZ746" s="140" t="str">
        <f>IFERROR(ROUND((tblPiNHistorical[[#This Row],[Shelter NFI New]]-tblPiNHistorical[[#This Row],[Shelter NFI Old]])/tblPiNHistorical[[#This Row],[Shelter NFI Old]], 1), "")</f>
        <v/>
      </c>
      <c r="BA746" s="31" t="str">
        <f>IFERROR(ROUND((tblPiNHistorical[[#This Row],[WASH New]]-tblPiNHistorical[[#This Row],[WASH Old]])/tblPiNHistorical[[#This Row],[WASH Old]], 1), "")</f>
        <v/>
      </c>
    </row>
    <row r="747" spans="1:53" ht="38.25" x14ac:dyDescent="0.25">
      <c r="A747"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Non-displaced PopulationSD18106</v>
      </c>
      <c r="B747" s="134" t="s">
        <v>194</v>
      </c>
      <c r="C747" s="124" t="s">
        <v>135</v>
      </c>
      <c r="D747" s="124" t="s">
        <v>566</v>
      </c>
      <c r="E747" s="59" t="s">
        <v>567</v>
      </c>
      <c r="F747" s="54"/>
      <c r="G747" s="29"/>
      <c r="H747" s="53">
        <v>9114</v>
      </c>
      <c r="I747" s="53" t="s">
        <v>89</v>
      </c>
      <c r="J747" s="34">
        <v>0</v>
      </c>
      <c r="K747" s="116">
        <v>3533.4978000000001</v>
      </c>
      <c r="L747" s="114">
        <v>4980.75</v>
      </c>
      <c r="M747" s="114">
        <v>0</v>
      </c>
      <c r="N747" s="114">
        <v>3400</v>
      </c>
      <c r="O747" s="114">
        <v>1002.5400000000002</v>
      </c>
      <c r="P747" s="114">
        <v>1003</v>
      </c>
      <c r="Q747" s="114">
        <v>0</v>
      </c>
      <c r="R747" s="114">
        <v>0</v>
      </c>
      <c r="S747" s="114">
        <v>0</v>
      </c>
      <c r="T747" s="196">
        <v>9114</v>
      </c>
      <c r="U747" s="52" t="str">
        <f>IFERROR(INDEX(tblPiNAnalysis[[Site Management ]], MATCH(tblPiNHistorical[[#This Row],[ID]], tblPiNAnalysis[ID], 0)), "")</f>
        <v/>
      </c>
      <c r="V747" s="52" t="str">
        <f>IFERROR(INDEX(tblPiNAnalysis[Education], MATCH(tblPiNHistorical[[#This Row],[ID]], tblPiNAnalysis[ID], 0)), "")</f>
        <v/>
      </c>
      <c r="W747" s="28" t="str">
        <f>IFERROR(INDEX(tblPiNAnalysis[Food Security and Livlihoods], MATCH(tblPiNHistorical[[#This Row],[ID]], tblPiNAnalysis[ID], 0)), "")</f>
        <v/>
      </c>
      <c r="X747" s="28" t="str">
        <f>IFERROR(INDEX(tblPiNAnalysis[[Health ]], MATCH(tblPiNHistorical[[#This Row],[ID]], tblPiNAnalysis[ID], 0)), "")</f>
        <v/>
      </c>
      <c r="Y747" s="28" t="str">
        <f>IFERROR(INDEX(tblPiNAnalysis[Nutrition], MATCH(tblPiNHistorical[[#This Row],[ID]], tblPiNAnalysis[ID], 0)), "")</f>
        <v/>
      </c>
      <c r="Z747" s="28" t="str">
        <f>IFERROR(INDEX(tblPiNAnalysis[Protection], MATCH(tblPiNHistorical[[#This Row],[ID]], tblPiNAnalysis[ID], 0)), "")</f>
        <v/>
      </c>
      <c r="AA747" s="28" t="str">
        <f>IFERROR(INDEX(tblPiNAnalysis[CP], MATCH(tblPiNHistorical[[#This Row],[ID]], tblPiNAnalysis[ID], 0)), "")</f>
        <v/>
      </c>
      <c r="AB747" s="83" t="str">
        <f>IFERROR(INDEX(tblPiNAnalysis[GBV], MATCH(tblPiNHistorical[[#This Row],[ID]], tblPiNAnalysis[ID], 0)), "")</f>
        <v/>
      </c>
      <c r="AC747" s="28" t="str">
        <f>IFERROR(INDEX(tblPiNAnalysis[Mine Action], MATCH(tblPiNHistorical[[#This Row],[ID]], tblPiNAnalysis[ID], 0)), "")</f>
        <v/>
      </c>
      <c r="AD747" s="83" t="str">
        <f>IFERROR(INDEX(tblPiNAnalysis[[Shelter NFI ]], MATCH(tblPiNHistorical[[#This Row],[ID]], tblPiNAnalysis[ID], 0)), "")</f>
        <v/>
      </c>
      <c r="AE747" s="28" t="str">
        <f>IFERROR(INDEX(tblPiNAnalysis[WASH], MATCH(tblPiNHistorical[[#This Row],[ID]], tblPiNAnalysis[ID], 0)), "")</f>
        <v/>
      </c>
      <c r="AF747"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747" s="136" t="str">
        <f>IF(OR(tblPiNHistorical[[#This Row],[Education Old]]="", tblPiNHistorical[[#This Row],[Education Old]]=0, tblPiNHistorical[[#This Row],[Education New]]="", tblPiNHistorical[[#This Row],[Education New]]=0), "", tblPiNHistorical[[#This Row],[Education New]]-tblPiNHistorical[[#This Row],[Education Old]])</f>
        <v/>
      </c>
      <c r="AH747"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747" s="137" t="str">
        <f>IF(OR(tblPiNHistorical[[#This Row],[Health Old]]="", tblPiNHistorical[[#This Row],[Health Old]]=0, tblPiNHistorical[[#This Row],[Health New]]="", tblPiNHistorical[[#This Row],[Health New]]=0), "", tblPiNHistorical[[#This Row],[Health New]]-tblPiNHistorical[[#This Row],[Health Old]])</f>
        <v/>
      </c>
      <c r="AJ747" s="136" t="str">
        <f>IF(OR(tblPiNHistorical[[#This Row],[Nutrition Old]]="", tblPiNHistorical[[#This Row],[Nutrition Old]]=0, tblPiNHistorical[[#This Row],[Nutrition New]]="", tblPiNHistorical[[#This Row],[Nutrition New]]=0), "", tblPiNHistorical[[#This Row],[Nutrition New]]-tblPiNHistorical[[#This Row],[Nutrition Old]])</f>
        <v/>
      </c>
      <c r="AK747" s="136" t="str">
        <f>IF(OR(tblPiNHistorical[[#This Row],[Protection Old]]="", tblPiNHistorical[[#This Row],[Protection Old]]=0, tblPiNHistorical[[#This Row],[Protection New]]="", tblPiNHistorical[[#This Row],[Protection New]]=0), "", tblPiNHistorical[[#This Row],[Protection New]]-tblPiNHistorical[[#This Row],[Protection Old]])</f>
        <v/>
      </c>
      <c r="AL747" s="136" t="str">
        <f>IF(OR(tblPiNHistorical[[#This Row],[CP Old ]]="", tblPiNHistorical[[#This Row],[CP Old ]]=0, tblPiNHistorical[[#This Row],[CP New]]="", tblPiNHistorical[[#This Row],[CP New]]=0), "", tblPiNHistorical[[#This Row],[CP New]]-tblPiNHistorical[[#This Row],[CP Old ]])</f>
        <v/>
      </c>
      <c r="AM747" s="83" t="str">
        <f>IF(OR(tblPiNHistorical[[#This Row],[GBV Old]]="", tblPiNHistorical[[#This Row],[GBV Old]]=0, tblPiNHistorical[[#This Row],[GBV New]]="", tblPiNHistorical[[#This Row],[GBV New]]=0), "", tblPiNHistorical[[#This Row],[GBV New]]-tblPiNHistorical[[#This Row],[GBV Old]])</f>
        <v/>
      </c>
      <c r="AN747" s="83" t="str">
        <f>IF(OR(tblPiNHistorical[[#This Row],[Mine Action Old]]="", tblPiNHistorical[[#This Row],[Mine Action Old]]=0, tblPiNHistorical[[#This Row],[Mine Action New]]="", tblPiNHistorical[[#This Row],[Mine Action New]]=0), "", tblPiNHistorical[[#This Row],[Mine Action New]]-tblPiNHistorical[[#This Row],[Mine Action Old]])</f>
        <v/>
      </c>
      <c r="AO747" s="136" t="str">
        <f>IF(OR(tblPiNHistorical[[#This Row],[Shelter NFI Old]]="", tblPiNHistorical[[#This Row],[Shelter NFI Old]]=0, tblPiNHistorical[[#This Row],[Shelter NFI New]]="", tblPiNHistorical[[#This Row],[Shelter NFI New]]=0), "", tblPiNHistorical[[#This Row],[Shelter NFI New]]-tblPiNHistorical[[#This Row],[Shelter NFI Old]])</f>
        <v/>
      </c>
      <c r="AP747" s="138" t="str">
        <f>IF(OR(tblPiNHistorical[[#This Row],[WASH Old]]="", tblPiNHistorical[[#This Row],[WASH Old]]=0, tblPiNHistorical[[#This Row],[WASH New]]="", tblPiNHistorical[[#This Row],[WASH New]]=0), "", tblPiNHistorical[[#This Row],[WASH New]]-tblPiNHistorical[[#This Row],[WASH Old]])</f>
        <v/>
      </c>
      <c r="AQ747" s="139" t="str">
        <f>IFERROR(ROUND((tblPiNHistorical[[#This Row],[Site Management - New]] - tblPiNHistorical[[#This Row],[Site Management - Old]])/tblPiNHistorical[[#This Row],[Site Management - Old]], 1), "")</f>
        <v/>
      </c>
      <c r="AR747" s="140" t="str">
        <f>IFERROR(ROUND((tblPiNHistorical[[#This Row],[Education New]]-tblPiNHistorical[[#This Row],[Education Old]])/tblPiNHistorical[[#This Row],[Education Old]], 1), "")</f>
        <v/>
      </c>
      <c r="AS747" s="141" t="str">
        <f>IFERROR(ROUND((tblPiNHistorical[[#This Row],[Food Security and Livlihoods New]]-tblPiNHistorical[[#This Row],[Food Security and Livlihoods Old]])/tblPiNHistorical[[#This Row],[Food Security and Livlihoods Old]], 1), "")</f>
        <v/>
      </c>
      <c r="AT747" s="142" t="str">
        <f>IFERROR(ROUND((tblPiNHistorical[[#This Row],[Health New]]-tblPiNHistorical[[#This Row],[Health Old]])/tblPiNHistorical[[#This Row],[Health Old]], 1), "")</f>
        <v/>
      </c>
      <c r="AU747" s="140" t="str">
        <f>IFERROR(ROUND((tblPiNHistorical[[#This Row],[Nutrition New]]-tblPiNHistorical[[#This Row],[Nutrition Old]])/tblPiNHistorical[[#This Row],[Nutrition Old]], 1), "")</f>
        <v/>
      </c>
      <c r="AV747" s="140" t="str">
        <f>IFERROR(ROUND((tblPiNHistorical[[#This Row],[Protection New]]-tblPiNHistorical[[#This Row],[Protection Old]])/tblPiNHistorical[[#This Row],[Protection Old]], 1), "")</f>
        <v/>
      </c>
      <c r="AW747" s="84" t="str">
        <f>IFERROR(ROUND((tblPiNHistorical[[#This Row],[CP New]]-tblPiNHistorical[[#This Row],[CP Old ]])/tblPiNHistorical[[#This Row],[CP Old ]], 1), "")</f>
        <v/>
      </c>
      <c r="AX747" s="84" t="str">
        <f>IFERROR(ROUND((tblPiNHistorical[[#This Row],[GBV New]]-tblPiNHistorical[[#This Row],[GBV Old]])/tblPiNHistorical[[#This Row],[GBV Old]], 1), "")</f>
        <v/>
      </c>
      <c r="AY747" s="84" t="str">
        <f>IFERROR(ROUND((tblPiNHistorical[[#This Row],[Mine Action New]]-tblPiNHistorical[[#This Row],[Mine Action Old]])/tblPiNHistorical[[#This Row],[Mine Action Old]], 1), "")</f>
        <v/>
      </c>
      <c r="AZ747" s="140" t="str">
        <f>IFERROR(ROUND((tblPiNHistorical[[#This Row],[Shelter NFI New]]-tblPiNHistorical[[#This Row],[Shelter NFI Old]])/tblPiNHistorical[[#This Row],[Shelter NFI Old]], 1), "")</f>
        <v/>
      </c>
      <c r="BA747" s="31" t="str">
        <f>IFERROR(ROUND((tblPiNHistorical[[#This Row],[WASH New]]-tblPiNHistorical[[#This Row],[WASH Old]])/tblPiNHistorical[[#This Row],[WASH Old]], 1), "")</f>
        <v/>
      </c>
    </row>
    <row r="748" spans="1:53" ht="38.25" x14ac:dyDescent="0.25">
      <c r="A748"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Non-displaced PopulationSD18022</v>
      </c>
      <c r="B748" s="134" t="s">
        <v>194</v>
      </c>
      <c r="C748" s="124" t="s">
        <v>135</v>
      </c>
      <c r="D748" s="124" t="s">
        <v>542</v>
      </c>
      <c r="E748" s="59" t="s">
        <v>543</v>
      </c>
      <c r="F748" s="54"/>
      <c r="G748" s="29"/>
      <c r="H748" s="53">
        <v>89438</v>
      </c>
      <c r="I748" s="53" t="s">
        <v>89</v>
      </c>
      <c r="J748" s="34">
        <v>0</v>
      </c>
      <c r="K748" s="116">
        <v>34675.1126</v>
      </c>
      <c r="L748" s="114">
        <v>40247.1</v>
      </c>
      <c r="M748" s="114">
        <v>5530</v>
      </c>
      <c r="N748" s="114">
        <v>23639</v>
      </c>
      <c r="O748" s="114">
        <v>9838.18</v>
      </c>
      <c r="P748" s="114">
        <v>9838</v>
      </c>
      <c r="Q748" s="114">
        <v>4721</v>
      </c>
      <c r="R748" s="114">
        <v>8943.8000000000011</v>
      </c>
      <c r="S748" s="114">
        <v>17888</v>
      </c>
      <c r="T748" s="196">
        <v>84760.392599999992</v>
      </c>
      <c r="U748" s="52" t="str">
        <f>IFERROR(INDEX(tblPiNAnalysis[[Site Management ]], MATCH(tblPiNHistorical[[#This Row],[ID]], tblPiNAnalysis[ID], 0)), "")</f>
        <v/>
      </c>
      <c r="V748" s="52" t="str">
        <f>IFERROR(INDEX(tblPiNAnalysis[Education], MATCH(tblPiNHistorical[[#This Row],[ID]], tblPiNAnalysis[ID], 0)), "")</f>
        <v/>
      </c>
      <c r="W748" s="28" t="str">
        <f>IFERROR(INDEX(tblPiNAnalysis[Food Security and Livlihoods], MATCH(tblPiNHistorical[[#This Row],[ID]], tblPiNAnalysis[ID], 0)), "")</f>
        <v/>
      </c>
      <c r="X748" s="28" t="str">
        <f>IFERROR(INDEX(tblPiNAnalysis[[Health ]], MATCH(tblPiNHistorical[[#This Row],[ID]], tblPiNAnalysis[ID], 0)), "")</f>
        <v/>
      </c>
      <c r="Y748" s="28" t="str">
        <f>IFERROR(INDEX(tblPiNAnalysis[Nutrition], MATCH(tblPiNHistorical[[#This Row],[ID]], tblPiNAnalysis[ID], 0)), "")</f>
        <v/>
      </c>
      <c r="Z748" s="28" t="str">
        <f>IFERROR(INDEX(tblPiNAnalysis[Protection], MATCH(tblPiNHistorical[[#This Row],[ID]], tblPiNAnalysis[ID], 0)), "")</f>
        <v/>
      </c>
      <c r="AA748" s="28" t="str">
        <f>IFERROR(INDEX(tblPiNAnalysis[CP], MATCH(tblPiNHistorical[[#This Row],[ID]], tblPiNAnalysis[ID], 0)), "")</f>
        <v/>
      </c>
      <c r="AB748" s="83" t="str">
        <f>IFERROR(INDEX(tblPiNAnalysis[GBV], MATCH(tblPiNHistorical[[#This Row],[ID]], tblPiNAnalysis[ID], 0)), "")</f>
        <v/>
      </c>
      <c r="AC748" s="28" t="str">
        <f>IFERROR(INDEX(tblPiNAnalysis[Mine Action], MATCH(tblPiNHistorical[[#This Row],[ID]], tblPiNAnalysis[ID], 0)), "")</f>
        <v/>
      </c>
      <c r="AD748" s="83" t="str">
        <f>IFERROR(INDEX(tblPiNAnalysis[[Shelter NFI ]], MATCH(tblPiNHistorical[[#This Row],[ID]], tblPiNAnalysis[ID], 0)), "")</f>
        <v/>
      </c>
      <c r="AE748" s="28" t="str">
        <f>IFERROR(INDEX(tblPiNAnalysis[WASH], MATCH(tblPiNHistorical[[#This Row],[ID]], tblPiNAnalysis[ID], 0)), "")</f>
        <v/>
      </c>
      <c r="AF748"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748" s="136" t="str">
        <f>IF(OR(tblPiNHistorical[[#This Row],[Education Old]]="", tblPiNHistorical[[#This Row],[Education Old]]=0, tblPiNHistorical[[#This Row],[Education New]]="", tblPiNHistorical[[#This Row],[Education New]]=0), "", tblPiNHistorical[[#This Row],[Education New]]-tblPiNHistorical[[#This Row],[Education Old]])</f>
        <v/>
      </c>
      <c r="AH748"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748" s="137" t="str">
        <f>IF(OR(tblPiNHistorical[[#This Row],[Health Old]]="", tblPiNHistorical[[#This Row],[Health Old]]=0, tblPiNHistorical[[#This Row],[Health New]]="", tblPiNHistorical[[#This Row],[Health New]]=0), "", tblPiNHistorical[[#This Row],[Health New]]-tblPiNHistorical[[#This Row],[Health Old]])</f>
        <v/>
      </c>
      <c r="AJ748" s="136" t="str">
        <f>IF(OR(tblPiNHistorical[[#This Row],[Nutrition Old]]="", tblPiNHistorical[[#This Row],[Nutrition Old]]=0, tblPiNHistorical[[#This Row],[Nutrition New]]="", tblPiNHistorical[[#This Row],[Nutrition New]]=0), "", tblPiNHistorical[[#This Row],[Nutrition New]]-tblPiNHistorical[[#This Row],[Nutrition Old]])</f>
        <v/>
      </c>
      <c r="AK748" s="136" t="str">
        <f>IF(OR(tblPiNHistorical[[#This Row],[Protection Old]]="", tblPiNHistorical[[#This Row],[Protection Old]]=0, tblPiNHistorical[[#This Row],[Protection New]]="", tblPiNHistorical[[#This Row],[Protection New]]=0), "", tblPiNHistorical[[#This Row],[Protection New]]-tblPiNHistorical[[#This Row],[Protection Old]])</f>
        <v/>
      </c>
      <c r="AL748" s="136" t="str">
        <f>IF(OR(tblPiNHistorical[[#This Row],[CP Old ]]="", tblPiNHistorical[[#This Row],[CP Old ]]=0, tblPiNHistorical[[#This Row],[CP New]]="", tblPiNHistorical[[#This Row],[CP New]]=0), "", tblPiNHistorical[[#This Row],[CP New]]-tblPiNHistorical[[#This Row],[CP Old ]])</f>
        <v/>
      </c>
      <c r="AM748" s="83" t="str">
        <f>IF(OR(tblPiNHistorical[[#This Row],[GBV Old]]="", tblPiNHistorical[[#This Row],[GBV Old]]=0, tblPiNHistorical[[#This Row],[GBV New]]="", tblPiNHistorical[[#This Row],[GBV New]]=0), "", tblPiNHistorical[[#This Row],[GBV New]]-tblPiNHistorical[[#This Row],[GBV Old]])</f>
        <v/>
      </c>
      <c r="AN748" s="83" t="str">
        <f>IF(OR(tblPiNHistorical[[#This Row],[Mine Action Old]]="", tblPiNHistorical[[#This Row],[Mine Action Old]]=0, tblPiNHistorical[[#This Row],[Mine Action New]]="", tblPiNHistorical[[#This Row],[Mine Action New]]=0), "", tblPiNHistorical[[#This Row],[Mine Action New]]-tblPiNHistorical[[#This Row],[Mine Action Old]])</f>
        <v/>
      </c>
      <c r="AO748" s="136" t="str">
        <f>IF(OR(tblPiNHistorical[[#This Row],[Shelter NFI Old]]="", tblPiNHistorical[[#This Row],[Shelter NFI Old]]=0, tblPiNHistorical[[#This Row],[Shelter NFI New]]="", tblPiNHistorical[[#This Row],[Shelter NFI New]]=0), "", tblPiNHistorical[[#This Row],[Shelter NFI New]]-tblPiNHistorical[[#This Row],[Shelter NFI Old]])</f>
        <v/>
      </c>
      <c r="AP748" s="138" t="str">
        <f>IF(OR(tblPiNHistorical[[#This Row],[WASH Old]]="", tblPiNHistorical[[#This Row],[WASH Old]]=0, tblPiNHistorical[[#This Row],[WASH New]]="", tblPiNHistorical[[#This Row],[WASH New]]=0), "", tblPiNHistorical[[#This Row],[WASH New]]-tblPiNHistorical[[#This Row],[WASH Old]])</f>
        <v/>
      </c>
      <c r="AQ748" s="139" t="str">
        <f>IFERROR(ROUND((tblPiNHistorical[[#This Row],[Site Management - New]] - tblPiNHistorical[[#This Row],[Site Management - Old]])/tblPiNHistorical[[#This Row],[Site Management - Old]], 1), "")</f>
        <v/>
      </c>
      <c r="AR748" s="140" t="str">
        <f>IFERROR(ROUND((tblPiNHistorical[[#This Row],[Education New]]-tblPiNHistorical[[#This Row],[Education Old]])/tblPiNHistorical[[#This Row],[Education Old]], 1), "")</f>
        <v/>
      </c>
      <c r="AS748" s="141" t="str">
        <f>IFERROR(ROUND((tblPiNHistorical[[#This Row],[Food Security and Livlihoods New]]-tblPiNHistorical[[#This Row],[Food Security and Livlihoods Old]])/tblPiNHistorical[[#This Row],[Food Security and Livlihoods Old]], 1), "")</f>
        <v/>
      </c>
      <c r="AT748" s="142" t="str">
        <f>IFERROR(ROUND((tblPiNHistorical[[#This Row],[Health New]]-tblPiNHistorical[[#This Row],[Health Old]])/tblPiNHistorical[[#This Row],[Health Old]], 1), "")</f>
        <v/>
      </c>
      <c r="AU748" s="140" t="str">
        <f>IFERROR(ROUND((tblPiNHistorical[[#This Row],[Nutrition New]]-tblPiNHistorical[[#This Row],[Nutrition Old]])/tblPiNHistorical[[#This Row],[Nutrition Old]], 1), "")</f>
        <v/>
      </c>
      <c r="AV748" s="140" t="str">
        <f>IFERROR(ROUND((tblPiNHistorical[[#This Row],[Protection New]]-tblPiNHistorical[[#This Row],[Protection Old]])/tblPiNHistorical[[#This Row],[Protection Old]], 1), "")</f>
        <v/>
      </c>
      <c r="AW748" s="84" t="str">
        <f>IFERROR(ROUND((tblPiNHistorical[[#This Row],[CP New]]-tblPiNHistorical[[#This Row],[CP Old ]])/tblPiNHistorical[[#This Row],[CP Old ]], 1), "")</f>
        <v/>
      </c>
      <c r="AX748" s="84" t="str">
        <f>IFERROR(ROUND((tblPiNHistorical[[#This Row],[GBV New]]-tblPiNHistorical[[#This Row],[GBV Old]])/tblPiNHistorical[[#This Row],[GBV Old]], 1), "")</f>
        <v/>
      </c>
      <c r="AY748" s="84" t="str">
        <f>IFERROR(ROUND((tblPiNHistorical[[#This Row],[Mine Action New]]-tblPiNHistorical[[#This Row],[Mine Action Old]])/tblPiNHistorical[[#This Row],[Mine Action Old]], 1), "")</f>
        <v/>
      </c>
      <c r="AZ748" s="140" t="str">
        <f>IFERROR(ROUND((tblPiNHistorical[[#This Row],[Shelter NFI New]]-tblPiNHistorical[[#This Row],[Shelter NFI Old]])/tblPiNHistorical[[#This Row],[Shelter NFI Old]], 1), "")</f>
        <v/>
      </c>
      <c r="BA748" s="31" t="str">
        <f>IFERROR(ROUND((tblPiNHistorical[[#This Row],[WASH New]]-tblPiNHistorical[[#This Row],[WASH Old]])/tblPiNHistorical[[#This Row],[WASH Old]], 1), "")</f>
        <v/>
      </c>
    </row>
    <row r="749" spans="1:53" ht="38.25" x14ac:dyDescent="0.25">
      <c r="A749"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Non-displaced PopulationSD18086</v>
      </c>
      <c r="B749" s="134" t="s">
        <v>194</v>
      </c>
      <c r="C749" s="124" t="s">
        <v>135</v>
      </c>
      <c r="D749" s="124" t="s">
        <v>550</v>
      </c>
      <c r="E749" s="59" t="s">
        <v>551</v>
      </c>
      <c r="F749" s="54"/>
      <c r="G749" s="29"/>
      <c r="H749" s="53">
        <v>21082</v>
      </c>
      <c r="I749" s="53" t="s">
        <v>89</v>
      </c>
      <c r="J749" s="34">
        <v>0</v>
      </c>
      <c r="K749" s="116">
        <v>8173.4913999999999</v>
      </c>
      <c r="L749" s="114">
        <v>7378.7</v>
      </c>
      <c r="M749" s="114">
        <v>3000</v>
      </c>
      <c r="N749" s="114">
        <v>6043</v>
      </c>
      <c r="O749" s="114">
        <v>2319.02</v>
      </c>
      <c r="P749" s="114">
        <v>2319</v>
      </c>
      <c r="Q749" s="114">
        <v>1669</v>
      </c>
      <c r="R749" s="114">
        <v>2108.2000000000003</v>
      </c>
      <c r="S749" s="114">
        <v>4216</v>
      </c>
      <c r="T749" s="196">
        <v>11306.276600000001</v>
      </c>
      <c r="U749" s="52" t="str">
        <f>IFERROR(INDEX(tblPiNAnalysis[[Site Management ]], MATCH(tblPiNHistorical[[#This Row],[ID]], tblPiNAnalysis[ID], 0)), "")</f>
        <v/>
      </c>
      <c r="V749" s="52" t="str">
        <f>IFERROR(INDEX(tblPiNAnalysis[Education], MATCH(tblPiNHistorical[[#This Row],[ID]], tblPiNAnalysis[ID], 0)), "")</f>
        <v/>
      </c>
      <c r="W749" s="28" t="str">
        <f>IFERROR(INDEX(tblPiNAnalysis[Food Security and Livlihoods], MATCH(tblPiNHistorical[[#This Row],[ID]], tblPiNAnalysis[ID], 0)), "")</f>
        <v/>
      </c>
      <c r="X749" s="28" t="str">
        <f>IFERROR(INDEX(tblPiNAnalysis[[Health ]], MATCH(tblPiNHistorical[[#This Row],[ID]], tblPiNAnalysis[ID], 0)), "")</f>
        <v/>
      </c>
      <c r="Y749" s="28" t="str">
        <f>IFERROR(INDEX(tblPiNAnalysis[Nutrition], MATCH(tblPiNHistorical[[#This Row],[ID]], tblPiNAnalysis[ID], 0)), "")</f>
        <v/>
      </c>
      <c r="Z749" s="28" t="str">
        <f>IFERROR(INDEX(tblPiNAnalysis[Protection], MATCH(tblPiNHistorical[[#This Row],[ID]], tblPiNAnalysis[ID], 0)), "")</f>
        <v/>
      </c>
      <c r="AA749" s="28" t="str">
        <f>IFERROR(INDEX(tblPiNAnalysis[CP], MATCH(tblPiNHistorical[[#This Row],[ID]], tblPiNAnalysis[ID], 0)), "")</f>
        <v/>
      </c>
      <c r="AB749" s="83" t="str">
        <f>IFERROR(INDEX(tblPiNAnalysis[GBV], MATCH(tblPiNHistorical[[#This Row],[ID]], tblPiNAnalysis[ID], 0)), "")</f>
        <v/>
      </c>
      <c r="AC749" s="28" t="str">
        <f>IFERROR(INDEX(tblPiNAnalysis[Mine Action], MATCH(tblPiNHistorical[[#This Row],[ID]], tblPiNAnalysis[ID], 0)), "")</f>
        <v/>
      </c>
      <c r="AD749" s="83" t="str">
        <f>IFERROR(INDEX(tblPiNAnalysis[[Shelter NFI ]], MATCH(tblPiNHistorical[[#This Row],[ID]], tblPiNAnalysis[ID], 0)), "")</f>
        <v/>
      </c>
      <c r="AE749" s="28" t="str">
        <f>IFERROR(INDEX(tblPiNAnalysis[WASH], MATCH(tblPiNHistorical[[#This Row],[ID]], tblPiNAnalysis[ID], 0)), "")</f>
        <v/>
      </c>
      <c r="AF749"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749" s="136" t="str">
        <f>IF(OR(tblPiNHistorical[[#This Row],[Education Old]]="", tblPiNHistorical[[#This Row],[Education Old]]=0, tblPiNHistorical[[#This Row],[Education New]]="", tblPiNHistorical[[#This Row],[Education New]]=0), "", tblPiNHistorical[[#This Row],[Education New]]-tblPiNHistorical[[#This Row],[Education Old]])</f>
        <v/>
      </c>
      <c r="AH749"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749" s="137" t="str">
        <f>IF(OR(tblPiNHistorical[[#This Row],[Health Old]]="", tblPiNHistorical[[#This Row],[Health Old]]=0, tblPiNHistorical[[#This Row],[Health New]]="", tblPiNHistorical[[#This Row],[Health New]]=0), "", tblPiNHistorical[[#This Row],[Health New]]-tblPiNHistorical[[#This Row],[Health Old]])</f>
        <v/>
      </c>
      <c r="AJ749" s="136" t="str">
        <f>IF(OR(tblPiNHistorical[[#This Row],[Nutrition Old]]="", tblPiNHistorical[[#This Row],[Nutrition Old]]=0, tblPiNHistorical[[#This Row],[Nutrition New]]="", tblPiNHistorical[[#This Row],[Nutrition New]]=0), "", tblPiNHistorical[[#This Row],[Nutrition New]]-tblPiNHistorical[[#This Row],[Nutrition Old]])</f>
        <v/>
      </c>
      <c r="AK749" s="136" t="str">
        <f>IF(OR(tblPiNHistorical[[#This Row],[Protection Old]]="", tblPiNHistorical[[#This Row],[Protection Old]]=0, tblPiNHistorical[[#This Row],[Protection New]]="", tblPiNHistorical[[#This Row],[Protection New]]=0), "", tblPiNHistorical[[#This Row],[Protection New]]-tblPiNHistorical[[#This Row],[Protection Old]])</f>
        <v/>
      </c>
      <c r="AL749" s="136" t="str">
        <f>IF(OR(tblPiNHistorical[[#This Row],[CP Old ]]="", tblPiNHistorical[[#This Row],[CP Old ]]=0, tblPiNHistorical[[#This Row],[CP New]]="", tblPiNHistorical[[#This Row],[CP New]]=0), "", tblPiNHistorical[[#This Row],[CP New]]-tblPiNHistorical[[#This Row],[CP Old ]])</f>
        <v/>
      </c>
      <c r="AM749" s="83" t="str">
        <f>IF(OR(tblPiNHistorical[[#This Row],[GBV Old]]="", tblPiNHistorical[[#This Row],[GBV Old]]=0, tblPiNHistorical[[#This Row],[GBV New]]="", tblPiNHistorical[[#This Row],[GBV New]]=0), "", tblPiNHistorical[[#This Row],[GBV New]]-tblPiNHistorical[[#This Row],[GBV Old]])</f>
        <v/>
      </c>
      <c r="AN749" s="83" t="str">
        <f>IF(OR(tblPiNHistorical[[#This Row],[Mine Action Old]]="", tblPiNHistorical[[#This Row],[Mine Action Old]]=0, tblPiNHistorical[[#This Row],[Mine Action New]]="", tblPiNHistorical[[#This Row],[Mine Action New]]=0), "", tblPiNHistorical[[#This Row],[Mine Action New]]-tblPiNHistorical[[#This Row],[Mine Action Old]])</f>
        <v/>
      </c>
      <c r="AO749" s="136" t="str">
        <f>IF(OR(tblPiNHistorical[[#This Row],[Shelter NFI Old]]="", tblPiNHistorical[[#This Row],[Shelter NFI Old]]=0, tblPiNHistorical[[#This Row],[Shelter NFI New]]="", tblPiNHistorical[[#This Row],[Shelter NFI New]]=0), "", tblPiNHistorical[[#This Row],[Shelter NFI New]]-tblPiNHistorical[[#This Row],[Shelter NFI Old]])</f>
        <v/>
      </c>
      <c r="AP749" s="138" t="str">
        <f>IF(OR(tblPiNHistorical[[#This Row],[WASH Old]]="", tblPiNHistorical[[#This Row],[WASH Old]]=0, tblPiNHistorical[[#This Row],[WASH New]]="", tblPiNHistorical[[#This Row],[WASH New]]=0), "", tblPiNHistorical[[#This Row],[WASH New]]-tblPiNHistorical[[#This Row],[WASH Old]])</f>
        <v/>
      </c>
      <c r="AQ749" s="139" t="str">
        <f>IFERROR(ROUND((tblPiNHistorical[[#This Row],[Site Management - New]] - tblPiNHistorical[[#This Row],[Site Management - Old]])/tblPiNHistorical[[#This Row],[Site Management - Old]], 1), "")</f>
        <v/>
      </c>
      <c r="AR749" s="140" t="str">
        <f>IFERROR(ROUND((tblPiNHistorical[[#This Row],[Education New]]-tblPiNHistorical[[#This Row],[Education Old]])/tblPiNHistorical[[#This Row],[Education Old]], 1), "")</f>
        <v/>
      </c>
      <c r="AS749" s="141" t="str">
        <f>IFERROR(ROUND((tblPiNHistorical[[#This Row],[Food Security and Livlihoods New]]-tblPiNHistorical[[#This Row],[Food Security and Livlihoods Old]])/tblPiNHistorical[[#This Row],[Food Security and Livlihoods Old]], 1), "")</f>
        <v/>
      </c>
      <c r="AT749" s="142" t="str">
        <f>IFERROR(ROUND((tblPiNHistorical[[#This Row],[Health New]]-tblPiNHistorical[[#This Row],[Health Old]])/tblPiNHistorical[[#This Row],[Health Old]], 1), "")</f>
        <v/>
      </c>
      <c r="AU749" s="140" t="str">
        <f>IFERROR(ROUND((tblPiNHistorical[[#This Row],[Nutrition New]]-tblPiNHistorical[[#This Row],[Nutrition Old]])/tblPiNHistorical[[#This Row],[Nutrition Old]], 1), "")</f>
        <v/>
      </c>
      <c r="AV749" s="140" t="str">
        <f>IFERROR(ROUND((tblPiNHistorical[[#This Row],[Protection New]]-tblPiNHistorical[[#This Row],[Protection Old]])/tblPiNHistorical[[#This Row],[Protection Old]], 1), "")</f>
        <v/>
      </c>
      <c r="AW749" s="84" t="str">
        <f>IFERROR(ROUND((tblPiNHistorical[[#This Row],[CP New]]-tblPiNHistorical[[#This Row],[CP Old ]])/tblPiNHistorical[[#This Row],[CP Old ]], 1), "")</f>
        <v/>
      </c>
      <c r="AX749" s="84" t="str">
        <f>IFERROR(ROUND((tblPiNHistorical[[#This Row],[GBV New]]-tblPiNHistorical[[#This Row],[GBV Old]])/tblPiNHistorical[[#This Row],[GBV Old]], 1), "")</f>
        <v/>
      </c>
      <c r="AY749" s="84" t="str">
        <f>IFERROR(ROUND((tblPiNHistorical[[#This Row],[Mine Action New]]-tblPiNHistorical[[#This Row],[Mine Action Old]])/tblPiNHistorical[[#This Row],[Mine Action Old]], 1), "")</f>
        <v/>
      </c>
      <c r="AZ749" s="140" t="str">
        <f>IFERROR(ROUND((tblPiNHistorical[[#This Row],[Shelter NFI New]]-tblPiNHistorical[[#This Row],[Shelter NFI Old]])/tblPiNHistorical[[#This Row],[Shelter NFI Old]], 1), "")</f>
        <v/>
      </c>
      <c r="BA749" s="31" t="str">
        <f>IFERROR(ROUND((tblPiNHistorical[[#This Row],[WASH New]]-tblPiNHistorical[[#This Row],[WASH Old]])/tblPiNHistorical[[#This Row],[WASH Old]], 1), "")</f>
        <v/>
      </c>
    </row>
    <row r="750" spans="1:53" ht="38.25" x14ac:dyDescent="0.25">
      <c r="A750"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Non-displaced PopulationSD18092</v>
      </c>
      <c r="B750" s="134" t="s">
        <v>194</v>
      </c>
      <c r="C750" s="124" t="s">
        <v>135</v>
      </c>
      <c r="D750" s="124" t="s">
        <v>554</v>
      </c>
      <c r="E750" s="59" t="s">
        <v>555</v>
      </c>
      <c r="F750" s="54"/>
      <c r="G750" s="29"/>
      <c r="H750" s="53">
        <v>51822</v>
      </c>
      <c r="I750" s="53" t="s">
        <v>89</v>
      </c>
      <c r="J750" s="34">
        <v>0</v>
      </c>
      <c r="K750" s="116">
        <v>20091.3894</v>
      </c>
      <c r="L750" s="114">
        <v>20728.8</v>
      </c>
      <c r="M750" s="114">
        <v>3375</v>
      </c>
      <c r="N750" s="114">
        <v>12735</v>
      </c>
      <c r="O750" s="114">
        <v>5700.420000000001</v>
      </c>
      <c r="P750" s="114">
        <v>5700</v>
      </c>
      <c r="Q750" s="114">
        <v>2736</v>
      </c>
      <c r="R750" s="114">
        <v>5182.2000000000007</v>
      </c>
      <c r="S750" s="114">
        <v>10364</v>
      </c>
      <c r="T750" s="196">
        <v>43349.103000000003</v>
      </c>
      <c r="U750" s="52" t="str">
        <f>IFERROR(INDEX(tblPiNAnalysis[[Site Management ]], MATCH(tblPiNHistorical[[#This Row],[ID]], tblPiNAnalysis[ID], 0)), "")</f>
        <v/>
      </c>
      <c r="V750" s="52" t="str">
        <f>IFERROR(INDEX(tblPiNAnalysis[Education], MATCH(tblPiNHistorical[[#This Row],[ID]], tblPiNAnalysis[ID], 0)), "")</f>
        <v/>
      </c>
      <c r="W750" s="28" t="str">
        <f>IFERROR(INDEX(tblPiNAnalysis[Food Security and Livlihoods], MATCH(tblPiNHistorical[[#This Row],[ID]], tblPiNAnalysis[ID], 0)), "")</f>
        <v/>
      </c>
      <c r="X750" s="28" t="str">
        <f>IFERROR(INDEX(tblPiNAnalysis[[Health ]], MATCH(tblPiNHistorical[[#This Row],[ID]], tblPiNAnalysis[ID], 0)), "")</f>
        <v/>
      </c>
      <c r="Y750" s="28" t="str">
        <f>IFERROR(INDEX(tblPiNAnalysis[Nutrition], MATCH(tblPiNHistorical[[#This Row],[ID]], tblPiNAnalysis[ID], 0)), "")</f>
        <v/>
      </c>
      <c r="Z750" s="28" t="str">
        <f>IFERROR(INDEX(tblPiNAnalysis[Protection], MATCH(tblPiNHistorical[[#This Row],[ID]], tblPiNAnalysis[ID], 0)), "")</f>
        <v/>
      </c>
      <c r="AA750" s="28" t="str">
        <f>IFERROR(INDEX(tblPiNAnalysis[CP], MATCH(tblPiNHistorical[[#This Row],[ID]], tblPiNAnalysis[ID], 0)), "")</f>
        <v/>
      </c>
      <c r="AB750" s="83" t="str">
        <f>IFERROR(INDEX(tblPiNAnalysis[GBV], MATCH(tblPiNHistorical[[#This Row],[ID]], tblPiNAnalysis[ID], 0)), "")</f>
        <v/>
      </c>
      <c r="AC750" s="28" t="str">
        <f>IFERROR(INDEX(tblPiNAnalysis[Mine Action], MATCH(tblPiNHistorical[[#This Row],[ID]], tblPiNAnalysis[ID], 0)), "")</f>
        <v/>
      </c>
      <c r="AD750" s="83" t="str">
        <f>IFERROR(INDEX(tblPiNAnalysis[[Shelter NFI ]], MATCH(tblPiNHistorical[[#This Row],[ID]], tblPiNAnalysis[ID], 0)), "")</f>
        <v/>
      </c>
      <c r="AE750" s="28" t="str">
        <f>IFERROR(INDEX(tblPiNAnalysis[WASH], MATCH(tblPiNHistorical[[#This Row],[ID]], tblPiNAnalysis[ID], 0)), "")</f>
        <v/>
      </c>
      <c r="AF750"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750" s="136" t="str">
        <f>IF(OR(tblPiNHistorical[[#This Row],[Education Old]]="", tblPiNHistorical[[#This Row],[Education Old]]=0, tblPiNHistorical[[#This Row],[Education New]]="", tblPiNHistorical[[#This Row],[Education New]]=0), "", tblPiNHistorical[[#This Row],[Education New]]-tblPiNHistorical[[#This Row],[Education Old]])</f>
        <v/>
      </c>
      <c r="AH750"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750" s="137" t="str">
        <f>IF(OR(tblPiNHistorical[[#This Row],[Health Old]]="", tblPiNHistorical[[#This Row],[Health Old]]=0, tblPiNHistorical[[#This Row],[Health New]]="", tblPiNHistorical[[#This Row],[Health New]]=0), "", tblPiNHistorical[[#This Row],[Health New]]-tblPiNHistorical[[#This Row],[Health Old]])</f>
        <v/>
      </c>
      <c r="AJ750" s="136" t="str">
        <f>IF(OR(tblPiNHistorical[[#This Row],[Nutrition Old]]="", tblPiNHistorical[[#This Row],[Nutrition Old]]=0, tblPiNHistorical[[#This Row],[Nutrition New]]="", tblPiNHistorical[[#This Row],[Nutrition New]]=0), "", tblPiNHistorical[[#This Row],[Nutrition New]]-tblPiNHistorical[[#This Row],[Nutrition Old]])</f>
        <v/>
      </c>
      <c r="AK750" s="136" t="str">
        <f>IF(OR(tblPiNHistorical[[#This Row],[Protection Old]]="", tblPiNHistorical[[#This Row],[Protection Old]]=0, tblPiNHistorical[[#This Row],[Protection New]]="", tblPiNHistorical[[#This Row],[Protection New]]=0), "", tblPiNHistorical[[#This Row],[Protection New]]-tblPiNHistorical[[#This Row],[Protection Old]])</f>
        <v/>
      </c>
      <c r="AL750" s="136" t="str">
        <f>IF(OR(tblPiNHistorical[[#This Row],[CP Old ]]="", tblPiNHistorical[[#This Row],[CP Old ]]=0, tblPiNHistorical[[#This Row],[CP New]]="", tblPiNHistorical[[#This Row],[CP New]]=0), "", tblPiNHistorical[[#This Row],[CP New]]-tblPiNHistorical[[#This Row],[CP Old ]])</f>
        <v/>
      </c>
      <c r="AM750" s="83" t="str">
        <f>IF(OR(tblPiNHistorical[[#This Row],[GBV Old]]="", tblPiNHistorical[[#This Row],[GBV Old]]=0, tblPiNHistorical[[#This Row],[GBV New]]="", tblPiNHistorical[[#This Row],[GBV New]]=0), "", tblPiNHistorical[[#This Row],[GBV New]]-tblPiNHistorical[[#This Row],[GBV Old]])</f>
        <v/>
      </c>
      <c r="AN750" s="83" t="str">
        <f>IF(OR(tblPiNHistorical[[#This Row],[Mine Action Old]]="", tblPiNHistorical[[#This Row],[Mine Action Old]]=0, tblPiNHistorical[[#This Row],[Mine Action New]]="", tblPiNHistorical[[#This Row],[Mine Action New]]=0), "", tblPiNHistorical[[#This Row],[Mine Action New]]-tblPiNHistorical[[#This Row],[Mine Action Old]])</f>
        <v/>
      </c>
      <c r="AO750" s="136" t="str">
        <f>IF(OR(tblPiNHistorical[[#This Row],[Shelter NFI Old]]="", tblPiNHistorical[[#This Row],[Shelter NFI Old]]=0, tblPiNHistorical[[#This Row],[Shelter NFI New]]="", tblPiNHistorical[[#This Row],[Shelter NFI New]]=0), "", tblPiNHistorical[[#This Row],[Shelter NFI New]]-tblPiNHistorical[[#This Row],[Shelter NFI Old]])</f>
        <v/>
      </c>
      <c r="AP750" s="138" t="str">
        <f>IF(OR(tblPiNHistorical[[#This Row],[WASH Old]]="", tblPiNHistorical[[#This Row],[WASH Old]]=0, tblPiNHistorical[[#This Row],[WASH New]]="", tblPiNHistorical[[#This Row],[WASH New]]=0), "", tblPiNHistorical[[#This Row],[WASH New]]-tblPiNHistorical[[#This Row],[WASH Old]])</f>
        <v/>
      </c>
      <c r="AQ750" s="139" t="str">
        <f>IFERROR(ROUND((tblPiNHistorical[[#This Row],[Site Management - New]] - tblPiNHistorical[[#This Row],[Site Management - Old]])/tblPiNHistorical[[#This Row],[Site Management - Old]], 1), "")</f>
        <v/>
      </c>
      <c r="AR750" s="140" t="str">
        <f>IFERROR(ROUND((tblPiNHistorical[[#This Row],[Education New]]-tblPiNHistorical[[#This Row],[Education Old]])/tblPiNHistorical[[#This Row],[Education Old]], 1), "")</f>
        <v/>
      </c>
      <c r="AS750" s="141" t="str">
        <f>IFERROR(ROUND((tblPiNHistorical[[#This Row],[Food Security and Livlihoods New]]-tblPiNHistorical[[#This Row],[Food Security and Livlihoods Old]])/tblPiNHistorical[[#This Row],[Food Security and Livlihoods Old]], 1), "")</f>
        <v/>
      </c>
      <c r="AT750" s="142" t="str">
        <f>IFERROR(ROUND((tblPiNHistorical[[#This Row],[Health New]]-tblPiNHistorical[[#This Row],[Health Old]])/tblPiNHistorical[[#This Row],[Health Old]], 1), "")</f>
        <v/>
      </c>
      <c r="AU750" s="140" t="str">
        <f>IFERROR(ROUND((tblPiNHistorical[[#This Row],[Nutrition New]]-tblPiNHistorical[[#This Row],[Nutrition Old]])/tblPiNHistorical[[#This Row],[Nutrition Old]], 1), "")</f>
        <v/>
      </c>
      <c r="AV750" s="140" t="str">
        <f>IFERROR(ROUND((tblPiNHistorical[[#This Row],[Protection New]]-tblPiNHistorical[[#This Row],[Protection Old]])/tblPiNHistorical[[#This Row],[Protection Old]], 1), "")</f>
        <v/>
      </c>
      <c r="AW750" s="84" t="str">
        <f>IFERROR(ROUND((tblPiNHistorical[[#This Row],[CP New]]-tblPiNHistorical[[#This Row],[CP Old ]])/tblPiNHistorical[[#This Row],[CP Old ]], 1), "")</f>
        <v/>
      </c>
      <c r="AX750" s="84" t="str">
        <f>IFERROR(ROUND((tblPiNHistorical[[#This Row],[GBV New]]-tblPiNHistorical[[#This Row],[GBV Old]])/tblPiNHistorical[[#This Row],[GBV Old]], 1), "")</f>
        <v/>
      </c>
      <c r="AY750" s="84" t="str">
        <f>IFERROR(ROUND((tblPiNHistorical[[#This Row],[Mine Action New]]-tblPiNHistorical[[#This Row],[Mine Action Old]])/tblPiNHistorical[[#This Row],[Mine Action Old]], 1), "")</f>
        <v/>
      </c>
      <c r="AZ750" s="140" t="str">
        <f>IFERROR(ROUND((tblPiNHistorical[[#This Row],[Shelter NFI New]]-tblPiNHistorical[[#This Row],[Shelter NFI Old]])/tblPiNHistorical[[#This Row],[Shelter NFI Old]], 1), "")</f>
        <v/>
      </c>
      <c r="BA750" s="31" t="str">
        <f>IFERROR(ROUND((tblPiNHistorical[[#This Row],[WASH New]]-tblPiNHistorical[[#This Row],[WASH Old]])/tblPiNHistorical[[#This Row],[WASH Old]], 1), "")</f>
        <v/>
      </c>
    </row>
    <row r="751" spans="1:53" ht="38.25" x14ac:dyDescent="0.25">
      <c r="A751"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Non-displaced PopulationSD18100</v>
      </c>
      <c r="B751" s="134" t="s">
        <v>194</v>
      </c>
      <c r="C751" s="124" t="s">
        <v>135</v>
      </c>
      <c r="D751" s="124" t="s">
        <v>556</v>
      </c>
      <c r="E751" s="59" t="s">
        <v>557</v>
      </c>
      <c r="F751" s="54"/>
      <c r="G751" s="29"/>
      <c r="H751" s="53">
        <v>10226</v>
      </c>
      <c r="I751" s="53" t="s">
        <v>89</v>
      </c>
      <c r="J751" s="34">
        <v>0</v>
      </c>
      <c r="K751" s="116">
        <v>3964.6201999999998</v>
      </c>
      <c r="L751" s="114">
        <v>5113</v>
      </c>
      <c r="M751" s="114">
        <v>0</v>
      </c>
      <c r="N751" s="114">
        <v>2862</v>
      </c>
      <c r="O751" s="114">
        <v>1124.8600000000001</v>
      </c>
      <c r="P751" s="114">
        <v>1125</v>
      </c>
      <c r="Q751" s="114">
        <v>541</v>
      </c>
      <c r="R751" s="114">
        <v>0</v>
      </c>
      <c r="S751" s="114">
        <v>2045</v>
      </c>
      <c r="T751" s="196">
        <v>9245.3266000000003</v>
      </c>
      <c r="U751" s="52" t="str">
        <f>IFERROR(INDEX(tblPiNAnalysis[[Site Management ]], MATCH(tblPiNHistorical[[#This Row],[ID]], tblPiNAnalysis[ID], 0)), "")</f>
        <v/>
      </c>
      <c r="V751" s="52" t="str">
        <f>IFERROR(INDEX(tblPiNAnalysis[Education], MATCH(tblPiNHistorical[[#This Row],[ID]], tblPiNAnalysis[ID], 0)), "")</f>
        <v/>
      </c>
      <c r="W751" s="28" t="str">
        <f>IFERROR(INDEX(tblPiNAnalysis[Food Security and Livlihoods], MATCH(tblPiNHistorical[[#This Row],[ID]], tblPiNAnalysis[ID], 0)), "")</f>
        <v/>
      </c>
      <c r="X751" s="28" t="str">
        <f>IFERROR(INDEX(tblPiNAnalysis[[Health ]], MATCH(tblPiNHistorical[[#This Row],[ID]], tblPiNAnalysis[ID], 0)), "")</f>
        <v/>
      </c>
      <c r="Y751" s="28" t="str">
        <f>IFERROR(INDEX(tblPiNAnalysis[Nutrition], MATCH(tblPiNHistorical[[#This Row],[ID]], tblPiNAnalysis[ID], 0)), "")</f>
        <v/>
      </c>
      <c r="Z751" s="28" t="str">
        <f>IFERROR(INDEX(tblPiNAnalysis[Protection], MATCH(tblPiNHistorical[[#This Row],[ID]], tblPiNAnalysis[ID], 0)), "")</f>
        <v/>
      </c>
      <c r="AA751" s="28" t="str">
        <f>IFERROR(INDEX(tblPiNAnalysis[CP], MATCH(tblPiNHistorical[[#This Row],[ID]], tblPiNAnalysis[ID], 0)), "")</f>
        <v/>
      </c>
      <c r="AB751" s="83" t="str">
        <f>IFERROR(INDEX(tblPiNAnalysis[GBV], MATCH(tblPiNHistorical[[#This Row],[ID]], tblPiNAnalysis[ID], 0)), "")</f>
        <v/>
      </c>
      <c r="AC751" s="28" t="str">
        <f>IFERROR(INDEX(tblPiNAnalysis[Mine Action], MATCH(tblPiNHistorical[[#This Row],[ID]], tblPiNAnalysis[ID], 0)), "")</f>
        <v/>
      </c>
      <c r="AD751" s="83" t="str">
        <f>IFERROR(INDEX(tblPiNAnalysis[[Shelter NFI ]], MATCH(tblPiNHistorical[[#This Row],[ID]], tblPiNAnalysis[ID], 0)), "")</f>
        <v/>
      </c>
      <c r="AE751" s="28" t="str">
        <f>IFERROR(INDEX(tblPiNAnalysis[WASH], MATCH(tblPiNHistorical[[#This Row],[ID]], tblPiNAnalysis[ID], 0)), "")</f>
        <v/>
      </c>
      <c r="AF751"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751" s="136" t="str">
        <f>IF(OR(tblPiNHistorical[[#This Row],[Education Old]]="", tblPiNHistorical[[#This Row],[Education Old]]=0, tblPiNHistorical[[#This Row],[Education New]]="", tblPiNHistorical[[#This Row],[Education New]]=0), "", tblPiNHistorical[[#This Row],[Education New]]-tblPiNHistorical[[#This Row],[Education Old]])</f>
        <v/>
      </c>
      <c r="AH751"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751" s="137" t="str">
        <f>IF(OR(tblPiNHistorical[[#This Row],[Health Old]]="", tblPiNHistorical[[#This Row],[Health Old]]=0, tblPiNHistorical[[#This Row],[Health New]]="", tblPiNHistorical[[#This Row],[Health New]]=0), "", tblPiNHistorical[[#This Row],[Health New]]-tblPiNHistorical[[#This Row],[Health Old]])</f>
        <v/>
      </c>
      <c r="AJ751" s="136" t="str">
        <f>IF(OR(tblPiNHistorical[[#This Row],[Nutrition Old]]="", tblPiNHistorical[[#This Row],[Nutrition Old]]=0, tblPiNHistorical[[#This Row],[Nutrition New]]="", tblPiNHistorical[[#This Row],[Nutrition New]]=0), "", tblPiNHistorical[[#This Row],[Nutrition New]]-tblPiNHistorical[[#This Row],[Nutrition Old]])</f>
        <v/>
      </c>
      <c r="AK751" s="136" t="str">
        <f>IF(OR(tblPiNHistorical[[#This Row],[Protection Old]]="", tblPiNHistorical[[#This Row],[Protection Old]]=0, tblPiNHistorical[[#This Row],[Protection New]]="", tblPiNHistorical[[#This Row],[Protection New]]=0), "", tblPiNHistorical[[#This Row],[Protection New]]-tblPiNHistorical[[#This Row],[Protection Old]])</f>
        <v/>
      </c>
      <c r="AL751" s="136" t="str">
        <f>IF(OR(tblPiNHistorical[[#This Row],[CP Old ]]="", tblPiNHistorical[[#This Row],[CP Old ]]=0, tblPiNHistorical[[#This Row],[CP New]]="", tblPiNHistorical[[#This Row],[CP New]]=0), "", tblPiNHistorical[[#This Row],[CP New]]-tblPiNHistorical[[#This Row],[CP Old ]])</f>
        <v/>
      </c>
      <c r="AM751" s="83" t="str">
        <f>IF(OR(tblPiNHistorical[[#This Row],[GBV Old]]="", tblPiNHistorical[[#This Row],[GBV Old]]=0, tblPiNHistorical[[#This Row],[GBV New]]="", tblPiNHistorical[[#This Row],[GBV New]]=0), "", tblPiNHistorical[[#This Row],[GBV New]]-tblPiNHistorical[[#This Row],[GBV Old]])</f>
        <v/>
      </c>
      <c r="AN751" s="83" t="str">
        <f>IF(OR(tblPiNHistorical[[#This Row],[Mine Action Old]]="", tblPiNHistorical[[#This Row],[Mine Action Old]]=0, tblPiNHistorical[[#This Row],[Mine Action New]]="", tblPiNHistorical[[#This Row],[Mine Action New]]=0), "", tblPiNHistorical[[#This Row],[Mine Action New]]-tblPiNHistorical[[#This Row],[Mine Action Old]])</f>
        <v/>
      </c>
      <c r="AO751" s="136" t="str">
        <f>IF(OR(tblPiNHistorical[[#This Row],[Shelter NFI Old]]="", tblPiNHistorical[[#This Row],[Shelter NFI Old]]=0, tblPiNHistorical[[#This Row],[Shelter NFI New]]="", tblPiNHistorical[[#This Row],[Shelter NFI New]]=0), "", tblPiNHistorical[[#This Row],[Shelter NFI New]]-tblPiNHistorical[[#This Row],[Shelter NFI Old]])</f>
        <v/>
      </c>
      <c r="AP751" s="138" t="str">
        <f>IF(OR(tblPiNHistorical[[#This Row],[WASH Old]]="", tblPiNHistorical[[#This Row],[WASH Old]]=0, tblPiNHistorical[[#This Row],[WASH New]]="", tblPiNHistorical[[#This Row],[WASH New]]=0), "", tblPiNHistorical[[#This Row],[WASH New]]-tblPiNHistorical[[#This Row],[WASH Old]])</f>
        <v/>
      </c>
      <c r="AQ751" s="139" t="str">
        <f>IFERROR(ROUND((tblPiNHistorical[[#This Row],[Site Management - New]] - tblPiNHistorical[[#This Row],[Site Management - Old]])/tblPiNHistorical[[#This Row],[Site Management - Old]], 1), "")</f>
        <v/>
      </c>
      <c r="AR751" s="140" t="str">
        <f>IFERROR(ROUND((tblPiNHistorical[[#This Row],[Education New]]-tblPiNHistorical[[#This Row],[Education Old]])/tblPiNHistorical[[#This Row],[Education Old]], 1), "")</f>
        <v/>
      </c>
      <c r="AS751" s="141" t="str">
        <f>IFERROR(ROUND((tblPiNHistorical[[#This Row],[Food Security and Livlihoods New]]-tblPiNHistorical[[#This Row],[Food Security and Livlihoods Old]])/tblPiNHistorical[[#This Row],[Food Security and Livlihoods Old]], 1), "")</f>
        <v/>
      </c>
      <c r="AT751" s="142" t="str">
        <f>IFERROR(ROUND((tblPiNHistorical[[#This Row],[Health New]]-tblPiNHistorical[[#This Row],[Health Old]])/tblPiNHistorical[[#This Row],[Health Old]], 1), "")</f>
        <v/>
      </c>
      <c r="AU751" s="140" t="str">
        <f>IFERROR(ROUND((tblPiNHistorical[[#This Row],[Nutrition New]]-tblPiNHistorical[[#This Row],[Nutrition Old]])/tblPiNHistorical[[#This Row],[Nutrition Old]], 1), "")</f>
        <v/>
      </c>
      <c r="AV751" s="140" t="str">
        <f>IFERROR(ROUND((tblPiNHistorical[[#This Row],[Protection New]]-tblPiNHistorical[[#This Row],[Protection Old]])/tblPiNHistorical[[#This Row],[Protection Old]], 1), "")</f>
        <v/>
      </c>
      <c r="AW751" s="84" t="str">
        <f>IFERROR(ROUND((tblPiNHistorical[[#This Row],[CP New]]-tblPiNHistorical[[#This Row],[CP Old ]])/tblPiNHistorical[[#This Row],[CP Old ]], 1), "")</f>
        <v/>
      </c>
      <c r="AX751" s="84" t="str">
        <f>IFERROR(ROUND((tblPiNHistorical[[#This Row],[GBV New]]-tblPiNHistorical[[#This Row],[GBV Old]])/tblPiNHistorical[[#This Row],[GBV Old]], 1), "")</f>
        <v/>
      </c>
      <c r="AY751" s="84" t="str">
        <f>IFERROR(ROUND((tblPiNHistorical[[#This Row],[Mine Action New]]-tblPiNHistorical[[#This Row],[Mine Action Old]])/tblPiNHistorical[[#This Row],[Mine Action Old]], 1), "")</f>
        <v/>
      </c>
      <c r="AZ751" s="140" t="str">
        <f>IFERROR(ROUND((tblPiNHistorical[[#This Row],[Shelter NFI New]]-tblPiNHistorical[[#This Row],[Shelter NFI Old]])/tblPiNHistorical[[#This Row],[Shelter NFI Old]], 1), "")</f>
        <v/>
      </c>
      <c r="BA751" s="31" t="str">
        <f>IFERROR(ROUND((tblPiNHistorical[[#This Row],[WASH New]]-tblPiNHistorical[[#This Row],[WASH Old]])/tblPiNHistorical[[#This Row],[WASH Old]], 1), "")</f>
        <v/>
      </c>
    </row>
    <row r="752" spans="1:53" ht="38.25" x14ac:dyDescent="0.25">
      <c r="A752"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Non-displaced PopulationSD18021</v>
      </c>
      <c r="B752" s="134" t="s">
        <v>194</v>
      </c>
      <c r="C752" s="124" t="s">
        <v>135</v>
      </c>
      <c r="D752" s="124" t="s">
        <v>540</v>
      </c>
      <c r="E752" s="59" t="s">
        <v>541</v>
      </c>
      <c r="F752" s="54"/>
      <c r="G752" s="29"/>
      <c r="H752" s="53">
        <v>43745</v>
      </c>
      <c r="I752" s="53" t="s">
        <v>89</v>
      </c>
      <c r="J752" s="34">
        <v>0</v>
      </c>
      <c r="K752" s="116">
        <v>0</v>
      </c>
      <c r="L752" s="114">
        <v>17498</v>
      </c>
      <c r="M752" s="114">
        <v>6060</v>
      </c>
      <c r="N752" s="114">
        <v>14564</v>
      </c>
      <c r="O752" s="114">
        <v>4811.9500000000007</v>
      </c>
      <c r="P752" s="114">
        <v>4812</v>
      </c>
      <c r="Q752" s="114">
        <v>2309</v>
      </c>
      <c r="R752" s="114">
        <v>0</v>
      </c>
      <c r="S752" s="114">
        <v>8749</v>
      </c>
      <c r="T752" s="196">
        <v>42139.558499999999</v>
      </c>
      <c r="U752" s="52" t="str">
        <f>IFERROR(INDEX(tblPiNAnalysis[[Site Management ]], MATCH(tblPiNHistorical[[#This Row],[ID]], tblPiNAnalysis[ID], 0)), "")</f>
        <v/>
      </c>
      <c r="V752" s="52" t="str">
        <f>IFERROR(INDEX(tblPiNAnalysis[Education], MATCH(tblPiNHistorical[[#This Row],[ID]], tblPiNAnalysis[ID], 0)), "")</f>
        <v/>
      </c>
      <c r="W752" s="28" t="str">
        <f>IFERROR(INDEX(tblPiNAnalysis[Food Security and Livlihoods], MATCH(tblPiNHistorical[[#This Row],[ID]], tblPiNAnalysis[ID], 0)), "")</f>
        <v/>
      </c>
      <c r="X752" s="28" t="str">
        <f>IFERROR(INDEX(tblPiNAnalysis[[Health ]], MATCH(tblPiNHistorical[[#This Row],[ID]], tblPiNAnalysis[ID], 0)), "")</f>
        <v/>
      </c>
      <c r="Y752" s="28" t="str">
        <f>IFERROR(INDEX(tblPiNAnalysis[Nutrition], MATCH(tblPiNHistorical[[#This Row],[ID]], tblPiNAnalysis[ID], 0)), "")</f>
        <v/>
      </c>
      <c r="Z752" s="28" t="str">
        <f>IFERROR(INDEX(tblPiNAnalysis[Protection], MATCH(tblPiNHistorical[[#This Row],[ID]], tblPiNAnalysis[ID], 0)), "")</f>
        <v/>
      </c>
      <c r="AA752" s="28" t="str">
        <f>IFERROR(INDEX(tblPiNAnalysis[CP], MATCH(tblPiNHistorical[[#This Row],[ID]], tblPiNAnalysis[ID], 0)), "")</f>
        <v/>
      </c>
      <c r="AB752" s="83" t="str">
        <f>IFERROR(INDEX(tblPiNAnalysis[GBV], MATCH(tblPiNHistorical[[#This Row],[ID]], tblPiNAnalysis[ID], 0)), "")</f>
        <v/>
      </c>
      <c r="AC752" s="28" t="str">
        <f>IFERROR(INDEX(tblPiNAnalysis[Mine Action], MATCH(tblPiNHistorical[[#This Row],[ID]], tblPiNAnalysis[ID], 0)), "")</f>
        <v/>
      </c>
      <c r="AD752" s="83" t="str">
        <f>IFERROR(INDEX(tblPiNAnalysis[[Shelter NFI ]], MATCH(tblPiNHistorical[[#This Row],[ID]], tblPiNAnalysis[ID], 0)), "")</f>
        <v/>
      </c>
      <c r="AE752" s="28" t="str">
        <f>IFERROR(INDEX(tblPiNAnalysis[WASH], MATCH(tblPiNHistorical[[#This Row],[ID]], tblPiNAnalysis[ID], 0)), "")</f>
        <v/>
      </c>
      <c r="AF752"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752" s="136" t="str">
        <f>IF(OR(tblPiNHistorical[[#This Row],[Education Old]]="", tblPiNHistorical[[#This Row],[Education Old]]=0, tblPiNHistorical[[#This Row],[Education New]]="", tblPiNHistorical[[#This Row],[Education New]]=0), "", tblPiNHistorical[[#This Row],[Education New]]-tblPiNHistorical[[#This Row],[Education Old]])</f>
        <v/>
      </c>
      <c r="AH752"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752" s="137" t="str">
        <f>IF(OR(tblPiNHistorical[[#This Row],[Health Old]]="", tblPiNHistorical[[#This Row],[Health Old]]=0, tblPiNHistorical[[#This Row],[Health New]]="", tblPiNHistorical[[#This Row],[Health New]]=0), "", tblPiNHistorical[[#This Row],[Health New]]-tblPiNHistorical[[#This Row],[Health Old]])</f>
        <v/>
      </c>
      <c r="AJ752" s="136" t="str">
        <f>IF(OR(tblPiNHistorical[[#This Row],[Nutrition Old]]="", tblPiNHistorical[[#This Row],[Nutrition Old]]=0, tblPiNHistorical[[#This Row],[Nutrition New]]="", tblPiNHistorical[[#This Row],[Nutrition New]]=0), "", tblPiNHistorical[[#This Row],[Nutrition New]]-tblPiNHistorical[[#This Row],[Nutrition Old]])</f>
        <v/>
      </c>
      <c r="AK752" s="136" t="str">
        <f>IF(OR(tblPiNHistorical[[#This Row],[Protection Old]]="", tblPiNHistorical[[#This Row],[Protection Old]]=0, tblPiNHistorical[[#This Row],[Protection New]]="", tblPiNHistorical[[#This Row],[Protection New]]=0), "", tblPiNHistorical[[#This Row],[Protection New]]-tblPiNHistorical[[#This Row],[Protection Old]])</f>
        <v/>
      </c>
      <c r="AL752" s="136" t="str">
        <f>IF(OR(tblPiNHistorical[[#This Row],[CP Old ]]="", tblPiNHistorical[[#This Row],[CP Old ]]=0, tblPiNHistorical[[#This Row],[CP New]]="", tblPiNHistorical[[#This Row],[CP New]]=0), "", tblPiNHistorical[[#This Row],[CP New]]-tblPiNHistorical[[#This Row],[CP Old ]])</f>
        <v/>
      </c>
      <c r="AM752" s="83" t="str">
        <f>IF(OR(tblPiNHistorical[[#This Row],[GBV Old]]="", tblPiNHistorical[[#This Row],[GBV Old]]=0, tblPiNHistorical[[#This Row],[GBV New]]="", tblPiNHistorical[[#This Row],[GBV New]]=0), "", tblPiNHistorical[[#This Row],[GBV New]]-tblPiNHistorical[[#This Row],[GBV Old]])</f>
        <v/>
      </c>
      <c r="AN752" s="83" t="str">
        <f>IF(OR(tblPiNHistorical[[#This Row],[Mine Action Old]]="", tblPiNHistorical[[#This Row],[Mine Action Old]]=0, tblPiNHistorical[[#This Row],[Mine Action New]]="", tblPiNHistorical[[#This Row],[Mine Action New]]=0), "", tblPiNHistorical[[#This Row],[Mine Action New]]-tblPiNHistorical[[#This Row],[Mine Action Old]])</f>
        <v/>
      </c>
      <c r="AO752" s="136" t="str">
        <f>IF(OR(tblPiNHistorical[[#This Row],[Shelter NFI Old]]="", tblPiNHistorical[[#This Row],[Shelter NFI Old]]=0, tblPiNHistorical[[#This Row],[Shelter NFI New]]="", tblPiNHistorical[[#This Row],[Shelter NFI New]]=0), "", tblPiNHistorical[[#This Row],[Shelter NFI New]]-tblPiNHistorical[[#This Row],[Shelter NFI Old]])</f>
        <v/>
      </c>
      <c r="AP752" s="138" t="str">
        <f>IF(OR(tblPiNHistorical[[#This Row],[WASH Old]]="", tblPiNHistorical[[#This Row],[WASH Old]]=0, tblPiNHistorical[[#This Row],[WASH New]]="", tblPiNHistorical[[#This Row],[WASH New]]=0), "", tblPiNHistorical[[#This Row],[WASH New]]-tblPiNHistorical[[#This Row],[WASH Old]])</f>
        <v/>
      </c>
      <c r="AQ752" s="139" t="str">
        <f>IFERROR(ROUND((tblPiNHistorical[[#This Row],[Site Management - New]] - tblPiNHistorical[[#This Row],[Site Management - Old]])/tblPiNHistorical[[#This Row],[Site Management - Old]], 1), "")</f>
        <v/>
      </c>
      <c r="AR752" s="140" t="str">
        <f>IFERROR(ROUND((tblPiNHistorical[[#This Row],[Education New]]-tblPiNHistorical[[#This Row],[Education Old]])/tblPiNHistorical[[#This Row],[Education Old]], 1), "")</f>
        <v/>
      </c>
      <c r="AS752" s="141" t="str">
        <f>IFERROR(ROUND((tblPiNHistorical[[#This Row],[Food Security and Livlihoods New]]-tblPiNHistorical[[#This Row],[Food Security and Livlihoods Old]])/tblPiNHistorical[[#This Row],[Food Security and Livlihoods Old]], 1), "")</f>
        <v/>
      </c>
      <c r="AT752" s="142" t="str">
        <f>IFERROR(ROUND((tblPiNHistorical[[#This Row],[Health New]]-tblPiNHistorical[[#This Row],[Health Old]])/tblPiNHistorical[[#This Row],[Health Old]], 1), "")</f>
        <v/>
      </c>
      <c r="AU752" s="140" t="str">
        <f>IFERROR(ROUND((tblPiNHistorical[[#This Row],[Nutrition New]]-tblPiNHistorical[[#This Row],[Nutrition Old]])/tblPiNHistorical[[#This Row],[Nutrition Old]], 1), "")</f>
        <v/>
      </c>
      <c r="AV752" s="140" t="str">
        <f>IFERROR(ROUND((tblPiNHistorical[[#This Row],[Protection New]]-tblPiNHistorical[[#This Row],[Protection Old]])/tblPiNHistorical[[#This Row],[Protection Old]], 1), "")</f>
        <v/>
      </c>
      <c r="AW752" s="84" t="str">
        <f>IFERROR(ROUND((tblPiNHistorical[[#This Row],[CP New]]-tblPiNHistorical[[#This Row],[CP Old ]])/tblPiNHistorical[[#This Row],[CP Old ]], 1), "")</f>
        <v/>
      </c>
      <c r="AX752" s="84" t="str">
        <f>IFERROR(ROUND((tblPiNHistorical[[#This Row],[GBV New]]-tblPiNHistorical[[#This Row],[GBV Old]])/tblPiNHistorical[[#This Row],[GBV Old]], 1), "")</f>
        <v/>
      </c>
      <c r="AY752" s="84" t="str">
        <f>IFERROR(ROUND((tblPiNHistorical[[#This Row],[Mine Action New]]-tblPiNHistorical[[#This Row],[Mine Action Old]])/tblPiNHistorical[[#This Row],[Mine Action Old]], 1), "")</f>
        <v/>
      </c>
      <c r="AZ752" s="140" t="str">
        <f>IFERROR(ROUND((tblPiNHistorical[[#This Row],[Shelter NFI New]]-tblPiNHistorical[[#This Row],[Shelter NFI Old]])/tblPiNHistorical[[#This Row],[Shelter NFI Old]], 1), "")</f>
        <v/>
      </c>
      <c r="BA752" s="31" t="str">
        <f>IFERROR(ROUND((tblPiNHistorical[[#This Row],[WASH New]]-tblPiNHistorical[[#This Row],[WASH Old]])/tblPiNHistorical[[#This Row],[WASH Old]], 1), "")</f>
        <v/>
      </c>
    </row>
    <row r="753" spans="1:53" ht="38.25" x14ac:dyDescent="0.25">
      <c r="A753"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Non-displaced PopulationSD18085</v>
      </c>
      <c r="B753" s="134" t="s">
        <v>194</v>
      </c>
      <c r="C753" s="124" t="s">
        <v>135</v>
      </c>
      <c r="D753" s="124" t="s">
        <v>548</v>
      </c>
      <c r="E753" s="59" t="s">
        <v>549</v>
      </c>
      <c r="F753" s="54"/>
      <c r="G753" s="29"/>
      <c r="H753" s="53">
        <v>18743</v>
      </c>
      <c r="I753" s="53" t="s">
        <v>89</v>
      </c>
      <c r="J753" s="34">
        <v>0</v>
      </c>
      <c r="K753" s="116">
        <v>7266.6610999999994</v>
      </c>
      <c r="L753" s="114">
        <v>9372</v>
      </c>
      <c r="M753" s="114">
        <v>0</v>
      </c>
      <c r="N753" s="114">
        <v>2963</v>
      </c>
      <c r="O753" s="114">
        <v>2061.7300000000005</v>
      </c>
      <c r="P753" s="114">
        <v>2062</v>
      </c>
      <c r="Q753" s="114">
        <v>0</v>
      </c>
      <c r="R753" s="114">
        <v>0</v>
      </c>
      <c r="S753" s="114">
        <v>0</v>
      </c>
      <c r="T753" s="196">
        <v>6522.5639999999994</v>
      </c>
      <c r="U753" s="52" t="str">
        <f>IFERROR(INDEX(tblPiNAnalysis[[Site Management ]], MATCH(tblPiNHistorical[[#This Row],[ID]], tblPiNAnalysis[ID], 0)), "")</f>
        <v/>
      </c>
      <c r="V753" s="52" t="str">
        <f>IFERROR(INDEX(tblPiNAnalysis[Education], MATCH(tblPiNHistorical[[#This Row],[ID]], tblPiNAnalysis[ID], 0)), "")</f>
        <v/>
      </c>
      <c r="W753" s="28" t="str">
        <f>IFERROR(INDEX(tblPiNAnalysis[Food Security and Livlihoods], MATCH(tblPiNHistorical[[#This Row],[ID]], tblPiNAnalysis[ID], 0)), "")</f>
        <v/>
      </c>
      <c r="X753" s="28" t="str">
        <f>IFERROR(INDEX(tblPiNAnalysis[[Health ]], MATCH(tblPiNHistorical[[#This Row],[ID]], tblPiNAnalysis[ID], 0)), "")</f>
        <v/>
      </c>
      <c r="Y753" s="28" t="str">
        <f>IFERROR(INDEX(tblPiNAnalysis[Nutrition], MATCH(tblPiNHistorical[[#This Row],[ID]], tblPiNAnalysis[ID], 0)), "")</f>
        <v/>
      </c>
      <c r="Z753" s="28" t="str">
        <f>IFERROR(INDEX(tblPiNAnalysis[Protection], MATCH(tblPiNHistorical[[#This Row],[ID]], tblPiNAnalysis[ID], 0)), "")</f>
        <v/>
      </c>
      <c r="AA753" s="28" t="str">
        <f>IFERROR(INDEX(tblPiNAnalysis[CP], MATCH(tblPiNHistorical[[#This Row],[ID]], tblPiNAnalysis[ID], 0)), "")</f>
        <v/>
      </c>
      <c r="AB753" s="83" t="str">
        <f>IFERROR(INDEX(tblPiNAnalysis[GBV], MATCH(tblPiNHistorical[[#This Row],[ID]], tblPiNAnalysis[ID], 0)), "")</f>
        <v/>
      </c>
      <c r="AC753" s="28" t="str">
        <f>IFERROR(INDEX(tblPiNAnalysis[Mine Action], MATCH(tblPiNHistorical[[#This Row],[ID]], tblPiNAnalysis[ID], 0)), "")</f>
        <v/>
      </c>
      <c r="AD753" s="83" t="str">
        <f>IFERROR(INDEX(tblPiNAnalysis[[Shelter NFI ]], MATCH(tblPiNHistorical[[#This Row],[ID]], tblPiNAnalysis[ID], 0)), "")</f>
        <v/>
      </c>
      <c r="AE753" s="28" t="str">
        <f>IFERROR(INDEX(tblPiNAnalysis[WASH], MATCH(tblPiNHistorical[[#This Row],[ID]], tblPiNAnalysis[ID], 0)), "")</f>
        <v/>
      </c>
      <c r="AF753"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753" s="136" t="str">
        <f>IF(OR(tblPiNHistorical[[#This Row],[Education Old]]="", tblPiNHistorical[[#This Row],[Education Old]]=0, tblPiNHistorical[[#This Row],[Education New]]="", tblPiNHistorical[[#This Row],[Education New]]=0), "", tblPiNHistorical[[#This Row],[Education New]]-tblPiNHistorical[[#This Row],[Education Old]])</f>
        <v/>
      </c>
      <c r="AH753"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753" s="137" t="str">
        <f>IF(OR(tblPiNHistorical[[#This Row],[Health Old]]="", tblPiNHistorical[[#This Row],[Health Old]]=0, tblPiNHistorical[[#This Row],[Health New]]="", tblPiNHistorical[[#This Row],[Health New]]=0), "", tblPiNHistorical[[#This Row],[Health New]]-tblPiNHistorical[[#This Row],[Health Old]])</f>
        <v/>
      </c>
      <c r="AJ753" s="136" t="str">
        <f>IF(OR(tblPiNHistorical[[#This Row],[Nutrition Old]]="", tblPiNHistorical[[#This Row],[Nutrition Old]]=0, tblPiNHistorical[[#This Row],[Nutrition New]]="", tblPiNHistorical[[#This Row],[Nutrition New]]=0), "", tblPiNHistorical[[#This Row],[Nutrition New]]-tblPiNHistorical[[#This Row],[Nutrition Old]])</f>
        <v/>
      </c>
      <c r="AK753" s="136" t="str">
        <f>IF(OR(tblPiNHistorical[[#This Row],[Protection Old]]="", tblPiNHistorical[[#This Row],[Protection Old]]=0, tblPiNHistorical[[#This Row],[Protection New]]="", tblPiNHistorical[[#This Row],[Protection New]]=0), "", tblPiNHistorical[[#This Row],[Protection New]]-tblPiNHistorical[[#This Row],[Protection Old]])</f>
        <v/>
      </c>
      <c r="AL753" s="136" t="str">
        <f>IF(OR(tblPiNHistorical[[#This Row],[CP Old ]]="", tblPiNHistorical[[#This Row],[CP Old ]]=0, tblPiNHistorical[[#This Row],[CP New]]="", tblPiNHistorical[[#This Row],[CP New]]=0), "", tblPiNHistorical[[#This Row],[CP New]]-tblPiNHistorical[[#This Row],[CP Old ]])</f>
        <v/>
      </c>
      <c r="AM753" s="83" t="str">
        <f>IF(OR(tblPiNHistorical[[#This Row],[GBV Old]]="", tblPiNHistorical[[#This Row],[GBV Old]]=0, tblPiNHistorical[[#This Row],[GBV New]]="", tblPiNHistorical[[#This Row],[GBV New]]=0), "", tblPiNHistorical[[#This Row],[GBV New]]-tblPiNHistorical[[#This Row],[GBV Old]])</f>
        <v/>
      </c>
      <c r="AN753" s="83" t="str">
        <f>IF(OR(tblPiNHistorical[[#This Row],[Mine Action Old]]="", tblPiNHistorical[[#This Row],[Mine Action Old]]=0, tblPiNHistorical[[#This Row],[Mine Action New]]="", tblPiNHistorical[[#This Row],[Mine Action New]]=0), "", tblPiNHistorical[[#This Row],[Mine Action New]]-tblPiNHistorical[[#This Row],[Mine Action Old]])</f>
        <v/>
      </c>
      <c r="AO753" s="136" t="str">
        <f>IF(OR(tblPiNHistorical[[#This Row],[Shelter NFI Old]]="", tblPiNHistorical[[#This Row],[Shelter NFI Old]]=0, tblPiNHistorical[[#This Row],[Shelter NFI New]]="", tblPiNHistorical[[#This Row],[Shelter NFI New]]=0), "", tblPiNHistorical[[#This Row],[Shelter NFI New]]-tblPiNHistorical[[#This Row],[Shelter NFI Old]])</f>
        <v/>
      </c>
      <c r="AP753" s="138" t="str">
        <f>IF(OR(tblPiNHistorical[[#This Row],[WASH Old]]="", tblPiNHistorical[[#This Row],[WASH Old]]=0, tblPiNHistorical[[#This Row],[WASH New]]="", tblPiNHistorical[[#This Row],[WASH New]]=0), "", tblPiNHistorical[[#This Row],[WASH New]]-tblPiNHistorical[[#This Row],[WASH Old]])</f>
        <v/>
      </c>
      <c r="AQ753" s="139" t="str">
        <f>IFERROR(ROUND((tblPiNHistorical[[#This Row],[Site Management - New]] - tblPiNHistorical[[#This Row],[Site Management - Old]])/tblPiNHistorical[[#This Row],[Site Management - Old]], 1), "")</f>
        <v/>
      </c>
      <c r="AR753" s="140" t="str">
        <f>IFERROR(ROUND((tblPiNHistorical[[#This Row],[Education New]]-tblPiNHistorical[[#This Row],[Education Old]])/tblPiNHistorical[[#This Row],[Education Old]], 1), "")</f>
        <v/>
      </c>
      <c r="AS753" s="141" t="str">
        <f>IFERROR(ROUND((tblPiNHistorical[[#This Row],[Food Security and Livlihoods New]]-tblPiNHistorical[[#This Row],[Food Security and Livlihoods Old]])/tblPiNHistorical[[#This Row],[Food Security and Livlihoods Old]], 1), "")</f>
        <v/>
      </c>
      <c r="AT753" s="142" t="str">
        <f>IFERROR(ROUND((tblPiNHistorical[[#This Row],[Health New]]-tblPiNHistorical[[#This Row],[Health Old]])/tblPiNHistorical[[#This Row],[Health Old]], 1), "")</f>
        <v/>
      </c>
      <c r="AU753" s="140" t="str">
        <f>IFERROR(ROUND((tblPiNHistorical[[#This Row],[Nutrition New]]-tblPiNHistorical[[#This Row],[Nutrition Old]])/tblPiNHistorical[[#This Row],[Nutrition Old]], 1), "")</f>
        <v/>
      </c>
      <c r="AV753" s="140" t="str">
        <f>IFERROR(ROUND((tblPiNHistorical[[#This Row],[Protection New]]-tblPiNHistorical[[#This Row],[Protection Old]])/tblPiNHistorical[[#This Row],[Protection Old]], 1), "")</f>
        <v/>
      </c>
      <c r="AW753" s="84" t="str">
        <f>IFERROR(ROUND((tblPiNHistorical[[#This Row],[CP New]]-tblPiNHistorical[[#This Row],[CP Old ]])/tblPiNHistorical[[#This Row],[CP Old ]], 1), "")</f>
        <v/>
      </c>
      <c r="AX753" s="84" t="str">
        <f>IFERROR(ROUND((tblPiNHistorical[[#This Row],[GBV New]]-tblPiNHistorical[[#This Row],[GBV Old]])/tblPiNHistorical[[#This Row],[GBV Old]], 1), "")</f>
        <v/>
      </c>
      <c r="AY753" s="84" t="str">
        <f>IFERROR(ROUND((tblPiNHistorical[[#This Row],[Mine Action New]]-tblPiNHistorical[[#This Row],[Mine Action Old]])/tblPiNHistorical[[#This Row],[Mine Action Old]], 1), "")</f>
        <v/>
      </c>
      <c r="AZ753" s="140" t="str">
        <f>IFERROR(ROUND((tblPiNHistorical[[#This Row],[Shelter NFI New]]-tblPiNHistorical[[#This Row],[Shelter NFI Old]])/tblPiNHistorical[[#This Row],[Shelter NFI Old]], 1), "")</f>
        <v/>
      </c>
      <c r="BA753" s="31" t="str">
        <f>IFERROR(ROUND((tblPiNHistorical[[#This Row],[WASH New]]-tblPiNHistorical[[#This Row],[WASH Old]])/tblPiNHistorical[[#This Row],[WASH Old]], 1), "")</f>
        <v/>
      </c>
    </row>
    <row r="754" spans="1:53" ht="38.25" x14ac:dyDescent="0.25">
      <c r="A754"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Non-displaced PopulationSD18029</v>
      </c>
      <c r="B754" s="134" t="s">
        <v>194</v>
      </c>
      <c r="C754" s="124" t="s">
        <v>135</v>
      </c>
      <c r="D754" s="124" t="s">
        <v>546</v>
      </c>
      <c r="E754" s="59" t="s">
        <v>547</v>
      </c>
      <c r="F754" s="54"/>
      <c r="G754" s="29"/>
      <c r="H754" s="53">
        <v>59433</v>
      </c>
      <c r="I754" s="53" t="s">
        <v>89</v>
      </c>
      <c r="J754" s="34">
        <v>0</v>
      </c>
      <c r="K754" s="116">
        <v>0</v>
      </c>
      <c r="L754" s="114">
        <v>23773.200000000001</v>
      </c>
      <c r="M754" s="114">
        <v>4150</v>
      </c>
      <c r="N754" s="114">
        <v>16600</v>
      </c>
      <c r="O754" s="114">
        <v>6537.630000000001</v>
      </c>
      <c r="P754" s="114">
        <v>6538</v>
      </c>
      <c r="Q754" s="114">
        <v>3136</v>
      </c>
      <c r="R754" s="114">
        <v>0</v>
      </c>
      <c r="S754" s="114">
        <v>0</v>
      </c>
      <c r="T754" s="196">
        <v>43487.126100000001</v>
      </c>
      <c r="U754" s="52" t="str">
        <f>IFERROR(INDEX(tblPiNAnalysis[[Site Management ]], MATCH(tblPiNHistorical[[#This Row],[ID]], tblPiNAnalysis[ID], 0)), "")</f>
        <v/>
      </c>
      <c r="V754" s="52" t="str">
        <f>IFERROR(INDEX(tblPiNAnalysis[Education], MATCH(tblPiNHistorical[[#This Row],[ID]], tblPiNAnalysis[ID], 0)), "")</f>
        <v/>
      </c>
      <c r="W754" s="28" t="str">
        <f>IFERROR(INDEX(tblPiNAnalysis[Food Security and Livlihoods], MATCH(tblPiNHistorical[[#This Row],[ID]], tblPiNAnalysis[ID], 0)), "")</f>
        <v/>
      </c>
      <c r="X754" s="28" t="str">
        <f>IFERROR(INDEX(tblPiNAnalysis[[Health ]], MATCH(tblPiNHistorical[[#This Row],[ID]], tblPiNAnalysis[ID], 0)), "")</f>
        <v/>
      </c>
      <c r="Y754" s="28" t="str">
        <f>IFERROR(INDEX(tblPiNAnalysis[Nutrition], MATCH(tblPiNHistorical[[#This Row],[ID]], tblPiNAnalysis[ID], 0)), "")</f>
        <v/>
      </c>
      <c r="Z754" s="28" t="str">
        <f>IFERROR(INDEX(tblPiNAnalysis[Protection], MATCH(tblPiNHistorical[[#This Row],[ID]], tblPiNAnalysis[ID], 0)), "")</f>
        <v/>
      </c>
      <c r="AA754" s="28" t="str">
        <f>IFERROR(INDEX(tblPiNAnalysis[CP], MATCH(tblPiNHistorical[[#This Row],[ID]], tblPiNAnalysis[ID], 0)), "")</f>
        <v/>
      </c>
      <c r="AB754" s="83" t="str">
        <f>IFERROR(INDEX(tblPiNAnalysis[GBV], MATCH(tblPiNHistorical[[#This Row],[ID]], tblPiNAnalysis[ID], 0)), "")</f>
        <v/>
      </c>
      <c r="AC754" s="28" t="str">
        <f>IFERROR(INDEX(tblPiNAnalysis[Mine Action], MATCH(tblPiNHistorical[[#This Row],[ID]], tblPiNAnalysis[ID], 0)), "")</f>
        <v/>
      </c>
      <c r="AD754" s="83" t="str">
        <f>IFERROR(INDEX(tblPiNAnalysis[[Shelter NFI ]], MATCH(tblPiNHistorical[[#This Row],[ID]], tblPiNAnalysis[ID], 0)), "")</f>
        <v/>
      </c>
      <c r="AE754" s="28" t="str">
        <f>IFERROR(INDEX(tblPiNAnalysis[WASH], MATCH(tblPiNHistorical[[#This Row],[ID]], tblPiNAnalysis[ID], 0)), "")</f>
        <v/>
      </c>
      <c r="AF754"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754" s="136" t="str">
        <f>IF(OR(tblPiNHistorical[[#This Row],[Education Old]]="", tblPiNHistorical[[#This Row],[Education Old]]=0, tblPiNHistorical[[#This Row],[Education New]]="", tblPiNHistorical[[#This Row],[Education New]]=0), "", tblPiNHistorical[[#This Row],[Education New]]-tblPiNHistorical[[#This Row],[Education Old]])</f>
        <v/>
      </c>
      <c r="AH754"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754" s="137" t="str">
        <f>IF(OR(tblPiNHistorical[[#This Row],[Health Old]]="", tblPiNHistorical[[#This Row],[Health Old]]=0, tblPiNHistorical[[#This Row],[Health New]]="", tblPiNHistorical[[#This Row],[Health New]]=0), "", tblPiNHistorical[[#This Row],[Health New]]-tblPiNHistorical[[#This Row],[Health Old]])</f>
        <v/>
      </c>
      <c r="AJ754" s="136" t="str">
        <f>IF(OR(tblPiNHistorical[[#This Row],[Nutrition Old]]="", tblPiNHistorical[[#This Row],[Nutrition Old]]=0, tblPiNHistorical[[#This Row],[Nutrition New]]="", tblPiNHistorical[[#This Row],[Nutrition New]]=0), "", tblPiNHistorical[[#This Row],[Nutrition New]]-tblPiNHistorical[[#This Row],[Nutrition Old]])</f>
        <v/>
      </c>
      <c r="AK754" s="136" t="str">
        <f>IF(OR(tblPiNHistorical[[#This Row],[Protection Old]]="", tblPiNHistorical[[#This Row],[Protection Old]]=0, tblPiNHistorical[[#This Row],[Protection New]]="", tblPiNHistorical[[#This Row],[Protection New]]=0), "", tblPiNHistorical[[#This Row],[Protection New]]-tblPiNHistorical[[#This Row],[Protection Old]])</f>
        <v/>
      </c>
      <c r="AL754" s="136" t="str">
        <f>IF(OR(tblPiNHistorical[[#This Row],[CP Old ]]="", tblPiNHistorical[[#This Row],[CP Old ]]=0, tblPiNHistorical[[#This Row],[CP New]]="", tblPiNHistorical[[#This Row],[CP New]]=0), "", tblPiNHistorical[[#This Row],[CP New]]-tblPiNHistorical[[#This Row],[CP Old ]])</f>
        <v/>
      </c>
      <c r="AM754" s="83" t="str">
        <f>IF(OR(tblPiNHistorical[[#This Row],[GBV Old]]="", tblPiNHistorical[[#This Row],[GBV Old]]=0, tblPiNHistorical[[#This Row],[GBV New]]="", tblPiNHistorical[[#This Row],[GBV New]]=0), "", tblPiNHistorical[[#This Row],[GBV New]]-tblPiNHistorical[[#This Row],[GBV Old]])</f>
        <v/>
      </c>
      <c r="AN754" s="83" t="str">
        <f>IF(OR(tblPiNHistorical[[#This Row],[Mine Action Old]]="", tblPiNHistorical[[#This Row],[Mine Action Old]]=0, tblPiNHistorical[[#This Row],[Mine Action New]]="", tblPiNHistorical[[#This Row],[Mine Action New]]=0), "", tblPiNHistorical[[#This Row],[Mine Action New]]-tblPiNHistorical[[#This Row],[Mine Action Old]])</f>
        <v/>
      </c>
      <c r="AO754" s="136" t="str">
        <f>IF(OR(tblPiNHistorical[[#This Row],[Shelter NFI Old]]="", tblPiNHistorical[[#This Row],[Shelter NFI Old]]=0, tblPiNHistorical[[#This Row],[Shelter NFI New]]="", tblPiNHistorical[[#This Row],[Shelter NFI New]]=0), "", tblPiNHistorical[[#This Row],[Shelter NFI New]]-tblPiNHistorical[[#This Row],[Shelter NFI Old]])</f>
        <v/>
      </c>
      <c r="AP754" s="138" t="str">
        <f>IF(OR(tblPiNHistorical[[#This Row],[WASH Old]]="", tblPiNHistorical[[#This Row],[WASH Old]]=0, tblPiNHistorical[[#This Row],[WASH New]]="", tblPiNHistorical[[#This Row],[WASH New]]=0), "", tblPiNHistorical[[#This Row],[WASH New]]-tblPiNHistorical[[#This Row],[WASH Old]])</f>
        <v/>
      </c>
      <c r="AQ754" s="139" t="str">
        <f>IFERROR(ROUND((tblPiNHistorical[[#This Row],[Site Management - New]] - tblPiNHistorical[[#This Row],[Site Management - Old]])/tblPiNHistorical[[#This Row],[Site Management - Old]], 1), "")</f>
        <v/>
      </c>
      <c r="AR754" s="140" t="str">
        <f>IFERROR(ROUND((tblPiNHistorical[[#This Row],[Education New]]-tblPiNHistorical[[#This Row],[Education Old]])/tblPiNHistorical[[#This Row],[Education Old]], 1), "")</f>
        <v/>
      </c>
      <c r="AS754" s="141" t="str">
        <f>IFERROR(ROUND((tblPiNHistorical[[#This Row],[Food Security and Livlihoods New]]-tblPiNHistorical[[#This Row],[Food Security and Livlihoods Old]])/tblPiNHistorical[[#This Row],[Food Security and Livlihoods Old]], 1), "")</f>
        <v/>
      </c>
      <c r="AT754" s="142" t="str">
        <f>IFERROR(ROUND((tblPiNHistorical[[#This Row],[Health New]]-tblPiNHistorical[[#This Row],[Health Old]])/tblPiNHistorical[[#This Row],[Health Old]], 1), "")</f>
        <v/>
      </c>
      <c r="AU754" s="140" t="str">
        <f>IFERROR(ROUND((tblPiNHistorical[[#This Row],[Nutrition New]]-tblPiNHistorical[[#This Row],[Nutrition Old]])/tblPiNHistorical[[#This Row],[Nutrition Old]], 1), "")</f>
        <v/>
      </c>
      <c r="AV754" s="140" t="str">
        <f>IFERROR(ROUND((tblPiNHistorical[[#This Row],[Protection New]]-tblPiNHistorical[[#This Row],[Protection Old]])/tblPiNHistorical[[#This Row],[Protection Old]], 1), "")</f>
        <v/>
      </c>
      <c r="AW754" s="84" t="str">
        <f>IFERROR(ROUND((tblPiNHistorical[[#This Row],[CP New]]-tblPiNHistorical[[#This Row],[CP Old ]])/tblPiNHistorical[[#This Row],[CP Old ]], 1), "")</f>
        <v/>
      </c>
      <c r="AX754" s="84" t="str">
        <f>IFERROR(ROUND((tblPiNHistorical[[#This Row],[GBV New]]-tblPiNHistorical[[#This Row],[GBV Old]])/tblPiNHistorical[[#This Row],[GBV Old]], 1), "")</f>
        <v/>
      </c>
      <c r="AY754" s="84" t="str">
        <f>IFERROR(ROUND((tblPiNHistorical[[#This Row],[Mine Action New]]-tblPiNHistorical[[#This Row],[Mine Action Old]])/tblPiNHistorical[[#This Row],[Mine Action Old]], 1), "")</f>
        <v/>
      </c>
      <c r="AZ754" s="140" t="str">
        <f>IFERROR(ROUND((tblPiNHistorical[[#This Row],[Shelter NFI New]]-tblPiNHistorical[[#This Row],[Shelter NFI Old]])/tblPiNHistorical[[#This Row],[Shelter NFI Old]], 1), "")</f>
        <v/>
      </c>
      <c r="BA754" s="31" t="str">
        <f>IFERROR(ROUND((tblPiNHistorical[[#This Row],[WASH New]]-tblPiNHistorical[[#This Row],[WASH Old]])/tblPiNHistorical[[#This Row],[WASH Old]], 1), "")</f>
        <v/>
      </c>
    </row>
    <row r="755" spans="1:53" ht="38.25" x14ac:dyDescent="0.25">
      <c r="A755"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Non-displaced PopulationSD09044</v>
      </c>
      <c r="B755" s="134" t="s">
        <v>197</v>
      </c>
      <c r="C755" s="124" t="s">
        <v>126</v>
      </c>
      <c r="D755" s="124" t="s">
        <v>384</v>
      </c>
      <c r="E755" s="59" t="s">
        <v>385</v>
      </c>
      <c r="F755" s="54"/>
      <c r="G755" s="29"/>
      <c r="H755" s="53">
        <v>65492</v>
      </c>
      <c r="I755" s="53" t="s">
        <v>89</v>
      </c>
      <c r="J755" s="34">
        <v>0</v>
      </c>
      <c r="K755" s="116">
        <v>25391.2484</v>
      </c>
      <c r="L755" s="114">
        <v>16373</v>
      </c>
      <c r="M755" s="114">
        <v>835</v>
      </c>
      <c r="N755" s="114">
        <v>26021</v>
      </c>
      <c r="O755" s="114">
        <v>7204.1200000000017</v>
      </c>
      <c r="P755" s="114">
        <v>7204</v>
      </c>
      <c r="Q755" s="114">
        <v>5184</v>
      </c>
      <c r="R755" s="114">
        <v>0</v>
      </c>
      <c r="S755" s="114">
        <v>13098</v>
      </c>
      <c r="T755" s="196">
        <v>41286.156799999997</v>
      </c>
      <c r="U755" s="52" t="str">
        <f>IFERROR(INDEX(tblPiNAnalysis[[Site Management ]], MATCH(tblPiNHistorical[[#This Row],[ID]], tblPiNAnalysis[ID], 0)), "")</f>
        <v/>
      </c>
      <c r="V755" s="52" t="str">
        <f>IFERROR(INDEX(tblPiNAnalysis[Education], MATCH(tblPiNHistorical[[#This Row],[ID]], tblPiNAnalysis[ID], 0)), "")</f>
        <v/>
      </c>
      <c r="W755" s="28" t="str">
        <f>IFERROR(INDEX(tblPiNAnalysis[Food Security and Livlihoods], MATCH(tblPiNHistorical[[#This Row],[ID]], tblPiNAnalysis[ID], 0)), "")</f>
        <v/>
      </c>
      <c r="X755" s="28" t="str">
        <f>IFERROR(INDEX(tblPiNAnalysis[[Health ]], MATCH(tblPiNHistorical[[#This Row],[ID]], tblPiNAnalysis[ID], 0)), "")</f>
        <v/>
      </c>
      <c r="Y755" s="28" t="str">
        <f>IFERROR(INDEX(tblPiNAnalysis[Nutrition], MATCH(tblPiNHistorical[[#This Row],[ID]], tblPiNAnalysis[ID], 0)), "")</f>
        <v/>
      </c>
      <c r="Z755" s="28" t="str">
        <f>IFERROR(INDEX(tblPiNAnalysis[Protection], MATCH(tblPiNHistorical[[#This Row],[ID]], tblPiNAnalysis[ID], 0)), "")</f>
        <v/>
      </c>
      <c r="AA755" s="28" t="str">
        <f>IFERROR(INDEX(tblPiNAnalysis[CP], MATCH(tblPiNHistorical[[#This Row],[ID]], tblPiNAnalysis[ID], 0)), "")</f>
        <v/>
      </c>
      <c r="AB755" s="83" t="str">
        <f>IFERROR(INDEX(tblPiNAnalysis[GBV], MATCH(tblPiNHistorical[[#This Row],[ID]], tblPiNAnalysis[ID], 0)), "")</f>
        <v/>
      </c>
      <c r="AC755" s="28" t="str">
        <f>IFERROR(INDEX(tblPiNAnalysis[Mine Action], MATCH(tblPiNHistorical[[#This Row],[ID]], tblPiNAnalysis[ID], 0)), "")</f>
        <v/>
      </c>
      <c r="AD755" s="83" t="str">
        <f>IFERROR(INDEX(tblPiNAnalysis[[Shelter NFI ]], MATCH(tblPiNHistorical[[#This Row],[ID]], tblPiNAnalysis[ID], 0)), "")</f>
        <v/>
      </c>
      <c r="AE755" s="28" t="str">
        <f>IFERROR(INDEX(tblPiNAnalysis[WASH], MATCH(tblPiNHistorical[[#This Row],[ID]], tblPiNAnalysis[ID], 0)), "")</f>
        <v/>
      </c>
      <c r="AF755"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755" s="136" t="str">
        <f>IF(OR(tblPiNHistorical[[#This Row],[Education Old]]="", tblPiNHistorical[[#This Row],[Education Old]]=0, tblPiNHistorical[[#This Row],[Education New]]="", tblPiNHistorical[[#This Row],[Education New]]=0), "", tblPiNHistorical[[#This Row],[Education New]]-tblPiNHistorical[[#This Row],[Education Old]])</f>
        <v/>
      </c>
      <c r="AH755"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755" s="137" t="str">
        <f>IF(OR(tblPiNHistorical[[#This Row],[Health Old]]="", tblPiNHistorical[[#This Row],[Health Old]]=0, tblPiNHistorical[[#This Row],[Health New]]="", tblPiNHistorical[[#This Row],[Health New]]=0), "", tblPiNHistorical[[#This Row],[Health New]]-tblPiNHistorical[[#This Row],[Health Old]])</f>
        <v/>
      </c>
      <c r="AJ755" s="136" t="str">
        <f>IF(OR(tblPiNHistorical[[#This Row],[Nutrition Old]]="", tblPiNHistorical[[#This Row],[Nutrition Old]]=0, tblPiNHistorical[[#This Row],[Nutrition New]]="", tblPiNHistorical[[#This Row],[Nutrition New]]=0), "", tblPiNHistorical[[#This Row],[Nutrition New]]-tblPiNHistorical[[#This Row],[Nutrition Old]])</f>
        <v/>
      </c>
      <c r="AK755" s="136" t="str">
        <f>IF(OR(tblPiNHistorical[[#This Row],[Protection Old]]="", tblPiNHistorical[[#This Row],[Protection Old]]=0, tblPiNHistorical[[#This Row],[Protection New]]="", tblPiNHistorical[[#This Row],[Protection New]]=0), "", tblPiNHistorical[[#This Row],[Protection New]]-tblPiNHistorical[[#This Row],[Protection Old]])</f>
        <v/>
      </c>
      <c r="AL755" s="136" t="str">
        <f>IF(OR(tblPiNHistorical[[#This Row],[CP Old ]]="", tblPiNHistorical[[#This Row],[CP Old ]]=0, tblPiNHistorical[[#This Row],[CP New]]="", tblPiNHistorical[[#This Row],[CP New]]=0), "", tblPiNHistorical[[#This Row],[CP New]]-tblPiNHistorical[[#This Row],[CP Old ]])</f>
        <v/>
      </c>
      <c r="AM755" s="83" t="str">
        <f>IF(OR(tblPiNHistorical[[#This Row],[GBV Old]]="", tblPiNHistorical[[#This Row],[GBV Old]]=0, tblPiNHistorical[[#This Row],[GBV New]]="", tblPiNHistorical[[#This Row],[GBV New]]=0), "", tblPiNHistorical[[#This Row],[GBV New]]-tblPiNHistorical[[#This Row],[GBV Old]])</f>
        <v/>
      </c>
      <c r="AN755" s="83" t="str">
        <f>IF(OR(tblPiNHistorical[[#This Row],[Mine Action Old]]="", tblPiNHistorical[[#This Row],[Mine Action Old]]=0, tblPiNHistorical[[#This Row],[Mine Action New]]="", tblPiNHistorical[[#This Row],[Mine Action New]]=0), "", tblPiNHistorical[[#This Row],[Mine Action New]]-tblPiNHistorical[[#This Row],[Mine Action Old]])</f>
        <v/>
      </c>
      <c r="AO755" s="136" t="str">
        <f>IF(OR(tblPiNHistorical[[#This Row],[Shelter NFI Old]]="", tblPiNHistorical[[#This Row],[Shelter NFI Old]]=0, tblPiNHistorical[[#This Row],[Shelter NFI New]]="", tblPiNHistorical[[#This Row],[Shelter NFI New]]=0), "", tblPiNHistorical[[#This Row],[Shelter NFI New]]-tblPiNHistorical[[#This Row],[Shelter NFI Old]])</f>
        <v/>
      </c>
      <c r="AP755" s="138" t="str">
        <f>IF(OR(tblPiNHistorical[[#This Row],[WASH Old]]="", tblPiNHistorical[[#This Row],[WASH Old]]=0, tblPiNHistorical[[#This Row],[WASH New]]="", tblPiNHistorical[[#This Row],[WASH New]]=0), "", tblPiNHistorical[[#This Row],[WASH New]]-tblPiNHistorical[[#This Row],[WASH Old]])</f>
        <v/>
      </c>
      <c r="AQ755" s="139" t="str">
        <f>IFERROR(ROUND((tblPiNHistorical[[#This Row],[Site Management - New]] - tblPiNHistorical[[#This Row],[Site Management - Old]])/tblPiNHistorical[[#This Row],[Site Management - Old]], 1), "")</f>
        <v/>
      </c>
      <c r="AR755" s="140" t="str">
        <f>IFERROR(ROUND((tblPiNHistorical[[#This Row],[Education New]]-tblPiNHistorical[[#This Row],[Education Old]])/tblPiNHistorical[[#This Row],[Education Old]], 1), "")</f>
        <v/>
      </c>
      <c r="AS755" s="141" t="str">
        <f>IFERROR(ROUND((tblPiNHistorical[[#This Row],[Food Security and Livlihoods New]]-tblPiNHistorical[[#This Row],[Food Security and Livlihoods Old]])/tblPiNHistorical[[#This Row],[Food Security and Livlihoods Old]], 1), "")</f>
        <v/>
      </c>
      <c r="AT755" s="142" t="str">
        <f>IFERROR(ROUND((tblPiNHistorical[[#This Row],[Health New]]-tblPiNHistorical[[#This Row],[Health Old]])/tblPiNHistorical[[#This Row],[Health Old]], 1), "")</f>
        <v/>
      </c>
      <c r="AU755" s="140" t="str">
        <f>IFERROR(ROUND((tblPiNHistorical[[#This Row],[Nutrition New]]-tblPiNHistorical[[#This Row],[Nutrition Old]])/tblPiNHistorical[[#This Row],[Nutrition Old]], 1), "")</f>
        <v/>
      </c>
      <c r="AV755" s="140" t="str">
        <f>IFERROR(ROUND((tblPiNHistorical[[#This Row],[Protection New]]-tblPiNHistorical[[#This Row],[Protection Old]])/tblPiNHistorical[[#This Row],[Protection Old]], 1), "")</f>
        <v/>
      </c>
      <c r="AW755" s="84" t="str">
        <f>IFERROR(ROUND((tblPiNHistorical[[#This Row],[CP New]]-tblPiNHistorical[[#This Row],[CP Old ]])/tblPiNHistorical[[#This Row],[CP Old ]], 1), "")</f>
        <v/>
      </c>
      <c r="AX755" s="84" t="str">
        <f>IFERROR(ROUND((tblPiNHistorical[[#This Row],[GBV New]]-tblPiNHistorical[[#This Row],[GBV Old]])/tblPiNHistorical[[#This Row],[GBV Old]], 1), "")</f>
        <v/>
      </c>
      <c r="AY755" s="84" t="str">
        <f>IFERROR(ROUND((tblPiNHistorical[[#This Row],[Mine Action New]]-tblPiNHistorical[[#This Row],[Mine Action Old]])/tblPiNHistorical[[#This Row],[Mine Action Old]], 1), "")</f>
        <v/>
      </c>
      <c r="AZ755" s="140" t="str">
        <f>IFERROR(ROUND((tblPiNHistorical[[#This Row],[Shelter NFI New]]-tblPiNHistorical[[#This Row],[Shelter NFI Old]])/tblPiNHistorical[[#This Row],[Shelter NFI Old]], 1), "")</f>
        <v/>
      </c>
      <c r="BA755" s="31" t="str">
        <f>IFERROR(ROUND((tblPiNHistorical[[#This Row],[WASH New]]-tblPiNHistorical[[#This Row],[WASH Old]])/tblPiNHistorical[[#This Row],[WASH Old]], 1), "")</f>
        <v/>
      </c>
    </row>
    <row r="756" spans="1:53" ht="38.25" x14ac:dyDescent="0.25">
      <c r="A756"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Non-displaced PopulationSD09051</v>
      </c>
      <c r="B756" s="134" t="s">
        <v>197</v>
      </c>
      <c r="C756" s="124" t="s">
        <v>126</v>
      </c>
      <c r="D756" s="124" t="s">
        <v>398</v>
      </c>
      <c r="E756" s="59" t="s">
        <v>399</v>
      </c>
      <c r="F756" s="54"/>
      <c r="G756" s="29"/>
      <c r="H756" s="53">
        <v>17922</v>
      </c>
      <c r="I756" s="53" t="s">
        <v>89</v>
      </c>
      <c r="J756" s="34">
        <v>0</v>
      </c>
      <c r="K756" s="116">
        <v>6948.3593999999994</v>
      </c>
      <c r="L756" s="114">
        <v>4480.5</v>
      </c>
      <c r="M756" s="114">
        <v>81075</v>
      </c>
      <c r="N756" s="114">
        <v>24468</v>
      </c>
      <c r="O756" s="114">
        <v>1971.42</v>
      </c>
      <c r="P756" s="114">
        <v>1971</v>
      </c>
      <c r="Q756" s="114">
        <v>1418</v>
      </c>
      <c r="R756" s="114">
        <v>0</v>
      </c>
      <c r="S756" s="114">
        <v>3584</v>
      </c>
      <c r="T756" s="196">
        <v>10977.224999999999</v>
      </c>
      <c r="U756" s="52" t="str">
        <f>IFERROR(INDEX(tblPiNAnalysis[[Site Management ]], MATCH(tblPiNHistorical[[#This Row],[ID]], tblPiNAnalysis[ID], 0)), "")</f>
        <v/>
      </c>
      <c r="V756" s="52" t="str">
        <f>IFERROR(INDEX(tblPiNAnalysis[Education], MATCH(tblPiNHistorical[[#This Row],[ID]], tblPiNAnalysis[ID], 0)), "")</f>
        <v/>
      </c>
      <c r="W756" s="28" t="str">
        <f>IFERROR(INDEX(tblPiNAnalysis[Food Security and Livlihoods], MATCH(tblPiNHistorical[[#This Row],[ID]], tblPiNAnalysis[ID], 0)), "")</f>
        <v/>
      </c>
      <c r="X756" s="28" t="str">
        <f>IFERROR(INDEX(tblPiNAnalysis[[Health ]], MATCH(tblPiNHistorical[[#This Row],[ID]], tblPiNAnalysis[ID], 0)), "")</f>
        <v/>
      </c>
      <c r="Y756" s="28" t="str">
        <f>IFERROR(INDEX(tblPiNAnalysis[Nutrition], MATCH(tblPiNHistorical[[#This Row],[ID]], tblPiNAnalysis[ID], 0)), "")</f>
        <v/>
      </c>
      <c r="Z756" s="28" t="str">
        <f>IFERROR(INDEX(tblPiNAnalysis[Protection], MATCH(tblPiNHistorical[[#This Row],[ID]], tblPiNAnalysis[ID], 0)), "")</f>
        <v/>
      </c>
      <c r="AA756" s="28" t="str">
        <f>IFERROR(INDEX(tblPiNAnalysis[CP], MATCH(tblPiNHistorical[[#This Row],[ID]], tblPiNAnalysis[ID], 0)), "")</f>
        <v/>
      </c>
      <c r="AB756" s="83" t="str">
        <f>IFERROR(INDEX(tblPiNAnalysis[GBV], MATCH(tblPiNHistorical[[#This Row],[ID]], tblPiNAnalysis[ID], 0)), "")</f>
        <v/>
      </c>
      <c r="AC756" s="28" t="str">
        <f>IFERROR(INDEX(tblPiNAnalysis[Mine Action], MATCH(tblPiNHistorical[[#This Row],[ID]], tblPiNAnalysis[ID], 0)), "")</f>
        <v/>
      </c>
      <c r="AD756" s="83" t="str">
        <f>IFERROR(INDEX(tblPiNAnalysis[[Shelter NFI ]], MATCH(tblPiNHistorical[[#This Row],[ID]], tblPiNAnalysis[ID], 0)), "")</f>
        <v/>
      </c>
      <c r="AE756" s="28" t="str">
        <f>IFERROR(INDEX(tblPiNAnalysis[WASH], MATCH(tblPiNHistorical[[#This Row],[ID]], tblPiNAnalysis[ID], 0)), "")</f>
        <v/>
      </c>
      <c r="AF756"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756" s="136" t="str">
        <f>IF(OR(tblPiNHistorical[[#This Row],[Education Old]]="", tblPiNHistorical[[#This Row],[Education Old]]=0, tblPiNHistorical[[#This Row],[Education New]]="", tblPiNHistorical[[#This Row],[Education New]]=0), "", tblPiNHistorical[[#This Row],[Education New]]-tblPiNHistorical[[#This Row],[Education Old]])</f>
        <v/>
      </c>
      <c r="AH756"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756" s="137" t="str">
        <f>IF(OR(tblPiNHistorical[[#This Row],[Health Old]]="", tblPiNHistorical[[#This Row],[Health Old]]=0, tblPiNHistorical[[#This Row],[Health New]]="", tblPiNHistorical[[#This Row],[Health New]]=0), "", tblPiNHistorical[[#This Row],[Health New]]-tblPiNHistorical[[#This Row],[Health Old]])</f>
        <v/>
      </c>
      <c r="AJ756" s="136" t="str">
        <f>IF(OR(tblPiNHistorical[[#This Row],[Nutrition Old]]="", tblPiNHistorical[[#This Row],[Nutrition Old]]=0, tblPiNHistorical[[#This Row],[Nutrition New]]="", tblPiNHistorical[[#This Row],[Nutrition New]]=0), "", tblPiNHistorical[[#This Row],[Nutrition New]]-tblPiNHistorical[[#This Row],[Nutrition Old]])</f>
        <v/>
      </c>
      <c r="AK756" s="136" t="str">
        <f>IF(OR(tblPiNHistorical[[#This Row],[Protection Old]]="", tblPiNHistorical[[#This Row],[Protection Old]]=0, tblPiNHistorical[[#This Row],[Protection New]]="", tblPiNHistorical[[#This Row],[Protection New]]=0), "", tblPiNHistorical[[#This Row],[Protection New]]-tblPiNHistorical[[#This Row],[Protection Old]])</f>
        <v/>
      </c>
      <c r="AL756" s="136" t="str">
        <f>IF(OR(tblPiNHistorical[[#This Row],[CP Old ]]="", tblPiNHistorical[[#This Row],[CP Old ]]=0, tblPiNHistorical[[#This Row],[CP New]]="", tblPiNHistorical[[#This Row],[CP New]]=0), "", tblPiNHistorical[[#This Row],[CP New]]-tblPiNHistorical[[#This Row],[CP Old ]])</f>
        <v/>
      </c>
      <c r="AM756" s="83" t="str">
        <f>IF(OR(tblPiNHistorical[[#This Row],[GBV Old]]="", tblPiNHistorical[[#This Row],[GBV Old]]=0, tblPiNHistorical[[#This Row],[GBV New]]="", tblPiNHistorical[[#This Row],[GBV New]]=0), "", tblPiNHistorical[[#This Row],[GBV New]]-tblPiNHistorical[[#This Row],[GBV Old]])</f>
        <v/>
      </c>
      <c r="AN756" s="83" t="str">
        <f>IF(OR(tblPiNHistorical[[#This Row],[Mine Action Old]]="", tblPiNHistorical[[#This Row],[Mine Action Old]]=0, tblPiNHistorical[[#This Row],[Mine Action New]]="", tblPiNHistorical[[#This Row],[Mine Action New]]=0), "", tblPiNHistorical[[#This Row],[Mine Action New]]-tblPiNHistorical[[#This Row],[Mine Action Old]])</f>
        <v/>
      </c>
      <c r="AO756" s="136" t="str">
        <f>IF(OR(tblPiNHistorical[[#This Row],[Shelter NFI Old]]="", tblPiNHistorical[[#This Row],[Shelter NFI Old]]=0, tblPiNHistorical[[#This Row],[Shelter NFI New]]="", tblPiNHistorical[[#This Row],[Shelter NFI New]]=0), "", tblPiNHistorical[[#This Row],[Shelter NFI New]]-tblPiNHistorical[[#This Row],[Shelter NFI Old]])</f>
        <v/>
      </c>
      <c r="AP756" s="138" t="str">
        <f>IF(OR(tblPiNHistorical[[#This Row],[WASH Old]]="", tblPiNHistorical[[#This Row],[WASH Old]]=0, tblPiNHistorical[[#This Row],[WASH New]]="", tblPiNHistorical[[#This Row],[WASH New]]=0), "", tblPiNHistorical[[#This Row],[WASH New]]-tblPiNHistorical[[#This Row],[WASH Old]])</f>
        <v/>
      </c>
      <c r="AQ756" s="139" t="str">
        <f>IFERROR(ROUND((tblPiNHistorical[[#This Row],[Site Management - New]] - tblPiNHistorical[[#This Row],[Site Management - Old]])/tblPiNHistorical[[#This Row],[Site Management - Old]], 1), "")</f>
        <v/>
      </c>
      <c r="AR756" s="140" t="str">
        <f>IFERROR(ROUND((tblPiNHistorical[[#This Row],[Education New]]-tblPiNHistorical[[#This Row],[Education Old]])/tblPiNHistorical[[#This Row],[Education Old]], 1), "")</f>
        <v/>
      </c>
      <c r="AS756" s="141" t="str">
        <f>IFERROR(ROUND((tblPiNHistorical[[#This Row],[Food Security and Livlihoods New]]-tblPiNHistorical[[#This Row],[Food Security and Livlihoods Old]])/tblPiNHistorical[[#This Row],[Food Security and Livlihoods Old]], 1), "")</f>
        <v/>
      </c>
      <c r="AT756" s="142" t="str">
        <f>IFERROR(ROUND((tblPiNHistorical[[#This Row],[Health New]]-tblPiNHistorical[[#This Row],[Health Old]])/tblPiNHistorical[[#This Row],[Health Old]], 1), "")</f>
        <v/>
      </c>
      <c r="AU756" s="140" t="str">
        <f>IFERROR(ROUND((tblPiNHistorical[[#This Row],[Nutrition New]]-tblPiNHistorical[[#This Row],[Nutrition Old]])/tblPiNHistorical[[#This Row],[Nutrition Old]], 1), "")</f>
        <v/>
      </c>
      <c r="AV756" s="140" t="str">
        <f>IFERROR(ROUND((tblPiNHistorical[[#This Row],[Protection New]]-tblPiNHistorical[[#This Row],[Protection Old]])/tblPiNHistorical[[#This Row],[Protection Old]], 1), "")</f>
        <v/>
      </c>
      <c r="AW756" s="84" t="str">
        <f>IFERROR(ROUND((tblPiNHistorical[[#This Row],[CP New]]-tblPiNHistorical[[#This Row],[CP Old ]])/tblPiNHistorical[[#This Row],[CP Old ]], 1), "")</f>
        <v/>
      </c>
      <c r="AX756" s="84" t="str">
        <f>IFERROR(ROUND((tblPiNHistorical[[#This Row],[GBV New]]-tblPiNHistorical[[#This Row],[GBV Old]])/tblPiNHistorical[[#This Row],[GBV Old]], 1), "")</f>
        <v/>
      </c>
      <c r="AY756" s="84" t="str">
        <f>IFERROR(ROUND((tblPiNHistorical[[#This Row],[Mine Action New]]-tblPiNHistorical[[#This Row],[Mine Action Old]])/tblPiNHistorical[[#This Row],[Mine Action Old]], 1), "")</f>
        <v/>
      </c>
      <c r="AZ756" s="140" t="str">
        <f>IFERROR(ROUND((tblPiNHistorical[[#This Row],[Shelter NFI New]]-tblPiNHistorical[[#This Row],[Shelter NFI Old]])/tblPiNHistorical[[#This Row],[Shelter NFI Old]], 1), "")</f>
        <v/>
      </c>
      <c r="BA756" s="31" t="str">
        <f>IFERROR(ROUND((tblPiNHistorical[[#This Row],[WASH New]]-tblPiNHistorical[[#This Row],[WASH Old]])/tblPiNHistorical[[#This Row],[WASH Old]], 1), "")</f>
        <v/>
      </c>
    </row>
    <row r="757" spans="1:53" ht="38.25" x14ac:dyDescent="0.25">
      <c r="A757"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Non-displaced PopulationSD09050</v>
      </c>
      <c r="B757" s="134" t="s">
        <v>197</v>
      </c>
      <c r="C757" s="124" t="s">
        <v>126</v>
      </c>
      <c r="D757" s="124" t="s">
        <v>396</v>
      </c>
      <c r="E757" s="59" t="s">
        <v>397</v>
      </c>
      <c r="F757" s="54"/>
      <c r="G757" s="29"/>
      <c r="H757" s="53">
        <v>0</v>
      </c>
      <c r="I757" s="53" t="s">
        <v>89</v>
      </c>
      <c r="J757" s="34">
        <v>0</v>
      </c>
      <c r="K757" s="116">
        <v>0</v>
      </c>
      <c r="L757" s="114">
        <v>0</v>
      </c>
      <c r="M757" s="114">
        <v>475</v>
      </c>
      <c r="N757" s="114">
        <v>10295</v>
      </c>
      <c r="O757" s="114">
        <v>0</v>
      </c>
      <c r="P757" s="114">
        <v>0</v>
      </c>
      <c r="Q757" s="114">
        <v>0</v>
      </c>
      <c r="R757" s="114">
        <v>0</v>
      </c>
      <c r="S757" s="114">
        <v>0</v>
      </c>
      <c r="T757" s="196">
        <v>0</v>
      </c>
      <c r="U757" s="52" t="str">
        <f>IFERROR(INDEX(tblPiNAnalysis[[Site Management ]], MATCH(tblPiNHistorical[[#This Row],[ID]], tblPiNAnalysis[ID], 0)), "")</f>
        <v/>
      </c>
      <c r="V757" s="52" t="str">
        <f>IFERROR(INDEX(tblPiNAnalysis[Education], MATCH(tblPiNHistorical[[#This Row],[ID]], tblPiNAnalysis[ID], 0)), "")</f>
        <v/>
      </c>
      <c r="W757" s="28" t="str">
        <f>IFERROR(INDEX(tblPiNAnalysis[Food Security and Livlihoods], MATCH(tblPiNHistorical[[#This Row],[ID]], tblPiNAnalysis[ID], 0)), "")</f>
        <v/>
      </c>
      <c r="X757" s="28" t="str">
        <f>IFERROR(INDEX(tblPiNAnalysis[[Health ]], MATCH(tblPiNHistorical[[#This Row],[ID]], tblPiNAnalysis[ID], 0)), "")</f>
        <v/>
      </c>
      <c r="Y757" s="28" t="str">
        <f>IFERROR(INDEX(tblPiNAnalysis[Nutrition], MATCH(tblPiNHistorical[[#This Row],[ID]], tblPiNAnalysis[ID], 0)), "")</f>
        <v/>
      </c>
      <c r="Z757" s="28" t="str">
        <f>IFERROR(INDEX(tblPiNAnalysis[Protection], MATCH(tblPiNHistorical[[#This Row],[ID]], tblPiNAnalysis[ID], 0)), "")</f>
        <v/>
      </c>
      <c r="AA757" s="28" t="str">
        <f>IFERROR(INDEX(tblPiNAnalysis[CP], MATCH(tblPiNHistorical[[#This Row],[ID]], tblPiNAnalysis[ID], 0)), "")</f>
        <v/>
      </c>
      <c r="AB757" s="83" t="str">
        <f>IFERROR(INDEX(tblPiNAnalysis[GBV], MATCH(tblPiNHistorical[[#This Row],[ID]], tblPiNAnalysis[ID], 0)), "")</f>
        <v/>
      </c>
      <c r="AC757" s="28" t="str">
        <f>IFERROR(INDEX(tblPiNAnalysis[Mine Action], MATCH(tblPiNHistorical[[#This Row],[ID]], tblPiNAnalysis[ID], 0)), "")</f>
        <v/>
      </c>
      <c r="AD757" s="83" t="str">
        <f>IFERROR(INDEX(tblPiNAnalysis[[Shelter NFI ]], MATCH(tblPiNHistorical[[#This Row],[ID]], tblPiNAnalysis[ID], 0)), "")</f>
        <v/>
      </c>
      <c r="AE757" s="28" t="str">
        <f>IFERROR(INDEX(tblPiNAnalysis[WASH], MATCH(tblPiNHistorical[[#This Row],[ID]], tblPiNAnalysis[ID], 0)), "")</f>
        <v/>
      </c>
      <c r="AF757"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757" s="136" t="str">
        <f>IF(OR(tblPiNHistorical[[#This Row],[Education Old]]="", tblPiNHistorical[[#This Row],[Education Old]]=0, tblPiNHistorical[[#This Row],[Education New]]="", tblPiNHistorical[[#This Row],[Education New]]=0), "", tblPiNHistorical[[#This Row],[Education New]]-tblPiNHistorical[[#This Row],[Education Old]])</f>
        <v/>
      </c>
      <c r="AH757"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757" s="137" t="str">
        <f>IF(OR(tblPiNHistorical[[#This Row],[Health Old]]="", tblPiNHistorical[[#This Row],[Health Old]]=0, tblPiNHistorical[[#This Row],[Health New]]="", tblPiNHistorical[[#This Row],[Health New]]=0), "", tblPiNHistorical[[#This Row],[Health New]]-tblPiNHistorical[[#This Row],[Health Old]])</f>
        <v/>
      </c>
      <c r="AJ757" s="136" t="str">
        <f>IF(OR(tblPiNHistorical[[#This Row],[Nutrition Old]]="", tblPiNHistorical[[#This Row],[Nutrition Old]]=0, tblPiNHistorical[[#This Row],[Nutrition New]]="", tblPiNHistorical[[#This Row],[Nutrition New]]=0), "", tblPiNHistorical[[#This Row],[Nutrition New]]-tblPiNHistorical[[#This Row],[Nutrition Old]])</f>
        <v/>
      </c>
      <c r="AK757" s="136" t="str">
        <f>IF(OR(tblPiNHistorical[[#This Row],[Protection Old]]="", tblPiNHistorical[[#This Row],[Protection Old]]=0, tblPiNHistorical[[#This Row],[Protection New]]="", tblPiNHistorical[[#This Row],[Protection New]]=0), "", tblPiNHistorical[[#This Row],[Protection New]]-tblPiNHistorical[[#This Row],[Protection Old]])</f>
        <v/>
      </c>
      <c r="AL757" s="136" t="str">
        <f>IF(OR(tblPiNHistorical[[#This Row],[CP Old ]]="", tblPiNHistorical[[#This Row],[CP Old ]]=0, tblPiNHistorical[[#This Row],[CP New]]="", tblPiNHistorical[[#This Row],[CP New]]=0), "", tblPiNHistorical[[#This Row],[CP New]]-tblPiNHistorical[[#This Row],[CP Old ]])</f>
        <v/>
      </c>
      <c r="AM757" s="83" t="str">
        <f>IF(OR(tblPiNHistorical[[#This Row],[GBV Old]]="", tblPiNHistorical[[#This Row],[GBV Old]]=0, tblPiNHistorical[[#This Row],[GBV New]]="", tblPiNHistorical[[#This Row],[GBV New]]=0), "", tblPiNHistorical[[#This Row],[GBV New]]-tblPiNHistorical[[#This Row],[GBV Old]])</f>
        <v/>
      </c>
      <c r="AN757" s="83" t="str">
        <f>IF(OR(tblPiNHistorical[[#This Row],[Mine Action Old]]="", tblPiNHistorical[[#This Row],[Mine Action Old]]=0, tblPiNHistorical[[#This Row],[Mine Action New]]="", tblPiNHistorical[[#This Row],[Mine Action New]]=0), "", tblPiNHistorical[[#This Row],[Mine Action New]]-tblPiNHistorical[[#This Row],[Mine Action Old]])</f>
        <v/>
      </c>
      <c r="AO757" s="136" t="str">
        <f>IF(OR(tblPiNHistorical[[#This Row],[Shelter NFI Old]]="", tblPiNHistorical[[#This Row],[Shelter NFI Old]]=0, tblPiNHistorical[[#This Row],[Shelter NFI New]]="", tblPiNHistorical[[#This Row],[Shelter NFI New]]=0), "", tblPiNHistorical[[#This Row],[Shelter NFI New]]-tblPiNHistorical[[#This Row],[Shelter NFI Old]])</f>
        <v/>
      </c>
      <c r="AP757" s="138" t="str">
        <f>IF(OR(tblPiNHistorical[[#This Row],[WASH Old]]="", tblPiNHistorical[[#This Row],[WASH Old]]=0, tblPiNHistorical[[#This Row],[WASH New]]="", tblPiNHistorical[[#This Row],[WASH New]]=0), "", tblPiNHistorical[[#This Row],[WASH New]]-tblPiNHistorical[[#This Row],[WASH Old]])</f>
        <v/>
      </c>
      <c r="AQ757" s="139" t="str">
        <f>IFERROR(ROUND((tblPiNHistorical[[#This Row],[Site Management - New]] - tblPiNHistorical[[#This Row],[Site Management - Old]])/tblPiNHistorical[[#This Row],[Site Management - Old]], 1), "")</f>
        <v/>
      </c>
      <c r="AR757" s="140" t="str">
        <f>IFERROR(ROUND((tblPiNHistorical[[#This Row],[Education New]]-tblPiNHistorical[[#This Row],[Education Old]])/tblPiNHistorical[[#This Row],[Education Old]], 1), "")</f>
        <v/>
      </c>
      <c r="AS757" s="141" t="str">
        <f>IFERROR(ROUND((tblPiNHistorical[[#This Row],[Food Security and Livlihoods New]]-tblPiNHistorical[[#This Row],[Food Security and Livlihoods Old]])/tblPiNHistorical[[#This Row],[Food Security and Livlihoods Old]], 1), "")</f>
        <v/>
      </c>
      <c r="AT757" s="142" t="str">
        <f>IFERROR(ROUND((tblPiNHistorical[[#This Row],[Health New]]-tblPiNHistorical[[#This Row],[Health Old]])/tblPiNHistorical[[#This Row],[Health Old]], 1), "")</f>
        <v/>
      </c>
      <c r="AU757" s="140" t="str">
        <f>IFERROR(ROUND((tblPiNHistorical[[#This Row],[Nutrition New]]-tblPiNHistorical[[#This Row],[Nutrition Old]])/tblPiNHistorical[[#This Row],[Nutrition Old]], 1), "")</f>
        <v/>
      </c>
      <c r="AV757" s="140" t="str">
        <f>IFERROR(ROUND((tblPiNHistorical[[#This Row],[Protection New]]-tblPiNHistorical[[#This Row],[Protection Old]])/tblPiNHistorical[[#This Row],[Protection Old]], 1), "")</f>
        <v/>
      </c>
      <c r="AW757" s="84" t="str">
        <f>IFERROR(ROUND((tblPiNHistorical[[#This Row],[CP New]]-tblPiNHistorical[[#This Row],[CP Old ]])/tblPiNHistorical[[#This Row],[CP Old ]], 1), "")</f>
        <v/>
      </c>
      <c r="AX757" s="84" t="str">
        <f>IFERROR(ROUND((tblPiNHistorical[[#This Row],[GBV New]]-tblPiNHistorical[[#This Row],[GBV Old]])/tblPiNHistorical[[#This Row],[GBV Old]], 1), "")</f>
        <v/>
      </c>
      <c r="AY757" s="84" t="str">
        <f>IFERROR(ROUND((tblPiNHistorical[[#This Row],[Mine Action New]]-tblPiNHistorical[[#This Row],[Mine Action Old]])/tblPiNHistorical[[#This Row],[Mine Action Old]], 1), "")</f>
        <v/>
      </c>
      <c r="AZ757" s="140" t="str">
        <f>IFERROR(ROUND((tblPiNHistorical[[#This Row],[Shelter NFI New]]-tblPiNHistorical[[#This Row],[Shelter NFI Old]])/tblPiNHistorical[[#This Row],[Shelter NFI Old]], 1), "")</f>
        <v/>
      </c>
      <c r="BA757" s="31" t="str">
        <f>IFERROR(ROUND((tblPiNHistorical[[#This Row],[WASH New]]-tblPiNHistorical[[#This Row],[WASH Old]])/tblPiNHistorical[[#This Row],[WASH Old]], 1), "")</f>
        <v/>
      </c>
    </row>
    <row r="758" spans="1:53" ht="38.25" x14ac:dyDescent="0.25">
      <c r="A758"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Non-displaced PopulationSD09049</v>
      </c>
      <c r="B758" s="134" t="s">
        <v>197</v>
      </c>
      <c r="C758" s="124" t="s">
        <v>126</v>
      </c>
      <c r="D758" s="124" t="s">
        <v>394</v>
      </c>
      <c r="E758" s="59" t="s">
        <v>395</v>
      </c>
      <c r="F758" s="54"/>
      <c r="G758" s="29"/>
      <c r="H758" s="53">
        <v>71831</v>
      </c>
      <c r="I758" s="53" t="s">
        <v>89</v>
      </c>
      <c r="J758" s="34">
        <v>0</v>
      </c>
      <c r="K758" s="116">
        <v>27848.878699999997</v>
      </c>
      <c r="L758" s="114">
        <v>21549.3</v>
      </c>
      <c r="M758" s="114">
        <v>13462</v>
      </c>
      <c r="N758" s="114">
        <v>25960</v>
      </c>
      <c r="O758" s="114">
        <v>7901.4100000000008</v>
      </c>
      <c r="P758" s="114">
        <v>7901</v>
      </c>
      <c r="Q758" s="114">
        <v>5686</v>
      </c>
      <c r="R758" s="114">
        <v>0</v>
      </c>
      <c r="S758" s="114">
        <v>14366</v>
      </c>
      <c r="T758" s="196">
        <v>66149.1679</v>
      </c>
      <c r="U758" s="52" t="str">
        <f>IFERROR(INDEX(tblPiNAnalysis[[Site Management ]], MATCH(tblPiNHistorical[[#This Row],[ID]], tblPiNAnalysis[ID], 0)), "")</f>
        <v/>
      </c>
      <c r="V758" s="52" t="str">
        <f>IFERROR(INDEX(tblPiNAnalysis[Education], MATCH(tblPiNHistorical[[#This Row],[ID]], tblPiNAnalysis[ID], 0)), "")</f>
        <v/>
      </c>
      <c r="W758" s="28" t="str">
        <f>IFERROR(INDEX(tblPiNAnalysis[Food Security and Livlihoods], MATCH(tblPiNHistorical[[#This Row],[ID]], tblPiNAnalysis[ID], 0)), "")</f>
        <v/>
      </c>
      <c r="X758" s="28" t="str">
        <f>IFERROR(INDEX(tblPiNAnalysis[[Health ]], MATCH(tblPiNHistorical[[#This Row],[ID]], tblPiNAnalysis[ID], 0)), "")</f>
        <v/>
      </c>
      <c r="Y758" s="28" t="str">
        <f>IFERROR(INDEX(tblPiNAnalysis[Nutrition], MATCH(tblPiNHistorical[[#This Row],[ID]], tblPiNAnalysis[ID], 0)), "")</f>
        <v/>
      </c>
      <c r="Z758" s="28" t="str">
        <f>IFERROR(INDEX(tblPiNAnalysis[Protection], MATCH(tblPiNHistorical[[#This Row],[ID]], tblPiNAnalysis[ID], 0)), "")</f>
        <v/>
      </c>
      <c r="AA758" s="28" t="str">
        <f>IFERROR(INDEX(tblPiNAnalysis[CP], MATCH(tblPiNHistorical[[#This Row],[ID]], tblPiNAnalysis[ID], 0)), "")</f>
        <v/>
      </c>
      <c r="AB758" s="83" t="str">
        <f>IFERROR(INDEX(tblPiNAnalysis[GBV], MATCH(tblPiNHistorical[[#This Row],[ID]], tblPiNAnalysis[ID], 0)), "")</f>
        <v/>
      </c>
      <c r="AC758" s="28" t="str">
        <f>IFERROR(INDEX(tblPiNAnalysis[Mine Action], MATCH(tblPiNHistorical[[#This Row],[ID]], tblPiNAnalysis[ID], 0)), "")</f>
        <v/>
      </c>
      <c r="AD758" s="83" t="str">
        <f>IFERROR(INDEX(tblPiNAnalysis[[Shelter NFI ]], MATCH(tblPiNHistorical[[#This Row],[ID]], tblPiNAnalysis[ID], 0)), "")</f>
        <v/>
      </c>
      <c r="AE758" s="28" t="str">
        <f>IFERROR(INDEX(tblPiNAnalysis[WASH], MATCH(tblPiNHistorical[[#This Row],[ID]], tblPiNAnalysis[ID], 0)), "")</f>
        <v/>
      </c>
      <c r="AF758"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758" s="136" t="str">
        <f>IF(OR(tblPiNHistorical[[#This Row],[Education Old]]="", tblPiNHistorical[[#This Row],[Education Old]]=0, tblPiNHistorical[[#This Row],[Education New]]="", tblPiNHistorical[[#This Row],[Education New]]=0), "", tblPiNHistorical[[#This Row],[Education New]]-tblPiNHistorical[[#This Row],[Education Old]])</f>
        <v/>
      </c>
      <c r="AH758"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758" s="137" t="str">
        <f>IF(OR(tblPiNHistorical[[#This Row],[Health Old]]="", tblPiNHistorical[[#This Row],[Health Old]]=0, tblPiNHistorical[[#This Row],[Health New]]="", tblPiNHistorical[[#This Row],[Health New]]=0), "", tblPiNHistorical[[#This Row],[Health New]]-tblPiNHistorical[[#This Row],[Health Old]])</f>
        <v/>
      </c>
      <c r="AJ758" s="136" t="str">
        <f>IF(OR(tblPiNHistorical[[#This Row],[Nutrition Old]]="", tblPiNHistorical[[#This Row],[Nutrition Old]]=0, tblPiNHistorical[[#This Row],[Nutrition New]]="", tblPiNHistorical[[#This Row],[Nutrition New]]=0), "", tblPiNHistorical[[#This Row],[Nutrition New]]-tblPiNHistorical[[#This Row],[Nutrition Old]])</f>
        <v/>
      </c>
      <c r="AK758" s="136" t="str">
        <f>IF(OR(tblPiNHistorical[[#This Row],[Protection Old]]="", tblPiNHistorical[[#This Row],[Protection Old]]=0, tblPiNHistorical[[#This Row],[Protection New]]="", tblPiNHistorical[[#This Row],[Protection New]]=0), "", tblPiNHistorical[[#This Row],[Protection New]]-tblPiNHistorical[[#This Row],[Protection Old]])</f>
        <v/>
      </c>
      <c r="AL758" s="136" t="str">
        <f>IF(OR(tblPiNHistorical[[#This Row],[CP Old ]]="", tblPiNHistorical[[#This Row],[CP Old ]]=0, tblPiNHistorical[[#This Row],[CP New]]="", tblPiNHistorical[[#This Row],[CP New]]=0), "", tblPiNHistorical[[#This Row],[CP New]]-tblPiNHistorical[[#This Row],[CP Old ]])</f>
        <v/>
      </c>
      <c r="AM758" s="83" t="str">
        <f>IF(OR(tblPiNHistorical[[#This Row],[GBV Old]]="", tblPiNHistorical[[#This Row],[GBV Old]]=0, tblPiNHistorical[[#This Row],[GBV New]]="", tblPiNHistorical[[#This Row],[GBV New]]=0), "", tblPiNHistorical[[#This Row],[GBV New]]-tblPiNHistorical[[#This Row],[GBV Old]])</f>
        <v/>
      </c>
      <c r="AN758" s="83" t="str">
        <f>IF(OR(tblPiNHistorical[[#This Row],[Mine Action Old]]="", tblPiNHistorical[[#This Row],[Mine Action Old]]=0, tblPiNHistorical[[#This Row],[Mine Action New]]="", tblPiNHistorical[[#This Row],[Mine Action New]]=0), "", tblPiNHistorical[[#This Row],[Mine Action New]]-tblPiNHistorical[[#This Row],[Mine Action Old]])</f>
        <v/>
      </c>
      <c r="AO758" s="136" t="str">
        <f>IF(OR(tblPiNHistorical[[#This Row],[Shelter NFI Old]]="", tblPiNHistorical[[#This Row],[Shelter NFI Old]]=0, tblPiNHistorical[[#This Row],[Shelter NFI New]]="", tblPiNHistorical[[#This Row],[Shelter NFI New]]=0), "", tblPiNHistorical[[#This Row],[Shelter NFI New]]-tblPiNHistorical[[#This Row],[Shelter NFI Old]])</f>
        <v/>
      </c>
      <c r="AP758" s="138" t="str">
        <f>IF(OR(tblPiNHistorical[[#This Row],[WASH Old]]="", tblPiNHistorical[[#This Row],[WASH Old]]=0, tblPiNHistorical[[#This Row],[WASH New]]="", tblPiNHistorical[[#This Row],[WASH New]]=0), "", tblPiNHistorical[[#This Row],[WASH New]]-tblPiNHistorical[[#This Row],[WASH Old]])</f>
        <v/>
      </c>
      <c r="AQ758" s="139" t="str">
        <f>IFERROR(ROUND((tblPiNHistorical[[#This Row],[Site Management - New]] - tblPiNHistorical[[#This Row],[Site Management - Old]])/tblPiNHistorical[[#This Row],[Site Management - Old]], 1), "")</f>
        <v/>
      </c>
      <c r="AR758" s="140" t="str">
        <f>IFERROR(ROUND((tblPiNHistorical[[#This Row],[Education New]]-tblPiNHistorical[[#This Row],[Education Old]])/tblPiNHistorical[[#This Row],[Education Old]], 1), "")</f>
        <v/>
      </c>
      <c r="AS758" s="141" t="str">
        <f>IFERROR(ROUND((tblPiNHistorical[[#This Row],[Food Security and Livlihoods New]]-tblPiNHistorical[[#This Row],[Food Security and Livlihoods Old]])/tblPiNHistorical[[#This Row],[Food Security and Livlihoods Old]], 1), "")</f>
        <v/>
      </c>
      <c r="AT758" s="142" t="str">
        <f>IFERROR(ROUND((tblPiNHistorical[[#This Row],[Health New]]-tblPiNHistorical[[#This Row],[Health Old]])/tblPiNHistorical[[#This Row],[Health Old]], 1), "")</f>
        <v/>
      </c>
      <c r="AU758" s="140" t="str">
        <f>IFERROR(ROUND((tblPiNHistorical[[#This Row],[Nutrition New]]-tblPiNHistorical[[#This Row],[Nutrition Old]])/tblPiNHistorical[[#This Row],[Nutrition Old]], 1), "")</f>
        <v/>
      </c>
      <c r="AV758" s="140" t="str">
        <f>IFERROR(ROUND((tblPiNHistorical[[#This Row],[Protection New]]-tblPiNHistorical[[#This Row],[Protection Old]])/tblPiNHistorical[[#This Row],[Protection Old]], 1), "")</f>
        <v/>
      </c>
      <c r="AW758" s="84" t="str">
        <f>IFERROR(ROUND((tblPiNHistorical[[#This Row],[CP New]]-tblPiNHistorical[[#This Row],[CP Old ]])/tblPiNHistorical[[#This Row],[CP Old ]], 1), "")</f>
        <v/>
      </c>
      <c r="AX758" s="84" t="str">
        <f>IFERROR(ROUND((tblPiNHistorical[[#This Row],[GBV New]]-tblPiNHistorical[[#This Row],[GBV Old]])/tblPiNHistorical[[#This Row],[GBV Old]], 1), "")</f>
        <v/>
      </c>
      <c r="AY758" s="84" t="str">
        <f>IFERROR(ROUND((tblPiNHistorical[[#This Row],[Mine Action New]]-tblPiNHistorical[[#This Row],[Mine Action Old]])/tblPiNHistorical[[#This Row],[Mine Action Old]], 1), "")</f>
        <v/>
      </c>
      <c r="AZ758" s="140" t="str">
        <f>IFERROR(ROUND((tblPiNHistorical[[#This Row],[Shelter NFI New]]-tblPiNHistorical[[#This Row],[Shelter NFI Old]])/tblPiNHistorical[[#This Row],[Shelter NFI Old]], 1), "")</f>
        <v/>
      </c>
      <c r="BA758" s="31" t="str">
        <f>IFERROR(ROUND((tblPiNHistorical[[#This Row],[WASH New]]-tblPiNHistorical[[#This Row],[WASH Old]])/tblPiNHistorical[[#This Row],[WASH Old]], 1), "")</f>
        <v/>
      </c>
    </row>
    <row r="759" spans="1:53" ht="38.25" x14ac:dyDescent="0.25">
      <c r="A759"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Non-displaced PopulationSD09052</v>
      </c>
      <c r="B759" s="134" t="s">
        <v>197</v>
      </c>
      <c r="C759" s="124" t="s">
        <v>126</v>
      </c>
      <c r="D759" s="124" t="s">
        <v>400</v>
      </c>
      <c r="E759" s="59" t="s">
        <v>401</v>
      </c>
      <c r="F759" s="54"/>
      <c r="G759" s="29"/>
      <c r="H759" s="53">
        <v>0</v>
      </c>
      <c r="I759" s="53" t="s">
        <v>89</v>
      </c>
      <c r="J759" s="34">
        <v>0</v>
      </c>
      <c r="K759" s="116">
        <v>0</v>
      </c>
      <c r="L759" s="114">
        <v>0</v>
      </c>
      <c r="M759" s="114">
        <v>16555</v>
      </c>
      <c r="N759" s="114">
        <v>1645</v>
      </c>
      <c r="O759" s="114">
        <v>0</v>
      </c>
      <c r="P759" s="114">
        <v>0</v>
      </c>
      <c r="Q759" s="114">
        <v>0</v>
      </c>
      <c r="R759" s="114">
        <v>0</v>
      </c>
      <c r="S759" s="114">
        <v>0</v>
      </c>
      <c r="T759" s="196">
        <v>0</v>
      </c>
      <c r="U759" s="52" t="str">
        <f>IFERROR(INDEX(tblPiNAnalysis[[Site Management ]], MATCH(tblPiNHistorical[[#This Row],[ID]], tblPiNAnalysis[ID], 0)), "")</f>
        <v/>
      </c>
      <c r="V759" s="52" t="str">
        <f>IFERROR(INDEX(tblPiNAnalysis[Education], MATCH(tblPiNHistorical[[#This Row],[ID]], tblPiNAnalysis[ID], 0)), "")</f>
        <v/>
      </c>
      <c r="W759" s="28" t="str">
        <f>IFERROR(INDEX(tblPiNAnalysis[Food Security and Livlihoods], MATCH(tblPiNHistorical[[#This Row],[ID]], tblPiNAnalysis[ID], 0)), "")</f>
        <v/>
      </c>
      <c r="X759" s="28" t="str">
        <f>IFERROR(INDEX(tblPiNAnalysis[[Health ]], MATCH(tblPiNHistorical[[#This Row],[ID]], tblPiNAnalysis[ID], 0)), "")</f>
        <v/>
      </c>
      <c r="Y759" s="28" t="str">
        <f>IFERROR(INDEX(tblPiNAnalysis[Nutrition], MATCH(tblPiNHistorical[[#This Row],[ID]], tblPiNAnalysis[ID], 0)), "")</f>
        <v/>
      </c>
      <c r="Z759" s="28" t="str">
        <f>IFERROR(INDEX(tblPiNAnalysis[Protection], MATCH(tblPiNHistorical[[#This Row],[ID]], tblPiNAnalysis[ID], 0)), "")</f>
        <v/>
      </c>
      <c r="AA759" s="28" t="str">
        <f>IFERROR(INDEX(tblPiNAnalysis[CP], MATCH(tblPiNHistorical[[#This Row],[ID]], tblPiNAnalysis[ID], 0)), "")</f>
        <v/>
      </c>
      <c r="AB759" s="83" t="str">
        <f>IFERROR(INDEX(tblPiNAnalysis[GBV], MATCH(tblPiNHistorical[[#This Row],[ID]], tblPiNAnalysis[ID], 0)), "")</f>
        <v/>
      </c>
      <c r="AC759" s="28" t="str">
        <f>IFERROR(INDEX(tblPiNAnalysis[Mine Action], MATCH(tblPiNHistorical[[#This Row],[ID]], tblPiNAnalysis[ID], 0)), "")</f>
        <v/>
      </c>
      <c r="AD759" s="83" t="str">
        <f>IFERROR(INDEX(tblPiNAnalysis[[Shelter NFI ]], MATCH(tblPiNHistorical[[#This Row],[ID]], tblPiNAnalysis[ID], 0)), "")</f>
        <v/>
      </c>
      <c r="AE759" s="28" t="str">
        <f>IFERROR(INDEX(tblPiNAnalysis[WASH], MATCH(tblPiNHistorical[[#This Row],[ID]], tblPiNAnalysis[ID], 0)), "")</f>
        <v/>
      </c>
      <c r="AF759"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759" s="136" t="str">
        <f>IF(OR(tblPiNHistorical[[#This Row],[Education Old]]="", tblPiNHistorical[[#This Row],[Education Old]]=0, tblPiNHistorical[[#This Row],[Education New]]="", tblPiNHistorical[[#This Row],[Education New]]=0), "", tblPiNHistorical[[#This Row],[Education New]]-tblPiNHistorical[[#This Row],[Education Old]])</f>
        <v/>
      </c>
      <c r="AH759"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759" s="137" t="str">
        <f>IF(OR(tblPiNHistorical[[#This Row],[Health Old]]="", tblPiNHistorical[[#This Row],[Health Old]]=0, tblPiNHistorical[[#This Row],[Health New]]="", tblPiNHistorical[[#This Row],[Health New]]=0), "", tblPiNHistorical[[#This Row],[Health New]]-tblPiNHistorical[[#This Row],[Health Old]])</f>
        <v/>
      </c>
      <c r="AJ759" s="136" t="str">
        <f>IF(OR(tblPiNHistorical[[#This Row],[Nutrition Old]]="", tblPiNHistorical[[#This Row],[Nutrition Old]]=0, tblPiNHistorical[[#This Row],[Nutrition New]]="", tblPiNHistorical[[#This Row],[Nutrition New]]=0), "", tblPiNHistorical[[#This Row],[Nutrition New]]-tblPiNHistorical[[#This Row],[Nutrition Old]])</f>
        <v/>
      </c>
      <c r="AK759" s="136" t="str">
        <f>IF(OR(tblPiNHistorical[[#This Row],[Protection Old]]="", tblPiNHistorical[[#This Row],[Protection Old]]=0, tblPiNHistorical[[#This Row],[Protection New]]="", tblPiNHistorical[[#This Row],[Protection New]]=0), "", tblPiNHistorical[[#This Row],[Protection New]]-tblPiNHistorical[[#This Row],[Protection Old]])</f>
        <v/>
      </c>
      <c r="AL759" s="136" t="str">
        <f>IF(OR(tblPiNHistorical[[#This Row],[CP Old ]]="", tblPiNHistorical[[#This Row],[CP Old ]]=0, tblPiNHistorical[[#This Row],[CP New]]="", tblPiNHistorical[[#This Row],[CP New]]=0), "", tblPiNHistorical[[#This Row],[CP New]]-tblPiNHistorical[[#This Row],[CP Old ]])</f>
        <v/>
      </c>
      <c r="AM759" s="83" t="str">
        <f>IF(OR(tblPiNHistorical[[#This Row],[GBV Old]]="", tblPiNHistorical[[#This Row],[GBV Old]]=0, tblPiNHistorical[[#This Row],[GBV New]]="", tblPiNHistorical[[#This Row],[GBV New]]=0), "", tblPiNHistorical[[#This Row],[GBV New]]-tblPiNHistorical[[#This Row],[GBV Old]])</f>
        <v/>
      </c>
      <c r="AN759" s="83" t="str">
        <f>IF(OR(tblPiNHistorical[[#This Row],[Mine Action Old]]="", tblPiNHistorical[[#This Row],[Mine Action Old]]=0, tblPiNHistorical[[#This Row],[Mine Action New]]="", tblPiNHistorical[[#This Row],[Mine Action New]]=0), "", tblPiNHistorical[[#This Row],[Mine Action New]]-tblPiNHistorical[[#This Row],[Mine Action Old]])</f>
        <v/>
      </c>
      <c r="AO759" s="136" t="str">
        <f>IF(OR(tblPiNHistorical[[#This Row],[Shelter NFI Old]]="", tblPiNHistorical[[#This Row],[Shelter NFI Old]]=0, tblPiNHistorical[[#This Row],[Shelter NFI New]]="", tblPiNHistorical[[#This Row],[Shelter NFI New]]=0), "", tblPiNHistorical[[#This Row],[Shelter NFI New]]-tblPiNHistorical[[#This Row],[Shelter NFI Old]])</f>
        <v/>
      </c>
      <c r="AP759" s="138" t="str">
        <f>IF(OR(tblPiNHistorical[[#This Row],[WASH Old]]="", tblPiNHistorical[[#This Row],[WASH Old]]=0, tblPiNHistorical[[#This Row],[WASH New]]="", tblPiNHistorical[[#This Row],[WASH New]]=0), "", tblPiNHistorical[[#This Row],[WASH New]]-tblPiNHistorical[[#This Row],[WASH Old]])</f>
        <v/>
      </c>
      <c r="AQ759" s="139" t="str">
        <f>IFERROR(ROUND((tblPiNHistorical[[#This Row],[Site Management - New]] - tblPiNHistorical[[#This Row],[Site Management - Old]])/tblPiNHistorical[[#This Row],[Site Management - Old]], 1), "")</f>
        <v/>
      </c>
      <c r="AR759" s="140" t="str">
        <f>IFERROR(ROUND((tblPiNHistorical[[#This Row],[Education New]]-tblPiNHistorical[[#This Row],[Education Old]])/tblPiNHistorical[[#This Row],[Education Old]], 1), "")</f>
        <v/>
      </c>
      <c r="AS759" s="141" t="str">
        <f>IFERROR(ROUND((tblPiNHistorical[[#This Row],[Food Security and Livlihoods New]]-tblPiNHistorical[[#This Row],[Food Security and Livlihoods Old]])/tblPiNHistorical[[#This Row],[Food Security and Livlihoods Old]], 1), "")</f>
        <v/>
      </c>
      <c r="AT759" s="142" t="str">
        <f>IFERROR(ROUND((tblPiNHistorical[[#This Row],[Health New]]-tblPiNHistorical[[#This Row],[Health Old]])/tblPiNHistorical[[#This Row],[Health Old]], 1), "")</f>
        <v/>
      </c>
      <c r="AU759" s="140" t="str">
        <f>IFERROR(ROUND((tblPiNHistorical[[#This Row],[Nutrition New]]-tblPiNHistorical[[#This Row],[Nutrition Old]])/tblPiNHistorical[[#This Row],[Nutrition Old]], 1), "")</f>
        <v/>
      </c>
      <c r="AV759" s="140" t="str">
        <f>IFERROR(ROUND((tblPiNHistorical[[#This Row],[Protection New]]-tblPiNHistorical[[#This Row],[Protection Old]])/tblPiNHistorical[[#This Row],[Protection Old]], 1), "")</f>
        <v/>
      </c>
      <c r="AW759" s="84" t="str">
        <f>IFERROR(ROUND((tblPiNHistorical[[#This Row],[CP New]]-tblPiNHistorical[[#This Row],[CP Old ]])/tblPiNHistorical[[#This Row],[CP Old ]], 1), "")</f>
        <v/>
      </c>
      <c r="AX759" s="84" t="str">
        <f>IFERROR(ROUND((tblPiNHistorical[[#This Row],[GBV New]]-tblPiNHistorical[[#This Row],[GBV Old]])/tblPiNHistorical[[#This Row],[GBV Old]], 1), "")</f>
        <v/>
      </c>
      <c r="AY759" s="84" t="str">
        <f>IFERROR(ROUND((tblPiNHistorical[[#This Row],[Mine Action New]]-tblPiNHistorical[[#This Row],[Mine Action Old]])/tblPiNHistorical[[#This Row],[Mine Action Old]], 1), "")</f>
        <v/>
      </c>
      <c r="AZ759" s="140" t="str">
        <f>IFERROR(ROUND((tblPiNHistorical[[#This Row],[Shelter NFI New]]-tblPiNHistorical[[#This Row],[Shelter NFI Old]])/tblPiNHistorical[[#This Row],[Shelter NFI Old]], 1), "")</f>
        <v/>
      </c>
      <c r="BA759" s="31" t="str">
        <f>IFERROR(ROUND((tblPiNHistorical[[#This Row],[WASH New]]-tblPiNHistorical[[#This Row],[WASH Old]])/tblPiNHistorical[[#This Row],[WASH Old]], 1), "")</f>
        <v/>
      </c>
    </row>
    <row r="760" spans="1:53" ht="38.25" x14ac:dyDescent="0.25">
      <c r="A760"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Non-displaced PopulationSD09047</v>
      </c>
      <c r="B760" s="134" t="s">
        <v>197</v>
      </c>
      <c r="C760" s="124" t="s">
        <v>126</v>
      </c>
      <c r="D760" s="124" t="s">
        <v>390</v>
      </c>
      <c r="E760" s="59" t="s">
        <v>391</v>
      </c>
      <c r="F760" s="54"/>
      <c r="G760" s="29"/>
      <c r="H760" s="53">
        <v>87631</v>
      </c>
      <c r="I760" s="53" t="s">
        <v>89</v>
      </c>
      <c r="J760" s="34">
        <v>0</v>
      </c>
      <c r="K760" s="116">
        <v>0</v>
      </c>
      <c r="L760" s="114">
        <v>21907.75</v>
      </c>
      <c r="M760" s="114">
        <v>5905</v>
      </c>
      <c r="N760" s="114">
        <v>40577</v>
      </c>
      <c r="O760" s="114">
        <v>9639.4100000000017</v>
      </c>
      <c r="P760" s="114">
        <v>9639</v>
      </c>
      <c r="Q760" s="114">
        <v>6938</v>
      </c>
      <c r="R760" s="114">
        <v>0</v>
      </c>
      <c r="S760" s="114">
        <v>17526</v>
      </c>
      <c r="T760" s="196">
        <v>45734.618900000001</v>
      </c>
      <c r="U760" s="52" t="str">
        <f>IFERROR(INDEX(tblPiNAnalysis[[Site Management ]], MATCH(tblPiNHistorical[[#This Row],[ID]], tblPiNAnalysis[ID], 0)), "")</f>
        <v/>
      </c>
      <c r="V760" s="52" t="str">
        <f>IFERROR(INDEX(tblPiNAnalysis[Education], MATCH(tblPiNHistorical[[#This Row],[ID]], tblPiNAnalysis[ID], 0)), "")</f>
        <v/>
      </c>
      <c r="W760" s="28" t="str">
        <f>IFERROR(INDEX(tblPiNAnalysis[Food Security and Livlihoods], MATCH(tblPiNHistorical[[#This Row],[ID]], tblPiNAnalysis[ID], 0)), "")</f>
        <v/>
      </c>
      <c r="X760" s="28" t="str">
        <f>IFERROR(INDEX(tblPiNAnalysis[[Health ]], MATCH(tblPiNHistorical[[#This Row],[ID]], tblPiNAnalysis[ID], 0)), "")</f>
        <v/>
      </c>
      <c r="Y760" s="28" t="str">
        <f>IFERROR(INDEX(tblPiNAnalysis[Nutrition], MATCH(tblPiNHistorical[[#This Row],[ID]], tblPiNAnalysis[ID], 0)), "")</f>
        <v/>
      </c>
      <c r="Z760" s="28" t="str">
        <f>IFERROR(INDEX(tblPiNAnalysis[Protection], MATCH(tblPiNHistorical[[#This Row],[ID]], tblPiNAnalysis[ID], 0)), "")</f>
        <v/>
      </c>
      <c r="AA760" s="28" t="str">
        <f>IFERROR(INDEX(tblPiNAnalysis[CP], MATCH(tblPiNHistorical[[#This Row],[ID]], tblPiNAnalysis[ID], 0)), "")</f>
        <v/>
      </c>
      <c r="AB760" s="83" t="str">
        <f>IFERROR(INDEX(tblPiNAnalysis[GBV], MATCH(tblPiNHistorical[[#This Row],[ID]], tblPiNAnalysis[ID], 0)), "")</f>
        <v/>
      </c>
      <c r="AC760" s="28" t="str">
        <f>IFERROR(INDEX(tblPiNAnalysis[Mine Action], MATCH(tblPiNHistorical[[#This Row],[ID]], tblPiNAnalysis[ID], 0)), "")</f>
        <v/>
      </c>
      <c r="AD760" s="83" t="str">
        <f>IFERROR(INDEX(tblPiNAnalysis[[Shelter NFI ]], MATCH(tblPiNHistorical[[#This Row],[ID]], tblPiNAnalysis[ID], 0)), "")</f>
        <v/>
      </c>
      <c r="AE760" s="28" t="str">
        <f>IFERROR(INDEX(tblPiNAnalysis[WASH], MATCH(tblPiNHistorical[[#This Row],[ID]], tblPiNAnalysis[ID], 0)), "")</f>
        <v/>
      </c>
      <c r="AF760"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760" s="136" t="str">
        <f>IF(OR(tblPiNHistorical[[#This Row],[Education Old]]="", tblPiNHistorical[[#This Row],[Education Old]]=0, tblPiNHistorical[[#This Row],[Education New]]="", tblPiNHistorical[[#This Row],[Education New]]=0), "", tblPiNHistorical[[#This Row],[Education New]]-tblPiNHistorical[[#This Row],[Education Old]])</f>
        <v/>
      </c>
      <c r="AH760"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760" s="137" t="str">
        <f>IF(OR(tblPiNHistorical[[#This Row],[Health Old]]="", tblPiNHistorical[[#This Row],[Health Old]]=0, tblPiNHistorical[[#This Row],[Health New]]="", tblPiNHistorical[[#This Row],[Health New]]=0), "", tblPiNHistorical[[#This Row],[Health New]]-tblPiNHistorical[[#This Row],[Health Old]])</f>
        <v/>
      </c>
      <c r="AJ760" s="136" t="str">
        <f>IF(OR(tblPiNHistorical[[#This Row],[Nutrition Old]]="", tblPiNHistorical[[#This Row],[Nutrition Old]]=0, tblPiNHistorical[[#This Row],[Nutrition New]]="", tblPiNHistorical[[#This Row],[Nutrition New]]=0), "", tblPiNHistorical[[#This Row],[Nutrition New]]-tblPiNHistorical[[#This Row],[Nutrition Old]])</f>
        <v/>
      </c>
      <c r="AK760" s="136" t="str">
        <f>IF(OR(tblPiNHistorical[[#This Row],[Protection Old]]="", tblPiNHistorical[[#This Row],[Protection Old]]=0, tblPiNHistorical[[#This Row],[Protection New]]="", tblPiNHistorical[[#This Row],[Protection New]]=0), "", tblPiNHistorical[[#This Row],[Protection New]]-tblPiNHistorical[[#This Row],[Protection Old]])</f>
        <v/>
      </c>
      <c r="AL760" s="136" t="str">
        <f>IF(OR(tblPiNHistorical[[#This Row],[CP Old ]]="", tblPiNHistorical[[#This Row],[CP Old ]]=0, tblPiNHistorical[[#This Row],[CP New]]="", tblPiNHistorical[[#This Row],[CP New]]=0), "", tblPiNHistorical[[#This Row],[CP New]]-tblPiNHistorical[[#This Row],[CP Old ]])</f>
        <v/>
      </c>
      <c r="AM760" s="83" t="str">
        <f>IF(OR(tblPiNHistorical[[#This Row],[GBV Old]]="", tblPiNHistorical[[#This Row],[GBV Old]]=0, tblPiNHistorical[[#This Row],[GBV New]]="", tblPiNHistorical[[#This Row],[GBV New]]=0), "", tblPiNHistorical[[#This Row],[GBV New]]-tblPiNHistorical[[#This Row],[GBV Old]])</f>
        <v/>
      </c>
      <c r="AN760" s="83" t="str">
        <f>IF(OR(tblPiNHistorical[[#This Row],[Mine Action Old]]="", tblPiNHistorical[[#This Row],[Mine Action Old]]=0, tblPiNHistorical[[#This Row],[Mine Action New]]="", tblPiNHistorical[[#This Row],[Mine Action New]]=0), "", tblPiNHistorical[[#This Row],[Mine Action New]]-tblPiNHistorical[[#This Row],[Mine Action Old]])</f>
        <v/>
      </c>
      <c r="AO760" s="136" t="str">
        <f>IF(OR(tblPiNHistorical[[#This Row],[Shelter NFI Old]]="", tblPiNHistorical[[#This Row],[Shelter NFI Old]]=0, tblPiNHistorical[[#This Row],[Shelter NFI New]]="", tblPiNHistorical[[#This Row],[Shelter NFI New]]=0), "", tblPiNHistorical[[#This Row],[Shelter NFI New]]-tblPiNHistorical[[#This Row],[Shelter NFI Old]])</f>
        <v/>
      </c>
      <c r="AP760" s="138" t="str">
        <f>IF(OR(tblPiNHistorical[[#This Row],[WASH Old]]="", tblPiNHistorical[[#This Row],[WASH Old]]=0, tblPiNHistorical[[#This Row],[WASH New]]="", tblPiNHistorical[[#This Row],[WASH New]]=0), "", tblPiNHistorical[[#This Row],[WASH New]]-tblPiNHistorical[[#This Row],[WASH Old]])</f>
        <v/>
      </c>
      <c r="AQ760" s="139" t="str">
        <f>IFERROR(ROUND((tblPiNHistorical[[#This Row],[Site Management - New]] - tblPiNHistorical[[#This Row],[Site Management - Old]])/tblPiNHistorical[[#This Row],[Site Management - Old]], 1), "")</f>
        <v/>
      </c>
      <c r="AR760" s="140" t="str">
        <f>IFERROR(ROUND((tblPiNHistorical[[#This Row],[Education New]]-tblPiNHistorical[[#This Row],[Education Old]])/tblPiNHistorical[[#This Row],[Education Old]], 1), "")</f>
        <v/>
      </c>
      <c r="AS760" s="141" t="str">
        <f>IFERROR(ROUND((tblPiNHistorical[[#This Row],[Food Security and Livlihoods New]]-tblPiNHistorical[[#This Row],[Food Security and Livlihoods Old]])/tblPiNHistorical[[#This Row],[Food Security and Livlihoods Old]], 1), "")</f>
        <v/>
      </c>
      <c r="AT760" s="142" t="str">
        <f>IFERROR(ROUND((tblPiNHistorical[[#This Row],[Health New]]-tblPiNHistorical[[#This Row],[Health Old]])/tblPiNHistorical[[#This Row],[Health Old]], 1), "")</f>
        <v/>
      </c>
      <c r="AU760" s="140" t="str">
        <f>IFERROR(ROUND((tblPiNHistorical[[#This Row],[Nutrition New]]-tblPiNHistorical[[#This Row],[Nutrition Old]])/tblPiNHistorical[[#This Row],[Nutrition Old]], 1), "")</f>
        <v/>
      </c>
      <c r="AV760" s="140" t="str">
        <f>IFERROR(ROUND((tblPiNHistorical[[#This Row],[Protection New]]-tblPiNHistorical[[#This Row],[Protection Old]])/tblPiNHistorical[[#This Row],[Protection Old]], 1), "")</f>
        <v/>
      </c>
      <c r="AW760" s="84" t="str">
        <f>IFERROR(ROUND((tblPiNHistorical[[#This Row],[CP New]]-tblPiNHistorical[[#This Row],[CP Old ]])/tblPiNHistorical[[#This Row],[CP Old ]], 1), "")</f>
        <v/>
      </c>
      <c r="AX760" s="84" t="str">
        <f>IFERROR(ROUND((tblPiNHistorical[[#This Row],[GBV New]]-tblPiNHistorical[[#This Row],[GBV Old]])/tblPiNHistorical[[#This Row],[GBV Old]], 1), "")</f>
        <v/>
      </c>
      <c r="AY760" s="84" t="str">
        <f>IFERROR(ROUND((tblPiNHistorical[[#This Row],[Mine Action New]]-tblPiNHistorical[[#This Row],[Mine Action Old]])/tblPiNHistorical[[#This Row],[Mine Action Old]], 1), "")</f>
        <v/>
      </c>
      <c r="AZ760" s="140" t="str">
        <f>IFERROR(ROUND((tblPiNHistorical[[#This Row],[Shelter NFI New]]-tblPiNHistorical[[#This Row],[Shelter NFI Old]])/tblPiNHistorical[[#This Row],[Shelter NFI Old]], 1), "")</f>
        <v/>
      </c>
      <c r="BA760" s="31" t="str">
        <f>IFERROR(ROUND((tblPiNHistorical[[#This Row],[WASH New]]-tblPiNHistorical[[#This Row],[WASH Old]])/tblPiNHistorical[[#This Row],[WASH Old]], 1), "")</f>
        <v/>
      </c>
    </row>
    <row r="761" spans="1:53" ht="38.25" x14ac:dyDescent="0.25">
      <c r="A761"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Non-displaced PopulationSD09046</v>
      </c>
      <c r="B761" s="134" t="s">
        <v>197</v>
      </c>
      <c r="C761" s="124" t="s">
        <v>126</v>
      </c>
      <c r="D761" s="124" t="s">
        <v>388</v>
      </c>
      <c r="E761" s="59" t="s">
        <v>389</v>
      </c>
      <c r="F761" s="54"/>
      <c r="G761" s="29"/>
      <c r="H761" s="53">
        <v>19923</v>
      </c>
      <c r="I761" s="53" t="s">
        <v>89</v>
      </c>
      <c r="J761" s="34">
        <v>0</v>
      </c>
      <c r="K761" s="116">
        <v>0</v>
      </c>
      <c r="L761" s="114">
        <v>11363.957189999999</v>
      </c>
      <c r="M761" s="114">
        <v>580</v>
      </c>
      <c r="N761" s="114">
        <v>19923</v>
      </c>
      <c r="O761" s="114">
        <v>2191.5300000000002</v>
      </c>
      <c r="P761" s="114">
        <v>2192</v>
      </c>
      <c r="Q761" s="114">
        <v>1577</v>
      </c>
      <c r="R761" s="114">
        <v>0</v>
      </c>
      <c r="S761" s="114">
        <v>0</v>
      </c>
      <c r="T761" s="196">
        <v>0</v>
      </c>
      <c r="U761" s="52" t="str">
        <f>IFERROR(INDEX(tblPiNAnalysis[[Site Management ]], MATCH(tblPiNHistorical[[#This Row],[ID]], tblPiNAnalysis[ID], 0)), "")</f>
        <v/>
      </c>
      <c r="V761" s="52" t="str">
        <f>IFERROR(INDEX(tblPiNAnalysis[Education], MATCH(tblPiNHistorical[[#This Row],[ID]], tblPiNAnalysis[ID], 0)), "")</f>
        <v/>
      </c>
      <c r="W761" s="28" t="str">
        <f>IFERROR(INDEX(tblPiNAnalysis[Food Security and Livlihoods], MATCH(tblPiNHistorical[[#This Row],[ID]], tblPiNAnalysis[ID], 0)), "")</f>
        <v/>
      </c>
      <c r="X761" s="28" t="str">
        <f>IFERROR(INDEX(tblPiNAnalysis[[Health ]], MATCH(tblPiNHistorical[[#This Row],[ID]], tblPiNAnalysis[ID], 0)), "")</f>
        <v/>
      </c>
      <c r="Y761" s="28" t="str">
        <f>IFERROR(INDEX(tblPiNAnalysis[Nutrition], MATCH(tblPiNHistorical[[#This Row],[ID]], tblPiNAnalysis[ID], 0)), "")</f>
        <v/>
      </c>
      <c r="Z761" s="28" t="str">
        <f>IFERROR(INDEX(tblPiNAnalysis[Protection], MATCH(tblPiNHistorical[[#This Row],[ID]], tblPiNAnalysis[ID], 0)), "")</f>
        <v/>
      </c>
      <c r="AA761" s="28" t="str">
        <f>IFERROR(INDEX(tblPiNAnalysis[CP], MATCH(tblPiNHistorical[[#This Row],[ID]], tblPiNAnalysis[ID], 0)), "")</f>
        <v/>
      </c>
      <c r="AB761" s="83" t="str">
        <f>IFERROR(INDEX(tblPiNAnalysis[GBV], MATCH(tblPiNHistorical[[#This Row],[ID]], tblPiNAnalysis[ID], 0)), "")</f>
        <v/>
      </c>
      <c r="AC761" s="28" t="str">
        <f>IFERROR(INDEX(tblPiNAnalysis[Mine Action], MATCH(tblPiNHistorical[[#This Row],[ID]], tblPiNAnalysis[ID], 0)), "")</f>
        <v/>
      </c>
      <c r="AD761" s="83" t="str">
        <f>IFERROR(INDEX(tblPiNAnalysis[[Shelter NFI ]], MATCH(tblPiNHistorical[[#This Row],[ID]], tblPiNAnalysis[ID], 0)), "")</f>
        <v/>
      </c>
      <c r="AE761" s="28" t="str">
        <f>IFERROR(INDEX(tblPiNAnalysis[WASH], MATCH(tblPiNHistorical[[#This Row],[ID]], tblPiNAnalysis[ID], 0)), "")</f>
        <v/>
      </c>
      <c r="AF761"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761" s="136" t="str">
        <f>IF(OR(tblPiNHistorical[[#This Row],[Education Old]]="", tblPiNHistorical[[#This Row],[Education Old]]=0, tblPiNHistorical[[#This Row],[Education New]]="", tblPiNHistorical[[#This Row],[Education New]]=0), "", tblPiNHistorical[[#This Row],[Education New]]-tblPiNHistorical[[#This Row],[Education Old]])</f>
        <v/>
      </c>
      <c r="AH761"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761" s="137" t="str">
        <f>IF(OR(tblPiNHistorical[[#This Row],[Health Old]]="", tblPiNHistorical[[#This Row],[Health Old]]=0, tblPiNHistorical[[#This Row],[Health New]]="", tblPiNHistorical[[#This Row],[Health New]]=0), "", tblPiNHistorical[[#This Row],[Health New]]-tblPiNHistorical[[#This Row],[Health Old]])</f>
        <v/>
      </c>
      <c r="AJ761" s="136" t="str">
        <f>IF(OR(tblPiNHistorical[[#This Row],[Nutrition Old]]="", tblPiNHistorical[[#This Row],[Nutrition Old]]=0, tblPiNHistorical[[#This Row],[Nutrition New]]="", tblPiNHistorical[[#This Row],[Nutrition New]]=0), "", tblPiNHistorical[[#This Row],[Nutrition New]]-tblPiNHistorical[[#This Row],[Nutrition Old]])</f>
        <v/>
      </c>
      <c r="AK761" s="136" t="str">
        <f>IF(OR(tblPiNHistorical[[#This Row],[Protection Old]]="", tblPiNHistorical[[#This Row],[Protection Old]]=0, tblPiNHistorical[[#This Row],[Protection New]]="", tblPiNHistorical[[#This Row],[Protection New]]=0), "", tblPiNHistorical[[#This Row],[Protection New]]-tblPiNHistorical[[#This Row],[Protection Old]])</f>
        <v/>
      </c>
      <c r="AL761" s="136" t="str">
        <f>IF(OR(tblPiNHistorical[[#This Row],[CP Old ]]="", tblPiNHistorical[[#This Row],[CP Old ]]=0, tblPiNHistorical[[#This Row],[CP New]]="", tblPiNHistorical[[#This Row],[CP New]]=0), "", tblPiNHistorical[[#This Row],[CP New]]-tblPiNHistorical[[#This Row],[CP Old ]])</f>
        <v/>
      </c>
      <c r="AM761" s="83" t="str">
        <f>IF(OR(tblPiNHistorical[[#This Row],[GBV Old]]="", tblPiNHistorical[[#This Row],[GBV Old]]=0, tblPiNHistorical[[#This Row],[GBV New]]="", tblPiNHistorical[[#This Row],[GBV New]]=0), "", tblPiNHistorical[[#This Row],[GBV New]]-tblPiNHistorical[[#This Row],[GBV Old]])</f>
        <v/>
      </c>
      <c r="AN761" s="83" t="str">
        <f>IF(OR(tblPiNHistorical[[#This Row],[Mine Action Old]]="", tblPiNHistorical[[#This Row],[Mine Action Old]]=0, tblPiNHistorical[[#This Row],[Mine Action New]]="", tblPiNHistorical[[#This Row],[Mine Action New]]=0), "", tblPiNHistorical[[#This Row],[Mine Action New]]-tblPiNHistorical[[#This Row],[Mine Action Old]])</f>
        <v/>
      </c>
      <c r="AO761" s="136" t="str">
        <f>IF(OR(tblPiNHistorical[[#This Row],[Shelter NFI Old]]="", tblPiNHistorical[[#This Row],[Shelter NFI Old]]=0, tblPiNHistorical[[#This Row],[Shelter NFI New]]="", tblPiNHistorical[[#This Row],[Shelter NFI New]]=0), "", tblPiNHistorical[[#This Row],[Shelter NFI New]]-tblPiNHistorical[[#This Row],[Shelter NFI Old]])</f>
        <v/>
      </c>
      <c r="AP761" s="138" t="str">
        <f>IF(OR(tblPiNHistorical[[#This Row],[WASH Old]]="", tblPiNHistorical[[#This Row],[WASH Old]]=0, tblPiNHistorical[[#This Row],[WASH New]]="", tblPiNHistorical[[#This Row],[WASH New]]=0), "", tblPiNHistorical[[#This Row],[WASH New]]-tblPiNHistorical[[#This Row],[WASH Old]])</f>
        <v/>
      </c>
      <c r="AQ761" s="139" t="str">
        <f>IFERROR(ROUND((tblPiNHistorical[[#This Row],[Site Management - New]] - tblPiNHistorical[[#This Row],[Site Management - Old]])/tblPiNHistorical[[#This Row],[Site Management - Old]], 1), "")</f>
        <v/>
      </c>
      <c r="AR761" s="140" t="str">
        <f>IFERROR(ROUND((tblPiNHistorical[[#This Row],[Education New]]-tblPiNHistorical[[#This Row],[Education Old]])/tblPiNHistorical[[#This Row],[Education Old]], 1), "")</f>
        <v/>
      </c>
      <c r="AS761" s="141" t="str">
        <f>IFERROR(ROUND((tblPiNHistorical[[#This Row],[Food Security and Livlihoods New]]-tblPiNHistorical[[#This Row],[Food Security and Livlihoods Old]])/tblPiNHistorical[[#This Row],[Food Security and Livlihoods Old]], 1), "")</f>
        <v/>
      </c>
      <c r="AT761" s="142" t="str">
        <f>IFERROR(ROUND((tblPiNHistorical[[#This Row],[Health New]]-tblPiNHistorical[[#This Row],[Health Old]])/tblPiNHistorical[[#This Row],[Health Old]], 1), "")</f>
        <v/>
      </c>
      <c r="AU761" s="140" t="str">
        <f>IFERROR(ROUND((tblPiNHistorical[[#This Row],[Nutrition New]]-tblPiNHistorical[[#This Row],[Nutrition Old]])/tblPiNHistorical[[#This Row],[Nutrition Old]], 1), "")</f>
        <v/>
      </c>
      <c r="AV761" s="140" t="str">
        <f>IFERROR(ROUND((tblPiNHistorical[[#This Row],[Protection New]]-tblPiNHistorical[[#This Row],[Protection Old]])/tblPiNHistorical[[#This Row],[Protection Old]], 1), "")</f>
        <v/>
      </c>
      <c r="AW761" s="84" t="str">
        <f>IFERROR(ROUND((tblPiNHistorical[[#This Row],[CP New]]-tblPiNHistorical[[#This Row],[CP Old ]])/tblPiNHistorical[[#This Row],[CP Old ]], 1), "")</f>
        <v/>
      </c>
      <c r="AX761" s="84" t="str">
        <f>IFERROR(ROUND((tblPiNHistorical[[#This Row],[GBV New]]-tblPiNHistorical[[#This Row],[GBV Old]])/tblPiNHistorical[[#This Row],[GBV Old]], 1), "")</f>
        <v/>
      </c>
      <c r="AY761" s="84" t="str">
        <f>IFERROR(ROUND((tblPiNHistorical[[#This Row],[Mine Action New]]-tblPiNHistorical[[#This Row],[Mine Action Old]])/tblPiNHistorical[[#This Row],[Mine Action Old]], 1), "")</f>
        <v/>
      </c>
      <c r="AZ761" s="140" t="str">
        <f>IFERROR(ROUND((tblPiNHistorical[[#This Row],[Shelter NFI New]]-tblPiNHistorical[[#This Row],[Shelter NFI Old]])/tblPiNHistorical[[#This Row],[Shelter NFI Old]], 1), "")</f>
        <v/>
      </c>
      <c r="BA761" s="31" t="str">
        <f>IFERROR(ROUND((tblPiNHistorical[[#This Row],[WASH New]]-tblPiNHistorical[[#This Row],[WASH Old]])/tblPiNHistorical[[#This Row],[WASH Old]], 1), "")</f>
        <v/>
      </c>
    </row>
    <row r="762" spans="1:53" ht="38.25" x14ac:dyDescent="0.25">
      <c r="A762"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Non-displaced PopulationSD09048</v>
      </c>
      <c r="B762" s="134" t="s">
        <v>197</v>
      </c>
      <c r="C762" s="124" t="s">
        <v>126</v>
      </c>
      <c r="D762" s="124" t="s">
        <v>392</v>
      </c>
      <c r="E762" s="59" t="s">
        <v>393</v>
      </c>
      <c r="F762" s="54"/>
      <c r="G762" s="29"/>
      <c r="H762" s="53">
        <v>54513</v>
      </c>
      <c r="I762" s="53" t="s">
        <v>89</v>
      </c>
      <c r="J762" s="34">
        <v>0</v>
      </c>
      <c r="K762" s="116">
        <v>0</v>
      </c>
      <c r="L762" s="114">
        <v>16353.9</v>
      </c>
      <c r="M762" s="114">
        <v>7765</v>
      </c>
      <c r="N762" s="114">
        <v>11413</v>
      </c>
      <c r="O762" s="114">
        <v>5996.43</v>
      </c>
      <c r="P762" s="114">
        <v>5996</v>
      </c>
      <c r="Q762" s="114">
        <v>4314</v>
      </c>
      <c r="R762" s="114">
        <v>0</v>
      </c>
      <c r="S762" s="114">
        <v>10903</v>
      </c>
      <c r="T762" s="196">
        <v>47349.991799999996</v>
      </c>
      <c r="U762" s="52" t="str">
        <f>IFERROR(INDEX(tblPiNAnalysis[[Site Management ]], MATCH(tblPiNHistorical[[#This Row],[ID]], tblPiNAnalysis[ID], 0)), "")</f>
        <v/>
      </c>
      <c r="V762" s="52" t="str">
        <f>IFERROR(INDEX(tblPiNAnalysis[Education], MATCH(tblPiNHistorical[[#This Row],[ID]], tblPiNAnalysis[ID], 0)), "")</f>
        <v/>
      </c>
      <c r="W762" s="28" t="str">
        <f>IFERROR(INDEX(tblPiNAnalysis[Food Security and Livlihoods], MATCH(tblPiNHistorical[[#This Row],[ID]], tblPiNAnalysis[ID], 0)), "")</f>
        <v/>
      </c>
      <c r="X762" s="28" t="str">
        <f>IFERROR(INDEX(tblPiNAnalysis[[Health ]], MATCH(tblPiNHistorical[[#This Row],[ID]], tblPiNAnalysis[ID], 0)), "")</f>
        <v/>
      </c>
      <c r="Y762" s="28" t="str">
        <f>IFERROR(INDEX(tblPiNAnalysis[Nutrition], MATCH(tblPiNHistorical[[#This Row],[ID]], tblPiNAnalysis[ID], 0)), "")</f>
        <v/>
      </c>
      <c r="Z762" s="28" t="str">
        <f>IFERROR(INDEX(tblPiNAnalysis[Protection], MATCH(tblPiNHistorical[[#This Row],[ID]], tblPiNAnalysis[ID], 0)), "")</f>
        <v/>
      </c>
      <c r="AA762" s="28" t="str">
        <f>IFERROR(INDEX(tblPiNAnalysis[CP], MATCH(tblPiNHistorical[[#This Row],[ID]], tblPiNAnalysis[ID], 0)), "")</f>
        <v/>
      </c>
      <c r="AB762" s="83" t="str">
        <f>IFERROR(INDEX(tblPiNAnalysis[GBV], MATCH(tblPiNHistorical[[#This Row],[ID]], tblPiNAnalysis[ID], 0)), "")</f>
        <v/>
      </c>
      <c r="AC762" s="28" t="str">
        <f>IFERROR(INDEX(tblPiNAnalysis[Mine Action], MATCH(tblPiNHistorical[[#This Row],[ID]], tblPiNAnalysis[ID], 0)), "")</f>
        <v/>
      </c>
      <c r="AD762" s="83" t="str">
        <f>IFERROR(INDEX(tblPiNAnalysis[[Shelter NFI ]], MATCH(tblPiNHistorical[[#This Row],[ID]], tblPiNAnalysis[ID], 0)), "")</f>
        <v/>
      </c>
      <c r="AE762" s="28" t="str">
        <f>IFERROR(INDEX(tblPiNAnalysis[WASH], MATCH(tblPiNHistorical[[#This Row],[ID]], tblPiNAnalysis[ID], 0)), "")</f>
        <v/>
      </c>
      <c r="AF762"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762" s="136" t="str">
        <f>IF(OR(tblPiNHistorical[[#This Row],[Education Old]]="", tblPiNHistorical[[#This Row],[Education Old]]=0, tblPiNHistorical[[#This Row],[Education New]]="", tblPiNHistorical[[#This Row],[Education New]]=0), "", tblPiNHistorical[[#This Row],[Education New]]-tblPiNHistorical[[#This Row],[Education Old]])</f>
        <v/>
      </c>
      <c r="AH762"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762" s="137" t="str">
        <f>IF(OR(tblPiNHistorical[[#This Row],[Health Old]]="", tblPiNHistorical[[#This Row],[Health Old]]=0, tblPiNHistorical[[#This Row],[Health New]]="", tblPiNHistorical[[#This Row],[Health New]]=0), "", tblPiNHistorical[[#This Row],[Health New]]-tblPiNHistorical[[#This Row],[Health Old]])</f>
        <v/>
      </c>
      <c r="AJ762" s="136" t="str">
        <f>IF(OR(tblPiNHistorical[[#This Row],[Nutrition Old]]="", tblPiNHistorical[[#This Row],[Nutrition Old]]=0, tblPiNHistorical[[#This Row],[Nutrition New]]="", tblPiNHistorical[[#This Row],[Nutrition New]]=0), "", tblPiNHistorical[[#This Row],[Nutrition New]]-tblPiNHistorical[[#This Row],[Nutrition Old]])</f>
        <v/>
      </c>
      <c r="AK762" s="136" t="str">
        <f>IF(OR(tblPiNHistorical[[#This Row],[Protection Old]]="", tblPiNHistorical[[#This Row],[Protection Old]]=0, tblPiNHistorical[[#This Row],[Protection New]]="", tblPiNHistorical[[#This Row],[Protection New]]=0), "", tblPiNHistorical[[#This Row],[Protection New]]-tblPiNHistorical[[#This Row],[Protection Old]])</f>
        <v/>
      </c>
      <c r="AL762" s="136" t="str">
        <f>IF(OR(tblPiNHistorical[[#This Row],[CP Old ]]="", tblPiNHistorical[[#This Row],[CP Old ]]=0, tblPiNHistorical[[#This Row],[CP New]]="", tblPiNHistorical[[#This Row],[CP New]]=0), "", tblPiNHistorical[[#This Row],[CP New]]-tblPiNHistorical[[#This Row],[CP Old ]])</f>
        <v/>
      </c>
      <c r="AM762" s="83" t="str">
        <f>IF(OR(tblPiNHistorical[[#This Row],[GBV Old]]="", tblPiNHistorical[[#This Row],[GBV Old]]=0, tblPiNHistorical[[#This Row],[GBV New]]="", tblPiNHistorical[[#This Row],[GBV New]]=0), "", tblPiNHistorical[[#This Row],[GBV New]]-tblPiNHistorical[[#This Row],[GBV Old]])</f>
        <v/>
      </c>
      <c r="AN762" s="83" t="str">
        <f>IF(OR(tblPiNHistorical[[#This Row],[Mine Action Old]]="", tblPiNHistorical[[#This Row],[Mine Action Old]]=0, tblPiNHistorical[[#This Row],[Mine Action New]]="", tblPiNHistorical[[#This Row],[Mine Action New]]=0), "", tblPiNHistorical[[#This Row],[Mine Action New]]-tblPiNHistorical[[#This Row],[Mine Action Old]])</f>
        <v/>
      </c>
      <c r="AO762" s="136" t="str">
        <f>IF(OR(tblPiNHistorical[[#This Row],[Shelter NFI Old]]="", tblPiNHistorical[[#This Row],[Shelter NFI Old]]=0, tblPiNHistorical[[#This Row],[Shelter NFI New]]="", tblPiNHistorical[[#This Row],[Shelter NFI New]]=0), "", tblPiNHistorical[[#This Row],[Shelter NFI New]]-tblPiNHistorical[[#This Row],[Shelter NFI Old]])</f>
        <v/>
      </c>
      <c r="AP762" s="138" t="str">
        <f>IF(OR(tblPiNHistorical[[#This Row],[WASH Old]]="", tblPiNHistorical[[#This Row],[WASH Old]]=0, tblPiNHistorical[[#This Row],[WASH New]]="", tblPiNHistorical[[#This Row],[WASH New]]=0), "", tblPiNHistorical[[#This Row],[WASH New]]-tblPiNHistorical[[#This Row],[WASH Old]])</f>
        <v/>
      </c>
      <c r="AQ762" s="139" t="str">
        <f>IFERROR(ROUND((tblPiNHistorical[[#This Row],[Site Management - New]] - tblPiNHistorical[[#This Row],[Site Management - Old]])/tblPiNHistorical[[#This Row],[Site Management - Old]], 1), "")</f>
        <v/>
      </c>
      <c r="AR762" s="140" t="str">
        <f>IFERROR(ROUND((tblPiNHistorical[[#This Row],[Education New]]-tblPiNHistorical[[#This Row],[Education Old]])/tblPiNHistorical[[#This Row],[Education Old]], 1), "")</f>
        <v/>
      </c>
      <c r="AS762" s="141" t="str">
        <f>IFERROR(ROUND((tblPiNHistorical[[#This Row],[Food Security and Livlihoods New]]-tblPiNHistorical[[#This Row],[Food Security and Livlihoods Old]])/tblPiNHistorical[[#This Row],[Food Security and Livlihoods Old]], 1), "")</f>
        <v/>
      </c>
      <c r="AT762" s="142" t="str">
        <f>IFERROR(ROUND((tblPiNHistorical[[#This Row],[Health New]]-tblPiNHistorical[[#This Row],[Health Old]])/tblPiNHistorical[[#This Row],[Health Old]], 1), "")</f>
        <v/>
      </c>
      <c r="AU762" s="140" t="str">
        <f>IFERROR(ROUND((tblPiNHistorical[[#This Row],[Nutrition New]]-tblPiNHistorical[[#This Row],[Nutrition Old]])/tblPiNHistorical[[#This Row],[Nutrition Old]], 1), "")</f>
        <v/>
      </c>
      <c r="AV762" s="140" t="str">
        <f>IFERROR(ROUND((tblPiNHistorical[[#This Row],[Protection New]]-tblPiNHistorical[[#This Row],[Protection Old]])/tblPiNHistorical[[#This Row],[Protection Old]], 1), "")</f>
        <v/>
      </c>
      <c r="AW762" s="84" t="str">
        <f>IFERROR(ROUND((tblPiNHistorical[[#This Row],[CP New]]-tblPiNHistorical[[#This Row],[CP Old ]])/tblPiNHistorical[[#This Row],[CP Old ]], 1), "")</f>
        <v/>
      </c>
      <c r="AX762" s="84" t="str">
        <f>IFERROR(ROUND((tblPiNHistorical[[#This Row],[GBV New]]-tblPiNHistorical[[#This Row],[GBV Old]])/tblPiNHistorical[[#This Row],[GBV Old]], 1), "")</f>
        <v/>
      </c>
      <c r="AY762" s="84" t="str">
        <f>IFERROR(ROUND((tblPiNHistorical[[#This Row],[Mine Action New]]-tblPiNHistorical[[#This Row],[Mine Action Old]])/tblPiNHistorical[[#This Row],[Mine Action Old]], 1), "")</f>
        <v/>
      </c>
      <c r="AZ762" s="140" t="str">
        <f>IFERROR(ROUND((tblPiNHistorical[[#This Row],[Shelter NFI New]]-tblPiNHistorical[[#This Row],[Shelter NFI Old]])/tblPiNHistorical[[#This Row],[Shelter NFI Old]], 1), "")</f>
        <v/>
      </c>
      <c r="BA762" s="31" t="str">
        <f>IFERROR(ROUND((tblPiNHistorical[[#This Row],[WASH New]]-tblPiNHistorical[[#This Row],[WASH Old]])/tblPiNHistorical[[#This Row],[WASH Old]], 1), "")</f>
        <v/>
      </c>
    </row>
    <row r="763" spans="1:53" ht="38.25" x14ac:dyDescent="0.25">
      <c r="A763" s="87" t="str">
        <f>_xlfn.CONCAT(IF(tblPiNHistorical[[#This Row],[Population Group]]="", "",tblPiNHistorical[[#This Row],[Population Group]] ), _xlfn.IFS(tblPiNHistorical[[#This Row],[Admin 3 P-Code]]&lt;&gt;"", tblPiNHistorical[[#This Row],[Admin 3 P-Code]], tblPiNHistorical[[#This Row],[Admin 2 P-Code]]&lt;&gt;"", tblPiNHistorical[[#This Row],[Admin 2 P-Code]], tblPiNHistorical[[#This Row],[Admin 1 P-Code]]&lt;&gt;"", tblPiNHistorical[[#This Row],[Admin 1 P-Code]]))</f>
        <v>Non-displaced PopulationSD09045</v>
      </c>
      <c r="B763" s="134" t="s">
        <v>197</v>
      </c>
      <c r="C763" s="124" t="s">
        <v>126</v>
      </c>
      <c r="D763" s="124" t="s">
        <v>386</v>
      </c>
      <c r="E763" s="59" t="s">
        <v>387</v>
      </c>
      <c r="F763" s="54"/>
      <c r="G763" s="29"/>
      <c r="H763" s="53">
        <v>42159</v>
      </c>
      <c r="I763" s="53" t="s">
        <v>89</v>
      </c>
      <c r="J763" s="34">
        <v>0</v>
      </c>
      <c r="K763" s="116">
        <v>0</v>
      </c>
      <c r="L763" s="114">
        <v>12647.7</v>
      </c>
      <c r="M763" s="114">
        <v>370</v>
      </c>
      <c r="N763" s="114">
        <v>6127</v>
      </c>
      <c r="O763" s="114">
        <v>4637.4900000000007</v>
      </c>
      <c r="P763" s="114">
        <v>4637</v>
      </c>
      <c r="Q763" s="114">
        <v>3337</v>
      </c>
      <c r="R763" s="114">
        <v>0</v>
      </c>
      <c r="S763" s="114">
        <v>8432</v>
      </c>
      <c r="T763" s="196">
        <v>26804.692199999998</v>
      </c>
      <c r="U763" s="52" t="str">
        <f>IFERROR(INDEX(tblPiNAnalysis[[Site Management ]], MATCH(tblPiNHistorical[[#This Row],[ID]], tblPiNAnalysis[ID], 0)), "")</f>
        <v/>
      </c>
      <c r="V763" s="52" t="str">
        <f>IFERROR(INDEX(tblPiNAnalysis[Education], MATCH(tblPiNHistorical[[#This Row],[ID]], tblPiNAnalysis[ID], 0)), "")</f>
        <v/>
      </c>
      <c r="W763" s="28" t="str">
        <f>IFERROR(INDEX(tblPiNAnalysis[Food Security and Livlihoods], MATCH(tblPiNHistorical[[#This Row],[ID]], tblPiNAnalysis[ID], 0)), "")</f>
        <v/>
      </c>
      <c r="X763" s="28" t="str">
        <f>IFERROR(INDEX(tblPiNAnalysis[[Health ]], MATCH(tblPiNHistorical[[#This Row],[ID]], tblPiNAnalysis[ID], 0)), "")</f>
        <v/>
      </c>
      <c r="Y763" s="28" t="str">
        <f>IFERROR(INDEX(tblPiNAnalysis[Nutrition], MATCH(tblPiNHistorical[[#This Row],[ID]], tblPiNAnalysis[ID], 0)), "")</f>
        <v/>
      </c>
      <c r="Z763" s="28" t="str">
        <f>IFERROR(INDEX(tblPiNAnalysis[Protection], MATCH(tblPiNHistorical[[#This Row],[ID]], tblPiNAnalysis[ID], 0)), "")</f>
        <v/>
      </c>
      <c r="AA763" s="28" t="str">
        <f>IFERROR(INDEX(tblPiNAnalysis[CP], MATCH(tblPiNHistorical[[#This Row],[ID]], tblPiNAnalysis[ID], 0)), "")</f>
        <v/>
      </c>
      <c r="AB763" s="83" t="str">
        <f>IFERROR(INDEX(tblPiNAnalysis[GBV], MATCH(tblPiNHistorical[[#This Row],[ID]], tblPiNAnalysis[ID], 0)), "")</f>
        <v/>
      </c>
      <c r="AC763" s="28" t="str">
        <f>IFERROR(INDEX(tblPiNAnalysis[Mine Action], MATCH(tblPiNHistorical[[#This Row],[ID]], tblPiNAnalysis[ID], 0)), "")</f>
        <v/>
      </c>
      <c r="AD763" s="83" t="str">
        <f>IFERROR(INDEX(tblPiNAnalysis[[Shelter NFI ]], MATCH(tblPiNHistorical[[#This Row],[ID]], tblPiNAnalysis[ID], 0)), "")</f>
        <v/>
      </c>
      <c r="AE763" s="28" t="str">
        <f>IFERROR(INDEX(tblPiNAnalysis[WASH], MATCH(tblPiNHistorical[[#This Row],[ID]], tblPiNAnalysis[ID], 0)), "")</f>
        <v/>
      </c>
      <c r="AF763" s="135" t="str">
        <f>IF(OR(tblPiNHistorical[[#This Row],[Site Management - Old]]="", tblPiNHistorical[[#This Row],[Site Management - Old]]=0, tblPiNHistorical[[#This Row],[Site Management - New]]="", tblPiNHistorical[[#This Row],[Site Management - New]]=0), "", tblPiNHistorical[[#This Row],[Site Management - New]]-tblPiNHistorical[[#This Row],[Site Management - Old]])</f>
        <v/>
      </c>
      <c r="AG763" s="136" t="str">
        <f>IF(OR(tblPiNHistorical[[#This Row],[Education Old]]="", tblPiNHistorical[[#This Row],[Education Old]]=0, tblPiNHistorical[[#This Row],[Education New]]="", tblPiNHistorical[[#This Row],[Education New]]=0), "", tblPiNHistorical[[#This Row],[Education New]]-tblPiNHistorical[[#This Row],[Education Old]])</f>
        <v/>
      </c>
      <c r="AH763" s="136" t="str">
        <f>IF(OR(tblPiNHistorical[[#This Row],[Food Security and Livlihoods Old]]="", tblPiNHistorical[[#This Row],[Food Security and Livlihoods Old]]=0, tblPiNHistorical[[#This Row],[Food Security and Livlihoods New]]="", tblPiNHistorical[[#This Row],[Food Security and Livlihoods New]]=0), "", tblPiNHistorical[[#This Row],[Food Security and Livlihoods New]]-tblPiNHistorical[[#This Row],[Food Security and Livlihoods Old]])</f>
        <v/>
      </c>
      <c r="AI763" s="67" t="str">
        <f>IF(OR(tblPiNHistorical[[#This Row],[Health Old]]="", tblPiNHistorical[[#This Row],[Health Old]]=0, tblPiNHistorical[[#This Row],[Health New]]="", tblPiNHistorical[[#This Row],[Health New]]=0), "", tblPiNHistorical[[#This Row],[Health New]]-tblPiNHistorical[[#This Row],[Health Old]])</f>
        <v/>
      </c>
      <c r="AJ763" s="136" t="str">
        <f>IF(OR(tblPiNHistorical[[#This Row],[Nutrition Old]]="", tblPiNHistorical[[#This Row],[Nutrition Old]]=0, tblPiNHistorical[[#This Row],[Nutrition New]]="", tblPiNHistorical[[#This Row],[Nutrition New]]=0), "", tblPiNHistorical[[#This Row],[Nutrition New]]-tblPiNHistorical[[#This Row],[Nutrition Old]])</f>
        <v/>
      </c>
      <c r="AK763" s="136" t="str">
        <f>IF(OR(tblPiNHistorical[[#This Row],[Protection Old]]="", tblPiNHistorical[[#This Row],[Protection Old]]=0, tblPiNHistorical[[#This Row],[Protection New]]="", tblPiNHistorical[[#This Row],[Protection New]]=0), "", tblPiNHistorical[[#This Row],[Protection New]]-tblPiNHistorical[[#This Row],[Protection Old]])</f>
        <v/>
      </c>
      <c r="AL763" s="136" t="str">
        <f>IF(OR(tblPiNHistorical[[#This Row],[CP Old ]]="", tblPiNHistorical[[#This Row],[CP Old ]]=0, tblPiNHistorical[[#This Row],[CP New]]="", tblPiNHistorical[[#This Row],[CP New]]=0), "", tblPiNHistorical[[#This Row],[CP New]]-tblPiNHistorical[[#This Row],[CP Old ]])</f>
        <v/>
      </c>
      <c r="AM763" s="83" t="str">
        <f>IF(OR(tblPiNHistorical[[#This Row],[GBV Old]]="", tblPiNHistorical[[#This Row],[GBV Old]]=0, tblPiNHistorical[[#This Row],[GBV New]]="", tblPiNHistorical[[#This Row],[GBV New]]=0), "", tblPiNHistorical[[#This Row],[GBV New]]-tblPiNHistorical[[#This Row],[GBV Old]])</f>
        <v/>
      </c>
      <c r="AN763" s="83" t="str">
        <f>IF(OR(tblPiNHistorical[[#This Row],[Mine Action Old]]="", tblPiNHistorical[[#This Row],[Mine Action Old]]=0, tblPiNHistorical[[#This Row],[Mine Action New]]="", tblPiNHistorical[[#This Row],[Mine Action New]]=0), "", tblPiNHistorical[[#This Row],[Mine Action New]]-tblPiNHistorical[[#This Row],[Mine Action Old]])</f>
        <v/>
      </c>
      <c r="AO763" s="136" t="str">
        <f>IF(OR(tblPiNHistorical[[#This Row],[Shelter NFI Old]]="", tblPiNHistorical[[#This Row],[Shelter NFI Old]]=0, tblPiNHistorical[[#This Row],[Shelter NFI New]]="", tblPiNHistorical[[#This Row],[Shelter NFI New]]=0), "", tblPiNHistorical[[#This Row],[Shelter NFI New]]-tblPiNHistorical[[#This Row],[Shelter NFI Old]])</f>
        <v/>
      </c>
      <c r="AP763" s="138" t="str">
        <f>IF(OR(tblPiNHistorical[[#This Row],[WASH Old]]="", tblPiNHistorical[[#This Row],[WASH Old]]=0, tblPiNHistorical[[#This Row],[WASH New]]="", tblPiNHistorical[[#This Row],[WASH New]]=0), "", tblPiNHistorical[[#This Row],[WASH New]]-tblPiNHistorical[[#This Row],[WASH Old]])</f>
        <v/>
      </c>
      <c r="AQ763" s="139" t="str">
        <f>IFERROR(ROUND((tblPiNHistorical[[#This Row],[Site Management - New]] - tblPiNHistorical[[#This Row],[Site Management - Old]])/tblPiNHistorical[[#This Row],[Site Management - Old]], 1), "")</f>
        <v/>
      </c>
      <c r="AR763" s="140" t="str">
        <f>IFERROR(ROUND((tblPiNHistorical[[#This Row],[Education New]]-tblPiNHistorical[[#This Row],[Education Old]])/tblPiNHistorical[[#This Row],[Education Old]], 1), "")</f>
        <v/>
      </c>
      <c r="AS763" s="141" t="str">
        <f>IFERROR(ROUND((tblPiNHistorical[[#This Row],[Food Security and Livlihoods New]]-tblPiNHistorical[[#This Row],[Food Security and Livlihoods Old]])/tblPiNHistorical[[#This Row],[Food Security and Livlihoods Old]], 1), "")</f>
        <v/>
      </c>
      <c r="AT763" s="66" t="str">
        <f>IFERROR(ROUND((tblPiNHistorical[[#This Row],[Health New]]-tblPiNHistorical[[#This Row],[Health Old]])/tblPiNHistorical[[#This Row],[Health Old]], 1), "")</f>
        <v/>
      </c>
      <c r="AU763" s="140" t="str">
        <f>IFERROR(ROUND((tblPiNHistorical[[#This Row],[Nutrition New]]-tblPiNHistorical[[#This Row],[Nutrition Old]])/tblPiNHistorical[[#This Row],[Nutrition Old]], 1), "")</f>
        <v/>
      </c>
      <c r="AV763" s="140" t="str">
        <f>IFERROR(ROUND((tblPiNHistorical[[#This Row],[Protection New]]-tblPiNHistorical[[#This Row],[Protection Old]])/tblPiNHistorical[[#This Row],[Protection Old]], 1), "")</f>
        <v/>
      </c>
      <c r="AW763" s="84" t="str">
        <f>IFERROR(ROUND((tblPiNHistorical[[#This Row],[CP New]]-tblPiNHistorical[[#This Row],[CP Old ]])/tblPiNHistorical[[#This Row],[CP Old ]], 1), "")</f>
        <v/>
      </c>
      <c r="AX763" s="84" t="str">
        <f>IFERROR(ROUND((tblPiNHistorical[[#This Row],[GBV New]]-tblPiNHistorical[[#This Row],[GBV Old]])/tblPiNHistorical[[#This Row],[GBV Old]], 1), "")</f>
        <v/>
      </c>
      <c r="AY763" s="84" t="str">
        <f>IFERROR(ROUND((tblPiNHistorical[[#This Row],[Mine Action New]]-tblPiNHistorical[[#This Row],[Mine Action Old]])/tblPiNHistorical[[#This Row],[Mine Action Old]], 1), "")</f>
        <v/>
      </c>
      <c r="AZ763" s="140" t="str">
        <f>IFERROR(ROUND((tblPiNHistorical[[#This Row],[Shelter NFI New]]-tblPiNHistorical[[#This Row],[Shelter NFI Old]])/tblPiNHistorical[[#This Row],[Shelter NFI Old]], 1), "")</f>
        <v/>
      </c>
      <c r="BA763" s="31" t="str">
        <f>IFERROR(ROUND((tblPiNHistorical[[#This Row],[WASH New]]-tblPiNHistorical[[#This Row],[WASH Old]])/tblPiNHistorical[[#This Row],[WASH Old]], 1), "")</f>
        <v/>
      </c>
    </row>
  </sheetData>
  <mergeCells count="6">
    <mergeCell ref="AQ2:BA2"/>
    <mergeCell ref="B2:G2"/>
    <mergeCell ref="H2:I2"/>
    <mergeCell ref="J2:T2"/>
    <mergeCell ref="U2:AE2"/>
    <mergeCell ref="AF2:AP2"/>
  </mergeCells>
  <phoneticPr fontId="9" type="noConversion"/>
  <pageMargins left="0.7" right="0.7" top="0.75" bottom="0.75" header="0.3" footer="0.3"/>
  <pageSetup paperSize="9" orientation="portrait" r:id="rId1"/>
  <tableParts count="1">
    <tablePart r:id="rId2"/>
  </tableParts>
  <extLst>
    <ext xmlns:x14="http://schemas.microsoft.com/office/spreadsheetml/2009/9/main" uri="{78C0D931-6437-407d-A8EE-F0AAD7539E65}">
      <x14:conditionalFormattings>
        <x14:conditionalFormatting xmlns:xm="http://schemas.microsoft.com/office/excel/2006/main">
          <x14:cfRule type="cellIs" priority="1" operator="notBetween" id="{44980C84-2A4A-4B13-B285-48DD8024EE62}">
            <xm:f>Thresholds!$D$19*-1</xm:f>
            <xm:f>Thresholds!$D$19</xm:f>
            <x14:dxf>
              <font>
                <color rgb="FFFF0000"/>
              </font>
              <fill>
                <patternFill patternType="none">
                  <bgColor auto="1"/>
                </patternFill>
              </fill>
            </x14:dxf>
          </x14:cfRule>
          <xm:sqref>AQ4:BA763</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783003-12C3-4852-B30E-5B980E3C4427}">
  <sheetPr codeName="Sheet7"/>
  <dimension ref="A1:BM191"/>
  <sheetViews>
    <sheetView showGridLines="0" topLeftCell="B1" zoomScale="87" zoomScaleNormal="87" workbookViewId="0">
      <pane ySplit="3" topLeftCell="A4" activePane="bottomLeft" state="frozen"/>
      <selection activeCell="B1" sqref="B1"/>
      <selection pane="bottomLeft" activeCell="L4" sqref="L4:L138"/>
    </sheetView>
  </sheetViews>
  <sheetFormatPr defaultColWidth="8.7109375" defaultRowHeight="16.5" x14ac:dyDescent="0.3"/>
  <cols>
    <col min="1" max="1" width="11.140625" style="373" hidden="1" customWidth="1"/>
    <col min="2" max="2" width="14" style="374" bestFit="1" customWidth="1"/>
    <col min="3" max="3" width="16.85546875" style="374" customWidth="1"/>
    <col min="4" max="4" width="25.5703125" style="374" customWidth="1"/>
    <col min="5" max="5" width="18" style="374" customWidth="1"/>
    <col min="6" max="6" width="11.28515625" style="375" customWidth="1"/>
    <col min="7" max="11" width="11.28515625" style="376" customWidth="1"/>
    <col min="12" max="12" width="13.85546875" style="339" customWidth="1"/>
    <col min="13" max="13" width="11.28515625" style="339" customWidth="1"/>
    <col min="14" max="14" width="9.7109375" style="339" customWidth="1"/>
    <col min="15" max="15" width="10.140625" style="376" customWidth="1"/>
    <col min="16" max="16" width="9.85546875" style="376" customWidth="1"/>
    <col min="17" max="17" width="12.7109375" style="376" customWidth="1"/>
    <col min="18" max="23" width="8.7109375" style="376" customWidth="1"/>
    <col min="24" max="24" width="13.5703125" style="376" customWidth="1"/>
    <col min="25" max="25" width="13.5703125" style="339" customWidth="1"/>
    <col min="26" max="26" width="13.5703125" style="375" customWidth="1"/>
    <col min="27" max="27" width="13.5703125" style="377" customWidth="1"/>
    <col min="28" max="28" width="19" style="377" customWidth="1"/>
    <col min="29" max="29" width="22.85546875" style="377" customWidth="1"/>
    <col min="30" max="31" width="19" style="378" customWidth="1"/>
    <col min="32" max="34" width="25.85546875" style="339" customWidth="1"/>
    <col min="35" max="35" width="38.7109375" style="339" customWidth="1"/>
    <col min="36" max="36" width="57.28515625" style="339" customWidth="1"/>
    <col min="37" max="37" width="25.28515625" style="339" customWidth="1"/>
    <col min="38" max="38" width="27.28515625" style="339" customWidth="1"/>
    <col min="39" max="39" width="22" style="339" customWidth="1"/>
    <col min="40" max="40" width="16" style="339" customWidth="1"/>
    <col min="41" max="41" width="11" style="339" customWidth="1"/>
    <col min="42" max="42" width="12.7109375" style="339" customWidth="1"/>
    <col min="43" max="43" width="20" style="339" bestFit="1" customWidth="1"/>
    <col min="44" max="44" width="46" style="339" customWidth="1"/>
    <col min="45" max="16384" width="8.7109375" style="339"/>
  </cols>
  <sheetData>
    <row r="1" spans="1:65" ht="15" customHeight="1" thickBot="1" x14ac:dyDescent="0.35">
      <c r="A1" s="335"/>
      <c r="B1" s="427"/>
      <c r="C1" s="427"/>
      <c r="D1" s="427"/>
      <c r="E1" s="427"/>
      <c r="F1" s="431" t="s">
        <v>582</v>
      </c>
      <c r="G1" s="431"/>
      <c r="H1" s="431"/>
      <c r="I1" s="431"/>
      <c r="J1" s="431"/>
      <c r="K1" s="431"/>
      <c r="L1" s="431"/>
      <c r="M1" s="431"/>
      <c r="N1" s="431"/>
      <c r="O1" s="431"/>
      <c r="P1" s="431"/>
      <c r="Q1" s="431"/>
      <c r="R1" s="431"/>
      <c r="S1" s="431"/>
      <c r="T1" s="431"/>
      <c r="U1" s="431"/>
      <c r="V1" s="431"/>
      <c r="W1" s="336"/>
      <c r="X1" s="337"/>
      <c r="Y1" s="338"/>
      <c r="Z1" s="338"/>
      <c r="AA1" s="338"/>
      <c r="AB1" s="339"/>
      <c r="AC1" s="339"/>
      <c r="AD1" s="339"/>
      <c r="AE1" s="339"/>
    </row>
    <row r="2" spans="1:65" ht="34.5" thickTop="1" thickBot="1" x14ac:dyDescent="0.35">
      <c r="A2" s="340"/>
      <c r="B2" s="434" t="s">
        <v>55</v>
      </c>
      <c r="C2" s="435"/>
      <c r="D2" s="435"/>
      <c r="E2" s="435"/>
      <c r="F2" s="341"/>
      <c r="G2" s="342"/>
      <c r="H2" s="342"/>
      <c r="I2" s="342"/>
      <c r="J2" s="341"/>
      <c r="K2" s="341"/>
      <c r="L2" s="342"/>
      <c r="M2" s="341"/>
      <c r="N2" s="342"/>
      <c r="O2" s="342"/>
      <c r="P2" s="341"/>
      <c r="Q2" s="341"/>
      <c r="R2" s="428" t="s">
        <v>583</v>
      </c>
      <c r="S2" s="429"/>
      <c r="T2" s="429"/>
      <c r="U2" s="429"/>
      <c r="V2" s="430"/>
      <c r="W2" s="343"/>
      <c r="X2" s="343" t="s">
        <v>584</v>
      </c>
      <c r="Y2" s="432" t="s">
        <v>35</v>
      </c>
      <c r="Z2" s="433"/>
      <c r="AA2" s="344" t="str">
        <f>_xlfn.CONCAT("# of units flagged: ",COUNTIF(tblSeverityAnalysis['# Flags],"&gt;=1"))</f>
        <v># of units flagged: 0</v>
      </c>
      <c r="AB2" s="339"/>
      <c r="AC2" s="339"/>
      <c r="AD2" s="339"/>
      <c r="AE2" s="339"/>
    </row>
    <row r="3" spans="1:65" ht="52.5" thickTop="1" thickBot="1" x14ac:dyDescent="0.35">
      <c r="A3" s="345" t="s">
        <v>294</v>
      </c>
      <c r="B3" s="346" t="s">
        <v>69</v>
      </c>
      <c r="C3" s="347" t="s">
        <v>295</v>
      </c>
      <c r="D3" s="347" t="s">
        <v>70</v>
      </c>
      <c r="E3" s="347" t="s">
        <v>139</v>
      </c>
      <c r="F3" s="348" t="s">
        <v>298</v>
      </c>
      <c r="G3" s="349" t="s">
        <v>44</v>
      </c>
      <c r="H3" s="349" t="s">
        <v>299</v>
      </c>
      <c r="I3" s="349" t="s">
        <v>300</v>
      </c>
      <c r="J3" s="349" t="s">
        <v>46</v>
      </c>
      <c r="K3" s="349" t="s">
        <v>301</v>
      </c>
      <c r="L3" s="349" t="s">
        <v>302</v>
      </c>
      <c r="M3" s="350" t="s">
        <v>107</v>
      </c>
      <c r="N3" s="351" t="s">
        <v>303</v>
      </c>
      <c r="O3" s="351" t="s">
        <v>102</v>
      </c>
      <c r="P3" s="351" t="s">
        <v>112</v>
      </c>
      <c r="Q3" s="352" t="s">
        <v>100</v>
      </c>
      <c r="R3" s="349" t="s">
        <v>585</v>
      </c>
      <c r="S3" s="349" t="s">
        <v>586</v>
      </c>
      <c r="T3" s="349" t="s">
        <v>587</v>
      </c>
      <c r="U3" s="349" t="s">
        <v>588</v>
      </c>
      <c r="V3" s="350" t="s">
        <v>589</v>
      </c>
      <c r="W3" s="353" t="s">
        <v>571</v>
      </c>
      <c r="X3" s="353" t="s">
        <v>590</v>
      </c>
      <c r="Y3" s="354" t="s">
        <v>35</v>
      </c>
      <c r="Z3" s="355" t="s">
        <v>319</v>
      </c>
      <c r="AA3" s="356" t="s">
        <v>320</v>
      </c>
      <c r="AB3" s="339"/>
      <c r="AC3" s="339"/>
      <c r="AD3" s="339"/>
      <c r="AE3" s="339"/>
    </row>
    <row r="4" spans="1:65" s="371" customFormat="1" ht="17.25" thickTop="1" x14ac:dyDescent="0.3">
      <c r="A4" s="357" t="str">
        <f>tblSeverityAnalysis[[#This Row],[Admin 2 P-Code]]</f>
        <v>SD06138</v>
      </c>
      <c r="B4" s="245" t="s">
        <v>141</v>
      </c>
      <c r="C4" s="358" t="s">
        <v>123</v>
      </c>
      <c r="D4" s="359" t="s">
        <v>163</v>
      </c>
      <c r="E4" s="246" t="s">
        <v>162</v>
      </c>
      <c r="F4" s="360"/>
      <c r="G4" s="361"/>
      <c r="H4" s="361"/>
      <c r="I4" s="361"/>
      <c r="J4" s="361"/>
      <c r="K4" s="361">
        <v>4</v>
      </c>
      <c r="L4" s="362">
        <v>4</v>
      </c>
      <c r="M4" s="363"/>
      <c r="N4" s="361"/>
      <c r="O4" s="361"/>
      <c r="P4" s="361"/>
      <c r="Q4" s="361"/>
      <c r="R4" s="364" t="str">
        <f>IF(COUNTIF(tblSeverityAnalysis[[#This Row],[Site Management ]:[WASH]], 1)=0, "", COUNTIF(tblSeverityAnalysis[[#This Row],[Site Management ]:[WASH]], 1))</f>
        <v/>
      </c>
      <c r="S4" s="365" t="str">
        <f>IF(COUNTIF(tblSeverityAnalysis[[#This Row],[Site Management ]:[WASH]], 2)=0, "", COUNTIF(tblSeverityAnalysis[[#This Row],[Site Management ]:[WASH]], 2))</f>
        <v/>
      </c>
      <c r="T4" s="365" t="str">
        <f>IF(COUNTIF(tblSeverityAnalysis[[#This Row],[Site Management ]:[WASH]], 3)=0, "", COUNTIF(tblSeverityAnalysis[[#This Row],[Site Management ]:[WASH]], 3))</f>
        <v/>
      </c>
      <c r="U4" s="365">
        <f>IF(COUNTIF(tblSeverityAnalysis[[#This Row],[Site Management ]:[WASH]], 4)=0, "", COUNTIF(tblSeverityAnalysis[[#This Row],[Site Management ]:[WASH]], 4))</f>
        <v>2</v>
      </c>
      <c r="V4" s="366" t="str">
        <f>IF(COUNTIF(tblSeverityAnalysis[[#This Row],[Site Management ]:[WASH]], 5)=0, "", COUNTIF(tblSeverityAnalysis[[#This Row],[Site Management ]:[WASH]], 5))</f>
        <v/>
      </c>
      <c r="W4" s="367">
        <f>IFERROR(LARGE(tblSeverityAnalysis[[#This Row],[Site Management ]:[General Protection]],1),"")</f>
        <v>4</v>
      </c>
      <c r="X4" s="368" t="str">
        <f>IFERROR(IF(AND(tblSeverityAnalysis[[#This Row],[5]] &lt;&gt; "", tblSeverityAnalysis[[#This Row],[5]]&gt;=sectors_sev_5), "Flagged", ""), "")</f>
        <v/>
      </c>
      <c r="Y4" s="369"/>
      <c r="Z4" s="324"/>
      <c r="AA4" s="370">
        <f>COUNTIF(tblSeverityAnalysis[[#This Row],[1 sectors in severity phase 5 '[modify the threshold']]:[Manual Flag]], "Flagged")</f>
        <v>0</v>
      </c>
      <c r="AB4" s="339"/>
    </row>
    <row r="5" spans="1:65" x14ac:dyDescent="0.3">
      <c r="A5" s="357" t="str">
        <f>tblSeverityAnalysis[[#This Row],[Admin 2 P-Code]]</f>
        <v>SD02170</v>
      </c>
      <c r="B5" s="245" t="s">
        <v>167</v>
      </c>
      <c r="C5" s="358" t="s">
        <v>119</v>
      </c>
      <c r="D5" s="359" t="s">
        <v>227</v>
      </c>
      <c r="E5" s="246" t="s">
        <v>226</v>
      </c>
      <c r="F5" s="360"/>
      <c r="G5" s="361"/>
      <c r="H5" s="361"/>
      <c r="I5" s="361"/>
      <c r="J5" s="361"/>
      <c r="K5" s="361">
        <v>4</v>
      </c>
      <c r="L5" s="362">
        <v>4</v>
      </c>
      <c r="M5" s="363"/>
      <c r="N5" s="361"/>
      <c r="O5" s="361"/>
      <c r="P5" s="361"/>
      <c r="Q5" s="361"/>
      <c r="R5" s="364" t="str">
        <f>IF(COUNTIF(tblSeverityAnalysis[[#This Row],[Site Management ]:[WASH]], 1)=0, "", COUNTIF(tblSeverityAnalysis[[#This Row],[Site Management ]:[WASH]], 1))</f>
        <v/>
      </c>
      <c r="S5" s="365" t="str">
        <f>IF(COUNTIF(tblSeverityAnalysis[[#This Row],[Site Management ]:[WASH]], 2)=0, "", COUNTIF(tblSeverityAnalysis[[#This Row],[Site Management ]:[WASH]], 2))</f>
        <v/>
      </c>
      <c r="T5" s="365" t="str">
        <f>IF(COUNTIF(tblSeverityAnalysis[[#This Row],[Site Management ]:[WASH]], 3)=0, "", COUNTIF(tblSeverityAnalysis[[#This Row],[Site Management ]:[WASH]], 3))</f>
        <v/>
      </c>
      <c r="U5" s="365">
        <f>IF(COUNTIF(tblSeverityAnalysis[[#This Row],[Site Management ]:[WASH]], 4)=0, "", COUNTIF(tblSeverityAnalysis[[#This Row],[Site Management ]:[WASH]], 4))</f>
        <v>2</v>
      </c>
      <c r="V5" s="366" t="str">
        <f>IF(COUNTIF(tblSeverityAnalysis[[#This Row],[Site Management ]:[WASH]], 5)=0, "", COUNTIF(tblSeverityAnalysis[[#This Row],[Site Management ]:[WASH]], 5))</f>
        <v/>
      </c>
      <c r="W5" s="367">
        <f>IFERROR(LARGE(tblSeverityAnalysis[[#This Row],[Site Management ]:[General Protection]],1),"")</f>
        <v>4</v>
      </c>
      <c r="X5" s="368" t="str">
        <f>IFERROR(IF(AND(tblSeverityAnalysis[[#This Row],[5]] &lt;&gt; "", tblSeverityAnalysis[[#This Row],[5]]&gt;=sectors_sev_5), "Flagged", ""), "")</f>
        <v/>
      </c>
      <c r="Y5" s="369"/>
      <c r="Z5" s="324"/>
      <c r="AA5" s="370">
        <f>COUNTIF(tblSeverityAnalysis[[#This Row],[1 sectors in severity phase 5 '[modify the threshold']]:[Manual Flag]], "Flagged")</f>
        <v>0</v>
      </c>
      <c r="AB5" s="339"/>
      <c r="AC5" s="339"/>
      <c r="AD5" s="339"/>
      <c r="AE5" s="339"/>
      <c r="BM5" s="339" t="s">
        <v>591</v>
      </c>
    </row>
    <row r="6" spans="1:65" x14ac:dyDescent="0.3">
      <c r="A6" s="357" t="str">
        <f>tblSeverityAnalysis[[#This Row],[Admin 2 P-Code]]</f>
        <v>SD10067</v>
      </c>
      <c r="B6" s="245" t="s">
        <v>176</v>
      </c>
      <c r="C6" s="358" t="s">
        <v>127</v>
      </c>
      <c r="D6" s="359" t="s">
        <v>410</v>
      </c>
      <c r="E6" s="246" t="s">
        <v>411</v>
      </c>
      <c r="F6" s="360"/>
      <c r="G6" s="361"/>
      <c r="H6" s="361"/>
      <c r="I6" s="361"/>
      <c r="J6" s="361"/>
      <c r="K6" s="361">
        <v>4</v>
      </c>
      <c r="L6" s="362">
        <v>4</v>
      </c>
      <c r="M6" s="363"/>
      <c r="N6" s="361"/>
      <c r="O6" s="361"/>
      <c r="P6" s="361"/>
      <c r="Q6" s="361"/>
      <c r="R6" s="364" t="str">
        <f>IF(COUNTIF(tblSeverityAnalysis[[#This Row],[Site Management ]:[WASH]], 1)=0, "", COUNTIF(tblSeverityAnalysis[[#This Row],[Site Management ]:[WASH]], 1))</f>
        <v/>
      </c>
      <c r="S6" s="365" t="str">
        <f>IF(COUNTIF(tblSeverityAnalysis[[#This Row],[Site Management ]:[WASH]], 2)=0, "", COUNTIF(tblSeverityAnalysis[[#This Row],[Site Management ]:[WASH]], 2))</f>
        <v/>
      </c>
      <c r="T6" s="365" t="str">
        <f>IF(COUNTIF(tblSeverityAnalysis[[#This Row],[Site Management ]:[WASH]], 3)=0, "", COUNTIF(tblSeverityAnalysis[[#This Row],[Site Management ]:[WASH]], 3))</f>
        <v/>
      </c>
      <c r="U6" s="365">
        <f>IF(COUNTIF(tblSeverityAnalysis[[#This Row],[Site Management ]:[WASH]], 4)=0, "", COUNTIF(tblSeverityAnalysis[[#This Row],[Site Management ]:[WASH]], 4))</f>
        <v>2</v>
      </c>
      <c r="V6" s="366" t="str">
        <f>IF(COUNTIF(tblSeverityAnalysis[[#This Row],[Site Management ]:[WASH]], 5)=0, "", COUNTIF(tblSeverityAnalysis[[#This Row],[Site Management ]:[WASH]], 5))</f>
        <v/>
      </c>
      <c r="W6" s="367">
        <f>IFERROR(LARGE(tblSeverityAnalysis[[#This Row],[Site Management ]:[General Protection]],1),"")</f>
        <v>4</v>
      </c>
      <c r="X6" s="368" t="str">
        <f>IFERROR(IF(AND(tblSeverityAnalysis[[#This Row],[5]] &lt;&gt; "", tblSeverityAnalysis[[#This Row],[5]]&gt;=sectors_sev_5), "Flagged", ""), "")</f>
        <v/>
      </c>
      <c r="Y6" s="369"/>
      <c r="Z6" s="324"/>
      <c r="AA6" s="370">
        <f>COUNTIF(tblSeverityAnalysis[[#This Row],[1 sectors in severity phase 5 '[modify the threshold']]:[Manual Flag]], "Flagged")</f>
        <v>0</v>
      </c>
      <c r="AB6" s="339"/>
      <c r="AC6" s="339"/>
      <c r="AD6" s="339"/>
      <c r="AE6" s="339"/>
    </row>
    <row r="7" spans="1:65" x14ac:dyDescent="0.3">
      <c r="A7" s="357" t="str">
        <f>tblSeverityAnalysis[[#This Row],[Admin 2 P-Code]]</f>
        <v>SD03144</v>
      </c>
      <c r="B7" s="245" t="s">
        <v>185</v>
      </c>
      <c r="C7" s="358" t="s">
        <v>120</v>
      </c>
      <c r="D7" s="359" t="s">
        <v>237</v>
      </c>
      <c r="E7" s="246" t="s">
        <v>236</v>
      </c>
      <c r="F7" s="360"/>
      <c r="G7" s="361"/>
      <c r="H7" s="361"/>
      <c r="I7" s="361"/>
      <c r="J7" s="361"/>
      <c r="K7" s="361">
        <v>4</v>
      </c>
      <c r="L7" s="362">
        <v>4</v>
      </c>
      <c r="M7" s="363"/>
      <c r="N7" s="361"/>
      <c r="O7" s="361"/>
      <c r="P7" s="361"/>
      <c r="Q7" s="361"/>
      <c r="R7" s="364" t="str">
        <f>IF(COUNTIF(tblSeverityAnalysis[[#This Row],[Site Management ]:[WASH]], 1)=0, "", COUNTIF(tblSeverityAnalysis[[#This Row],[Site Management ]:[WASH]], 1))</f>
        <v/>
      </c>
      <c r="S7" s="365" t="str">
        <f>IF(COUNTIF(tblSeverityAnalysis[[#This Row],[Site Management ]:[WASH]], 2)=0, "", COUNTIF(tblSeverityAnalysis[[#This Row],[Site Management ]:[WASH]], 2))</f>
        <v/>
      </c>
      <c r="T7" s="365" t="str">
        <f>IF(COUNTIF(tblSeverityAnalysis[[#This Row],[Site Management ]:[WASH]], 3)=0, "", COUNTIF(tblSeverityAnalysis[[#This Row],[Site Management ]:[WASH]], 3))</f>
        <v/>
      </c>
      <c r="U7" s="365">
        <f>IF(COUNTIF(tblSeverityAnalysis[[#This Row],[Site Management ]:[WASH]], 4)=0, "", COUNTIF(tblSeverityAnalysis[[#This Row],[Site Management ]:[WASH]], 4))</f>
        <v>2</v>
      </c>
      <c r="V7" s="366" t="str">
        <f>IF(COUNTIF(tblSeverityAnalysis[[#This Row],[Site Management ]:[WASH]], 5)=0, "", COUNTIF(tblSeverityAnalysis[[#This Row],[Site Management ]:[WASH]], 5))</f>
        <v/>
      </c>
      <c r="W7" s="367">
        <f>IFERROR(LARGE(tblSeverityAnalysis[[#This Row],[Site Management ]:[General Protection]],1),"")</f>
        <v>4</v>
      </c>
      <c r="X7" s="368" t="str">
        <f>IFERROR(IF(AND(tblSeverityAnalysis[[#This Row],[5]] &lt;&gt; "", tblSeverityAnalysis[[#This Row],[5]]&gt;=sectors_sev_5), "Flagged", ""), "")</f>
        <v/>
      </c>
      <c r="Y7" s="369"/>
      <c r="Z7" s="324"/>
      <c r="AA7" s="370">
        <f>COUNTIF(tblSeverityAnalysis[[#This Row],[1 sectors in severity phase 5 '[modify the threshold']]:[Manual Flag]], "Flagged")</f>
        <v>0</v>
      </c>
      <c r="AB7" s="339"/>
      <c r="AC7" s="339"/>
      <c r="AD7" s="339"/>
      <c r="AE7" s="339"/>
    </row>
    <row r="8" spans="1:65" x14ac:dyDescent="0.3">
      <c r="A8" s="357" t="str">
        <f>tblSeverityAnalysis[[#This Row],[Admin 2 P-Code]]</f>
        <v>SD03158</v>
      </c>
      <c r="B8" s="245" t="s">
        <v>185</v>
      </c>
      <c r="C8" s="358" t="s">
        <v>120</v>
      </c>
      <c r="D8" s="359" t="s">
        <v>259</v>
      </c>
      <c r="E8" s="246" t="s">
        <v>258</v>
      </c>
      <c r="F8" s="360"/>
      <c r="G8" s="361"/>
      <c r="H8" s="361"/>
      <c r="I8" s="361"/>
      <c r="J8" s="361"/>
      <c r="K8" s="361">
        <v>4</v>
      </c>
      <c r="L8" s="362">
        <v>4</v>
      </c>
      <c r="M8" s="363"/>
      <c r="N8" s="361"/>
      <c r="O8" s="361"/>
      <c r="P8" s="361"/>
      <c r="Q8" s="361"/>
      <c r="R8" s="364" t="str">
        <f>IF(COUNTIF(tblSeverityAnalysis[[#This Row],[Site Management ]:[WASH]], 1)=0, "", COUNTIF(tblSeverityAnalysis[[#This Row],[Site Management ]:[WASH]], 1))</f>
        <v/>
      </c>
      <c r="S8" s="365" t="str">
        <f>IF(COUNTIF(tblSeverityAnalysis[[#This Row],[Site Management ]:[WASH]], 2)=0, "", COUNTIF(tblSeverityAnalysis[[#This Row],[Site Management ]:[WASH]], 2))</f>
        <v/>
      </c>
      <c r="T8" s="365" t="str">
        <f>IF(COUNTIF(tblSeverityAnalysis[[#This Row],[Site Management ]:[WASH]], 3)=0, "", COUNTIF(tblSeverityAnalysis[[#This Row],[Site Management ]:[WASH]], 3))</f>
        <v/>
      </c>
      <c r="U8" s="365">
        <f>IF(COUNTIF(tblSeverityAnalysis[[#This Row],[Site Management ]:[WASH]], 4)=0, "", COUNTIF(tblSeverityAnalysis[[#This Row],[Site Management ]:[WASH]], 4))</f>
        <v>2</v>
      </c>
      <c r="V8" s="366" t="str">
        <f>IF(COUNTIF(tblSeverityAnalysis[[#This Row],[Site Management ]:[WASH]], 5)=0, "", COUNTIF(tblSeverityAnalysis[[#This Row],[Site Management ]:[WASH]], 5))</f>
        <v/>
      </c>
      <c r="W8" s="367">
        <f>IFERROR(LARGE(tblSeverityAnalysis[[#This Row],[Site Management ]:[General Protection]],1),"")</f>
        <v>4</v>
      </c>
      <c r="X8" s="368" t="str">
        <f>IFERROR(IF(AND(tblSeverityAnalysis[[#This Row],[5]] &lt;&gt; "", tblSeverityAnalysis[[#This Row],[5]]&gt;=sectors_sev_5), "Flagged", ""), "")</f>
        <v/>
      </c>
      <c r="Y8" s="369"/>
      <c r="Z8" s="324"/>
      <c r="AA8" s="370">
        <f>COUNTIF(tblSeverityAnalysis[[#This Row],[1 sectors in severity phase 5 '[modify the threshold']]:[Manual Flag]], "Flagged")</f>
        <v>0</v>
      </c>
      <c r="AB8" s="339"/>
      <c r="AC8" s="339"/>
      <c r="AD8" s="339"/>
      <c r="AE8" s="339"/>
    </row>
    <row r="9" spans="1:65" x14ac:dyDescent="0.3">
      <c r="A9" s="357" t="str">
        <f>tblSeverityAnalysis[[#This Row],[Admin 2 P-Code]]</f>
        <v>SD09051</v>
      </c>
      <c r="B9" s="245" t="s">
        <v>197</v>
      </c>
      <c r="C9" s="358" t="s">
        <v>126</v>
      </c>
      <c r="D9" s="359" t="s">
        <v>398</v>
      </c>
      <c r="E9" s="246" t="s">
        <v>399</v>
      </c>
      <c r="F9" s="360"/>
      <c r="G9" s="361"/>
      <c r="H9" s="361"/>
      <c r="I9" s="361"/>
      <c r="J9" s="361"/>
      <c r="K9" s="361">
        <v>4</v>
      </c>
      <c r="L9" s="362">
        <v>4</v>
      </c>
      <c r="M9" s="363"/>
      <c r="N9" s="361"/>
      <c r="O9" s="361"/>
      <c r="P9" s="361"/>
      <c r="Q9" s="361"/>
      <c r="R9" s="364" t="str">
        <f>IF(COUNTIF(tblSeverityAnalysis[[#This Row],[Site Management ]:[WASH]], 1)=0, "", COUNTIF(tblSeverityAnalysis[[#This Row],[Site Management ]:[WASH]], 1))</f>
        <v/>
      </c>
      <c r="S9" s="365" t="str">
        <f>IF(COUNTIF(tblSeverityAnalysis[[#This Row],[Site Management ]:[WASH]], 2)=0, "", COUNTIF(tblSeverityAnalysis[[#This Row],[Site Management ]:[WASH]], 2))</f>
        <v/>
      </c>
      <c r="T9" s="365" t="str">
        <f>IF(COUNTIF(tblSeverityAnalysis[[#This Row],[Site Management ]:[WASH]], 3)=0, "", COUNTIF(tblSeverityAnalysis[[#This Row],[Site Management ]:[WASH]], 3))</f>
        <v/>
      </c>
      <c r="U9" s="365">
        <f>IF(COUNTIF(tblSeverityAnalysis[[#This Row],[Site Management ]:[WASH]], 4)=0, "", COUNTIF(tblSeverityAnalysis[[#This Row],[Site Management ]:[WASH]], 4))</f>
        <v>2</v>
      </c>
      <c r="V9" s="366" t="str">
        <f>IF(COUNTIF(tblSeverityAnalysis[[#This Row],[Site Management ]:[WASH]], 5)=0, "", COUNTIF(tblSeverityAnalysis[[#This Row],[Site Management ]:[WASH]], 5))</f>
        <v/>
      </c>
      <c r="W9" s="367">
        <f>IFERROR(LARGE(tblSeverityAnalysis[[#This Row],[Site Management ]:[General Protection]],1),"")</f>
        <v>4</v>
      </c>
      <c r="X9" s="368" t="str">
        <f>IFERROR(IF(AND(tblSeverityAnalysis[[#This Row],[5]] &lt;&gt; "", tblSeverityAnalysis[[#This Row],[5]]&gt;=sectors_sev_5), "Flagged", ""), "")</f>
        <v/>
      </c>
      <c r="Y9" s="369"/>
      <c r="Z9" s="324"/>
      <c r="AA9" s="370">
        <f>COUNTIF(tblSeverityAnalysis[[#This Row],[1 sectors in severity phase 5 '[modify the threshold']]:[Manual Flag]], "Flagged")</f>
        <v>0</v>
      </c>
      <c r="AB9" s="339"/>
      <c r="AC9" s="339"/>
      <c r="AD9" s="339"/>
      <c r="AE9" s="339"/>
    </row>
    <row r="10" spans="1:65" ht="15.6" customHeight="1" x14ac:dyDescent="0.3">
      <c r="A10" s="357" t="str">
        <f>tblSeverityAnalysis[[#This Row],[Admin 2 P-Code]]</f>
        <v>SD15030</v>
      </c>
      <c r="B10" s="245" t="s">
        <v>147</v>
      </c>
      <c r="C10" s="358" t="s">
        <v>132</v>
      </c>
      <c r="D10" s="372" t="s">
        <v>496</v>
      </c>
      <c r="E10" s="246" t="s">
        <v>497</v>
      </c>
      <c r="F10" s="360"/>
      <c r="G10" s="361"/>
      <c r="H10" s="361"/>
      <c r="I10" s="361"/>
      <c r="J10" s="361"/>
      <c r="K10" s="361"/>
      <c r="L10" s="361">
        <f>_xlfn.XLOOKUP(tblSeverityAnalysis[[#This Row],[Admin 2 P-Code]],'PIN2025'!B:B,'PIN2025'!H:H,0,0)</f>
        <v>4</v>
      </c>
      <c r="M10" s="363"/>
      <c r="N10" s="361"/>
      <c r="O10" s="361"/>
      <c r="P10" s="361"/>
      <c r="Q10" s="361"/>
      <c r="R10" s="364" t="str">
        <f>IF(COUNTIF(tblSeverityAnalysis[[#This Row],[Site Management ]:[WASH]], 1)=0, "", COUNTIF(tblSeverityAnalysis[[#This Row],[Site Management ]:[WASH]], 1))</f>
        <v/>
      </c>
      <c r="S10" s="365" t="str">
        <f>IF(COUNTIF(tblSeverityAnalysis[[#This Row],[Site Management ]:[WASH]], 2)=0, "", COUNTIF(tblSeverityAnalysis[[#This Row],[Site Management ]:[WASH]], 2))</f>
        <v/>
      </c>
      <c r="T10" s="365" t="str">
        <f>IF(COUNTIF(tblSeverityAnalysis[[#This Row],[Site Management ]:[WASH]], 3)=0, "", COUNTIF(tblSeverityAnalysis[[#This Row],[Site Management ]:[WASH]], 3))</f>
        <v/>
      </c>
      <c r="U10" s="365">
        <f>IF(COUNTIF(tblSeverityAnalysis[[#This Row],[Site Management ]:[WASH]], 4)=0, "", COUNTIF(tblSeverityAnalysis[[#This Row],[Site Management ]:[WASH]], 4))</f>
        <v>1</v>
      </c>
      <c r="V10" s="366" t="str">
        <f>IF(COUNTIF(tblSeverityAnalysis[[#This Row],[Site Management ]:[WASH]], 5)=0, "", COUNTIF(tblSeverityAnalysis[[#This Row],[Site Management ]:[WASH]], 5))</f>
        <v/>
      </c>
      <c r="W10" s="367">
        <f>IFERROR(LARGE(tblSeverityAnalysis[[#This Row],[Site Management ]:[General Protection]],1),"")</f>
        <v>4</v>
      </c>
      <c r="X10" s="368" t="str">
        <f>IFERROR(IF(AND(tblSeverityAnalysis[[#This Row],[5]] &lt;&gt; "", tblSeverityAnalysis[[#This Row],[5]]&gt;=sectors_sev_5), "Flagged", ""), "")</f>
        <v/>
      </c>
      <c r="Y10" s="369"/>
      <c r="Z10" s="324"/>
      <c r="AA10" s="370">
        <f>COUNTIF(tblSeverityAnalysis[[#This Row],[1 sectors in severity phase 5 '[modify the threshold']]:[Manual Flag]], "Flagged")</f>
        <v>0</v>
      </c>
      <c r="AB10" s="339"/>
      <c r="AC10" s="339"/>
      <c r="AD10" s="339"/>
      <c r="AE10" s="339"/>
    </row>
    <row r="11" spans="1:65" x14ac:dyDescent="0.3">
      <c r="A11" s="357" t="str">
        <f>tblSeverityAnalysis[[#This Row],[Admin 2 P-Code]]</f>
        <v>SD15031</v>
      </c>
      <c r="B11" s="245" t="s">
        <v>147</v>
      </c>
      <c r="C11" s="358" t="s">
        <v>132</v>
      </c>
      <c r="D11" s="372" t="s">
        <v>498</v>
      </c>
      <c r="E11" s="246" t="s">
        <v>499</v>
      </c>
      <c r="F11" s="360"/>
      <c r="G11" s="361"/>
      <c r="H11" s="361"/>
      <c r="I11" s="361"/>
      <c r="J11" s="361"/>
      <c r="K11" s="361"/>
      <c r="L11" s="361">
        <f>_xlfn.XLOOKUP(tblSeverityAnalysis[[#This Row],[Admin 2 P-Code]],'PIN2025'!B:B,'PIN2025'!H:H,0,0)</f>
        <v>4</v>
      </c>
      <c r="M11" s="363"/>
      <c r="N11" s="361"/>
      <c r="O11" s="361"/>
      <c r="P11" s="361"/>
      <c r="Q11" s="361"/>
      <c r="R11" s="364" t="str">
        <f>IF(COUNTIF(tblSeverityAnalysis[[#This Row],[Site Management ]:[WASH]], 1)=0, "", COUNTIF(tblSeverityAnalysis[[#This Row],[Site Management ]:[WASH]], 1))</f>
        <v/>
      </c>
      <c r="S11" s="365" t="str">
        <f>IF(COUNTIF(tblSeverityAnalysis[[#This Row],[Site Management ]:[WASH]], 2)=0, "", COUNTIF(tblSeverityAnalysis[[#This Row],[Site Management ]:[WASH]], 2))</f>
        <v/>
      </c>
      <c r="T11" s="365" t="str">
        <f>IF(COUNTIF(tblSeverityAnalysis[[#This Row],[Site Management ]:[WASH]], 3)=0, "", COUNTIF(tblSeverityAnalysis[[#This Row],[Site Management ]:[WASH]], 3))</f>
        <v/>
      </c>
      <c r="U11" s="365">
        <f>IF(COUNTIF(tblSeverityAnalysis[[#This Row],[Site Management ]:[WASH]], 4)=0, "", COUNTIF(tblSeverityAnalysis[[#This Row],[Site Management ]:[WASH]], 4))</f>
        <v>1</v>
      </c>
      <c r="V11" s="366" t="str">
        <f>IF(COUNTIF(tblSeverityAnalysis[[#This Row],[Site Management ]:[WASH]], 5)=0, "", COUNTIF(tblSeverityAnalysis[[#This Row],[Site Management ]:[WASH]], 5))</f>
        <v/>
      </c>
      <c r="W11" s="367">
        <f>IFERROR(LARGE(tblSeverityAnalysis[[#This Row],[Site Management ]:[General Protection]],1),"")</f>
        <v>4</v>
      </c>
      <c r="X11" s="368" t="str">
        <f>IFERROR(IF(AND(tblSeverityAnalysis[[#This Row],[5]] &lt;&gt; "", tblSeverityAnalysis[[#This Row],[5]]&gt;=sectors_sev_5), "Flagged", ""), "")</f>
        <v/>
      </c>
      <c r="Y11" s="369"/>
      <c r="Z11" s="324"/>
      <c r="AA11" s="370">
        <f>COUNTIF(tblSeverityAnalysis[[#This Row],[1 sectors in severity phase 5 '[modify the threshold']]:[Manual Flag]], "Flagged")</f>
        <v>0</v>
      </c>
      <c r="AB11" s="339"/>
      <c r="AC11" s="339"/>
      <c r="AD11" s="339"/>
      <c r="AE11" s="339"/>
    </row>
    <row r="12" spans="1:65" x14ac:dyDescent="0.3">
      <c r="A12" s="357" t="str">
        <f>tblSeverityAnalysis[[#This Row],[Admin 2 P-Code]]</f>
        <v>SD15032</v>
      </c>
      <c r="B12" s="245" t="s">
        <v>147</v>
      </c>
      <c r="C12" s="358" t="s">
        <v>132</v>
      </c>
      <c r="D12" s="372" t="s">
        <v>500</v>
      </c>
      <c r="E12" s="246" t="s">
        <v>501</v>
      </c>
      <c r="F12" s="360"/>
      <c r="G12" s="361"/>
      <c r="H12" s="361"/>
      <c r="I12" s="361"/>
      <c r="J12" s="361"/>
      <c r="K12" s="361"/>
      <c r="L12" s="361">
        <f>_xlfn.XLOOKUP(tblSeverityAnalysis[[#This Row],[Admin 2 P-Code]],'PIN2025'!B:B,'PIN2025'!H:H,0,0)</f>
        <v>4</v>
      </c>
      <c r="M12" s="363"/>
      <c r="N12" s="361"/>
      <c r="O12" s="361"/>
      <c r="P12" s="361"/>
      <c r="Q12" s="361"/>
      <c r="R12" s="364" t="str">
        <f>IF(COUNTIF(tblSeverityAnalysis[[#This Row],[Site Management ]:[WASH]], 1)=0, "", COUNTIF(tblSeverityAnalysis[[#This Row],[Site Management ]:[WASH]], 1))</f>
        <v/>
      </c>
      <c r="S12" s="365" t="str">
        <f>IF(COUNTIF(tblSeverityAnalysis[[#This Row],[Site Management ]:[WASH]], 2)=0, "", COUNTIF(tblSeverityAnalysis[[#This Row],[Site Management ]:[WASH]], 2))</f>
        <v/>
      </c>
      <c r="T12" s="365" t="str">
        <f>IF(COUNTIF(tblSeverityAnalysis[[#This Row],[Site Management ]:[WASH]], 3)=0, "", COUNTIF(tblSeverityAnalysis[[#This Row],[Site Management ]:[WASH]], 3))</f>
        <v/>
      </c>
      <c r="U12" s="365">
        <f>IF(COUNTIF(tblSeverityAnalysis[[#This Row],[Site Management ]:[WASH]], 4)=0, "", COUNTIF(tblSeverityAnalysis[[#This Row],[Site Management ]:[WASH]], 4))</f>
        <v>1</v>
      </c>
      <c r="V12" s="366" t="str">
        <f>IF(COUNTIF(tblSeverityAnalysis[[#This Row],[Site Management ]:[WASH]], 5)=0, "", COUNTIF(tblSeverityAnalysis[[#This Row],[Site Management ]:[WASH]], 5))</f>
        <v/>
      </c>
      <c r="W12" s="367">
        <f>IFERROR(LARGE(tblSeverityAnalysis[[#This Row],[Site Management ]:[General Protection]],1),"")</f>
        <v>4</v>
      </c>
      <c r="X12" s="368" t="str">
        <f>IFERROR(IF(AND(tblSeverityAnalysis[[#This Row],[5]] &lt;&gt; "", tblSeverityAnalysis[[#This Row],[5]]&gt;=sectors_sev_5), "Flagged", ""), "")</f>
        <v/>
      </c>
      <c r="Y12" s="369"/>
      <c r="Z12" s="324"/>
      <c r="AA12" s="370">
        <f>COUNTIF(tblSeverityAnalysis[[#This Row],[1 sectors in severity phase 5 '[modify the threshold']]:[Manual Flag]], "Flagged")</f>
        <v>0</v>
      </c>
      <c r="AB12" s="339"/>
      <c r="AC12" s="339"/>
      <c r="AD12" s="339"/>
      <c r="AE12" s="339"/>
    </row>
    <row r="13" spans="1:65" x14ac:dyDescent="0.3">
      <c r="A13" s="357" t="str">
        <f>tblSeverityAnalysis[[#This Row],[Admin 2 P-Code]]</f>
        <v>SD15033</v>
      </c>
      <c r="B13" s="245" t="s">
        <v>147</v>
      </c>
      <c r="C13" s="358" t="s">
        <v>132</v>
      </c>
      <c r="D13" s="372" t="s">
        <v>502</v>
      </c>
      <c r="E13" s="246" t="s">
        <v>503</v>
      </c>
      <c r="F13" s="360"/>
      <c r="G13" s="361"/>
      <c r="H13" s="361"/>
      <c r="I13" s="361"/>
      <c r="J13" s="361"/>
      <c r="K13" s="361"/>
      <c r="L13" s="361">
        <f>_xlfn.XLOOKUP(tblSeverityAnalysis[[#This Row],[Admin 2 P-Code]],'PIN2025'!B:B,'PIN2025'!H:H,0,0)</f>
        <v>4</v>
      </c>
      <c r="M13" s="363"/>
      <c r="N13" s="361"/>
      <c r="O13" s="361"/>
      <c r="P13" s="361"/>
      <c r="Q13" s="361"/>
      <c r="R13" s="364" t="str">
        <f>IF(COUNTIF(tblSeverityAnalysis[[#This Row],[Site Management ]:[WASH]], 1)=0, "", COUNTIF(tblSeverityAnalysis[[#This Row],[Site Management ]:[WASH]], 1))</f>
        <v/>
      </c>
      <c r="S13" s="365" t="str">
        <f>IF(COUNTIF(tblSeverityAnalysis[[#This Row],[Site Management ]:[WASH]], 2)=0, "", COUNTIF(tblSeverityAnalysis[[#This Row],[Site Management ]:[WASH]], 2))</f>
        <v/>
      </c>
      <c r="T13" s="365" t="str">
        <f>IF(COUNTIF(tblSeverityAnalysis[[#This Row],[Site Management ]:[WASH]], 3)=0, "", COUNTIF(tblSeverityAnalysis[[#This Row],[Site Management ]:[WASH]], 3))</f>
        <v/>
      </c>
      <c r="U13" s="365">
        <f>IF(COUNTIF(tblSeverityAnalysis[[#This Row],[Site Management ]:[WASH]], 4)=0, "", COUNTIF(tblSeverityAnalysis[[#This Row],[Site Management ]:[WASH]], 4))</f>
        <v>1</v>
      </c>
      <c r="V13" s="366" t="str">
        <f>IF(COUNTIF(tblSeverityAnalysis[[#This Row],[Site Management ]:[WASH]], 5)=0, "", COUNTIF(tblSeverityAnalysis[[#This Row],[Site Management ]:[WASH]], 5))</f>
        <v/>
      </c>
      <c r="W13" s="367">
        <f>IFERROR(LARGE(tblSeverityAnalysis[[#This Row],[Site Management ]:[General Protection]],1),"")</f>
        <v>4</v>
      </c>
      <c r="X13" s="368" t="str">
        <f>IFERROR(IF(AND(tblSeverityAnalysis[[#This Row],[5]] &lt;&gt; "", tblSeverityAnalysis[[#This Row],[5]]&gt;=sectors_sev_5), "Flagged", ""), "")</f>
        <v/>
      </c>
      <c r="Y13" s="369"/>
      <c r="Z13" s="324"/>
      <c r="AA13" s="370">
        <f>COUNTIF(tblSeverityAnalysis[[#This Row],[1 sectors in severity phase 5 '[modify the threshold']]:[Manual Flag]], "Flagged")</f>
        <v>0</v>
      </c>
      <c r="AB13" s="339"/>
      <c r="AC13" s="339"/>
      <c r="AD13" s="339"/>
      <c r="AE13" s="339"/>
    </row>
    <row r="14" spans="1:65" x14ac:dyDescent="0.3">
      <c r="A14" s="357" t="str">
        <f>tblSeverityAnalysis[[#This Row],[Admin 2 P-Code]]</f>
        <v>SD15034</v>
      </c>
      <c r="B14" s="249" t="s">
        <v>147</v>
      </c>
      <c r="C14" s="358" t="s">
        <v>132</v>
      </c>
      <c r="D14" s="372" t="s">
        <v>504</v>
      </c>
      <c r="E14" s="246" t="s">
        <v>505</v>
      </c>
      <c r="F14" s="360"/>
      <c r="G14" s="361"/>
      <c r="H14" s="361"/>
      <c r="I14" s="361"/>
      <c r="J14" s="361"/>
      <c r="K14" s="361"/>
      <c r="L14" s="361">
        <f>_xlfn.XLOOKUP(tblSeverityAnalysis[[#This Row],[Admin 2 P-Code]],'PIN2025'!B:B,'PIN2025'!H:H,0,0)</f>
        <v>4</v>
      </c>
      <c r="M14" s="363"/>
      <c r="N14" s="361"/>
      <c r="O14" s="361"/>
      <c r="P14" s="361"/>
      <c r="Q14" s="361"/>
      <c r="R14" s="364" t="str">
        <f>IF(COUNTIF(tblSeverityAnalysis[[#This Row],[Site Management ]:[WASH]], 1)=0, "", COUNTIF(tblSeverityAnalysis[[#This Row],[Site Management ]:[WASH]], 1))</f>
        <v/>
      </c>
      <c r="S14" s="365" t="str">
        <f>IF(COUNTIF(tblSeverityAnalysis[[#This Row],[Site Management ]:[WASH]], 2)=0, "", COUNTIF(tblSeverityAnalysis[[#This Row],[Site Management ]:[WASH]], 2))</f>
        <v/>
      </c>
      <c r="T14" s="365" t="str">
        <f>IF(COUNTIF(tblSeverityAnalysis[[#This Row],[Site Management ]:[WASH]], 3)=0, "", COUNTIF(tblSeverityAnalysis[[#This Row],[Site Management ]:[WASH]], 3))</f>
        <v/>
      </c>
      <c r="U14" s="365">
        <f>IF(COUNTIF(tblSeverityAnalysis[[#This Row],[Site Management ]:[WASH]], 4)=0, "", COUNTIF(tblSeverityAnalysis[[#This Row],[Site Management ]:[WASH]], 4))</f>
        <v>1</v>
      </c>
      <c r="V14" s="366" t="str">
        <f>IF(COUNTIF(tblSeverityAnalysis[[#This Row],[Site Management ]:[WASH]], 5)=0, "", COUNTIF(tblSeverityAnalysis[[#This Row],[Site Management ]:[WASH]], 5))</f>
        <v/>
      </c>
      <c r="W14" s="367">
        <f>IFERROR(LARGE(tblSeverityAnalysis[[#This Row],[Site Management ]:[General Protection]],1),"")</f>
        <v>4</v>
      </c>
      <c r="X14" s="368" t="str">
        <f>IFERROR(IF(AND(tblSeverityAnalysis[[#This Row],[5]] &lt;&gt; "", tblSeverityAnalysis[[#This Row],[5]]&gt;=sectors_sev_5), "Flagged", ""), "")</f>
        <v/>
      </c>
      <c r="Y14" s="369"/>
      <c r="Z14" s="324"/>
      <c r="AA14" s="370">
        <f>COUNTIF(tblSeverityAnalysis[[#This Row],[1 sectors in severity phase 5 '[modify the threshold']]:[Manual Flag]], "Flagged")</f>
        <v>0</v>
      </c>
      <c r="AB14" s="339"/>
      <c r="AC14" s="339"/>
      <c r="AD14" s="339"/>
      <c r="AE14" s="339"/>
    </row>
    <row r="15" spans="1:65" x14ac:dyDescent="0.3">
      <c r="A15" s="357" t="str">
        <f>tblSeverityAnalysis[[#This Row],[Admin 2 P-Code]]</f>
        <v>SD15035</v>
      </c>
      <c r="B15" s="245" t="s">
        <v>147</v>
      </c>
      <c r="C15" s="358" t="s">
        <v>132</v>
      </c>
      <c r="D15" s="372" t="s">
        <v>506</v>
      </c>
      <c r="E15" s="246" t="s">
        <v>507</v>
      </c>
      <c r="F15" s="360"/>
      <c r="G15" s="361"/>
      <c r="H15" s="361"/>
      <c r="I15" s="361"/>
      <c r="J15" s="361"/>
      <c r="K15" s="361"/>
      <c r="L15" s="361">
        <f>_xlfn.XLOOKUP(tblSeverityAnalysis[[#This Row],[Admin 2 P-Code]],'PIN2025'!B:B,'PIN2025'!H:H,0,0)</f>
        <v>4</v>
      </c>
      <c r="M15" s="363"/>
      <c r="N15" s="361"/>
      <c r="O15" s="361"/>
      <c r="P15" s="361"/>
      <c r="Q15" s="361"/>
      <c r="R15" s="364" t="str">
        <f>IF(COUNTIF(tblSeverityAnalysis[[#This Row],[Site Management ]:[WASH]], 1)=0, "", COUNTIF(tblSeverityAnalysis[[#This Row],[Site Management ]:[WASH]], 1))</f>
        <v/>
      </c>
      <c r="S15" s="365" t="str">
        <f>IF(COUNTIF(tblSeverityAnalysis[[#This Row],[Site Management ]:[WASH]], 2)=0, "", COUNTIF(tblSeverityAnalysis[[#This Row],[Site Management ]:[WASH]], 2))</f>
        <v/>
      </c>
      <c r="T15" s="365" t="str">
        <f>IF(COUNTIF(tblSeverityAnalysis[[#This Row],[Site Management ]:[WASH]], 3)=0, "", COUNTIF(tblSeverityAnalysis[[#This Row],[Site Management ]:[WASH]], 3))</f>
        <v/>
      </c>
      <c r="U15" s="365">
        <f>IF(COUNTIF(tblSeverityAnalysis[[#This Row],[Site Management ]:[WASH]], 4)=0, "", COUNTIF(tblSeverityAnalysis[[#This Row],[Site Management ]:[WASH]], 4))</f>
        <v>1</v>
      </c>
      <c r="V15" s="366" t="str">
        <f>IF(COUNTIF(tblSeverityAnalysis[[#This Row],[Site Management ]:[WASH]], 5)=0, "", COUNTIF(tblSeverityAnalysis[[#This Row],[Site Management ]:[WASH]], 5))</f>
        <v/>
      </c>
      <c r="W15" s="367">
        <f>IFERROR(LARGE(tblSeverityAnalysis[[#This Row],[Site Management ]:[General Protection]],1),"")</f>
        <v>4</v>
      </c>
      <c r="X15" s="368" t="str">
        <f>IFERROR(IF(AND(tblSeverityAnalysis[[#This Row],[5]] &lt;&gt; "", tblSeverityAnalysis[[#This Row],[5]]&gt;=sectors_sev_5), "Flagged", ""), "")</f>
        <v/>
      </c>
      <c r="Y15" s="369"/>
      <c r="Z15" s="324"/>
      <c r="AA15" s="370">
        <f>COUNTIF(tblSeverityAnalysis[[#This Row],[1 sectors in severity phase 5 '[modify the threshold']]:[Manual Flag]], "Flagged")</f>
        <v>0</v>
      </c>
      <c r="AB15" s="339"/>
      <c r="AC15" s="339"/>
      <c r="AD15" s="339"/>
      <c r="AE15" s="339"/>
    </row>
    <row r="16" spans="1:65" x14ac:dyDescent="0.3">
      <c r="A16" s="357" t="str">
        <f>tblSeverityAnalysis[[#This Row],[Admin 2 P-Code]]</f>
        <v>SD08104</v>
      </c>
      <c r="B16" s="245" t="s">
        <v>150</v>
      </c>
      <c r="C16" s="358" t="s">
        <v>125</v>
      </c>
      <c r="D16" s="372" t="s">
        <v>370</v>
      </c>
      <c r="E16" s="246" t="s">
        <v>371</v>
      </c>
      <c r="F16" s="360"/>
      <c r="G16" s="361"/>
      <c r="H16" s="361"/>
      <c r="I16" s="361"/>
      <c r="J16" s="361"/>
      <c r="K16" s="361"/>
      <c r="L16" s="361">
        <f>_xlfn.XLOOKUP(tblSeverityAnalysis[[#This Row],[Admin 2 P-Code]],'PIN2025'!B:B,'PIN2025'!H:H,0,0)</f>
        <v>4</v>
      </c>
      <c r="M16" s="363"/>
      <c r="N16" s="361"/>
      <c r="O16" s="361"/>
      <c r="P16" s="361"/>
      <c r="Q16" s="361"/>
      <c r="R16" s="364" t="str">
        <f>IF(COUNTIF(tblSeverityAnalysis[[#This Row],[Site Management ]:[WASH]], 1)=0, "", COUNTIF(tblSeverityAnalysis[[#This Row],[Site Management ]:[WASH]], 1))</f>
        <v/>
      </c>
      <c r="S16" s="365" t="str">
        <f>IF(COUNTIF(tblSeverityAnalysis[[#This Row],[Site Management ]:[WASH]], 2)=0, "", COUNTIF(tblSeverityAnalysis[[#This Row],[Site Management ]:[WASH]], 2))</f>
        <v/>
      </c>
      <c r="T16" s="365" t="str">
        <f>IF(COUNTIF(tblSeverityAnalysis[[#This Row],[Site Management ]:[WASH]], 3)=0, "", COUNTIF(tblSeverityAnalysis[[#This Row],[Site Management ]:[WASH]], 3))</f>
        <v/>
      </c>
      <c r="U16" s="365">
        <f>IF(COUNTIF(tblSeverityAnalysis[[#This Row],[Site Management ]:[WASH]], 4)=0, "", COUNTIF(tblSeverityAnalysis[[#This Row],[Site Management ]:[WASH]], 4))</f>
        <v>1</v>
      </c>
      <c r="V16" s="366" t="str">
        <f>IF(COUNTIF(tblSeverityAnalysis[[#This Row],[Site Management ]:[WASH]], 5)=0, "", COUNTIF(tblSeverityAnalysis[[#This Row],[Site Management ]:[WASH]], 5))</f>
        <v/>
      </c>
      <c r="W16" s="367">
        <f>IFERROR(LARGE(tblSeverityAnalysis[[#This Row],[Site Management ]:[General Protection]],1),"")</f>
        <v>4</v>
      </c>
      <c r="X16" s="368" t="str">
        <f>IFERROR(IF(AND(tblSeverityAnalysis[[#This Row],[5]] &lt;&gt; "", tblSeverityAnalysis[[#This Row],[5]]&gt;=sectors_sev_5), "Flagged", ""), "")</f>
        <v/>
      </c>
      <c r="Y16" s="369"/>
      <c r="Z16" s="324"/>
      <c r="AA16" s="370">
        <f>COUNTIF(tblSeverityAnalysis[[#This Row],[1 sectors in severity phase 5 '[modify the threshold']]:[Manual Flag]], "Flagged")</f>
        <v>0</v>
      </c>
      <c r="AB16" s="339"/>
      <c r="AC16" s="339"/>
      <c r="AD16" s="339"/>
      <c r="AE16" s="339"/>
    </row>
    <row r="17" spans="1:31" x14ac:dyDescent="0.3">
      <c r="A17" s="357" t="str">
        <f>tblSeverityAnalysis[[#This Row],[Admin 2 P-Code]]</f>
        <v>SD11062</v>
      </c>
      <c r="B17" s="245" t="s">
        <v>161</v>
      </c>
      <c r="C17" s="358" t="s">
        <v>128</v>
      </c>
      <c r="D17" s="372" t="s">
        <v>442</v>
      </c>
      <c r="E17" s="246" t="s">
        <v>443</v>
      </c>
      <c r="F17" s="360"/>
      <c r="G17" s="361"/>
      <c r="H17" s="361"/>
      <c r="I17" s="361"/>
      <c r="J17" s="361"/>
      <c r="K17" s="361"/>
      <c r="L17" s="361">
        <f>_xlfn.XLOOKUP(tblSeverityAnalysis[[#This Row],[Admin 2 P-Code]],'PIN2025'!B:B,'PIN2025'!H:H,0,0)</f>
        <v>4</v>
      </c>
      <c r="M17" s="363"/>
      <c r="N17" s="361"/>
      <c r="O17" s="361"/>
      <c r="P17" s="361"/>
      <c r="Q17" s="361"/>
      <c r="R17" s="364" t="str">
        <f>IF(COUNTIF(tblSeverityAnalysis[[#This Row],[Site Management ]:[WASH]], 1)=0, "", COUNTIF(tblSeverityAnalysis[[#This Row],[Site Management ]:[WASH]], 1))</f>
        <v/>
      </c>
      <c r="S17" s="365" t="str">
        <f>IF(COUNTIF(tblSeverityAnalysis[[#This Row],[Site Management ]:[WASH]], 2)=0, "", COUNTIF(tblSeverityAnalysis[[#This Row],[Site Management ]:[WASH]], 2))</f>
        <v/>
      </c>
      <c r="T17" s="365" t="str">
        <f>IF(COUNTIF(tblSeverityAnalysis[[#This Row],[Site Management ]:[WASH]], 3)=0, "", COUNTIF(tblSeverityAnalysis[[#This Row],[Site Management ]:[WASH]], 3))</f>
        <v/>
      </c>
      <c r="U17" s="365">
        <f>IF(COUNTIF(tblSeverityAnalysis[[#This Row],[Site Management ]:[WASH]], 4)=0, "", COUNTIF(tblSeverityAnalysis[[#This Row],[Site Management ]:[WASH]], 4))</f>
        <v>1</v>
      </c>
      <c r="V17" s="366" t="str">
        <f>IF(COUNTIF(tblSeverityAnalysis[[#This Row],[Site Management ]:[WASH]], 5)=0, "", COUNTIF(tblSeverityAnalysis[[#This Row],[Site Management ]:[WASH]], 5))</f>
        <v/>
      </c>
      <c r="W17" s="367">
        <f>IFERROR(LARGE(tblSeverityAnalysis[[#This Row],[Site Management ]:[General Protection]],1),"")</f>
        <v>4</v>
      </c>
      <c r="X17" s="368" t="str">
        <f>IFERROR(IF(AND(tblSeverityAnalysis[[#This Row],[5]] &lt;&gt; "", tblSeverityAnalysis[[#This Row],[5]]&gt;=sectors_sev_5), "Flagged", ""), "")</f>
        <v/>
      </c>
      <c r="Y17" s="369"/>
      <c r="Z17" s="324"/>
      <c r="AA17" s="370">
        <f>COUNTIF(tblSeverityAnalysis[[#This Row],[1 sectors in severity phase 5 '[modify the threshold']]:[Manual Flag]], "Flagged")</f>
        <v>0</v>
      </c>
      <c r="AB17" s="339"/>
      <c r="AC17" s="339"/>
      <c r="AD17" s="339"/>
      <c r="AE17" s="339"/>
    </row>
    <row r="18" spans="1:31" x14ac:dyDescent="0.3">
      <c r="A18" s="357" t="str">
        <f>tblSeverityAnalysis[[#This Row],[Admin 2 P-Code]]</f>
        <v>SD01002</v>
      </c>
      <c r="B18" s="245" t="s">
        <v>164</v>
      </c>
      <c r="C18" s="358" t="s">
        <v>118</v>
      </c>
      <c r="D18" s="372" t="s">
        <v>325</v>
      </c>
      <c r="E18" s="246" t="s">
        <v>326</v>
      </c>
      <c r="F18" s="360"/>
      <c r="G18" s="361"/>
      <c r="H18" s="361"/>
      <c r="I18" s="361"/>
      <c r="J18" s="361"/>
      <c r="K18" s="361"/>
      <c r="L18" s="361">
        <f>_xlfn.XLOOKUP(tblSeverityAnalysis[[#This Row],[Admin 2 P-Code]],'PIN2025'!B:B,'PIN2025'!H:H,0,0)</f>
        <v>4</v>
      </c>
      <c r="M18" s="363"/>
      <c r="N18" s="361"/>
      <c r="O18" s="361"/>
      <c r="P18" s="361"/>
      <c r="Q18" s="361"/>
      <c r="R18" s="364" t="str">
        <f>IF(COUNTIF(tblSeverityAnalysis[[#This Row],[Site Management ]:[WASH]], 1)=0, "", COUNTIF(tblSeverityAnalysis[[#This Row],[Site Management ]:[WASH]], 1))</f>
        <v/>
      </c>
      <c r="S18" s="365" t="str">
        <f>IF(COUNTIF(tblSeverityAnalysis[[#This Row],[Site Management ]:[WASH]], 2)=0, "", COUNTIF(tblSeverityAnalysis[[#This Row],[Site Management ]:[WASH]], 2))</f>
        <v/>
      </c>
      <c r="T18" s="365" t="str">
        <f>IF(COUNTIF(tblSeverityAnalysis[[#This Row],[Site Management ]:[WASH]], 3)=0, "", COUNTIF(tblSeverityAnalysis[[#This Row],[Site Management ]:[WASH]], 3))</f>
        <v/>
      </c>
      <c r="U18" s="365">
        <f>IF(COUNTIF(tblSeverityAnalysis[[#This Row],[Site Management ]:[WASH]], 4)=0, "", COUNTIF(tblSeverityAnalysis[[#This Row],[Site Management ]:[WASH]], 4))</f>
        <v>1</v>
      </c>
      <c r="V18" s="366" t="str">
        <f>IF(COUNTIF(tblSeverityAnalysis[[#This Row],[Site Management ]:[WASH]], 5)=0, "", COUNTIF(tblSeverityAnalysis[[#This Row],[Site Management ]:[WASH]], 5))</f>
        <v/>
      </c>
      <c r="W18" s="367">
        <f>IFERROR(LARGE(tblSeverityAnalysis[[#This Row],[Site Management ]:[General Protection]],1),"")</f>
        <v>4</v>
      </c>
      <c r="X18" s="368" t="str">
        <f>IFERROR(IF(AND(tblSeverityAnalysis[[#This Row],[5]] &lt;&gt; "", tblSeverityAnalysis[[#This Row],[5]]&gt;=sectors_sev_5), "Flagged", ""), "")</f>
        <v/>
      </c>
      <c r="Y18" s="369"/>
      <c r="Z18" s="324"/>
      <c r="AA18" s="370">
        <f>COUNTIF(tblSeverityAnalysis[[#This Row],[1 sectors in severity phase 5 '[modify the threshold']]:[Manual Flag]], "Flagged")</f>
        <v>0</v>
      </c>
      <c r="AB18" s="339"/>
      <c r="AC18" s="339"/>
      <c r="AD18" s="339"/>
      <c r="AE18" s="339"/>
    </row>
    <row r="19" spans="1:31" x14ac:dyDescent="0.3">
      <c r="A19" s="357" t="str">
        <f>tblSeverityAnalysis[[#This Row],[Admin 2 P-Code]]</f>
        <v>SD01003</v>
      </c>
      <c r="B19" s="245" t="s">
        <v>164</v>
      </c>
      <c r="C19" s="358" t="s">
        <v>118</v>
      </c>
      <c r="D19" s="372" t="s">
        <v>327</v>
      </c>
      <c r="E19" s="246" t="s">
        <v>328</v>
      </c>
      <c r="F19" s="360"/>
      <c r="G19" s="361"/>
      <c r="H19" s="361"/>
      <c r="I19" s="361"/>
      <c r="J19" s="361"/>
      <c r="K19" s="361"/>
      <c r="L19" s="361">
        <f>_xlfn.XLOOKUP(tblSeverityAnalysis[[#This Row],[Admin 2 P-Code]],'PIN2025'!B:B,'PIN2025'!H:H,0,0)</f>
        <v>4</v>
      </c>
      <c r="M19" s="363"/>
      <c r="N19" s="361"/>
      <c r="O19" s="361"/>
      <c r="P19" s="361"/>
      <c r="Q19" s="361"/>
      <c r="R19" s="364" t="str">
        <f>IF(COUNTIF(tblSeverityAnalysis[[#This Row],[Site Management ]:[WASH]], 1)=0, "", COUNTIF(tblSeverityAnalysis[[#This Row],[Site Management ]:[WASH]], 1))</f>
        <v/>
      </c>
      <c r="S19" s="365" t="str">
        <f>IF(COUNTIF(tblSeverityAnalysis[[#This Row],[Site Management ]:[WASH]], 2)=0, "", COUNTIF(tblSeverityAnalysis[[#This Row],[Site Management ]:[WASH]], 2))</f>
        <v/>
      </c>
      <c r="T19" s="365" t="str">
        <f>IF(COUNTIF(tblSeverityAnalysis[[#This Row],[Site Management ]:[WASH]], 3)=0, "", COUNTIF(tblSeverityAnalysis[[#This Row],[Site Management ]:[WASH]], 3))</f>
        <v/>
      </c>
      <c r="U19" s="365">
        <f>IF(COUNTIF(tblSeverityAnalysis[[#This Row],[Site Management ]:[WASH]], 4)=0, "", COUNTIF(tblSeverityAnalysis[[#This Row],[Site Management ]:[WASH]], 4))</f>
        <v>1</v>
      </c>
      <c r="V19" s="366" t="str">
        <f>IF(COUNTIF(tblSeverityAnalysis[[#This Row],[Site Management ]:[WASH]], 5)=0, "", COUNTIF(tblSeverityAnalysis[[#This Row],[Site Management ]:[WASH]], 5))</f>
        <v/>
      </c>
      <c r="W19" s="367">
        <f>IFERROR(LARGE(tblSeverityAnalysis[[#This Row],[Site Management ]:[General Protection]],1),"")</f>
        <v>4</v>
      </c>
      <c r="X19" s="368" t="str">
        <f>IFERROR(IF(AND(tblSeverityAnalysis[[#This Row],[5]] &lt;&gt; "", tblSeverityAnalysis[[#This Row],[5]]&gt;=sectors_sev_5), "Flagged", ""), "")</f>
        <v/>
      </c>
      <c r="Y19" s="369"/>
      <c r="Z19" s="324"/>
      <c r="AA19" s="370">
        <f>COUNTIF(tblSeverityAnalysis[[#This Row],[1 sectors in severity phase 5 '[modify the threshold']]:[Manual Flag]], "Flagged")</f>
        <v>0</v>
      </c>
      <c r="AB19" s="339"/>
      <c r="AC19" s="339"/>
      <c r="AD19" s="339"/>
      <c r="AE19" s="339"/>
    </row>
    <row r="20" spans="1:31" x14ac:dyDescent="0.3">
      <c r="A20" s="357" t="str">
        <f>tblSeverityAnalysis[[#This Row],[Admin 2 P-Code]]</f>
        <v>SD01004</v>
      </c>
      <c r="B20" s="245" t="s">
        <v>164</v>
      </c>
      <c r="C20" s="358" t="s">
        <v>118</v>
      </c>
      <c r="D20" s="372" t="s">
        <v>329</v>
      </c>
      <c r="E20" s="246" t="s">
        <v>330</v>
      </c>
      <c r="F20" s="360"/>
      <c r="G20" s="361"/>
      <c r="H20" s="361"/>
      <c r="I20" s="361"/>
      <c r="J20" s="361"/>
      <c r="K20" s="361"/>
      <c r="L20" s="361">
        <f>_xlfn.XLOOKUP(tblSeverityAnalysis[[#This Row],[Admin 2 P-Code]],'PIN2025'!B:B,'PIN2025'!H:H,0,0)</f>
        <v>4</v>
      </c>
      <c r="M20" s="363"/>
      <c r="N20" s="361"/>
      <c r="O20" s="361"/>
      <c r="P20" s="361"/>
      <c r="Q20" s="361"/>
      <c r="R20" s="364" t="str">
        <f>IF(COUNTIF(tblSeverityAnalysis[[#This Row],[Site Management ]:[WASH]], 1)=0, "", COUNTIF(tblSeverityAnalysis[[#This Row],[Site Management ]:[WASH]], 1))</f>
        <v/>
      </c>
      <c r="S20" s="365" t="str">
        <f>IF(COUNTIF(tblSeverityAnalysis[[#This Row],[Site Management ]:[WASH]], 2)=0, "", COUNTIF(tblSeverityAnalysis[[#This Row],[Site Management ]:[WASH]], 2))</f>
        <v/>
      </c>
      <c r="T20" s="365" t="str">
        <f>IF(COUNTIF(tblSeverityAnalysis[[#This Row],[Site Management ]:[WASH]], 3)=0, "", COUNTIF(tblSeverityAnalysis[[#This Row],[Site Management ]:[WASH]], 3))</f>
        <v/>
      </c>
      <c r="U20" s="365">
        <f>IF(COUNTIF(tblSeverityAnalysis[[#This Row],[Site Management ]:[WASH]], 4)=0, "", COUNTIF(tblSeverityAnalysis[[#This Row],[Site Management ]:[WASH]], 4))</f>
        <v>1</v>
      </c>
      <c r="V20" s="366" t="str">
        <f>IF(COUNTIF(tblSeverityAnalysis[[#This Row],[Site Management ]:[WASH]], 5)=0, "", COUNTIF(tblSeverityAnalysis[[#This Row],[Site Management ]:[WASH]], 5))</f>
        <v/>
      </c>
      <c r="W20" s="367">
        <f>IFERROR(LARGE(tblSeverityAnalysis[[#This Row],[Site Management ]:[General Protection]],1),"")</f>
        <v>4</v>
      </c>
      <c r="X20" s="368" t="str">
        <f>IFERROR(IF(AND(tblSeverityAnalysis[[#This Row],[5]] &lt;&gt; "", tblSeverityAnalysis[[#This Row],[5]]&gt;=sectors_sev_5), "Flagged", ""), "")</f>
        <v/>
      </c>
      <c r="Y20" s="369"/>
      <c r="Z20" s="324"/>
      <c r="AA20" s="370">
        <f>COUNTIF(tblSeverityAnalysis[[#This Row],[1 sectors in severity phase 5 '[modify the threshold']]:[Manual Flag]], "Flagged")</f>
        <v>0</v>
      </c>
      <c r="AB20" s="339"/>
      <c r="AC20" s="339"/>
      <c r="AD20" s="339"/>
      <c r="AE20" s="339"/>
    </row>
    <row r="21" spans="1:31" x14ac:dyDescent="0.3">
      <c r="A21" s="357" t="str">
        <f>tblSeverityAnalysis[[#This Row],[Admin 2 P-Code]]</f>
        <v>SD01006</v>
      </c>
      <c r="B21" s="245" t="s">
        <v>164</v>
      </c>
      <c r="C21" s="358" t="s">
        <v>118</v>
      </c>
      <c r="D21" s="372" t="s">
        <v>333</v>
      </c>
      <c r="E21" s="246" t="s">
        <v>334</v>
      </c>
      <c r="F21" s="360"/>
      <c r="G21" s="361"/>
      <c r="H21" s="361"/>
      <c r="I21" s="361"/>
      <c r="J21" s="361"/>
      <c r="K21" s="361"/>
      <c r="L21" s="361">
        <f>_xlfn.XLOOKUP(tblSeverityAnalysis[[#This Row],[Admin 2 P-Code]],'PIN2025'!B:B,'PIN2025'!H:H,0,0)</f>
        <v>4</v>
      </c>
      <c r="M21" s="363"/>
      <c r="N21" s="361"/>
      <c r="O21" s="361"/>
      <c r="P21" s="361"/>
      <c r="Q21" s="361"/>
      <c r="R21" s="364" t="str">
        <f>IF(COUNTIF(tblSeverityAnalysis[[#This Row],[Site Management ]:[WASH]], 1)=0, "", COUNTIF(tblSeverityAnalysis[[#This Row],[Site Management ]:[WASH]], 1))</f>
        <v/>
      </c>
      <c r="S21" s="365" t="str">
        <f>IF(COUNTIF(tblSeverityAnalysis[[#This Row],[Site Management ]:[WASH]], 2)=0, "", COUNTIF(tblSeverityAnalysis[[#This Row],[Site Management ]:[WASH]], 2))</f>
        <v/>
      </c>
      <c r="T21" s="365" t="str">
        <f>IF(COUNTIF(tblSeverityAnalysis[[#This Row],[Site Management ]:[WASH]], 3)=0, "", COUNTIF(tblSeverityAnalysis[[#This Row],[Site Management ]:[WASH]], 3))</f>
        <v/>
      </c>
      <c r="U21" s="365">
        <f>IF(COUNTIF(tblSeverityAnalysis[[#This Row],[Site Management ]:[WASH]], 4)=0, "", COUNTIF(tblSeverityAnalysis[[#This Row],[Site Management ]:[WASH]], 4))</f>
        <v>1</v>
      </c>
      <c r="V21" s="366" t="str">
        <f>IF(COUNTIF(tblSeverityAnalysis[[#This Row],[Site Management ]:[WASH]], 5)=0, "", COUNTIF(tblSeverityAnalysis[[#This Row],[Site Management ]:[WASH]], 5))</f>
        <v/>
      </c>
      <c r="W21" s="367">
        <f>IFERROR(LARGE(tblSeverityAnalysis[[#This Row],[Site Management ]:[General Protection]],1),"")</f>
        <v>4</v>
      </c>
      <c r="X21" s="368" t="str">
        <f>IFERROR(IF(AND(tblSeverityAnalysis[[#This Row],[5]] &lt;&gt; "", tblSeverityAnalysis[[#This Row],[5]]&gt;=sectors_sev_5), "Flagged", ""), "")</f>
        <v/>
      </c>
      <c r="Y21" s="369"/>
      <c r="Z21" s="324"/>
      <c r="AA21" s="370">
        <f>COUNTIF(tblSeverityAnalysis[[#This Row],[1 sectors in severity phase 5 '[modify the threshold']]:[Manual Flag]], "Flagged")</f>
        <v>0</v>
      </c>
      <c r="AB21" s="339"/>
      <c r="AC21" s="339"/>
      <c r="AD21" s="339"/>
      <c r="AE21" s="339"/>
    </row>
    <row r="22" spans="1:31" x14ac:dyDescent="0.3">
      <c r="A22" s="357" t="str">
        <f>tblSeverityAnalysis[[#This Row],[Admin 2 P-Code]]</f>
        <v>SD01007</v>
      </c>
      <c r="B22" s="245" t="s">
        <v>164</v>
      </c>
      <c r="C22" s="358" t="s">
        <v>118</v>
      </c>
      <c r="D22" s="372" t="s">
        <v>164</v>
      </c>
      <c r="E22" s="246" t="s">
        <v>335</v>
      </c>
      <c r="F22" s="360"/>
      <c r="G22" s="361"/>
      <c r="H22" s="361"/>
      <c r="I22" s="361"/>
      <c r="J22" s="361"/>
      <c r="K22" s="361"/>
      <c r="L22" s="361">
        <f>_xlfn.XLOOKUP(tblSeverityAnalysis[[#This Row],[Admin 2 P-Code]],'PIN2025'!B:B,'PIN2025'!H:H,0,0)</f>
        <v>4</v>
      </c>
      <c r="M22" s="363"/>
      <c r="N22" s="361"/>
      <c r="O22" s="361"/>
      <c r="P22" s="361"/>
      <c r="Q22" s="361"/>
      <c r="R22" s="364" t="str">
        <f>IF(COUNTIF(tblSeverityAnalysis[[#This Row],[Site Management ]:[WASH]], 1)=0, "", COUNTIF(tblSeverityAnalysis[[#This Row],[Site Management ]:[WASH]], 1))</f>
        <v/>
      </c>
      <c r="S22" s="365" t="str">
        <f>IF(COUNTIF(tblSeverityAnalysis[[#This Row],[Site Management ]:[WASH]], 2)=0, "", COUNTIF(tblSeverityAnalysis[[#This Row],[Site Management ]:[WASH]], 2))</f>
        <v/>
      </c>
      <c r="T22" s="365" t="str">
        <f>IF(COUNTIF(tblSeverityAnalysis[[#This Row],[Site Management ]:[WASH]], 3)=0, "", COUNTIF(tblSeverityAnalysis[[#This Row],[Site Management ]:[WASH]], 3))</f>
        <v/>
      </c>
      <c r="U22" s="365">
        <f>IF(COUNTIF(tblSeverityAnalysis[[#This Row],[Site Management ]:[WASH]], 4)=0, "", COUNTIF(tblSeverityAnalysis[[#This Row],[Site Management ]:[WASH]], 4))</f>
        <v>1</v>
      </c>
      <c r="V22" s="366" t="str">
        <f>IF(COUNTIF(tblSeverityAnalysis[[#This Row],[Site Management ]:[WASH]], 5)=0, "", COUNTIF(tblSeverityAnalysis[[#This Row],[Site Management ]:[WASH]], 5))</f>
        <v/>
      </c>
      <c r="W22" s="367">
        <f>IFERROR(LARGE(tblSeverityAnalysis[[#This Row],[Site Management ]:[General Protection]],1),"")</f>
        <v>4</v>
      </c>
      <c r="X22" s="368" t="str">
        <f>IFERROR(IF(AND(tblSeverityAnalysis[[#This Row],[5]] &lt;&gt; "", tblSeverityAnalysis[[#This Row],[5]]&gt;=sectors_sev_5), "Flagged", ""), "")</f>
        <v/>
      </c>
      <c r="Y22" s="369"/>
      <c r="Z22" s="324"/>
      <c r="AA22" s="370">
        <f>COUNTIF(tblSeverityAnalysis[[#This Row],[1 sectors in severity phase 5 '[modify the threshold']]:[Manual Flag]], "Flagged")</f>
        <v>0</v>
      </c>
      <c r="AB22" s="339"/>
      <c r="AC22" s="339"/>
      <c r="AD22" s="339"/>
      <c r="AE22" s="339"/>
    </row>
    <row r="23" spans="1:31" x14ac:dyDescent="0.3">
      <c r="A23" s="357" t="str">
        <f>tblSeverityAnalysis[[#This Row],[Admin 2 P-Code]]</f>
        <v>SD02124</v>
      </c>
      <c r="B23" s="245" t="s">
        <v>167</v>
      </c>
      <c r="C23" s="358" t="s">
        <v>119</v>
      </c>
      <c r="D23" s="372" t="s">
        <v>211</v>
      </c>
      <c r="E23" s="246" t="s">
        <v>210</v>
      </c>
      <c r="F23" s="360"/>
      <c r="G23" s="361"/>
      <c r="H23" s="361"/>
      <c r="I23" s="361"/>
      <c r="J23" s="361"/>
      <c r="K23" s="361"/>
      <c r="L23" s="361">
        <f>_xlfn.XLOOKUP(tblSeverityAnalysis[[#This Row],[Admin 2 P-Code]],'PIN2025'!B:B,'PIN2025'!H:H,0,0)</f>
        <v>4</v>
      </c>
      <c r="M23" s="363"/>
      <c r="N23" s="361"/>
      <c r="O23" s="361"/>
      <c r="P23" s="361"/>
      <c r="Q23" s="361"/>
      <c r="R23" s="364" t="str">
        <f>IF(COUNTIF(tblSeverityAnalysis[[#This Row],[Site Management ]:[WASH]], 1)=0, "", COUNTIF(tblSeverityAnalysis[[#This Row],[Site Management ]:[WASH]], 1))</f>
        <v/>
      </c>
      <c r="S23" s="365" t="str">
        <f>IF(COUNTIF(tblSeverityAnalysis[[#This Row],[Site Management ]:[WASH]], 2)=0, "", COUNTIF(tblSeverityAnalysis[[#This Row],[Site Management ]:[WASH]], 2))</f>
        <v/>
      </c>
      <c r="T23" s="365" t="str">
        <f>IF(COUNTIF(tblSeverityAnalysis[[#This Row],[Site Management ]:[WASH]], 3)=0, "", COUNTIF(tblSeverityAnalysis[[#This Row],[Site Management ]:[WASH]], 3))</f>
        <v/>
      </c>
      <c r="U23" s="365">
        <f>IF(COUNTIF(tblSeverityAnalysis[[#This Row],[Site Management ]:[WASH]], 4)=0, "", COUNTIF(tblSeverityAnalysis[[#This Row],[Site Management ]:[WASH]], 4))</f>
        <v>1</v>
      </c>
      <c r="V23" s="366" t="str">
        <f>IF(COUNTIF(tblSeverityAnalysis[[#This Row],[Site Management ]:[WASH]], 5)=0, "", COUNTIF(tblSeverityAnalysis[[#This Row],[Site Management ]:[WASH]], 5))</f>
        <v/>
      </c>
      <c r="W23" s="367">
        <f>IFERROR(LARGE(tblSeverityAnalysis[[#This Row],[Site Management ]:[General Protection]],1),"")</f>
        <v>4</v>
      </c>
      <c r="X23" s="368" t="str">
        <f>IFERROR(IF(AND(tblSeverityAnalysis[[#This Row],[5]] &lt;&gt; "", tblSeverityAnalysis[[#This Row],[5]]&gt;=sectors_sev_5), "Flagged", ""), "")</f>
        <v/>
      </c>
      <c r="Y23" s="369"/>
      <c r="Z23" s="324"/>
      <c r="AA23" s="370">
        <f>COUNTIF(tblSeverityAnalysis[[#This Row],[1 sectors in severity phase 5 '[modify the threshold']]:[Manual Flag]], "Flagged")</f>
        <v>0</v>
      </c>
      <c r="AB23" s="339"/>
      <c r="AC23" s="339"/>
      <c r="AD23" s="339"/>
      <c r="AE23" s="339"/>
    </row>
    <row r="24" spans="1:31" x14ac:dyDescent="0.3">
      <c r="A24" s="357" t="str">
        <f>tblSeverityAnalysis[[#This Row],[Admin 2 P-Code]]</f>
        <v>SD10072</v>
      </c>
      <c r="B24" s="245" t="s">
        <v>176</v>
      </c>
      <c r="C24" s="358" t="s">
        <v>127</v>
      </c>
      <c r="D24" s="372" t="s">
        <v>420</v>
      </c>
      <c r="E24" s="246" t="s">
        <v>421</v>
      </c>
      <c r="F24" s="360"/>
      <c r="G24" s="361"/>
      <c r="H24" s="361"/>
      <c r="I24" s="361"/>
      <c r="J24" s="361"/>
      <c r="K24" s="361"/>
      <c r="L24" s="361">
        <f>_xlfn.XLOOKUP(tblSeverityAnalysis[[#This Row],[Admin 2 P-Code]],'PIN2025'!B:B,'PIN2025'!H:H,0,0)</f>
        <v>4</v>
      </c>
      <c r="M24" s="363"/>
      <c r="N24" s="361"/>
      <c r="O24" s="361"/>
      <c r="P24" s="361"/>
      <c r="Q24" s="361"/>
      <c r="R24" s="364" t="str">
        <f>IF(COUNTIF(tblSeverityAnalysis[[#This Row],[Site Management ]:[WASH]], 1)=0, "", COUNTIF(tblSeverityAnalysis[[#This Row],[Site Management ]:[WASH]], 1))</f>
        <v/>
      </c>
      <c r="S24" s="365" t="str">
        <f>IF(COUNTIF(tblSeverityAnalysis[[#This Row],[Site Management ]:[WASH]], 2)=0, "", COUNTIF(tblSeverityAnalysis[[#This Row],[Site Management ]:[WASH]], 2))</f>
        <v/>
      </c>
      <c r="T24" s="365" t="str">
        <f>IF(COUNTIF(tblSeverityAnalysis[[#This Row],[Site Management ]:[WASH]], 3)=0, "", COUNTIF(tblSeverityAnalysis[[#This Row],[Site Management ]:[WASH]], 3))</f>
        <v/>
      </c>
      <c r="U24" s="365">
        <f>IF(COUNTIF(tblSeverityAnalysis[[#This Row],[Site Management ]:[WASH]], 4)=0, "", COUNTIF(tblSeverityAnalysis[[#This Row],[Site Management ]:[WASH]], 4))</f>
        <v>1</v>
      </c>
      <c r="V24" s="366" t="str">
        <f>IF(COUNTIF(tblSeverityAnalysis[[#This Row],[Site Management ]:[WASH]], 5)=0, "", COUNTIF(tblSeverityAnalysis[[#This Row],[Site Management ]:[WASH]], 5))</f>
        <v/>
      </c>
      <c r="W24" s="367">
        <f>IFERROR(LARGE(tblSeverityAnalysis[[#This Row],[Site Management ]:[General Protection]],1),"")</f>
        <v>4</v>
      </c>
      <c r="X24" s="368" t="str">
        <f>IFERROR(IF(AND(tblSeverityAnalysis[[#This Row],[5]] &lt;&gt; "", tblSeverityAnalysis[[#This Row],[5]]&gt;=sectors_sev_5), "Flagged", ""), "")</f>
        <v/>
      </c>
      <c r="Y24" s="369"/>
      <c r="Z24" s="324"/>
      <c r="AA24" s="370">
        <f>COUNTIF(tblSeverityAnalysis[[#This Row],[1 sectors in severity phase 5 '[modify the threshold']]:[Manual Flag]], "Flagged")</f>
        <v>0</v>
      </c>
      <c r="AB24" s="339"/>
      <c r="AC24" s="339"/>
      <c r="AD24" s="339"/>
      <c r="AE24" s="339"/>
    </row>
    <row r="25" spans="1:31" x14ac:dyDescent="0.3">
      <c r="A25" s="357" t="str">
        <f>tblSeverityAnalysis[[#This Row],[Admin 2 P-Code]]</f>
        <v>SD14038</v>
      </c>
      <c r="B25" s="245" t="s">
        <v>182</v>
      </c>
      <c r="C25" s="358" t="s">
        <v>131</v>
      </c>
      <c r="D25" s="372" t="s">
        <v>182</v>
      </c>
      <c r="E25" s="246" t="s">
        <v>485</v>
      </c>
      <c r="F25" s="360"/>
      <c r="G25" s="361"/>
      <c r="H25" s="361"/>
      <c r="I25" s="361"/>
      <c r="J25" s="361"/>
      <c r="K25" s="361"/>
      <c r="L25" s="361">
        <f>_xlfn.XLOOKUP(tblSeverityAnalysis[[#This Row],[Admin 2 P-Code]],'PIN2025'!B:B,'PIN2025'!H:H,0,0)</f>
        <v>4</v>
      </c>
      <c r="M25" s="363"/>
      <c r="N25" s="361"/>
      <c r="O25" s="361"/>
      <c r="P25" s="361"/>
      <c r="Q25" s="361"/>
      <c r="R25" s="364" t="str">
        <f>IF(COUNTIF(tblSeverityAnalysis[[#This Row],[Site Management ]:[WASH]], 1)=0, "", COUNTIF(tblSeverityAnalysis[[#This Row],[Site Management ]:[WASH]], 1))</f>
        <v/>
      </c>
      <c r="S25" s="365" t="str">
        <f>IF(COUNTIF(tblSeverityAnalysis[[#This Row],[Site Management ]:[WASH]], 2)=0, "", COUNTIF(tblSeverityAnalysis[[#This Row],[Site Management ]:[WASH]], 2))</f>
        <v/>
      </c>
      <c r="T25" s="365" t="str">
        <f>IF(COUNTIF(tblSeverityAnalysis[[#This Row],[Site Management ]:[WASH]], 3)=0, "", COUNTIF(tblSeverityAnalysis[[#This Row],[Site Management ]:[WASH]], 3))</f>
        <v/>
      </c>
      <c r="U25" s="365">
        <f>IF(COUNTIF(tblSeverityAnalysis[[#This Row],[Site Management ]:[WASH]], 4)=0, "", COUNTIF(tblSeverityAnalysis[[#This Row],[Site Management ]:[WASH]], 4))</f>
        <v>1</v>
      </c>
      <c r="V25" s="366" t="str">
        <f>IF(COUNTIF(tblSeverityAnalysis[[#This Row],[Site Management ]:[WASH]], 5)=0, "", COUNTIF(tblSeverityAnalysis[[#This Row],[Site Management ]:[WASH]], 5))</f>
        <v/>
      </c>
      <c r="W25" s="367">
        <f>IFERROR(LARGE(tblSeverityAnalysis[[#This Row],[Site Management ]:[General Protection]],1),"")</f>
        <v>4</v>
      </c>
      <c r="X25" s="368" t="str">
        <f>IFERROR(IF(AND(tblSeverityAnalysis[[#This Row],[5]] &lt;&gt; "", tblSeverityAnalysis[[#This Row],[5]]&gt;=sectors_sev_5), "Flagged", ""), "")</f>
        <v/>
      </c>
      <c r="Y25" s="369"/>
      <c r="Z25" s="324"/>
      <c r="AA25" s="370">
        <f>COUNTIF(tblSeverityAnalysis[[#This Row],[1 sectors in severity phase 5 '[modify the threshold']]:[Manual Flag]], "Flagged")</f>
        <v>0</v>
      </c>
      <c r="AB25" s="339"/>
      <c r="AC25" s="339"/>
      <c r="AD25" s="339"/>
      <c r="AE25" s="339"/>
    </row>
    <row r="26" spans="1:31" x14ac:dyDescent="0.3">
      <c r="A26" s="357" t="str">
        <f>tblSeverityAnalysis[[#This Row],[Admin 2 P-Code]]</f>
        <v>SD03145</v>
      </c>
      <c r="B26" s="245" t="s">
        <v>185</v>
      </c>
      <c r="C26" s="358" t="s">
        <v>120</v>
      </c>
      <c r="D26" s="372" t="s">
        <v>239</v>
      </c>
      <c r="E26" s="246" t="s">
        <v>238</v>
      </c>
      <c r="F26" s="360"/>
      <c r="G26" s="361"/>
      <c r="H26" s="361"/>
      <c r="I26" s="361"/>
      <c r="J26" s="361"/>
      <c r="K26" s="361"/>
      <c r="L26" s="361">
        <f>_xlfn.XLOOKUP(tblSeverityAnalysis[[#This Row],[Admin 2 P-Code]],'PIN2025'!B:B,'PIN2025'!H:H,0,0)</f>
        <v>4</v>
      </c>
      <c r="M26" s="363"/>
      <c r="N26" s="361"/>
      <c r="O26" s="361"/>
      <c r="P26" s="361"/>
      <c r="Q26" s="361"/>
      <c r="R26" s="364" t="str">
        <f>IF(COUNTIF(tblSeverityAnalysis[[#This Row],[Site Management ]:[WASH]], 1)=0, "", COUNTIF(tblSeverityAnalysis[[#This Row],[Site Management ]:[WASH]], 1))</f>
        <v/>
      </c>
      <c r="S26" s="365" t="str">
        <f>IF(COUNTIF(tblSeverityAnalysis[[#This Row],[Site Management ]:[WASH]], 2)=0, "", COUNTIF(tblSeverityAnalysis[[#This Row],[Site Management ]:[WASH]], 2))</f>
        <v/>
      </c>
      <c r="T26" s="365" t="str">
        <f>IF(COUNTIF(tblSeverityAnalysis[[#This Row],[Site Management ]:[WASH]], 3)=0, "", COUNTIF(tblSeverityAnalysis[[#This Row],[Site Management ]:[WASH]], 3))</f>
        <v/>
      </c>
      <c r="U26" s="365">
        <f>IF(COUNTIF(tblSeverityAnalysis[[#This Row],[Site Management ]:[WASH]], 4)=0, "", COUNTIF(tblSeverityAnalysis[[#This Row],[Site Management ]:[WASH]], 4))</f>
        <v>1</v>
      </c>
      <c r="V26" s="366" t="str">
        <f>IF(COUNTIF(tblSeverityAnalysis[[#This Row],[Site Management ]:[WASH]], 5)=0, "", COUNTIF(tblSeverityAnalysis[[#This Row],[Site Management ]:[WASH]], 5))</f>
        <v/>
      </c>
      <c r="W26" s="367">
        <f>IFERROR(LARGE(tblSeverityAnalysis[[#This Row],[Site Management ]:[General Protection]],1),"")</f>
        <v>4</v>
      </c>
      <c r="X26" s="368" t="str">
        <f>IFERROR(IF(AND(tblSeverityAnalysis[[#This Row],[5]] &lt;&gt; "", tblSeverityAnalysis[[#This Row],[5]]&gt;=sectors_sev_5), "Flagged", ""), "")</f>
        <v/>
      </c>
      <c r="Y26" s="369"/>
      <c r="Z26" s="324"/>
      <c r="AA26" s="370">
        <f>COUNTIF(tblSeverityAnalysis[[#This Row],[1 sectors in severity phase 5 '[modify the threshold']]:[Manual Flag]], "Flagged")</f>
        <v>0</v>
      </c>
      <c r="AB26" s="339"/>
      <c r="AC26" s="339"/>
      <c r="AD26" s="339"/>
      <c r="AE26" s="339"/>
    </row>
    <row r="27" spans="1:31" x14ac:dyDescent="0.3">
      <c r="A27" s="357" t="str">
        <f>tblSeverityAnalysis[[#This Row],[Admin 2 P-Code]]</f>
        <v>SD07090</v>
      </c>
      <c r="B27" s="245" t="s">
        <v>188</v>
      </c>
      <c r="C27" s="358" t="s">
        <v>124</v>
      </c>
      <c r="D27" s="372" t="s">
        <v>340</v>
      </c>
      <c r="E27" s="246" t="s">
        <v>341</v>
      </c>
      <c r="F27" s="360"/>
      <c r="G27" s="361"/>
      <c r="H27" s="361"/>
      <c r="I27" s="361"/>
      <c r="J27" s="361"/>
      <c r="K27" s="361"/>
      <c r="L27" s="361">
        <f>_xlfn.XLOOKUP(tblSeverityAnalysis[[#This Row],[Admin 2 P-Code]],'PIN2025'!B:B,'PIN2025'!H:H,0,0)</f>
        <v>4</v>
      </c>
      <c r="M27" s="363"/>
      <c r="N27" s="361"/>
      <c r="O27" s="361"/>
      <c r="P27" s="361"/>
      <c r="Q27" s="361"/>
      <c r="R27" s="364" t="str">
        <f>IF(COUNTIF(tblSeverityAnalysis[[#This Row],[Site Management ]:[WASH]], 1)=0, "", COUNTIF(tblSeverityAnalysis[[#This Row],[Site Management ]:[WASH]], 1))</f>
        <v/>
      </c>
      <c r="S27" s="365" t="str">
        <f>IF(COUNTIF(tblSeverityAnalysis[[#This Row],[Site Management ]:[WASH]], 2)=0, "", COUNTIF(tblSeverityAnalysis[[#This Row],[Site Management ]:[WASH]], 2))</f>
        <v/>
      </c>
      <c r="T27" s="365" t="str">
        <f>IF(COUNTIF(tblSeverityAnalysis[[#This Row],[Site Management ]:[WASH]], 3)=0, "", COUNTIF(tblSeverityAnalysis[[#This Row],[Site Management ]:[WASH]], 3))</f>
        <v/>
      </c>
      <c r="U27" s="365">
        <f>IF(COUNTIF(tblSeverityAnalysis[[#This Row],[Site Management ]:[WASH]], 4)=0, "", COUNTIF(tblSeverityAnalysis[[#This Row],[Site Management ]:[WASH]], 4))</f>
        <v>1</v>
      </c>
      <c r="V27" s="366" t="str">
        <f>IF(COUNTIF(tblSeverityAnalysis[[#This Row],[Site Management ]:[WASH]], 5)=0, "", COUNTIF(tblSeverityAnalysis[[#This Row],[Site Management ]:[WASH]], 5))</f>
        <v/>
      </c>
      <c r="W27" s="367">
        <f>IFERROR(LARGE(tblSeverityAnalysis[[#This Row],[Site Management ]:[General Protection]],1),"")</f>
        <v>4</v>
      </c>
      <c r="X27" s="368" t="str">
        <f>IFERROR(IF(AND(tblSeverityAnalysis[[#This Row],[5]] &lt;&gt; "", tblSeverityAnalysis[[#This Row],[5]]&gt;=sectors_sev_5), "Flagged", ""), "")</f>
        <v/>
      </c>
      <c r="Y27" s="369"/>
      <c r="Z27" s="324"/>
      <c r="AA27" s="370">
        <f>COUNTIF(tblSeverityAnalysis[[#This Row],[1 sectors in severity phase 5 '[modify the threshold']]:[Manual Flag]], "Flagged")</f>
        <v>0</v>
      </c>
      <c r="AB27" s="339"/>
      <c r="AC27" s="339"/>
      <c r="AD27" s="339"/>
      <c r="AE27" s="339"/>
    </row>
    <row r="28" spans="1:31" x14ac:dyDescent="0.3">
      <c r="A28" s="357" t="str">
        <f>tblSeverityAnalysis[[#This Row],[Admin 2 P-Code]]</f>
        <v>SD07099</v>
      </c>
      <c r="B28" s="245" t="s">
        <v>188</v>
      </c>
      <c r="C28" s="358" t="s">
        <v>124</v>
      </c>
      <c r="D28" s="372" t="s">
        <v>356</v>
      </c>
      <c r="E28" s="246" t="s">
        <v>357</v>
      </c>
      <c r="F28" s="360"/>
      <c r="G28" s="361"/>
      <c r="H28" s="361"/>
      <c r="I28" s="361"/>
      <c r="J28" s="361"/>
      <c r="K28" s="361"/>
      <c r="L28" s="361">
        <f>_xlfn.XLOOKUP(tblSeverityAnalysis[[#This Row],[Admin 2 P-Code]],'PIN2025'!B:B,'PIN2025'!H:H,0,0)</f>
        <v>4</v>
      </c>
      <c r="M28" s="363"/>
      <c r="N28" s="361"/>
      <c r="O28" s="361"/>
      <c r="P28" s="361"/>
      <c r="Q28" s="361"/>
      <c r="R28" s="364" t="str">
        <f>IF(COUNTIF(tblSeverityAnalysis[[#This Row],[Site Management ]:[WASH]], 1)=0, "", COUNTIF(tblSeverityAnalysis[[#This Row],[Site Management ]:[WASH]], 1))</f>
        <v/>
      </c>
      <c r="S28" s="365" t="str">
        <f>IF(COUNTIF(tblSeverityAnalysis[[#This Row],[Site Management ]:[WASH]], 2)=0, "", COUNTIF(tblSeverityAnalysis[[#This Row],[Site Management ]:[WASH]], 2))</f>
        <v/>
      </c>
      <c r="T28" s="365" t="str">
        <f>IF(COUNTIF(tblSeverityAnalysis[[#This Row],[Site Management ]:[WASH]], 3)=0, "", COUNTIF(tblSeverityAnalysis[[#This Row],[Site Management ]:[WASH]], 3))</f>
        <v/>
      </c>
      <c r="U28" s="365">
        <f>IF(COUNTIF(tblSeverityAnalysis[[#This Row],[Site Management ]:[WASH]], 4)=0, "", COUNTIF(tblSeverityAnalysis[[#This Row],[Site Management ]:[WASH]], 4))</f>
        <v>1</v>
      </c>
      <c r="V28" s="366" t="str">
        <f>IF(COUNTIF(tblSeverityAnalysis[[#This Row],[Site Management ]:[WASH]], 5)=0, "", COUNTIF(tblSeverityAnalysis[[#This Row],[Site Management ]:[WASH]], 5))</f>
        <v/>
      </c>
      <c r="W28" s="367">
        <f>IFERROR(LARGE(tblSeverityAnalysis[[#This Row],[Site Management ]:[General Protection]],1),"")</f>
        <v>4</v>
      </c>
      <c r="X28" s="368" t="str">
        <f>IFERROR(IF(AND(tblSeverityAnalysis[[#This Row],[5]] &lt;&gt; "", tblSeverityAnalysis[[#This Row],[5]]&gt;=sectors_sev_5), "Flagged", ""), "")</f>
        <v/>
      </c>
      <c r="Y28" s="369"/>
      <c r="Z28" s="324"/>
      <c r="AA28" s="370">
        <f>COUNTIF(tblSeverityAnalysis[[#This Row],[1 sectors in severity phase 5 '[modify the threshold']]:[Manual Flag]], "Flagged")</f>
        <v>0</v>
      </c>
      <c r="AB28" s="339"/>
      <c r="AC28" s="339"/>
      <c r="AD28" s="339"/>
      <c r="AE28" s="339"/>
    </row>
    <row r="29" spans="1:31" x14ac:dyDescent="0.3">
      <c r="A29" s="357" t="str">
        <f>tblSeverityAnalysis[[#This Row],[Admin 2 P-Code]]</f>
        <v>SD07103</v>
      </c>
      <c r="B29" s="245" t="s">
        <v>188</v>
      </c>
      <c r="C29" s="358" t="s">
        <v>124</v>
      </c>
      <c r="D29" s="372" t="s">
        <v>358</v>
      </c>
      <c r="E29" s="246" t="s">
        <v>359</v>
      </c>
      <c r="F29" s="360"/>
      <c r="G29" s="361"/>
      <c r="H29" s="361"/>
      <c r="I29" s="361"/>
      <c r="J29" s="361"/>
      <c r="K29" s="361"/>
      <c r="L29" s="361">
        <f>_xlfn.XLOOKUP(tblSeverityAnalysis[[#This Row],[Admin 2 P-Code]],'PIN2025'!B:B,'PIN2025'!H:H,0,0)</f>
        <v>4</v>
      </c>
      <c r="M29" s="363"/>
      <c r="N29" s="361"/>
      <c r="O29" s="361"/>
      <c r="P29" s="361"/>
      <c r="Q29" s="361"/>
      <c r="R29" s="364" t="str">
        <f>IF(COUNTIF(tblSeverityAnalysis[[#This Row],[Site Management ]:[WASH]], 1)=0, "", COUNTIF(tblSeverityAnalysis[[#This Row],[Site Management ]:[WASH]], 1))</f>
        <v/>
      </c>
      <c r="S29" s="365" t="str">
        <f>IF(COUNTIF(tblSeverityAnalysis[[#This Row],[Site Management ]:[WASH]], 2)=0, "", COUNTIF(tblSeverityAnalysis[[#This Row],[Site Management ]:[WASH]], 2))</f>
        <v/>
      </c>
      <c r="T29" s="365" t="str">
        <f>IF(COUNTIF(tblSeverityAnalysis[[#This Row],[Site Management ]:[WASH]], 3)=0, "", COUNTIF(tblSeverityAnalysis[[#This Row],[Site Management ]:[WASH]], 3))</f>
        <v/>
      </c>
      <c r="U29" s="365">
        <f>IF(COUNTIF(tblSeverityAnalysis[[#This Row],[Site Management ]:[WASH]], 4)=0, "", COUNTIF(tblSeverityAnalysis[[#This Row],[Site Management ]:[WASH]], 4))</f>
        <v>1</v>
      </c>
      <c r="V29" s="366" t="str">
        <f>IF(COUNTIF(tblSeverityAnalysis[[#This Row],[Site Management ]:[WASH]], 5)=0, "", COUNTIF(tblSeverityAnalysis[[#This Row],[Site Management ]:[WASH]], 5))</f>
        <v/>
      </c>
      <c r="W29" s="367">
        <f>IFERROR(LARGE(tblSeverityAnalysis[[#This Row],[Site Management ]:[General Protection]],1),"")</f>
        <v>4</v>
      </c>
      <c r="X29" s="368" t="str">
        <f>IFERROR(IF(AND(tblSeverityAnalysis[[#This Row],[5]] &lt;&gt; "", tblSeverityAnalysis[[#This Row],[5]]&gt;=sectors_sev_5), "Flagged", ""), "")</f>
        <v/>
      </c>
      <c r="Y29" s="369"/>
      <c r="Z29" s="324"/>
      <c r="AA29" s="370">
        <f>COUNTIF(tblSeverityAnalysis[[#This Row],[1 sectors in severity phase 5 '[modify the threshold']]:[Manual Flag]], "Flagged")</f>
        <v>0</v>
      </c>
      <c r="AB29" s="339"/>
      <c r="AC29" s="339"/>
      <c r="AD29" s="339"/>
      <c r="AE29" s="339"/>
    </row>
    <row r="30" spans="1:31" x14ac:dyDescent="0.3">
      <c r="A30" s="357" t="str">
        <f>tblSeverityAnalysis[[#This Row],[Admin 2 P-Code]]</f>
        <v>SD09046</v>
      </c>
      <c r="B30" s="245" t="s">
        <v>197</v>
      </c>
      <c r="C30" s="358" t="s">
        <v>126</v>
      </c>
      <c r="D30" s="372" t="s">
        <v>388</v>
      </c>
      <c r="E30" s="246" t="s">
        <v>389</v>
      </c>
      <c r="F30" s="360"/>
      <c r="G30" s="361"/>
      <c r="H30" s="361"/>
      <c r="I30" s="361"/>
      <c r="J30" s="361"/>
      <c r="K30" s="361"/>
      <c r="L30" s="361">
        <f>_xlfn.XLOOKUP(tblSeverityAnalysis[[#This Row],[Admin 2 P-Code]],'PIN2025'!B:B,'PIN2025'!H:H,0,0)</f>
        <v>4</v>
      </c>
      <c r="M30" s="363"/>
      <c r="N30" s="361"/>
      <c r="O30" s="361"/>
      <c r="P30" s="361"/>
      <c r="Q30" s="361"/>
      <c r="R30" s="364" t="str">
        <f>IF(COUNTIF(tblSeverityAnalysis[[#This Row],[Site Management ]:[WASH]], 1)=0, "", COUNTIF(tblSeverityAnalysis[[#This Row],[Site Management ]:[WASH]], 1))</f>
        <v/>
      </c>
      <c r="S30" s="365" t="str">
        <f>IF(COUNTIF(tblSeverityAnalysis[[#This Row],[Site Management ]:[WASH]], 2)=0, "", COUNTIF(tblSeverityAnalysis[[#This Row],[Site Management ]:[WASH]], 2))</f>
        <v/>
      </c>
      <c r="T30" s="365" t="str">
        <f>IF(COUNTIF(tblSeverityAnalysis[[#This Row],[Site Management ]:[WASH]], 3)=0, "", COUNTIF(tblSeverityAnalysis[[#This Row],[Site Management ]:[WASH]], 3))</f>
        <v/>
      </c>
      <c r="U30" s="365">
        <f>IF(COUNTIF(tblSeverityAnalysis[[#This Row],[Site Management ]:[WASH]], 4)=0, "", COUNTIF(tblSeverityAnalysis[[#This Row],[Site Management ]:[WASH]], 4))</f>
        <v>1</v>
      </c>
      <c r="V30" s="366" t="str">
        <f>IF(COUNTIF(tblSeverityAnalysis[[#This Row],[Site Management ]:[WASH]], 5)=0, "", COUNTIF(tblSeverityAnalysis[[#This Row],[Site Management ]:[WASH]], 5))</f>
        <v/>
      </c>
      <c r="W30" s="367">
        <f>IFERROR(LARGE(tblSeverityAnalysis[[#This Row],[Site Management ]:[General Protection]],1),"")</f>
        <v>4</v>
      </c>
      <c r="X30" s="368" t="str">
        <f>IFERROR(IF(AND(tblSeverityAnalysis[[#This Row],[5]] &lt;&gt; "", tblSeverityAnalysis[[#This Row],[5]]&gt;=sectors_sev_5), "Flagged", ""), "")</f>
        <v/>
      </c>
      <c r="Y30" s="369"/>
      <c r="Z30" s="324"/>
      <c r="AA30" s="370">
        <f>COUNTIF(tblSeverityAnalysis[[#This Row],[1 sectors in severity phase 5 '[modify the threshold']]:[Manual Flag]], "Flagged")</f>
        <v>0</v>
      </c>
      <c r="AB30" s="339"/>
      <c r="AC30" s="339"/>
      <c r="AD30" s="339"/>
      <c r="AE30" s="339"/>
    </row>
    <row r="31" spans="1:31" hidden="1" x14ac:dyDescent="0.3">
      <c r="A31" s="357" t="str">
        <f>tblSeverityAnalysis[[#This Row],[Admin 2 P-Code]]</f>
        <v>SD15036</v>
      </c>
      <c r="B31" s="249" t="s">
        <v>147</v>
      </c>
      <c r="C31" s="358" t="s">
        <v>132</v>
      </c>
      <c r="D31" s="372" t="s">
        <v>508</v>
      </c>
      <c r="E31" s="246" t="s">
        <v>509</v>
      </c>
      <c r="F31" s="360"/>
      <c r="G31" s="361"/>
      <c r="H31" s="361"/>
      <c r="I31" s="361"/>
      <c r="J31" s="361"/>
      <c r="K31" s="361"/>
      <c r="L31" s="361">
        <f>_xlfn.XLOOKUP(tblSeverityAnalysis[[#This Row],[Admin 2 P-Code]],'PIN2025'!B:B,'PIN2025'!H:H,0,0)</f>
        <v>3</v>
      </c>
      <c r="M31" s="363"/>
      <c r="N31" s="361"/>
      <c r="O31" s="361"/>
      <c r="P31" s="361"/>
      <c r="Q31" s="361"/>
      <c r="R31" s="364" t="str">
        <f>IF(COUNTIF(tblSeverityAnalysis[[#This Row],[Site Management ]:[WASH]], 1)=0, "", COUNTIF(tblSeverityAnalysis[[#This Row],[Site Management ]:[WASH]], 1))</f>
        <v/>
      </c>
      <c r="S31" s="365" t="str">
        <f>IF(COUNTIF(tblSeverityAnalysis[[#This Row],[Site Management ]:[WASH]], 2)=0, "", COUNTIF(tblSeverityAnalysis[[#This Row],[Site Management ]:[WASH]], 2))</f>
        <v/>
      </c>
      <c r="T31" s="365">
        <f>IF(COUNTIF(tblSeverityAnalysis[[#This Row],[Site Management ]:[WASH]], 3)=0, "", COUNTIF(tblSeverityAnalysis[[#This Row],[Site Management ]:[WASH]], 3))</f>
        <v>1</v>
      </c>
      <c r="U31" s="365" t="str">
        <f>IF(COUNTIF(tblSeverityAnalysis[[#This Row],[Site Management ]:[WASH]], 4)=0, "", COUNTIF(tblSeverityAnalysis[[#This Row],[Site Management ]:[WASH]], 4))</f>
        <v/>
      </c>
      <c r="V31" s="366" t="str">
        <f>IF(COUNTIF(tblSeverityAnalysis[[#This Row],[Site Management ]:[WASH]], 5)=0, "", COUNTIF(tblSeverityAnalysis[[#This Row],[Site Management ]:[WASH]], 5))</f>
        <v/>
      </c>
      <c r="W31" s="367">
        <f>IFERROR(LARGE(tblSeverityAnalysis[[#This Row],[Site Management ]:[General Protection]],1),"")</f>
        <v>3</v>
      </c>
      <c r="X31" s="368" t="str">
        <f>IFERROR(IF(AND(tblSeverityAnalysis[[#This Row],[5]] &lt;&gt; "", tblSeverityAnalysis[[#This Row],[5]]&gt;=sectors_sev_5), "Flagged", ""), "")</f>
        <v/>
      </c>
      <c r="Y31" s="369"/>
      <c r="Z31" s="324"/>
      <c r="AA31" s="370">
        <f>COUNTIF(tblSeverityAnalysis[[#This Row],[1 sectors in severity phase 5 '[modify the threshold']]:[Manual Flag]], "Flagged")</f>
        <v>0</v>
      </c>
      <c r="AB31" s="339"/>
      <c r="AC31" s="339"/>
      <c r="AD31" s="339"/>
      <c r="AE31" s="339"/>
    </row>
    <row r="32" spans="1:31" hidden="1" x14ac:dyDescent="0.3">
      <c r="A32" s="357" t="str">
        <f>tblSeverityAnalysis[[#This Row],[Admin 2 P-Code]]</f>
        <v>SD15037</v>
      </c>
      <c r="B32" s="245" t="s">
        <v>147</v>
      </c>
      <c r="C32" s="358" t="s">
        <v>132</v>
      </c>
      <c r="D32" s="372" t="s">
        <v>510</v>
      </c>
      <c r="E32" s="246" t="s">
        <v>511</v>
      </c>
      <c r="F32" s="360"/>
      <c r="G32" s="361"/>
      <c r="H32" s="361"/>
      <c r="I32" s="361"/>
      <c r="J32" s="361"/>
      <c r="K32" s="361"/>
      <c r="L32" s="361">
        <f>_xlfn.XLOOKUP(tblSeverityAnalysis[[#This Row],[Admin 2 P-Code]],'PIN2025'!B:B,'PIN2025'!H:H,0,0)</f>
        <v>3</v>
      </c>
      <c r="M32" s="363"/>
      <c r="N32" s="361"/>
      <c r="O32" s="361"/>
      <c r="P32" s="361"/>
      <c r="Q32" s="361"/>
      <c r="R32" s="364" t="str">
        <f>IF(COUNTIF(tblSeverityAnalysis[[#This Row],[Site Management ]:[WASH]], 1)=0, "", COUNTIF(tblSeverityAnalysis[[#This Row],[Site Management ]:[WASH]], 1))</f>
        <v/>
      </c>
      <c r="S32" s="365" t="str">
        <f>IF(COUNTIF(tblSeverityAnalysis[[#This Row],[Site Management ]:[WASH]], 2)=0, "", COUNTIF(tblSeverityAnalysis[[#This Row],[Site Management ]:[WASH]], 2))</f>
        <v/>
      </c>
      <c r="T32" s="365">
        <f>IF(COUNTIF(tblSeverityAnalysis[[#This Row],[Site Management ]:[WASH]], 3)=0, "", COUNTIF(tblSeverityAnalysis[[#This Row],[Site Management ]:[WASH]], 3))</f>
        <v>1</v>
      </c>
      <c r="U32" s="365" t="str">
        <f>IF(COUNTIF(tblSeverityAnalysis[[#This Row],[Site Management ]:[WASH]], 4)=0, "", COUNTIF(tblSeverityAnalysis[[#This Row],[Site Management ]:[WASH]], 4))</f>
        <v/>
      </c>
      <c r="V32" s="366" t="str">
        <f>IF(COUNTIF(tblSeverityAnalysis[[#This Row],[Site Management ]:[WASH]], 5)=0, "", COUNTIF(tblSeverityAnalysis[[#This Row],[Site Management ]:[WASH]], 5))</f>
        <v/>
      </c>
      <c r="W32" s="367">
        <f>IFERROR(LARGE(tblSeverityAnalysis[[#This Row],[Site Management ]:[General Protection]],1),"")</f>
        <v>3</v>
      </c>
      <c r="X32" s="368" t="str">
        <f>IFERROR(IF(AND(tblSeverityAnalysis[[#This Row],[5]] &lt;&gt; "", tblSeverityAnalysis[[#This Row],[5]]&gt;=sectors_sev_5), "Flagged", ""), "")</f>
        <v/>
      </c>
      <c r="Y32" s="369"/>
      <c r="Z32" s="324"/>
      <c r="AA32" s="370">
        <f>COUNTIF(tblSeverityAnalysis[[#This Row],[1 sectors in severity phase 5 '[modify the threshold']]:[Manual Flag]], "Flagged")</f>
        <v>0</v>
      </c>
      <c r="AB32" s="339"/>
      <c r="AC32" s="339"/>
      <c r="AD32" s="339"/>
      <c r="AE32" s="339"/>
    </row>
    <row r="33" spans="1:31" hidden="1" x14ac:dyDescent="0.3">
      <c r="A33" s="357" t="str">
        <f>tblSeverityAnalysis[[#This Row],[Admin 2 P-Code]]</f>
        <v>SD08105</v>
      </c>
      <c r="B33" s="245" t="s">
        <v>150</v>
      </c>
      <c r="C33" s="358" t="s">
        <v>125</v>
      </c>
      <c r="D33" s="372" t="s">
        <v>372</v>
      </c>
      <c r="E33" s="246" t="s">
        <v>373</v>
      </c>
      <c r="F33" s="360"/>
      <c r="G33" s="361"/>
      <c r="H33" s="361"/>
      <c r="I33" s="361"/>
      <c r="J33" s="361"/>
      <c r="K33" s="361"/>
      <c r="L33" s="361">
        <f>_xlfn.XLOOKUP(tblSeverityAnalysis[[#This Row],[Admin 2 P-Code]],'PIN2025'!B:B,'PIN2025'!H:H,0,0)</f>
        <v>3</v>
      </c>
      <c r="M33" s="363"/>
      <c r="N33" s="361"/>
      <c r="O33" s="361"/>
      <c r="P33" s="361"/>
      <c r="Q33" s="361"/>
      <c r="R33" s="364" t="str">
        <f>IF(COUNTIF(tblSeverityAnalysis[[#This Row],[Site Management ]:[WASH]], 1)=0, "", COUNTIF(tblSeverityAnalysis[[#This Row],[Site Management ]:[WASH]], 1))</f>
        <v/>
      </c>
      <c r="S33" s="365" t="str">
        <f>IF(COUNTIF(tblSeverityAnalysis[[#This Row],[Site Management ]:[WASH]], 2)=0, "", COUNTIF(tblSeverityAnalysis[[#This Row],[Site Management ]:[WASH]], 2))</f>
        <v/>
      </c>
      <c r="T33" s="365">
        <f>IF(COUNTIF(tblSeverityAnalysis[[#This Row],[Site Management ]:[WASH]], 3)=0, "", COUNTIF(tblSeverityAnalysis[[#This Row],[Site Management ]:[WASH]], 3))</f>
        <v>1</v>
      </c>
      <c r="U33" s="365" t="str">
        <f>IF(COUNTIF(tblSeverityAnalysis[[#This Row],[Site Management ]:[WASH]], 4)=0, "", COUNTIF(tblSeverityAnalysis[[#This Row],[Site Management ]:[WASH]], 4))</f>
        <v/>
      </c>
      <c r="V33" s="366" t="str">
        <f>IF(COUNTIF(tblSeverityAnalysis[[#This Row],[Site Management ]:[WASH]], 5)=0, "", COUNTIF(tblSeverityAnalysis[[#This Row],[Site Management ]:[WASH]], 5))</f>
        <v/>
      </c>
      <c r="W33" s="367">
        <f>IFERROR(LARGE(tblSeverityAnalysis[[#This Row],[Site Management ]:[General Protection]],1),"")</f>
        <v>3</v>
      </c>
      <c r="X33" s="368" t="str">
        <f>IFERROR(IF(AND(tblSeverityAnalysis[[#This Row],[5]] &lt;&gt; "", tblSeverityAnalysis[[#This Row],[5]]&gt;=sectors_sev_5), "Flagged", ""), "")</f>
        <v/>
      </c>
      <c r="Y33" s="369"/>
      <c r="Z33" s="324"/>
      <c r="AA33" s="370">
        <f>COUNTIF(tblSeverityAnalysis[[#This Row],[1 sectors in severity phase 5 '[modify the threshold']]:[Manual Flag]], "Flagged")</f>
        <v>0</v>
      </c>
      <c r="AB33" s="339"/>
      <c r="AC33" s="339"/>
      <c r="AD33" s="339"/>
      <c r="AE33" s="339"/>
    </row>
    <row r="34" spans="1:31" hidden="1" x14ac:dyDescent="0.3">
      <c r="A34" s="357" t="str">
        <f>tblSeverityAnalysis[[#This Row],[Admin 2 P-Code]]</f>
        <v>SD08106</v>
      </c>
      <c r="B34" s="245" t="s">
        <v>150</v>
      </c>
      <c r="C34" s="358" t="s">
        <v>125</v>
      </c>
      <c r="D34" s="372" t="s">
        <v>374</v>
      </c>
      <c r="E34" s="246" t="s">
        <v>375</v>
      </c>
      <c r="F34" s="360"/>
      <c r="G34" s="361"/>
      <c r="H34" s="361"/>
      <c r="I34" s="361"/>
      <c r="J34" s="361"/>
      <c r="K34" s="361"/>
      <c r="L34" s="361">
        <f>_xlfn.XLOOKUP(tblSeverityAnalysis[[#This Row],[Admin 2 P-Code]],'PIN2025'!B:B,'PIN2025'!H:H,0,0)</f>
        <v>3</v>
      </c>
      <c r="M34" s="363"/>
      <c r="N34" s="361"/>
      <c r="O34" s="361"/>
      <c r="P34" s="361"/>
      <c r="Q34" s="361"/>
      <c r="R34" s="364" t="str">
        <f>IF(COUNTIF(tblSeverityAnalysis[[#This Row],[Site Management ]:[WASH]], 1)=0, "", COUNTIF(tblSeverityAnalysis[[#This Row],[Site Management ]:[WASH]], 1))</f>
        <v/>
      </c>
      <c r="S34" s="365" t="str">
        <f>IF(COUNTIF(tblSeverityAnalysis[[#This Row],[Site Management ]:[WASH]], 2)=0, "", COUNTIF(tblSeverityAnalysis[[#This Row],[Site Management ]:[WASH]], 2))</f>
        <v/>
      </c>
      <c r="T34" s="365">
        <f>IF(COUNTIF(tblSeverityAnalysis[[#This Row],[Site Management ]:[WASH]], 3)=0, "", COUNTIF(tblSeverityAnalysis[[#This Row],[Site Management ]:[WASH]], 3))</f>
        <v>1</v>
      </c>
      <c r="U34" s="365" t="str">
        <f>IF(COUNTIF(tblSeverityAnalysis[[#This Row],[Site Management ]:[WASH]], 4)=0, "", COUNTIF(tblSeverityAnalysis[[#This Row],[Site Management ]:[WASH]], 4))</f>
        <v/>
      </c>
      <c r="V34" s="366" t="str">
        <f>IF(COUNTIF(tblSeverityAnalysis[[#This Row],[Site Management ]:[WASH]], 5)=0, "", COUNTIF(tblSeverityAnalysis[[#This Row],[Site Management ]:[WASH]], 5))</f>
        <v/>
      </c>
      <c r="W34" s="367">
        <f>IFERROR(LARGE(tblSeverityAnalysis[[#This Row],[Site Management ]:[General Protection]],1),"")</f>
        <v>3</v>
      </c>
      <c r="X34" s="368" t="str">
        <f>IFERROR(IF(AND(tblSeverityAnalysis[[#This Row],[5]] &lt;&gt; "", tblSeverityAnalysis[[#This Row],[5]]&gt;=sectors_sev_5), "Flagged", ""), "")</f>
        <v/>
      </c>
      <c r="Y34" s="369"/>
      <c r="Z34" s="324"/>
      <c r="AA34" s="370">
        <f>COUNTIF(tblSeverityAnalysis[[#This Row],[1 sectors in severity phase 5 '[modify the threshold']]:[Manual Flag]], "Flagged")</f>
        <v>0</v>
      </c>
      <c r="AB34" s="339"/>
      <c r="AC34" s="339"/>
      <c r="AD34" s="339"/>
      <c r="AE34" s="339"/>
    </row>
    <row r="35" spans="1:31" hidden="1" x14ac:dyDescent="0.3">
      <c r="A35" s="357" t="str">
        <f>tblSeverityAnalysis[[#This Row],[Admin 2 P-Code]]</f>
        <v>SD08108</v>
      </c>
      <c r="B35" s="249" t="s">
        <v>150</v>
      </c>
      <c r="C35" s="358" t="s">
        <v>125</v>
      </c>
      <c r="D35" s="372" t="s">
        <v>378</v>
      </c>
      <c r="E35" s="246" t="s">
        <v>379</v>
      </c>
      <c r="F35" s="360"/>
      <c r="G35" s="361"/>
      <c r="H35" s="361"/>
      <c r="I35" s="361"/>
      <c r="J35" s="361"/>
      <c r="K35" s="361"/>
      <c r="L35" s="361">
        <f>_xlfn.XLOOKUP(tblSeverityAnalysis[[#This Row],[Admin 2 P-Code]],'PIN2025'!B:B,'PIN2025'!H:H,0,0)</f>
        <v>3</v>
      </c>
      <c r="M35" s="363"/>
      <c r="N35" s="361"/>
      <c r="O35" s="361"/>
      <c r="P35" s="361"/>
      <c r="Q35" s="361"/>
      <c r="R35" s="364" t="str">
        <f>IF(COUNTIF(tblSeverityAnalysis[[#This Row],[Site Management ]:[WASH]], 1)=0, "", COUNTIF(tblSeverityAnalysis[[#This Row],[Site Management ]:[WASH]], 1))</f>
        <v/>
      </c>
      <c r="S35" s="365" t="str">
        <f>IF(COUNTIF(tblSeverityAnalysis[[#This Row],[Site Management ]:[WASH]], 2)=0, "", COUNTIF(tblSeverityAnalysis[[#This Row],[Site Management ]:[WASH]], 2))</f>
        <v/>
      </c>
      <c r="T35" s="365">
        <f>IF(COUNTIF(tblSeverityAnalysis[[#This Row],[Site Management ]:[WASH]], 3)=0, "", COUNTIF(tblSeverityAnalysis[[#This Row],[Site Management ]:[WASH]], 3))</f>
        <v>1</v>
      </c>
      <c r="U35" s="365" t="str">
        <f>IF(COUNTIF(tblSeverityAnalysis[[#This Row],[Site Management ]:[WASH]], 4)=0, "", COUNTIF(tblSeverityAnalysis[[#This Row],[Site Management ]:[WASH]], 4))</f>
        <v/>
      </c>
      <c r="V35" s="366" t="str">
        <f>IF(COUNTIF(tblSeverityAnalysis[[#This Row],[Site Management ]:[WASH]], 5)=0, "", COUNTIF(tblSeverityAnalysis[[#This Row],[Site Management ]:[WASH]], 5))</f>
        <v/>
      </c>
      <c r="W35" s="367">
        <f>IFERROR(LARGE(tblSeverityAnalysis[[#This Row],[Site Management ]:[General Protection]],1),"")</f>
        <v>3</v>
      </c>
      <c r="X35" s="368" t="str">
        <f>IFERROR(IF(AND(tblSeverityAnalysis[[#This Row],[5]] &lt;&gt; "", tblSeverityAnalysis[[#This Row],[5]]&gt;=sectors_sev_5), "Flagged", ""), "")</f>
        <v/>
      </c>
      <c r="Y35" s="369"/>
      <c r="Z35" s="324"/>
      <c r="AA35" s="370">
        <f>COUNTIF(tblSeverityAnalysis[[#This Row],[1 sectors in severity phase 5 '[modify the threshold']]:[Manual Flag]], "Flagged")</f>
        <v>0</v>
      </c>
      <c r="AB35" s="339"/>
      <c r="AC35" s="339"/>
      <c r="AD35" s="339"/>
      <c r="AE35" s="339"/>
    </row>
    <row r="36" spans="1:31" hidden="1" x14ac:dyDescent="0.3">
      <c r="A36" s="357" t="str">
        <f>tblSeverityAnalysis[[#This Row],[Admin 2 P-Code]]</f>
        <v>SD08109</v>
      </c>
      <c r="B36" s="245" t="s">
        <v>150</v>
      </c>
      <c r="C36" s="358" t="s">
        <v>125</v>
      </c>
      <c r="D36" s="372" t="s">
        <v>380</v>
      </c>
      <c r="E36" s="246" t="s">
        <v>381</v>
      </c>
      <c r="F36" s="360"/>
      <c r="G36" s="361"/>
      <c r="H36" s="361"/>
      <c r="I36" s="361"/>
      <c r="J36" s="361"/>
      <c r="K36" s="361"/>
      <c r="L36" s="361">
        <f>_xlfn.XLOOKUP(tblSeverityAnalysis[[#This Row],[Admin 2 P-Code]],'PIN2025'!B:B,'PIN2025'!H:H,0,0)</f>
        <v>3</v>
      </c>
      <c r="M36" s="363"/>
      <c r="N36" s="361"/>
      <c r="O36" s="361"/>
      <c r="P36" s="361"/>
      <c r="Q36" s="361"/>
      <c r="R36" s="364" t="str">
        <f>IF(COUNTIF(tblSeverityAnalysis[[#This Row],[Site Management ]:[WASH]], 1)=0, "", COUNTIF(tblSeverityAnalysis[[#This Row],[Site Management ]:[WASH]], 1))</f>
        <v/>
      </c>
      <c r="S36" s="365" t="str">
        <f>IF(COUNTIF(tblSeverityAnalysis[[#This Row],[Site Management ]:[WASH]], 2)=0, "", COUNTIF(tblSeverityAnalysis[[#This Row],[Site Management ]:[WASH]], 2))</f>
        <v/>
      </c>
      <c r="T36" s="365">
        <f>IF(COUNTIF(tblSeverityAnalysis[[#This Row],[Site Management ]:[WASH]], 3)=0, "", COUNTIF(tblSeverityAnalysis[[#This Row],[Site Management ]:[WASH]], 3))</f>
        <v>1</v>
      </c>
      <c r="U36" s="365" t="str">
        <f>IF(COUNTIF(tblSeverityAnalysis[[#This Row],[Site Management ]:[WASH]], 4)=0, "", COUNTIF(tblSeverityAnalysis[[#This Row],[Site Management ]:[WASH]], 4))</f>
        <v/>
      </c>
      <c r="V36" s="366" t="str">
        <f>IF(COUNTIF(tblSeverityAnalysis[[#This Row],[Site Management ]:[WASH]], 5)=0, "", COUNTIF(tblSeverityAnalysis[[#This Row],[Site Management ]:[WASH]], 5))</f>
        <v/>
      </c>
      <c r="W36" s="367">
        <f>IFERROR(LARGE(tblSeverityAnalysis[[#This Row],[Site Management ]:[General Protection]],1),"")</f>
        <v>3</v>
      </c>
      <c r="X36" s="368" t="str">
        <f>IFERROR(IF(AND(tblSeverityAnalysis[[#This Row],[5]] &lt;&gt; "", tblSeverityAnalysis[[#This Row],[5]]&gt;=sectors_sev_5), "Flagged", ""), "")</f>
        <v/>
      </c>
      <c r="Y36" s="369"/>
      <c r="Z36" s="324"/>
      <c r="AA36" s="370">
        <f>COUNTIF(tblSeverityAnalysis[[#This Row],[1 sectors in severity phase 5 '[modify the threshold']]:[Manual Flag]], "Flagged")</f>
        <v>0</v>
      </c>
      <c r="AB36" s="339"/>
      <c r="AC36" s="339"/>
      <c r="AD36" s="339"/>
      <c r="AE36" s="339"/>
    </row>
    <row r="37" spans="1:31" hidden="1" x14ac:dyDescent="0.3">
      <c r="A37" s="357" t="str">
        <f>tblSeverityAnalysis[[#This Row],[Admin 2 P-Code]]</f>
        <v>SD08110</v>
      </c>
      <c r="B37" s="245" t="s">
        <v>150</v>
      </c>
      <c r="C37" s="358" t="s">
        <v>125</v>
      </c>
      <c r="D37" s="372" t="s">
        <v>382</v>
      </c>
      <c r="E37" s="246" t="s">
        <v>383</v>
      </c>
      <c r="F37" s="360"/>
      <c r="G37" s="361"/>
      <c r="H37" s="361"/>
      <c r="I37" s="361"/>
      <c r="J37" s="361"/>
      <c r="K37" s="361"/>
      <c r="L37" s="361">
        <f>_xlfn.XLOOKUP(tblSeverityAnalysis[[#This Row],[Admin 2 P-Code]],'PIN2025'!B:B,'PIN2025'!H:H,0,0)</f>
        <v>3</v>
      </c>
      <c r="M37" s="363"/>
      <c r="N37" s="361"/>
      <c r="O37" s="361"/>
      <c r="P37" s="361"/>
      <c r="Q37" s="361"/>
      <c r="R37" s="364" t="str">
        <f>IF(COUNTIF(tblSeverityAnalysis[[#This Row],[Site Management ]:[WASH]], 1)=0, "", COUNTIF(tblSeverityAnalysis[[#This Row],[Site Management ]:[WASH]], 1))</f>
        <v/>
      </c>
      <c r="S37" s="365" t="str">
        <f>IF(COUNTIF(tblSeverityAnalysis[[#This Row],[Site Management ]:[WASH]], 2)=0, "", COUNTIF(tblSeverityAnalysis[[#This Row],[Site Management ]:[WASH]], 2))</f>
        <v/>
      </c>
      <c r="T37" s="365">
        <f>IF(COUNTIF(tblSeverityAnalysis[[#This Row],[Site Management ]:[WASH]], 3)=0, "", COUNTIF(tblSeverityAnalysis[[#This Row],[Site Management ]:[WASH]], 3))</f>
        <v>1</v>
      </c>
      <c r="U37" s="365" t="str">
        <f>IF(COUNTIF(tblSeverityAnalysis[[#This Row],[Site Management ]:[WASH]], 4)=0, "", COUNTIF(tblSeverityAnalysis[[#This Row],[Site Management ]:[WASH]], 4))</f>
        <v/>
      </c>
      <c r="V37" s="366" t="str">
        <f>IF(COUNTIF(tblSeverityAnalysis[[#This Row],[Site Management ]:[WASH]], 5)=0, "", COUNTIF(tblSeverityAnalysis[[#This Row],[Site Management ]:[WASH]], 5))</f>
        <v/>
      </c>
      <c r="W37" s="367">
        <f>IFERROR(LARGE(tblSeverityAnalysis[[#This Row],[Site Management ]:[General Protection]],1),"")</f>
        <v>3</v>
      </c>
      <c r="X37" s="368" t="str">
        <f>IFERROR(IF(AND(tblSeverityAnalysis[[#This Row],[5]] &lt;&gt; "", tblSeverityAnalysis[[#This Row],[5]]&gt;=sectors_sev_5), "Flagged", ""), "")</f>
        <v/>
      </c>
      <c r="Y37" s="369"/>
      <c r="Z37" s="324"/>
      <c r="AA37" s="370">
        <f>COUNTIF(tblSeverityAnalysis[[#This Row],[1 sectors in severity phase 5 '[modify the threshold']]:[Manual Flag]], "Flagged")</f>
        <v>0</v>
      </c>
      <c r="AB37" s="339"/>
      <c r="AC37" s="339"/>
      <c r="AD37" s="339"/>
      <c r="AE37" s="339"/>
    </row>
    <row r="38" spans="1:31" hidden="1" x14ac:dyDescent="0.3">
      <c r="A38" s="357" t="str">
        <f>tblSeverityAnalysis[[#This Row],[Admin 2 P-Code]]</f>
        <v>SD06110</v>
      </c>
      <c r="B38" s="245" t="s">
        <v>141</v>
      </c>
      <c r="C38" s="358" t="s">
        <v>123</v>
      </c>
      <c r="D38" s="372" t="s">
        <v>143</v>
      </c>
      <c r="E38" s="246" t="s">
        <v>142</v>
      </c>
      <c r="F38" s="360"/>
      <c r="G38" s="361"/>
      <c r="H38" s="361"/>
      <c r="I38" s="361"/>
      <c r="J38" s="361"/>
      <c r="K38" s="361"/>
      <c r="L38" s="361">
        <f>_xlfn.XLOOKUP(tblSeverityAnalysis[[#This Row],[Admin 2 P-Code]],'PIN2025'!B:B,'PIN2025'!H:H,0,0)</f>
        <v>3</v>
      </c>
      <c r="M38" s="363"/>
      <c r="N38" s="361"/>
      <c r="O38" s="361"/>
      <c r="P38" s="361"/>
      <c r="Q38" s="361"/>
      <c r="R38" s="364" t="str">
        <f>IF(COUNTIF(tblSeverityAnalysis[[#This Row],[Site Management ]:[WASH]], 1)=0, "", COUNTIF(tblSeverityAnalysis[[#This Row],[Site Management ]:[WASH]], 1))</f>
        <v/>
      </c>
      <c r="S38" s="365" t="str">
        <f>IF(COUNTIF(tblSeverityAnalysis[[#This Row],[Site Management ]:[WASH]], 2)=0, "", COUNTIF(tblSeverityAnalysis[[#This Row],[Site Management ]:[WASH]], 2))</f>
        <v/>
      </c>
      <c r="T38" s="365">
        <f>IF(COUNTIF(tblSeverityAnalysis[[#This Row],[Site Management ]:[WASH]], 3)=0, "", COUNTIF(tblSeverityAnalysis[[#This Row],[Site Management ]:[WASH]], 3))</f>
        <v>1</v>
      </c>
      <c r="U38" s="365" t="str">
        <f>IF(COUNTIF(tblSeverityAnalysis[[#This Row],[Site Management ]:[WASH]], 4)=0, "", COUNTIF(tblSeverityAnalysis[[#This Row],[Site Management ]:[WASH]], 4))</f>
        <v/>
      </c>
      <c r="V38" s="366" t="str">
        <f>IF(COUNTIF(tblSeverityAnalysis[[#This Row],[Site Management ]:[WASH]], 5)=0, "", COUNTIF(tblSeverityAnalysis[[#This Row],[Site Management ]:[WASH]], 5))</f>
        <v/>
      </c>
      <c r="W38" s="367">
        <f>IFERROR(LARGE(tblSeverityAnalysis[[#This Row],[Site Management ]:[General Protection]],1),"")</f>
        <v>3</v>
      </c>
      <c r="X38" s="368" t="str">
        <f>IFERROR(IF(AND(tblSeverityAnalysis[[#This Row],[5]] &lt;&gt; "", tblSeverityAnalysis[[#This Row],[5]]&gt;=sectors_sev_5), "Flagged", ""), "")</f>
        <v/>
      </c>
      <c r="Y38" s="369"/>
      <c r="Z38" s="324"/>
      <c r="AA38" s="370">
        <f>COUNTIF(tblSeverityAnalysis[[#This Row],[1 sectors in severity phase 5 '[modify the threshold']]:[Manual Flag]], "Flagged")</f>
        <v>0</v>
      </c>
      <c r="AB38" s="339"/>
      <c r="AC38" s="339"/>
      <c r="AD38" s="339"/>
      <c r="AE38" s="339"/>
    </row>
    <row r="39" spans="1:31" hidden="1" x14ac:dyDescent="0.3">
      <c r="A39" s="357" t="str">
        <f>tblSeverityAnalysis[[#This Row],[Admin 2 P-Code]]</f>
        <v>SD06112</v>
      </c>
      <c r="B39" s="245" t="s">
        <v>141</v>
      </c>
      <c r="C39" s="358" t="s">
        <v>123</v>
      </c>
      <c r="D39" s="372" t="s">
        <v>146</v>
      </c>
      <c r="E39" s="246" t="s">
        <v>145</v>
      </c>
      <c r="F39" s="360"/>
      <c r="G39" s="361"/>
      <c r="H39" s="361"/>
      <c r="I39" s="361"/>
      <c r="J39" s="361"/>
      <c r="K39" s="361"/>
      <c r="L39" s="361">
        <f>_xlfn.XLOOKUP(tblSeverityAnalysis[[#This Row],[Admin 2 P-Code]],'PIN2025'!B:B,'PIN2025'!H:H,0,0)</f>
        <v>3</v>
      </c>
      <c r="M39" s="363"/>
      <c r="N39" s="361"/>
      <c r="O39" s="361"/>
      <c r="P39" s="361"/>
      <c r="Q39" s="361"/>
      <c r="R39" s="364" t="str">
        <f>IF(COUNTIF(tblSeverityAnalysis[[#This Row],[Site Management ]:[WASH]], 1)=0, "", COUNTIF(tblSeverityAnalysis[[#This Row],[Site Management ]:[WASH]], 1))</f>
        <v/>
      </c>
      <c r="S39" s="365" t="str">
        <f>IF(COUNTIF(tblSeverityAnalysis[[#This Row],[Site Management ]:[WASH]], 2)=0, "", COUNTIF(tblSeverityAnalysis[[#This Row],[Site Management ]:[WASH]], 2))</f>
        <v/>
      </c>
      <c r="T39" s="365">
        <f>IF(COUNTIF(tblSeverityAnalysis[[#This Row],[Site Management ]:[WASH]], 3)=0, "", COUNTIF(tblSeverityAnalysis[[#This Row],[Site Management ]:[WASH]], 3))</f>
        <v>1</v>
      </c>
      <c r="U39" s="365" t="str">
        <f>IF(COUNTIF(tblSeverityAnalysis[[#This Row],[Site Management ]:[WASH]], 4)=0, "", COUNTIF(tblSeverityAnalysis[[#This Row],[Site Management ]:[WASH]], 4))</f>
        <v/>
      </c>
      <c r="V39" s="366" t="str">
        <f>IF(COUNTIF(tblSeverityAnalysis[[#This Row],[Site Management ]:[WASH]], 5)=0, "", COUNTIF(tblSeverityAnalysis[[#This Row],[Site Management ]:[WASH]], 5))</f>
        <v/>
      </c>
      <c r="W39" s="367">
        <f>IFERROR(LARGE(tblSeverityAnalysis[[#This Row],[Site Management ]:[General Protection]],1),"")</f>
        <v>3</v>
      </c>
      <c r="X39" s="368" t="str">
        <f>IFERROR(IF(AND(tblSeverityAnalysis[[#This Row],[5]] &lt;&gt; "", tblSeverityAnalysis[[#This Row],[5]]&gt;=sectors_sev_5), "Flagged", ""), "")</f>
        <v/>
      </c>
      <c r="Y39" s="369"/>
      <c r="Z39" s="324"/>
      <c r="AA39" s="370">
        <f>COUNTIF(tblSeverityAnalysis[[#This Row],[1 sectors in severity phase 5 '[modify the threshold']]:[Manual Flag]], "Flagged")</f>
        <v>0</v>
      </c>
      <c r="AB39" s="339"/>
      <c r="AC39" s="339"/>
      <c r="AD39" s="339"/>
      <c r="AE39" s="339"/>
    </row>
    <row r="40" spans="1:31" hidden="1" x14ac:dyDescent="0.3">
      <c r="A40" s="357" t="str">
        <f>tblSeverityAnalysis[[#This Row],[Admin 2 P-Code]]</f>
        <v>SD06130</v>
      </c>
      <c r="B40" s="245" t="s">
        <v>141</v>
      </c>
      <c r="C40" s="358" t="s">
        <v>123</v>
      </c>
      <c r="D40" s="372" t="s">
        <v>149</v>
      </c>
      <c r="E40" s="246" t="s">
        <v>148</v>
      </c>
      <c r="F40" s="360"/>
      <c r="G40" s="361"/>
      <c r="H40" s="361"/>
      <c r="I40" s="361"/>
      <c r="J40" s="361"/>
      <c r="K40" s="361"/>
      <c r="L40" s="361">
        <f>_xlfn.XLOOKUP(tblSeverityAnalysis[[#This Row],[Admin 2 P-Code]],'PIN2025'!B:B,'PIN2025'!H:H,0,0)</f>
        <v>3</v>
      </c>
      <c r="M40" s="363"/>
      <c r="N40" s="361"/>
      <c r="O40" s="361"/>
      <c r="P40" s="361"/>
      <c r="Q40" s="361"/>
      <c r="R40" s="364" t="str">
        <f>IF(COUNTIF(tblSeverityAnalysis[[#This Row],[Site Management ]:[WASH]], 1)=0, "", COUNTIF(tblSeverityAnalysis[[#This Row],[Site Management ]:[WASH]], 1))</f>
        <v/>
      </c>
      <c r="S40" s="365" t="str">
        <f>IF(COUNTIF(tblSeverityAnalysis[[#This Row],[Site Management ]:[WASH]], 2)=0, "", COUNTIF(tblSeverityAnalysis[[#This Row],[Site Management ]:[WASH]], 2))</f>
        <v/>
      </c>
      <c r="T40" s="365">
        <f>IF(COUNTIF(tblSeverityAnalysis[[#This Row],[Site Management ]:[WASH]], 3)=0, "", COUNTIF(tblSeverityAnalysis[[#This Row],[Site Management ]:[WASH]], 3))</f>
        <v>1</v>
      </c>
      <c r="U40" s="365" t="str">
        <f>IF(COUNTIF(tblSeverityAnalysis[[#This Row],[Site Management ]:[WASH]], 4)=0, "", COUNTIF(tblSeverityAnalysis[[#This Row],[Site Management ]:[WASH]], 4))</f>
        <v/>
      </c>
      <c r="V40" s="366" t="str">
        <f>IF(COUNTIF(tblSeverityAnalysis[[#This Row],[Site Management ]:[WASH]], 5)=0, "", COUNTIF(tblSeverityAnalysis[[#This Row],[Site Management ]:[WASH]], 5))</f>
        <v/>
      </c>
      <c r="W40" s="367">
        <f>IFERROR(LARGE(tblSeverityAnalysis[[#This Row],[Site Management ]:[General Protection]],1),"")</f>
        <v>3</v>
      </c>
      <c r="X40" s="368" t="str">
        <f>IFERROR(IF(AND(tblSeverityAnalysis[[#This Row],[5]] &lt;&gt; "", tblSeverityAnalysis[[#This Row],[5]]&gt;=sectors_sev_5), "Flagged", ""), "")</f>
        <v/>
      </c>
      <c r="Y40" s="369"/>
      <c r="Z40" s="324"/>
      <c r="AA40" s="370">
        <f>COUNTIF(tblSeverityAnalysis[[#This Row],[1 sectors in severity phase 5 '[modify the threshold']]:[Manual Flag]], "Flagged")</f>
        <v>0</v>
      </c>
      <c r="AB40" s="339"/>
      <c r="AC40" s="339"/>
      <c r="AD40" s="339"/>
      <c r="AE40" s="339"/>
    </row>
    <row r="41" spans="1:31" hidden="1" x14ac:dyDescent="0.3">
      <c r="A41" s="357" t="str">
        <f>tblSeverityAnalysis[[#This Row],[Admin 2 P-Code]]</f>
        <v>SD06131</v>
      </c>
      <c r="B41" s="245" t="s">
        <v>141</v>
      </c>
      <c r="C41" s="358" t="s">
        <v>123</v>
      </c>
      <c r="D41" s="372" t="s">
        <v>152</v>
      </c>
      <c r="E41" s="246" t="s">
        <v>151</v>
      </c>
      <c r="F41" s="360"/>
      <c r="G41" s="361"/>
      <c r="H41" s="361"/>
      <c r="I41" s="361"/>
      <c r="J41" s="361"/>
      <c r="K41" s="361"/>
      <c r="L41" s="361">
        <f>_xlfn.XLOOKUP(tblSeverityAnalysis[[#This Row],[Admin 2 P-Code]],'PIN2025'!B:B,'PIN2025'!H:H,0,0)</f>
        <v>3</v>
      </c>
      <c r="M41" s="363"/>
      <c r="N41" s="361"/>
      <c r="O41" s="361"/>
      <c r="P41" s="361"/>
      <c r="Q41" s="361"/>
      <c r="R41" s="364" t="str">
        <f>IF(COUNTIF(tblSeverityAnalysis[[#This Row],[Site Management ]:[WASH]], 1)=0, "", COUNTIF(tblSeverityAnalysis[[#This Row],[Site Management ]:[WASH]], 1))</f>
        <v/>
      </c>
      <c r="S41" s="365" t="str">
        <f>IF(COUNTIF(tblSeverityAnalysis[[#This Row],[Site Management ]:[WASH]], 2)=0, "", COUNTIF(tblSeverityAnalysis[[#This Row],[Site Management ]:[WASH]], 2))</f>
        <v/>
      </c>
      <c r="T41" s="365">
        <f>IF(COUNTIF(tblSeverityAnalysis[[#This Row],[Site Management ]:[WASH]], 3)=0, "", COUNTIF(tblSeverityAnalysis[[#This Row],[Site Management ]:[WASH]], 3))</f>
        <v>1</v>
      </c>
      <c r="U41" s="365" t="str">
        <f>IF(COUNTIF(tblSeverityAnalysis[[#This Row],[Site Management ]:[WASH]], 4)=0, "", COUNTIF(tblSeverityAnalysis[[#This Row],[Site Management ]:[WASH]], 4))</f>
        <v/>
      </c>
      <c r="V41" s="366" t="str">
        <f>IF(COUNTIF(tblSeverityAnalysis[[#This Row],[Site Management ]:[WASH]], 5)=0, "", COUNTIF(tblSeverityAnalysis[[#This Row],[Site Management ]:[WASH]], 5))</f>
        <v/>
      </c>
      <c r="W41" s="367">
        <f>IFERROR(LARGE(tblSeverityAnalysis[[#This Row],[Site Management ]:[General Protection]],1),"")</f>
        <v>3</v>
      </c>
      <c r="X41" s="368" t="str">
        <f>IFERROR(IF(AND(tblSeverityAnalysis[[#This Row],[5]] &lt;&gt; "", tblSeverityAnalysis[[#This Row],[5]]&gt;=sectors_sev_5), "Flagged", ""), "")</f>
        <v/>
      </c>
      <c r="Y41" s="369"/>
      <c r="Z41" s="324"/>
      <c r="AA41" s="370">
        <f>COUNTIF(tblSeverityAnalysis[[#This Row],[1 sectors in severity phase 5 '[modify the threshold']]:[Manual Flag]], "Flagged")</f>
        <v>0</v>
      </c>
      <c r="AB41" s="339"/>
      <c r="AC41" s="339"/>
      <c r="AD41" s="339"/>
      <c r="AE41" s="339"/>
    </row>
    <row r="42" spans="1:31" hidden="1" x14ac:dyDescent="0.3">
      <c r="A42" s="357" t="str">
        <f>tblSeverityAnalysis[[#This Row],[Admin 2 P-Code]]</f>
        <v>SD06132</v>
      </c>
      <c r="B42" s="245" t="s">
        <v>141</v>
      </c>
      <c r="C42" s="358" t="s">
        <v>123</v>
      </c>
      <c r="D42" s="372" t="s">
        <v>154</v>
      </c>
      <c r="E42" s="246" t="s">
        <v>153</v>
      </c>
      <c r="F42" s="360"/>
      <c r="G42" s="361"/>
      <c r="H42" s="361"/>
      <c r="I42" s="361"/>
      <c r="J42" s="361"/>
      <c r="K42" s="361"/>
      <c r="L42" s="361">
        <f>_xlfn.XLOOKUP(tblSeverityAnalysis[[#This Row],[Admin 2 P-Code]],'PIN2025'!B:B,'PIN2025'!H:H,0,0)</f>
        <v>3</v>
      </c>
      <c r="M42" s="363"/>
      <c r="N42" s="361"/>
      <c r="O42" s="361"/>
      <c r="P42" s="361"/>
      <c r="Q42" s="361"/>
      <c r="R42" s="364" t="str">
        <f>IF(COUNTIF(tblSeverityAnalysis[[#This Row],[Site Management ]:[WASH]], 1)=0, "", COUNTIF(tblSeverityAnalysis[[#This Row],[Site Management ]:[WASH]], 1))</f>
        <v/>
      </c>
      <c r="S42" s="365" t="str">
        <f>IF(COUNTIF(tblSeverityAnalysis[[#This Row],[Site Management ]:[WASH]], 2)=0, "", COUNTIF(tblSeverityAnalysis[[#This Row],[Site Management ]:[WASH]], 2))</f>
        <v/>
      </c>
      <c r="T42" s="365">
        <f>IF(COUNTIF(tblSeverityAnalysis[[#This Row],[Site Management ]:[WASH]], 3)=0, "", COUNTIF(tblSeverityAnalysis[[#This Row],[Site Management ]:[WASH]], 3))</f>
        <v>1</v>
      </c>
      <c r="U42" s="365" t="str">
        <f>IF(COUNTIF(tblSeverityAnalysis[[#This Row],[Site Management ]:[WASH]], 4)=0, "", COUNTIF(tblSeverityAnalysis[[#This Row],[Site Management ]:[WASH]], 4))</f>
        <v/>
      </c>
      <c r="V42" s="366" t="str">
        <f>IF(COUNTIF(tblSeverityAnalysis[[#This Row],[Site Management ]:[WASH]], 5)=0, "", COUNTIF(tblSeverityAnalysis[[#This Row],[Site Management ]:[WASH]], 5))</f>
        <v/>
      </c>
      <c r="W42" s="367">
        <f>IFERROR(LARGE(tblSeverityAnalysis[[#This Row],[Site Management ]:[General Protection]],1),"")</f>
        <v>3</v>
      </c>
      <c r="X42" s="368" t="str">
        <f>IFERROR(IF(AND(tblSeverityAnalysis[[#This Row],[5]] &lt;&gt; "", tblSeverityAnalysis[[#This Row],[5]]&gt;=sectors_sev_5), "Flagged", ""), "")</f>
        <v/>
      </c>
      <c r="Y42" s="369"/>
      <c r="Z42" s="324"/>
      <c r="AA42" s="370">
        <f>COUNTIF(tblSeverityAnalysis[[#This Row],[1 sectors in severity phase 5 '[modify the threshold']]:[Manual Flag]], "Flagged")</f>
        <v>0</v>
      </c>
      <c r="AB42" s="339"/>
      <c r="AC42" s="339"/>
      <c r="AD42" s="339"/>
      <c r="AE42" s="339"/>
    </row>
    <row r="43" spans="1:31" hidden="1" x14ac:dyDescent="0.3">
      <c r="A43" s="357" t="str">
        <f>tblSeverityAnalysis[[#This Row],[Admin 2 P-Code]]</f>
        <v>SD06135</v>
      </c>
      <c r="B43" s="245" t="s">
        <v>141</v>
      </c>
      <c r="C43" s="358" t="s">
        <v>123</v>
      </c>
      <c r="D43" s="372" t="s">
        <v>157</v>
      </c>
      <c r="E43" s="246" t="s">
        <v>156</v>
      </c>
      <c r="F43" s="360"/>
      <c r="G43" s="361"/>
      <c r="H43" s="361"/>
      <c r="I43" s="361"/>
      <c r="J43" s="361"/>
      <c r="K43" s="361"/>
      <c r="L43" s="361">
        <f>_xlfn.XLOOKUP(tblSeverityAnalysis[[#This Row],[Admin 2 P-Code]],'PIN2025'!B:B,'PIN2025'!H:H,0,0)</f>
        <v>3</v>
      </c>
      <c r="M43" s="363"/>
      <c r="N43" s="361"/>
      <c r="O43" s="361"/>
      <c r="P43" s="361"/>
      <c r="Q43" s="361"/>
      <c r="R43" s="364" t="str">
        <f>IF(COUNTIF(tblSeverityAnalysis[[#This Row],[Site Management ]:[WASH]], 1)=0, "", COUNTIF(tblSeverityAnalysis[[#This Row],[Site Management ]:[WASH]], 1))</f>
        <v/>
      </c>
      <c r="S43" s="365" t="str">
        <f>IF(COUNTIF(tblSeverityAnalysis[[#This Row],[Site Management ]:[WASH]], 2)=0, "", COUNTIF(tblSeverityAnalysis[[#This Row],[Site Management ]:[WASH]], 2))</f>
        <v/>
      </c>
      <c r="T43" s="365">
        <f>IF(COUNTIF(tblSeverityAnalysis[[#This Row],[Site Management ]:[WASH]], 3)=0, "", COUNTIF(tblSeverityAnalysis[[#This Row],[Site Management ]:[WASH]], 3))</f>
        <v>1</v>
      </c>
      <c r="U43" s="365" t="str">
        <f>IF(COUNTIF(tblSeverityAnalysis[[#This Row],[Site Management ]:[WASH]], 4)=0, "", COUNTIF(tblSeverityAnalysis[[#This Row],[Site Management ]:[WASH]], 4))</f>
        <v/>
      </c>
      <c r="V43" s="366" t="str">
        <f>IF(COUNTIF(tblSeverityAnalysis[[#This Row],[Site Management ]:[WASH]], 5)=0, "", COUNTIF(tblSeverityAnalysis[[#This Row],[Site Management ]:[WASH]], 5))</f>
        <v/>
      </c>
      <c r="W43" s="367">
        <f>IFERROR(LARGE(tblSeverityAnalysis[[#This Row],[Site Management ]:[General Protection]],1),"")</f>
        <v>3</v>
      </c>
      <c r="X43" s="368" t="str">
        <f>IFERROR(IF(AND(tblSeverityAnalysis[[#This Row],[5]] &lt;&gt; "", tblSeverityAnalysis[[#This Row],[5]]&gt;=sectors_sev_5), "Flagged", ""), "")</f>
        <v/>
      </c>
      <c r="Y43" s="369"/>
      <c r="Z43" s="324"/>
      <c r="AA43" s="370">
        <f>COUNTIF(tblSeverityAnalysis[[#This Row],[1 sectors in severity phase 5 '[modify the threshold']]:[Manual Flag]], "Flagged")</f>
        <v>0</v>
      </c>
      <c r="AB43" s="339"/>
      <c r="AC43" s="339"/>
      <c r="AD43" s="339"/>
      <c r="AE43" s="339"/>
    </row>
    <row r="44" spans="1:31" hidden="1" x14ac:dyDescent="0.3">
      <c r="A44" s="357" t="str">
        <f>tblSeverityAnalysis[[#This Row],[Admin 2 P-Code]]</f>
        <v>SD06137</v>
      </c>
      <c r="B44" s="245" t="s">
        <v>141</v>
      </c>
      <c r="C44" s="358" t="s">
        <v>123</v>
      </c>
      <c r="D44" s="372" t="s">
        <v>160</v>
      </c>
      <c r="E44" s="246" t="s">
        <v>159</v>
      </c>
      <c r="F44" s="360"/>
      <c r="G44" s="361"/>
      <c r="H44" s="361"/>
      <c r="I44" s="361"/>
      <c r="J44" s="361"/>
      <c r="K44" s="361"/>
      <c r="L44" s="361">
        <f>_xlfn.XLOOKUP(tblSeverityAnalysis[[#This Row],[Admin 2 P-Code]],'PIN2025'!B:B,'PIN2025'!H:H,0,0)</f>
        <v>3</v>
      </c>
      <c r="M44" s="363"/>
      <c r="N44" s="361"/>
      <c r="O44" s="361"/>
      <c r="P44" s="361"/>
      <c r="Q44" s="361"/>
      <c r="R44" s="364" t="str">
        <f>IF(COUNTIF(tblSeverityAnalysis[[#This Row],[Site Management ]:[WASH]], 1)=0, "", COUNTIF(tblSeverityAnalysis[[#This Row],[Site Management ]:[WASH]], 1))</f>
        <v/>
      </c>
      <c r="S44" s="365" t="str">
        <f>IF(COUNTIF(tblSeverityAnalysis[[#This Row],[Site Management ]:[WASH]], 2)=0, "", COUNTIF(tblSeverityAnalysis[[#This Row],[Site Management ]:[WASH]], 2))</f>
        <v/>
      </c>
      <c r="T44" s="365">
        <f>IF(COUNTIF(tblSeverityAnalysis[[#This Row],[Site Management ]:[WASH]], 3)=0, "", COUNTIF(tblSeverityAnalysis[[#This Row],[Site Management ]:[WASH]], 3))</f>
        <v>1</v>
      </c>
      <c r="U44" s="365" t="str">
        <f>IF(COUNTIF(tblSeverityAnalysis[[#This Row],[Site Management ]:[WASH]], 4)=0, "", COUNTIF(tblSeverityAnalysis[[#This Row],[Site Management ]:[WASH]], 4))</f>
        <v/>
      </c>
      <c r="V44" s="366" t="str">
        <f>IF(COUNTIF(tblSeverityAnalysis[[#This Row],[Site Management ]:[WASH]], 5)=0, "", COUNTIF(tblSeverityAnalysis[[#This Row],[Site Management ]:[WASH]], 5))</f>
        <v/>
      </c>
      <c r="W44" s="367">
        <f>IFERROR(LARGE(tblSeverityAnalysis[[#This Row],[Site Management ]:[General Protection]],1),"")</f>
        <v>3</v>
      </c>
      <c r="X44" s="368" t="str">
        <f>IFERROR(IF(AND(tblSeverityAnalysis[[#This Row],[5]] &lt;&gt; "", tblSeverityAnalysis[[#This Row],[5]]&gt;=sectors_sev_5), "Flagged", ""), "")</f>
        <v/>
      </c>
      <c r="Y44" s="369"/>
      <c r="Z44" s="324"/>
      <c r="AA44" s="370">
        <f>COUNTIF(tblSeverityAnalysis[[#This Row],[1 sectors in severity phase 5 '[modify the threshold']]:[Manual Flag]], "Flagged")</f>
        <v>0</v>
      </c>
      <c r="AB44" s="339"/>
      <c r="AC44" s="339"/>
      <c r="AD44" s="339"/>
      <c r="AE44" s="339"/>
    </row>
    <row r="45" spans="1:31" hidden="1" x14ac:dyDescent="0.3">
      <c r="A45" s="357" t="str">
        <f>tblSeverityAnalysis[[#This Row],[Admin 2 P-Code]]</f>
        <v>SD06139</v>
      </c>
      <c r="B45" s="245" t="s">
        <v>141</v>
      </c>
      <c r="C45" s="358" t="s">
        <v>123</v>
      </c>
      <c r="D45" s="372" t="s">
        <v>166</v>
      </c>
      <c r="E45" s="246" t="s">
        <v>165</v>
      </c>
      <c r="F45" s="360"/>
      <c r="G45" s="361"/>
      <c r="H45" s="361"/>
      <c r="I45" s="361"/>
      <c r="J45" s="361"/>
      <c r="K45" s="361"/>
      <c r="L45" s="361">
        <f>_xlfn.XLOOKUP(tblSeverityAnalysis[[#This Row],[Admin 2 P-Code]],'PIN2025'!B:B,'PIN2025'!H:H,0,0)</f>
        <v>3</v>
      </c>
      <c r="M45" s="363"/>
      <c r="N45" s="361"/>
      <c r="O45" s="361"/>
      <c r="P45" s="361"/>
      <c r="Q45" s="361"/>
      <c r="R45" s="364" t="str">
        <f>IF(COUNTIF(tblSeverityAnalysis[[#This Row],[Site Management ]:[WASH]], 1)=0, "", COUNTIF(tblSeverityAnalysis[[#This Row],[Site Management ]:[WASH]], 1))</f>
        <v/>
      </c>
      <c r="S45" s="365" t="str">
        <f>IF(COUNTIF(tblSeverityAnalysis[[#This Row],[Site Management ]:[WASH]], 2)=0, "", COUNTIF(tblSeverityAnalysis[[#This Row],[Site Management ]:[WASH]], 2))</f>
        <v/>
      </c>
      <c r="T45" s="365">
        <f>IF(COUNTIF(tblSeverityAnalysis[[#This Row],[Site Management ]:[WASH]], 3)=0, "", COUNTIF(tblSeverityAnalysis[[#This Row],[Site Management ]:[WASH]], 3))</f>
        <v>1</v>
      </c>
      <c r="U45" s="365" t="str">
        <f>IF(COUNTIF(tblSeverityAnalysis[[#This Row],[Site Management ]:[WASH]], 4)=0, "", COUNTIF(tblSeverityAnalysis[[#This Row],[Site Management ]:[WASH]], 4))</f>
        <v/>
      </c>
      <c r="V45" s="366" t="str">
        <f>IF(COUNTIF(tblSeverityAnalysis[[#This Row],[Site Management ]:[WASH]], 5)=0, "", COUNTIF(tblSeverityAnalysis[[#This Row],[Site Management ]:[WASH]], 5))</f>
        <v/>
      </c>
      <c r="W45" s="367">
        <f>IFERROR(LARGE(tblSeverityAnalysis[[#This Row],[Site Management ]:[General Protection]],1),"")</f>
        <v>3</v>
      </c>
      <c r="X45" s="368" t="str">
        <f>IFERROR(IF(AND(tblSeverityAnalysis[[#This Row],[5]] &lt;&gt; "", tblSeverityAnalysis[[#This Row],[5]]&gt;=sectors_sev_5), "Flagged", ""), "")</f>
        <v/>
      </c>
      <c r="Y45" s="369"/>
      <c r="Z45" s="324"/>
      <c r="AA45" s="370">
        <f>COUNTIF(tblSeverityAnalysis[[#This Row],[1 sectors in severity phase 5 '[modify the threshold']]:[Manual Flag]], "Flagged")</f>
        <v>0</v>
      </c>
      <c r="AB45" s="339"/>
      <c r="AC45" s="339"/>
      <c r="AD45" s="339"/>
      <c r="AE45" s="339"/>
    </row>
    <row r="46" spans="1:31" hidden="1" x14ac:dyDescent="0.3">
      <c r="A46" s="357" t="str">
        <f>tblSeverityAnalysis[[#This Row],[Admin 2 P-Code]]</f>
        <v>SD05139</v>
      </c>
      <c r="B46" s="245" t="s">
        <v>155</v>
      </c>
      <c r="C46" s="358" t="s">
        <v>122</v>
      </c>
      <c r="D46" s="372" t="s">
        <v>169</v>
      </c>
      <c r="E46" s="246" t="s">
        <v>168</v>
      </c>
      <c r="F46" s="360"/>
      <c r="G46" s="361"/>
      <c r="H46" s="361"/>
      <c r="I46" s="361"/>
      <c r="J46" s="361"/>
      <c r="K46" s="361"/>
      <c r="L46" s="361">
        <f>_xlfn.XLOOKUP(tblSeverityAnalysis[[#This Row],[Admin 2 P-Code]],'PIN2025'!B:B,'PIN2025'!H:H,0,0)</f>
        <v>3</v>
      </c>
      <c r="M46" s="363"/>
      <c r="N46" s="361"/>
      <c r="O46" s="361"/>
      <c r="P46" s="361"/>
      <c r="Q46" s="361"/>
      <c r="R46" s="364" t="str">
        <f>IF(COUNTIF(tblSeverityAnalysis[[#This Row],[Site Management ]:[WASH]], 1)=0, "", COUNTIF(tblSeverityAnalysis[[#This Row],[Site Management ]:[WASH]], 1))</f>
        <v/>
      </c>
      <c r="S46" s="365" t="str">
        <f>IF(COUNTIF(tblSeverityAnalysis[[#This Row],[Site Management ]:[WASH]], 2)=0, "", COUNTIF(tblSeverityAnalysis[[#This Row],[Site Management ]:[WASH]], 2))</f>
        <v/>
      </c>
      <c r="T46" s="365">
        <f>IF(COUNTIF(tblSeverityAnalysis[[#This Row],[Site Management ]:[WASH]], 3)=0, "", COUNTIF(tblSeverityAnalysis[[#This Row],[Site Management ]:[WASH]], 3))</f>
        <v>1</v>
      </c>
      <c r="U46" s="365" t="str">
        <f>IF(COUNTIF(tblSeverityAnalysis[[#This Row],[Site Management ]:[WASH]], 4)=0, "", COUNTIF(tblSeverityAnalysis[[#This Row],[Site Management ]:[WASH]], 4))</f>
        <v/>
      </c>
      <c r="V46" s="366" t="str">
        <f>IF(COUNTIF(tblSeverityAnalysis[[#This Row],[Site Management ]:[WASH]], 5)=0, "", COUNTIF(tblSeverityAnalysis[[#This Row],[Site Management ]:[WASH]], 5))</f>
        <v/>
      </c>
      <c r="W46" s="367">
        <f>IFERROR(LARGE(tblSeverityAnalysis[[#This Row],[Site Management ]:[General Protection]],1),"")</f>
        <v>3</v>
      </c>
      <c r="X46" s="368" t="str">
        <f>IFERROR(IF(AND(tblSeverityAnalysis[[#This Row],[5]] &lt;&gt; "", tblSeverityAnalysis[[#This Row],[5]]&gt;=sectors_sev_5), "Flagged", ""), "")</f>
        <v/>
      </c>
      <c r="Y46" s="369"/>
      <c r="Z46" s="324"/>
      <c r="AA46" s="370">
        <f>COUNTIF(tblSeverityAnalysis[[#This Row],[1 sectors in severity phase 5 '[modify the threshold']]:[Manual Flag]], "Flagged")</f>
        <v>0</v>
      </c>
      <c r="AB46" s="339"/>
      <c r="AC46" s="339"/>
      <c r="AD46" s="339"/>
      <c r="AE46" s="339"/>
    </row>
    <row r="47" spans="1:31" hidden="1" x14ac:dyDescent="0.3">
      <c r="A47" s="357" t="str">
        <f>tblSeverityAnalysis[[#This Row],[Admin 2 P-Code]]</f>
        <v>SD05140</v>
      </c>
      <c r="B47" s="245" t="s">
        <v>155</v>
      </c>
      <c r="C47" s="358" t="s">
        <v>122</v>
      </c>
      <c r="D47" s="372" t="s">
        <v>172</v>
      </c>
      <c r="E47" s="246" t="s">
        <v>171</v>
      </c>
      <c r="F47" s="360"/>
      <c r="G47" s="361"/>
      <c r="H47" s="361"/>
      <c r="I47" s="361"/>
      <c r="J47" s="361"/>
      <c r="K47" s="361"/>
      <c r="L47" s="361">
        <f>_xlfn.XLOOKUP(tblSeverityAnalysis[[#This Row],[Admin 2 P-Code]],'PIN2025'!B:B,'PIN2025'!H:H,0,0)</f>
        <v>3</v>
      </c>
      <c r="M47" s="363"/>
      <c r="N47" s="361"/>
      <c r="O47" s="361"/>
      <c r="P47" s="361"/>
      <c r="Q47" s="361"/>
      <c r="R47" s="364" t="str">
        <f>IF(COUNTIF(tblSeverityAnalysis[[#This Row],[Site Management ]:[WASH]], 1)=0, "", COUNTIF(tblSeverityAnalysis[[#This Row],[Site Management ]:[WASH]], 1))</f>
        <v/>
      </c>
      <c r="S47" s="365" t="str">
        <f>IF(COUNTIF(tblSeverityAnalysis[[#This Row],[Site Management ]:[WASH]], 2)=0, "", COUNTIF(tblSeverityAnalysis[[#This Row],[Site Management ]:[WASH]], 2))</f>
        <v/>
      </c>
      <c r="T47" s="365">
        <f>IF(COUNTIF(tblSeverityAnalysis[[#This Row],[Site Management ]:[WASH]], 3)=0, "", COUNTIF(tblSeverityAnalysis[[#This Row],[Site Management ]:[WASH]], 3))</f>
        <v>1</v>
      </c>
      <c r="U47" s="365" t="str">
        <f>IF(COUNTIF(tblSeverityAnalysis[[#This Row],[Site Management ]:[WASH]], 4)=0, "", COUNTIF(tblSeverityAnalysis[[#This Row],[Site Management ]:[WASH]], 4))</f>
        <v/>
      </c>
      <c r="V47" s="366" t="str">
        <f>IF(COUNTIF(tblSeverityAnalysis[[#This Row],[Site Management ]:[WASH]], 5)=0, "", COUNTIF(tblSeverityAnalysis[[#This Row],[Site Management ]:[WASH]], 5))</f>
        <v/>
      </c>
      <c r="W47" s="367">
        <f>IFERROR(LARGE(tblSeverityAnalysis[[#This Row],[Site Management ]:[General Protection]],1),"")</f>
        <v>3</v>
      </c>
      <c r="X47" s="368" t="str">
        <f>IFERROR(IF(AND(tblSeverityAnalysis[[#This Row],[5]] &lt;&gt; "", tblSeverityAnalysis[[#This Row],[5]]&gt;=sectors_sev_5), "Flagged", ""), "")</f>
        <v/>
      </c>
      <c r="Y47" s="369"/>
      <c r="Z47" s="324"/>
      <c r="AA47" s="370">
        <f>COUNTIF(tblSeverityAnalysis[[#This Row],[1 sectors in severity phase 5 '[modify the threshold']]:[Manual Flag]], "Flagged")</f>
        <v>0</v>
      </c>
      <c r="AB47" s="339"/>
      <c r="AC47" s="339"/>
      <c r="AD47" s="339"/>
      <c r="AE47" s="339"/>
    </row>
    <row r="48" spans="1:31" hidden="1" x14ac:dyDescent="0.3">
      <c r="A48" s="357" t="str">
        <f>tblSeverityAnalysis[[#This Row],[Admin 2 P-Code]]</f>
        <v>SD05142</v>
      </c>
      <c r="B48" s="245" t="s">
        <v>155</v>
      </c>
      <c r="C48" s="358" t="s">
        <v>122</v>
      </c>
      <c r="D48" s="372" t="s">
        <v>175</v>
      </c>
      <c r="E48" s="246" t="s">
        <v>174</v>
      </c>
      <c r="F48" s="360"/>
      <c r="G48" s="361"/>
      <c r="H48" s="361"/>
      <c r="I48" s="361"/>
      <c r="J48" s="361"/>
      <c r="K48" s="361"/>
      <c r="L48" s="361">
        <f>_xlfn.XLOOKUP(tblSeverityAnalysis[[#This Row],[Admin 2 P-Code]],'PIN2025'!B:B,'PIN2025'!H:H,0,0)</f>
        <v>3</v>
      </c>
      <c r="M48" s="363"/>
      <c r="N48" s="361"/>
      <c r="O48" s="361"/>
      <c r="P48" s="361"/>
      <c r="Q48" s="361"/>
      <c r="R48" s="364" t="str">
        <f>IF(COUNTIF(tblSeverityAnalysis[[#This Row],[Site Management ]:[WASH]], 1)=0, "", COUNTIF(tblSeverityAnalysis[[#This Row],[Site Management ]:[WASH]], 1))</f>
        <v/>
      </c>
      <c r="S48" s="365" t="str">
        <f>IF(COUNTIF(tblSeverityAnalysis[[#This Row],[Site Management ]:[WASH]], 2)=0, "", COUNTIF(tblSeverityAnalysis[[#This Row],[Site Management ]:[WASH]], 2))</f>
        <v/>
      </c>
      <c r="T48" s="365">
        <f>IF(COUNTIF(tblSeverityAnalysis[[#This Row],[Site Management ]:[WASH]], 3)=0, "", COUNTIF(tblSeverityAnalysis[[#This Row],[Site Management ]:[WASH]], 3))</f>
        <v>1</v>
      </c>
      <c r="U48" s="365" t="str">
        <f>IF(COUNTIF(tblSeverityAnalysis[[#This Row],[Site Management ]:[WASH]], 4)=0, "", COUNTIF(tblSeverityAnalysis[[#This Row],[Site Management ]:[WASH]], 4))</f>
        <v/>
      </c>
      <c r="V48" s="366" t="str">
        <f>IF(COUNTIF(tblSeverityAnalysis[[#This Row],[Site Management ]:[WASH]], 5)=0, "", COUNTIF(tblSeverityAnalysis[[#This Row],[Site Management ]:[WASH]], 5))</f>
        <v/>
      </c>
      <c r="W48" s="367">
        <f>IFERROR(LARGE(tblSeverityAnalysis[[#This Row],[Site Management ]:[General Protection]],1),"")</f>
        <v>3</v>
      </c>
      <c r="X48" s="368" t="str">
        <f>IFERROR(IF(AND(tblSeverityAnalysis[[#This Row],[5]] &lt;&gt; "", tblSeverityAnalysis[[#This Row],[5]]&gt;=sectors_sev_5), "Flagged", ""), "")</f>
        <v/>
      </c>
      <c r="Y48" s="369"/>
      <c r="Z48" s="324"/>
      <c r="AA48" s="370">
        <f>COUNTIF(tblSeverityAnalysis[[#This Row],[1 sectors in severity phase 5 '[modify the threshold']]:[Manual Flag]], "Flagged")</f>
        <v>0</v>
      </c>
      <c r="AB48" s="339"/>
      <c r="AC48" s="339"/>
      <c r="AD48" s="339"/>
      <c r="AE48" s="339"/>
    </row>
    <row r="49" spans="1:31" hidden="1" x14ac:dyDescent="0.3">
      <c r="A49" s="357" t="str">
        <f>tblSeverityAnalysis[[#This Row],[Admin 2 P-Code]]</f>
        <v>SD05148</v>
      </c>
      <c r="B49" s="245" t="s">
        <v>155</v>
      </c>
      <c r="C49" s="358" t="s">
        <v>122</v>
      </c>
      <c r="D49" s="372" t="s">
        <v>178</v>
      </c>
      <c r="E49" s="246" t="s">
        <v>177</v>
      </c>
      <c r="F49" s="360"/>
      <c r="G49" s="361"/>
      <c r="H49" s="361"/>
      <c r="I49" s="361"/>
      <c r="J49" s="361"/>
      <c r="K49" s="361"/>
      <c r="L49" s="361">
        <f>_xlfn.XLOOKUP(tblSeverityAnalysis[[#This Row],[Admin 2 P-Code]],'PIN2025'!B:B,'PIN2025'!H:H,0,0)</f>
        <v>3</v>
      </c>
      <c r="M49" s="363"/>
      <c r="N49" s="361"/>
      <c r="O49" s="361"/>
      <c r="P49" s="361"/>
      <c r="Q49" s="361"/>
      <c r="R49" s="364" t="str">
        <f>IF(COUNTIF(tblSeverityAnalysis[[#This Row],[Site Management ]:[WASH]], 1)=0, "", COUNTIF(tblSeverityAnalysis[[#This Row],[Site Management ]:[WASH]], 1))</f>
        <v/>
      </c>
      <c r="S49" s="365" t="str">
        <f>IF(COUNTIF(tblSeverityAnalysis[[#This Row],[Site Management ]:[WASH]], 2)=0, "", COUNTIF(tblSeverityAnalysis[[#This Row],[Site Management ]:[WASH]], 2))</f>
        <v/>
      </c>
      <c r="T49" s="365">
        <f>IF(COUNTIF(tblSeverityAnalysis[[#This Row],[Site Management ]:[WASH]], 3)=0, "", COUNTIF(tblSeverityAnalysis[[#This Row],[Site Management ]:[WASH]], 3))</f>
        <v>1</v>
      </c>
      <c r="U49" s="365" t="str">
        <f>IF(COUNTIF(tblSeverityAnalysis[[#This Row],[Site Management ]:[WASH]], 4)=0, "", COUNTIF(tblSeverityAnalysis[[#This Row],[Site Management ]:[WASH]], 4))</f>
        <v/>
      </c>
      <c r="V49" s="366" t="str">
        <f>IF(COUNTIF(tblSeverityAnalysis[[#This Row],[Site Management ]:[WASH]], 5)=0, "", COUNTIF(tblSeverityAnalysis[[#This Row],[Site Management ]:[WASH]], 5))</f>
        <v/>
      </c>
      <c r="W49" s="367">
        <f>IFERROR(LARGE(tblSeverityAnalysis[[#This Row],[Site Management ]:[General Protection]],1),"")</f>
        <v>3</v>
      </c>
      <c r="X49" s="368" t="str">
        <f>IFERROR(IF(AND(tblSeverityAnalysis[[#This Row],[5]] &lt;&gt; "", tblSeverityAnalysis[[#This Row],[5]]&gt;=sectors_sev_5), "Flagged", ""), "")</f>
        <v/>
      </c>
      <c r="Y49" s="369"/>
      <c r="Z49" s="324"/>
      <c r="AA49" s="370">
        <f>COUNTIF(tblSeverityAnalysis[[#This Row],[1 sectors in severity phase 5 '[modify the threshold']]:[Manual Flag]], "Flagged")</f>
        <v>0</v>
      </c>
      <c r="AB49" s="339"/>
      <c r="AC49" s="339"/>
      <c r="AD49" s="339"/>
      <c r="AE49" s="339"/>
    </row>
    <row r="50" spans="1:31" hidden="1" x14ac:dyDescent="0.3">
      <c r="A50" s="357" t="str">
        <f>tblSeverityAnalysis[[#This Row],[Admin 2 P-Code]]</f>
        <v>SD05152</v>
      </c>
      <c r="B50" s="245" t="s">
        <v>155</v>
      </c>
      <c r="C50" s="358" t="s">
        <v>122</v>
      </c>
      <c r="D50" s="372" t="s">
        <v>181</v>
      </c>
      <c r="E50" s="246" t="s">
        <v>180</v>
      </c>
      <c r="F50" s="360"/>
      <c r="G50" s="361"/>
      <c r="H50" s="361"/>
      <c r="I50" s="361"/>
      <c r="J50" s="361"/>
      <c r="K50" s="361"/>
      <c r="L50" s="361">
        <f>_xlfn.XLOOKUP(tblSeverityAnalysis[[#This Row],[Admin 2 P-Code]],'PIN2025'!B:B,'PIN2025'!H:H,0,0)</f>
        <v>3</v>
      </c>
      <c r="M50" s="363"/>
      <c r="N50" s="361"/>
      <c r="O50" s="361"/>
      <c r="P50" s="361"/>
      <c r="Q50" s="361"/>
      <c r="R50" s="364" t="str">
        <f>IF(COUNTIF(tblSeverityAnalysis[[#This Row],[Site Management ]:[WASH]], 1)=0, "", COUNTIF(tblSeverityAnalysis[[#This Row],[Site Management ]:[WASH]], 1))</f>
        <v/>
      </c>
      <c r="S50" s="365" t="str">
        <f>IF(COUNTIF(tblSeverityAnalysis[[#This Row],[Site Management ]:[WASH]], 2)=0, "", COUNTIF(tblSeverityAnalysis[[#This Row],[Site Management ]:[WASH]], 2))</f>
        <v/>
      </c>
      <c r="T50" s="365">
        <f>IF(COUNTIF(tblSeverityAnalysis[[#This Row],[Site Management ]:[WASH]], 3)=0, "", COUNTIF(tblSeverityAnalysis[[#This Row],[Site Management ]:[WASH]], 3))</f>
        <v>1</v>
      </c>
      <c r="U50" s="365" t="str">
        <f>IF(COUNTIF(tblSeverityAnalysis[[#This Row],[Site Management ]:[WASH]], 4)=0, "", COUNTIF(tblSeverityAnalysis[[#This Row],[Site Management ]:[WASH]], 4))</f>
        <v/>
      </c>
      <c r="V50" s="366" t="str">
        <f>IF(COUNTIF(tblSeverityAnalysis[[#This Row],[Site Management ]:[WASH]], 5)=0, "", COUNTIF(tblSeverityAnalysis[[#This Row],[Site Management ]:[WASH]], 5))</f>
        <v/>
      </c>
      <c r="W50" s="367">
        <f>IFERROR(LARGE(tblSeverityAnalysis[[#This Row],[Site Management ]:[General Protection]],1),"")</f>
        <v>3</v>
      </c>
      <c r="X50" s="368" t="str">
        <f>IFERROR(IF(AND(tblSeverityAnalysis[[#This Row],[5]] &lt;&gt; "", tblSeverityAnalysis[[#This Row],[5]]&gt;=sectors_sev_5), "Flagged", ""), "")</f>
        <v/>
      </c>
      <c r="Y50" s="369"/>
      <c r="Z50" s="324"/>
      <c r="AA50" s="370">
        <f>COUNTIF(tblSeverityAnalysis[[#This Row],[1 sectors in severity phase 5 '[modify the threshold']]:[Manual Flag]], "Flagged")</f>
        <v>0</v>
      </c>
      <c r="AB50" s="339"/>
      <c r="AC50" s="339"/>
      <c r="AD50" s="339"/>
      <c r="AE50" s="339"/>
    </row>
    <row r="51" spans="1:31" hidden="1" x14ac:dyDescent="0.3">
      <c r="A51" s="357" t="str">
        <f>tblSeverityAnalysis[[#This Row],[Admin 2 P-Code]]</f>
        <v>SD05155</v>
      </c>
      <c r="B51" s="245" t="s">
        <v>155</v>
      </c>
      <c r="C51" s="358" t="s">
        <v>122</v>
      </c>
      <c r="D51" s="372" t="s">
        <v>184</v>
      </c>
      <c r="E51" s="246" t="s">
        <v>183</v>
      </c>
      <c r="F51" s="360"/>
      <c r="G51" s="361"/>
      <c r="H51" s="361"/>
      <c r="I51" s="361"/>
      <c r="J51" s="361"/>
      <c r="K51" s="361"/>
      <c r="L51" s="361">
        <f>_xlfn.XLOOKUP(tblSeverityAnalysis[[#This Row],[Admin 2 P-Code]],'PIN2025'!B:B,'PIN2025'!H:H,0,0)</f>
        <v>3</v>
      </c>
      <c r="M51" s="363"/>
      <c r="N51" s="361"/>
      <c r="O51" s="361"/>
      <c r="P51" s="361"/>
      <c r="Q51" s="361"/>
      <c r="R51" s="364" t="str">
        <f>IF(COUNTIF(tblSeverityAnalysis[[#This Row],[Site Management ]:[WASH]], 1)=0, "", COUNTIF(tblSeverityAnalysis[[#This Row],[Site Management ]:[WASH]], 1))</f>
        <v/>
      </c>
      <c r="S51" s="365" t="str">
        <f>IF(COUNTIF(tblSeverityAnalysis[[#This Row],[Site Management ]:[WASH]], 2)=0, "", COUNTIF(tblSeverityAnalysis[[#This Row],[Site Management ]:[WASH]], 2))</f>
        <v/>
      </c>
      <c r="T51" s="365">
        <f>IF(COUNTIF(tblSeverityAnalysis[[#This Row],[Site Management ]:[WASH]], 3)=0, "", COUNTIF(tblSeverityAnalysis[[#This Row],[Site Management ]:[WASH]], 3))</f>
        <v>1</v>
      </c>
      <c r="U51" s="365" t="str">
        <f>IF(COUNTIF(tblSeverityAnalysis[[#This Row],[Site Management ]:[WASH]], 4)=0, "", COUNTIF(tblSeverityAnalysis[[#This Row],[Site Management ]:[WASH]], 4))</f>
        <v/>
      </c>
      <c r="V51" s="366" t="str">
        <f>IF(COUNTIF(tblSeverityAnalysis[[#This Row],[Site Management ]:[WASH]], 5)=0, "", COUNTIF(tblSeverityAnalysis[[#This Row],[Site Management ]:[WASH]], 5))</f>
        <v/>
      </c>
      <c r="W51" s="367">
        <f>IFERROR(LARGE(tblSeverityAnalysis[[#This Row],[Site Management ]:[General Protection]],1),"")</f>
        <v>3</v>
      </c>
      <c r="X51" s="368" t="str">
        <f>IFERROR(IF(AND(tblSeverityAnalysis[[#This Row],[5]] &lt;&gt; "", tblSeverityAnalysis[[#This Row],[5]]&gt;=sectors_sev_5), "Flagged", ""), "")</f>
        <v/>
      </c>
      <c r="Y51" s="369"/>
      <c r="Z51" s="324"/>
      <c r="AA51" s="370">
        <f>COUNTIF(tblSeverityAnalysis[[#This Row],[1 sectors in severity phase 5 '[modify the threshold']]:[Manual Flag]], "Flagged")</f>
        <v>0</v>
      </c>
      <c r="AB51" s="339"/>
      <c r="AC51" s="339"/>
      <c r="AD51" s="339"/>
      <c r="AE51" s="339"/>
    </row>
    <row r="52" spans="1:31" hidden="1" x14ac:dyDescent="0.3">
      <c r="A52" s="357" t="str">
        <f>tblSeverityAnalysis[[#This Row],[Admin 2 P-Code]]</f>
        <v>SD05160</v>
      </c>
      <c r="B52" s="245" t="s">
        <v>155</v>
      </c>
      <c r="C52" s="358" t="s">
        <v>122</v>
      </c>
      <c r="D52" s="372" t="s">
        <v>187</v>
      </c>
      <c r="E52" s="246" t="s">
        <v>186</v>
      </c>
      <c r="F52" s="360"/>
      <c r="G52" s="361"/>
      <c r="H52" s="361"/>
      <c r="I52" s="361"/>
      <c r="J52" s="361"/>
      <c r="K52" s="361"/>
      <c r="L52" s="361">
        <f>_xlfn.XLOOKUP(tblSeverityAnalysis[[#This Row],[Admin 2 P-Code]],'PIN2025'!B:B,'PIN2025'!H:H,0,0)</f>
        <v>3</v>
      </c>
      <c r="M52" s="363"/>
      <c r="N52" s="361"/>
      <c r="O52" s="361"/>
      <c r="P52" s="361"/>
      <c r="Q52" s="361"/>
      <c r="R52" s="364" t="str">
        <f>IF(COUNTIF(tblSeverityAnalysis[[#This Row],[Site Management ]:[WASH]], 1)=0, "", COUNTIF(tblSeverityAnalysis[[#This Row],[Site Management ]:[WASH]], 1))</f>
        <v/>
      </c>
      <c r="S52" s="365" t="str">
        <f>IF(COUNTIF(tblSeverityAnalysis[[#This Row],[Site Management ]:[WASH]], 2)=0, "", COUNTIF(tblSeverityAnalysis[[#This Row],[Site Management ]:[WASH]], 2))</f>
        <v/>
      </c>
      <c r="T52" s="365">
        <f>IF(COUNTIF(tblSeverityAnalysis[[#This Row],[Site Management ]:[WASH]], 3)=0, "", COUNTIF(tblSeverityAnalysis[[#This Row],[Site Management ]:[WASH]], 3))</f>
        <v>1</v>
      </c>
      <c r="U52" s="365" t="str">
        <f>IF(COUNTIF(tblSeverityAnalysis[[#This Row],[Site Management ]:[WASH]], 4)=0, "", COUNTIF(tblSeverityAnalysis[[#This Row],[Site Management ]:[WASH]], 4))</f>
        <v/>
      </c>
      <c r="V52" s="366" t="str">
        <f>IF(COUNTIF(tblSeverityAnalysis[[#This Row],[Site Management ]:[WASH]], 5)=0, "", COUNTIF(tblSeverityAnalysis[[#This Row],[Site Management ]:[WASH]], 5))</f>
        <v/>
      </c>
      <c r="W52" s="367">
        <f>IFERROR(LARGE(tblSeverityAnalysis[[#This Row],[Site Management ]:[General Protection]],1),"")</f>
        <v>3</v>
      </c>
      <c r="X52" s="368" t="str">
        <f>IFERROR(IF(AND(tblSeverityAnalysis[[#This Row],[5]] &lt;&gt; "", tblSeverityAnalysis[[#This Row],[5]]&gt;=sectors_sev_5), "Flagged", ""), "")</f>
        <v/>
      </c>
      <c r="Y52" s="369"/>
      <c r="Z52" s="324"/>
      <c r="AA52" s="370">
        <f>COUNTIF(tblSeverityAnalysis[[#This Row],[1 sectors in severity phase 5 '[modify the threshold']]:[Manual Flag]], "Flagged")</f>
        <v>0</v>
      </c>
      <c r="AB52" s="339"/>
      <c r="AC52" s="339"/>
      <c r="AD52" s="339"/>
      <c r="AE52" s="339"/>
    </row>
    <row r="53" spans="1:31" hidden="1" x14ac:dyDescent="0.3">
      <c r="A53" s="357" t="str">
        <f>tblSeverityAnalysis[[#This Row],[Admin 2 P-Code]]</f>
        <v>SD05163</v>
      </c>
      <c r="B53" s="245" t="s">
        <v>155</v>
      </c>
      <c r="C53" s="358" t="s">
        <v>122</v>
      </c>
      <c r="D53" s="372" t="s">
        <v>190</v>
      </c>
      <c r="E53" s="246" t="s">
        <v>189</v>
      </c>
      <c r="F53" s="360"/>
      <c r="G53" s="361"/>
      <c r="H53" s="361"/>
      <c r="I53" s="361"/>
      <c r="J53" s="361"/>
      <c r="K53" s="361"/>
      <c r="L53" s="361">
        <f>_xlfn.XLOOKUP(tblSeverityAnalysis[[#This Row],[Admin 2 P-Code]],'PIN2025'!B:B,'PIN2025'!H:H,0,0)</f>
        <v>3</v>
      </c>
      <c r="M53" s="363"/>
      <c r="N53" s="361"/>
      <c r="O53" s="361"/>
      <c r="P53" s="361"/>
      <c r="Q53" s="361"/>
      <c r="R53" s="364" t="str">
        <f>IF(COUNTIF(tblSeverityAnalysis[[#This Row],[Site Management ]:[WASH]], 1)=0, "", COUNTIF(tblSeverityAnalysis[[#This Row],[Site Management ]:[WASH]], 1))</f>
        <v/>
      </c>
      <c r="S53" s="365" t="str">
        <f>IF(COUNTIF(tblSeverityAnalysis[[#This Row],[Site Management ]:[WASH]], 2)=0, "", COUNTIF(tblSeverityAnalysis[[#This Row],[Site Management ]:[WASH]], 2))</f>
        <v/>
      </c>
      <c r="T53" s="365">
        <f>IF(COUNTIF(tblSeverityAnalysis[[#This Row],[Site Management ]:[WASH]], 3)=0, "", COUNTIF(tblSeverityAnalysis[[#This Row],[Site Management ]:[WASH]], 3))</f>
        <v>1</v>
      </c>
      <c r="U53" s="365" t="str">
        <f>IF(COUNTIF(tblSeverityAnalysis[[#This Row],[Site Management ]:[WASH]], 4)=0, "", COUNTIF(tblSeverityAnalysis[[#This Row],[Site Management ]:[WASH]], 4))</f>
        <v/>
      </c>
      <c r="V53" s="366" t="str">
        <f>IF(COUNTIF(tblSeverityAnalysis[[#This Row],[Site Management ]:[WASH]], 5)=0, "", COUNTIF(tblSeverityAnalysis[[#This Row],[Site Management ]:[WASH]], 5))</f>
        <v/>
      </c>
      <c r="W53" s="367">
        <f>IFERROR(LARGE(tblSeverityAnalysis[[#This Row],[Site Management ]:[General Protection]],1),"")</f>
        <v>3</v>
      </c>
      <c r="X53" s="368" t="str">
        <f>IFERROR(IF(AND(tblSeverityAnalysis[[#This Row],[5]] &lt;&gt; "", tblSeverityAnalysis[[#This Row],[5]]&gt;=sectors_sev_5), "Flagged", ""), "")</f>
        <v/>
      </c>
      <c r="Y53" s="369"/>
      <c r="Z53" s="324"/>
      <c r="AA53" s="370">
        <f>COUNTIF(tblSeverityAnalysis[[#This Row],[1 sectors in severity phase 5 '[modify the threshold']]:[Manual Flag]], "Flagged")</f>
        <v>0</v>
      </c>
      <c r="AB53" s="339"/>
      <c r="AC53" s="339"/>
      <c r="AD53" s="339"/>
      <c r="AE53" s="339"/>
    </row>
    <row r="54" spans="1:31" hidden="1" x14ac:dyDescent="0.3">
      <c r="A54" s="357" t="str">
        <f>tblSeverityAnalysis[[#This Row],[Admin 2 P-Code]]</f>
        <v>SD05165</v>
      </c>
      <c r="B54" s="245" t="s">
        <v>155</v>
      </c>
      <c r="C54" s="358" t="s">
        <v>122</v>
      </c>
      <c r="D54" s="372" t="s">
        <v>193</v>
      </c>
      <c r="E54" s="246" t="s">
        <v>192</v>
      </c>
      <c r="F54" s="360"/>
      <c r="G54" s="361"/>
      <c r="H54" s="361"/>
      <c r="I54" s="361"/>
      <c r="J54" s="361"/>
      <c r="K54" s="361"/>
      <c r="L54" s="361">
        <f>_xlfn.XLOOKUP(tblSeverityAnalysis[[#This Row],[Admin 2 P-Code]],'PIN2025'!B:B,'PIN2025'!H:H,0,0)</f>
        <v>3</v>
      </c>
      <c r="M54" s="363"/>
      <c r="N54" s="361"/>
      <c r="O54" s="361"/>
      <c r="P54" s="361"/>
      <c r="Q54" s="361"/>
      <c r="R54" s="364" t="str">
        <f>IF(COUNTIF(tblSeverityAnalysis[[#This Row],[Site Management ]:[WASH]], 1)=0, "", COUNTIF(tblSeverityAnalysis[[#This Row],[Site Management ]:[WASH]], 1))</f>
        <v/>
      </c>
      <c r="S54" s="365" t="str">
        <f>IF(COUNTIF(tblSeverityAnalysis[[#This Row],[Site Management ]:[WASH]], 2)=0, "", COUNTIF(tblSeverityAnalysis[[#This Row],[Site Management ]:[WASH]], 2))</f>
        <v/>
      </c>
      <c r="T54" s="365">
        <f>IF(COUNTIF(tblSeverityAnalysis[[#This Row],[Site Management ]:[WASH]], 3)=0, "", COUNTIF(tblSeverityAnalysis[[#This Row],[Site Management ]:[WASH]], 3))</f>
        <v>1</v>
      </c>
      <c r="U54" s="365" t="str">
        <f>IF(COUNTIF(tblSeverityAnalysis[[#This Row],[Site Management ]:[WASH]], 4)=0, "", COUNTIF(tblSeverityAnalysis[[#This Row],[Site Management ]:[WASH]], 4))</f>
        <v/>
      </c>
      <c r="V54" s="366" t="str">
        <f>IF(COUNTIF(tblSeverityAnalysis[[#This Row],[Site Management ]:[WASH]], 5)=0, "", COUNTIF(tblSeverityAnalysis[[#This Row],[Site Management ]:[WASH]], 5))</f>
        <v/>
      </c>
      <c r="W54" s="367">
        <f>IFERROR(LARGE(tblSeverityAnalysis[[#This Row],[Site Management ]:[General Protection]],1),"")</f>
        <v>3</v>
      </c>
      <c r="X54" s="368" t="str">
        <f>IFERROR(IF(AND(tblSeverityAnalysis[[#This Row],[5]] &lt;&gt; "", tblSeverityAnalysis[[#This Row],[5]]&gt;=sectors_sev_5), "Flagged", ""), "")</f>
        <v/>
      </c>
      <c r="Y54" s="369"/>
      <c r="Z54" s="324"/>
      <c r="AA54" s="370">
        <f>COUNTIF(tblSeverityAnalysis[[#This Row],[1 sectors in severity phase 5 '[modify the threshold']]:[Manual Flag]], "Flagged")</f>
        <v>0</v>
      </c>
      <c r="AB54" s="339"/>
      <c r="AC54" s="339"/>
      <c r="AD54" s="339"/>
      <c r="AE54" s="339"/>
    </row>
    <row r="55" spans="1:31" hidden="1" x14ac:dyDescent="0.3">
      <c r="A55" s="357" t="str">
        <f>tblSeverityAnalysis[[#This Row],[Admin 2 P-Code]]</f>
        <v>SD12073</v>
      </c>
      <c r="B55" s="245" t="s">
        <v>158</v>
      </c>
      <c r="C55" s="358" t="s">
        <v>129</v>
      </c>
      <c r="D55" s="372" t="s">
        <v>444</v>
      </c>
      <c r="E55" s="246" t="s">
        <v>445</v>
      </c>
      <c r="F55" s="360"/>
      <c r="G55" s="361"/>
      <c r="H55" s="361"/>
      <c r="I55" s="361"/>
      <c r="J55" s="361"/>
      <c r="K55" s="361"/>
      <c r="L55" s="361">
        <f>_xlfn.XLOOKUP(tblSeverityAnalysis[[#This Row],[Admin 2 P-Code]],'PIN2025'!B:B,'PIN2025'!H:H,0,0)</f>
        <v>3</v>
      </c>
      <c r="M55" s="363"/>
      <c r="N55" s="361"/>
      <c r="O55" s="361"/>
      <c r="P55" s="361"/>
      <c r="Q55" s="361"/>
      <c r="R55" s="364" t="str">
        <f>IF(COUNTIF(tblSeverityAnalysis[[#This Row],[Site Management ]:[WASH]], 1)=0, "", COUNTIF(tblSeverityAnalysis[[#This Row],[Site Management ]:[WASH]], 1))</f>
        <v/>
      </c>
      <c r="S55" s="365" t="str">
        <f>IF(COUNTIF(tblSeverityAnalysis[[#This Row],[Site Management ]:[WASH]], 2)=0, "", COUNTIF(tblSeverityAnalysis[[#This Row],[Site Management ]:[WASH]], 2))</f>
        <v/>
      </c>
      <c r="T55" s="365">
        <f>IF(COUNTIF(tblSeverityAnalysis[[#This Row],[Site Management ]:[WASH]], 3)=0, "", COUNTIF(tblSeverityAnalysis[[#This Row],[Site Management ]:[WASH]], 3))</f>
        <v>1</v>
      </c>
      <c r="U55" s="365" t="str">
        <f>IF(COUNTIF(tblSeverityAnalysis[[#This Row],[Site Management ]:[WASH]], 4)=0, "", COUNTIF(tblSeverityAnalysis[[#This Row],[Site Management ]:[WASH]], 4))</f>
        <v/>
      </c>
      <c r="V55" s="366" t="str">
        <f>IF(COUNTIF(tblSeverityAnalysis[[#This Row],[Site Management ]:[WASH]], 5)=0, "", COUNTIF(tblSeverityAnalysis[[#This Row],[Site Management ]:[WASH]], 5))</f>
        <v/>
      </c>
      <c r="W55" s="367">
        <f>IFERROR(LARGE(tblSeverityAnalysis[[#This Row],[Site Management ]:[General Protection]],1),"")</f>
        <v>3</v>
      </c>
      <c r="X55" s="368" t="str">
        <f>IFERROR(IF(AND(tblSeverityAnalysis[[#This Row],[5]] &lt;&gt; "", tblSeverityAnalysis[[#This Row],[5]]&gt;=sectors_sev_5), "Flagged", ""), "")</f>
        <v/>
      </c>
      <c r="Y55" s="369"/>
      <c r="Z55" s="324"/>
      <c r="AA55" s="370">
        <f>COUNTIF(tblSeverityAnalysis[[#This Row],[1 sectors in severity phase 5 '[modify the threshold']]:[Manual Flag]], "Flagged")</f>
        <v>0</v>
      </c>
      <c r="AB55" s="339"/>
      <c r="AC55" s="339"/>
      <c r="AD55" s="339"/>
      <c r="AE55" s="339"/>
    </row>
    <row r="56" spans="1:31" hidden="1" x14ac:dyDescent="0.3">
      <c r="A56" s="357" t="str">
        <f>tblSeverityAnalysis[[#This Row],[Admin 2 P-Code]]</f>
        <v>SD12074</v>
      </c>
      <c r="B56" s="245" t="s">
        <v>158</v>
      </c>
      <c r="C56" s="358" t="s">
        <v>129</v>
      </c>
      <c r="D56" s="372" t="s">
        <v>446</v>
      </c>
      <c r="E56" s="246" t="s">
        <v>447</v>
      </c>
      <c r="F56" s="360"/>
      <c r="G56" s="361"/>
      <c r="H56" s="361"/>
      <c r="I56" s="361"/>
      <c r="J56" s="361"/>
      <c r="K56" s="361"/>
      <c r="L56" s="361">
        <f>_xlfn.XLOOKUP(tblSeverityAnalysis[[#This Row],[Admin 2 P-Code]],'PIN2025'!B:B,'PIN2025'!H:H,0,0)</f>
        <v>3</v>
      </c>
      <c r="M56" s="363"/>
      <c r="N56" s="361"/>
      <c r="O56" s="361"/>
      <c r="P56" s="361"/>
      <c r="Q56" s="361"/>
      <c r="R56" s="364" t="str">
        <f>IF(COUNTIF(tblSeverityAnalysis[[#This Row],[Site Management ]:[WASH]], 1)=0, "", COUNTIF(tblSeverityAnalysis[[#This Row],[Site Management ]:[WASH]], 1))</f>
        <v/>
      </c>
      <c r="S56" s="365" t="str">
        <f>IF(COUNTIF(tblSeverityAnalysis[[#This Row],[Site Management ]:[WASH]], 2)=0, "", COUNTIF(tblSeverityAnalysis[[#This Row],[Site Management ]:[WASH]], 2))</f>
        <v/>
      </c>
      <c r="T56" s="365">
        <f>IF(COUNTIF(tblSeverityAnalysis[[#This Row],[Site Management ]:[WASH]], 3)=0, "", COUNTIF(tblSeverityAnalysis[[#This Row],[Site Management ]:[WASH]], 3))</f>
        <v>1</v>
      </c>
      <c r="U56" s="365" t="str">
        <f>IF(COUNTIF(tblSeverityAnalysis[[#This Row],[Site Management ]:[WASH]], 4)=0, "", COUNTIF(tblSeverityAnalysis[[#This Row],[Site Management ]:[WASH]], 4))</f>
        <v/>
      </c>
      <c r="V56" s="366" t="str">
        <f>IF(COUNTIF(tblSeverityAnalysis[[#This Row],[Site Management ]:[WASH]], 5)=0, "", COUNTIF(tblSeverityAnalysis[[#This Row],[Site Management ]:[WASH]], 5))</f>
        <v/>
      </c>
      <c r="W56" s="367">
        <f>IFERROR(LARGE(tblSeverityAnalysis[[#This Row],[Site Management ]:[General Protection]],1),"")</f>
        <v>3</v>
      </c>
      <c r="X56" s="368" t="str">
        <f>IFERROR(IF(AND(tblSeverityAnalysis[[#This Row],[5]] &lt;&gt; "", tblSeverityAnalysis[[#This Row],[5]]&gt;=sectors_sev_5), "Flagged", ""), "")</f>
        <v/>
      </c>
      <c r="Y56" s="369"/>
      <c r="Z56" s="324"/>
      <c r="AA56" s="370">
        <f>COUNTIF(tblSeverityAnalysis[[#This Row],[1 sectors in severity phase 5 '[modify the threshold']]:[Manual Flag]], "Flagged")</f>
        <v>0</v>
      </c>
      <c r="AB56" s="339"/>
      <c r="AC56" s="339"/>
      <c r="AD56" s="339"/>
      <c r="AE56" s="339"/>
    </row>
    <row r="57" spans="1:31" hidden="1" x14ac:dyDescent="0.3">
      <c r="A57" s="357" t="str">
        <f>tblSeverityAnalysis[[#This Row],[Admin 2 P-Code]]</f>
        <v>SD12075</v>
      </c>
      <c r="B57" s="245" t="s">
        <v>158</v>
      </c>
      <c r="C57" s="358" t="s">
        <v>129</v>
      </c>
      <c r="D57" s="372" t="s">
        <v>448</v>
      </c>
      <c r="E57" s="246" t="s">
        <v>449</v>
      </c>
      <c r="F57" s="360"/>
      <c r="G57" s="361"/>
      <c r="H57" s="361"/>
      <c r="I57" s="361"/>
      <c r="J57" s="361"/>
      <c r="K57" s="361"/>
      <c r="L57" s="361">
        <f>_xlfn.XLOOKUP(tblSeverityAnalysis[[#This Row],[Admin 2 P-Code]],'PIN2025'!B:B,'PIN2025'!H:H,0,0)</f>
        <v>3</v>
      </c>
      <c r="M57" s="363"/>
      <c r="N57" s="361"/>
      <c r="O57" s="361"/>
      <c r="P57" s="361"/>
      <c r="Q57" s="361"/>
      <c r="R57" s="364" t="str">
        <f>IF(COUNTIF(tblSeverityAnalysis[[#This Row],[Site Management ]:[WASH]], 1)=0, "", COUNTIF(tblSeverityAnalysis[[#This Row],[Site Management ]:[WASH]], 1))</f>
        <v/>
      </c>
      <c r="S57" s="365" t="str">
        <f>IF(COUNTIF(tblSeverityAnalysis[[#This Row],[Site Management ]:[WASH]], 2)=0, "", COUNTIF(tblSeverityAnalysis[[#This Row],[Site Management ]:[WASH]], 2))</f>
        <v/>
      </c>
      <c r="T57" s="365">
        <f>IF(COUNTIF(tblSeverityAnalysis[[#This Row],[Site Management ]:[WASH]], 3)=0, "", COUNTIF(tblSeverityAnalysis[[#This Row],[Site Management ]:[WASH]], 3))</f>
        <v>1</v>
      </c>
      <c r="U57" s="365" t="str">
        <f>IF(COUNTIF(tblSeverityAnalysis[[#This Row],[Site Management ]:[WASH]], 4)=0, "", COUNTIF(tblSeverityAnalysis[[#This Row],[Site Management ]:[WASH]], 4))</f>
        <v/>
      </c>
      <c r="V57" s="366" t="str">
        <f>IF(COUNTIF(tblSeverityAnalysis[[#This Row],[Site Management ]:[WASH]], 5)=0, "", COUNTIF(tblSeverityAnalysis[[#This Row],[Site Management ]:[WASH]], 5))</f>
        <v/>
      </c>
      <c r="W57" s="367">
        <f>IFERROR(LARGE(tblSeverityAnalysis[[#This Row],[Site Management ]:[General Protection]],1),"")</f>
        <v>3</v>
      </c>
      <c r="X57" s="368" t="str">
        <f>IFERROR(IF(AND(tblSeverityAnalysis[[#This Row],[5]] &lt;&gt; "", tblSeverityAnalysis[[#This Row],[5]]&gt;=sectors_sev_5), "Flagged", ""), "")</f>
        <v/>
      </c>
      <c r="Y57" s="369"/>
      <c r="Z57" s="324"/>
      <c r="AA57" s="370">
        <f>COUNTIF(tblSeverityAnalysis[[#This Row],[1 sectors in severity phase 5 '[modify the threshold']]:[Manual Flag]], "Flagged")</f>
        <v>0</v>
      </c>
      <c r="AB57" s="339"/>
      <c r="AC57" s="339"/>
      <c r="AD57" s="339"/>
      <c r="AE57" s="339"/>
    </row>
    <row r="58" spans="1:31" hidden="1" x14ac:dyDescent="0.3">
      <c r="A58" s="357" t="str">
        <f>tblSeverityAnalysis[[#This Row],[Admin 2 P-Code]]</f>
        <v>SD12077</v>
      </c>
      <c r="B58" s="245" t="s">
        <v>158</v>
      </c>
      <c r="C58" s="358" t="s">
        <v>129</v>
      </c>
      <c r="D58" s="372" t="s">
        <v>452</v>
      </c>
      <c r="E58" s="246" t="s">
        <v>453</v>
      </c>
      <c r="F58" s="360"/>
      <c r="G58" s="361"/>
      <c r="H58" s="361"/>
      <c r="I58" s="361"/>
      <c r="J58" s="361"/>
      <c r="K58" s="361"/>
      <c r="L58" s="361">
        <f>_xlfn.XLOOKUP(tblSeverityAnalysis[[#This Row],[Admin 2 P-Code]],'PIN2025'!B:B,'PIN2025'!H:H,0,0)</f>
        <v>3</v>
      </c>
      <c r="M58" s="363"/>
      <c r="N58" s="361"/>
      <c r="O58" s="361"/>
      <c r="P58" s="361"/>
      <c r="Q58" s="361"/>
      <c r="R58" s="364" t="str">
        <f>IF(COUNTIF(tblSeverityAnalysis[[#This Row],[Site Management ]:[WASH]], 1)=0, "", COUNTIF(tblSeverityAnalysis[[#This Row],[Site Management ]:[WASH]], 1))</f>
        <v/>
      </c>
      <c r="S58" s="365" t="str">
        <f>IF(COUNTIF(tblSeverityAnalysis[[#This Row],[Site Management ]:[WASH]], 2)=0, "", COUNTIF(tblSeverityAnalysis[[#This Row],[Site Management ]:[WASH]], 2))</f>
        <v/>
      </c>
      <c r="T58" s="365">
        <f>IF(COUNTIF(tblSeverityAnalysis[[#This Row],[Site Management ]:[WASH]], 3)=0, "", COUNTIF(tblSeverityAnalysis[[#This Row],[Site Management ]:[WASH]], 3))</f>
        <v>1</v>
      </c>
      <c r="U58" s="365" t="str">
        <f>IF(COUNTIF(tblSeverityAnalysis[[#This Row],[Site Management ]:[WASH]], 4)=0, "", COUNTIF(tblSeverityAnalysis[[#This Row],[Site Management ]:[WASH]], 4))</f>
        <v/>
      </c>
      <c r="V58" s="366" t="str">
        <f>IF(COUNTIF(tblSeverityAnalysis[[#This Row],[Site Management ]:[WASH]], 5)=0, "", COUNTIF(tblSeverityAnalysis[[#This Row],[Site Management ]:[WASH]], 5))</f>
        <v/>
      </c>
      <c r="W58" s="367">
        <f>IFERROR(LARGE(tblSeverityAnalysis[[#This Row],[Site Management ]:[General Protection]],1),"")</f>
        <v>3</v>
      </c>
      <c r="X58" s="368" t="str">
        <f>IFERROR(IF(AND(tblSeverityAnalysis[[#This Row],[5]] &lt;&gt; "", tblSeverityAnalysis[[#This Row],[5]]&gt;=sectors_sev_5), "Flagged", ""), "")</f>
        <v/>
      </c>
      <c r="Y58" s="369"/>
      <c r="Z58" s="324"/>
      <c r="AA58" s="370">
        <f>COUNTIF(tblSeverityAnalysis[[#This Row],[1 sectors in severity phase 5 '[modify the threshold']]:[Manual Flag]], "Flagged")</f>
        <v>0</v>
      </c>
      <c r="AB58" s="339"/>
      <c r="AC58" s="339"/>
      <c r="AD58" s="339"/>
      <c r="AE58" s="339"/>
    </row>
    <row r="59" spans="1:31" ht="33" hidden="1" x14ac:dyDescent="0.3">
      <c r="A59" s="357" t="str">
        <f>tblSeverityAnalysis[[#This Row],[Admin 2 P-Code]]</f>
        <v>SD12078</v>
      </c>
      <c r="B59" s="249" t="s">
        <v>158</v>
      </c>
      <c r="C59" s="358" t="s">
        <v>129</v>
      </c>
      <c r="D59" s="372" t="s">
        <v>454</v>
      </c>
      <c r="E59" s="246" t="s">
        <v>455</v>
      </c>
      <c r="F59" s="360"/>
      <c r="G59" s="361"/>
      <c r="H59" s="361"/>
      <c r="I59" s="361"/>
      <c r="J59" s="361"/>
      <c r="K59" s="361"/>
      <c r="L59" s="361">
        <f>_xlfn.XLOOKUP(tblSeverityAnalysis[[#This Row],[Admin 2 P-Code]],'PIN2025'!B:B,'PIN2025'!H:H,0,0)</f>
        <v>3</v>
      </c>
      <c r="M59" s="363"/>
      <c r="N59" s="361"/>
      <c r="O59" s="361"/>
      <c r="P59" s="361"/>
      <c r="Q59" s="361"/>
      <c r="R59" s="364" t="str">
        <f>IF(COUNTIF(tblSeverityAnalysis[[#This Row],[Site Management ]:[WASH]], 1)=0, "", COUNTIF(tblSeverityAnalysis[[#This Row],[Site Management ]:[WASH]], 1))</f>
        <v/>
      </c>
      <c r="S59" s="365" t="str">
        <f>IF(COUNTIF(tblSeverityAnalysis[[#This Row],[Site Management ]:[WASH]], 2)=0, "", COUNTIF(tblSeverityAnalysis[[#This Row],[Site Management ]:[WASH]], 2))</f>
        <v/>
      </c>
      <c r="T59" s="365">
        <f>IF(COUNTIF(tblSeverityAnalysis[[#This Row],[Site Management ]:[WASH]], 3)=0, "", COUNTIF(tblSeverityAnalysis[[#This Row],[Site Management ]:[WASH]], 3))</f>
        <v>1</v>
      </c>
      <c r="U59" s="365" t="str">
        <f>IF(COUNTIF(tblSeverityAnalysis[[#This Row],[Site Management ]:[WASH]], 4)=0, "", COUNTIF(tblSeverityAnalysis[[#This Row],[Site Management ]:[WASH]], 4))</f>
        <v/>
      </c>
      <c r="V59" s="366" t="str">
        <f>IF(COUNTIF(tblSeverityAnalysis[[#This Row],[Site Management ]:[WASH]], 5)=0, "", COUNTIF(tblSeverityAnalysis[[#This Row],[Site Management ]:[WASH]], 5))</f>
        <v/>
      </c>
      <c r="W59" s="367">
        <f>IFERROR(LARGE(tblSeverityAnalysis[[#This Row],[Site Management ]:[General Protection]],1),"")</f>
        <v>3</v>
      </c>
      <c r="X59" s="368" t="str">
        <f>IFERROR(IF(AND(tblSeverityAnalysis[[#This Row],[5]] &lt;&gt; "", tblSeverityAnalysis[[#This Row],[5]]&gt;=sectors_sev_5), "Flagged", ""), "")</f>
        <v/>
      </c>
      <c r="Y59" s="369"/>
      <c r="Z59" s="324"/>
      <c r="AA59" s="370">
        <f>COUNTIF(tblSeverityAnalysis[[#This Row],[1 sectors in severity phase 5 '[modify the threshold']]:[Manual Flag]], "Flagged")</f>
        <v>0</v>
      </c>
      <c r="AB59" s="339"/>
      <c r="AC59" s="339"/>
      <c r="AD59" s="339"/>
      <c r="AE59" s="339"/>
    </row>
    <row r="60" spans="1:31" hidden="1" x14ac:dyDescent="0.3">
      <c r="A60" s="357" t="str">
        <f>tblSeverityAnalysis[[#This Row],[Admin 2 P-Code]]</f>
        <v>SD12079</v>
      </c>
      <c r="B60" s="245" t="s">
        <v>158</v>
      </c>
      <c r="C60" s="358" t="s">
        <v>129</v>
      </c>
      <c r="D60" s="372" t="s">
        <v>456</v>
      </c>
      <c r="E60" s="246" t="s">
        <v>457</v>
      </c>
      <c r="F60" s="360"/>
      <c r="G60" s="361"/>
      <c r="H60" s="361"/>
      <c r="I60" s="361"/>
      <c r="J60" s="361"/>
      <c r="K60" s="361"/>
      <c r="L60" s="361">
        <f>_xlfn.XLOOKUP(tblSeverityAnalysis[[#This Row],[Admin 2 P-Code]],'PIN2025'!B:B,'PIN2025'!H:H,0,0)</f>
        <v>3</v>
      </c>
      <c r="M60" s="363"/>
      <c r="N60" s="361"/>
      <c r="O60" s="361"/>
      <c r="P60" s="361"/>
      <c r="Q60" s="361"/>
      <c r="R60" s="364" t="str">
        <f>IF(COUNTIF(tblSeverityAnalysis[[#This Row],[Site Management ]:[WASH]], 1)=0, "", COUNTIF(tblSeverityAnalysis[[#This Row],[Site Management ]:[WASH]], 1))</f>
        <v/>
      </c>
      <c r="S60" s="365" t="str">
        <f>IF(COUNTIF(tblSeverityAnalysis[[#This Row],[Site Management ]:[WASH]], 2)=0, "", COUNTIF(tblSeverityAnalysis[[#This Row],[Site Management ]:[WASH]], 2))</f>
        <v/>
      </c>
      <c r="T60" s="365">
        <f>IF(COUNTIF(tblSeverityAnalysis[[#This Row],[Site Management ]:[WASH]], 3)=0, "", COUNTIF(tblSeverityAnalysis[[#This Row],[Site Management ]:[WASH]], 3))</f>
        <v>1</v>
      </c>
      <c r="U60" s="365" t="str">
        <f>IF(COUNTIF(tblSeverityAnalysis[[#This Row],[Site Management ]:[WASH]], 4)=0, "", COUNTIF(tblSeverityAnalysis[[#This Row],[Site Management ]:[WASH]], 4))</f>
        <v/>
      </c>
      <c r="V60" s="366" t="str">
        <f>IF(COUNTIF(tblSeverityAnalysis[[#This Row],[Site Management ]:[WASH]], 5)=0, "", COUNTIF(tblSeverityAnalysis[[#This Row],[Site Management ]:[WASH]], 5))</f>
        <v/>
      </c>
      <c r="W60" s="367">
        <f>IFERROR(LARGE(tblSeverityAnalysis[[#This Row],[Site Management ]:[General Protection]],1),"")</f>
        <v>3</v>
      </c>
      <c r="X60" s="368" t="str">
        <f>IFERROR(IF(AND(tblSeverityAnalysis[[#This Row],[5]] &lt;&gt; "", tblSeverityAnalysis[[#This Row],[5]]&gt;=sectors_sev_5), "Flagged", ""), "")</f>
        <v/>
      </c>
      <c r="Y60" s="369"/>
      <c r="Z60" s="324"/>
      <c r="AA60" s="370">
        <f>COUNTIF(tblSeverityAnalysis[[#This Row],[1 sectors in severity phase 5 '[modify the threshold']]:[Manual Flag]], "Flagged")</f>
        <v>0</v>
      </c>
      <c r="AB60" s="339"/>
      <c r="AC60" s="339"/>
      <c r="AD60" s="339"/>
      <c r="AE60" s="339"/>
    </row>
    <row r="61" spans="1:31" hidden="1" x14ac:dyDescent="0.3">
      <c r="A61" s="357" t="str">
        <f>tblSeverityAnalysis[[#This Row],[Admin 2 P-Code]]</f>
        <v>SD12080</v>
      </c>
      <c r="B61" s="245" t="s">
        <v>158</v>
      </c>
      <c r="C61" s="358" t="s">
        <v>129</v>
      </c>
      <c r="D61" s="372" t="s">
        <v>458</v>
      </c>
      <c r="E61" s="246" t="s">
        <v>459</v>
      </c>
      <c r="F61" s="360"/>
      <c r="G61" s="361"/>
      <c r="H61" s="361"/>
      <c r="I61" s="361"/>
      <c r="J61" s="361"/>
      <c r="K61" s="361"/>
      <c r="L61" s="361">
        <f>_xlfn.XLOOKUP(tblSeverityAnalysis[[#This Row],[Admin 2 P-Code]],'PIN2025'!B:B,'PIN2025'!H:H,0,0)</f>
        <v>3</v>
      </c>
      <c r="M61" s="363"/>
      <c r="N61" s="361"/>
      <c r="O61" s="361"/>
      <c r="P61" s="361"/>
      <c r="Q61" s="361"/>
      <c r="R61" s="364" t="str">
        <f>IF(COUNTIF(tblSeverityAnalysis[[#This Row],[Site Management ]:[WASH]], 1)=0, "", COUNTIF(tblSeverityAnalysis[[#This Row],[Site Management ]:[WASH]], 1))</f>
        <v/>
      </c>
      <c r="S61" s="365" t="str">
        <f>IF(COUNTIF(tblSeverityAnalysis[[#This Row],[Site Management ]:[WASH]], 2)=0, "", COUNTIF(tblSeverityAnalysis[[#This Row],[Site Management ]:[WASH]], 2))</f>
        <v/>
      </c>
      <c r="T61" s="365">
        <f>IF(COUNTIF(tblSeverityAnalysis[[#This Row],[Site Management ]:[WASH]], 3)=0, "", COUNTIF(tblSeverityAnalysis[[#This Row],[Site Management ]:[WASH]], 3))</f>
        <v>1</v>
      </c>
      <c r="U61" s="365" t="str">
        <f>IF(COUNTIF(tblSeverityAnalysis[[#This Row],[Site Management ]:[WASH]], 4)=0, "", COUNTIF(tblSeverityAnalysis[[#This Row],[Site Management ]:[WASH]], 4))</f>
        <v/>
      </c>
      <c r="V61" s="366" t="str">
        <f>IF(COUNTIF(tblSeverityAnalysis[[#This Row],[Site Management ]:[WASH]], 5)=0, "", COUNTIF(tblSeverityAnalysis[[#This Row],[Site Management ]:[WASH]], 5))</f>
        <v/>
      </c>
      <c r="W61" s="367">
        <f>IFERROR(LARGE(tblSeverityAnalysis[[#This Row],[Site Management ]:[General Protection]],1),"")</f>
        <v>3</v>
      </c>
      <c r="X61" s="368" t="str">
        <f>IFERROR(IF(AND(tblSeverityAnalysis[[#This Row],[5]] &lt;&gt; "", tblSeverityAnalysis[[#This Row],[5]]&gt;=sectors_sev_5), "Flagged", ""), "")</f>
        <v/>
      </c>
      <c r="Y61" s="369"/>
      <c r="Z61" s="324"/>
      <c r="AA61" s="370">
        <f>COUNTIF(tblSeverityAnalysis[[#This Row],[1 sectors in severity phase 5 '[modify the threshold']]:[Manual Flag]], "Flagged")</f>
        <v>0</v>
      </c>
      <c r="AB61" s="339"/>
      <c r="AC61" s="339"/>
      <c r="AD61" s="339"/>
      <c r="AE61" s="339"/>
    </row>
    <row r="62" spans="1:31" hidden="1" x14ac:dyDescent="0.3">
      <c r="A62" s="357" t="str">
        <f>tblSeverityAnalysis[[#This Row],[Admin 2 P-Code]]</f>
        <v>SD12081</v>
      </c>
      <c r="B62" s="245" t="s">
        <v>158</v>
      </c>
      <c r="C62" s="358" t="s">
        <v>129</v>
      </c>
      <c r="D62" s="372" t="s">
        <v>460</v>
      </c>
      <c r="E62" s="246" t="s">
        <v>461</v>
      </c>
      <c r="F62" s="360"/>
      <c r="G62" s="361"/>
      <c r="H62" s="361"/>
      <c r="I62" s="361"/>
      <c r="J62" s="361"/>
      <c r="K62" s="361"/>
      <c r="L62" s="361">
        <f>_xlfn.XLOOKUP(tblSeverityAnalysis[[#This Row],[Admin 2 P-Code]],'PIN2025'!B:B,'PIN2025'!H:H,0,0)</f>
        <v>3</v>
      </c>
      <c r="M62" s="363"/>
      <c r="N62" s="361"/>
      <c r="O62" s="361"/>
      <c r="P62" s="361"/>
      <c r="Q62" s="361"/>
      <c r="R62" s="364" t="str">
        <f>IF(COUNTIF(tblSeverityAnalysis[[#This Row],[Site Management ]:[WASH]], 1)=0, "", COUNTIF(tblSeverityAnalysis[[#This Row],[Site Management ]:[WASH]], 1))</f>
        <v/>
      </c>
      <c r="S62" s="365" t="str">
        <f>IF(COUNTIF(tblSeverityAnalysis[[#This Row],[Site Management ]:[WASH]], 2)=0, "", COUNTIF(tblSeverityAnalysis[[#This Row],[Site Management ]:[WASH]], 2))</f>
        <v/>
      </c>
      <c r="T62" s="365">
        <f>IF(COUNTIF(tblSeverityAnalysis[[#This Row],[Site Management ]:[WASH]], 3)=0, "", COUNTIF(tblSeverityAnalysis[[#This Row],[Site Management ]:[WASH]], 3))</f>
        <v>1</v>
      </c>
      <c r="U62" s="365" t="str">
        <f>IF(COUNTIF(tblSeverityAnalysis[[#This Row],[Site Management ]:[WASH]], 4)=0, "", COUNTIF(tblSeverityAnalysis[[#This Row],[Site Management ]:[WASH]], 4))</f>
        <v/>
      </c>
      <c r="V62" s="366" t="str">
        <f>IF(COUNTIF(tblSeverityAnalysis[[#This Row],[Site Management ]:[WASH]], 5)=0, "", COUNTIF(tblSeverityAnalysis[[#This Row],[Site Management ]:[WASH]], 5))</f>
        <v/>
      </c>
      <c r="W62" s="367">
        <f>IFERROR(LARGE(tblSeverityAnalysis[[#This Row],[Site Management ]:[General Protection]],1),"")</f>
        <v>3</v>
      </c>
      <c r="X62" s="368" t="str">
        <f>IFERROR(IF(AND(tblSeverityAnalysis[[#This Row],[5]] &lt;&gt; "", tblSeverityAnalysis[[#This Row],[5]]&gt;=sectors_sev_5), "Flagged", ""), "")</f>
        <v/>
      </c>
      <c r="Y62" s="369"/>
      <c r="Z62" s="324"/>
      <c r="AA62" s="370">
        <f>COUNTIF(tblSeverityAnalysis[[#This Row],[1 sectors in severity phase 5 '[modify the threshold']]:[Manual Flag]], "Flagged")</f>
        <v>0</v>
      </c>
      <c r="AB62" s="339"/>
      <c r="AC62" s="339"/>
      <c r="AD62" s="339"/>
      <c r="AE62" s="339"/>
    </row>
    <row r="63" spans="1:31" hidden="1" x14ac:dyDescent="0.3">
      <c r="A63" s="357" t="str">
        <f>tblSeverityAnalysis[[#This Row],[Admin 2 P-Code]]</f>
        <v>SD12082</v>
      </c>
      <c r="B63" s="245" t="s">
        <v>158</v>
      </c>
      <c r="C63" s="358" t="s">
        <v>129</v>
      </c>
      <c r="D63" s="372" t="s">
        <v>462</v>
      </c>
      <c r="E63" s="246" t="s">
        <v>463</v>
      </c>
      <c r="F63" s="360"/>
      <c r="G63" s="361"/>
      <c r="H63" s="361"/>
      <c r="I63" s="361"/>
      <c r="J63" s="361"/>
      <c r="K63" s="361"/>
      <c r="L63" s="361">
        <f>_xlfn.XLOOKUP(tblSeverityAnalysis[[#This Row],[Admin 2 P-Code]],'PIN2025'!B:B,'PIN2025'!H:H,0,0)</f>
        <v>3</v>
      </c>
      <c r="M63" s="363"/>
      <c r="N63" s="361"/>
      <c r="O63" s="361"/>
      <c r="P63" s="361"/>
      <c r="Q63" s="361"/>
      <c r="R63" s="364" t="str">
        <f>IF(COUNTIF(tblSeverityAnalysis[[#This Row],[Site Management ]:[WASH]], 1)=0, "", COUNTIF(tblSeverityAnalysis[[#This Row],[Site Management ]:[WASH]], 1))</f>
        <v/>
      </c>
      <c r="S63" s="365" t="str">
        <f>IF(COUNTIF(tblSeverityAnalysis[[#This Row],[Site Management ]:[WASH]], 2)=0, "", COUNTIF(tblSeverityAnalysis[[#This Row],[Site Management ]:[WASH]], 2))</f>
        <v/>
      </c>
      <c r="T63" s="365">
        <f>IF(COUNTIF(tblSeverityAnalysis[[#This Row],[Site Management ]:[WASH]], 3)=0, "", COUNTIF(tblSeverityAnalysis[[#This Row],[Site Management ]:[WASH]], 3))</f>
        <v>1</v>
      </c>
      <c r="U63" s="365" t="str">
        <f>IF(COUNTIF(tblSeverityAnalysis[[#This Row],[Site Management ]:[WASH]], 4)=0, "", COUNTIF(tblSeverityAnalysis[[#This Row],[Site Management ]:[WASH]], 4))</f>
        <v/>
      </c>
      <c r="V63" s="366" t="str">
        <f>IF(COUNTIF(tblSeverityAnalysis[[#This Row],[Site Management ]:[WASH]], 5)=0, "", COUNTIF(tblSeverityAnalysis[[#This Row],[Site Management ]:[WASH]], 5))</f>
        <v/>
      </c>
      <c r="W63" s="367">
        <f>IFERROR(LARGE(tblSeverityAnalysis[[#This Row],[Site Management ]:[General Protection]],1),"")</f>
        <v>3</v>
      </c>
      <c r="X63" s="368" t="str">
        <f>IFERROR(IF(AND(tblSeverityAnalysis[[#This Row],[5]] &lt;&gt; "", tblSeverityAnalysis[[#This Row],[5]]&gt;=sectors_sev_5), "Flagged", ""), "")</f>
        <v/>
      </c>
      <c r="Y63" s="369"/>
      <c r="Z63" s="324"/>
      <c r="AA63" s="370">
        <f>COUNTIF(tblSeverityAnalysis[[#This Row],[1 sectors in severity phase 5 '[modify the threshold']]:[Manual Flag]], "Flagged")</f>
        <v>0</v>
      </c>
      <c r="AB63" s="339"/>
      <c r="AC63" s="339"/>
      <c r="AD63" s="339"/>
      <c r="AE63" s="339"/>
    </row>
    <row r="64" spans="1:31" hidden="1" x14ac:dyDescent="0.3">
      <c r="A64" s="357" t="str">
        <f>tblSeverityAnalysis[[#This Row],[Admin 2 P-Code]]</f>
        <v>SD12084</v>
      </c>
      <c r="B64" s="245" t="s">
        <v>158</v>
      </c>
      <c r="C64" s="358" t="s">
        <v>129</v>
      </c>
      <c r="D64" s="372" t="s">
        <v>466</v>
      </c>
      <c r="E64" s="246" t="s">
        <v>467</v>
      </c>
      <c r="F64" s="360"/>
      <c r="G64" s="361"/>
      <c r="H64" s="361"/>
      <c r="I64" s="361"/>
      <c r="J64" s="361"/>
      <c r="K64" s="361"/>
      <c r="L64" s="361">
        <f>_xlfn.XLOOKUP(tblSeverityAnalysis[[#This Row],[Admin 2 P-Code]],'PIN2025'!B:B,'PIN2025'!H:H,0,0)</f>
        <v>3</v>
      </c>
      <c r="M64" s="363"/>
      <c r="N64" s="361"/>
      <c r="O64" s="361"/>
      <c r="P64" s="361"/>
      <c r="Q64" s="361"/>
      <c r="R64" s="364" t="str">
        <f>IF(COUNTIF(tblSeverityAnalysis[[#This Row],[Site Management ]:[WASH]], 1)=0, "", COUNTIF(tblSeverityAnalysis[[#This Row],[Site Management ]:[WASH]], 1))</f>
        <v/>
      </c>
      <c r="S64" s="365" t="str">
        <f>IF(COUNTIF(tblSeverityAnalysis[[#This Row],[Site Management ]:[WASH]], 2)=0, "", COUNTIF(tblSeverityAnalysis[[#This Row],[Site Management ]:[WASH]], 2))</f>
        <v/>
      </c>
      <c r="T64" s="365">
        <f>IF(COUNTIF(tblSeverityAnalysis[[#This Row],[Site Management ]:[WASH]], 3)=0, "", COUNTIF(tblSeverityAnalysis[[#This Row],[Site Management ]:[WASH]], 3))</f>
        <v>1</v>
      </c>
      <c r="U64" s="365" t="str">
        <f>IF(COUNTIF(tblSeverityAnalysis[[#This Row],[Site Management ]:[WASH]], 4)=0, "", COUNTIF(tblSeverityAnalysis[[#This Row],[Site Management ]:[WASH]], 4))</f>
        <v/>
      </c>
      <c r="V64" s="366" t="str">
        <f>IF(COUNTIF(tblSeverityAnalysis[[#This Row],[Site Management ]:[WASH]], 5)=0, "", COUNTIF(tblSeverityAnalysis[[#This Row],[Site Management ]:[WASH]], 5))</f>
        <v/>
      </c>
      <c r="W64" s="367">
        <f>IFERROR(LARGE(tblSeverityAnalysis[[#This Row],[Site Management ]:[General Protection]],1),"")</f>
        <v>3</v>
      </c>
      <c r="X64" s="368" t="str">
        <f>IFERROR(IF(AND(tblSeverityAnalysis[[#This Row],[5]] &lt;&gt; "", tblSeverityAnalysis[[#This Row],[5]]&gt;=sectors_sev_5), "Flagged", ""), "")</f>
        <v/>
      </c>
      <c r="Y64" s="369"/>
      <c r="Z64" s="324"/>
      <c r="AA64" s="370">
        <f>COUNTIF(tblSeverityAnalysis[[#This Row],[1 sectors in severity phase 5 '[modify the threshold']]:[Manual Flag]], "Flagged")</f>
        <v>0</v>
      </c>
      <c r="AB64" s="339"/>
      <c r="AC64" s="339"/>
      <c r="AD64" s="339"/>
      <c r="AE64" s="339"/>
    </row>
    <row r="65" spans="1:31" hidden="1" x14ac:dyDescent="0.3">
      <c r="A65" s="357" t="str">
        <f>tblSeverityAnalysis[[#This Row],[Admin 2 P-Code]]</f>
        <v>SD11052</v>
      </c>
      <c r="B65" s="245" t="s">
        <v>161</v>
      </c>
      <c r="C65" s="358" t="s">
        <v>128</v>
      </c>
      <c r="D65" s="372" t="s">
        <v>422</v>
      </c>
      <c r="E65" s="246" t="s">
        <v>423</v>
      </c>
      <c r="F65" s="360"/>
      <c r="G65" s="361"/>
      <c r="H65" s="361"/>
      <c r="I65" s="361"/>
      <c r="J65" s="361"/>
      <c r="K65" s="361"/>
      <c r="L65" s="361">
        <f>_xlfn.XLOOKUP(tblSeverityAnalysis[[#This Row],[Admin 2 P-Code]],'PIN2025'!B:B,'PIN2025'!H:H,0,0)</f>
        <v>3</v>
      </c>
      <c r="M65" s="363"/>
      <c r="N65" s="361"/>
      <c r="O65" s="361"/>
      <c r="P65" s="361"/>
      <c r="Q65" s="361"/>
      <c r="R65" s="364" t="str">
        <f>IF(COUNTIF(tblSeverityAnalysis[[#This Row],[Site Management ]:[WASH]], 1)=0, "", COUNTIF(tblSeverityAnalysis[[#This Row],[Site Management ]:[WASH]], 1))</f>
        <v/>
      </c>
      <c r="S65" s="365" t="str">
        <f>IF(COUNTIF(tblSeverityAnalysis[[#This Row],[Site Management ]:[WASH]], 2)=0, "", COUNTIF(tblSeverityAnalysis[[#This Row],[Site Management ]:[WASH]], 2))</f>
        <v/>
      </c>
      <c r="T65" s="365">
        <f>IF(COUNTIF(tblSeverityAnalysis[[#This Row],[Site Management ]:[WASH]], 3)=0, "", COUNTIF(tblSeverityAnalysis[[#This Row],[Site Management ]:[WASH]], 3))</f>
        <v>1</v>
      </c>
      <c r="U65" s="365" t="str">
        <f>IF(COUNTIF(tblSeverityAnalysis[[#This Row],[Site Management ]:[WASH]], 4)=0, "", COUNTIF(tblSeverityAnalysis[[#This Row],[Site Management ]:[WASH]], 4))</f>
        <v/>
      </c>
      <c r="V65" s="366" t="str">
        <f>IF(COUNTIF(tblSeverityAnalysis[[#This Row],[Site Management ]:[WASH]], 5)=0, "", COUNTIF(tblSeverityAnalysis[[#This Row],[Site Management ]:[WASH]], 5))</f>
        <v/>
      </c>
      <c r="W65" s="367">
        <f>IFERROR(LARGE(tblSeverityAnalysis[[#This Row],[Site Management ]:[General Protection]],1),"")</f>
        <v>3</v>
      </c>
      <c r="X65" s="368" t="str">
        <f>IFERROR(IF(AND(tblSeverityAnalysis[[#This Row],[5]] &lt;&gt; "", tblSeverityAnalysis[[#This Row],[5]]&gt;=sectors_sev_5), "Flagged", ""), "")</f>
        <v/>
      </c>
      <c r="Y65" s="369"/>
      <c r="Z65" s="324"/>
      <c r="AA65" s="370">
        <f>COUNTIF(tblSeverityAnalysis[[#This Row],[1 sectors in severity phase 5 '[modify the threshold']]:[Manual Flag]], "Flagged")</f>
        <v>0</v>
      </c>
      <c r="AB65" s="339"/>
      <c r="AC65" s="339"/>
      <c r="AD65" s="339"/>
      <c r="AE65" s="339"/>
    </row>
    <row r="66" spans="1:31" hidden="1" x14ac:dyDescent="0.3">
      <c r="A66" s="357" t="str">
        <f>tblSeverityAnalysis[[#This Row],[Admin 2 P-Code]]</f>
        <v>SD11053</v>
      </c>
      <c r="B66" s="245" t="s">
        <v>161</v>
      </c>
      <c r="C66" s="358" t="s">
        <v>128</v>
      </c>
      <c r="D66" s="372" t="s">
        <v>424</v>
      </c>
      <c r="E66" s="246" t="s">
        <v>425</v>
      </c>
      <c r="F66" s="360"/>
      <c r="G66" s="361"/>
      <c r="H66" s="361"/>
      <c r="I66" s="361"/>
      <c r="J66" s="361"/>
      <c r="K66" s="361"/>
      <c r="L66" s="361">
        <f>_xlfn.XLOOKUP(tblSeverityAnalysis[[#This Row],[Admin 2 P-Code]],'PIN2025'!B:B,'PIN2025'!H:H,0,0)</f>
        <v>3</v>
      </c>
      <c r="M66" s="363"/>
      <c r="N66" s="361"/>
      <c r="O66" s="361"/>
      <c r="P66" s="361"/>
      <c r="Q66" s="361"/>
      <c r="R66" s="364" t="str">
        <f>IF(COUNTIF(tblSeverityAnalysis[[#This Row],[Site Management ]:[WASH]], 1)=0, "", COUNTIF(tblSeverityAnalysis[[#This Row],[Site Management ]:[WASH]], 1))</f>
        <v/>
      </c>
      <c r="S66" s="365" t="str">
        <f>IF(COUNTIF(tblSeverityAnalysis[[#This Row],[Site Management ]:[WASH]], 2)=0, "", COUNTIF(tblSeverityAnalysis[[#This Row],[Site Management ]:[WASH]], 2))</f>
        <v/>
      </c>
      <c r="T66" s="365">
        <f>IF(COUNTIF(tblSeverityAnalysis[[#This Row],[Site Management ]:[WASH]], 3)=0, "", COUNTIF(tblSeverityAnalysis[[#This Row],[Site Management ]:[WASH]], 3))</f>
        <v>1</v>
      </c>
      <c r="U66" s="365" t="str">
        <f>IF(COUNTIF(tblSeverityAnalysis[[#This Row],[Site Management ]:[WASH]], 4)=0, "", COUNTIF(tblSeverityAnalysis[[#This Row],[Site Management ]:[WASH]], 4))</f>
        <v/>
      </c>
      <c r="V66" s="366" t="str">
        <f>IF(COUNTIF(tblSeverityAnalysis[[#This Row],[Site Management ]:[WASH]], 5)=0, "", COUNTIF(tblSeverityAnalysis[[#This Row],[Site Management ]:[WASH]], 5))</f>
        <v/>
      </c>
      <c r="W66" s="367">
        <f>IFERROR(LARGE(tblSeverityAnalysis[[#This Row],[Site Management ]:[General Protection]],1),"")</f>
        <v>3</v>
      </c>
      <c r="X66" s="368" t="str">
        <f>IFERROR(IF(AND(tblSeverityAnalysis[[#This Row],[5]] &lt;&gt; "", tblSeverityAnalysis[[#This Row],[5]]&gt;=sectors_sev_5), "Flagged", ""), "")</f>
        <v/>
      </c>
      <c r="Y66" s="369"/>
      <c r="Z66" s="324"/>
      <c r="AA66" s="370">
        <f>COUNTIF(tblSeverityAnalysis[[#This Row],[1 sectors in severity phase 5 '[modify the threshold']]:[Manual Flag]], "Flagged")</f>
        <v>0</v>
      </c>
      <c r="AB66" s="339"/>
      <c r="AC66" s="339"/>
      <c r="AD66" s="339"/>
      <c r="AE66" s="339"/>
    </row>
    <row r="67" spans="1:31" hidden="1" x14ac:dyDescent="0.3">
      <c r="A67" s="357" t="str">
        <f>tblSeverityAnalysis[[#This Row],[Admin 2 P-Code]]</f>
        <v>SD11054</v>
      </c>
      <c r="B67" s="245" t="s">
        <v>161</v>
      </c>
      <c r="C67" s="358" t="s">
        <v>128</v>
      </c>
      <c r="D67" s="372" t="s">
        <v>426</v>
      </c>
      <c r="E67" s="246" t="s">
        <v>427</v>
      </c>
      <c r="F67" s="360"/>
      <c r="G67" s="361"/>
      <c r="H67" s="361"/>
      <c r="I67" s="361"/>
      <c r="J67" s="361"/>
      <c r="K67" s="361"/>
      <c r="L67" s="361">
        <f>_xlfn.XLOOKUP(tblSeverityAnalysis[[#This Row],[Admin 2 P-Code]],'PIN2025'!B:B,'PIN2025'!H:H,0,0)</f>
        <v>3</v>
      </c>
      <c r="M67" s="363"/>
      <c r="N67" s="361"/>
      <c r="O67" s="361"/>
      <c r="P67" s="361"/>
      <c r="Q67" s="361"/>
      <c r="R67" s="364" t="str">
        <f>IF(COUNTIF(tblSeverityAnalysis[[#This Row],[Site Management ]:[WASH]], 1)=0, "", COUNTIF(tblSeverityAnalysis[[#This Row],[Site Management ]:[WASH]], 1))</f>
        <v/>
      </c>
      <c r="S67" s="365" t="str">
        <f>IF(COUNTIF(tblSeverityAnalysis[[#This Row],[Site Management ]:[WASH]], 2)=0, "", COUNTIF(tblSeverityAnalysis[[#This Row],[Site Management ]:[WASH]], 2))</f>
        <v/>
      </c>
      <c r="T67" s="365">
        <f>IF(COUNTIF(tblSeverityAnalysis[[#This Row],[Site Management ]:[WASH]], 3)=0, "", COUNTIF(tblSeverityAnalysis[[#This Row],[Site Management ]:[WASH]], 3))</f>
        <v>1</v>
      </c>
      <c r="U67" s="365" t="str">
        <f>IF(COUNTIF(tblSeverityAnalysis[[#This Row],[Site Management ]:[WASH]], 4)=0, "", COUNTIF(tblSeverityAnalysis[[#This Row],[Site Management ]:[WASH]], 4))</f>
        <v/>
      </c>
      <c r="V67" s="366" t="str">
        <f>IF(COUNTIF(tblSeverityAnalysis[[#This Row],[Site Management ]:[WASH]], 5)=0, "", COUNTIF(tblSeverityAnalysis[[#This Row],[Site Management ]:[WASH]], 5))</f>
        <v/>
      </c>
      <c r="W67" s="367">
        <f>IFERROR(LARGE(tblSeverityAnalysis[[#This Row],[Site Management ]:[General Protection]],1),"")</f>
        <v>3</v>
      </c>
      <c r="X67" s="368" t="str">
        <f>IFERROR(IF(AND(tblSeverityAnalysis[[#This Row],[5]] &lt;&gt; "", tblSeverityAnalysis[[#This Row],[5]]&gt;=sectors_sev_5), "Flagged", ""), "")</f>
        <v/>
      </c>
      <c r="Y67" s="369"/>
      <c r="Z67" s="324"/>
      <c r="AA67" s="370">
        <f>COUNTIF(tblSeverityAnalysis[[#This Row],[1 sectors in severity phase 5 '[modify the threshold']]:[Manual Flag]], "Flagged")</f>
        <v>0</v>
      </c>
      <c r="AB67" s="339"/>
      <c r="AC67" s="339"/>
      <c r="AD67" s="339"/>
      <c r="AE67" s="339"/>
    </row>
    <row r="68" spans="1:31" hidden="1" x14ac:dyDescent="0.3">
      <c r="A68" s="357" t="str">
        <f>tblSeverityAnalysis[[#This Row],[Admin 2 P-Code]]</f>
        <v>SD11055</v>
      </c>
      <c r="B68" s="245" t="s">
        <v>161</v>
      </c>
      <c r="C68" s="358" t="s">
        <v>128</v>
      </c>
      <c r="D68" s="372" t="s">
        <v>428</v>
      </c>
      <c r="E68" s="246" t="s">
        <v>429</v>
      </c>
      <c r="F68" s="360"/>
      <c r="G68" s="361"/>
      <c r="H68" s="361"/>
      <c r="I68" s="361"/>
      <c r="J68" s="361"/>
      <c r="K68" s="361"/>
      <c r="L68" s="361">
        <f>_xlfn.XLOOKUP(tblSeverityAnalysis[[#This Row],[Admin 2 P-Code]],'PIN2025'!B:B,'PIN2025'!H:H,0,0)</f>
        <v>3</v>
      </c>
      <c r="M68" s="363"/>
      <c r="N68" s="361"/>
      <c r="O68" s="361"/>
      <c r="P68" s="361"/>
      <c r="Q68" s="361"/>
      <c r="R68" s="364" t="str">
        <f>IF(COUNTIF(tblSeverityAnalysis[[#This Row],[Site Management ]:[WASH]], 1)=0, "", COUNTIF(tblSeverityAnalysis[[#This Row],[Site Management ]:[WASH]], 1))</f>
        <v/>
      </c>
      <c r="S68" s="365" t="str">
        <f>IF(COUNTIF(tblSeverityAnalysis[[#This Row],[Site Management ]:[WASH]], 2)=0, "", COUNTIF(tblSeverityAnalysis[[#This Row],[Site Management ]:[WASH]], 2))</f>
        <v/>
      </c>
      <c r="T68" s="365">
        <f>IF(COUNTIF(tblSeverityAnalysis[[#This Row],[Site Management ]:[WASH]], 3)=0, "", COUNTIF(tblSeverityAnalysis[[#This Row],[Site Management ]:[WASH]], 3))</f>
        <v>1</v>
      </c>
      <c r="U68" s="365" t="str">
        <f>IF(COUNTIF(tblSeverityAnalysis[[#This Row],[Site Management ]:[WASH]], 4)=0, "", COUNTIF(tblSeverityAnalysis[[#This Row],[Site Management ]:[WASH]], 4))</f>
        <v/>
      </c>
      <c r="V68" s="366" t="str">
        <f>IF(COUNTIF(tblSeverityAnalysis[[#This Row],[Site Management ]:[WASH]], 5)=0, "", COUNTIF(tblSeverityAnalysis[[#This Row],[Site Management ]:[WASH]], 5))</f>
        <v/>
      </c>
      <c r="W68" s="367">
        <f>IFERROR(LARGE(tblSeverityAnalysis[[#This Row],[Site Management ]:[General Protection]],1),"")</f>
        <v>3</v>
      </c>
      <c r="X68" s="368" t="str">
        <f>IFERROR(IF(AND(tblSeverityAnalysis[[#This Row],[5]] &lt;&gt; "", tblSeverityAnalysis[[#This Row],[5]]&gt;=sectors_sev_5), "Flagged", ""), "")</f>
        <v/>
      </c>
      <c r="Y68" s="369"/>
      <c r="Z68" s="324"/>
      <c r="AA68" s="370">
        <f>COUNTIF(tblSeverityAnalysis[[#This Row],[1 sectors in severity phase 5 '[modify the threshold']]:[Manual Flag]], "Flagged")</f>
        <v>0</v>
      </c>
      <c r="AB68" s="339"/>
      <c r="AC68" s="339"/>
      <c r="AD68" s="339"/>
      <c r="AE68" s="339"/>
    </row>
    <row r="69" spans="1:31" hidden="1" x14ac:dyDescent="0.3">
      <c r="A69" s="357" t="str">
        <f>tblSeverityAnalysis[[#This Row],[Admin 2 P-Code]]</f>
        <v>SD11056</v>
      </c>
      <c r="B69" s="245" t="s">
        <v>161</v>
      </c>
      <c r="C69" s="358" t="s">
        <v>128</v>
      </c>
      <c r="D69" s="372" t="s">
        <v>430</v>
      </c>
      <c r="E69" s="246" t="s">
        <v>431</v>
      </c>
      <c r="F69" s="360"/>
      <c r="G69" s="361"/>
      <c r="H69" s="361"/>
      <c r="I69" s="361"/>
      <c r="J69" s="361"/>
      <c r="K69" s="361"/>
      <c r="L69" s="361">
        <f>_xlfn.XLOOKUP(tblSeverityAnalysis[[#This Row],[Admin 2 P-Code]],'PIN2025'!B:B,'PIN2025'!H:H,0,0)</f>
        <v>3</v>
      </c>
      <c r="M69" s="363"/>
      <c r="N69" s="361"/>
      <c r="O69" s="361"/>
      <c r="P69" s="361"/>
      <c r="Q69" s="361"/>
      <c r="R69" s="364" t="str">
        <f>IF(COUNTIF(tblSeverityAnalysis[[#This Row],[Site Management ]:[WASH]], 1)=0, "", COUNTIF(tblSeverityAnalysis[[#This Row],[Site Management ]:[WASH]], 1))</f>
        <v/>
      </c>
      <c r="S69" s="365" t="str">
        <f>IF(COUNTIF(tblSeverityAnalysis[[#This Row],[Site Management ]:[WASH]], 2)=0, "", COUNTIF(tblSeverityAnalysis[[#This Row],[Site Management ]:[WASH]], 2))</f>
        <v/>
      </c>
      <c r="T69" s="365">
        <f>IF(COUNTIF(tblSeverityAnalysis[[#This Row],[Site Management ]:[WASH]], 3)=0, "", COUNTIF(tblSeverityAnalysis[[#This Row],[Site Management ]:[WASH]], 3))</f>
        <v>1</v>
      </c>
      <c r="U69" s="365" t="str">
        <f>IF(COUNTIF(tblSeverityAnalysis[[#This Row],[Site Management ]:[WASH]], 4)=0, "", COUNTIF(tblSeverityAnalysis[[#This Row],[Site Management ]:[WASH]], 4))</f>
        <v/>
      </c>
      <c r="V69" s="366" t="str">
        <f>IF(COUNTIF(tblSeverityAnalysis[[#This Row],[Site Management ]:[WASH]], 5)=0, "", COUNTIF(tblSeverityAnalysis[[#This Row],[Site Management ]:[WASH]], 5))</f>
        <v/>
      </c>
      <c r="W69" s="367">
        <f>IFERROR(LARGE(tblSeverityAnalysis[[#This Row],[Site Management ]:[General Protection]],1),"")</f>
        <v>3</v>
      </c>
      <c r="X69" s="368" t="str">
        <f>IFERROR(IF(AND(tblSeverityAnalysis[[#This Row],[5]] &lt;&gt; "", tblSeverityAnalysis[[#This Row],[5]]&gt;=sectors_sev_5), "Flagged", ""), "")</f>
        <v/>
      </c>
      <c r="Y69" s="369"/>
      <c r="Z69" s="324"/>
      <c r="AA69" s="370">
        <f>COUNTIF(tblSeverityAnalysis[[#This Row],[1 sectors in severity phase 5 '[modify the threshold']]:[Manual Flag]], "Flagged")</f>
        <v>0</v>
      </c>
      <c r="AB69" s="339"/>
      <c r="AC69" s="339"/>
      <c r="AD69" s="339"/>
      <c r="AE69" s="339"/>
    </row>
    <row r="70" spans="1:31" hidden="1" x14ac:dyDescent="0.3">
      <c r="A70" s="357" t="str">
        <f>tblSeverityAnalysis[[#This Row],[Admin 2 P-Code]]</f>
        <v>SD11058</v>
      </c>
      <c r="B70" s="245" t="s">
        <v>161</v>
      </c>
      <c r="C70" s="358" t="s">
        <v>128</v>
      </c>
      <c r="D70" s="372" t="s">
        <v>434</v>
      </c>
      <c r="E70" s="246" t="s">
        <v>435</v>
      </c>
      <c r="F70" s="360"/>
      <c r="G70" s="361"/>
      <c r="H70" s="361"/>
      <c r="I70" s="361"/>
      <c r="J70" s="361"/>
      <c r="K70" s="361"/>
      <c r="L70" s="361">
        <f>_xlfn.XLOOKUP(tblSeverityAnalysis[[#This Row],[Admin 2 P-Code]],'PIN2025'!B:B,'PIN2025'!H:H,0,0)</f>
        <v>3</v>
      </c>
      <c r="M70" s="363"/>
      <c r="N70" s="361"/>
      <c r="O70" s="361"/>
      <c r="P70" s="361"/>
      <c r="Q70" s="361"/>
      <c r="R70" s="364" t="str">
        <f>IF(COUNTIF(tblSeverityAnalysis[[#This Row],[Site Management ]:[WASH]], 1)=0, "", COUNTIF(tblSeverityAnalysis[[#This Row],[Site Management ]:[WASH]], 1))</f>
        <v/>
      </c>
      <c r="S70" s="365" t="str">
        <f>IF(COUNTIF(tblSeverityAnalysis[[#This Row],[Site Management ]:[WASH]], 2)=0, "", COUNTIF(tblSeverityAnalysis[[#This Row],[Site Management ]:[WASH]], 2))</f>
        <v/>
      </c>
      <c r="T70" s="365">
        <f>IF(COUNTIF(tblSeverityAnalysis[[#This Row],[Site Management ]:[WASH]], 3)=0, "", COUNTIF(tblSeverityAnalysis[[#This Row],[Site Management ]:[WASH]], 3))</f>
        <v>1</v>
      </c>
      <c r="U70" s="365" t="str">
        <f>IF(COUNTIF(tblSeverityAnalysis[[#This Row],[Site Management ]:[WASH]], 4)=0, "", COUNTIF(tblSeverityAnalysis[[#This Row],[Site Management ]:[WASH]], 4))</f>
        <v/>
      </c>
      <c r="V70" s="366" t="str">
        <f>IF(COUNTIF(tblSeverityAnalysis[[#This Row],[Site Management ]:[WASH]], 5)=0, "", COUNTIF(tblSeverityAnalysis[[#This Row],[Site Management ]:[WASH]], 5))</f>
        <v/>
      </c>
      <c r="W70" s="367">
        <f>IFERROR(LARGE(tblSeverityAnalysis[[#This Row],[Site Management ]:[General Protection]],1),"")</f>
        <v>3</v>
      </c>
      <c r="X70" s="368" t="str">
        <f>IFERROR(IF(AND(tblSeverityAnalysis[[#This Row],[5]] &lt;&gt; "", tblSeverityAnalysis[[#This Row],[5]]&gt;=sectors_sev_5), "Flagged", ""), "")</f>
        <v/>
      </c>
      <c r="Y70" s="369"/>
      <c r="Z70" s="324"/>
      <c r="AA70" s="370">
        <f>COUNTIF(tblSeverityAnalysis[[#This Row],[1 sectors in severity phase 5 '[modify the threshold']]:[Manual Flag]], "Flagged")</f>
        <v>0</v>
      </c>
      <c r="AB70" s="339"/>
      <c r="AC70" s="339"/>
      <c r="AD70" s="339"/>
      <c r="AE70" s="339"/>
    </row>
    <row r="71" spans="1:31" hidden="1" x14ac:dyDescent="0.3">
      <c r="A71" s="357" t="str">
        <f>tblSeverityAnalysis[[#This Row],[Admin 2 P-Code]]</f>
        <v>SD11059</v>
      </c>
      <c r="B71" s="245" t="s">
        <v>161</v>
      </c>
      <c r="C71" s="358" t="s">
        <v>128</v>
      </c>
      <c r="D71" s="372" t="s">
        <v>436</v>
      </c>
      <c r="E71" s="246" t="s">
        <v>437</v>
      </c>
      <c r="F71" s="360"/>
      <c r="G71" s="361"/>
      <c r="H71" s="361"/>
      <c r="I71" s="361"/>
      <c r="J71" s="361"/>
      <c r="K71" s="361"/>
      <c r="L71" s="361">
        <f>_xlfn.XLOOKUP(tblSeverityAnalysis[[#This Row],[Admin 2 P-Code]],'PIN2025'!B:B,'PIN2025'!H:H,0,0)</f>
        <v>3</v>
      </c>
      <c r="M71" s="363"/>
      <c r="N71" s="361"/>
      <c r="O71" s="361"/>
      <c r="P71" s="361"/>
      <c r="Q71" s="361"/>
      <c r="R71" s="364" t="str">
        <f>IF(COUNTIF(tblSeverityAnalysis[[#This Row],[Site Management ]:[WASH]], 1)=0, "", COUNTIF(tblSeverityAnalysis[[#This Row],[Site Management ]:[WASH]], 1))</f>
        <v/>
      </c>
      <c r="S71" s="365" t="str">
        <f>IF(COUNTIF(tblSeverityAnalysis[[#This Row],[Site Management ]:[WASH]], 2)=0, "", COUNTIF(tblSeverityAnalysis[[#This Row],[Site Management ]:[WASH]], 2))</f>
        <v/>
      </c>
      <c r="T71" s="365">
        <f>IF(COUNTIF(tblSeverityAnalysis[[#This Row],[Site Management ]:[WASH]], 3)=0, "", COUNTIF(tblSeverityAnalysis[[#This Row],[Site Management ]:[WASH]], 3))</f>
        <v>1</v>
      </c>
      <c r="U71" s="365" t="str">
        <f>IF(COUNTIF(tblSeverityAnalysis[[#This Row],[Site Management ]:[WASH]], 4)=0, "", COUNTIF(tblSeverityAnalysis[[#This Row],[Site Management ]:[WASH]], 4))</f>
        <v/>
      </c>
      <c r="V71" s="366" t="str">
        <f>IF(COUNTIF(tblSeverityAnalysis[[#This Row],[Site Management ]:[WASH]], 5)=0, "", COUNTIF(tblSeverityAnalysis[[#This Row],[Site Management ]:[WASH]], 5))</f>
        <v/>
      </c>
      <c r="W71" s="367">
        <f>IFERROR(LARGE(tblSeverityAnalysis[[#This Row],[Site Management ]:[General Protection]],1),"")</f>
        <v>3</v>
      </c>
      <c r="X71" s="368" t="str">
        <f>IFERROR(IF(AND(tblSeverityAnalysis[[#This Row],[5]] &lt;&gt; "", tblSeverityAnalysis[[#This Row],[5]]&gt;=sectors_sev_5), "Flagged", ""), "")</f>
        <v/>
      </c>
      <c r="Y71" s="369"/>
      <c r="Z71" s="324"/>
      <c r="AA71" s="370">
        <f>COUNTIF(tblSeverityAnalysis[[#This Row],[1 sectors in severity phase 5 '[modify the threshold']]:[Manual Flag]], "Flagged")</f>
        <v>0</v>
      </c>
      <c r="AB71" s="339"/>
      <c r="AC71" s="339"/>
      <c r="AD71" s="339"/>
      <c r="AE71" s="339"/>
    </row>
    <row r="72" spans="1:31" hidden="1" x14ac:dyDescent="0.3">
      <c r="A72" s="357" t="str">
        <f>tblSeverityAnalysis[[#This Row],[Admin 2 P-Code]]</f>
        <v>SD11061</v>
      </c>
      <c r="B72" s="245" t="s">
        <v>161</v>
      </c>
      <c r="C72" s="358" t="s">
        <v>128</v>
      </c>
      <c r="D72" s="372" t="s">
        <v>440</v>
      </c>
      <c r="E72" s="246" t="s">
        <v>441</v>
      </c>
      <c r="F72" s="360"/>
      <c r="G72" s="361"/>
      <c r="H72" s="361"/>
      <c r="I72" s="361"/>
      <c r="J72" s="361"/>
      <c r="K72" s="361"/>
      <c r="L72" s="361">
        <f>_xlfn.XLOOKUP(tblSeverityAnalysis[[#This Row],[Admin 2 P-Code]],'PIN2025'!B:B,'PIN2025'!H:H,0,0)</f>
        <v>3</v>
      </c>
      <c r="M72" s="363"/>
      <c r="N72" s="361"/>
      <c r="O72" s="361"/>
      <c r="P72" s="361"/>
      <c r="Q72" s="361"/>
      <c r="R72" s="364" t="str">
        <f>IF(COUNTIF(tblSeverityAnalysis[[#This Row],[Site Management ]:[WASH]], 1)=0, "", COUNTIF(tblSeverityAnalysis[[#This Row],[Site Management ]:[WASH]], 1))</f>
        <v/>
      </c>
      <c r="S72" s="365" t="str">
        <f>IF(COUNTIF(tblSeverityAnalysis[[#This Row],[Site Management ]:[WASH]], 2)=0, "", COUNTIF(tblSeverityAnalysis[[#This Row],[Site Management ]:[WASH]], 2))</f>
        <v/>
      </c>
      <c r="T72" s="365">
        <f>IF(COUNTIF(tblSeverityAnalysis[[#This Row],[Site Management ]:[WASH]], 3)=0, "", COUNTIF(tblSeverityAnalysis[[#This Row],[Site Management ]:[WASH]], 3))</f>
        <v>1</v>
      </c>
      <c r="U72" s="365" t="str">
        <f>IF(COUNTIF(tblSeverityAnalysis[[#This Row],[Site Management ]:[WASH]], 4)=0, "", COUNTIF(tblSeverityAnalysis[[#This Row],[Site Management ]:[WASH]], 4))</f>
        <v/>
      </c>
      <c r="V72" s="366" t="str">
        <f>IF(COUNTIF(tblSeverityAnalysis[[#This Row],[Site Management ]:[WASH]], 5)=0, "", COUNTIF(tblSeverityAnalysis[[#This Row],[Site Management ]:[WASH]], 5))</f>
        <v/>
      </c>
      <c r="W72" s="367">
        <f>IFERROR(LARGE(tblSeverityAnalysis[[#This Row],[Site Management ]:[General Protection]],1),"")</f>
        <v>3</v>
      </c>
      <c r="X72" s="368" t="str">
        <f>IFERROR(IF(AND(tblSeverityAnalysis[[#This Row],[5]] &lt;&gt; "", tblSeverityAnalysis[[#This Row],[5]]&gt;=sectors_sev_5), "Flagged", ""), "")</f>
        <v/>
      </c>
      <c r="Y72" s="369"/>
      <c r="Z72" s="324"/>
      <c r="AA72" s="370">
        <f>COUNTIF(tblSeverityAnalysis[[#This Row],[1 sectors in severity phase 5 '[modify the threshold']]:[Manual Flag]], "Flagged")</f>
        <v>0</v>
      </c>
      <c r="AB72" s="339"/>
      <c r="AC72" s="339"/>
      <c r="AD72" s="339"/>
      <c r="AE72" s="339"/>
    </row>
    <row r="73" spans="1:31" hidden="1" x14ac:dyDescent="0.3">
      <c r="A73" s="357" t="str">
        <f>tblSeverityAnalysis[[#This Row],[Admin 2 P-Code]]</f>
        <v>SD01001</v>
      </c>
      <c r="B73" s="245" t="s">
        <v>164</v>
      </c>
      <c r="C73" s="358" t="s">
        <v>118</v>
      </c>
      <c r="D73" s="372" t="s">
        <v>323</v>
      </c>
      <c r="E73" s="246" t="s">
        <v>324</v>
      </c>
      <c r="F73" s="360"/>
      <c r="G73" s="361"/>
      <c r="H73" s="361"/>
      <c r="I73" s="361"/>
      <c r="J73" s="361"/>
      <c r="K73" s="361"/>
      <c r="L73" s="361">
        <f>_xlfn.XLOOKUP(tblSeverityAnalysis[[#This Row],[Admin 2 P-Code]],'PIN2025'!B:B,'PIN2025'!H:H,0,0)</f>
        <v>3</v>
      </c>
      <c r="M73" s="363"/>
      <c r="N73" s="361"/>
      <c r="O73" s="361"/>
      <c r="P73" s="361"/>
      <c r="Q73" s="361"/>
      <c r="R73" s="364" t="str">
        <f>IF(COUNTIF(tblSeverityAnalysis[[#This Row],[Site Management ]:[WASH]], 1)=0, "", COUNTIF(tblSeverityAnalysis[[#This Row],[Site Management ]:[WASH]], 1))</f>
        <v/>
      </c>
      <c r="S73" s="365" t="str">
        <f>IF(COUNTIF(tblSeverityAnalysis[[#This Row],[Site Management ]:[WASH]], 2)=0, "", COUNTIF(tblSeverityAnalysis[[#This Row],[Site Management ]:[WASH]], 2))</f>
        <v/>
      </c>
      <c r="T73" s="365">
        <f>IF(COUNTIF(tblSeverityAnalysis[[#This Row],[Site Management ]:[WASH]], 3)=0, "", COUNTIF(tblSeverityAnalysis[[#This Row],[Site Management ]:[WASH]], 3))</f>
        <v>1</v>
      </c>
      <c r="U73" s="365" t="str">
        <f>IF(COUNTIF(tblSeverityAnalysis[[#This Row],[Site Management ]:[WASH]], 4)=0, "", COUNTIF(tblSeverityAnalysis[[#This Row],[Site Management ]:[WASH]], 4))</f>
        <v/>
      </c>
      <c r="V73" s="366" t="str">
        <f>IF(COUNTIF(tblSeverityAnalysis[[#This Row],[Site Management ]:[WASH]], 5)=0, "", COUNTIF(tblSeverityAnalysis[[#This Row],[Site Management ]:[WASH]], 5))</f>
        <v/>
      </c>
      <c r="W73" s="367">
        <f>IFERROR(LARGE(tblSeverityAnalysis[[#This Row],[Site Management ]:[General Protection]],1),"")</f>
        <v>3</v>
      </c>
      <c r="X73" s="368" t="str">
        <f>IFERROR(IF(AND(tblSeverityAnalysis[[#This Row],[5]] &lt;&gt; "", tblSeverityAnalysis[[#This Row],[5]]&gt;=sectors_sev_5), "Flagged", ""), "")</f>
        <v/>
      </c>
      <c r="Y73" s="369"/>
      <c r="Z73" s="324"/>
      <c r="AA73" s="370">
        <f>COUNTIF(tblSeverityAnalysis[[#This Row],[1 sectors in severity phase 5 '[modify the threshold']]:[Manual Flag]], "Flagged")</f>
        <v>0</v>
      </c>
      <c r="AB73" s="339"/>
      <c r="AC73" s="339"/>
      <c r="AD73" s="339"/>
      <c r="AE73" s="339"/>
    </row>
    <row r="74" spans="1:31" hidden="1" x14ac:dyDescent="0.3">
      <c r="A74" s="357" t="str">
        <f>tblSeverityAnalysis[[#This Row],[Admin 2 P-Code]]</f>
        <v>SD01005</v>
      </c>
      <c r="B74" s="245" t="s">
        <v>164</v>
      </c>
      <c r="C74" s="358" t="s">
        <v>118</v>
      </c>
      <c r="D74" s="372" t="s">
        <v>331</v>
      </c>
      <c r="E74" s="246" t="s">
        <v>332</v>
      </c>
      <c r="F74" s="360"/>
      <c r="G74" s="361"/>
      <c r="H74" s="361"/>
      <c r="I74" s="361"/>
      <c r="J74" s="361"/>
      <c r="K74" s="361"/>
      <c r="L74" s="361">
        <f>_xlfn.XLOOKUP(tblSeverityAnalysis[[#This Row],[Admin 2 P-Code]],'PIN2025'!B:B,'PIN2025'!H:H,0,0)</f>
        <v>3</v>
      </c>
      <c r="M74" s="363"/>
      <c r="N74" s="361"/>
      <c r="O74" s="361"/>
      <c r="P74" s="361"/>
      <c r="Q74" s="361"/>
      <c r="R74" s="364" t="str">
        <f>IF(COUNTIF(tblSeverityAnalysis[[#This Row],[Site Management ]:[WASH]], 1)=0, "", COUNTIF(tblSeverityAnalysis[[#This Row],[Site Management ]:[WASH]], 1))</f>
        <v/>
      </c>
      <c r="S74" s="365" t="str">
        <f>IF(COUNTIF(tblSeverityAnalysis[[#This Row],[Site Management ]:[WASH]], 2)=0, "", COUNTIF(tblSeverityAnalysis[[#This Row],[Site Management ]:[WASH]], 2))</f>
        <v/>
      </c>
      <c r="T74" s="365">
        <f>IF(COUNTIF(tblSeverityAnalysis[[#This Row],[Site Management ]:[WASH]], 3)=0, "", COUNTIF(tblSeverityAnalysis[[#This Row],[Site Management ]:[WASH]], 3))</f>
        <v>1</v>
      </c>
      <c r="U74" s="365" t="str">
        <f>IF(COUNTIF(tblSeverityAnalysis[[#This Row],[Site Management ]:[WASH]], 4)=0, "", COUNTIF(tblSeverityAnalysis[[#This Row],[Site Management ]:[WASH]], 4))</f>
        <v/>
      </c>
      <c r="V74" s="366" t="str">
        <f>IF(COUNTIF(tblSeverityAnalysis[[#This Row],[Site Management ]:[WASH]], 5)=0, "", COUNTIF(tblSeverityAnalysis[[#This Row],[Site Management ]:[WASH]], 5))</f>
        <v/>
      </c>
      <c r="W74" s="367">
        <f>IFERROR(LARGE(tblSeverityAnalysis[[#This Row],[Site Management ]:[General Protection]],1),"")</f>
        <v>3</v>
      </c>
      <c r="X74" s="368" t="str">
        <f>IFERROR(IF(AND(tblSeverityAnalysis[[#This Row],[5]] &lt;&gt; "", tblSeverityAnalysis[[#This Row],[5]]&gt;=sectors_sev_5), "Flagged", ""), "")</f>
        <v/>
      </c>
      <c r="Y74" s="369"/>
      <c r="Z74" s="324"/>
      <c r="AA74" s="370">
        <f>COUNTIF(tblSeverityAnalysis[[#This Row],[1 sectors in severity phase 5 '[modify the threshold']]:[Manual Flag]], "Flagged")</f>
        <v>0</v>
      </c>
      <c r="AB74" s="339"/>
      <c r="AC74" s="339"/>
      <c r="AD74" s="339"/>
      <c r="AE74" s="339"/>
    </row>
    <row r="75" spans="1:31" hidden="1" x14ac:dyDescent="0.3">
      <c r="A75" s="357" t="str">
        <f>tblSeverityAnalysis[[#This Row],[Admin 2 P-Code]]</f>
        <v>SD02113</v>
      </c>
      <c r="B75" s="245" t="s">
        <v>167</v>
      </c>
      <c r="C75" s="358" t="s">
        <v>119</v>
      </c>
      <c r="D75" s="372" t="s">
        <v>196</v>
      </c>
      <c r="E75" s="246" t="s">
        <v>195</v>
      </c>
      <c r="F75" s="360"/>
      <c r="G75" s="361"/>
      <c r="H75" s="361"/>
      <c r="I75" s="361"/>
      <c r="J75" s="361"/>
      <c r="K75" s="361"/>
      <c r="L75" s="361">
        <f>_xlfn.XLOOKUP(tblSeverityAnalysis[[#This Row],[Admin 2 P-Code]],'PIN2025'!B:B,'PIN2025'!H:H,0,0)</f>
        <v>3</v>
      </c>
      <c r="M75" s="363"/>
      <c r="N75" s="361"/>
      <c r="O75" s="361"/>
      <c r="P75" s="361"/>
      <c r="Q75" s="361"/>
      <c r="R75" s="364" t="str">
        <f>IF(COUNTIF(tblSeverityAnalysis[[#This Row],[Site Management ]:[WASH]], 1)=0, "", COUNTIF(tblSeverityAnalysis[[#This Row],[Site Management ]:[WASH]], 1))</f>
        <v/>
      </c>
      <c r="S75" s="365" t="str">
        <f>IF(COUNTIF(tblSeverityAnalysis[[#This Row],[Site Management ]:[WASH]], 2)=0, "", COUNTIF(tblSeverityAnalysis[[#This Row],[Site Management ]:[WASH]], 2))</f>
        <v/>
      </c>
      <c r="T75" s="365">
        <f>IF(COUNTIF(tblSeverityAnalysis[[#This Row],[Site Management ]:[WASH]], 3)=0, "", COUNTIF(tblSeverityAnalysis[[#This Row],[Site Management ]:[WASH]], 3))</f>
        <v>1</v>
      </c>
      <c r="U75" s="365" t="str">
        <f>IF(COUNTIF(tblSeverityAnalysis[[#This Row],[Site Management ]:[WASH]], 4)=0, "", COUNTIF(tblSeverityAnalysis[[#This Row],[Site Management ]:[WASH]], 4))</f>
        <v/>
      </c>
      <c r="V75" s="366" t="str">
        <f>IF(COUNTIF(tblSeverityAnalysis[[#This Row],[Site Management ]:[WASH]], 5)=0, "", COUNTIF(tblSeverityAnalysis[[#This Row],[Site Management ]:[WASH]], 5))</f>
        <v/>
      </c>
      <c r="W75" s="367">
        <f>IFERROR(LARGE(tblSeverityAnalysis[[#This Row],[Site Management ]:[General Protection]],1),"")</f>
        <v>3</v>
      </c>
      <c r="X75" s="368" t="str">
        <f>IFERROR(IF(AND(tblSeverityAnalysis[[#This Row],[5]] &lt;&gt; "", tblSeverityAnalysis[[#This Row],[5]]&gt;=sectors_sev_5), "Flagged", ""), "")</f>
        <v/>
      </c>
      <c r="Y75" s="369"/>
      <c r="Z75" s="324"/>
      <c r="AA75" s="370">
        <f>COUNTIF(tblSeverityAnalysis[[#This Row],[1 sectors in severity phase 5 '[modify the threshold']]:[Manual Flag]], "Flagged")</f>
        <v>0</v>
      </c>
      <c r="AB75" s="339"/>
      <c r="AC75" s="339"/>
      <c r="AD75" s="339"/>
      <c r="AE75" s="339"/>
    </row>
    <row r="76" spans="1:31" x14ac:dyDescent="0.3">
      <c r="A76" s="357" t="str">
        <f>tblSeverityAnalysis[[#This Row],[Admin 2 P-Code]]</f>
        <v>SD02114</v>
      </c>
      <c r="B76" s="245" t="s">
        <v>167</v>
      </c>
      <c r="C76" s="358" t="s">
        <v>119</v>
      </c>
      <c r="D76" s="382" t="s">
        <v>199</v>
      </c>
      <c r="E76" s="246" t="s">
        <v>198</v>
      </c>
      <c r="F76" s="360"/>
      <c r="G76" s="361"/>
      <c r="H76" s="361"/>
      <c r="I76" s="361"/>
      <c r="J76" s="361"/>
      <c r="K76" s="361">
        <v>4</v>
      </c>
      <c r="L76" s="384">
        <v>4</v>
      </c>
      <c r="M76" s="363"/>
      <c r="N76" s="361"/>
      <c r="O76" s="361"/>
      <c r="P76" s="361"/>
      <c r="Q76" s="361"/>
      <c r="R76" s="364" t="str">
        <f>IF(COUNTIF(tblSeverityAnalysis[[#This Row],[Site Management ]:[WASH]], 1)=0, "", COUNTIF(tblSeverityAnalysis[[#This Row],[Site Management ]:[WASH]], 1))</f>
        <v/>
      </c>
      <c r="S76" s="365" t="str">
        <f>IF(COUNTIF(tblSeverityAnalysis[[#This Row],[Site Management ]:[WASH]], 2)=0, "", COUNTIF(tblSeverityAnalysis[[#This Row],[Site Management ]:[WASH]], 2))</f>
        <v/>
      </c>
      <c r="T76" s="365" t="str">
        <f>IF(COUNTIF(tblSeverityAnalysis[[#This Row],[Site Management ]:[WASH]], 3)=0, "", COUNTIF(tblSeverityAnalysis[[#This Row],[Site Management ]:[WASH]], 3))</f>
        <v/>
      </c>
      <c r="U76" s="365">
        <f>IF(COUNTIF(tblSeverityAnalysis[[#This Row],[Site Management ]:[WASH]], 4)=0, "", COUNTIF(tblSeverityAnalysis[[#This Row],[Site Management ]:[WASH]], 4))</f>
        <v>2</v>
      </c>
      <c r="V76" s="366" t="str">
        <f>IF(COUNTIF(tblSeverityAnalysis[[#This Row],[Site Management ]:[WASH]], 5)=0, "", COUNTIF(tblSeverityAnalysis[[#This Row],[Site Management ]:[WASH]], 5))</f>
        <v/>
      </c>
      <c r="W76" s="367">
        <f>IFERROR(LARGE(tblSeverityAnalysis[[#This Row],[Site Management ]:[General Protection]],1),"")</f>
        <v>4</v>
      </c>
      <c r="X76" s="368" t="str">
        <f>IFERROR(IF(AND(tblSeverityAnalysis[[#This Row],[5]] &lt;&gt; "", tblSeverityAnalysis[[#This Row],[5]]&gt;=sectors_sev_5), "Flagged", ""), "")</f>
        <v/>
      </c>
      <c r="Y76" s="369"/>
      <c r="Z76" s="324"/>
      <c r="AA76" s="370">
        <f>COUNTIF(tblSeverityAnalysis[[#This Row],[1 sectors in severity phase 5 '[modify the threshold']]:[Manual Flag]], "Flagged")</f>
        <v>0</v>
      </c>
      <c r="AB76" s="339"/>
      <c r="AC76" s="339"/>
      <c r="AD76" s="339"/>
      <c r="AE76" s="339"/>
    </row>
    <row r="77" spans="1:31" hidden="1" x14ac:dyDescent="0.3">
      <c r="A77" s="357" t="str">
        <f>tblSeverityAnalysis[[#This Row],[Admin 2 P-Code]]</f>
        <v>SD02116</v>
      </c>
      <c r="B77" s="245" t="s">
        <v>167</v>
      </c>
      <c r="C77" s="358" t="s">
        <v>119</v>
      </c>
      <c r="D77" s="372" t="s">
        <v>201</v>
      </c>
      <c r="E77" s="246" t="s">
        <v>200</v>
      </c>
      <c r="F77" s="360"/>
      <c r="G77" s="361"/>
      <c r="H77" s="361"/>
      <c r="I77" s="361"/>
      <c r="J77" s="361"/>
      <c r="K77" s="361"/>
      <c r="L77" s="361">
        <f>_xlfn.XLOOKUP(tblSeverityAnalysis[[#This Row],[Admin 2 P-Code]],'PIN2025'!B:B,'PIN2025'!H:H,0,0)</f>
        <v>3</v>
      </c>
      <c r="M77" s="363"/>
      <c r="N77" s="361"/>
      <c r="O77" s="361"/>
      <c r="P77" s="361"/>
      <c r="Q77" s="361"/>
      <c r="R77" s="364" t="str">
        <f>IF(COUNTIF(tblSeverityAnalysis[[#This Row],[Site Management ]:[WASH]], 1)=0, "", COUNTIF(tblSeverityAnalysis[[#This Row],[Site Management ]:[WASH]], 1))</f>
        <v/>
      </c>
      <c r="S77" s="365" t="str">
        <f>IF(COUNTIF(tblSeverityAnalysis[[#This Row],[Site Management ]:[WASH]], 2)=0, "", COUNTIF(tblSeverityAnalysis[[#This Row],[Site Management ]:[WASH]], 2))</f>
        <v/>
      </c>
      <c r="T77" s="365">
        <f>IF(COUNTIF(tblSeverityAnalysis[[#This Row],[Site Management ]:[WASH]], 3)=0, "", COUNTIF(tblSeverityAnalysis[[#This Row],[Site Management ]:[WASH]], 3))</f>
        <v>1</v>
      </c>
      <c r="U77" s="365" t="str">
        <f>IF(COUNTIF(tblSeverityAnalysis[[#This Row],[Site Management ]:[WASH]], 4)=0, "", COUNTIF(tblSeverityAnalysis[[#This Row],[Site Management ]:[WASH]], 4))</f>
        <v/>
      </c>
      <c r="V77" s="366" t="str">
        <f>IF(COUNTIF(tblSeverityAnalysis[[#This Row],[Site Management ]:[WASH]], 5)=0, "", COUNTIF(tblSeverityAnalysis[[#This Row],[Site Management ]:[WASH]], 5))</f>
        <v/>
      </c>
      <c r="W77" s="367">
        <f>IFERROR(LARGE(tblSeverityAnalysis[[#This Row],[Site Management ]:[General Protection]],1),"")</f>
        <v>3</v>
      </c>
      <c r="X77" s="368" t="str">
        <f>IFERROR(IF(AND(tblSeverityAnalysis[[#This Row],[5]] &lt;&gt; "", tblSeverityAnalysis[[#This Row],[5]]&gt;=sectors_sev_5), "Flagged", ""), "")</f>
        <v/>
      </c>
      <c r="Y77" s="369"/>
      <c r="Z77" s="324"/>
      <c r="AA77" s="370">
        <f>COUNTIF(tblSeverityAnalysis[[#This Row],[1 sectors in severity phase 5 '[modify the threshold']]:[Manual Flag]], "Flagged")</f>
        <v>0</v>
      </c>
      <c r="AB77" s="339"/>
      <c r="AC77" s="339"/>
      <c r="AD77" s="339"/>
      <c r="AE77" s="339"/>
    </row>
    <row r="78" spans="1:31" hidden="1" x14ac:dyDescent="0.3">
      <c r="A78" s="357" t="str">
        <f>tblSeverityAnalysis[[#This Row],[Admin 2 P-Code]]</f>
        <v>SD02117</v>
      </c>
      <c r="B78" s="245" t="s">
        <v>167</v>
      </c>
      <c r="C78" s="358" t="s">
        <v>119</v>
      </c>
      <c r="D78" s="372" t="s">
        <v>203</v>
      </c>
      <c r="E78" s="246" t="s">
        <v>202</v>
      </c>
      <c r="F78" s="360"/>
      <c r="G78" s="361"/>
      <c r="H78" s="361"/>
      <c r="I78" s="361"/>
      <c r="J78" s="361"/>
      <c r="K78" s="361"/>
      <c r="L78" s="361">
        <f>_xlfn.XLOOKUP(tblSeverityAnalysis[[#This Row],[Admin 2 P-Code]],'PIN2025'!B:B,'PIN2025'!H:H,0,0)</f>
        <v>3</v>
      </c>
      <c r="M78" s="363"/>
      <c r="N78" s="361"/>
      <c r="O78" s="361"/>
      <c r="P78" s="361"/>
      <c r="Q78" s="361"/>
      <c r="R78" s="364" t="str">
        <f>IF(COUNTIF(tblSeverityAnalysis[[#This Row],[Site Management ]:[WASH]], 1)=0, "", COUNTIF(tblSeverityAnalysis[[#This Row],[Site Management ]:[WASH]], 1))</f>
        <v/>
      </c>
      <c r="S78" s="365" t="str">
        <f>IF(COUNTIF(tblSeverityAnalysis[[#This Row],[Site Management ]:[WASH]], 2)=0, "", COUNTIF(tblSeverityAnalysis[[#This Row],[Site Management ]:[WASH]], 2))</f>
        <v/>
      </c>
      <c r="T78" s="365">
        <f>IF(COUNTIF(tblSeverityAnalysis[[#This Row],[Site Management ]:[WASH]], 3)=0, "", COUNTIF(tblSeverityAnalysis[[#This Row],[Site Management ]:[WASH]], 3))</f>
        <v>1</v>
      </c>
      <c r="U78" s="365" t="str">
        <f>IF(COUNTIF(tblSeverityAnalysis[[#This Row],[Site Management ]:[WASH]], 4)=0, "", COUNTIF(tblSeverityAnalysis[[#This Row],[Site Management ]:[WASH]], 4))</f>
        <v/>
      </c>
      <c r="V78" s="366" t="str">
        <f>IF(COUNTIF(tblSeverityAnalysis[[#This Row],[Site Management ]:[WASH]], 5)=0, "", COUNTIF(tblSeverityAnalysis[[#This Row],[Site Management ]:[WASH]], 5))</f>
        <v/>
      </c>
      <c r="W78" s="367">
        <f>IFERROR(LARGE(tblSeverityAnalysis[[#This Row],[Site Management ]:[General Protection]],1),"")</f>
        <v>3</v>
      </c>
      <c r="X78" s="368" t="str">
        <f>IFERROR(IF(AND(tblSeverityAnalysis[[#This Row],[5]] &lt;&gt; "", tblSeverityAnalysis[[#This Row],[5]]&gt;=sectors_sev_5), "Flagged", ""), "")</f>
        <v/>
      </c>
      <c r="Y78" s="369"/>
      <c r="Z78" s="324"/>
      <c r="AA78" s="370">
        <f>COUNTIF(tblSeverityAnalysis[[#This Row],[1 sectors in severity phase 5 '[modify the threshold']]:[Manual Flag]], "Flagged")</f>
        <v>0</v>
      </c>
      <c r="AB78" s="339"/>
      <c r="AC78" s="339"/>
      <c r="AD78" s="339"/>
      <c r="AE78" s="339"/>
    </row>
    <row r="79" spans="1:31" hidden="1" x14ac:dyDescent="0.3">
      <c r="A79" s="357" t="str">
        <f>tblSeverityAnalysis[[#This Row],[Admin 2 P-Code]]</f>
        <v>SD02118</v>
      </c>
      <c r="B79" s="245" t="s">
        <v>167</v>
      </c>
      <c r="C79" s="358" t="s">
        <v>119</v>
      </c>
      <c r="D79" s="372" t="s">
        <v>205</v>
      </c>
      <c r="E79" s="246" t="s">
        <v>204</v>
      </c>
      <c r="F79" s="360"/>
      <c r="G79" s="361"/>
      <c r="H79" s="361"/>
      <c r="I79" s="361"/>
      <c r="J79" s="361"/>
      <c r="K79" s="361"/>
      <c r="L79" s="361">
        <f>_xlfn.XLOOKUP(tblSeverityAnalysis[[#This Row],[Admin 2 P-Code]],'PIN2025'!B:B,'PIN2025'!H:H,0,0)</f>
        <v>3</v>
      </c>
      <c r="M79" s="363"/>
      <c r="N79" s="361"/>
      <c r="O79" s="361"/>
      <c r="P79" s="361"/>
      <c r="Q79" s="361"/>
      <c r="R79" s="364" t="str">
        <f>IF(COUNTIF(tblSeverityAnalysis[[#This Row],[Site Management ]:[WASH]], 1)=0, "", COUNTIF(tblSeverityAnalysis[[#This Row],[Site Management ]:[WASH]], 1))</f>
        <v/>
      </c>
      <c r="S79" s="365" t="str">
        <f>IF(COUNTIF(tblSeverityAnalysis[[#This Row],[Site Management ]:[WASH]], 2)=0, "", COUNTIF(tblSeverityAnalysis[[#This Row],[Site Management ]:[WASH]], 2))</f>
        <v/>
      </c>
      <c r="T79" s="365">
        <f>IF(COUNTIF(tblSeverityAnalysis[[#This Row],[Site Management ]:[WASH]], 3)=0, "", COUNTIF(tblSeverityAnalysis[[#This Row],[Site Management ]:[WASH]], 3))</f>
        <v>1</v>
      </c>
      <c r="U79" s="365" t="str">
        <f>IF(COUNTIF(tblSeverityAnalysis[[#This Row],[Site Management ]:[WASH]], 4)=0, "", COUNTIF(tblSeverityAnalysis[[#This Row],[Site Management ]:[WASH]], 4))</f>
        <v/>
      </c>
      <c r="V79" s="366" t="str">
        <f>IF(COUNTIF(tblSeverityAnalysis[[#This Row],[Site Management ]:[WASH]], 5)=0, "", COUNTIF(tblSeverityAnalysis[[#This Row],[Site Management ]:[WASH]], 5))</f>
        <v/>
      </c>
      <c r="W79" s="367">
        <f>IFERROR(LARGE(tblSeverityAnalysis[[#This Row],[Site Management ]:[General Protection]],1),"")</f>
        <v>3</v>
      </c>
      <c r="X79" s="368" t="str">
        <f>IFERROR(IF(AND(tblSeverityAnalysis[[#This Row],[5]] &lt;&gt; "", tblSeverityAnalysis[[#This Row],[5]]&gt;=sectors_sev_5), "Flagged", ""), "")</f>
        <v/>
      </c>
      <c r="Y79" s="369"/>
      <c r="Z79" s="324"/>
      <c r="AA79" s="370">
        <f>COUNTIF(tblSeverityAnalysis[[#This Row],[1 sectors in severity phase 5 '[modify the threshold']]:[Manual Flag]], "Flagged")</f>
        <v>0</v>
      </c>
      <c r="AB79" s="339"/>
      <c r="AC79" s="339"/>
      <c r="AD79" s="339"/>
      <c r="AE79" s="339"/>
    </row>
    <row r="80" spans="1:31" hidden="1" x14ac:dyDescent="0.3">
      <c r="A80" s="357" t="str">
        <f>tblSeverityAnalysis[[#This Row],[Admin 2 P-Code]]</f>
        <v>SD02119</v>
      </c>
      <c r="B80" s="245" t="s">
        <v>167</v>
      </c>
      <c r="C80" s="358" t="s">
        <v>119</v>
      </c>
      <c r="D80" s="372" t="s">
        <v>207</v>
      </c>
      <c r="E80" s="246" t="s">
        <v>206</v>
      </c>
      <c r="F80" s="360"/>
      <c r="G80" s="361"/>
      <c r="H80" s="361"/>
      <c r="I80" s="361"/>
      <c r="J80" s="361"/>
      <c r="K80" s="361"/>
      <c r="L80" s="361">
        <f>_xlfn.XLOOKUP(tblSeverityAnalysis[[#This Row],[Admin 2 P-Code]],'PIN2025'!B:B,'PIN2025'!H:H,0,0)</f>
        <v>3</v>
      </c>
      <c r="M80" s="363"/>
      <c r="N80" s="361"/>
      <c r="O80" s="361"/>
      <c r="P80" s="361"/>
      <c r="Q80" s="361"/>
      <c r="R80" s="364" t="str">
        <f>IF(COUNTIF(tblSeverityAnalysis[[#This Row],[Site Management ]:[WASH]], 1)=0, "", COUNTIF(tblSeverityAnalysis[[#This Row],[Site Management ]:[WASH]], 1))</f>
        <v/>
      </c>
      <c r="S80" s="365" t="str">
        <f>IF(COUNTIF(tblSeverityAnalysis[[#This Row],[Site Management ]:[WASH]], 2)=0, "", COUNTIF(tblSeverityAnalysis[[#This Row],[Site Management ]:[WASH]], 2))</f>
        <v/>
      </c>
      <c r="T80" s="365">
        <f>IF(COUNTIF(tblSeverityAnalysis[[#This Row],[Site Management ]:[WASH]], 3)=0, "", COUNTIF(tblSeverityAnalysis[[#This Row],[Site Management ]:[WASH]], 3))</f>
        <v>1</v>
      </c>
      <c r="U80" s="365" t="str">
        <f>IF(COUNTIF(tblSeverityAnalysis[[#This Row],[Site Management ]:[WASH]], 4)=0, "", COUNTIF(tblSeverityAnalysis[[#This Row],[Site Management ]:[WASH]], 4))</f>
        <v/>
      </c>
      <c r="V80" s="366" t="str">
        <f>IF(COUNTIF(tblSeverityAnalysis[[#This Row],[Site Management ]:[WASH]], 5)=0, "", COUNTIF(tblSeverityAnalysis[[#This Row],[Site Management ]:[WASH]], 5))</f>
        <v/>
      </c>
      <c r="W80" s="367">
        <f>IFERROR(LARGE(tblSeverityAnalysis[[#This Row],[Site Management ]:[General Protection]],1),"")</f>
        <v>3</v>
      </c>
      <c r="X80" s="368" t="str">
        <f>IFERROR(IF(AND(tblSeverityAnalysis[[#This Row],[5]] &lt;&gt; "", tblSeverityAnalysis[[#This Row],[5]]&gt;=sectors_sev_5), "Flagged", ""), "")</f>
        <v/>
      </c>
      <c r="Y80" s="369"/>
      <c r="Z80" s="324"/>
      <c r="AA80" s="370">
        <f>COUNTIF(tblSeverityAnalysis[[#This Row],[1 sectors in severity phase 5 '[modify the threshold']]:[Manual Flag]], "Flagged")</f>
        <v>0</v>
      </c>
      <c r="AB80" s="339"/>
      <c r="AC80" s="339"/>
      <c r="AD80" s="339"/>
      <c r="AE80" s="339"/>
    </row>
    <row r="81" spans="1:31" hidden="1" x14ac:dyDescent="0.3">
      <c r="A81" s="357" t="str">
        <f>tblSeverityAnalysis[[#This Row],[Admin 2 P-Code]]</f>
        <v>SD02126</v>
      </c>
      <c r="B81" s="245" t="s">
        <v>167</v>
      </c>
      <c r="C81" s="358" t="s">
        <v>119</v>
      </c>
      <c r="D81" s="372" t="s">
        <v>213</v>
      </c>
      <c r="E81" s="246" t="s">
        <v>212</v>
      </c>
      <c r="F81" s="360"/>
      <c r="G81" s="361"/>
      <c r="H81" s="361"/>
      <c r="I81" s="361"/>
      <c r="J81" s="361"/>
      <c r="K81" s="361"/>
      <c r="L81" s="361">
        <f>_xlfn.XLOOKUP(tblSeverityAnalysis[[#This Row],[Admin 2 P-Code]],'PIN2025'!B:B,'PIN2025'!H:H,0,0)</f>
        <v>3</v>
      </c>
      <c r="M81" s="363"/>
      <c r="N81" s="361"/>
      <c r="O81" s="361"/>
      <c r="P81" s="361"/>
      <c r="Q81" s="361"/>
      <c r="R81" s="364" t="str">
        <f>IF(COUNTIF(tblSeverityAnalysis[[#This Row],[Site Management ]:[WASH]], 1)=0, "", COUNTIF(tblSeverityAnalysis[[#This Row],[Site Management ]:[WASH]], 1))</f>
        <v/>
      </c>
      <c r="S81" s="365" t="str">
        <f>IF(COUNTIF(tblSeverityAnalysis[[#This Row],[Site Management ]:[WASH]], 2)=0, "", COUNTIF(tblSeverityAnalysis[[#This Row],[Site Management ]:[WASH]], 2))</f>
        <v/>
      </c>
      <c r="T81" s="365">
        <f>IF(COUNTIF(tblSeverityAnalysis[[#This Row],[Site Management ]:[WASH]], 3)=0, "", COUNTIF(tblSeverityAnalysis[[#This Row],[Site Management ]:[WASH]], 3))</f>
        <v>1</v>
      </c>
      <c r="U81" s="365" t="str">
        <f>IF(COUNTIF(tblSeverityAnalysis[[#This Row],[Site Management ]:[WASH]], 4)=0, "", COUNTIF(tblSeverityAnalysis[[#This Row],[Site Management ]:[WASH]], 4))</f>
        <v/>
      </c>
      <c r="V81" s="366" t="str">
        <f>IF(COUNTIF(tblSeverityAnalysis[[#This Row],[Site Management ]:[WASH]], 5)=0, "", COUNTIF(tblSeverityAnalysis[[#This Row],[Site Management ]:[WASH]], 5))</f>
        <v/>
      </c>
      <c r="W81" s="367">
        <f>IFERROR(LARGE(tblSeverityAnalysis[[#This Row],[Site Management ]:[General Protection]],1),"")</f>
        <v>3</v>
      </c>
      <c r="X81" s="368" t="str">
        <f>IFERROR(IF(AND(tblSeverityAnalysis[[#This Row],[5]] &lt;&gt; "", tblSeverityAnalysis[[#This Row],[5]]&gt;=sectors_sev_5), "Flagged", ""), "")</f>
        <v/>
      </c>
      <c r="Y81" s="369"/>
      <c r="Z81" s="324"/>
      <c r="AA81" s="370">
        <f>COUNTIF(tblSeverityAnalysis[[#This Row],[1 sectors in severity phase 5 '[modify the threshold']]:[Manual Flag]], "Flagged")</f>
        <v>0</v>
      </c>
      <c r="AB81" s="339"/>
      <c r="AC81" s="339"/>
      <c r="AD81" s="339"/>
      <c r="AE81" s="339"/>
    </row>
    <row r="82" spans="1:31" hidden="1" x14ac:dyDescent="0.3">
      <c r="A82" s="357" t="str">
        <f>tblSeverityAnalysis[[#This Row],[Admin 2 P-Code]]</f>
        <v>SD02128</v>
      </c>
      <c r="B82" s="245" t="s">
        <v>167</v>
      </c>
      <c r="C82" s="358" t="s">
        <v>119</v>
      </c>
      <c r="D82" s="372" t="s">
        <v>215</v>
      </c>
      <c r="E82" s="246" t="s">
        <v>214</v>
      </c>
      <c r="F82" s="360"/>
      <c r="G82" s="361"/>
      <c r="H82" s="361"/>
      <c r="I82" s="361"/>
      <c r="J82" s="361"/>
      <c r="K82" s="361"/>
      <c r="L82" s="361">
        <f>_xlfn.XLOOKUP(tblSeverityAnalysis[[#This Row],[Admin 2 P-Code]],'PIN2025'!B:B,'PIN2025'!H:H,0,0)</f>
        <v>3</v>
      </c>
      <c r="M82" s="363"/>
      <c r="N82" s="361"/>
      <c r="O82" s="361"/>
      <c r="P82" s="361"/>
      <c r="Q82" s="361"/>
      <c r="R82" s="364" t="str">
        <f>IF(COUNTIF(tblSeverityAnalysis[[#This Row],[Site Management ]:[WASH]], 1)=0, "", COUNTIF(tblSeverityAnalysis[[#This Row],[Site Management ]:[WASH]], 1))</f>
        <v/>
      </c>
      <c r="S82" s="365" t="str">
        <f>IF(COUNTIF(tblSeverityAnalysis[[#This Row],[Site Management ]:[WASH]], 2)=0, "", COUNTIF(tblSeverityAnalysis[[#This Row],[Site Management ]:[WASH]], 2))</f>
        <v/>
      </c>
      <c r="T82" s="365">
        <f>IF(COUNTIF(tblSeverityAnalysis[[#This Row],[Site Management ]:[WASH]], 3)=0, "", COUNTIF(tblSeverityAnalysis[[#This Row],[Site Management ]:[WASH]], 3))</f>
        <v>1</v>
      </c>
      <c r="U82" s="365" t="str">
        <f>IF(COUNTIF(tblSeverityAnalysis[[#This Row],[Site Management ]:[WASH]], 4)=0, "", COUNTIF(tblSeverityAnalysis[[#This Row],[Site Management ]:[WASH]], 4))</f>
        <v/>
      </c>
      <c r="V82" s="366" t="str">
        <f>IF(COUNTIF(tblSeverityAnalysis[[#This Row],[Site Management ]:[WASH]], 5)=0, "", COUNTIF(tblSeverityAnalysis[[#This Row],[Site Management ]:[WASH]], 5))</f>
        <v/>
      </c>
      <c r="W82" s="367">
        <f>IFERROR(LARGE(tblSeverityAnalysis[[#This Row],[Site Management ]:[General Protection]],1),"")</f>
        <v>3</v>
      </c>
      <c r="X82" s="368" t="str">
        <f>IFERROR(IF(AND(tblSeverityAnalysis[[#This Row],[5]] &lt;&gt; "", tblSeverityAnalysis[[#This Row],[5]]&gt;=sectors_sev_5), "Flagged", ""), "")</f>
        <v/>
      </c>
      <c r="Y82" s="369"/>
      <c r="Z82" s="324"/>
      <c r="AA82" s="370">
        <f>COUNTIF(tblSeverityAnalysis[[#This Row],[1 sectors in severity phase 5 '[modify the threshold']]:[Manual Flag]], "Flagged")</f>
        <v>0</v>
      </c>
      <c r="AB82" s="339"/>
      <c r="AC82" s="339"/>
      <c r="AD82" s="339"/>
      <c r="AE82" s="339"/>
    </row>
    <row r="83" spans="1:31" hidden="1" x14ac:dyDescent="0.3">
      <c r="A83" s="357" t="str">
        <f>tblSeverityAnalysis[[#This Row],[Admin 2 P-Code]]</f>
        <v>SD02129</v>
      </c>
      <c r="B83" s="245" t="s">
        <v>167</v>
      </c>
      <c r="C83" s="358" t="s">
        <v>119</v>
      </c>
      <c r="D83" s="372" t="s">
        <v>217</v>
      </c>
      <c r="E83" s="246" t="s">
        <v>216</v>
      </c>
      <c r="F83" s="360"/>
      <c r="G83" s="361"/>
      <c r="H83" s="361"/>
      <c r="I83" s="361"/>
      <c r="J83" s="361"/>
      <c r="K83" s="361"/>
      <c r="L83" s="361">
        <f>_xlfn.XLOOKUP(tblSeverityAnalysis[[#This Row],[Admin 2 P-Code]],'PIN2025'!B:B,'PIN2025'!H:H,0,0)</f>
        <v>3</v>
      </c>
      <c r="M83" s="363"/>
      <c r="N83" s="361"/>
      <c r="O83" s="361"/>
      <c r="P83" s="361"/>
      <c r="Q83" s="361"/>
      <c r="R83" s="364" t="str">
        <f>IF(COUNTIF(tblSeverityAnalysis[[#This Row],[Site Management ]:[WASH]], 1)=0, "", COUNTIF(tblSeverityAnalysis[[#This Row],[Site Management ]:[WASH]], 1))</f>
        <v/>
      </c>
      <c r="S83" s="365" t="str">
        <f>IF(COUNTIF(tblSeverityAnalysis[[#This Row],[Site Management ]:[WASH]], 2)=0, "", COUNTIF(tblSeverityAnalysis[[#This Row],[Site Management ]:[WASH]], 2))</f>
        <v/>
      </c>
      <c r="T83" s="365">
        <f>IF(COUNTIF(tblSeverityAnalysis[[#This Row],[Site Management ]:[WASH]], 3)=0, "", COUNTIF(tblSeverityAnalysis[[#This Row],[Site Management ]:[WASH]], 3))</f>
        <v>1</v>
      </c>
      <c r="U83" s="365" t="str">
        <f>IF(COUNTIF(tblSeverityAnalysis[[#This Row],[Site Management ]:[WASH]], 4)=0, "", COUNTIF(tblSeverityAnalysis[[#This Row],[Site Management ]:[WASH]], 4))</f>
        <v/>
      </c>
      <c r="V83" s="366" t="str">
        <f>IF(COUNTIF(tblSeverityAnalysis[[#This Row],[Site Management ]:[WASH]], 5)=0, "", COUNTIF(tblSeverityAnalysis[[#This Row],[Site Management ]:[WASH]], 5))</f>
        <v/>
      </c>
      <c r="W83" s="367">
        <f>IFERROR(LARGE(tblSeverityAnalysis[[#This Row],[Site Management ]:[General Protection]],1),"")</f>
        <v>3</v>
      </c>
      <c r="X83" s="368" t="str">
        <f>IFERROR(IF(AND(tblSeverityAnalysis[[#This Row],[5]] &lt;&gt; "", tblSeverityAnalysis[[#This Row],[5]]&gt;=sectors_sev_5), "Flagged", ""), "")</f>
        <v/>
      </c>
      <c r="Y83" s="369"/>
      <c r="Z83" s="324"/>
      <c r="AA83" s="370">
        <f>COUNTIF(tblSeverityAnalysis[[#This Row],[1 sectors in severity phase 5 '[modify the threshold']]:[Manual Flag]], "Flagged")</f>
        <v>0</v>
      </c>
      <c r="AB83" s="339"/>
      <c r="AC83" s="339"/>
      <c r="AD83" s="339"/>
      <c r="AE83" s="339"/>
    </row>
    <row r="84" spans="1:31" hidden="1" x14ac:dyDescent="0.3">
      <c r="A84" s="357" t="str">
        <f>tblSeverityAnalysis[[#This Row],[Admin 2 P-Code]]</f>
        <v>SD02133</v>
      </c>
      <c r="B84" s="245" t="s">
        <v>167</v>
      </c>
      <c r="C84" s="358" t="s">
        <v>119</v>
      </c>
      <c r="D84" s="372" t="s">
        <v>219</v>
      </c>
      <c r="E84" s="246" t="s">
        <v>218</v>
      </c>
      <c r="F84" s="360"/>
      <c r="G84" s="361"/>
      <c r="H84" s="361"/>
      <c r="I84" s="361"/>
      <c r="J84" s="361"/>
      <c r="K84" s="361"/>
      <c r="L84" s="361">
        <f>_xlfn.XLOOKUP(tblSeverityAnalysis[[#This Row],[Admin 2 P-Code]],'PIN2025'!B:B,'PIN2025'!H:H,0,0)</f>
        <v>3</v>
      </c>
      <c r="M84" s="363"/>
      <c r="N84" s="361"/>
      <c r="O84" s="361"/>
      <c r="P84" s="361"/>
      <c r="Q84" s="361"/>
      <c r="R84" s="364" t="str">
        <f>IF(COUNTIF(tblSeverityAnalysis[[#This Row],[Site Management ]:[WASH]], 1)=0, "", COUNTIF(tblSeverityAnalysis[[#This Row],[Site Management ]:[WASH]], 1))</f>
        <v/>
      </c>
      <c r="S84" s="365" t="str">
        <f>IF(COUNTIF(tblSeverityAnalysis[[#This Row],[Site Management ]:[WASH]], 2)=0, "", COUNTIF(tblSeverityAnalysis[[#This Row],[Site Management ]:[WASH]], 2))</f>
        <v/>
      </c>
      <c r="T84" s="365">
        <f>IF(COUNTIF(tblSeverityAnalysis[[#This Row],[Site Management ]:[WASH]], 3)=0, "", COUNTIF(tblSeverityAnalysis[[#This Row],[Site Management ]:[WASH]], 3))</f>
        <v>1</v>
      </c>
      <c r="U84" s="365" t="str">
        <f>IF(COUNTIF(tblSeverityAnalysis[[#This Row],[Site Management ]:[WASH]], 4)=0, "", COUNTIF(tblSeverityAnalysis[[#This Row],[Site Management ]:[WASH]], 4))</f>
        <v/>
      </c>
      <c r="V84" s="366" t="str">
        <f>IF(COUNTIF(tblSeverityAnalysis[[#This Row],[Site Management ]:[WASH]], 5)=0, "", COUNTIF(tblSeverityAnalysis[[#This Row],[Site Management ]:[WASH]], 5))</f>
        <v/>
      </c>
      <c r="W84" s="367">
        <f>IFERROR(LARGE(tblSeverityAnalysis[[#This Row],[Site Management ]:[General Protection]],1),"")</f>
        <v>3</v>
      </c>
      <c r="X84" s="368" t="str">
        <f>IFERROR(IF(AND(tblSeverityAnalysis[[#This Row],[5]] &lt;&gt; "", tblSeverityAnalysis[[#This Row],[5]]&gt;=sectors_sev_5), "Flagged", ""), "")</f>
        <v/>
      </c>
      <c r="Y84" s="369"/>
      <c r="Z84" s="324"/>
      <c r="AA84" s="370">
        <f>COUNTIF(tblSeverityAnalysis[[#This Row],[1 sectors in severity phase 5 '[modify the threshold']]:[Manual Flag]], "Flagged")</f>
        <v>0</v>
      </c>
      <c r="AB84" s="339"/>
      <c r="AC84" s="339"/>
      <c r="AD84" s="339"/>
      <c r="AE84" s="339"/>
    </row>
    <row r="85" spans="1:31" hidden="1" x14ac:dyDescent="0.3">
      <c r="A85" s="357" t="str">
        <f>tblSeverityAnalysis[[#This Row],[Admin 2 P-Code]]</f>
        <v>SD02136</v>
      </c>
      <c r="B85" s="245" t="s">
        <v>167</v>
      </c>
      <c r="C85" s="358" t="s">
        <v>119</v>
      </c>
      <c r="D85" s="372" t="s">
        <v>221</v>
      </c>
      <c r="E85" s="246" t="s">
        <v>220</v>
      </c>
      <c r="F85" s="360"/>
      <c r="G85" s="361"/>
      <c r="H85" s="361"/>
      <c r="I85" s="361"/>
      <c r="J85" s="361"/>
      <c r="K85" s="361"/>
      <c r="L85" s="361">
        <f>_xlfn.XLOOKUP(tblSeverityAnalysis[[#This Row],[Admin 2 P-Code]],'PIN2025'!B:B,'PIN2025'!H:H,0,0)</f>
        <v>3</v>
      </c>
      <c r="M85" s="363"/>
      <c r="N85" s="361"/>
      <c r="O85" s="361"/>
      <c r="P85" s="361"/>
      <c r="Q85" s="361"/>
      <c r="R85" s="364" t="str">
        <f>IF(COUNTIF(tblSeverityAnalysis[[#This Row],[Site Management ]:[WASH]], 1)=0, "", COUNTIF(tblSeverityAnalysis[[#This Row],[Site Management ]:[WASH]], 1))</f>
        <v/>
      </c>
      <c r="S85" s="365" t="str">
        <f>IF(COUNTIF(tblSeverityAnalysis[[#This Row],[Site Management ]:[WASH]], 2)=0, "", COUNTIF(tblSeverityAnalysis[[#This Row],[Site Management ]:[WASH]], 2))</f>
        <v/>
      </c>
      <c r="T85" s="365">
        <f>IF(COUNTIF(tblSeverityAnalysis[[#This Row],[Site Management ]:[WASH]], 3)=0, "", COUNTIF(tblSeverityAnalysis[[#This Row],[Site Management ]:[WASH]], 3))</f>
        <v>1</v>
      </c>
      <c r="U85" s="365" t="str">
        <f>IF(COUNTIF(tblSeverityAnalysis[[#This Row],[Site Management ]:[WASH]], 4)=0, "", COUNTIF(tblSeverityAnalysis[[#This Row],[Site Management ]:[WASH]], 4))</f>
        <v/>
      </c>
      <c r="V85" s="366" t="str">
        <f>IF(COUNTIF(tblSeverityAnalysis[[#This Row],[Site Management ]:[WASH]], 5)=0, "", COUNTIF(tblSeverityAnalysis[[#This Row],[Site Management ]:[WASH]], 5))</f>
        <v/>
      </c>
      <c r="W85" s="367">
        <f>IFERROR(LARGE(tblSeverityAnalysis[[#This Row],[Site Management ]:[General Protection]],1),"")</f>
        <v>3</v>
      </c>
      <c r="X85" s="368" t="str">
        <f>IFERROR(IF(AND(tblSeverityAnalysis[[#This Row],[5]] &lt;&gt; "", tblSeverityAnalysis[[#This Row],[5]]&gt;=sectors_sev_5), "Flagged", ""), "")</f>
        <v/>
      </c>
      <c r="Y85" s="369"/>
      <c r="Z85" s="324"/>
      <c r="AA85" s="370">
        <f>COUNTIF(tblSeverityAnalysis[[#This Row],[1 sectors in severity phase 5 '[modify the threshold']]:[Manual Flag]], "Flagged")</f>
        <v>0</v>
      </c>
      <c r="AB85" s="339"/>
      <c r="AC85" s="339"/>
      <c r="AD85" s="339"/>
      <c r="AE85" s="339"/>
    </row>
    <row r="86" spans="1:31" hidden="1" x14ac:dyDescent="0.3">
      <c r="A86" s="357" t="str">
        <f>tblSeverityAnalysis[[#This Row],[Admin 2 P-Code]]</f>
        <v>SD02168</v>
      </c>
      <c r="B86" s="245" t="s">
        <v>167</v>
      </c>
      <c r="C86" s="358" t="s">
        <v>119</v>
      </c>
      <c r="D86" s="372" t="s">
        <v>223</v>
      </c>
      <c r="E86" s="246" t="s">
        <v>222</v>
      </c>
      <c r="F86" s="360"/>
      <c r="G86" s="361"/>
      <c r="H86" s="361"/>
      <c r="I86" s="361"/>
      <c r="J86" s="361"/>
      <c r="K86" s="361"/>
      <c r="L86" s="361">
        <f>_xlfn.XLOOKUP(tblSeverityAnalysis[[#This Row],[Admin 2 P-Code]],'PIN2025'!B:B,'PIN2025'!H:H,0,0)</f>
        <v>3</v>
      </c>
      <c r="M86" s="363"/>
      <c r="N86" s="361"/>
      <c r="O86" s="361"/>
      <c r="P86" s="361"/>
      <c r="Q86" s="361"/>
      <c r="R86" s="364" t="str">
        <f>IF(COUNTIF(tblSeverityAnalysis[[#This Row],[Site Management ]:[WASH]], 1)=0, "", COUNTIF(tblSeverityAnalysis[[#This Row],[Site Management ]:[WASH]], 1))</f>
        <v/>
      </c>
      <c r="S86" s="365" t="str">
        <f>IF(COUNTIF(tblSeverityAnalysis[[#This Row],[Site Management ]:[WASH]], 2)=0, "", COUNTIF(tblSeverityAnalysis[[#This Row],[Site Management ]:[WASH]], 2))</f>
        <v/>
      </c>
      <c r="T86" s="365">
        <f>IF(COUNTIF(tblSeverityAnalysis[[#This Row],[Site Management ]:[WASH]], 3)=0, "", COUNTIF(tblSeverityAnalysis[[#This Row],[Site Management ]:[WASH]], 3))</f>
        <v>1</v>
      </c>
      <c r="U86" s="365" t="str">
        <f>IF(COUNTIF(tblSeverityAnalysis[[#This Row],[Site Management ]:[WASH]], 4)=0, "", COUNTIF(tblSeverityAnalysis[[#This Row],[Site Management ]:[WASH]], 4))</f>
        <v/>
      </c>
      <c r="V86" s="366" t="str">
        <f>IF(COUNTIF(tblSeverityAnalysis[[#This Row],[Site Management ]:[WASH]], 5)=0, "", COUNTIF(tblSeverityAnalysis[[#This Row],[Site Management ]:[WASH]], 5))</f>
        <v/>
      </c>
      <c r="W86" s="367">
        <f>IFERROR(LARGE(tblSeverityAnalysis[[#This Row],[Site Management ]:[General Protection]],1),"")</f>
        <v>3</v>
      </c>
      <c r="X86" s="368" t="str">
        <f>IFERROR(IF(AND(tblSeverityAnalysis[[#This Row],[5]] &lt;&gt; "", tblSeverityAnalysis[[#This Row],[5]]&gt;=sectors_sev_5), "Flagged", ""), "")</f>
        <v/>
      </c>
      <c r="Y86" s="369"/>
      <c r="Z86" s="324"/>
      <c r="AA86" s="370">
        <f>COUNTIF(tblSeverityAnalysis[[#This Row],[1 sectors in severity phase 5 '[modify the threshold']]:[Manual Flag]], "Flagged")</f>
        <v>0</v>
      </c>
      <c r="AB86" s="339"/>
      <c r="AC86" s="339"/>
      <c r="AD86" s="339"/>
      <c r="AE86" s="339"/>
    </row>
    <row r="87" spans="1:31" hidden="1" x14ac:dyDescent="0.3">
      <c r="A87" s="357" t="str">
        <f>tblSeverityAnalysis[[#This Row],[Admin 2 P-Code]]</f>
        <v>SD02169</v>
      </c>
      <c r="B87" s="245" t="s">
        <v>167</v>
      </c>
      <c r="C87" s="358" t="s">
        <v>119</v>
      </c>
      <c r="D87" s="372" t="s">
        <v>225</v>
      </c>
      <c r="E87" s="246" t="s">
        <v>224</v>
      </c>
      <c r="F87" s="360"/>
      <c r="G87" s="361"/>
      <c r="H87" s="361"/>
      <c r="I87" s="361"/>
      <c r="J87" s="361"/>
      <c r="K87" s="361"/>
      <c r="L87" s="361">
        <f>_xlfn.XLOOKUP(tblSeverityAnalysis[[#This Row],[Admin 2 P-Code]],'PIN2025'!B:B,'PIN2025'!H:H,0,0)</f>
        <v>3</v>
      </c>
      <c r="M87" s="363"/>
      <c r="N87" s="361"/>
      <c r="O87" s="361"/>
      <c r="P87" s="361"/>
      <c r="Q87" s="361"/>
      <c r="R87" s="364" t="str">
        <f>IF(COUNTIF(tblSeverityAnalysis[[#This Row],[Site Management ]:[WASH]], 1)=0, "", COUNTIF(tblSeverityAnalysis[[#This Row],[Site Management ]:[WASH]], 1))</f>
        <v/>
      </c>
      <c r="S87" s="365" t="str">
        <f>IF(COUNTIF(tblSeverityAnalysis[[#This Row],[Site Management ]:[WASH]], 2)=0, "", COUNTIF(tblSeverityAnalysis[[#This Row],[Site Management ]:[WASH]], 2))</f>
        <v/>
      </c>
      <c r="T87" s="365">
        <f>IF(COUNTIF(tblSeverityAnalysis[[#This Row],[Site Management ]:[WASH]], 3)=0, "", COUNTIF(tblSeverityAnalysis[[#This Row],[Site Management ]:[WASH]], 3))</f>
        <v>1</v>
      </c>
      <c r="U87" s="365" t="str">
        <f>IF(COUNTIF(tblSeverityAnalysis[[#This Row],[Site Management ]:[WASH]], 4)=0, "", COUNTIF(tblSeverityAnalysis[[#This Row],[Site Management ]:[WASH]], 4))</f>
        <v/>
      </c>
      <c r="V87" s="366" t="str">
        <f>IF(COUNTIF(tblSeverityAnalysis[[#This Row],[Site Management ]:[WASH]], 5)=0, "", COUNTIF(tblSeverityAnalysis[[#This Row],[Site Management ]:[WASH]], 5))</f>
        <v/>
      </c>
      <c r="W87" s="367">
        <f>IFERROR(LARGE(tblSeverityAnalysis[[#This Row],[Site Management ]:[General Protection]],1),"")</f>
        <v>3</v>
      </c>
      <c r="X87" s="368" t="str">
        <f>IFERROR(IF(AND(tblSeverityAnalysis[[#This Row],[5]] &lt;&gt; "", tblSeverityAnalysis[[#This Row],[5]]&gt;=sectors_sev_5), "Flagged", ""), "")</f>
        <v/>
      </c>
      <c r="Y87" s="369"/>
      <c r="Z87" s="324"/>
      <c r="AA87" s="370">
        <f>COUNTIF(tblSeverityAnalysis[[#This Row],[1 sectors in severity phase 5 '[modify the threshold']]:[Manual Flag]], "Flagged")</f>
        <v>0</v>
      </c>
      <c r="AB87" s="339"/>
      <c r="AC87" s="339"/>
      <c r="AD87" s="339"/>
      <c r="AE87" s="339"/>
    </row>
    <row r="88" spans="1:31" hidden="1" x14ac:dyDescent="0.3">
      <c r="A88" s="357" t="str">
        <f>tblSeverityAnalysis[[#This Row],[Admin 2 P-Code]]</f>
        <v>SD02171</v>
      </c>
      <c r="B88" s="245" t="s">
        <v>167</v>
      </c>
      <c r="C88" s="358" t="s">
        <v>119</v>
      </c>
      <c r="D88" s="372" t="s">
        <v>229</v>
      </c>
      <c r="E88" s="246" t="s">
        <v>228</v>
      </c>
      <c r="F88" s="360"/>
      <c r="G88" s="361"/>
      <c r="H88" s="361"/>
      <c r="I88" s="361"/>
      <c r="J88" s="361"/>
      <c r="K88" s="361"/>
      <c r="L88" s="361">
        <f>_xlfn.XLOOKUP(tblSeverityAnalysis[[#This Row],[Admin 2 P-Code]],'PIN2025'!B:B,'PIN2025'!H:H,0,0)</f>
        <v>3</v>
      </c>
      <c r="M88" s="363"/>
      <c r="N88" s="361"/>
      <c r="O88" s="361"/>
      <c r="P88" s="361"/>
      <c r="Q88" s="361"/>
      <c r="R88" s="364" t="str">
        <f>IF(COUNTIF(tblSeverityAnalysis[[#This Row],[Site Management ]:[WASH]], 1)=0, "", COUNTIF(tblSeverityAnalysis[[#This Row],[Site Management ]:[WASH]], 1))</f>
        <v/>
      </c>
      <c r="S88" s="365" t="str">
        <f>IF(COUNTIF(tblSeverityAnalysis[[#This Row],[Site Management ]:[WASH]], 2)=0, "", COUNTIF(tblSeverityAnalysis[[#This Row],[Site Management ]:[WASH]], 2))</f>
        <v/>
      </c>
      <c r="T88" s="365">
        <f>IF(COUNTIF(tblSeverityAnalysis[[#This Row],[Site Management ]:[WASH]], 3)=0, "", COUNTIF(tblSeverityAnalysis[[#This Row],[Site Management ]:[WASH]], 3))</f>
        <v>1</v>
      </c>
      <c r="U88" s="365" t="str">
        <f>IF(COUNTIF(tblSeverityAnalysis[[#This Row],[Site Management ]:[WASH]], 4)=0, "", COUNTIF(tblSeverityAnalysis[[#This Row],[Site Management ]:[WASH]], 4))</f>
        <v/>
      </c>
      <c r="V88" s="366" t="str">
        <f>IF(COUNTIF(tblSeverityAnalysis[[#This Row],[Site Management ]:[WASH]], 5)=0, "", COUNTIF(tblSeverityAnalysis[[#This Row],[Site Management ]:[WASH]], 5))</f>
        <v/>
      </c>
      <c r="W88" s="367">
        <f>IFERROR(LARGE(tblSeverityAnalysis[[#This Row],[Site Management ]:[General Protection]],1),"")</f>
        <v>3</v>
      </c>
      <c r="X88" s="368" t="str">
        <f>IFERROR(IF(AND(tblSeverityAnalysis[[#This Row],[5]] &lt;&gt; "", tblSeverityAnalysis[[#This Row],[5]]&gt;=sectors_sev_5), "Flagged", ""), "")</f>
        <v/>
      </c>
      <c r="Y88" s="369"/>
      <c r="Z88" s="324"/>
      <c r="AA88" s="370">
        <f>COUNTIF(tblSeverityAnalysis[[#This Row],[1 sectors in severity phase 5 '[modify the threshold']]:[Manual Flag]], "Flagged")</f>
        <v>0</v>
      </c>
      <c r="AB88" s="339"/>
      <c r="AC88" s="339"/>
      <c r="AD88" s="339"/>
      <c r="AE88" s="339"/>
    </row>
    <row r="89" spans="1:31" hidden="1" x14ac:dyDescent="0.3">
      <c r="A89" s="357" t="str">
        <f>tblSeverityAnalysis[[#This Row],[Admin 2 P-Code]]</f>
        <v>SD13023</v>
      </c>
      <c r="B89" s="245" t="s">
        <v>170</v>
      </c>
      <c r="C89" s="358" t="s">
        <v>130</v>
      </c>
      <c r="D89" s="372" t="s">
        <v>468</v>
      </c>
      <c r="E89" s="246" t="s">
        <v>469</v>
      </c>
      <c r="F89" s="360"/>
      <c r="G89" s="361"/>
      <c r="H89" s="361"/>
      <c r="I89" s="361"/>
      <c r="J89" s="361"/>
      <c r="K89" s="361"/>
      <c r="L89" s="361">
        <f>_xlfn.XLOOKUP(tblSeverityAnalysis[[#This Row],[Admin 2 P-Code]],'PIN2025'!B:B,'PIN2025'!H:H,0,0)</f>
        <v>3</v>
      </c>
      <c r="M89" s="363"/>
      <c r="N89" s="361"/>
      <c r="O89" s="361"/>
      <c r="P89" s="361"/>
      <c r="Q89" s="361"/>
      <c r="R89" s="364" t="str">
        <f>IF(COUNTIF(tblSeverityAnalysis[[#This Row],[Site Management ]:[WASH]], 1)=0, "", COUNTIF(tblSeverityAnalysis[[#This Row],[Site Management ]:[WASH]], 1))</f>
        <v/>
      </c>
      <c r="S89" s="365" t="str">
        <f>IF(COUNTIF(tblSeverityAnalysis[[#This Row],[Site Management ]:[WASH]], 2)=0, "", COUNTIF(tblSeverityAnalysis[[#This Row],[Site Management ]:[WASH]], 2))</f>
        <v/>
      </c>
      <c r="T89" s="365">
        <f>IF(COUNTIF(tblSeverityAnalysis[[#This Row],[Site Management ]:[WASH]], 3)=0, "", COUNTIF(tblSeverityAnalysis[[#This Row],[Site Management ]:[WASH]], 3))</f>
        <v>1</v>
      </c>
      <c r="U89" s="365" t="str">
        <f>IF(COUNTIF(tblSeverityAnalysis[[#This Row],[Site Management ]:[WASH]], 4)=0, "", COUNTIF(tblSeverityAnalysis[[#This Row],[Site Management ]:[WASH]], 4))</f>
        <v/>
      </c>
      <c r="V89" s="366" t="str">
        <f>IF(COUNTIF(tblSeverityAnalysis[[#This Row],[Site Management ]:[WASH]], 5)=0, "", COUNTIF(tblSeverityAnalysis[[#This Row],[Site Management ]:[WASH]], 5))</f>
        <v/>
      </c>
      <c r="W89" s="367">
        <f>IFERROR(LARGE(tblSeverityAnalysis[[#This Row],[Site Management ]:[General Protection]],1),"")</f>
        <v>3</v>
      </c>
      <c r="X89" s="368" t="str">
        <f>IFERROR(IF(AND(tblSeverityAnalysis[[#This Row],[5]] &lt;&gt; "", tblSeverityAnalysis[[#This Row],[5]]&gt;=sectors_sev_5), "Flagged", ""), "")</f>
        <v/>
      </c>
      <c r="Y89" s="369"/>
      <c r="Z89" s="324"/>
      <c r="AA89" s="370">
        <f>COUNTIF(tblSeverityAnalysis[[#This Row],[1 sectors in severity phase 5 '[modify the threshold']]:[Manual Flag]], "Flagged")</f>
        <v>0</v>
      </c>
      <c r="AB89" s="339"/>
      <c r="AC89" s="339"/>
      <c r="AD89" s="339"/>
      <c r="AE89" s="339"/>
    </row>
    <row r="90" spans="1:31" hidden="1" x14ac:dyDescent="0.3">
      <c r="A90" s="357" t="str">
        <f>tblSeverityAnalysis[[#This Row],[Admin 2 P-Code]]</f>
        <v>SD13024</v>
      </c>
      <c r="B90" s="245" t="s">
        <v>170</v>
      </c>
      <c r="C90" s="358" t="s">
        <v>130</v>
      </c>
      <c r="D90" s="372" t="s">
        <v>470</v>
      </c>
      <c r="E90" s="246" t="s">
        <v>471</v>
      </c>
      <c r="F90" s="360"/>
      <c r="G90" s="361"/>
      <c r="H90" s="361"/>
      <c r="I90" s="361"/>
      <c r="J90" s="361"/>
      <c r="K90" s="361"/>
      <c r="L90" s="361">
        <f>_xlfn.XLOOKUP(tblSeverityAnalysis[[#This Row],[Admin 2 P-Code]],'PIN2025'!B:B,'PIN2025'!H:H,0,0)</f>
        <v>3</v>
      </c>
      <c r="M90" s="363"/>
      <c r="N90" s="361"/>
      <c r="O90" s="361"/>
      <c r="P90" s="361"/>
      <c r="Q90" s="361"/>
      <c r="R90" s="364" t="str">
        <f>IF(COUNTIF(tblSeverityAnalysis[[#This Row],[Site Management ]:[WASH]], 1)=0, "", COUNTIF(tblSeverityAnalysis[[#This Row],[Site Management ]:[WASH]], 1))</f>
        <v/>
      </c>
      <c r="S90" s="365" t="str">
        <f>IF(COUNTIF(tblSeverityAnalysis[[#This Row],[Site Management ]:[WASH]], 2)=0, "", COUNTIF(tblSeverityAnalysis[[#This Row],[Site Management ]:[WASH]], 2))</f>
        <v/>
      </c>
      <c r="T90" s="365">
        <f>IF(COUNTIF(tblSeverityAnalysis[[#This Row],[Site Management ]:[WASH]], 3)=0, "", COUNTIF(tblSeverityAnalysis[[#This Row],[Site Management ]:[WASH]], 3))</f>
        <v>1</v>
      </c>
      <c r="U90" s="365" t="str">
        <f>IF(COUNTIF(tblSeverityAnalysis[[#This Row],[Site Management ]:[WASH]], 4)=0, "", COUNTIF(tblSeverityAnalysis[[#This Row],[Site Management ]:[WASH]], 4))</f>
        <v/>
      </c>
      <c r="V90" s="366" t="str">
        <f>IF(COUNTIF(tblSeverityAnalysis[[#This Row],[Site Management ]:[WASH]], 5)=0, "", COUNTIF(tblSeverityAnalysis[[#This Row],[Site Management ]:[WASH]], 5))</f>
        <v/>
      </c>
      <c r="W90" s="367">
        <f>IFERROR(LARGE(tblSeverityAnalysis[[#This Row],[Site Management ]:[General Protection]],1),"")</f>
        <v>3</v>
      </c>
      <c r="X90" s="368" t="str">
        <f>IFERROR(IF(AND(tblSeverityAnalysis[[#This Row],[5]] &lt;&gt; "", tblSeverityAnalysis[[#This Row],[5]]&gt;=sectors_sev_5), "Flagged", ""), "")</f>
        <v/>
      </c>
      <c r="Y90" s="369"/>
      <c r="Z90" s="324"/>
      <c r="AA90" s="370">
        <f>COUNTIF(tblSeverityAnalysis[[#This Row],[1 sectors in severity phase 5 '[modify the threshold']]:[Manual Flag]], "Flagged")</f>
        <v>0</v>
      </c>
      <c r="AB90" s="339"/>
      <c r="AC90" s="339"/>
      <c r="AD90" s="339"/>
      <c r="AE90" s="339"/>
    </row>
    <row r="91" spans="1:31" hidden="1" x14ac:dyDescent="0.3">
      <c r="A91" s="357" t="str">
        <f>tblSeverityAnalysis[[#This Row],[Admin 2 P-Code]]</f>
        <v>SD13025</v>
      </c>
      <c r="B91" s="245" t="s">
        <v>170</v>
      </c>
      <c r="C91" s="358" t="s">
        <v>130</v>
      </c>
      <c r="D91" s="372" t="s">
        <v>472</v>
      </c>
      <c r="E91" s="246" t="s">
        <v>473</v>
      </c>
      <c r="F91" s="360"/>
      <c r="G91" s="361"/>
      <c r="H91" s="361"/>
      <c r="I91" s="361"/>
      <c r="J91" s="361"/>
      <c r="K91" s="361"/>
      <c r="L91" s="361">
        <f>_xlfn.XLOOKUP(tblSeverityAnalysis[[#This Row],[Admin 2 P-Code]],'PIN2025'!B:B,'PIN2025'!H:H,0,0)</f>
        <v>3</v>
      </c>
      <c r="M91" s="363"/>
      <c r="N91" s="361"/>
      <c r="O91" s="361"/>
      <c r="P91" s="361"/>
      <c r="Q91" s="361"/>
      <c r="R91" s="364" t="str">
        <f>IF(COUNTIF(tblSeverityAnalysis[[#This Row],[Site Management ]:[WASH]], 1)=0, "", COUNTIF(tblSeverityAnalysis[[#This Row],[Site Management ]:[WASH]], 1))</f>
        <v/>
      </c>
      <c r="S91" s="365" t="str">
        <f>IF(COUNTIF(tblSeverityAnalysis[[#This Row],[Site Management ]:[WASH]], 2)=0, "", COUNTIF(tblSeverityAnalysis[[#This Row],[Site Management ]:[WASH]], 2))</f>
        <v/>
      </c>
      <c r="T91" s="365">
        <f>IF(COUNTIF(tblSeverityAnalysis[[#This Row],[Site Management ]:[WASH]], 3)=0, "", COUNTIF(tblSeverityAnalysis[[#This Row],[Site Management ]:[WASH]], 3))</f>
        <v>1</v>
      </c>
      <c r="U91" s="365" t="str">
        <f>IF(COUNTIF(tblSeverityAnalysis[[#This Row],[Site Management ]:[WASH]], 4)=0, "", COUNTIF(tblSeverityAnalysis[[#This Row],[Site Management ]:[WASH]], 4))</f>
        <v/>
      </c>
      <c r="V91" s="366" t="str">
        <f>IF(COUNTIF(tblSeverityAnalysis[[#This Row],[Site Management ]:[WASH]], 5)=0, "", COUNTIF(tblSeverityAnalysis[[#This Row],[Site Management ]:[WASH]], 5))</f>
        <v/>
      </c>
      <c r="W91" s="367">
        <f>IFERROR(LARGE(tblSeverityAnalysis[[#This Row],[Site Management ]:[General Protection]],1),"")</f>
        <v>3</v>
      </c>
      <c r="X91" s="368" t="str">
        <f>IFERROR(IF(AND(tblSeverityAnalysis[[#This Row],[5]] &lt;&gt; "", tblSeverityAnalysis[[#This Row],[5]]&gt;=sectors_sev_5), "Flagged", ""), "")</f>
        <v/>
      </c>
      <c r="Y91" s="369"/>
      <c r="Z91" s="324"/>
      <c r="AA91" s="370">
        <f>COUNTIF(tblSeverityAnalysis[[#This Row],[1 sectors in severity phase 5 '[modify the threshold']]:[Manual Flag]], "Flagged")</f>
        <v>0</v>
      </c>
      <c r="AB91" s="339"/>
      <c r="AC91" s="339"/>
      <c r="AD91" s="339"/>
      <c r="AE91" s="339"/>
    </row>
    <row r="92" spans="1:31" hidden="1" x14ac:dyDescent="0.3">
      <c r="A92" s="357" t="str">
        <f>tblSeverityAnalysis[[#This Row],[Admin 2 P-Code]]</f>
        <v>SD13026</v>
      </c>
      <c r="B92" s="245" t="s">
        <v>170</v>
      </c>
      <c r="C92" s="358" t="s">
        <v>130</v>
      </c>
      <c r="D92" s="372" t="s">
        <v>474</v>
      </c>
      <c r="E92" s="246" t="s">
        <v>475</v>
      </c>
      <c r="F92" s="360"/>
      <c r="G92" s="361"/>
      <c r="H92" s="361"/>
      <c r="I92" s="361"/>
      <c r="J92" s="361"/>
      <c r="K92" s="361"/>
      <c r="L92" s="361">
        <f>_xlfn.XLOOKUP(tblSeverityAnalysis[[#This Row],[Admin 2 P-Code]],'PIN2025'!B:B,'PIN2025'!H:H,0,0)</f>
        <v>3</v>
      </c>
      <c r="M92" s="363"/>
      <c r="N92" s="361"/>
      <c r="O92" s="361"/>
      <c r="P92" s="361"/>
      <c r="Q92" s="361"/>
      <c r="R92" s="364" t="str">
        <f>IF(COUNTIF(tblSeverityAnalysis[[#This Row],[Site Management ]:[WASH]], 1)=0, "", COUNTIF(tblSeverityAnalysis[[#This Row],[Site Management ]:[WASH]], 1))</f>
        <v/>
      </c>
      <c r="S92" s="365" t="str">
        <f>IF(COUNTIF(tblSeverityAnalysis[[#This Row],[Site Management ]:[WASH]], 2)=0, "", COUNTIF(tblSeverityAnalysis[[#This Row],[Site Management ]:[WASH]], 2))</f>
        <v/>
      </c>
      <c r="T92" s="365">
        <f>IF(COUNTIF(tblSeverityAnalysis[[#This Row],[Site Management ]:[WASH]], 3)=0, "", COUNTIF(tblSeverityAnalysis[[#This Row],[Site Management ]:[WASH]], 3))</f>
        <v>1</v>
      </c>
      <c r="U92" s="365" t="str">
        <f>IF(COUNTIF(tblSeverityAnalysis[[#This Row],[Site Management ]:[WASH]], 4)=0, "", COUNTIF(tblSeverityAnalysis[[#This Row],[Site Management ]:[WASH]], 4))</f>
        <v/>
      </c>
      <c r="V92" s="366" t="str">
        <f>IF(COUNTIF(tblSeverityAnalysis[[#This Row],[Site Management ]:[WASH]], 5)=0, "", COUNTIF(tblSeverityAnalysis[[#This Row],[Site Management ]:[WASH]], 5))</f>
        <v/>
      </c>
      <c r="W92" s="367">
        <f>IFERROR(LARGE(tblSeverityAnalysis[[#This Row],[Site Management ]:[General Protection]],1),"")</f>
        <v>3</v>
      </c>
      <c r="X92" s="368" t="str">
        <f>IFERROR(IF(AND(tblSeverityAnalysis[[#This Row],[5]] &lt;&gt; "", tblSeverityAnalysis[[#This Row],[5]]&gt;=sectors_sev_5), "Flagged", ""), "")</f>
        <v/>
      </c>
      <c r="Y92" s="369"/>
      <c r="Z92" s="324"/>
      <c r="AA92" s="370">
        <f>COUNTIF(tblSeverityAnalysis[[#This Row],[1 sectors in severity phase 5 '[modify the threshold']]:[Manual Flag]], "Flagged")</f>
        <v>0</v>
      </c>
      <c r="AB92" s="339"/>
      <c r="AC92" s="339"/>
      <c r="AD92" s="339"/>
      <c r="AE92" s="339"/>
    </row>
    <row r="93" spans="1:31" hidden="1" x14ac:dyDescent="0.3">
      <c r="A93" s="357" t="str">
        <f>tblSeverityAnalysis[[#This Row],[Admin 2 P-Code]]</f>
        <v>SD13027</v>
      </c>
      <c r="B93" s="245" t="s">
        <v>170</v>
      </c>
      <c r="C93" s="358" t="s">
        <v>130</v>
      </c>
      <c r="D93" s="372" t="s">
        <v>476</v>
      </c>
      <c r="E93" s="246" t="s">
        <v>477</v>
      </c>
      <c r="F93" s="360"/>
      <c r="G93" s="361"/>
      <c r="H93" s="361"/>
      <c r="I93" s="361"/>
      <c r="J93" s="361"/>
      <c r="K93" s="361"/>
      <c r="L93" s="361">
        <f>_xlfn.XLOOKUP(tblSeverityAnalysis[[#This Row],[Admin 2 P-Code]],'PIN2025'!B:B,'PIN2025'!H:H,0,0)</f>
        <v>3</v>
      </c>
      <c r="M93" s="363"/>
      <c r="N93" s="361"/>
      <c r="O93" s="361"/>
      <c r="P93" s="361"/>
      <c r="Q93" s="361"/>
      <c r="R93" s="364" t="str">
        <f>IF(COUNTIF(tblSeverityAnalysis[[#This Row],[Site Management ]:[WASH]], 1)=0, "", COUNTIF(tblSeverityAnalysis[[#This Row],[Site Management ]:[WASH]], 1))</f>
        <v/>
      </c>
      <c r="S93" s="365" t="str">
        <f>IF(COUNTIF(tblSeverityAnalysis[[#This Row],[Site Management ]:[WASH]], 2)=0, "", COUNTIF(tblSeverityAnalysis[[#This Row],[Site Management ]:[WASH]], 2))</f>
        <v/>
      </c>
      <c r="T93" s="365">
        <f>IF(COUNTIF(tblSeverityAnalysis[[#This Row],[Site Management ]:[WASH]], 3)=0, "", COUNTIF(tblSeverityAnalysis[[#This Row],[Site Management ]:[WASH]], 3))</f>
        <v>1</v>
      </c>
      <c r="U93" s="365" t="str">
        <f>IF(COUNTIF(tblSeverityAnalysis[[#This Row],[Site Management ]:[WASH]], 4)=0, "", COUNTIF(tblSeverityAnalysis[[#This Row],[Site Management ]:[WASH]], 4))</f>
        <v/>
      </c>
      <c r="V93" s="366" t="str">
        <f>IF(COUNTIF(tblSeverityAnalysis[[#This Row],[Site Management ]:[WASH]], 5)=0, "", COUNTIF(tblSeverityAnalysis[[#This Row],[Site Management ]:[WASH]], 5))</f>
        <v/>
      </c>
      <c r="W93" s="367">
        <f>IFERROR(LARGE(tblSeverityAnalysis[[#This Row],[Site Management ]:[General Protection]],1),"")</f>
        <v>3</v>
      </c>
      <c r="X93" s="368" t="str">
        <f>IFERROR(IF(AND(tblSeverityAnalysis[[#This Row],[5]] &lt;&gt; "", tblSeverityAnalysis[[#This Row],[5]]&gt;=sectors_sev_5), "Flagged", ""), "")</f>
        <v/>
      </c>
      <c r="Y93" s="369"/>
      <c r="Z93" s="324"/>
      <c r="AA93" s="370">
        <f>COUNTIF(tblSeverityAnalysis[[#This Row],[1 sectors in severity phase 5 '[modify the threshold']]:[Manual Flag]], "Flagged")</f>
        <v>0</v>
      </c>
      <c r="AB93" s="339"/>
      <c r="AC93" s="339"/>
      <c r="AD93" s="339"/>
      <c r="AE93" s="339"/>
    </row>
    <row r="94" spans="1:31" hidden="1" x14ac:dyDescent="0.3">
      <c r="A94" s="357" t="str">
        <f>tblSeverityAnalysis[[#This Row],[Admin 2 P-Code]]</f>
        <v>SD13028</v>
      </c>
      <c r="B94" s="245" t="s">
        <v>170</v>
      </c>
      <c r="C94" s="358" t="s">
        <v>130</v>
      </c>
      <c r="D94" s="372" t="s">
        <v>478</v>
      </c>
      <c r="E94" s="246" t="s">
        <v>479</v>
      </c>
      <c r="F94" s="360"/>
      <c r="G94" s="361"/>
      <c r="H94" s="361"/>
      <c r="I94" s="361"/>
      <c r="J94" s="361"/>
      <c r="K94" s="361"/>
      <c r="L94" s="361">
        <f>_xlfn.XLOOKUP(tblSeverityAnalysis[[#This Row],[Admin 2 P-Code]],'PIN2025'!B:B,'PIN2025'!H:H,0,0)</f>
        <v>3</v>
      </c>
      <c r="M94" s="363"/>
      <c r="N94" s="361"/>
      <c r="O94" s="361"/>
      <c r="P94" s="361"/>
      <c r="Q94" s="361"/>
      <c r="R94" s="364" t="str">
        <f>IF(COUNTIF(tblSeverityAnalysis[[#This Row],[Site Management ]:[WASH]], 1)=0, "", COUNTIF(tblSeverityAnalysis[[#This Row],[Site Management ]:[WASH]], 1))</f>
        <v/>
      </c>
      <c r="S94" s="365" t="str">
        <f>IF(COUNTIF(tblSeverityAnalysis[[#This Row],[Site Management ]:[WASH]], 2)=0, "", COUNTIF(tblSeverityAnalysis[[#This Row],[Site Management ]:[WASH]], 2))</f>
        <v/>
      </c>
      <c r="T94" s="365">
        <f>IF(COUNTIF(tblSeverityAnalysis[[#This Row],[Site Management ]:[WASH]], 3)=0, "", COUNTIF(tblSeverityAnalysis[[#This Row],[Site Management ]:[WASH]], 3))</f>
        <v>1</v>
      </c>
      <c r="U94" s="365" t="str">
        <f>IF(COUNTIF(tblSeverityAnalysis[[#This Row],[Site Management ]:[WASH]], 4)=0, "", COUNTIF(tblSeverityAnalysis[[#This Row],[Site Management ]:[WASH]], 4))</f>
        <v/>
      </c>
      <c r="V94" s="366" t="str">
        <f>IF(COUNTIF(tblSeverityAnalysis[[#This Row],[Site Management ]:[WASH]], 5)=0, "", COUNTIF(tblSeverityAnalysis[[#This Row],[Site Management ]:[WASH]], 5))</f>
        <v/>
      </c>
      <c r="W94" s="367">
        <f>IFERROR(LARGE(tblSeverityAnalysis[[#This Row],[Site Management ]:[General Protection]],1),"")</f>
        <v>3</v>
      </c>
      <c r="X94" s="368" t="str">
        <f>IFERROR(IF(AND(tblSeverityAnalysis[[#This Row],[5]] &lt;&gt; "", tblSeverityAnalysis[[#This Row],[5]]&gt;=sectors_sev_5), "Flagged", ""), "")</f>
        <v/>
      </c>
      <c r="Y94" s="369"/>
      <c r="Z94" s="324"/>
      <c r="AA94" s="370">
        <f>COUNTIF(tblSeverityAnalysis[[#This Row],[1 sectors in severity phase 5 '[modify the threshold']]:[Manual Flag]], "Flagged")</f>
        <v>0</v>
      </c>
      <c r="AB94" s="339"/>
      <c r="AC94" s="339"/>
      <c r="AD94" s="339"/>
      <c r="AE94" s="339"/>
    </row>
    <row r="95" spans="1:31" hidden="1" x14ac:dyDescent="0.3">
      <c r="A95" s="357" t="str">
        <f>tblSeverityAnalysis[[#This Row],[Admin 2 P-Code]]</f>
        <v>SD13029</v>
      </c>
      <c r="B95" s="245" t="s">
        <v>170</v>
      </c>
      <c r="C95" s="358" t="s">
        <v>130</v>
      </c>
      <c r="D95" s="372" t="s">
        <v>480</v>
      </c>
      <c r="E95" s="246" t="s">
        <v>481</v>
      </c>
      <c r="F95" s="360"/>
      <c r="G95" s="361"/>
      <c r="H95" s="361"/>
      <c r="I95" s="361"/>
      <c r="J95" s="361"/>
      <c r="K95" s="361"/>
      <c r="L95" s="361">
        <f>_xlfn.XLOOKUP(tblSeverityAnalysis[[#This Row],[Admin 2 P-Code]],'PIN2025'!B:B,'PIN2025'!H:H,0,0)</f>
        <v>3</v>
      </c>
      <c r="M95" s="363"/>
      <c r="N95" s="361"/>
      <c r="O95" s="361"/>
      <c r="P95" s="361"/>
      <c r="Q95" s="361"/>
      <c r="R95" s="364" t="str">
        <f>IF(COUNTIF(tblSeverityAnalysis[[#This Row],[Site Management ]:[WASH]], 1)=0, "", COUNTIF(tblSeverityAnalysis[[#This Row],[Site Management ]:[WASH]], 1))</f>
        <v/>
      </c>
      <c r="S95" s="365" t="str">
        <f>IF(COUNTIF(tblSeverityAnalysis[[#This Row],[Site Management ]:[WASH]], 2)=0, "", COUNTIF(tblSeverityAnalysis[[#This Row],[Site Management ]:[WASH]], 2))</f>
        <v/>
      </c>
      <c r="T95" s="365">
        <f>IF(COUNTIF(tblSeverityAnalysis[[#This Row],[Site Management ]:[WASH]], 3)=0, "", COUNTIF(tblSeverityAnalysis[[#This Row],[Site Management ]:[WASH]], 3))</f>
        <v>1</v>
      </c>
      <c r="U95" s="365" t="str">
        <f>IF(COUNTIF(tblSeverityAnalysis[[#This Row],[Site Management ]:[WASH]], 4)=0, "", COUNTIF(tblSeverityAnalysis[[#This Row],[Site Management ]:[WASH]], 4))</f>
        <v/>
      </c>
      <c r="V95" s="366" t="str">
        <f>IF(COUNTIF(tblSeverityAnalysis[[#This Row],[Site Management ]:[WASH]], 5)=0, "", COUNTIF(tblSeverityAnalysis[[#This Row],[Site Management ]:[WASH]], 5))</f>
        <v/>
      </c>
      <c r="W95" s="367">
        <f>IFERROR(LARGE(tblSeverityAnalysis[[#This Row],[Site Management ]:[General Protection]],1),"")</f>
        <v>3</v>
      </c>
      <c r="X95" s="368" t="str">
        <f>IFERROR(IF(AND(tblSeverityAnalysis[[#This Row],[5]] &lt;&gt; "", tblSeverityAnalysis[[#This Row],[5]]&gt;=sectors_sev_5), "Flagged", ""), "")</f>
        <v/>
      </c>
      <c r="Y95" s="369"/>
      <c r="Z95" s="324"/>
      <c r="AA95" s="370">
        <f>COUNTIF(tblSeverityAnalysis[[#This Row],[1 sectors in severity phase 5 '[modify the threshold']]:[Manual Flag]], "Flagged")</f>
        <v>0</v>
      </c>
      <c r="AB95" s="339"/>
      <c r="AC95" s="339"/>
      <c r="AD95" s="339"/>
      <c r="AE95" s="339"/>
    </row>
    <row r="96" spans="1:31" hidden="1" x14ac:dyDescent="0.3">
      <c r="A96" s="357" t="str">
        <f>tblSeverityAnalysis[[#This Row],[Admin 2 P-Code]]</f>
        <v>SD13030</v>
      </c>
      <c r="B96" s="245" t="s">
        <v>170</v>
      </c>
      <c r="C96" s="358" t="s">
        <v>130</v>
      </c>
      <c r="D96" s="372" t="s">
        <v>466</v>
      </c>
      <c r="E96" s="246" t="s">
        <v>482</v>
      </c>
      <c r="F96" s="360"/>
      <c r="G96" s="361"/>
      <c r="H96" s="361"/>
      <c r="I96" s="361"/>
      <c r="J96" s="361"/>
      <c r="K96" s="361"/>
      <c r="L96" s="361">
        <f>_xlfn.XLOOKUP(tblSeverityAnalysis[[#This Row],[Admin 2 P-Code]],'PIN2025'!B:B,'PIN2025'!H:H,0,0)</f>
        <v>3</v>
      </c>
      <c r="M96" s="363"/>
      <c r="N96" s="361"/>
      <c r="O96" s="361"/>
      <c r="P96" s="361"/>
      <c r="Q96" s="361"/>
      <c r="R96" s="364" t="str">
        <f>IF(COUNTIF(tblSeverityAnalysis[[#This Row],[Site Management ]:[WASH]], 1)=0, "", COUNTIF(tblSeverityAnalysis[[#This Row],[Site Management ]:[WASH]], 1))</f>
        <v/>
      </c>
      <c r="S96" s="365" t="str">
        <f>IF(COUNTIF(tblSeverityAnalysis[[#This Row],[Site Management ]:[WASH]], 2)=0, "", COUNTIF(tblSeverityAnalysis[[#This Row],[Site Management ]:[WASH]], 2))</f>
        <v/>
      </c>
      <c r="T96" s="365">
        <f>IF(COUNTIF(tblSeverityAnalysis[[#This Row],[Site Management ]:[WASH]], 3)=0, "", COUNTIF(tblSeverityAnalysis[[#This Row],[Site Management ]:[WASH]], 3))</f>
        <v>1</v>
      </c>
      <c r="U96" s="365" t="str">
        <f>IF(COUNTIF(tblSeverityAnalysis[[#This Row],[Site Management ]:[WASH]], 4)=0, "", COUNTIF(tblSeverityAnalysis[[#This Row],[Site Management ]:[WASH]], 4))</f>
        <v/>
      </c>
      <c r="V96" s="366" t="str">
        <f>IF(COUNTIF(tblSeverityAnalysis[[#This Row],[Site Management ]:[WASH]], 5)=0, "", COUNTIF(tblSeverityAnalysis[[#This Row],[Site Management ]:[WASH]], 5))</f>
        <v/>
      </c>
      <c r="W96" s="367">
        <f>IFERROR(LARGE(tblSeverityAnalysis[[#This Row],[Site Management ]:[General Protection]],1),"")</f>
        <v>3</v>
      </c>
      <c r="X96" s="368" t="str">
        <f>IFERROR(IF(AND(tblSeverityAnalysis[[#This Row],[5]] &lt;&gt; "", tblSeverityAnalysis[[#This Row],[5]]&gt;=sectors_sev_5), "Flagged", ""), "")</f>
        <v/>
      </c>
      <c r="Y96" s="369"/>
      <c r="Z96" s="324"/>
      <c r="AA96" s="370">
        <f>COUNTIF(tblSeverityAnalysis[[#This Row],[1 sectors in severity phase 5 '[modify the threshold']]:[Manual Flag]], "Flagged")</f>
        <v>0</v>
      </c>
      <c r="AB96" s="339"/>
      <c r="AC96" s="339"/>
      <c r="AD96" s="339"/>
      <c r="AE96" s="339"/>
    </row>
    <row r="97" spans="1:31" hidden="1" x14ac:dyDescent="0.3">
      <c r="A97" s="357" t="str">
        <f>tblSeverityAnalysis[[#This Row],[Admin 2 P-Code]]</f>
        <v>SD17014</v>
      </c>
      <c r="B97" s="245" t="s">
        <v>173</v>
      </c>
      <c r="C97" s="358" t="s">
        <v>134</v>
      </c>
      <c r="D97" s="372" t="s">
        <v>526</v>
      </c>
      <c r="E97" s="246" t="s">
        <v>527</v>
      </c>
      <c r="F97" s="360"/>
      <c r="G97" s="361"/>
      <c r="H97" s="361"/>
      <c r="I97" s="361"/>
      <c r="J97" s="361"/>
      <c r="K97" s="361"/>
      <c r="L97" s="361">
        <f>_xlfn.XLOOKUP(tblSeverityAnalysis[[#This Row],[Admin 2 P-Code]],'PIN2025'!B:B,'PIN2025'!H:H,0,0)</f>
        <v>3</v>
      </c>
      <c r="M97" s="363"/>
      <c r="N97" s="361"/>
      <c r="O97" s="361"/>
      <c r="P97" s="361"/>
      <c r="Q97" s="361"/>
      <c r="R97" s="364" t="str">
        <f>IF(COUNTIF(tblSeverityAnalysis[[#This Row],[Site Management ]:[WASH]], 1)=0, "", COUNTIF(tblSeverityAnalysis[[#This Row],[Site Management ]:[WASH]], 1))</f>
        <v/>
      </c>
      <c r="S97" s="365" t="str">
        <f>IF(COUNTIF(tblSeverityAnalysis[[#This Row],[Site Management ]:[WASH]], 2)=0, "", COUNTIF(tblSeverityAnalysis[[#This Row],[Site Management ]:[WASH]], 2))</f>
        <v/>
      </c>
      <c r="T97" s="365">
        <f>IF(COUNTIF(tblSeverityAnalysis[[#This Row],[Site Management ]:[WASH]], 3)=0, "", COUNTIF(tblSeverityAnalysis[[#This Row],[Site Management ]:[WASH]], 3))</f>
        <v>1</v>
      </c>
      <c r="U97" s="365" t="str">
        <f>IF(COUNTIF(tblSeverityAnalysis[[#This Row],[Site Management ]:[WASH]], 4)=0, "", COUNTIF(tblSeverityAnalysis[[#This Row],[Site Management ]:[WASH]], 4))</f>
        <v/>
      </c>
      <c r="V97" s="366" t="str">
        <f>IF(COUNTIF(tblSeverityAnalysis[[#This Row],[Site Management ]:[WASH]], 5)=0, "", COUNTIF(tblSeverityAnalysis[[#This Row],[Site Management ]:[WASH]], 5))</f>
        <v/>
      </c>
      <c r="W97" s="367">
        <f>IFERROR(LARGE(tblSeverityAnalysis[[#This Row],[Site Management ]:[General Protection]],1),"")</f>
        <v>3</v>
      </c>
      <c r="X97" s="368" t="str">
        <f>IFERROR(IF(AND(tblSeverityAnalysis[[#This Row],[5]] &lt;&gt; "", tblSeverityAnalysis[[#This Row],[5]]&gt;=sectors_sev_5), "Flagged", ""), "")</f>
        <v/>
      </c>
      <c r="Y97" s="369"/>
      <c r="Z97" s="324"/>
      <c r="AA97" s="370">
        <f>COUNTIF(tblSeverityAnalysis[[#This Row],[1 sectors in severity phase 5 '[modify the threshold']]:[Manual Flag]], "Flagged")</f>
        <v>0</v>
      </c>
      <c r="AB97" s="339"/>
      <c r="AC97" s="339"/>
      <c r="AD97" s="339"/>
      <c r="AE97" s="339"/>
    </row>
    <row r="98" spans="1:31" hidden="1" x14ac:dyDescent="0.3">
      <c r="A98" s="357" t="str">
        <f>tblSeverityAnalysis[[#This Row],[Admin 2 P-Code]]</f>
        <v>SD17015</v>
      </c>
      <c r="B98" s="245" t="s">
        <v>173</v>
      </c>
      <c r="C98" s="358" t="s">
        <v>134</v>
      </c>
      <c r="D98" s="372" t="s">
        <v>528</v>
      </c>
      <c r="E98" s="246" t="s">
        <v>529</v>
      </c>
      <c r="F98" s="360"/>
      <c r="G98" s="361"/>
      <c r="H98" s="361"/>
      <c r="I98" s="361"/>
      <c r="J98" s="361"/>
      <c r="K98" s="361"/>
      <c r="L98" s="361">
        <f>_xlfn.XLOOKUP(tblSeverityAnalysis[[#This Row],[Admin 2 P-Code]],'PIN2025'!B:B,'PIN2025'!H:H,0,0)</f>
        <v>3</v>
      </c>
      <c r="M98" s="363"/>
      <c r="N98" s="361"/>
      <c r="O98" s="361"/>
      <c r="P98" s="361"/>
      <c r="Q98" s="361"/>
      <c r="R98" s="364" t="str">
        <f>IF(COUNTIF(tblSeverityAnalysis[[#This Row],[Site Management ]:[WASH]], 1)=0, "", COUNTIF(tblSeverityAnalysis[[#This Row],[Site Management ]:[WASH]], 1))</f>
        <v/>
      </c>
      <c r="S98" s="365" t="str">
        <f>IF(COUNTIF(tblSeverityAnalysis[[#This Row],[Site Management ]:[WASH]], 2)=0, "", COUNTIF(tblSeverityAnalysis[[#This Row],[Site Management ]:[WASH]], 2))</f>
        <v/>
      </c>
      <c r="T98" s="365">
        <f>IF(COUNTIF(tblSeverityAnalysis[[#This Row],[Site Management ]:[WASH]], 3)=0, "", COUNTIF(tblSeverityAnalysis[[#This Row],[Site Management ]:[WASH]], 3))</f>
        <v>1</v>
      </c>
      <c r="U98" s="365" t="str">
        <f>IF(COUNTIF(tblSeverityAnalysis[[#This Row],[Site Management ]:[WASH]], 4)=0, "", COUNTIF(tblSeverityAnalysis[[#This Row],[Site Management ]:[WASH]], 4))</f>
        <v/>
      </c>
      <c r="V98" s="366" t="str">
        <f>IF(COUNTIF(tblSeverityAnalysis[[#This Row],[Site Management ]:[WASH]], 5)=0, "", COUNTIF(tblSeverityAnalysis[[#This Row],[Site Management ]:[WASH]], 5))</f>
        <v/>
      </c>
      <c r="W98" s="367">
        <f>IFERROR(LARGE(tblSeverityAnalysis[[#This Row],[Site Management ]:[General Protection]],1),"")</f>
        <v>3</v>
      </c>
      <c r="X98" s="368" t="str">
        <f>IFERROR(IF(AND(tblSeverityAnalysis[[#This Row],[5]] &lt;&gt; "", tblSeverityAnalysis[[#This Row],[5]]&gt;=sectors_sev_5), "Flagged", ""), "")</f>
        <v/>
      </c>
      <c r="Y98" s="369"/>
      <c r="Z98" s="324"/>
      <c r="AA98" s="370">
        <f>COUNTIF(tblSeverityAnalysis[[#This Row],[1 sectors in severity phase 5 '[modify the threshold']]:[Manual Flag]], "Flagged")</f>
        <v>0</v>
      </c>
      <c r="AB98" s="339"/>
      <c r="AC98" s="339"/>
      <c r="AD98" s="339"/>
      <c r="AE98" s="339"/>
    </row>
    <row r="99" spans="1:31" hidden="1" x14ac:dyDescent="0.3">
      <c r="A99" s="357" t="str">
        <f>tblSeverityAnalysis[[#This Row],[Admin 2 P-Code]]</f>
        <v>SD17016</v>
      </c>
      <c r="B99" s="245" t="s">
        <v>173</v>
      </c>
      <c r="C99" s="358" t="s">
        <v>134</v>
      </c>
      <c r="D99" s="372" t="s">
        <v>530</v>
      </c>
      <c r="E99" s="246" t="s">
        <v>531</v>
      </c>
      <c r="F99" s="360"/>
      <c r="G99" s="361"/>
      <c r="H99" s="361"/>
      <c r="I99" s="361"/>
      <c r="J99" s="361"/>
      <c r="K99" s="361"/>
      <c r="L99" s="361">
        <f>_xlfn.XLOOKUP(tblSeverityAnalysis[[#This Row],[Admin 2 P-Code]],'PIN2025'!B:B,'PIN2025'!H:H,0,0)</f>
        <v>3</v>
      </c>
      <c r="M99" s="363"/>
      <c r="N99" s="361"/>
      <c r="O99" s="361"/>
      <c r="P99" s="361"/>
      <c r="Q99" s="361"/>
      <c r="R99" s="364" t="str">
        <f>IF(COUNTIF(tblSeverityAnalysis[[#This Row],[Site Management ]:[WASH]], 1)=0, "", COUNTIF(tblSeverityAnalysis[[#This Row],[Site Management ]:[WASH]], 1))</f>
        <v/>
      </c>
      <c r="S99" s="365" t="str">
        <f>IF(COUNTIF(tblSeverityAnalysis[[#This Row],[Site Management ]:[WASH]], 2)=0, "", COUNTIF(tblSeverityAnalysis[[#This Row],[Site Management ]:[WASH]], 2))</f>
        <v/>
      </c>
      <c r="T99" s="365">
        <f>IF(COUNTIF(tblSeverityAnalysis[[#This Row],[Site Management ]:[WASH]], 3)=0, "", COUNTIF(tblSeverityAnalysis[[#This Row],[Site Management ]:[WASH]], 3))</f>
        <v>1</v>
      </c>
      <c r="U99" s="365" t="str">
        <f>IF(COUNTIF(tblSeverityAnalysis[[#This Row],[Site Management ]:[WASH]], 4)=0, "", COUNTIF(tblSeverityAnalysis[[#This Row],[Site Management ]:[WASH]], 4))</f>
        <v/>
      </c>
      <c r="V99" s="366" t="str">
        <f>IF(COUNTIF(tblSeverityAnalysis[[#This Row],[Site Management ]:[WASH]], 5)=0, "", COUNTIF(tblSeverityAnalysis[[#This Row],[Site Management ]:[WASH]], 5))</f>
        <v/>
      </c>
      <c r="W99" s="367">
        <f>IFERROR(LARGE(tblSeverityAnalysis[[#This Row],[Site Management ]:[General Protection]],1),"")</f>
        <v>3</v>
      </c>
      <c r="X99" s="368" t="str">
        <f>IFERROR(IF(AND(tblSeverityAnalysis[[#This Row],[5]] &lt;&gt; "", tblSeverityAnalysis[[#This Row],[5]]&gt;=sectors_sev_5), "Flagged", ""), "")</f>
        <v/>
      </c>
      <c r="Y99" s="369"/>
      <c r="Z99" s="324"/>
      <c r="AA99" s="370">
        <f>COUNTIF(tblSeverityAnalysis[[#This Row],[1 sectors in severity phase 5 '[modify the threshold']]:[Manual Flag]], "Flagged")</f>
        <v>0</v>
      </c>
      <c r="AB99" s="339"/>
      <c r="AC99" s="339"/>
      <c r="AD99" s="339"/>
      <c r="AE99" s="339"/>
    </row>
    <row r="100" spans="1:31" hidden="1" x14ac:dyDescent="0.3">
      <c r="A100" s="357" t="str">
        <f>tblSeverityAnalysis[[#This Row],[Admin 2 P-Code]]</f>
        <v>SD17017</v>
      </c>
      <c r="B100" s="245" t="s">
        <v>173</v>
      </c>
      <c r="C100" s="358" t="s">
        <v>134</v>
      </c>
      <c r="D100" s="372" t="s">
        <v>532</v>
      </c>
      <c r="E100" s="246" t="s">
        <v>533</v>
      </c>
      <c r="F100" s="360"/>
      <c r="G100" s="361"/>
      <c r="H100" s="361"/>
      <c r="I100" s="361"/>
      <c r="J100" s="361"/>
      <c r="K100" s="361"/>
      <c r="L100" s="361">
        <f>_xlfn.XLOOKUP(tblSeverityAnalysis[[#This Row],[Admin 2 P-Code]],'PIN2025'!B:B,'PIN2025'!H:H,0,0)</f>
        <v>3</v>
      </c>
      <c r="M100" s="363"/>
      <c r="N100" s="361"/>
      <c r="O100" s="361"/>
      <c r="P100" s="361"/>
      <c r="Q100" s="361"/>
      <c r="R100" s="364" t="str">
        <f>IF(COUNTIF(tblSeverityAnalysis[[#This Row],[Site Management ]:[WASH]], 1)=0, "", COUNTIF(tblSeverityAnalysis[[#This Row],[Site Management ]:[WASH]], 1))</f>
        <v/>
      </c>
      <c r="S100" s="365" t="str">
        <f>IF(COUNTIF(tblSeverityAnalysis[[#This Row],[Site Management ]:[WASH]], 2)=0, "", COUNTIF(tblSeverityAnalysis[[#This Row],[Site Management ]:[WASH]], 2))</f>
        <v/>
      </c>
      <c r="T100" s="365">
        <f>IF(COUNTIF(tblSeverityAnalysis[[#This Row],[Site Management ]:[WASH]], 3)=0, "", COUNTIF(tblSeverityAnalysis[[#This Row],[Site Management ]:[WASH]], 3))</f>
        <v>1</v>
      </c>
      <c r="U100" s="365" t="str">
        <f>IF(COUNTIF(tblSeverityAnalysis[[#This Row],[Site Management ]:[WASH]], 4)=0, "", COUNTIF(tblSeverityAnalysis[[#This Row],[Site Management ]:[WASH]], 4))</f>
        <v/>
      </c>
      <c r="V100" s="366" t="str">
        <f>IF(COUNTIF(tblSeverityAnalysis[[#This Row],[Site Management ]:[WASH]], 5)=0, "", COUNTIF(tblSeverityAnalysis[[#This Row],[Site Management ]:[WASH]], 5))</f>
        <v/>
      </c>
      <c r="W100" s="367">
        <f>IFERROR(LARGE(tblSeverityAnalysis[[#This Row],[Site Management ]:[General Protection]],1),"")</f>
        <v>3</v>
      </c>
      <c r="X100" s="368" t="str">
        <f>IFERROR(IF(AND(tblSeverityAnalysis[[#This Row],[5]] &lt;&gt; "", tblSeverityAnalysis[[#This Row],[5]]&gt;=sectors_sev_5), "Flagged", ""), "")</f>
        <v/>
      </c>
      <c r="Y100" s="369"/>
      <c r="Z100" s="324"/>
      <c r="AA100" s="370">
        <f>COUNTIF(tblSeverityAnalysis[[#This Row],[1 sectors in severity phase 5 '[modify the threshold']]:[Manual Flag]], "Flagged")</f>
        <v>0</v>
      </c>
      <c r="AB100" s="339"/>
      <c r="AC100" s="339"/>
      <c r="AD100" s="339"/>
      <c r="AE100" s="339"/>
    </row>
    <row r="101" spans="1:31" hidden="1" x14ac:dyDescent="0.3">
      <c r="A101" s="357" t="str">
        <f>tblSeverityAnalysis[[#This Row],[Admin 2 P-Code]]</f>
        <v>SD17018</v>
      </c>
      <c r="B101" s="245" t="s">
        <v>173</v>
      </c>
      <c r="C101" s="358" t="s">
        <v>134</v>
      </c>
      <c r="D101" s="372" t="s">
        <v>534</v>
      </c>
      <c r="E101" s="246" t="s">
        <v>535</v>
      </c>
      <c r="F101" s="360"/>
      <c r="G101" s="361"/>
      <c r="H101" s="361"/>
      <c r="I101" s="361"/>
      <c r="J101" s="361"/>
      <c r="K101" s="361"/>
      <c r="L101" s="361">
        <f>_xlfn.XLOOKUP(tblSeverityAnalysis[[#This Row],[Admin 2 P-Code]],'PIN2025'!B:B,'PIN2025'!H:H,0,0)</f>
        <v>3</v>
      </c>
      <c r="M101" s="363"/>
      <c r="N101" s="361"/>
      <c r="O101" s="361"/>
      <c r="P101" s="361"/>
      <c r="Q101" s="361"/>
      <c r="R101" s="364" t="str">
        <f>IF(COUNTIF(tblSeverityAnalysis[[#This Row],[Site Management ]:[WASH]], 1)=0, "", COUNTIF(tblSeverityAnalysis[[#This Row],[Site Management ]:[WASH]], 1))</f>
        <v/>
      </c>
      <c r="S101" s="365" t="str">
        <f>IF(COUNTIF(tblSeverityAnalysis[[#This Row],[Site Management ]:[WASH]], 2)=0, "", COUNTIF(tblSeverityAnalysis[[#This Row],[Site Management ]:[WASH]], 2))</f>
        <v/>
      </c>
      <c r="T101" s="365">
        <f>IF(COUNTIF(tblSeverityAnalysis[[#This Row],[Site Management ]:[WASH]], 3)=0, "", COUNTIF(tblSeverityAnalysis[[#This Row],[Site Management ]:[WASH]], 3))</f>
        <v>1</v>
      </c>
      <c r="U101" s="365" t="str">
        <f>IF(COUNTIF(tblSeverityAnalysis[[#This Row],[Site Management ]:[WASH]], 4)=0, "", COUNTIF(tblSeverityAnalysis[[#This Row],[Site Management ]:[WASH]], 4))</f>
        <v/>
      </c>
      <c r="V101" s="366" t="str">
        <f>IF(COUNTIF(tblSeverityAnalysis[[#This Row],[Site Management ]:[WASH]], 5)=0, "", COUNTIF(tblSeverityAnalysis[[#This Row],[Site Management ]:[WASH]], 5))</f>
        <v/>
      </c>
      <c r="W101" s="367">
        <f>IFERROR(LARGE(tblSeverityAnalysis[[#This Row],[Site Management ]:[General Protection]],1),"")</f>
        <v>3</v>
      </c>
      <c r="X101" s="368" t="str">
        <f>IFERROR(IF(AND(tblSeverityAnalysis[[#This Row],[5]] &lt;&gt; "", tblSeverityAnalysis[[#This Row],[5]]&gt;=sectors_sev_5), "Flagged", ""), "")</f>
        <v/>
      </c>
      <c r="Y101" s="369"/>
      <c r="Z101" s="324"/>
      <c r="AA101" s="370">
        <f>COUNTIF(tblSeverityAnalysis[[#This Row],[1 sectors in severity phase 5 '[modify the threshold']]:[Manual Flag]], "Flagged")</f>
        <v>0</v>
      </c>
      <c r="AB101" s="339"/>
      <c r="AC101" s="339"/>
      <c r="AD101" s="339"/>
      <c r="AE101" s="339"/>
    </row>
    <row r="102" spans="1:31" hidden="1" x14ac:dyDescent="0.3">
      <c r="A102" s="357" t="str">
        <f>tblSeverityAnalysis[[#This Row],[Admin 2 P-Code]]</f>
        <v>SD17019</v>
      </c>
      <c r="B102" s="245" t="s">
        <v>173</v>
      </c>
      <c r="C102" s="358" t="s">
        <v>134</v>
      </c>
      <c r="D102" s="372" t="s">
        <v>536</v>
      </c>
      <c r="E102" s="246" t="s">
        <v>537</v>
      </c>
      <c r="F102" s="360"/>
      <c r="G102" s="361"/>
      <c r="H102" s="361"/>
      <c r="I102" s="361"/>
      <c r="J102" s="361"/>
      <c r="K102" s="361"/>
      <c r="L102" s="361">
        <f>_xlfn.XLOOKUP(tblSeverityAnalysis[[#This Row],[Admin 2 P-Code]],'PIN2025'!B:B,'PIN2025'!H:H,0,0)</f>
        <v>3</v>
      </c>
      <c r="M102" s="363"/>
      <c r="N102" s="361"/>
      <c r="O102" s="361"/>
      <c r="P102" s="361"/>
      <c r="Q102" s="361"/>
      <c r="R102" s="364" t="str">
        <f>IF(COUNTIF(tblSeverityAnalysis[[#This Row],[Site Management ]:[WASH]], 1)=0, "", COUNTIF(tblSeverityAnalysis[[#This Row],[Site Management ]:[WASH]], 1))</f>
        <v/>
      </c>
      <c r="S102" s="365" t="str">
        <f>IF(COUNTIF(tblSeverityAnalysis[[#This Row],[Site Management ]:[WASH]], 2)=0, "", COUNTIF(tblSeverityAnalysis[[#This Row],[Site Management ]:[WASH]], 2))</f>
        <v/>
      </c>
      <c r="T102" s="365">
        <f>IF(COUNTIF(tblSeverityAnalysis[[#This Row],[Site Management ]:[WASH]], 3)=0, "", COUNTIF(tblSeverityAnalysis[[#This Row],[Site Management ]:[WASH]], 3))</f>
        <v>1</v>
      </c>
      <c r="U102" s="365" t="str">
        <f>IF(COUNTIF(tblSeverityAnalysis[[#This Row],[Site Management ]:[WASH]], 4)=0, "", COUNTIF(tblSeverityAnalysis[[#This Row],[Site Management ]:[WASH]], 4))</f>
        <v/>
      </c>
      <c r="V102" s="366" t="str">
        <f>IF(COUNTIF(tblSeverityAnalysis[[#This Row],[Site Management ]:[WASH]], 5)=0, "", COUNTIF(tblSeverityAnalysis[[#This Row],[Site Management ]:[WASH]], 5))</f>
        <v/>
      </c>
      <c r="W102" s="367">
        <f>IFERROR(LARGE(tblSeverityAnalysis[[#This Row],[Site Management ]:[General Protection]],1),"")</f>
        <v>3</v>
      </c>
      <c r="X102" s="368" t="str">
        <f>IFERROR(IF(AND(tblSeverityAnalysis[[#This Row],[5]] &lt;&gt; "", tblSeverityAnalysis[[#This Row],[5]]&gt;=sectors_sev_5), "Flagged", ""), "")</f>
        <v/>
      </c>
      <c r="Y102" s="369"/>
      <c r="Z102" s="324"/>
      <c r="AA102" s="370">
        <f>COUNTIF(tblSeverityAnalysis[[#This Row],[1 sectors in severity phase 5 '[modify the threshold']]:[Manual Flag]], "Flagged")</f>
        <v>0</v>
      </c>
      <c r="AB102" s="339"/>
      <c r="AC102" s="339"/>
      <c r="AD102" s="339"/>
      <c r="AE102" s="339"/>
    </row>
    <row r="103" spans="1:31" hidden="1" x14ac:dyDescent="0.3">
      <c r="A103" s="357" t="str">
        <f>tblSeverityAnalysis[[#This Row],[Admin 2 P-Code]]</f>
        <v>SD17020</v>
      </c>
      <c r="B103" s="245" t="s">
        <v>173</v>
      </c>
      <c r="C103" s="358" t="s">
        <v>134</v>
      </c>
      <c r="D103" s="372" t="s">
        <v>538</v>
      </c>
      <c r="E103" s="246" t="s">
        <v>539</v>
      </c>
      <c r="F103" s="360"/>
      <c r="G103" s="361"/>
      <c r="H103" s="361"/>
      <c r="I103" s="361"/>
      <c r="J103" s="361"/>
      <c r="K103" s="361"/>
      <c r="L103" s="361">
        <f>_xlfn.XLOOKUP(tblSeverityAnalysis[[#This Row],[Admin 2 P-Code]],'PIN2025'!B:B,'PIN2025'!H:H,0,0)</f>
        <v>3</v>
      </c>
      <c r="M103" s="363"/>
      <c r="N103" s="361"/>
      <c r="O103" s="361"/>
      <c r="P103" s="361"/>
      <c r="Q103" s="361"/>
      <c r="R103" s="364" t="str">
        <f>IF(COUNTIF(tblSeverityAnalysis[[#This Row],[Site Management ]:[WASH]], 1)=0, "", COUNTIF(tblSeverityAnalysis[[#This Row],[Site Management ]:[WASH]], 1))</f>
        <v/>
      </c>
      <c r="S103" s="365" t="str">
        <f>IF(COUNTIF(tblSeverityAnalysis[[#This Row],[Site Management ]:[WASH]], 2)=0, "", COUNTIF(tblSeverityAnalysis[[#This Row],[Site Management ]:[WASH]], 2))</f>
        <v/>
      </c>
      <c r="T103" s="365">
        <f>IF(COUNTIF(tblSeverityAnalysis[[#This Row],[Site Management ]:[WASH]], 3)=0, "", COUNTIF(tblSeverityAnalysis[[#This Row],[Site Management ]:[WASH]], 3))</f>
        <v>1</v>
      </c>
      <c r="U103" s="365" t="str">
        <f>IF(COUNTIF(tblSeverityAnalysis[[#This Row],[Site Management ]:[WASH]], 4)=0, "", COUNTIF(tblSeverityAnalysis[[#This Row],[Site Management ]:[WASH]], 4))</f>
        <v/>
      </c>
      <c r="V103" s="366" t="str">
        <f>IF(COUNTIF(tblSeverityAnalysis[[#This Row],[Site Management ]:[WASH]], 5)=0, "", COUNTIF(tblSeverityAnalysis[[#This Row],[Site Management ]:[WASH]], 5))</f>
        <v/>
      </c>
      <c r="W103" s="367">
        <f>IFERROR(LARGE(tblSeverityAnalysis[[#This Row],[Site Management ]:[General Protection]],1),"")</f>
        <v>3</v>
      </c>
      <c r="X103" s="368" t="str">
        <f>IFERROR(IF(AND(tblSeverityAnalysis[[#This Row],[5]] &lt;&gt; "", tblSeverityAnalysis[[#This Row],[5]]&gt;=sectors_sev_5), "Flagged", ""), "")</f>
        <v/>
      </c>
      <c r="Y103" s="369"/>
      <c r="Z103" s="324"/>
      <c r="AA103" s="370">
        <f>COUNTIF(tblSeverityAnalysis[[#This Row],[1 sectors in severity phase 5 '[modify the threshold']]:[Manual Flag]], "Flagged")</f>
        <v>0</v>
      </c>
      <c r="AB103" s="339"/>
      <c r="AC103" s="339"/>
      <c r="AD103" s="339"/>
      <c r="AE103" s="339"/>
    </row>
    <row r="104" spans="1:31" hidden="1" x14ac:dyDescent="0.3">
      <c r="A104" s="357" t="str">
        <f>tblSeverityAnalysis[[#This Row],[Admin 2 P-Code]]</f>
        <v>SD10063</v>
      </c>
      <c r="B104" s="245" t="s">
        <v>176</v>
      </c>
      <c r="C104" s="358" t="s">
        <v>127</v>
      </c>
      <c r="D104" s="372" t="s">
        <v>402</v>
      </c>
      <c r="E104" s="246" t="s">
        <v>403</v>
      </c>
      <c r="F104" s="360"/>
      <c r="G104" s="361"/>
      <c r="H104" s="361"/>
      <c r="I104" s="361"/>
      <c r="J104" s="361"/>
      <c r="K104" s="361"/>
      <c r="L104" s="361">
        <f>_xlfn.XLOOKUP(tblSeverityAnalysis[[#This Row],[Admin 2 P-Code]],'PIN2025'!B:B,'PIN2025'!H:H,0,0)</f>
        <v>3</v>
      </c>
      <c r="M104" s="363"/>
      <c r="N104" s="361"/>
      <c r="O104" s="361"/>
      <c r="P104" s="361"/>
      <c r="Q104" s="361"/>
      <c r="R104" s="364" t="str">
        <f>IF(COUNTIF(tblSeverityAnalysis[[#This Row],[Site Management ]:[WASH]], 1)=0, "", COUNTIF(tblSeverityAnalysis[[#This Row],[Site Management ]:[WASH]], 1))</f>
        <v/>
      </c>
      <c r="S104" s="365" t="str">
        <f>IF(COUNTIF(tblSeverityAnalysis[[#This Row],[Site Management ]:[WASH]], 2)=0, "", COUNTIF(tblSeverityAnalysis[[#This Row],[Site Management ]:[WASH]], 2))</f>
        <v/>
      </c>
      <c r="T104" s="365">
        <f>IF(COUNTIF(tblSeverityAnalysis[[#This Row],[Site Management ]:[WASH]], 3)=0, "", COUNTIF(tblSeverityAnalysis[[#This Row],[Site Management ]:[WASH]], 3))</f>
        <v>1</v>
      </c>
      <c r="U104" s="365" t="str">
        <f>IF(COUNTIF(tblSeverityAnalysis[[#This Row],[Site Management ]:[WASH]], 4)=0, "", COUNTIF(tblSeverityAnalysis[[#This Row],[Site Management ]:[WASH]], 4))</f>
        <v/>
      </c>
      <c r="V104" s="366" t="str">
        <f>IF(COUNTIF(tblSeverityAnalysis[[#This Row],[Site Management ]:[WASH]], 5)=0, "", COUNTIF(tblSeverityAnalysis[[#This Row],[Site Management ]:[WASH]], 5))</f>
        <v/>
      </c>
      <c r="W104" s="367">
        <f>IFERROR(LARGE(tblSeverityAnalysis[[#This Row],[Site Management ]:[General Protection]],1),"")</f>
        <v>3</v>
      </c>
      <c r="X104" s="368" t="str">
        <f>IFERROR(IF(AND(tblSeverityAnalysis[[#This Row],[5]] &lt;&gt; "", tblSeverityAnalysis[[#This Row],[5]]&gt;=sectors_sev_5), "Flagged", ""), "")</f>
        <v/>
      </c>
      <c r="Y104" s="369"/>
      <c r="Z104" s="324"/>
      <c r="AA104" s="370">
        <f>COUNTIF(tblSeverityAnalysis[[#This Row],[1 sectors in severity phase 5 '[modify the threshold']]:[Manual Flag]], "Flagged")</f>
        <v>0</v>
      </c>
      <c r="AB104" s="339"/>
      <c r="AC104" s="339"/>
      <c r="AD104" s="339"/>
      <c r="AE104" s="339"/>
    </row>
    <row r="105" spans="1:31" hidden="1" x14ac:dyDescent="0.3">
      <c r="A105" s="357" t="str">
        <f>tblSeverityAnalysis[[#This Row],[Admin 2 P-Code]]</f>
        <v>SD10064</v>
      </c>
      <c r="B105" s="245" t="s">
        <v>176</v>
      </c>
      <c r="C105" s="358" t="s">
        <v>127</v>
      </c>
      <c r="D105" s="372" t="s">
        <v>404</v>
      </c>
      <c r="E105" s="246" t="s">
        <v>405</v>
      </c>
      <c r="F105" s="360"/>
      <c r="G105" s="361"/>
      <c r="H105" s="361"/>
      <c r="I105" s="361"/>
      <c r="J105" s="361"/>
      <c r="K105" s="361"/>
      <c r="L105" s="361">
        <f>_xlfn.XLOOKUP(tblSeverityAnalysis[[#This Row],[Admin 2 P-Code]],'PIN2025'!B:B,'PIN2025'!H:H,0,0)</f>
        <v>3</v>
      </c>
      <c r="M105" s="363"/>
      <c r="N105" s="361"/>
      <c r="O105" s="361"/>
      <c r="P105" s="361"/>
      <c r="Q105" s="361"/>
      <c r="R105" s="364" t="str">
        <f>IF(COUNTIF(tblSeverityAnalysis[[#This Row],[Site Management ]:[WASH]], 1)=0, "", COUNTIF(tblSeverityAnalysis[[#This Row],[Site Management ]:[WASH]], 1))</f>
        <v/>
      </c>
      <c r="S105" s="365" t="str">
        <f>IF(COUNTIF(tblSeverityAnalysis[[#This Row],[Site Management ]:[WASH]], 2)=0, "", COUNTIF(tblSeverityAnalysis[[#This Row],[Site Management ]:[WASH]], 2))</f>
        <v/>
      </c>
      <c r="T105" s="365">
        <f>IF(COUNTIF(tblSeverityAnalysis[[#This Row],[Site Management ]:[WASH]], 3)=0, "", COUNTIF(tblSeverityAnalysis[[#This Row],[Site Management ]:[WASH]], 3))</f>
        <v>1</v>
      </c>
      <c r="U105" s="365" t="str">
        <f>IF(COUNTIF(tblSeverityAnalysis[[#This Row],[Site Management ]:[WASH]], 4)=0, "", COUNTIF(tblSeverityAnalysis[[#This Row],[Site Management ]:[WASH]], 4))</f>
        <v/>
      </c>
      <c r="V105" s="366" t="str">
        <f>IF(COUNTIF(tblSeverityAnalysis[[#This Row],[Site Management ]:[WASH]], 5)=0, "", COUNTIF(tblSeverityAnalysis[[#This Row],[Site Management ]:[WASH]], 5))</f>
        <v/>
      </c>
      <c r="W105" s="367">
        <f>IFERROR(LARGE(tblSeverityAnalysis[[#This Row],[Site Management ]:[General Protection]],1),"")</f>
        <v>3</v>
      </c>
      <c r="X105" s="368" t="str">
        <f>IFERROR(IF(AND(tblSeverityAnalysis[[#This Row],[5]] &lt;&gt; "", tblSeverityAnalysis[[#This Row],[5]]&gt;=sectors_sev_5), "Flagged", ""), "")</f>
        <v/>
      </c>
      <c r="Y105" s="369"/>
      <c r="Z105" s="324"/>
      <c r="AA105" s="370">
        <f>COUNTIF(tblSeverityAnalysis[[#This Row],[1 sectors in severity phase 5 '[modify the threshold']]:[Manual Flag]], "Flagged")</f>
        <v>0</v>
      </c>
      <c r="AB105" s="339"/>
      <c r="AC105" s="339"/>
      <c r="AD105" s="339"/>
      <c r="AE105" s="339"/>
    </row>
    <row r="106" spans="1:31" hidden="1" x14ac:dyDescent="0.3">
      <c r="A106" s="357" t="str">
        <f>tblSeverityAnalysis[[#This Row],[Admin 2 P-Code]]</f>
        <v>SD10065</v>
      </c>
      <c r="B106" s="245" t="s">
        <v>176</v>
      </c>
      <c r="C106" s="358" t="s">
        <v>127</v>
      </c>
      <c r="D106" s="372" t="s">
        <v>406</v>
      </c>
      <c r="E106" s="246" t="s">
        <v>407</v>
      </c>
      <c r="F106" s="360"/>
      <c r="G106" s="361"/>
      <c r="H106" s="361"/>
      <c r="I106" s="361"/>
      <c r="J106" s="361"/>
      <c r="K106" s="361"/>
      <c r="L106" s="361">
        <f>_xlfn.XLOOKUP(tblSeverityAnalysis[[#This Row],[Admin 2 P-Code]],'PIN2025'!B:B,'PIN2025'!H:H,0,0)</f>
        <v>3</v>
      </c>
      <c r="M106" s="363"/>
      <c r="N106" s="361"/>
      <c r="O106" s="361"/>
      <c r="P106" s="361"/>
      <c r="Q106" s="361"/>
      <c r="R106" s="364" t="str">
        <f>IF(COUNTIF(tblSeverityAnalysis[[#This Row],[Site Management ]:[WASH]], 1)=0, "", COUNTIF(tblSeverityAnalysis[[#This Row],[Site Management ]:[WASH]], 1))</f>
        <v/>
      </c>
      <c r="S106" s="365" t="str">
        <f>IF(COUNTIF(tblSeverityAnalysis[[#This Row],[Site Management ]:[WASH]], 2)=0, "", COUNTIF(tblSeverityAnalysis[[#This Row],[Site Management ]:[WASH]], 2))</f>
        <v/>
      </c>
      <c r="T106" s="365">
        <f>IF(COUNTIF(tblSeverityAnalysis[[#This Row],[Site Management ]:[WASH]], 3)=0, "", COUNTIF(tblSeverityAnalysis[[#This Row],[Site Management ]:[WASH]], 3))</f>
        <v>1</v>
      </c>
      <c r="U106" s="365" t="str">
        <f>IF(COUNTIF(tblSeverityAnalysis[[#This Row],[Site Management ]:[WASH]], 4)=0, "", COUNTIF(tblSeverityAnalysis[[#This Row],[Site Management ]:[WASH]], 4))</f>
        <v/>
      </c>
      <c r="V106" s="366" t="str">
        <f>IF(COUNTIF(tblSeverityAnalysis[[#This Row],[Site Management ]:[WASH]], 5)=0, "", COUNTIF(tblSeverityAnalysis[[#This Row],[Site Management ]:[WASH]], 5))</f>
        <v/>
      </c>
      <c r="W106" s="367">
        <f>IFERROR(LARGE(tblSeverityAnalysis[[#This Row],[Site Management ]:[General Protection]],1),"")</f>
        <v>3</v>
      </c>
      <c r="X106" s="368" t="str">
        <f>IFERROR(IF(AND(tblSeverityAnalysis[[#This Row],[5]] &lt;&gt; "", tblSeverityAnalysis[[#This Row],[5]]&gt;=sectors_sev_5), "Flagged", ""), "")</f>
        <v/>
      </c>
      <c r="Y106" s="369"/>
      <c r="Z106" s="324"/>
      <c r="AA106" s="370">
        <f>COUNTIF(tblSeverityAnalysis[[#This Row],[1 sectors in severity phase 5 '[modify the threshold']]:[Manual Flag]], "Flagged")</f>
        <v>0</v>
      </c>
      <c r="AB106" s="339"/>
      <c r="AC106" s="339"/>
      <c r="AD106" s="339"/>
      <c r="AE106" s="339"/>
    </row>
    <row r="107" spans="1:31" hidden="1" x14ac:dyDescent="0.3">
      <c r="A107" s="357" t="str">
        <f>tblSeverityAnalysis[[#This Row],[Admin 2 P-Code]]</f>
        <v>SD10066</v>
      </c>
      <c r="B107" s="245" t="s">
        <v>176</v>
      </c>
      <c r="C107" s="358" t="s">
        <v>127</v>
      </c>
      <c r="D107" s="372" t="s">
        <v>408</v>
      </c>
      <c r="E107" s="246" t="s">
        <v>409</v>
      </c>
      <c r="F107" s="360"/>
      <c r="G107" s="361"/>
      <c r="H107" s="361"/>
      <c r="I107" s="361"/>
      <c r="J107" s="361"/>
      <c r="K107" s="361"/>
      <c r="L107" s="361">
        <f>_xlfn.XLOOKUP(tblSeverityAnalysis[[#This Row],[Admin 2 P-Code]],'PIN2025'!B:B,'PIN2025'!H:H,0,0)</f>
        <v>3</v>
      </c>
      <c r="M107" s="363"/>
      <c r="N107" s="361"/>
      <c r="O107" s="361"/>
      <c r="P107" s="361"/>
      <c r="Q107" s="361"/>
      <c r="R107" s="364" t="str">
        <f>IF(COUNTIF(tblSeverityAnalysis[[#This Row],[Site Management ]:[WASH]], 1)=0, "", COUNTIF(tblSeverityAnalysis[[#This Row],[Site Management ]:[WASH]], 1))</f>
        <v/>
      </c>
      <c r="S107" s="365" t="str">
        <f>IF(COUNTIF(tblSeverityAnalysis[[#This Row],[Site Management ]:[WASH]], 2)=0, "", COUNTIF(tblSeverityAnalysis[[#This Row],[Site Management ]:[WASH]], 2))</f>
        <v/>
      </c>
      <c r="T107" s="365">
        <f>IF(COUNTIF(tblSeverityAnalysis[[#This Row],[Site Management ]:[WASH]], 3)=0, "", COUNTIF(tblSeverityAnalysis[[#This Row],[Site Management ]:[WASH]], 3))</f>
        <v>1</v>
      </c>
      <c r="U107" s="365" t="str">
        <f>IF(COUNTIF(tblSeverityAnalysis[[#This Row],[Site Management ]:[WASH]], 4)=0, "", COUNTIF(tblSeverityAnalysis[[#This Row],[Site Management ]:[WASH]], 4))</f>
        <v/>
      </c>
      <c r="V107" s="366" t="str">
        <f>IF(COUNTIF(tblSeverityAnalysis[[#This Row],[Site Management ]:[WASH]], 5)=0, "", COUNTIF(tblSeverityAnalysis[[#This Row],[Site Management ]:[WASH]], 5))</f>
        <v/>
      </c>
      <c r="W107" s="367">
        <f>IFERROR(LARGE(tblSeverityAnalysis[[#This Row],[Site Management ]:[General Protection]],1),"")</f>
        <v>3</v>
      </c>
      <c r="X107" s="368" t="str">
        <f>IFERROR(IF(AND(tblSeverityAnalysis[[#This Row],[5]] &lt;&gt; "", tblSeverityAnalysis[[#This Row],[5]]&gt;=sectors_sev_5), "Flagged", ""), "")</f>
        <v/>
      </c>
      <c r="Y107" s="369"/>
      <c r="Z107" s="324"/>
      <c r="AA107" s="370">
        <f>COUNTIF(tblSeverityAnalysis[[#This Row],[1 sectors in severity phase 5 '[modify the threshold']]:[Manual Flag]], "Flagged")</f>
        <v>0</v>
      </c>
      <c r="AB107" s="339"/>
      <c r="AC107" s="339"/>
      <c r="AD107" s="339"/>
      <c r="AE107" s="339"/>
    </row>
    <row r="108" spans="1:31" hidden="1" x14ac:dyDescent="0.3">
      <c r="A108" s="357" t="str">
        <f>tblSeverityAnalysis[[#This Row],[Admin 2 P-Code]]</f>
        <v>SD10068</v>
      </c>
      <c r="B108" s="245" t="s">
        <v>176</v>
      </c>
      <c r="C108" s="358" t="s">
        <v>127</v>
      </c>
      <c r="D108" s="372" t="s">
        <v>412</v>
      </c>
      <c r="E108" s="246" t="s">
        <v>413</v>
      </c>
      <c r="F108" s="360"/>
      <c r="G108" s="361"/>
      <c r="H108" s="361"/>
      <c r="I108" s="361"/>
      <c r="J108" s="361"/>
      <c r="K108" s="361"/>
      <c r="L108" s="361">
        <f>_xlfn.XLOOKUP(tblSeverityAnalysis[[#This Row],[Admin 2 P-Code]],'PIN2025'!B:B,'PIN2025'!H:H,0,0)</f>
        <v>3</v>
      </c>
      <c r="M108" s="363"/>
      <c r="N108" s="361"/>
      <c r="O108" s="361"/>
      <c r="P108" s="361"/>
      <c r="Q108" s="361"/>
      <c r="R108" s="364" t="str">
        <f>IF(COUNTIF(tblSeverityAnalysis[[#This Row],[Site Management ]:[WASH]], 1)=0, "", COUNTIF(tblSeverityAnalysis[[#This Row],[Site Management ]:[WASH]], 1))</f>
        <v/>
      </c>
      <c r="S108" s="365" t="str">
        <f>IF(COUNTIF(tblSeverityAnalysis[[#This Row],[Site Management ]:[WASH]], 2)=0, "", COUNTIF(tblSeverityAnalysis[[#This Row],[Site Management ]:[WASH]], 2))</f>
        <v/>
      </c>
      <c r="T108" s="365">
        <f>IF(COUNTIF(tblSeverityAnalysis[[#This Row],[Site Management ]:[WASH]], 3)=0, "", COUNTIF(tblSeverityAnalysis[[#This Row],[Site Management ]:[WASH]], 3))</f>
        <v>1</v>
      </c>
      <c r="U108" s="365" t="str">
        <f>IF(COUNTIF(tblSeverityAnalysis[[#This Row],[Site Management ]:[WASH]], 4)=0, "", COUNTIF(tblSeverityAnalysis[[#This Row],[Site Management ]:[WASH]], 4))</f>
        <v/>
      </c>
      <c r="V108" s="366" t="str">
        <f>IF(COUNTIF(tblSeverityAnalysis[[#This Row],[Site Management ]:[WASH]], 5)=0, "", COUNTIF(tblSeverityAnalysis[[#This Row],[Site Management ]:[WASH]], 5))</f>
        <v/>
      </c>
      <c r="W108" s="367">
        <f>IFERROR(LARGE(tblSeverityAnalysis[[#This Row],[Site Management ]:[General Protection]],1),"")</f>
        <v>3</v>
      </c>
      <c r="X108" s="368" t="str">
        <f>IFERROR(IF(AND(tblSeverityAnalysis[[#This Row],[5]] &lt;&gt; "", tblSeverityAnalysis[[#This Row],[5]]&gt;=sectors_sev_5), "Flagged", ""), "")</f>
        <v/>
      </c>
      <c r="Y108" s="369"/>
      <c r="Z108" s="324"/>
      <c r="AA108" s="370">
        <f>COUNTIF(tblSeverityAnalysis[[#This Row],[1 sectors in severity phase 5 '[modify the threshold']]:[Manual Flag]], "Flagged")</f>
        <v>0</v>
      </c>
      <c r="AB108" s="339"/>
      <c r="AC108" s="339"/>
      <c r="AD108" s="339"/>
      <c r="AE108" s="339"/>
    </row>
    <row r="109" spans="1:31" hidden="1" x14ac:dyDescent="0.3">
      <c r="A109" s="357" t="str">
        <f>tblSeverityAnalysis[[#This Row],[Admin 2 P-Code]]</f>
        <v>SD10069</v>
      </c>
      <c r="B109" s="245" t="s">
        <v>176</v>
      </c>
      <c r="C109" s="358" t="s">
        <v>127</v>
      </c>
      <c r="D109" s="372" t="s">
        <v>414</v>
      </c>
      <c r="E109" s="246" t="s">
        <v>415</v>
      </c>
      <c r="F109" s="360"/>
      <c r="G109" s="361"/>
      <c r="H109" s="361"/>
      <c r="I109" s="361"/>
      <c r="J109" s="361"/>
      <c r="K109" s="361"/>
      <c r="L109" s="361">
        <f>_xlfn.XLOOKUP(tblSeverityAnalysis[[#This Row],[Admin 2 P-Code]],'PIN2025'!B:B,'PIN2025'!H:H,0,0)</f>
        <v>3</v>
      </c>
      <c r="M109" s="363"/>
      <c r="N109" s="361"/>
      <c r="O109" s="361"/>
      <c r="P109" s="361"/>
      <c r="Q109" s="361"/>
      <c r="R109" s="364" t="str">
        <f>IF(COUNTIF(tblSeverityAnalysis[[#This Row],[Site Management ]:[WASH]], 1)=0, "", COUNTIF(tblSeverityAnalysis[[#This Row],[Site Management ]:[WASH]], 1))</f>
        <v/>
      </c>
      <c r="S109" s="365" t="str">
        <f>IF(COUNTIF(tblSeverityAnalysis[[#This Row],[Site Management ]:[WASH]], 2)=0, "", COUNTIF(tblSeverityAnalysis[[#This Row],[Site Management ]:[WASH]], 2))</f>
        <v/>
      </c>
      <c r="T109" s="365">
        <f>IF(COUNTIF(tblSeverityAnalysis[[#This Row],[Site Management ]:[WASH]], 3)=0, "", COUNTIF(tblSeverityAnalysis[[#This Row],[Site Management ]:[WASH]], 3))</f>
        <v>1</v>
      </c>
      <c r="U109" s="365" t="str">
        <f>IF(COUNTIF(tblSeverityAnalysis[[#This Row],[Site Management ]:[WASH]], 4)=0, "", COUNTIF(tblSeverityAnalysis[[#This Row],[Site Management ]:[WASH]], 4))</f>
        <v/>
      </c>
      <c r="V109" s="366" t="str">
        <f>IF(COUNTIF(tblSeverityAnalysis[[#This Row],[Site Management ]:[WASH]], 5)=0, "", COUNTIF(tblSeverityAnalysis[[#This Row],[Site Management ]:[WASH]], 5))</f>
        <v/>
      </c>
      <c r="W109" s="367">
        <f>IFERROR(LARGE(tblSeverityAnalysis[[#This Row],[Site Management ]:[General Protection]],1),"")</f>
        <v>3</v>
      </c>
      <c r="X109" s="368" t="str">
        <f>IFERROR(IF(AND(tblSeverityAnalysis[[#This Row],[5]] &lt;&gt; "", tblSeverityAnalysis[[#This Row],[5]]&gt;=sectors_sev_5), "Flagged", ""), "")</f>
        <v/>
      </c>
      <c r="Y109" s="369"/>
      <c r="Z109" s="324"/>
      <c r="AA109" s="370">
        <f>COUNTIF(tblSeverityAnalysis[[#This Row],[1 sectors in severity phase 5 '[modify the threshold']]:[Manual Flag]], "Flagged")</f>
        <v>0</v>
      </c>
      <c r="AB109" s="339"/>
      <c r="AC109" s="339"/>
      <c r="AD109" s="339"/>
      <c r="AE109" s="339"/>
    </row>
    <row r="110" spans="1:31" hidden="1" x14ac:dyDescent="0.3">
      <c r="A110" s="357" t="str">
        <f>tblSeverityAnalysis[[#This Row],[Admin 2 P-Code]]</f>
        <v>SD10070</v>
      </c>
      <c r="B110" s="245" t="s">
        <v>176</v>
      </c>
      <c r="C110" s="358" t="s">
        <v>127</v>
      </c>
      <c r="D110" s="372" t="s">
        <v>416</v>
      </c>
      <c r="E110" s="246" t="s">
        <v>417</v>
      </c>
      <c r="F110" s="360"/>
      <c r="G110" s="361"/>
      <c r="H110" s="361"/>
      <c r="I110" s="361"/>
      <c r="J110" s="361"/>
      <c r="K110" s="361"/>
      <c r="L110" s="361">
        <f>_xlfn.XLOOKUP(tblSeverityAnalysis[[#This Row],[Admin 2 P-Code]],'PIN2025'!B:B,'PIN2025'!H:H,0,0)</f>
        <v>3</v>
      </c>
      <c r="M110" s="363"/>
      <c r="N110" s="361"/>
      <c r="O110" s="361"/>
      <c r="P110" s="361"/>
      <c r="Q110" s="361"/>
      <c r="R110" s="364" t="str">
        <f>IF(COUNTIF(tblSeverityAnalysis[[#This Row],[Site Management ]:[WASH]], 1)=0, "", COUNTIF(tblSeverityAnalysis[[#This Row],[Site Management ]:[WASH]], 1))</f>
        <v/>
      </c>
      <c r="S110" s="365" t="str">
        <f>IF(COUNTIF(tblSeverityAnalysis[[#This Row],[Site Management ]:[WASH]], 2)=0, "", COUNTIF(tblSeverityAnalysis[[#This Row],[Site Management ]:[WASH]], 2))</f>
        <v/>
      </c>
      <c r="T110" s="365">
        <f>IF(COUNTIF(tblSeverityAnalysis[[#This Row],[Site Management ]:[WASH]], 3)=0, "", COUNTIF(tblSeverityAnalysis[[#This Row],[Site Management ]:[WASH]], 3))</f>
        <v>1</v>
      </c>
      <c r="U110" s="365" t="str">
        <f>IF(COUNTIF(tblSeverityAnalysis[[#This Row],[Site Management ]:[WASH]], 4)=0, "", COUNTIF(tblSeverityAnalysis[[#This Row],[Site Management ]:[WASH]], 4))</f>
        <v/>
      </c>
      <c r="V110" s="366" t="str">
        <f>IF(COUNTIF(tblSeverityAnalysis[[#This Row],[Site Management ]:[WASH]], 5)=0, "", COUNTIF(tblSeverityAnalysis[[#This Row],[Site Management ]:[WASH]], 5))</f>
        <v/>
      </c>
      <c r="W110" s="367">
        <f>IFERROR(LARGE(tblSeverityAnalysis[[#This Row],[Site Management ]:[General Protection]],1),"")</f>
        <v>3</v>
      </c>
      <c r="X110" s="368" t="str">
        <f>IFERROR(IF(AND(tblSeverityAnalysis[[#This Row],[5]] &lt;&gt; "", tblSeverityAnalysis[[#This Row],[5]]&gt;=sectors_sev_5), "Flagged", ""), "")</f>
        <v/>
      </c>
      <c r="Y110" s="369"/>
      <c r="Z110" s="324"/>
      <c r="AA110" s="370">
        <f>COUNTIF(tblSeverityAnalysis[[#This Row],[1 sectors in severity phase 5 '[modify the threshold']]:[Manual Flag]], "Flagged")</f>
        <v>0</v>
      </c>
      <c r="AB110" s="339"/>
      <c r="AC110" s="339"/>
      <c r="AD110" s="339"/>
      <c r="AE110" s="339"/>
    </row>
    <row r="111" spans="1:31" hidden="1" x14ac:dyDescent="0.3">
      <c r="A111" s="357" t="str">
        <f>tblSeverityAnalysis[[#This Row],[Admin 2 P-Code]]</f>
        <v>SD10071</v>
      </c>
      <c r="B111" s="245" t="s">
        <v>176</v>
      </c>
      <c r="C111" s="358" t="s">
        <v>127</v>
      </c>
      <c r="D111" s="372" t="s">
        <v>418</v>
      </c>
      <c r="E111" s="246" t="s">
        <v>419</v>
      </c>
      <c r="F111" s="360"/>
      <c r="G111" s="361"/>
      <c r="H111" s="361"/>
      <c r="I111" s="361"/>
      <c r="J111" s="361"/>
      <c r="K111" s="361"/>
      <c r="L111" s="361">
        <f>_xlfn.XLOOKUP(tblSeverityAnalysis[[#This Row],[Admin 2 P-Code]],'PIN2025'!B:B,'PIN2025'!H:H,0,0)</f>
        <v>3</v>
      </c>
      <c r="M111" s="363"/>
      <c r="N111" s="361"/>
      <c r="O111" s="361"/>
      <c r="P111" s="361"/>
      <c r="Q111" s="361"/>
      <c r="R111" s="364" t="str">
        <f>IF(COUNTIF(tblSeverityAnalysis[[#This Row],[Site Management ]:[WASH]], 1)=0, "", COUNTIF(tblSeverityAnalysis[[#This Row],[Site Management ]:[WASH]], 1))</f>
        <v/>
      </c>
      <c r="S111" s="365" t="str">
        <f>IF(COUNTIF(tblSeverityAnalysis[[#This Row],[Site Management ]:[WASH]], 2)=0, "", COUNTIF(tblSeverityAnalysis[[#This Row],[Site Management ]:[WASH]], 2))</f>
        <v/>
      </c>
      <c r="T111" s="365">
        <f>IF(COUNTIF(tblSeverityAnalysis[[#This Row],[Site Management ]:[WASH]], 3)=0, "", COUNTIF(tblSeverityAnalysis[[#This Row],[Site Management ]:[WASH]], 3))</f>
        <v>1</v>
      </c>
      <c r="U111" s="365" t="str">
        <f>IF(COUNTIF(tblSeverityAnalysis[[#This Row],[Site Management ]:[WASH]], 4)=0, "", COUNTIF(tblSeverityAnalysis[[#This Row],[Site Management ]:[WASH]], 4))</f>
        <v/>
      </c>
      <c r="V111" s="366" t="str">
        <f>IF(COUNTIF(tblSeverityAnalysis[[#This Row],[Site Management ]:[WASH]], 5)=0, "", COUNTIF(tblSeverityAnalysis[[#This Row],[Site Management ]:[WASH]], 5))</f>
        <v/>
      </c>
      <c r="W111" s="367">
        <f>IFERROR(LARGE(tblSeverityAnalysis[[#This Row],[Site Management ]:[General Protection]],1),"")</f>
        <v>3</v>
      </c>
      <c r="X111" s="368" t="str">
        <f>IFERROR(IF(AND(tblSeverityAnalysis[[#This Row],[5]] &lt;&gt; "", tblSeverityAnalysis[[#This Row],[5]]&gt;=sectors_sev_5), "Flagged", ""), "")</f>
        <v/>
      </c>
      <c r="Y111" s="369"/>
      <c r="Z111" s="324"/>
      <c r="AA111" s="370">
        <f>COUNTIF(tblSeverityAnalysis[[#This Row],[1 sectors in severity phase 5 '[modify the threshold']]:[Manual Flag]], "Flagged")</f>
        <v>0</v>
      </c>
      <c r="AB111" s="339"/>
      <c r="AC111" s="339"/>
      <c r="AD111" s="339"/>
      <c r="AE111" s="339"/>
    </row>
    <row r="112" spans="1:31" hidden="1" x14ac:dyDescent="0.3">
      <c r="A112" s="357" t="str">
        <f>tblSeverityAnalysis[[#This Row],[Admin 2 P-Code]]</f>
        <v>SD16009</v>
      </c>
      <c r="B112" s="245" t="s">
        <v>179</v>
      </c>
      <c r="C112" s="358" t="s">
        <v>133</v>
      </c>
      <c r="D112" s="372" t="s">
        <v>514</v>
      </c>
      <c r="E112" s="246" t="s">
        <v>515</v>
      </c>
      <c r="F112" s="360"/>
      <c r="G112" s="361"/>
      <c r="H112" s="361"/>
      <c r="I112" s="361"/>
      <c r="J112" s="361"/>
      <c r="K112" s="361"/>
      <c r="L112" s="361">
        <f>_xlfn.XLOOKUP(tblSeverityAnalysis[[#This Row],[Admin 2 P-Code]],'PIN2025'!B:B,'PIN2025'!H:H,0,0)</f>
        <v>3</v>
      </c>
      <c r="M112" s="363"/>
      <c r="N112" s="361"/>
      <c r="O112" s="361"/>
      <c r="P112" s="361"/>
      <c r="Q112" s="361"/>
      <c r="R112" s="364" t="str">
        <f>IF(COUNTIF(tblSeverityAnalysis[[#This Row],[Site Management ]:[WASH]], 1)=0, "", COUNTIF(tblSeverityAnalysis[[#This Row],[Site Management ]:[WASH]], 1))</f>
        <v/>
      </c>
      <c r="S112" s="365" t="str">
        <f>IF(COUNTIF(tblSeverityAnalysis[[#This Row],[Site Management ]:[WASH]], 2)=0, "", COUNTIF(tblSeverityAnalysis[[#This Row],[Site Management ]:[WASH]], 2))</f>
        <v/>
      </c>
      <c r="T112" s="365">
        <f>IF(COUNTIF(tblSeverityAnalysis[[#This Row],[Site Management ]:[WASH]], 3)=0, "", COUNTIF(tblSeverityAnalysis[[#This Row],[Site Management ]:[WASH]], 3))</f>
        <v>1</v>
      </c>
      <c r="U112" s="365" t="str">
        <f>IF(COUNTIF(tblSeverityAnalysis[[#This Row],[Site Management ]:[WASH]], 4)=0, "", COUNTIF(tblSeverityAnalysis[[#This Row],[Site Management ]:[WASH]], 4))</f>
        <v/>
      </c>
      <c r="V112" s="366" t="str">
        <f>IF(COUNTIF(tblSeverityAnalysis[[#This Row],[Site Management ]:[WASH]], 5)=0, "", COUNTIF(tblSeverityAnalysis[[#This Row],[Site Management ]:[WASH]], 5))</f>
        <v/>
      </c>
      <c r="W112" s="367">
        <f>IFERROR(LARGE(tblSeverityAnalysis[[#This Row],[Site Management ]:[General Protection]],1),"")</f>
        <v>3</v>
      </c>
      <c r="X112" s="368" t="str">
        <f>IFERROR(IF(AND(tblSeverityAnalysis[[#This Row],[5]] &lt;&gt; "", tblSeverityAnalysis[[#This Row],[5]]&gt;=sectors_sev_5), "Flagged", ""), "")</f>
        <v/>
      </c>
      <c r="Y112" s="369"/>
      <c r="Z112" s="324"/>
      <c r="AA112" s="370">
        <f>COUNTIF(tblSeverityAnalysis[[#This Row],[1 sectors in severity phase 5 '[modify the threshold']]:[Manual Flag]], "Flagged")</f>
        <v>0</v>
      </c>
      <c r="AB112" s="339"/>
      <c r="AC112" s="339"/>
      <c r="AD112" s="339"/>
      <c r="AE112" s="339"/>
    </row>
    <row r="113" spans="1:31" hidden="1" x14ac:dyDescent="0.3">
      <c r="A113" s="357" t="str">
        <f>tblSeverityAnalysis[[#This Row],[Admin 2 P-Code]]</f>
        <v>SD16010</v>
      </c>
      <c r="B113" s="245" t="s">
        <v>179</v>
      </c>
      <c r="C113" s="358" t="s">
        <v>133</v>
      </c>
      <c r="D113" s="372" t="s">
        <v>516</v>
      </c>
      <c r="E113" s="246" t="s">
        <v>517</v>
      </c>
      <c r="F113" s="360"/>
      <c r="G113" s="361"/>
      <c r="H113" s="361"/>
      <c r="I113" s="361"/>
      <c r="J113" s="361"/>
      <c r="K113" s="361"/>
      <c r="L113" s="361">
        <f>_xlfn.XLOOKUP(tblSeverityAnalysis[[#This Row],[Admin 2 P-Code]],'PIN2025'!B:B,'PIN2025'!H:H,0,0)</f>
        <v>3</v>
      </c>
      <c r="M113" s="363"/>
      <c r="N113" s="361"/>
      <c r="O113" s="361"/>
      <c r="P113" s="361"/>
      <c r="Q113" s="361"/>
      <c r="R113" s="364" t="str">
        <f>IF(COUNTIF(tblSeverityAnalysis[[#This Row],[Site Management ]:[WASH]], 1)=0, "", COUNTIF(tblSeverityAnalysis[[#This Row],[Site Management ]:[WASH]], 1))</f>
        <v/>
      </c>
      <c r="S113" s="365" t="str">
        <f>IF(COUNTIF(tblSeverityAnalysis[[#This Row],[Site Management ]:[WASH]], 2)=0, "", COUNTIF(tblSeverityAnalysis[[#This Row],[Site Management ]:[WASH]], 2))</f>
        <v/>
      </c>
      <c r="T113" s="365">
        <f>IF(COUNTIF(tblSeverityAnalysis[[#This Row],[Site Management ]:[WASH]], 3)=0, "", COUNTIF(tblSeverityAnalysis[[#This Row],[Site Management ]:[WASH]], 3))</f>
        <v>1</v>
      </c>
      <c r="U113" s="365" t="str">
        <f>IF(COUNTIF(tblSeverityAnalysis[[#This Row],[Site Management ]:[WASH]], 4)=0, "", COUNTIF(tblSeverityAnalysis[[#This Row],[Site Management ]:[WASH]], 4))</f>
        <v/>
      </c>
      <c r="V113" s="366" t="str">
        <f>IF(COUNTIF(tblSeverityAnalysis[[#This Row],[Site Management ]:[WASH]], 5)=0, "", COUNTIF(tblSeverityAnalysis[[#This Row],[Site Management ]:[WASH]], 5))</f>
        <v/>
      </c>
      <c r="W113" s="367">
        <f>IFERROR(LARGE(tblSeverityAnalysis[[#This Row],[Site Management ]:[General Protection]],1),"")</f>
        <v>3</v>
      </c>
      <c r="X113" s="368" t="str">
        <f>IFERROR(IF(AND(tblSeverityAnalysis[[#This Row],[5]] &lt;&gt; "", tblSeverityAnalysis[[#This Row],[5]]&gt;=sectors_sev_5), "Flagged", ""), "")</f>
        <v/>
      </c>
      <c r="Y113" s="369"/>
      <c r="Z113" s="324"/>
      <c r="AA113" s="370">
        <f>COUNTIF(tblSeverityAnalysis[[#This Row],[1 sectors in severity phase 5 '[modify the threshold']]:[Manual Flag]], "Flagged")</f>
        <v>0</v>
      </c>
      <c r="AB113" s="339"/>
      <c r="AC113" s="339"/>
      <c r="AD113" s="339"/>
      <c r="AE113" s="339"/>
    </row>
    <row r="114" spans="1:31" hidden="1" x14ac:dyDescent="0.3">
      <c r="A114" s="357" t="str">
        <f>tblSeverityAnalysis[[#This Row],[Admin 2 P-Code]]</f>
        <v>SD16011</v>
      </c>
      <c r="B114" s="245" t="s">
        <v>179</v>
      </c>
      <c r="C114" s="358" t="s">
        <v>133</v>
      </c>
      <c r="D114" s="372" t="s">
        <v>518</v>
      </c>
      <c r="E114" s="246" t="s">
        <v>519</v>
      </c>
      <c r="F114" s="360"/>
      <c r="G114" s="361"/>
      <c r="H114" s="361"/>
      <c r="I114" s="361"/>
      <c r="J114" s="361"/>
      <c r="K114" s="361"/>
      <c r="L114" s="361">
        <f>_xlfn.XLOOKUP(tblSeverityAnalysis[[#This Row],[Admin 2 P-Code]],'PIN2025'!B:B,'PIN2025'!H:H,0,0)</f>
        <v>3</v>
      </c>
      <c r="M114" s="363"/>
      <c r="N114" s="361"/>
      <c r="O114" s="361"/>
      <c r="P114" s="361"/>
      <c r="Q114" s="361"/>
      <c r="R114" s="364" t="str">
        <f>IF(COUNTIF(tblSeverityAnalysis[[#This Row],[Site Management ]:[WASH]], 1)=0, "", COUNTIF(tblSeverityAnalysis[[#This Row],[Site Management ]:[WASH]], 1))</f>
        <v/>
      </c>
      <c r="S114" s="365" t="str">
        <f>IF(COUNTIF(tblSeverityAnalysis[[#This Row],[Site Management ]:[WASH]], 2)=0, "", COUNTIF(tblSeverityAnalysis[[#This Row],[Site Management ]:[WASH]], 2))</f>
        <v/>
      </c>
      <c r="T114" s="365">
        <f>IF(COUNTIF(tblSeverityAnalysis[[#This Row],[Site Management ]:[WASH]], 3)=0, "", COUNTIF(tblSeverityAnalysis[[#This Row],[Site Management ]:[WASH]], 3))</f>
        <v>1</v>
      </c>
      <c r="U114" s="365" t="str">
        <f>IF(COUNTIF(tblSeverityAnalysis[[#This Row],[Site Management ]:[WASH]], 4)=0, "", COUNTIF(tblSeverityAnalysis[[#This Row],[Site Management ]:[WASH]], 4))</f>
        <v/>
      </c>
      <c r="V114" s="366" t="str">
        <f>IF(COUNTIF(tblSeverityAnalysis[[#This Row],[Site Management ]:[WASH]], 5)=0, "", COUNTIF(tblSeverityAnalysis[[#This Row],[Site Management ]:[WASH]], 5))</f>
        <v/>
      </c>
      <c r="W114" s="367">
        <f>IFERROR(LARGE(tblSeverityAnalysis[[#This Row],[Site Management ]:[General Protection]],1),"")</f>
        <v>3</v>
      </c>
      <c r="X114" s="368" t="str">
        <f>IFERROR(IF(AND(tblSeverityAnalysis[[#This Row],[5]] &lt;&gt; "", tblSeverityAnalysis[[#This Row],[5]]&gt;=sectors_sev_5), "Flagged", ""), "")</f>
        <v/>
      </c>
      <c r="Y114" s="369"/>
      <c r="Z114" s="324"/>
      <c r="AA114" s="370">
        <f>COUNTIF(tblSeverityAnalysis[[#This Row],[1 sectors in severity phase 5 '[modify the threshold']]:[Manual Flag]], "Flagged")</f>
        <v>0</v>
      </c>
      <c r="AB114" s="339"/>
      <c r="AC114" s="339"/>
      <c r="AD114" s="339"/>
      <c r="AE114" s="339"/>
    </row>
    <row r="115" spans="1:31" hidden="1" x14ac:dyDescent="0.3">
      <c r="A115" s="357" t="str">
        <f>tblSeverityAnalysis[[#This Row],[Admin 2 P-Code]]</f>
        <v>SD16012</v>
      </c>
      <c r="B115" s="245" t="s">
        <v>179</v>
      </c>
      <c r="C115" s="358" t="s">
        <v>133</v>
      </c>
      <c r="D115" s="372" t="s">
        <v>520</v>
      </c>
      <c r="E115" s="246" t="s">
        <v>521</v>
      </c>
      <c r="F115" s="360"/>
      <c r="G115" s="361"/>
      <c r="H115" s="361"/>
      <c r="I115" s="361"/>
      <c r="J115" s="361"/>
      <c r="K115" s="361"/>
      <c r="L115" s="361">
        <f>_xlfn.XLOOKUP(tblSeverityAnalysis[[#This Row],[Admin 2 P-Code]],'PIN2025'!B:B,'PIN2025'!H:H,0,0)</f>
        <v>3</v>
      </c>
      <c r="M115" s="363"/>
      <c r="N115" s="361"/>
      <c r="O115" s="361"/>
      <c r="P115" s="361"/>
      <c r="Q115" s="361"/>
      <c r="R115" s="364" t="str">
        <f>IF(COUNTIF(tblSeverityAnalysis[[#This Row],[Site Management ]:[WASH]], 1)=0, "", COUNTIF(tblSeverityAnalysis[[#This Row],[Site Management ]:[WASH]], 1))</f>
        <v/>
      </c>
      <c r="S115" s="365" t="str">
        <f>IF(COUNTIF(tblSeverityAnalysis[[#This Row],[Site Management ]:[WASH]], 2)=0, "", COUNTIF(tblSeverityAnalysis[[#This Row],[Site Management ]:[WASH]], 2))</f>
        <v/>
      </c>
      <c r="T115" s="365">
        <f>IF(COUNTIF(tblSeverityAnalysis[[#This Row],[Site Management ]:[WASH]], 3)=0, "", COUNTIF(tblSeverityAnalysis[[#This Row],[Site Management ]:[WASH]], 3))</f>
        <v>1</v>
      </c>
      <c r="U115" s="365" t="str">
        <f>IF(COUNTIF(tblSeverityAnalysis[[#This Row],[Site Management ]:[WASH]], 4)=0, "", COUNTIF(tblSeverityAnalysis[[#This Row],[Site Management ]:[WASH]], 4))</f>
        <v/>
      </c>
      <c r="V115" s="366" t="str">
        <f>IF(COUNTIF(tblSeverityAnalysis[[#This Row],[Site Management ]:[WASH]], 5)=0, "", COUNTIF(tblSeverityAnalysis[[#This Row],[Site Management ]:[WASH]], 5))</f>
        <v/>
      </c>
      <c r="W115" s="367">
        <f>IFERROR(LARGE(tblSeverityAnalysis[[#This Row],[Site Management ]:[General Protection]],1),"")</f>
        <v>3</v>
      </c>
      <c r="X115" s="368" t="str">
        <f>IFERROR(IF(AND(tblSeverityAnalysis[[#This Row],[5]] &lt;&gt; "", tblSeverityAnalysis[[#This Row],[5]]&gt;=sectors_sev_5), "Flagged", ""), "")</f>
        <v/>
      </c>
      <c r="Y115" s="369"/>
      <c r="Z115" s="324"/>
      <c r="AA115" s="370">
        <f>COUNTIF(tblSeverityAnalysis[[#This Row],[1 sectors in severity phase 5 '[modify the threshold']]:[Manual Flag]], "Flagged")</f>
        <v>0</v>
      </c>
      <c r="AB115" s="339"/>
      <c r="AC115" s="339"/>
      <c r="AD115" s="339"/>
      <c r="AE115" s="339"/>
    </row>
    <row r="116" spans="1:31" hidden="1" x14ac:dyDescent="0.3">
      <c r="A116" s="357" t="str">
        <f>tblSeverityAnalysis[[#This Row],[Admin 2 P-Code]]</f>
        <v>SD16013</v>
      </c>
      <c r="B116" s="245" t="s">
        <v>179</v>
      </c>
      <c r="C116" s="358" t="s">
        <v>133</v>
      </c>
      <c r="D116" s="372" t="s">
        <v>522</v>
      </c>
      <c r="E116" s="246" t="s">
        <v>523</v>
      </c>
      <c r="F116" s="360"/>
      <c r="G116" s="361"/>
      <c r="H116" s="361"/>
      <c r="I116" s="361"/>
      <c r="J116" s="361"/>
      <c r="K116" s="361"/>
      <c r="L116" s="361">
        <f>_xlfn.XLOOKUP(tblSeverityAnalysis[[#This Row],[Admin 2 P-Code]],'PIN2025'!B:B,'PIN2025'!H:H,0,0)</f>
        <v>3</v>
      </c>
      <c r="M116" s="363"/>
      <c r="N116" s="361"/>
      <c r="O116" s="361"/>
      <c r="P116" s="361"/>
      <c r="Q116" s="361"/>
      <c r="R116" s="364" t="str">
        <f>IF(COUNTIF(tblSeverityAnalysis[[#This Row],[Site Management ]:[WASH]], 1)=0, "", COUNTIF(tblSeverityAnalysis[[#This Row],[Site Management ]:[WASH]], 1))</f>
        <v/>
      </c>
      <c r="S116" s="365" t="str">
        <f>IF(COUNTIF(tblSeverityAnalysis[[#This Row],[Site Management ]:[WASH]], 2)=0, "", COUNTIF(tblSeverityAnalysis[[#This Row],[Site Management ]:[WASH]], 2))</f>
        <v/>
      </c>
      <c r="T116" s="365">
        <f>IF(COUNTIF(tblSeverityAnalysis[[#This Row],[Site Management ]:[WASH]], 3)=0, "", COUNTIF(tblSeverityAnalysis[[#This Row],[Site Management ]:[WASH]], 3))</f>
        <v>1</v>
      </c>
      <c r="U116" s="365" t="str">
        <f>IF(COUNTIF(tblSeverityAnalysis[[#This Row],[Site Management ]:[WASH]], 4)=0, "", COUNTIF(tblSeverityAnalysis[[#This Row],[Site Management ]:[WASH]], 4))</f>
        <v/>
      </c>
      <c r="V116" s="366" t="str">
        <f>IF(COUNTIF(tblSeverityAnalysis[[#This Row],[Site Management ]:[WASH]], 5)=0, "", COUNTIF(tblSeverityAnalysis[[#This Row],[Site Management ]:[WASH]], 5))</f>
        <v/>
      </c>
      <c r="W116" s="367">
        <f>IFERROR(LARGE(tblSeverityAnalysis[[#This Row],[Site Management ]:[General Protection]],1),"")</f>
        <v>3</v>
      </c>
      <c r="X116" s="368" t="str">
        <f>IFERROR(IF(AND(tblSeverityAnalysis[[#This Row],[5]] &lt;&gt; "", tblSeverityAnalysis[[#This Row],[5]]&gt;=sectors_sev_5), "Flagged", ""), "")</f>
        <v/>
      </c>
      <c r="Y116" s="369"/>
      <c r="Z116" s="324"/>
      <c r="AA116" s="370">
        <f>COUNTIF(tblSeverityAnalysis[[#This Row],[1 sectors in severity phase 5 '[modify the threshold']]:[Manual Flag]], "Flagged")</f>
        <v>0</v>
      </c>
      <c r="AB116" s="339"/>
      <c r="AC116" s="339"/>
      <c r="AD116" s="339"/>
      <c r="AE116" s="339"/>
    </row>
    <row r="117" spans="1:31" hidden="1" x14ac:dyDescent="0.3">
      <c r="A117" s="357" t="str">
        <f>tblSeverityAnalysis[[#This Row],[Admin 2 P-Code]]</f>
        <v>SD16014</v>
      </c>
      <c r="B117" s="245" t="s">
        <v>179</v>
      </c>
      <c r="C117" s="358" t="s">
        <v>133</v>
      </c>
      <c r="D117" s="372" t="s">
        <v>524</v>
      </c>
      <c r="E117" s="246" t="s">
        <v>525</v>
      </c>
      <c r="F117" s="360"/>
      <c r="G117" s="361"/>
      <c r="H117" s="361"/>
      <c r="I117" s="361"/>
      <c r="J117" s="361"/>
      <c r="K117" s="361"/>
      <c r="L117" s="361">
        <f>_xlfn.XLOOKUP(tblSeverityAnalysis[[#This Row],[Admin 2 P-Code]],'PIN2025'!B:B,'PIN2025'!H:H,0,0)</f>
        <v>3</v>
      </c>
      <c r="M117" s="363"/>
      <c r="N117" s="361"/>
      <c r="O117" s="361"/>
      <c r="P117" s="361"/>
      <c r="Q117" s="361"/>
      <c r="R117" s="364" t="str">
        <f>IF(COUNTIF(tblSeverityAnalysis[[#This Row],[Site Management ]:[WASH]], 1)=0, "", COUNTIF(tblSeverityAnalysis[[#This Row],[Site Management ]:[WASH]], 1))</f>
        <v/>
      </c>
      <c r="S117" s="365" t="str">
        <f>IF(COUNTIF(tblSeverityAnalysis[[#This Row],[Site Management ]:[WASH]], 2)=0, "", COUNTIF(tblSeverityAnalysis[[#This Row],[Site Management ]:[WASH]], 2))</f>
        <v/>
      </c>
      <c r="T117" s="365">
        <f>IF(COUNTIF(tblSeverityAnalysis[[#This Row],[Site Management ]:[WASH]], 3)=0, "", COUNTIF(tblSeverityAnalysis[[#This Row],[Site Management ]:[WASH]], 3))</f>
        <v>1</v>
      </c>
      <c r="U117" s="365" t="str">
        <f>IF(COUNTIF(tblSeverityAnalysis[[#This Row],[Site Management ]:[WASH]], 4)=0, "", COUNTIF(tblSeverityAnalysis[[#This Row],[Site Management ]:[WASH]], 4))</f>
        <v/>
      </c>
      <c r="V117" s="366" t="str">
        <f>IF(COUNTIF(tblSeverityAnalysis[[#This Row],[Site Management ]:[WASH]], 5)=0, "", COUNTIF(tblSeverityAnalysis[[#This Row],[Site Management ]:[WASH]], 5))</f>
        <v/>
      </c>
      <c r="W117" s="367">
        <f>IFERROR(LARGE(tblSeverityAnalysis[[#This Row],[Site Management ]:[General Protection]],1),"")</f>
        <v>3</v>
      </c>
      <c r="X117" s="368" t="str">
        <f>IFERROR(IF(AND(tblSeverityAnalysis[[#This Row],[5]] &lt;&gt; "", tblSeverityAnalysis[[#This Row],[5]]&gt;=sectors_sev_5), "Flagged", ""), "")</f>
        <v/>
      </c>
      <c r="Y117" s="369"/>
      <c r="Z117" s="324"/>
      <c r="AA117" s="370">
        <f>COUNTIF(tblSeverityAnalysis[[#This Row],[1 sectors in severity phase 5 '[modify the threshold']]:[Manual Flag]], "Flagged")</f>
        <v>0</v>
      </c>
      <c r="AB117" s="339"/>
      <c r="AC117" s="339"/>
      <c r="AD117" s="339"/>
      <c r="AE117" s="339"/>
    </row>
    <row r="118" spans="1:31" hidden="1" x14ac:dyDescent="0.3">
      <c r="A118" s="357" t="str">
        <f>tblSeverityAnalysis[[#This Row],[Admin 2 P-Code]]</f>
        <v>SD14037</v>
      </c>
      <c r="B118" s="245" t="s">
        <v>182</v>
      </c>
      <c r="C118" s="358" t="s">
        <v>131</v>
      </c>
      <c r="D118" s="372" t="s">
        <v>483</v>
      </c>
      <c r="E118" s="246" t="s">
        <v>484</v>
      </c>
      <c r="F118" s="360"/>
      <c r="G118" s="361"/>
      <c r="H118" s="361"/>
      <c r="I118" s="361"/>
      <c r="J118" s="361"/>
      <c r="K118" s="361"/>
      <c r="L118" s="361">
        <f>_xlfn.XLOOKUP(tblSeverityAnalysis[[#This Row],[Admin 2 P-Code]],'PIN2025'!B:B,'PIN2025'!H:H,0,0)</f>
        <v>3</v>
      </c>
      <c r="M118" s="363"/>
      <c r="N118" s="361"/>
      <c r="O118" s="361"/>
      <c r="P118" s="361"/>
      <c r="Q118" s="361"/>
      <c r="R118" s="364" t="str">
        <f>IF(COUNTIF(tblSeverityAnalysis[[#This Row],[Site Management ]:[WASH]], 1)=0, "", COUNTIF(tblSeverityAnalysis[[#This Row],[Site Management ]:[WASH]], 1))</f>
        <v/>
      </c>
      <c r="S118" s="365" t="str">
        <f>IF(COUNTIF(tblSeverityAnalysis[[#This Row],[Site Management ]:[WASH]], 2)=0, "", COUNTIF(tblSeverityAnalysis[[#This Row],[Site Management ]:[WASH]], 2))</f>
        <v/>
      </c>
      <c r="T118" s="365">
        <f>IF(COUNTIF(tblSeverityAnalysis[[#This Row],[Site Management ]:[WASH]], 3)=0, "", COUNTIF(tblSeverityAnalysis[[#This Row],[Site Management ]:[WASH]], 3))</f>
        <v>1</v>
      </c>
      <c r="U118" s="365" t="str">
        <f>IF(COUNTIF(tblSeverityAnalysis[[#This Row],[Site Management ]:[WASH]], 4)=0, "", COUNTIF(tblSeverityAnalysis[[#This Row],[Site Management ]:[WASH]], 4))</f>
        <v/>
      </c>
      <c r="V118" s="366" t="str">
        <f>IF(COUNTIF(tblSeverityAnalysis[[#This Row],[Site Management ]:[WASH]], 5)=0, "", COUNTIF(tblSeverityAnalysis[[#This Row],[Site Management ]:[WASH]], 5))</f>
        <v/>
      </c>
      <c r="W118" s="367">
        <f>IFERROR(LARGE(tblSeverityAnalysis[[#This Row],[Site Management ]:[General Protection]],1),"")</f>
        <v>3</v>
      </c>
      <c r="X118" s="368" t="str">
        <f>IFERROR(IF(AND(tblSeverityAnalysis[[#This Row],[5]] &lt;&gt; "", tblSeverityAnalysis[[#This Row],[5]]&gt;=sectors_sev_5), "Flagged", ""), "")</f>
        <v/>
      </c>
      <c r="Y118" s="369"/>
      <c r="Z118" s="324"/>
      <c r="AA118" s="370">
        <f>COUNTIF(tblSeverityAnalysis[[#This Row],[1 sectors in severity phase 5 '[modify the threshold']]:[Manual Flag]], "Flagged")</f>
        <v>0</v>
      </c>
      <c r="AB118" s="339"/>
      <c r="AC118" s="339"/>
      <c r="AD118" s="339"/>
      <c r="AE118" s="339"/>
    </row>
    <row r="119" spans="1:31" hidden="1" x14ac:dyDescent="0.3">
      <c r="A119" s="357" t="str">
        <f>tblSeverityAnalysis[[#This Row],[Admin 2 P-Code]]</f>
        <v>SD14039</v>
      </c>
      <c r="B119" s="245" t="s">
        <v>182</v>
      </c>
      <c r="C119" s="358" t="s">
        <v>131</v>
      </c>
      <c r="D119" s="372" t="s">
        <v>486</v>
      </c>
      <c r="E119" s="246" t="s">
        <v>487</v>
      </c>
      <c r="F119" s="360"/>
      <c r="G119" s="361"/>
      <c r="H119" s="361"/>
      <c r="I119" s="361"/>
      <c r="J119" s="361"/>
      <c r="K119" s="361"/>
      <c r="L119" s="361">
        <f>_xlfn.XLOOKUP(tblSeverityAnalysis[[#This Row],[Admin 2 P-Code]],'PIN2025'!B:B,'PIN2025'!H:H,0,0)</f>
        <v>3</v>
      </c>
      <c r="M119" s="363"/>
      <c r="N119" s="361"/>
      <c r="O119" s="361"/>
      <c r="P119" s="361"/>
      <c r="Q119" s="361"/>
      <c r="R119" s="364" t="str">
        <f>IF(COUNTIF(tblSeverityAnalysis[[#This Row],[Site Management ]:[WASH]], 1)=0, "", COUNTIF(tblSeverityAnalysis[[#This Row],[Site Management ]:[WASH]], 1))</f>
        <v/>
      </c>
      <c r="S119" s="365" t="str">
        <f>IF(COUNTIF(tblSeverityAnalysis[[#This Row],[Site Management ]:[WASH]], 2)=0, "", COUNTIF(tblSeverityAnalysis[[#This Row],[Site Management ]:[WASH]], 2))</f>
        <v/>
      </c>
      <c r="T119" s="365">
        <f>IF(COUNTIF(tblSeverityAnalysis[[#This Row],[Site Management ]:[WASH]], 3)=0, "", COUNTIF(tblSeverityAnalysis[[#This Row],[Site Management ]:[WASH]], 3))</f>
        <v>1</v>
      </c>
      <c r="U119" s="365" t="str">
        <f>IF(COUNTIF(tblSeverityAnalysis[[#This Row],[Site Management ]:[WASH]], 4)=0, "", COUNTIF(tblSeverityAnalysis[[#This Row],[Site Management ]:[WASH]], 4))</f>
        <v/>
      </c>
      <c r="V119" s="366" t="str">
        <f>IF(COUNTIF(tblSeverityAnalysis[[#This Row],[Site Management ]:[WASH]], 5)=0, "", COUNTIF(tblSeverityAnalysis[[#This Row],[Site Management ]:[WASH]], 5))</f>
        <v/>
      </c>
      <c r="W119" s="367">
        <f>IFERROR(LARGE(tblSeverityAnalysis[[#This Row],[Site Management ]:[General Protection]],1),"")</f>
        <v>3</v>
      </c>
      <c r="X119" s="368" t="str">
        <f>IFERROR(IF(AND(tblSeverityAnalysis[[#This Row],[5]] &lt;&gt; "", tblSeverityAnalysis[[#This Row],[5]]&gt;=sectors_sev_5), "Flagged", ""), "")</f>
        <v/>
      </c>
      <c r="Y119" s="369"/>
      <c r="Z119" s="324"/>
      <c r="AA119" s="370">
        <f>COUNTIF(tblSeverityAnalysis[[#This Row],[1 sectors in severity phase 5 '[modify the threshold']]:[Manual Flag]], "Flagged")</f>
        <v>0</v>
      </c>
      <c r="AB119" s="339"/>
      <c r="AC119" s="339"/>
      <c r="AD119" s="339"/>
      <c r="AE119" s="339"/>
    </row>
    <row r="120" spans="1:31" hidden="1" x14ac:dyDescent="0.3">
      <c r="A120" s="357" t="str">
        <f>tblSeverityAnalysis[[#This Row],[Admin 2 P-Code]]</f>
        <v>SD14040</v>
      </c>
      <c r="B120" s="245" t="s">
        <v>182</v>
      </c>
      <c r="C120" s="358" t="s">
        <v>131</v>
      </c>
      <c r="D120" s="372" t="s">
        <v>488</v>
      </c>
      <c r="E120" s="246" t="s">
        <v>489</v>
      </c>
      <c r="F120" s="360"/>
      <c r="G120" s="361"/>
      <c r="H120" s="361"/>
      <c r="I120" s="361"/>
      <c r="J120" s="361"/>
      <c r="K120" s="361"/>
      <c r="L120" s="361">
        <f>_xlfn.XLOOKUP(tblSeverityAnalysis[[#This Row],[Admin 2 P-Code]],'PIN2025'!B:B,'PIN2025'!H:H,0,0)</f>
        <v>3</v>
      </c>
      <c r="M120" s="363"/>
      <c r="N120" s="361"/>
      <c r="O120" s="361"/>
      <c r="P120" s="361"/>
      <c r="Q120" s="361"/>
      <c r="R120" s="364" t="str">
        <f>IF(COUNTIF(tblSeverityAnalysis[[#This Row],[Site Management ]:[WASH]], 1)=0, "", COUNTIF(tblSeverityAnalysis[[#This Row],[Site Management ]:[WASH]], 1))</f>
        <v/>
      </c>
      <c r="S120" s="365" t="str">
        <f>IF(COUNTIF(tblSeverityAnalysis[[#This Row],[Site Management ]:[WASH]], 2)=0, "", COUNTIF(tblSeverityAnalysis[[#This Row],[Site Management ]:[WASH]], 2))</f>
        <v/>
      </c>
      <c r="T120" s="365">
        <f>IF(COUNTIF(tblSeverityAnalysis[[#This Row],[Site Management ]:[WASH]], 3)=0, "", COUNTIF(tblSeverityAnalysis[[#This Row],[Site Management ]:[WASH]], 3))</f>
        <v>1</v>
      </c>
      <c r="U120" s="365" t="str">
        <f>IF(COUNTIF(tblSeverityAnalysis[[#This Row],[Site Management ]:[WASH]], 4)=0, "", COUNTIF(tblSeverityAnalysis[[#This Row],[Site Management ]:[WASH]], 4))</f>
        <v/>
      </c>
      <c r="V120" s="366" t="str">
        <f>IF(COUNTIF(tblSeverityAnalysis[[#This Row],[Site Management ]:[WASH]], 5)=0, "", COUNTIF(tblSeverityAnalysis[[#This Row],[Site Management ]:[WASH]], 5))</f>
        <v/>
      </c>
      <c r="W120" s="367">
        <f>IFERROR(LARGE(tblSeverityAnalysis[[#This Row],[Site Management ]:[General Protection]],1),"")</f>
        <v>3</v>
      </c>
      <c r="X120" s="368" t="str">
        <f>IFERROR(IF(AND(tblSeverityAnalysis[[#This Row],[5]] &lt;&gt; "", tblSeverityAnalysis[[#This Row],[5]]&gt;=sectors_sev_5), "Flagged", ""), "")</f>
        <v/>
      </c>
      <c r="Y120" s="369"/>
      <c r="Z120" s="324"/>
      <c r="AA120" s="370">
        <f>COUNTIF(tblSeverityAnalysis[[#This Row],[1 sectors in severity phase 5 '[modify the threshold']]:[Manual Flag]], "Flagged")</f>
        <v>0</v>
      </c>
      <c r="AB120" s="339"/>
      <c r="AC120" s="339"/>
      <c r="AD120" s="339"/>
      <c r="AE120" s="339"/>
    </row>
    <row r="121" spans="1:31" hidden="1" x14ac:dyDescent="0.3">
      <c r="A121" s="357" t="str">
        <f>tblSeverityAnalysis[[#This Row],[Admin 2 P-Code]]</f>
        <v>SD14041</v>
      </c>
      <c r="B121" s="245" t="s">
        <v>182</v>
      </c>
      <c r="C121" s="358" t="s">
        <v>131</v>
      </c>
      <c r="D121" s="372" t="s">
        <v>490</v>
      </c>
      <c r="E121" s="246" t="s">
        <v>491</v>
      </c>
      <c r="F121" s="360"/>
      <c r="G121" s="361"/>
      <c r="H121" s="361"/>
      <c r="I121" s="361"/>
      <c r="J121" s="361"/>
      <c r="K121" s="361"/>
      <c r="L121" s="361">
        <f>_xlfn.XLOOKUP(tblSeverityAnalysis[[#This Row],[Admin 2 P-Code]],'PIN2025'!B:B,'PIN2025'!H:H,0,0)</f>
        <v>3</v>
      </c>
      <c r="M121" s="363"/>
      <c r="N121" s="361"/>
      <c r="O121" s="361"/>
      <c r="P121" s="361"/>
      <c r="Q121" s="361"/>
      <c r="R121" s="364" t="str">
        <f>IF(COUNTIF(tblSeverityAnalysis[[#This Row],[Site Management ]:[WASH]], 1)=0, "", COUNTIF(tblSeverityAnalysis[[#This Row],[Site Management ]:[WASH]], 1))</f>
        <v/>
      </c>
      <c r="S121" s="365" t="str">
        <f>IF(COUNTIF(tblSeverityAnalysis[[#This Row],[Site Management ]:[WASH]], 2)=0, "", COUNTIF(tblSeverityAnalysis[[#This Row],[Site Management ]:[WASH]], 2))</f>
        <v/>
      </c>
      <c r="T121" s="365">
        <f>IF(COUNTIF(tblSeverityAnalysis[[#This Row],[Site Management ]:[WASH]], 3)=0, "", COUNTIF(tblSeverityAnalysis[[#This Row],[Site Management ]:[WASH]], 3))</f>
        <v>1</v>
      </c>
      <c r="U121" s="365" t="str">
        <f>IF(COUNTIF(tblSeverityAnalysis[[#This Row],[Site Management ]:[WASH]], 4)=0, "", COUNTIF(tblSeverityAnalysis[[#This Row],[Site Management ]:[WASH]], 4))</f>
        <v/>
      </c>
      <c r="V121" s="366" t="str">
        <f>IF(COUNTIF(tblSeverityAnalysis[[#This Row],[Site Management ]:[WASH]], 5)=0, "", COUNTIF(tblSeverityAnalysis[[#This Row],[Site Management ]:[WASH]], 5))</f>
        <v/>
      </c>
      <c r="W121" s="367">
        <f>IFERROR(LARGE(tblSeverityAnalysis[[#This Row],[Site Management ]:[General Protection]],1),"")</f>
        <v>3</v>
      </c>
      <c r="X121" s="368" t="str">
        <f>IFERROR(IF(AND(tblSeverityAnalysis[[#This Row],[5]] &lt;&gt; "", tblSeverityAnalysis[[#This Row],[5]]&gt;=sectors_sev_5), "Flagged", ""), "")</f>
        <v/>
      </c>
      <c r="Y121" s="369"/>
      <c r="Z121" s="324"/>
      <c r="AA121" s="370">
        <f>COUNTIF(tblSeverityAnalysis[[#This Row],[1 sectors in severity phase 5 '[modify the threshold']]:[Manual Flag]], "Flagged")</f>
        <v>0</v>
      </c>
      <c r="AB121" s="339"/>
      <c r="AC121" s="339"/>
      <c r="AD121" s="339"/>
      <c r="AE121" s="339"/>
    </row>
    <row r="122" spans="1:31" hidden="1" x14ac:dyDescent="0.3">
      <c r="A122" s="357" t="str">
        <f>tblSeverityAnalysis[[#This Row],[Admin 2 P-Code]]</f>
        <v>SD14042</v>
      </c>
      <c r="B122" s="245" t="s">
        <v>182</v>
      </c>
      <c r="C122" s="358" t="s">
        <v>131</v>
      </c>
      <c r="D122" s="372" t="s">
        <v>492</v>
      </c>
      <c r="E122" s="246" t="s">
        <v>493</v>
      </c>
      <c r="F122" s="360"/>
      <c r="G122" s="361"/>
      <c r="H122" s="361"/>
      <c r="I122" s="361"/>
      <c r="J122" s="361"/>
      <c r="K122" s="361"/>
      <c r="L122" s="361">
        <f>_xlfn.XLOOKUP(tblSeverityAnalysis[[#This Row],[Admin 2 P-Code]],'PIN2025'!B:B,'PIN2025'!H:H,0,0)</f>
        <v>3</v>
      </c>
      <c r="M122" s="363"/>
      <c r="N122" s="361"/>
      <c r="O122" s="361"/>
      <c r="P122" s="361"/>
      <c r="Q122" s="361"/>
      <c r="R122" s="364" t="str">
        <f>IF(COUNTIF(tblSeverityAnalysis[[#This Row],[Site Management ]:[WASH]], 1)=0, "", COUNTIF(tblSeverityAnalysis[[#This Row],[Site Management ]:[WASH]], 1))</f>
        <v/>
      </c>
      <c r="S122" s="365" t="str">
        <f>IF(COUNTIF(tblSeverityAnalysis[[#This Row],[Site Management ]:[WASH]], 2)=0, "", COUNTIF(tblSeverityAnalysis[[#This Row],[Site Management ]:[WASH]], 2))</f>
        <v/>
      </c>
      <c r="T122" s="365">
        <f>IF(COUNTIF(tblSeverityAnalysis[[#This Row],[Site Management ]:[WASH]], 3)=0, "", COUNTIF(tblSeverityAnalysis[[#This Row],[Site Management ]:[WASH]], 3))</f>
        <v>1</v>
      </c>
      <c r="U122" s="365" t="str">
        <f>IF(COUNTIF(tblSeverityAnalysis[[#This Row],[Site Management ]:[WASH]], 4)=0, "", COUNTIF(tblSeverityAnalysis[[#This Row],[Site Management ]:[WASH]], 4))</f>
        <v/>
      </c>
      <c r="V122" s="366" t="str">
        <f>IF(COUNTIF(tblSeverityAnalysis[[#This Row],[Site Management ]:[WASH]], 5)=0, "", COUNTIF(tblSeverityAnalysis[[#This Row],[Site Management ]:[WASH]], 5))</f>
        <v/>
      </c>
      <c r="W122" s="367">
        <f>IFERROR(LARGE(tblSeverityAnalysis[[#This Row],[Site Management ]:[General Protection]],1),"")</f>
        <v>3</v>
      </c>
      <c r="X122" s="368" t="str">
        <f>IFERROR(IF(AND(tblSeverityAnalysis[[#This Row],[5]] &lt;&gt; "", tblSeverityAnalysis[[#This Row],[5]]&gt;=sectors_sev_5), "Flagged", ""), "")</f>
        <v/>
      </c>
      <c r="Y122" s="369"/>
      <c r="Z122" s="324"/>
      <c r="AA122" s="370">
        <f>COUNTIF(tblSeverityAnalysis[[#This Row],[1 sectors in severity phase 5 '[modify the threshold']]:[Manual Flag]], "Flagged")</f>
        <v>0</v>
      </c>
      <c r="AB122" s="339"/>
      <c r="AC122" s="339"/>
      <c r="AD122" s="339"/>
      <c r="AE122" s="339"/>
    </row>
    <row r="123" spans="1:31" hidden="1" x14ac:dyDescent="0.3">
      <c r="A123" s="357" t="str">
        <f>tblSeverityAnalysis[[#This Row],[Admin 2 P-Code]]</f>
        <v>SD14043</v>
      </c>
      <c r="B123" s="245" t="s">
        <v>182</v>
      </c>
      <c r="C123" s="358" t="s">
        <v>131</v>
      </c>
      <c r="D123" s="372" t="s">
        <v>494</v>
      </c>
      <c r="E123" s="246" t="s">
        <v>495</v>
      </c>
      <c r="F123" s="360"/>
      <c r="G123" s="361"/>
      <c r="H123" s="361"/>
      <c r="I123" s="361"/>
      <c r="J123" s="361"/>
      <c r="K123" s="361"/>
      <c r="L123" s="361">
        <f>_xlfn.XLOOKUP(tblSeverityAnalysis[[#This Row],[Admin 2 P-Code]],'PIN2025'!B:B,'PIN2025'!H:H,0,0)</f>
        <v>3</v>
      </c>
      <c r="M123" s="363"/>
      <c r="N123" s="361"/>
      <c r="O123" s="361"/>
      <c r="P123" s="361"/>
      <c r="Q123" s="361"/>
      <c r="R123" s="364" t="str">
        <f>IF(COUNTIF(tblSeverityAnalysis[[#This Row],[Site Management ]:[WASH]], 1)=0, "", COUNTIF(tblSeverityAnalysis[[#This Row],[Site Management ]:[WASH]], 1))</f>
        <v/>
      </c>
      <c r="S123" s="365" t="str">
        <f>IF(COUNTIF(tblSeverityAnalysis[[#This Row],[Site Management ]:[WASH]], 2)=0, "", COUNTIF(tblSeverityAnalysis[[#This Row],[Site Management ]:[WASH]], 2))</f>
        <v/>
      </c>
      <c r="T123" s="365">
        <f>IF(COUNTIF(tblSeverityAnalysis[[#This Row],[Site Management ]:[WASH]], 3)=0, "", COUNTIF(tblSeverityAnalysis[[#This Row],[Site Management ]:[WASH]], 3))</f>
        <v>1</v>
      </c>
      <c r="U123" s="365" t="str">
        <f>IF(COUNTIF(tblSeverityAnalysis[[#This Row],[Site Management ]:[WASH]], 4)=0, "", COUNTIF(tblSeverityAnalysis[[#This Row],[Site Management ]:[WASH]], 4))</f>
        <v/>
      </c>
      <c r="V123" s="366" t="str">
        <f>IF(COUNTIF(tblSeverityAnalysis[[#This Row],[Site Management ]:[WASH]], 5)=0, "", COUNTIF(tblSeverityAnalysis[[#This Row],[Site Management ]:[WASH]], 5))</f>
        <v/>
      </c>
      <c r="W123" s="367">
        <f>IFERROR(LARGE(tblSeverityAnalysis[[#This Row],[Site Management ]:[General Protection]],1),"")</f>
        <v>3</v>
      </c>
      <c r="X123" s="368" t="str">
        <f>IFERROR(IF(AND(tblSeverityAnalysis[[#This Row],[5]] &lt;&gt; "", tblSeverityAnalysis[[#This Row],[5]]&gt;=sectors_sev_5), "Flagged", ""), "")</f>
        <v/>
      </c>
      <c r="Y123" s="369"/>
      <c r="Z123" s="324"/>
      <c r="AA123" s="370">
        <f>COUNTIF(tblSeverityAnalysis[[#This Row],[1 sectors in severity phase 5 '[modify the threshold']]:[Manual Flag]], "Flagged")</f>
        <v>0</v>
      </c>
      <c r="AB123" s="339"/>
      <c r="AC123" s="339"/>
      <c r="AD123" s="339"/>
      <c r="AE123" s="339"/>
    </row>
    <row r="124" spans="1:31" hidden="1" x14ac:dyDescent="0.3">
      <c r="A124" s="357" t="str">
        <f>tblSeverityAnalysis[[#This Row],[Admin 2 P-Code]]</f>
        <v>SD03141</v>
      </c>
      <c r="B124" s="245" t="s">
        <v>185</v>
      </c>
      <c r="C124" s="358" t="s">
        <v>120</v>
      </c>
      <c r="D124" s="372" t="s">
        <v>233</v>
      </c>
      <c r="E124" s="246" t="s">
        <v>232</v>
      </c>
      <c r="F124" s="360"/>
      <c r="G124" s="361"/>
      <c r="H124" s="361"/>
      <c r="I124" s="361"/>
      <c r="J124" s="361"/>
      <c r="K124" s="361"/>
      <c r="L124" s="361">
        <f>_xlfn.XLOOKUP(tblSeverityAnalysis[[#This Row],[Admin 2 P-Code]],'PIN2025'!B:B,'PIN2025'!H:H,0,0)</f>
        <v>3</v>
      </c>
      <c r="M124" s="363"/>
      <c r="N124" s="361"/>
      <c r="O124" s="361"/>
      <c r="P124" s="361"/>
      <c r="Q124" s="361"/>
      <c r="R124" s="364" t="str">
        <f>IF(COUNTIF(tblSeverityAnalysis[[#This Row],[Site Management ]:[WASH]], 1)=0, "", COUNTIF(tblSeverityAnalysis[[#This Row],[Site Management ]:[WASH]], 1))</f>
        <v/>
      </c>
      <c r="S124" s="365" t="str">
        <f>IF(COUNTIF(tblSeverityAnalysis[[#This Row],[Site Management ]:[WASH]], 2)=0, "", COUNTIF(tblSeverityAnalysis[[#This Row],[Site Management ]:[WASH]], 2))</f>
        <v/>
      </c>
      <c r="T124" s="365">
        <f>IF(COUNTIF(tblSeverityAnalysis[[#This Row],[Site Management ]:[WASH]], 3)=0, "", COUNTIF(tblSeverityAnalysis[[#This Row],[Site Management ]:[WASH]], 3))</f>
        <v>1</v>
      </c>
      <c r="U124" s="365" t="str">
        <f>IF(COUNTIF(tblSeverityAnalysis[[#This Row],[Site Management ]:[WASH]], 4)=0, "", COUNTIF(tblSeverityAnalysis[[#This Row],[Site Management ]:[WASH]], 4))</f>
        <v/>
      </c>
      <c r="V124" s="366" t="str">
        <f>IF(COUNTIF(tblSeverityAnalysis[[#This Row],[Site Management ]:[WASH]], 5)=0, "", COUNTIF(tblSeverityAnalysis[[#This Row],[Site Management ]:[WASH]], 5))</f>
        <v/>
      </c>
      <c r="W124" s="367">
        <f>IFERROR(LARGE(tblSeverityAnalysis[[#This Row],[Site Management ]:[General Protection]],1),"")</f>
        <v>3</v>
      </c>
      <c r="X124" s="368" t="str">
        <f>IFERROR(IF(AND(tblSeverityAnalysis[[#This Row],[5]] &lt;&gt; "", tblSeverityAnalysis[[#This Row],[5]]&gt;=sectors_sev_5), "Flagged", ""), "")</f>
        <v/>
      </c>
      <c r="Y124" s="369"/>
      <c r="Z124" s="324"/>
      <c r="AA124" s="370">
        <f>COUNTIF(tblSeverityAnalysis[[#This Row],[1 sectors in severity phase 5 '[modify the threshold']]:[Manual Flag]], "Flagged")</f>
        <v>0</v>
      </c>
      <c r="AB124" s="339"/>
      <c r="AC124" s="339"/>
      <c r="AD124" s="339"/>
      <c r="AE124" s="339"/>
    </row>
    <row r="125" spans="1:31" hidden="1" x14ac:dyDescent="0.3">
      <c r="A125" s="357" t="str">
        <f>tblSeverityAnalysis[[#This Row],[Admin 2 P-Code]]</f>
        <v>SD03143</v>
      </c>
      <c r="B125" s="245" t="s">
        <v>185</v>
      </c>
      <c r="C125" s="358" t="s">
        <v>120</v>
      </c>
      <c r="D125" s="372" t="s">
        <v>235</v>
      </c>
      <c r="E125" s="246" t="s">
        <v>234</v>
      </c>
      <c r="F125" s="360"/>
      <c r="G125" s="361"/>
      <c r="H125" s="361"/>
      <c r="I125" s="361"/>
      <c r="J125" s="361"/>
      <c r="K125" s="361"/>
      <c r="L125" s="361">
        <f>_xlfn.XLOOKUP(tblSeverityAnalysis[[#This Row],[Admin 2 P-Code]],'PIN2025'!B:B,'PIN2025'!H:H,0,0)</f>
        <v>3</v>
      </c>
      <c r="M125" s="363"/>
      <c r="N125" s="361"/>
      <c r="O125" s="361"/>
      <c r="P125" s="361"/>
      <c r="Q125" s="361"/>
      <c r="R125" s="364" t="str">
        <f>IF(COUNTIF(tblSeverityAnalysis[[#This Row],[Site Management ]:[WASH]], 1)=0, "", COUNTIF(tblSeverityAnalysis[[#This Row],[Site Management ]:[WASH]], 1))</f>
        <v/>
      </c>
      <c r="S125" s="365" t="str">
        <f>IF(COUNTIF(tblSeverityAnalysis[[#This Row],[Site Management ]:[WASH]], 2)=0, "", COUNTIF(tblSeverityAnalysis[[#This Row],[Site Management ]:[WASH]], 2))</f>
        <v/>
      </c>
      <c r="T125" s="365">
        <f>IF(COUNTIF(tblSeverityAnalysis[[#This Row],[Site Management ]:[WASH]], 3)=0, "", COUNTIF(tblSeverityAnalysis[[#This Row],[Site Management ]:[WASH]], 3))</f>
        <v>1</v>
      </c>
      <c r="U125" s="365" t="str">
        <f>IF(COUNTIF(tblSeverityAnalysis[[#This Row],[Site Management ]:[WASH]], 4)=0, "", COUNTIF(tblSeverityAnalysis[[#This Row],[Site Management ]:[WASH]], 4))</f>
        <v/>
      </c>
      <c r="V125" s="366" t="str">
        <f>IF(COUNTIF(tblSeverityAnalysis[[#This Row],[Site Management ]:[WASH]], 5)=0, "", COUNTIF(tblSeverityAnalysis[[#This Row],[Site Management ]:[WASH]], 5))</f>
        <v/>
      </c>
      <c r="W125" s="367">
        <f>IFERROR(LARGE(tblSeverityAnalysis[[#This Row],[Site Management ]:[General Protection]],1),"")</f>
        <v>3</v>
      </c>
      <c r="X125" s="368" t="str">
        <f>IFERROR(IF(AND(tblSeverityAnalysis[[#This Row],[5]] &lt;&gt; "", tblSeverityAnalysis[[#This Row],[5]]&gt;=sectors_sev_5), "Flagged", ""), "")</f>
        <v/>
      </c>
      <c r="Y125" s="369"/>
      <c r="Z125" s="324"/>
      <c r="AA125" s="370">
        <f>COUNTIF(tblSeverityAnalysis[[#This Row],[1 sectors in severity phase 5 '[modify the threshold']]:[Manual Flag]], "Flagged")</f>
        <v>0</v>
      </c>
      <c r="AB125" s="339"/>
      <c r="AC125" s="339"/>
      <c r="AD125" s="339"/>
      <c r="AE125" s="339"/>
    </row>
    <row r="126" spans="1:31" hidden="1" x14ac:dyDescent="0.3">
      <c r="A126" s="357" t="str">
        <f>tblSeverityAnalysis[[#This Row],[Admin 2 P-Code]]</f>
        <v>SD03146</v>
      </c>
      <c r="B126" s="245" t="s">
        <v>185</v>
      </c>
      <c r="C126" s="358" t="s">
        <v>120</v>
      </c>
      <c r="D126" s="372" t="s">
        <v>241</v>
      </c>
      <c r="E126" s="246" t="s">
        <v>240</v>
      </c>
      <c r="F126" s="360"/>
      <c r="G126" s="361"/>
      <c r="H126" s="361"/>
      <c r="I126" s="361"/>
      <c r="J126" s="361"/>
      <c r="K126" s="361"/>
      <c r="L126" s="361">
        <f>_xlfn.XLOOKUP(tblSeverityAnalysis[[#This Row],[Admin 2 P-Code]],'PIN2025'!B:B,'PIN2025'!H:H,0,0)</f>
        <v>3</v>
      </c>
      <c r="M126" s="363"/>
      <c r="N126" s="361"/>
      <c r="O126" s="361"/>
      <c r="P126" s="361"/>
      <c r="Q126" s="361"/>
      <c r="R126" s="364" t="str">
        <f>IF(COUNTIF(tblSeverityAnalysis[[#This Row],[Site Management ]:[WASH]], 1)=0, "", COUNTIF(tblSeverityAnalysis[[#This Row],[Site Management ]:[WASH]], 1))</f>
        <v/>
      </c>
      <c r="S126" s="365" t="str">
        <f>IF(COUNTIF(tblSeverityAnalysis[[#This Row],[Site Management ]:[WASH]], 2)=0, "", COUNTIF(tblSeverityAnalysis[[#This Row],[Site Management ]:[WASH]], 2))</f>
        <v/>
      </c>
      <c r="T126" s="365">
        <f>IF(COUNTIF(tblSeverityAnalysis[[#This Row],[Site Management ]:[WASH]], 3)=0, "", COUNTIF(tblSeverityAnalysis[[#This Row],[Site Management ]:[WASH]], 3))</f>
        <v>1</v>
      </c>
      <c r="U126" s="365" t="str">
        <f>IF(COUNTIF(tblSeverityAnalysis[[#This Row],[Site Management ]:[WASH]], 4)=0, "", COUNTIF(tblSeverityAnalysis[[#This Row],[Site Management ]:[WASH]], 4))</f>
        <v/>
      </c>
      <c r="V126" s="366" t="str">
        <f>IF(COUNTIF(tblSeverityAnalysis[[#This Row],[Site Management ]:[WASH]], 5)=0, "", COUNTIF(tblSeverityAnalysis[[#This Row],[Site Management ]:[WASH]], 5))</f>
        <v/>
      </c>
      <c r="W126" s="367">
        <f>IFERROR(LARGE(tblSeverityAnalysis[[#This Row],[Site Management ]:[General Protection]],1),"")</f>
        <v>3</v>
      </c>
      <c r="X126" s="368" t="str">
        <f>IFERROR(IF(AND(tblSeverityAnalysis[[#This Row],[5]] &lt;&gt; "", tblSeverityAnalysis[[#This Row],[5]]&gt;=sectors_sev_5), "Flagged", ""), "")</f>
        <v/>
      </c>
      <c r="Y126" s="369"/>
      <c r="Z126" s="324"/>
      <c r="AA126" s="370">
        <f>COUNTIF(tblSeverityAnalysis[[#This Row],[1 sectors in severity phase 5 '[modify the threshold']]:[Manual Flag]], "Flagged")</f>
        <v>0</v>
      </c>
      <c r="AB126" s="339"/>
      <c r="AC126" s="339"/>
      <c r="AD126" s="339"/>
      <c r="AE126" s="339"/>
    </row>
    <row r="127" spans="1:31" hidden="1" x14ac:dyDescent="0.3">
      <c r="A127" s="357" t="str">
        <f>tblSeverityAnalysis[[#This Row],[Admin 2 P-Code]]</f>
        <v>SD03147</v>
      </c>
      <c r="B127" s="245" t="s">
        <v>185</v>
      </c>
      <c r="C127" s="358" t="s">
        <v>120</v>
      </c>
      <c r="D127" s="372" t="s">
        <v>243</v>
      </c>
      <c r="E127" s="246" t="s">
        <v>242</v>
      </c>
      <c r="F127" s="360"/>
      <c r="G127" s="361"/>
      <c r="H127" s="361"/>
      <c r="I127" s="361"/>
      <c r="J127" s="361"/>
      <c r="K127" s="361"/>
      <c r="L127" s="361">
        <f>_xlfn.XLOOKUP(tblSeverityAnalysis[[#This Row],[Admin 2 P-Code]],'PIN2025'!B:B,'PIN2025'!H:H,0,0)</f>
        <v>3</v>
      </c>
      <c r="M127" s="363"/>
      <c r="N127" s="361"/>
      <c r="O127" s="361"/>
      <c r="P127" s="361"/>
      <c r="Q127" s="361"/>
      <c r="R127" s="364" t="str">
        <f>IF(COUNTIF(tblSeverityAnalysis[[#This Row],[Site Management ]:[WASH]], 1)=0, "", COUNTIF(tblSeverityAnalysis[[#This Row],[Site Management ]:[WASH]], 1))</f>
        <v/>
      </c>
      <c r="S127" s="365" t="str">
        <f>IF(COUNTIF(tblSeverityAnalysis[[#This Row],[Site Management ]:[WASH]], 2)=0, "", COUNTIF(tblSeverityAnalysis[[#This Row],[Site Management ]:[WASH]], 2))</f>
        <v/>
      </c>
      <c r="T127" s="365">
        <f>IF(COUNTIF(tblSeverityAnalysis[[#This Row],[Site Management ]:[WASH]], 3)=0, "", COUNTIF(tblSeverityAnalysis[[#This Row],[Site Management ]:[WASH]], 3))</f>
        <v>1</v>
      </c>
      <c r="U127" s="365" t="str">
        <f>IF(COUNTIF(tblSeverityAnalysis[[#This Row],[Site Management ]:[WASH]], 4)=0, "", COUNTIF(tblSeverityAnalysis[[#This Row],[Site Management ]:[WASH]], 4))</f>
        <v/>
      </c>
      <c r="V127" s="366" t="str">
        <f>IF(COUNTIF(tblSeverityAnalysis[[#This Row],[Site Management ]:[WASH]], 5)=0, "", COUNTIF(tblSeverityAnalysis[[#This Row],[Site Management ]:[WASH]], 5))</f>
        <v/>
      </c>
      <c r="W127" s="367">
        <f>IFERROR(LARGE(tblSeverityAnalysis[[#This Row],[Site Management ]:[General Protection]],1),"")</f>
        <v>3</v>
      </c>
      <c r="X127" s="368" t="str">
        <f>IFERROR(IF(AND(tblSeverityAnalysis[[#This Row],[5]] &lt;&gt; "", tblSeverityAnalysis[[#This Row],[5]]&gt;=sectors_sev_5), "Flagged", ""), "")</f>
        <v/>
      </c>
      <c r="Y127" s="369"/>
      <c r="Z127" s="324"/>
      <c r="AA127" s="370">
        <f>COUNTIF(tblSeverityAnalysis[[#This Row],[1 sectors in severity phase 5 '[modify the threshold']]:[Manual Flag]], "Flagged")</f>
        <v>0</v>
      </c>
      <c r="AB127" s="339"/>
      <c r="AC127" s="339"/>
      <c r="AD127" s="339"/>
      <c r="AE127" s="339"/>
    </row>
    <row r="128" spans="1:31" hidden="1" x14ac:dyDescent="0.3">
      <c r="A128" s="357" t="str">
        <f>tblSeverityAnalysis[[#This Row],[Admin 2 P-Code]]</f>
        <v>SD03149</v>
      </c>
      <c r="B128" s="245" t="s">
        <v>185</v>
      </c>
      <c r="C128" s="358" t="s">
        <v>120</v>
      </c>
      <c r="D128" s="372" t="s">
        <v>245</v>
      </c>
      <c r="E128" s="246" t="s">
        <v>244</v>
      </c>
      <c r="F128" s="360"/>
      <c r="G128" s="361"/>
      <c r="H128" s="361"/>
      <c r="I128" s="361"/>
      <c r="J128" s="361"/>
      <c r="K128" s="361"/>
      <c r="L128" s="361">
        <f>_xlfn.XLOOKUP(tblSeverityAnalysis[[#This Row],[Admin 2 P-Code]],'PIN2025'!B:B,'PIN2025'!H:H,0,0)</f>
        <v>3</v>
      </c>
      <c r="M128" s="363"/>
      <c r="N128" s="361"/>
      <c r="O128" s="361"/>
      <c r="P128" s="361"/>
      <c r="Q128" s="361"/>
      <c r="R128" s="364" t="str">
        <f>IF(COUNTIF(tblSeverityAnalysis[[#This Row],[Site Management ]:[WASH]], 1)=0, "", COUNTIF(tblSeverityAnalysis[[#This Row],[Site Management ]:[WASH]], 1))</f>
        <v/>
      </c>
      <c r="S128" s="365" t="str">
        <f>IF(COUNTIF(tblSeverityAnalysis[[#This Row],[Site Management ]:[WASH]], 2)=0, "", COUNTIF(tblSeverityAnalysis[[#This Row],[Site Management ]:[WASH]], 2))</f>
        <v/>
      </c>
      <c r="T128" s="365">
        <f>IF(COUNTIF(tblSeverityAnalysis[[#This Row],[Site Management ]:[WASH]], 3)=0, "", COUNTIF(tblSeverityAnalysis[[#This Row],[Site Management ]:[WASH]], 3))</f>
        <v>1</v>
      </c>
      <c r="U128" s="365" t="str">
        <f>IF(COUNTIF(tblSeverityAnalysis[[#This Row],[Site Management ]:[WASH]], 4)=0, "", COUNTIF(tblSeverityAnalysis[[#This Row],[Site Management ]:[WASH]], 4))</f>
        <v/>
      </c>
      <c r="V128" s="366" t="str">
        <f>IF(COUNTIF(tblSeverityAnalysis[[#This Row],[Site Management ]:[WASH]], 5)=0, "", COUNTIF(tblSeverityAnalysis[[#This Row],[Site Management ]:[WASH]], 5))</f>
        <v/>
      </c>
      <c r="W128" s="367">
        <f>IFERROR(LARGE(tblSeverityAnalysis[[#This Row],[Site Management ]:[General Protection]],1),"")</f>
        <v>3</v>
      </c>
      <c r="X128" s="368" t="str">
        <f>IFERROR(IF(AND(tblSeverityAnalysis[[#This Row],[5]] &lt;&gt; "", tblSeverityAnalysis[[#This Row],[5]]&gt;=sectors_sev_5), "Flagged", ""), "")</f>
        <v/>
      </c>
      <c r="Y128" s="369"/>
      <c r="Z128" s="324"/>
      <c r="AA128" s="370">
        <f>COUNTIF(tblSeverityAnalysis[[#This Row],[1 sectors in severity phase 5 '[modify the threshold']]:[Manual Flag]], "Flagged")</f>
        <v>0</v>
      </c>
      <c r="AB128" s="339"/>
      <c r="AC128" s="339"/>
      <c r="AD128" s="339"/>
      <c r="AE128" s="339"/>
    </row>
    <row r="129" spans="1:31" hidden="1" x14ac:dyDescent="0.3">
      <c r="A129" s="357" t="str">
        <f>tblSeverityAnalysis[[#This Row],[Admin 2 P-Code]]</f>
        <v>SD03150</v>
      </c>
      <c r="B129" s="245" t="s">
        <v>185</v>
      </c>
      <c r="C129" s="358" t="s">
        <v>120</v>
      </c>
      <c r="D129" s="372" t="s">
        <v>247</v>
      </c>
      <c r="E129" s="246" t="s">
        <v>246</v>
      </c>
      <c r="F129" s="360"/>
      <c r="G129" s="361"/>
      <c r="H129" s="361"/>
      <c r="I129" s="361"/>
      <c r="J129" s="361"/>
      <c r="K129" s="361"/>
      <c r="L129" s="361">
        <f>_xlfn.XLOOKUP(tblSeverityAnalysis[[#This Row],[Admin 2 P-Code]],'PIN2025'!B:B,'PIN2025'!H:H,0,0)</f>
        <v>3</v>
      </c>
      <c r="M129" s="363"/>
      <c r="N129" s="361"/>
      <c r="O129" s="361"/>
      <c r="P129" s="361"/>
      <c r="Q129" s="361"/>
      <c r="R129" s="364" t="str">
        <f>IF(COUNTIF(tblSeverityAnalysis[[#This Row],[Site Management ]:[WASH]], 1)=0, "", COUNTIF(tblSeverityAnalysis[[#This Row],[Site Management ]:[WASH]], 1))</f>
        <v/>
      </c>
      <c r="S129" s="365" t="str">
        <f>IF(COUNTIF(tblSeverityAnalysis[[#This Row],[Site Management ]:[WASH]], 2)=0, "", COUNTIF(tblSeverityAnalysis[[#This Row],[Site Management ]:[WASH]], 2))</f>
        <v/>
      </c>
      <c r="T129" s="365">
        <f>IF(COUNTIF(tblSeverityAnalysis[[#This Row],[Site Management ]:[WASH]], 3)=0, "", COUNTIF(tblSeverityAnalysis[[#This Row],[Site Management ]:[WASH]], 3))</f>
        <v>1</v>
      </c>
      <c r="U129" s="365" t="str">
        <f>IF(COUNTIF(tblSeverityAnalysis[[#This Row],[Site Management ]:[WASH]], 4)=0, "", COUNTIF(tblSeverityAnalysis[[#This Row],[Site Management ]:[WASH]], 4))</f>
        <v/>
      </c>
      <c r="V129" s="366" t="str">
        <f>IF(COUNTIF(tblSeverityAnalysis[[#This Row],[Site Management ]:[WASH]], 5)=0, "", COUNTIF(tblSeverityAnalysis[[#This Row],[Site Management ]:[WASH]], 5))</f>
        <v/>
      </c>
      <c r="W129" s="367">
        <f>IFERROR(LARGE(tblSeverityAnalysis[[#This Row],[Site Management ]:[General Protection]],1),"")</f>
        <v>3</v>
      </c>
      <c r="X129" s="368" t="str">
        <f>IFERROR(IF(AND(tblSeverityAnalysis[[#This Row],[5]] &lt;&gt; "", tblSeverityAnalysis[[#This Row],[5]]&gt;=sectors_sev_5), "Flagged", ""), "")</f>
        <v/>
      </c>
      <c r="Y129" s="369"/>
      <c r="Z129" s="324"/>
      <c r="AA129" s="370">
        <f>COUNTIF(tblSeverityAnalysis[[#This Row],[1 sectors in severity phase 5 '[modify the threshold']]:[Manual Flag]], "Flagged")</f>
        <v>0</v>
      </c>
      <c r="AB129" s="339"/>
      <c r="AC129" s="339"/>
      <c r="AD129" s="339"/>
      <c r="AE129" s="339"/>
    </row>
    <row r="130" spans="1:31" hidden="1" x14ac:dyDescent="0.3">
      <c r="A130" s="357" t="str">
        <f>tblSeverityAnalysis[[#This Row],[Admin 2 P-Code]]</f>
        <v>SD03151</v>
      </c>
      <c r="B130" s="245" t="s">
        <v>185</v>
      </c>
      <c r="C130" s="358" t="s">
        <v>120</v>
      </c>
      <c r="D130" s="372" t="s">
        <v>249</v>
      </c>
      <c r="E130" s="246" t="s">
        <v>248</v>
      </c>
      <c r="F130" s="360"/>
      <c r="G130" s="361"/>
      <c r="H130" s="361"/>
      <c r="I130" s="361"/>
      <c r="J130" s="361"/>
      <c r="K130" s="361"/>
      <c r="L130" s="361">
        <f>_xlfn.XLOOKUP(tblSeverityAnalysis[[#This Row],[Admin 2 P-Code]],'PIN2025'!B:B,'PIN2025'!H:H,0,0)</f>
        <v>3</v>
      </c>
      <c r="M130" s="363"/>
      <c r="N130" s="361"/>
      <c r="O130" s="361"/>
      <c r="P130" s="361"/>
      <c r="Q130" s="361"/>
      <c r="R130" s="364" t="str">
        <f>IF(COUNTIF(tblSeverityAnalysis[[#This Row],[Site Management ]:[WASH]], 1)=0, "", COUNTIF(tblSeverityAnalysis[[#This Row],[Site Management ]:[WASH]], 1))</f>
        <v/>
      </c>
      <c r="S130" s="365" t="str">
        <f>IF(COUNTIF(tblSeverityAnalysis[[#This Row],[Site Management ]:[WASH]], 2)=0, "", COUNTIF(tblSeverityAnalysis[[#This Row],[Site Management ]:[WASH]], 2))</f>
        <v/>
      </c>
      <c r="T130" s="365">
        <f>IF(COUNTIF(tblSeverityAnalysis[[#This Row],[Site Management ]:[WASH]], 3)=0, "", COUNTIF(tblSeverityAnalysis[[#This Row],[Site Management ]:[WASH]], 3))</f>
        <v>1</v>
      </c>
      <c r="U130" s="365" t="str">
        <f>IF(COUNTIF(tblSeverityAnalysis[[#This Row],[Site Management ]:[WASH]], 4)=0, "", COUNTIF(tblSeverityAnalysis[[#This Row],[Site Management ]:[WASH]], 4))</f>
        <v/>
      </c>
      <c r="V130" s="366" t="str">
        <f>IF(COUNTIF(tblSeverityAnalysis[[#This Row],[Site Management ]:[WASH]], 5)=0, "", COUNTIF(tblSeverityAnalysis[[#This Row],[Site Management ]:[WASH]], 5))</f>
        <v/>
      </c>
      <c r="W130" s="367">
        <f>IFERROR(LARGE(tblSeverityAnalysis[[#This Row],[Site Management ]:[General Protection]],1),"")</f>
        <v>3</v>
      </c>
      <c r="X130" s="368" t="str">
        <f>IFERROR(IF(AND(tblSeverityAnalysis[[#This Row],[5]] &lt;&gt; "", tblSeverityAnalysis[[#This Row],[5]]&gt;=sectors_sev_5), "Flagged", ""), "")</f>
        <v/>
      </c>
      <c r="Y130" s="369"/>
      <c r="Z130" s="324"/>
      <c r="AA130" s="370">
        <f>COUNTIF(tblSeverityAnalysis[[#This Row],[1 sectors in severity phase 5 '[modify the threshold']]:[Manual Flag]], "Flagged")</f>
        <v>0</v>
      </c>
      <c r="AB130" s="339"/>
      <c r="AC130" s="339"/>
      <c r="AD130" s="339"/>
      <c r="AE130" s="339"/>
    </row>
    <row r="131" spans="1:31" hidden="1" x14ac:dyDescent="0.3">
      <c r="A131" s="357" t="str">
        <f>tblSeverityAnalysis[[#This Row],[Admin 2 P-Code]]</f>
        <v>SD03153</v>
      </c>
      <c r="B131" s="245" t="s">
        <v>185</v>
      </c>
      <c r="C131" s="358" t="s">
        <v>120</v>
      </c>
      <c r="D131" s="372" t="s">
        <v>251</v>
      </c>
      <c r="E131" s="246" t="s">
        <v>250</v>
      </c>
      <c r="F131" s="360"/>
      <c r="G131" s="361"/>
      <c r="H131" s="361"/>
      <c r="I131" s="361"/>
      <c r="J131" s="361"/>
      <c r="K131" s="361"/>
      <c r="L131" s="361">
        <f>_xlfn.XLOOKUP(tblSeverityAnalysis[[#This Row],[Admin 2 P-Code]],'PIN2025'!B:B,'PIN2025'!H:H,0,0)</f>
        <v>3</v>
      </c>
      <c r="M131" s="363"/>
      <c r="N131" s="361"/>
      <c r="O131" s="361"/>
      <c r="P131" s="361"/>
      <c r="Q131" s="361"/>
      <c r="R131" s="364" t="str">
        <f>IF(COUNTIF(tblSeverityAnalysis[[#This Row],[Site Management ]:[WASH]], 1)=0, "", COUNTIF(tblSeverityAnalysis[[#This Row],[Site Management ]:[WASH]], 1))</f>
        <v/>
      </c>
      <c r="S131" s="365" t="str">
        <f>IF(COUNTIF(tblSeverityAnalysis[[#This Row],[Site Management ]:[WASH]], 2)=0, "", COUNTIF(tblSeverityAnalysis[[#This Row],[Site Management ]:[WASH]], 2))</f>
        <v/>
      </c>
      <c r="T131" s="365">
        <f>IF(COUNTIF(tblSeverityAnalysis[[#This Row],[Site Management ]:[WASH]], 3)=0, "", COUNTIF(tblSeverityAnalysis[[#This Row],[Site Management ]:[WASH]], 3))</f>
        <v>1</v>
      </c>
      <c r="U131" s="365" t="str">
        <f>IF(COUNTIF(tblSeverityAnalysis[[#This Row],[Site Management ]:[WASH]], 4)=0, "", COUNTIF(tblSeverityAnalysis[[#This Row],[Site Management ]:[WASH]], 4))</f>
        <v/>
      </c>
      <c r="V131" s="366" t="str">
        <f>IF(COUNTIF(tblSeverityAnalysis[[#This Row],[Site Management ]:[WASH]], 5)=0, "", COUNTIF(tblSeverityAnalysis[[#This Row],[Site Management ]:[WASH]], 5))</f>
        <v/>
      </c>
      <c r="W131" s="367">
        <f>IFERROR(LARGE(tblSeverityAnalysis[[#This Row],[Site Management ]:[General Protection]],1),"")</f>
        <v>3</v>
      </c>
      <c r="X131" s="368" t="str">
        <f>IFERROR(IF(AND(tblSeverityAnalysis[[#This Row],[5]] &lt;&gt; "", tblSeverityAnalysis[[#This Row],[5]]&gt;=sectors_sev_5), "Flagged", ""), "")</f>
        <v/>
      </c>
      <c r="Y131" s="369"/>
      <c r="Z131" s="324"/>
      <c r="AA131" s="370">
        <f>COUNTIF(tblSeverityAnalysis[[#This Row],[1 sectors in severity phase 5 '[modify the threshold']]:[Manual Flag]], "Flagged")</f>
        <v>0</v>
      </c>
      <c r="AB131" s="339"/>
      <c r="AC131" s="339"/>
      <c r="AD131" s="339"/>
      <c r="AE131" s="339"/>
    </row>
    <row r="132" spans="1:31" hidden="1" x14ac:dyDescent="0.3">
      <c r="A132" s="357" t="str">
        <f>tblSeverityAnalysis[[#This Row],[Admin 2 P-Code]]</f>
        <v>SD03154</v>
      </c>
      <c r="B132" s="245" t="s">
        <v>185</v>
      </c>
      <c r="C132" s="358" t="s">
        <v>120</v>
      </c>
      <c r="D132" s="372" t="s">
        <v>253</v>
      </c>
      <c r="E132" s="246" t="s">
        <v>252</v>
      </c>
      <c r="F132" s="360"/>
      <c r="G132" s="361"/>
      <c r="H132" s="361"/>
      <c r="I132" s="361"/>
      <c r="J132" s="361"/>
      <c r="K132" s="361"/>
      <c r="L132" s="361">
        <f>_xlfn.XLOOKUP(tblSeverityAnalysis[[#This Row],[Admin 2 P-Code]],'PIN2025'!B:B,'PIN2025'!H:H,0,0)</f>
        <v>3</v>
      </c>
      <c r="M132" s="363"/>
      <c r="N132" s="361"/>
      <c r="O132" s="361"/>
      <c r="P132" s="361"/>
      <c r="Q132" s="361"/>
      <c r="R132" s="364" t="str">
        <f>IF(COUNTIF(tblSeverityAnalysis[[#This Row],[Site Management ]:[WASH]], 1)=0, "", COUNTIF(tblSeverityAnalysis[[#This Row],[Site Management ]:[WASH]], 1))</f>
        <v/>
      </c>
      <c r="S132" s="365" t="str">
        <f>IF(COUNTIF(tblSeverityAnalysis[[#This Row],[Site Management ]:[WASH]], 2)=0, "", COUNTIF(tblSeverityAnalysis[[#This Row],[Site Management ]:[WASH]], 2))</f>
        <v/>
      </c>
      <c r="T132" s="365">
        <f>IF(COUNTIF(tblSeverityAnalysis[[#This Row],[Site Management ]:[WASH]], 3)=0, "", COUNTIF(tblSeverityAnalysis[[#This Row],[Site Management ]:[WASH]], 3))</f>
        <v>1</v>
      </c>
      <c r="U132" s="365" t="str">
        <f>IF(COUNTIF(tblSeverityAnalysis[[#This Row],[Site Management ]:[WASH]], 4)=0, "", COUNTIF(tblSeverityAnalysis[[#This Row],[Site Management ]:[WASH]], 4))</f>
        <v/>
      </c>
      <c r="V132" s="366" t="str">
        <f>IF(COUNTIF(tblSeverityAnalysis[[#This Row],[Site Management ]:[WASH]], 5)=0, "", COUNTIF(tblSeverityAnalysis[[#This Row],[Site Management ]:[WASH]], 5))</f>
        <v/>
      </c>
      <c r="W132" s="367">
        <f>IFERROR(LARGE(tblSeverityAnalysis[[#This Row],[Site Management ]:[General Protection]],1),"")</f>
        <v>3</v>
      </c>
      <c r="X132" s="368" t="str">
        <f>IFERROR(IF(AND(tblSeverityAnalysis[[#This Row],[5]] &lt;&gt; "", tblSeverityAnalysis[[#This Row],[5]]&gt;=sectors_sev_5), "Flagged", ""), "")</f>
        <v/>
      </c>
      <c r="Y132" s="369"/>
      <c r="Z132" s="324"/>
      <c r="AA132" s="370">
        <f>COUNTIF(tblSeverityAnalysis[[#This Row],[1 sectors in severity phase 5 '[modify the threshold']]:[Manual Flag]], "Flagged")</f>
        <v>0</v>
      </c>
      <c r="AB132" s="339"/>
      <c r="AC132" s="339"/>
      <c r="AD132" s="339"/>
      <c r="AE132" s="339"/>
    </row>
    <row r="133" spans="1:31" hidden="1" x14ac:dyDescent="0.3">
      <c r="A133" s="357" t="str">
        <f>tblSeverityAnalysis[[#This Row],[Admin 2 P-Code]]</f>
        <v>SD03156</v>
      </c>
      <c r="B133" s="245" t="s">
        <v>185</v>
      </c>
      <c r="C133" s="358" t="s">
        <v>120</v>
      </c>
      <c r="D133" s="372" t="s">
        <v>255</v>
      </c>
      <c r="E133" s="246" t="s">
        <v>254</v>
      </c>
      <c r="F133" s="360"/>
      <c r="G133" s="361"/>
      <c r="H133" s="361"/>
      <c r="I133" s="361"/>
      <c r="J133" s="361"/>
      <c r="K133" s="361"/>
      <c r="L133" s="361">
        <f>_xlfn.XLOOKUP(tblSeverityAnalysis[[#This Row],[Admin 2 P-Code]],'PIN2025'!B:B,'PIN2025'!H:H,0,0)</f>
        <v>3</v>
      </c>
      <c r="M133" s="363"/>
      <c r="N133" s="361"/>
      <c r="O133" s="361"/>
      <c r="P133" s="361"/>
      <c r="Q133" s="361"/>
      <c r="R133" s="364" t="str">
        <f>IF(COUNTIF(tblSeverityAnalysis[[#This Row],[Site Management ]:[WASH]], 1)=0, "", COUNTIF(tblSeverityAnalysis[[#This Row],[Site Management ]:[WASH]], 1))</f>
        <v/>
      </c>
      <c r="S133" s="365" t="str">
        <f>IF(COUNTIF(tblSeverityAnalysis[[#This Row],[Site Management ]:[WASH]], 2)=0, "", COUNTIF(tblSeverityAnalysis[[#This Row],[Site Management ]:[WASH]], 2))</f>
        <v/>
      </c>
      <c r="T133" s="365">
        <f>IF(COUNTIF(tblSeverityAnalysis[[#This Row],[Site Management ]:[WASH]], 3)=0, "", COUNTIF(tblSeverityAnalysis[[#This Row],[Site Management ]:[WASH]], 3))</f>
        <v>1</v>
      </c>
      <c r="U133" s="365" t="str">
        <f>IF(COUNTIF(tblSeverityAnalysis[[#This Row],[Site Management ]:[WASH]], 4)=0, "", COUNTIF(tblSeverityAnalysis[[#This Row],[Site Management ]:[WASH]], 4))</f>
        <v/>
      </c>
      <c r="V133" s="366" t="str">
        <f>IF(COUNTIF(tblSeverityAnalysis[[#This Row],[Site Management ]:[WASH]], 5)=0, "", COUNTIF(tblSeverityAnalysis[[#This Row],[Site Management ]:[WASH]], 5))</f>
        <v/>
      </c>
      <c r="W133" s="367">
        <f>IFERROR(LARGE(tblSeverityAnalysis[[#This Row],[Site Management ]:[General Protection]],1),"")</f>
        <v>3</v>
      </c>
      <c r="X133" s="368" t="str">
        <f>IFERROR(IF(AND(tblSeverityAnalysis[[#This Row],[5]] &lt;&gt; "", tblSeverityAnalysis[[#This Row],[5]]&gt;=sectors_sev_5), "Flagged", ""), "")</f>
        <v/>
      </c>
      <c r="Y133" s="369"/>
      <c r="Z133" s="324"/>
      <c r="AA133" s="370">
        <f>COUNTIF(tblSeverityAnalysis[[#This Row],[1 sectors in severity phase 5 '[modify the threshold']]:[Manual Flag]], "Flagged")</f>
        <v>0</v>
      </c>
      <c r="AB133" s="339"/>
      <c r="AC133" s="339"/>
      <c r="AD133" s="339"/>
      <c r="AE133" s="339"/>
    </row>
    <row r="134" spans="1:31" hidden="1" x14ac:dyDescent="0.3">
      <c r="A134" s="357" t="str">
        <f>tblSeverityAnalysis[[#This Row],[Admin 2 P-Code]]</f>
        <v>SD03157</v>
      </c>
      <c r="B134" s="245" t="s">
        <v>185</v>
      </c>
      <c r="C134" s="358" t="s">
        <v>120</v>
      </c>
      <c r="D134" s="372" t="s">
        <v>257</v>
      </c>
      <c r="E134" s="246" t="s">
        <v>256</v>
      </c>
      <c r="F134" s="360"/>
      <c r="G134" s="361"/>
      <c r="H134" s="361"/>
      <c r="I134" s="361"/>
      <c r="J134" s="361"/>
      <c r="K134" s="361"/>
      <c r="L134" s="361">
        <f>_xlfn.XLOOKUP(tblSeverityAnalysis[[#This Row],[Admin 2 P-Code]],'PIN2025'!B:B,'PIN2025'!H:H,0,0)</f>
        <v>3</v>
      </c>
      <c r="M134" s="363"/>
      <c r="N134" s="361"/>
      <c r="O134" s="361"/>
      <c r="P134" s="361"/>
      <c r="Q134" s="361"/>
      <c r="R134" s="364" t="str">
        <f>IF(COUNTIF(tblSeverityAnalysis[[#This Row],[Site Management ]:[WASH]], 1)=0, "", COUNTIF(tblSeverityAnalysis[[#This Row],[Site Management ]:[WASH]], 1))</f>
        <v/>
      </c>
      <c r="S134" s="365" t="str">
        <f>IF(COUNTIF(tblSeverityAnalysis[[#This Row],[Site Management ]:[WASH]], 2)=0, "", COUNTIF(tblSeverityAnalysis[[#This Row],[Site Management ]:[WASH]], 2))</f>
        <v/>
      </c>
      <c r="T134" s="365">
        <f>IF(COUNTIF(tblSeverityAnalysis[[#This Row],[Site Management ]:[WASH]], 3)=0, "", COUNTIF(tblSeverityAnalysis[[#This Row],[Site Management ]:[WASH]], 3))</f>
        <v>1</v>
      </c>
      <c r="U134" s="365" t="str">
        <f>IF(COUNTIF(tblSeverityAnalysis[[#This Row],[Site Management ]:[WASH]], 4)=0, "", COUNTIF(tblSeverityAnalysis[[#This Row],[Site Management ]:[WASH]], 4))</f>
        <v/>
      </c>
      <c r="V134" s="366" t="str">
        <f>IF(COUNTIF(tblSeverityAnalysis[[#This Row],[Site Management ]:[WASH]], 5)=0, "", COUNTIF(tblSeverityAnalysis[[#This Row],[Site Management ]:[WASH]], 5))</f>
        <v/>
      </c>
      <c r="W134" s="367">
        <f>IFERROR(LARGE(tblSeverityAnalysis[[#This Row],[Site Management ]:[General Protection]],1),"")</f>
        <v>3</v>
      </c>
      <c r="X134" s="368" t="str">
        <f>IFERROR(IF(AND(tblSeverityAnalysis[[#This Row],[5]] &lt;&gt; "", tblSeverityAnalysis[[#This Row],[5]]&gt;=sectors_sev_5), "Flagged", ""), "")</f>
        <v/>
      </c>
      <c r="Y134" s="369"/>
      <c r="Z134" s="324"/>
      <c r="AA134" s="370">
        <f>COUNTIF(tblSeverityAnalysis[[#This Row],[1 sectors in severity phase 5 '[modify the threshold']]:[Manual Flag]], "Flagged")</f>
        <v>0</v>
      </c>
      <c r="AB134" s="339"/>
      <c r="AC134" s="339"/>
      <c r="AD134" s="339"/>
      <c r="AE134" s="339"/>
    </row>
    <row r="135" spans="1:31" hidden="1" x14ac:dyDescent="0.3">
      <c r="A135" s="357" t="str">
        <f>tblSeverityAnalysis[[#This Row],[Admin 2 P-Code]]</f>
        <v>SD03159</v>
      </c>
      <c r="B135" s="245" t="s">
        <v>185</v>
      </c>
      <c r="C135" s="358" t="s">
        <v>120</v>
      </c>
      <c r="D135" s="372" t="s">
        <v>261</v>
      </c>
      <c r="E135" s="246" t="s">
        <v>260</v>
      </c>
      <c r="F135" s="360"/>
      <c r="G135" s="361"/>
      <c r="H135" s="361"/>
      <c r="I135" s="361"/>
      <c r="J135" s="361"/>
      <c r="K135" s="361"/>
      <c r="L135" s="361">
        <f>_xlfn.XLOOKUP(tblSeverityAnalysis[[#This Row],[Admin 2 P-Code]],'PIN2025'!B:B,'PIN2025'!H:H,0,0)</f>
        <v>3</v>
      </c>
      <c r="M135" s="363"/>
      <c r="N135" s="361"/>
      <c r="O135" s="361"/>
      <c r="P135" s="361"/>
      <c r="Q135" s="361"/>
      <c r="R135" s="364" t="str">
        <f>IF(COUNTIF(tblSeverityAnalysis[[#This Row],[Site Management ]:[WASH]], 1)=0, "", COUNTIF(tblSeverityAnalysis[[#This Row],[Site Management ]:[WASH]], 1))</f>
        <v/>
      </c>
      <c r="S135" s="365" t="str">
        <f>IF(COUNTIF(tblSeverityAnalysis[[#This Row],[Site Management ]:[WASH]], 2)=0, "", COUNTIF(tblSeverityAnalysis[[#This Row],[Site Management ]:[WASH]], 2))</f>
        <v/>
      </c>
      <c r="T135" s="365">
        <f>IF(COUNTIF(tblSeverityAnalysis[[#This Row],[Site Management ]:[WASH]], 3)=0, "", COUNTIF(tblSeverityAnalysis[[#This Row],[Site Management ]:[WASH]], 3))</f>
        <v>1</v>
      </c>
      <c r="U135" s="365" t="str">
        <f>IF(COUNTIF(tblSeverityAnalysis[[#This Row],[Site Management ]:[WASH]], 4)=0, "", COUNTIF(tblSeverityAnalysis[[#This Row],[Site Management ]:[WASH]], 4))</f>
        <v/>
      </c>
      <c r="V135" s="366" t="str">
        <f>IF(COUNTIF(tblSeverityAnalysis[[#This Row],[Site Management ]:[WASH]], 5)=0, "", COUNTIF(tblSeverityAnalysis[[#This Row],[Site Management ]:[WASH]], 5))</f>
        <v/>
      </c>
      <c r="W135" s="367">
        <f>IFERROR(LARGE(tblSeverityAnalysis[[#This Row],[Site Management ]:[General Protection]],1),"")</f>
        <v>3</v>
      </c>
      <c r="X135" s="368" t="str">
        <f>IFERROR(IF(AND(tblSeverityAnalysis[[#This Row],[5]] &lt;&gt; "", tblSeverityAnalysis[[#This Row],[5]]&gt;=sectors_sev_5), "Flagged", ""), "")</f>
        <v/>
      </c>
      <c r="Y135" s="369"/>
      <c r="Z135" s="324"/>
      <c r="AA135" s="370">
        <f>COUNTIF(tblSeverityAnalysis[[#This Row],[1 sectors in severity phase 5 '[modify the threshold']]:[Manual Flag]], "Flagged")</f>
        <v>0</v>
      </c>
      <c r="AB135" s="339"/>
      <c r="AC135" s="339"/>
      <c r="AD135" s="339"/>
      <c r="AE135" s="339"/>
    </row>
    <row r="136" spans="1:31" hidden="1" x14ac:dyDescent="0.3">
      <c r="A136" s="357" t="str">
        <f>tblSeverityAnalysis[[#This Row],[Admin 2 P-Code]]</f>
        <v>SD03161</v>
      </c>
      <c r="B136" s="245" t="s">
        <v>185</v>
      </c>
      <c r="C136" s="358" t="s">
        <v>120</v>
      </c>
      <c r="D136" s="372" t="s">
        <v>263</v>
      </c>
      <c r="E136" s="246" t="s">
        <v>262</v>
      </c>
      <c r="F136" s="360"/>
      <c r="G136" s="361"/>
      <c r="H136" s="361"/>
      <c r="I136" s="361"/>
      <c r="J136" s="361"/>
      <c r="K136" s="361"/>
      <c r="L136" s="361">
        <f>_xlfn.XLOOKUP(tblSeverityAnalysis[[#This Row],[Admin 2 P-Code]],'PIN2025'!B:B,'PIN2025'!H:H,0,0)</f>
        <v>3</v>
      </c>
      <c r="M136" s="363"/>
      <c r="N136" s="361"/>
      <c r="O136" s="361"/>
      <c r="P136" s="361"/>
      <c r="Q136" s="361"/>
      <c r="R136" s="364" t="str">
        <f>IF(COUNTIF(tblSeverityAnalysis[[#This Row],[Site Management ]:[WASH]], 1)=0, "", COUNTIF(tblSeverityAnalysis[[#This Row],[Site Management ]:[WASH]], 1))</f>
        <v/>
      </c>
      <c r="S136" s="365" t="str">
        <f>IF(COUNTIF(tblSeverityAnalysis[[#This Row],[Site Management ]:[WASH]], 2)=0, "", COUNTIF(tblSeverityAnalysis[[#This Row],[Site Management ]:[WASH]], 2))</f>
        <v/>
      </c>
      <c r="T136" s="365">
        <f>IF(COUNTIF(tblSeverityAnalysis[[#This Row],[Site Management ]:[WASH]], 3)=0, "", COUNTIF(tblSeverityAnalysis[[#This Row],[Site Management ]:[WASH]], 3))</f>
        <v>1</v>
      </c>
      <c r="U136" s="365" t="str">
        <f>IF(COUNTIF(tblSeverityAnalysis[[#This Row],[Site Management ]:[WASH]], 4)=0, "", COUNTIF(tblSeverityAnalysis[[#This Row],[Site Management ]:[WASH]], 4))</f>
        <v/>
      </c>
      <c r="V136" s="366" t="str">
        <f>IF(COUNTIF(tblSeverityAnalysis[[#This Row],[Site Management ]:[WASH]], 5)=0, "", COUNTIF(tblSeverityAnalysis[[#This Row],[Site Management ]:[WASH]], 5))</f>
        <v/>
      </c>
      <c r="W136" s="367">
        <f>IFERROR(LARGE(tblSeverityAnalysis[[#This Row],[Site Management ]:[General Protection]],1),"")</f>
        <v>3</v>
      </c>
      <c r="X136" s="368" t="str">
        <f>IFERROR(IF(AND(tblSeverityAnalysis[[#This Row],[5]] &lt;&gt; "", tblSeverityAnalysis[[#This Row],[5]]&gt;=sectors_sev_5), "Flagged", ""), "")</f>
        <v/>
      </c>
      <c r="Y136" s="369"/>
      <c r="Z136" s="324"/>
      <c r="AA136" s="370">
        <f>COUNTIF(tblSeverityAnalysis[[#This Row],[1 sectors in severity phase 5 '[modify the threshold']]:[Manual Flag]], "Flagged")</f>
        <v>0</v>
      </c>
      <c r="AB136" s="339"/>
      <c r="AC136" s="339"/>
      <c r="AD136" s="339"/>
      <c r="AE136" s="339"/>
    </row>
    <row r="137" spans="1:31" x14ac:dyDescent="0.3">
      <c r="A137" s="357" t="str">
        <f>tblSeverityAnalysis[[#This Row],[Admin 2 P-Code]]</f>
        <v>SD03162</v>
      </c>
      <c r="B137" s="245" t="s">
        <v>185</v>
      </c>
      <c r="C137" s="358" t="s">
        <v>120</v>
      </c>
      <c r="D137" s="372" t="s">
        <v>265</v>
      </c>
      <c r="E137" s="246" t="s">
        <v>264</v>
      </c>
      <c r="F137" s="360"/>
      <c r="G137" s="361"/>
      <c r="H137" s="361"/>
      <c r="I137" s="361"/>
      <c r="J137" s="361"/>
      <c r="K137" s="361">
        <v>4</v>
      </c>
      <c r="L137" s="384">
        <v>4</v>
      </c>
      <c r="M137" s="363"/>
      <c r="N137" s="361"/>
      <c r="O137" s="361"/>
      <c r="P137" s="361"/>
      <c r="Q137" s="361"/>
      <c r="R137" s="364" t="str">
        <f>IF(COUNTIF(tblSeverityAnalysis[[#This Row],[Site Management ]:[WASH]], 1)=0, "", COUNTIF(tblSeverityAnalysis[[#This Row],[Site Management ]:[WASH]], 1))</f>
        <v/>
      </c>
      <c r="S137" s="365" t="str">
        <f>IF(COUNTIF(tblSeverityAnalysis[[#This Row],[Site Management ]:[WASH]], 2)=0, "", COUNTIF(tblSeverityAnalysis[[#This Row],[Site Management ]:[WASH]], 2))</f>
        <v/>
      </c>
      <c r="T137" s="365" t="str">
        <f>IF(COUNTIF(tblSeverityAnalysis[[#This Row],[Site Management ]:[WASH]], 3)=0, "", COUNTIF(tblSeverityAnalysis[[#This Row],[Site Management ]:[WASH]], 3))</f>
        <v/>
      </c>
      <c r="U137" s="365">
        <f>IF(COUNTIF(tblSeverityAnalysis[[#This Row],[Site Management ]:[WASH]], 4)=0, "", COUNTIF(tblSeverityAnalysis[[#This Row],[Site Management ]:[WASH]], 4))</f>
        <v>2</v>
      </c>
      <c r="V137" s="366" t="str">
        <f>IF(COUNTIF(tblSeverityAnalysis[[#This Row],[Site Management ]:[WASH]], 5)=0, "", COUNTIF(tblSeverityAnalysis[[#This Row],[Site Management ]:[WASH]], 5))</f>
        <v/>
      </c>
      <c r="W137" s="367">
        <f>IFERROR(LARGE(tblSeverityAnalysis[[#This Row],[Site Management ]:[General Protection]],1),"")</f>
        <v>4</v>
      </c>
      <c r="X137" s="368" t="str">
        <f>IFERROR(IF(AND(tblSeverityAnalysis[[#This Row],[5]] &lt;&gt; "", tblSeverityAnalysis[[#This Row],[5]]&gt;=sectors_sev_5), "Flagged", ""), "")</f>
        <v/>
      </c>
      <c r="Y137" s="369"/>
      <c r="Z137" s="324"/>
      <c r="AA137" s="370">
        <f>COUNTIF(tblSeverityAnalysis[[#This Row],[1 sectors in severity phase 5 '[modify the threshold']]:[Manual Flag]], "Flagged")</f>
        <v>0</v>
      </c>
      <c r="AB137" s="339"/>
      <c r="AC137" s="339"/>
      <c r="AD137" s="339"/>
      <c r="AE137" s="339"/>
    </row>
    <row r="138" spans="1:31" x14ac:dyDescent="0.3">
      <c r="A138" s="357" t="str">
        <f>tblSeverityAnalysis[[#This Row],[Admin 2 P-Code]]</f>
        <v>SD03164</v>
      </c>
      <c r="B138" s="245" t="s">
        <v>185</v>
      </c>
      <c r="C138" s="358" t="s">
        <v>120</v>
      </c>
      <c r="D138" s="372" t="s">
        <v>267</v>
      </c>
      <c r="E138" s="246" t="s">
        <v>266</v>
      </c>
      <c r="F138" s="360"/>
      <c r="G138" s="361"/>
      <c r="H138" s="361"/>
      <c r="I138" s="361"/>
      <c r="J138" s="361"/>
      <c r="K138" s="361">
        <v>4</v>
      </c>
      <c r="L138" s="383">
        <v>4</v>
      </c>
      <c r="M138" s="363"/>
      <c r="N138" s="361"/>
      <c r="O138" s="361"/>
      <c r="P138" s="361"/>
      <c r="Q138" s="361"/>
      <c r="R138" s="364" t="str">
        <f>IF(COUNTIF(tblSeverityAnalysis[[#This Row],[Site Management ]:[WASH]], 1)=0, "", COUNTIF(tblSeverityAnalysis[[#This Row],[Site Management ]:[WASH]], 1))</f>
        <v/>
      </c>
      <c r="S138" s="365" t="str">
        <f>IF(COUNTIF(tblSeverityAnalysis[[#This Row],[Site Management ]:[WASH]], 2)=0, "", COUNTIF(tblSeverityAnalysis[[#This Row],[Site Management ]:[WASH]], 2))</f>
        <v/>
      </c>
      <c r="T138" s="365" t="str">
        <f>IF(COUNTIF(tblSeverityAnalysis[[#This Row],[Site Management ]:[WASH]], 3)=0, "", COUNTIF(tblSeverityAnalysis[[#This Row],[Site Management ]:[WASH]], 3))</f>
        <v/>
      </c>
      <c r="U138" s="365">
        <f>IF(COUNTIF(tblSeverityAnalysis[[#This Row],[Site Management ]:[WASH]], 4)=0, "", COUNTIF(tblSeverityAnalysis[[#This Row],[Site Management ]:[WASH]], 4))</f>
        <v>2</v>
      </c>
      <c r="V138" s="366" t="str">
        <f>IF(COUNTIF(tblSeverityAnalysis[[#This Row],[Site Management ]:[WASH]], 5)=0, "", COUNTIF(tblSeverityAnalysis[[#This Row],[Site Management ]:[WASH]], 5))</f>
        <v/>
      </c>
      <c r="W138" s="367">
        <f>IFERROR(LARGE(tblSeverityAnalysis[[#This Row],[Site Management ]:[General Protection]],1),"")</f>
        <v>4</v>
      </c>
      <c r="X138" s="368" t="str">
        <f>IFERROR(IF(AND(tblSeverityAnalysis[[#This Row],[5]] &lt;&gt; "", tblSeverityAnalysis[[#This Row],[5]]&gt;=sectors_sev_5), "Flagged", ""), "")</f>
        <v/>
      </c>
      <c r="Y138" s="369"/>
      <c r="Z138" s="324"/>
      <c r="AA138" s="370">
        <f>COUNTIF(tblSeverityAnalysis[[#This Row],[1 sectors in severity phase 5 '[modify the threshold']]:[Manual Flag]], "Flagged")</f>
        <v>0</v>
      </c>
      <c r="AB138" s="339"/>
      <c r="AC138" s="339"/>
      <c r="AD138" s="339"/>
      <c r="AE138" s="339"/>
    </row>
    <row r="139" spans="1:31" hidden="1" x14ac:dyDescent="0.3">
      <c r="A139" s="357" t="str">
        <f>tblSeverityAnalysis[[#This Row],[Admin 2 P-Code]]</f>
        <v>SD03166</v>
      </c>
      <c r="B139" s="245" t="s">
        <v>185</v>
      </c>
      <c r="C139" s="358" t="s">
        <v>120</v>
      </c>
      <c r="D139" s="372" t="s">
        <v>269</v>
      </c>
      <c r="E139" s="246" t="s">
        <v>268</v>
      </c>
      <c r="F139" s="360"/>
      <c r="G139" s="361"/>
      <c r="H139" s="361"/>
      <c r="I139" s="361"/>
      <c r="J139" s="361"/>
      <c r="K139" s="361"/>
      <c r="L139" s="361">
        <f>_xlfn.XLOOKUP(tblSeverityAnalysis[[#This Row],[Admin 2 P-Code]],'PIN2025'!B:B,'PIN2025'!H:H,0,0)</f>
        <v>3</v>
      </c>
      <c r="M139" s="363"/>
      <c r="N139" s="361"/>
      <c r="O139" s="361"/>
      <c r="P139" s="361"/>
      <c r="Q139" s="361"/>
      <c r="R139" s="364" t="str">
        <f>IF(COUNTIF(tblSeverityAnalysis[[#This Row],[Site Management ]:[WASH]], 1)=0, "", COUNTIF(tblSeverityAnalysis[[#This Row],[Site Management ]:[WASH]], 1))</f>
        <v/>
      </c>
      <c r="S139" s="365" t="str">
        <f>IF(COUNTIF(tblSeverityAnalysis[[#This Row],[Site Management ]:[WASH]], 2)=0, "", COUNTIF(tblSeverityAnalysis[[#This Row],[Site Management ]:[WASH]], 2))</f>
        <v/>
      </c>
      <c r="T139" s="365">
        <f>IF(COUNTIF(tblSeverityAnalysis[[#This Row],[Site Management ]:[WASH]], 3)=0, "", COUNTIF(tblSeverityAnalysis[[#This Row],[Site Management ]:[WASH]], 3))</f>
        <v>1</v>
      </c>
      <c r="U139" s="365" t="str">
        <f>IF(COUNTIF(tblSeverityAnalysis[[#This Row],[Site Management ]:[WASH]], 4)=0, "", COUNTIF(tblSeverityAnalysis[[#This Row],[Site Management ]:[WASH]], 4))</f>
        <v/>
      </c>
      <c r="V139" s="366" t="str">
        <f>IF(COUNTIF(tblSeverityAnalysis[[#This Row],[Site Management ]:[WASH]], 5)=0, "", COUNTIF(tblSeverityAnalysis[[#This Row],[Site Management ]:[WASH]], 5))</f>
        <v/>
      </c>
      <c r="W139" s="367">
        <f>IFERROR(LARGE(tblSeverityAnalysis[[#This Row],[Site Management ]:[General Protection]],1),"")</f>
        <v>3</v>
      </c>
      <c r="X139" s="368" t="str">
        <f>IFERROR(IF(AND(tblSeverityAnalysis[[#This Row],[5]] &lt;&gt; "", tblSeverityAnalysis[[#This Row],[5]]&gt;=sectors_sev_5), "Flagged", ""), "")</f>
        <v/>
      </c>
      <c r="Y139" s="369"/>
      <c r="Z139" s="324"/>
      <c r="AA139" s="370">
        <f>COUNTIF(tblSeverityAnalysis[[#This Row],[1 sectors in severity phase 5 '[modify the threshold']]:[Manual Flag]], "Flagged")</f>
        <v>0</v>
      </c>
      <c r="AB139" s="339"/>
      <c r="AC139" s="339"/>
      <c r="AD139" s="339"/>
      <c r="AE139" s="339"/>
    </row>
    <row r="140" spans="1:31" hidden="1" x14ac:dyDescent="0.3">
      <c r="A140" s="357" t="str">
        <f>tblSeverityAnalysis[[#This Row],[Admin 2 P-Code]]</f>
        <v>SD03167</v>
      </c>
      <c r="B140" s="245" t="s">
        <v>185</v>
      </c>
      <c r="C140" s="358" t="s">
        <v>120</v>
      </c>
      <c r="D140" s="372" t="s">
        <v>271</v>
      </c>
      <c r="E140" s="246" t="s">
        <v>270</v>
      </c>
      <c r="F140" s="360"/>
      <c r="G140" s="361"/>
      <c r="H140" s="361"/>
      <c r="I140" s="361"/>
      <c r="J140" s="361"/>
      <c r="K140" s="361"/>
      <c r="L140" s="361">
        <f>_xlfn.XLOOKUP(tblSeverityAnalysis[[#This Row],[Admin 2 P-Code]],'PIN2025'!B:B,'PIN2025'!H:H,0,0)</f>
        <v>3</v>
      </c>
      <c r="M140" s="363"/>
      <c r="N140" s="361"/>
      <c r="O140" s="361"/>
      <c r="P140" s="361"/>
      <c r="Q140" s="361"/>
      <c r="R140" s="364" t="str">
        <f>IF(COUNTIF(tblSeverityAnalysis[[#This Row],[Site Management ]:[WASH]], 1)=0, "", COUNTIF(tblSeverityAnalysis[[#This Row],[Site Management ]:[WASH]], 1))</f>
        <v/>
      </c>
      <c r="S140" s="365" t="str">
        <f>IF(COUNTIF(tblSeverityAnalysis[[#This Row],[Site Management ]:[WASH]], 2)=0, "", COUNTIF(tblSeverityAnalysis[[#This Row],[Site Management ]:[WASH]], 2))</f>
        <v/>
      </c>
      <c r="T140" s="365">
        <f>IF(COUNTIF(tblSeverityAnalysis[[#This Row],[Site Management ]:[WASH]], 3)=0, "", COUNTIF(tblSeverityAnalysis[[#This Row],[Site Management ]:[WASH]], 3))</f>
        <v>1</v>
      </c>
      <c r="U140" s="365" t="str">
        <f>IF(COUNTIF(tblSeverityAnalysis[[#This Row],[Site Management ]:[WASH]], 4)=0, "", COUNTIF(tblSeverityAnalysis[[#This Row],[Site Management ]:[WASH]], 4))</f>
        <v/>
      </c>
      <c r="V140" s="366" t="str">
        <f>IF(COUNTIF(tblSeverityAnalysis[[#This Row],[Site Management ]:[WASH]], 5)=0, "", COUNTIF(tblSeverityAnalysis[[#This Row],[Site Management ]:[WASH]], 5))</f>
        <v/>
      </c>
      <c r="W140" s="367">
        <f>IFERROR(LARGE(tblSeverityAnalysis[[#This Row],[Site Management ]:[General Protection]],1),"")</f>
        <v>3</v>
      </c>
      <c r="X140" s="368" t="str">
        <f>IFERROR(IF(AND(tblSeverityAnalysis[[#This Row],[5]] &lt;&gt; "", tblSeverityAnalysis[[#This Row],[5]]&gt;=sectors_sev_5), "Flagged", ""), "")</f>
        <v/>
      </c>
      <c r="Y140" s="369"/>
      <c r="Z140" s="324"/>
      <c r="AA140" s="370">
        <f>COUNTIF(tblSeverityAnalysis[[#This Row],[1 sectors in severity phase 5 '[modify the threshold']]:[Manual Flag]], "Flagged")</f>
        <v>0</v>
      </c>
      <c r="AB140" s="339"/>
      <c r="AC140" s="339"/>
      <c r="AD140" s="339"/>
      <c r="AE140" s="339"/>
    </row>
    <row r="141" spans="1:31" hidden="1" x14ac:dyDescent="0.3">
      <c r="A141" s="357" t="str">
        <f>tblSeverityAnalysis[[#This Row],[Admin 2 P-Code]]</f>
        <v>SD03172</v>
      </c>
      <c r="B141" s="245" t="s">
        <v>185</v>
      </c>
      <c r="C141" s="358" t="s">
        <v>120</v>
      </c>
      <c r="D141" s="372" t="s">
        <v>273</v>
      </c>
      <c r="E141" s="246" t="s">
        <v>272</v>
      </c>
      <c r="F141" s="360"/>
      <c r="G141" s="361"/>
      <c r="H141" s="361"/>
      <c r="I141" s="361"/>
      <c r="J141" s="361"/>
      <c r="K141" s="361"/>
      <c r="L141" s="361">
        <f>_xlfn.XLOOKUP(tblSeverityAnalysis[[#This Row],[Admin 2 P-Code]],'PIN2025'!B:B,'PIN2025'!H:H,0,0)</f>
        <v>3</v>
      </c>
      <c r="M141" s="363"/>
      <c r="N141" s="361"/>
      <c r="O141" s="361"/>
      <c r="P141" s="361"/>
      <c r="Q141" s="361"/>
      <c r="R141" s="364" t="str">
        <f>IF(COUNTIF(tblSeverityAnalysis[[#This Row],[Site Management ]:[WASH]], 1)=0, "", COUNTIF(tblSeverityAnalysis[[#This Row],[Site Management ]:[WASH]], 1))</f>
        <v/>
      </c>
      <c r="S141" s="365" t="str">
        <f>IF(COUNTIF(tblSeverityAnalysis[[#This Row],[Site Management ]:[WASH]], 2)=0, "", COUNTIF(tblSeverityAnalysis[[#This Row],[Site Management ]:[WASH]], 2))</f>
        <v/>
      </c>
      <c r="T141" s="365">
        <f>IF(COUNTIF(tblSeverityAnalysis[[#This Row],[Site Management ]:[WASH]], 3)=0, "", COUNTIF(tblSeverityAnalysis[[#This Row],[Site Management ]:[WASH]], 3))</f>
        <v>1</v>
      </c>
      <c r="U141" s="365" t="str">
        <f>IF(COUNTIF(tblSeverityAnalysis[[#This Row],[Site Management ]:[WASH]], 4)=0, "", COUNTIF(tblSeverityAnalysis[[#This Row],[Site Management ]:[WASH]], 4))</f>
        <v/>
      </c>
      <c r="V141" s="366" t="str">
        <f>IF(COUNTIF(tblSeverityAnalysis[[#This Row],[Site Management ]:[WASH]], 5)=0, "", COUNTIF(tblSeverityAnalysis[[#This Row],[Site Management ]:[WASH]], 5))</f>
        <v/>
      </c>
      <c r="W141" s="367">
        <f>IFERROR(LARGE(tblSeverityAnalysis[[#This Row],[Site Management ]:[General Protection]],1),"")</f>
        <v>3</v>
      </c>
      <c r="X141" s="368" t="str">
        <f>IFERROR(IF(AND(tblSeverityAnalysis[[#This Row],[5]] &lt;&gt; "", tblSeverityAnalysis[[#This Row],[5]]&gt;=sectors_sev_5), "Flagged", ""), "")</f>
        <v/>
      </c>
      <c r="Y141" s="369"/>
      <c r="Z141" s="324"/>
      <c r="AA141" s="370">
        <f>COUNTIF(tblSeverityAnalysis[[#This Row],[1 sectors in severity phase 5 '[modify the threshold']]:[Manual Flag]], "Flagged")</f>
        <v>0</v>
      </c>
      <c r="AB141" s="339"/>
      <c r="AC141" s="339"/>
      <c r="AD141" s="339"/>
      <c r="AE141" s="339"/>
    </row>
    <row r="142" spans="1:31" hidden="1" x14ac:dyDescent="0.3">
      <c r="A142" s="357" t="str">
        <f>tblSeverityAnalysis[[#This Row],[Admin 2 P-Code]]</f>
        <v>SD07088</v>
      </c>
      <c r="B142" s="245" t="s">
        <v>188</v>
      </c>
      <c r="C142" s="358" t="s">
        <v>124</v>
      </c>
      <c r="D142" s="372" t="s">
        <v>336</v>
      </c>
      <c r="E142" s="246" t="s">
        <v>337</v>
      </c>
      <c r="F142" s="360"/>
      <c r="G142" s="361"/>
      <c r="H142" s="361"/>
      <c r="I142" s="361"/>
      <c r="J142" s="361"/>
      <c r="K142" s="361"/>
      <c r="L142" s="361">
        <f>_xlfn.XLOOKUP(tblSeverityAnalysis[[#This Row],[Admin 2 P-Code]],'PIN2025'!B:B,'PIN2025'!H:H,0,0)</f>
        <v>3</v>
      </c>
      <c r="M142" s="363"/>
      <c r="N142" s="361"/>
      <c r="O142" s="361"/>
      <c r="P142" s="361"/>
      <c r="Q142" s="361"/>
      <c r="R142" s="364" t="str">
        <f>IF(COUNTIF(tblSeverityAnalysis[[#This Row],[Site Management ]:[WASH]], 1)=0, "", COUNTIF(tblSeverityAnalysis[[#This Row],[Site Management ]:[WASH]], 1))</f>
        <v/>
      </c>
      <c r="S142" s="365" t="str">
        <f>IF(COUNTIF(tblSeverityAnalysis[[#This Row],[Site Management ]:[WASH]], 2)=0, "", COUNTIF(tblSeverityAnalysis[[#This Row],[Site Management ]:[WASH]], 2))</f>
        <v/>
      </c>
      <c r="T142" s="365">
        <f>IF(COUNTIF(tblSeverityAnalysis[[#This Row],[Site Management ]:[WASH]], 3)=0, "", COUNTIF(tblSeverityAnalysis[[#This Row],[Site Management ]:[WASH]], 3))</f>
        <v>1</v>
      </c>
      <c r="U142" s="365" t="str">
        <f>IF(COUNTIF(tblSeverityAnalysis[[#This Row],[Site Management ]:[WASH]], 4)=0, "", COUNTIF(tblSeverityAnalysis[[#This Row],[Site Management ]:[WASH]], 4))</f>
        <v/>
      </c>
      <c r="V142" s="366" t="str">
        <f>IF(COUNTIF(tblSeverityAnalysis[[#This Row],[Site Management ]:[WASH]], 5)=0, "", COUNTIF(tblSeverityAnalysis[[#This Row],[Site Management ]:[WASH]], 5))</f>
        <v/>
      </c>
      <c r="W142" s="367">
        <f>IFERROR(LARGE(tblSeverityAnalysis[[#This Row],[Site Management ]:[General Protection]],1),"")</f>
        <v>3</v>
      </c>
      <c r="X142" s="368" t="str">
        <f>IFERROR(IF(AND(tblSeverityAnalysis[[#This Row],[5]] &lt;&gt; "", tblSeverityAnalysis[[#This Row],[5]]&gt;=sectors_sev_5), "Flagged", ""), "")</f>
        <v/>
      </c>
      <c r="Y142" s="369"/>
      <c r="Z142" s="324"/>
      <c r="AA142" s="370">
        <f>COUNTIF(tblSeverityAnalysis[[#This Row],[1 sectors in severity phase 5 '[modify the threshold']]:[Manual Flag]], "Flagged")</f>
        <v>0</v>
      </c>
      <c r="AB142" s="339"/>
      <c r="AC142" s="339"/>
      <c r="AD142" s="339"/>
      <c r="AE142" s="339"/>
    </row>
    <row r="143" spans="1:31" hidden="1" x14ac:dyDescent="0.3">
      <c r="A143" s="357" t="str">
        <f>tblSeverityAnalysis[[#This Row],[Admin 2 P-Code]]</f>
        <v>SD07089</v>
      </c>
      <c r="B143" s="245" t="s">
        <v>188</v>
      </c>
      <c r="C143" s="358" t="s">
        <v>124</v>
      </c>
      <c r="D143" s="372" t="s">
        <v>338</v>
      </c>
      <c r="E143" s="246" t="s">
        <v>339</v>
      </c>
      <c r="F143" s="360"/>
      <c r="G143" s="361"/>
      <c r="H143" s="361"/>
      <c r="I143" s="361"/>
      <c r="J143" s="361"/>
      <c r="K143" s="361"/>
      <c r="L143" s="361">
        <f>_xlfn.XLOOKUP(tblSeverityAnalysis[[#This Row],[Admin 2 P-Code]],'PIN2025'!B:B,'PIN2025'!H:H,0,0)</f>
        <v>3</v>
      </c>
      <c r="M143" s="363"/>
      <c r="N143" s="361"/>
      <c r="O143" s="361"/>
      <c r="P143" s="361"/>
      <c r="Q143" s="361"/>
      <c r="R143" s="364" t="str">
        <f>IF(COUNTIF(tblSeverityAnalysis[[#This Row],[Site Management ]:[WASH]], 1)=0, "", COUNTIF(tblSeverityAnalysis[[#This Row],[Site Management ]:[WASH]], 1))</f>
        <v/>
      </c>
      <c r="S143" s="365" t="str">
        <f>IF(COUNTIF(tblSeverityAnalysis[[#This Row],[Site Management ]:[WASH]], 2)=0, "", COUNTIF(tblSeverityAnalysis[[#This Row],[Site Management ]:[WASH]], 2))</f>
        <v/>
      </c>
      <c r="T143" s="365">
        <f>IF(COUNTIF(tblSeverityAnalysis[[#This Row],[Site Management ]:[WASH]], 3)=0, "", COUNTIF(tblSeverityAnalysis[[#This Row],[Site Management ]:[WASH]], 3))</f>
        <v>1</v>
      </c>
      <c r="U143" s="365" t="str">
        <f>IF(COUNTIF(tblSeverityAnalysis[[#This Row],[Site Management ]:[WASH]], 4)=0, "", COUNTIF(tblSeverityAnalysis[[#This Row],[Site Management ]:[WASH]], 4))</f>
        <v/>
      </c>
      <c r="V143" s="366" t="str">
        <f>IF(COUNTIF(tblSeverityAnalysis[[#This Row],[Site Management ]:[WASH]], 5)=0, "", COUNTIF(tblSeverityAnalysis[[#This Row],[Site Management ]:[WASH]], 5))</f>
        <v/>
      </c>
      <c r="W143" s="367">
        <f>IFERROR(LARGE(tblSeverityAnalysis[[#This Row],[Site Management ]:[General Protection]],1),"")</f>
        <v>3</v>
      </c>
      <c r="X143" s="368" t="str">
        <f>IFERROR(IF(AND(tblSeverityAnalysis[[#This Row],[5]] &lt;&gt; "", tblSeverityAnalysis[[#This Row],[5]]&gt;=sectors_sev_5), "Flagged", ""), "")</f>
        <v/>
      </c>
      <c r="Y143" s="369"/>
      <c r="Z143" s="324"/>
      <c r="AA143" s="370">
        <f>COUNTIF(tblSeverityAnalysis[[#This Row],[1 sectors in severity phase 5 '[modify the threshold']]:[Manual Flag]], "Flagged")</f>
        <v>0</v>
      </c>
      <c r="AB143" s="339"/>
      <c r="AC143" s="339"/>
      <c r="AD143" s="339"/>
      <c r="AE143" s="339"/>
    </row>
    <row r="144" spans="1:31" hidden="1" x14ac:dyDescent="0.3">
      <c r="A144" s="357" t="str">
        <f>tblSeverityAnalysis[[#This Row],[Admin 2 P-Code]]</f>
        <v>SD07091</v>
      </c>
      <c r="B144" s="245" t="s">
        <v>188</v>
      </c>
      <c r="C144" s="358" t="s">
        <v>124</v>
      </c>
      <c r="D144" s="372" t="s">
        <v>342</v>
      </c>
      <c r="E144" s="246" t="s">
        <v>343</v>
      </c>
      <c r="F144" s="360"/>
      <c r="G144" s="361"/>
      <c r="H144" s="361"/>
      <c r="I144" s="361"/>
      <c r="J144" s="361"/>
      <c r="K144" s="361"/>
      <c r="L144" s="361">
        <f>_xlfn.XLOOKUP(tblSeverityAnalysis[[#This Row],[Admin 2 P-Code]],'PIN2025'!B:B,'PIN2025'!H:H,0,0)</f>
        <v>3</v>
      </c>
      <c r="M144" s="363"/>
      <c r="N144" s="361"/>
      <c r="O144" s="361"/>
      <c r="P144" s="361"/>
      <c r="Q144" s="361"/>
      <c r="R144" s="364" t="str">
        <f>IF(COUNTIF(tblSeverityAnalysis[[#This Row],[Site Management ]:[WASH]], 1)=0, "", COUNTIF(tblSeverityAnalysis[[#This Row],[Site Management ]:[WASH]], 1))</f>
        <v/>
      </c>
      <c r="S144" s="365" t="str">
        <f>IF(COUNTIF(tblSeverityAnalysis[[#This Row],[Site Management ]:[WASH]], 2)=0, "", COUNTIF(tblSeverityAnalysis[[#This Row],[Site Management ]:[WASH]], 2))</f>
        <v/>
      </c>
      <c r="T144" s="365">
        <f>IF(COUNTIF(tblSeverityAnalysis[[#This Row],[Site Management ]:[WASH]], 3)=0, "", COUNTIF(tblSeverityAnalysis[[#This Row],[Site Management ]:[WASH]], 3))</f>
        <v>1</v>
      </c>
      <c r="U144" s="365" t="str">
        <f>IF(COUNTIF(tblSeverityAnalysis[[#This Row],[Site Management ]:[WASH]], 4)=0, "", COUNTIF(tblSeverityAnalysis[[#This Row],[Site Management ]:[WASH]], 4))</f>
        <v/>
      </c>
      <c r="V144" s="366" t="str">
        <f>IF(COUNTIF(tblSeverityAnalysis[[#This Row],[Site Management ]:[WASH]], 5)=0, "", COUNTIF(tblSeverityAnalysis[[#This Row],[Site Management ]:[WASH]], 5))</f>
        <v/>
      </c>
      <c r="W144" s="367">
        <f>IFERROR(LARGE(tblSeverityAnalysis[[#This Row],[Site Management ]:[General Protection]],1),"")</f>
        <v>3</v>
      </c>
      <c r="X144" s="368" t="str">
        <f>IFERROR(IF(AND(tblSeverityAnalysis[[#This Row],[5]] &lt;&gt; "", tblSeverityAnalysis[[#This Row],[5]]&gt;=sectors_sev_5), "Flagged", ""), "")</f>
        <v/>
      </c>
      <c r="Y144" s="369"/>
      <c r="Z144" s="324"/>
      <c r="AA144" s="370">
        <f>COUNTIF(tblSeverityAnalysis[[#This Row],[1 sectors in severity phase 5 '[modify the threshold']]:[Manual Flag]], "Flagged")</f>
        <v>0</v>
      </c>
      <c r="AB144" s="339"/>
      <c r="AC144" s="339"/>
      <c r="AD144" s="339"/>
      <c r="AE144" s="339"/>
    </row>
    <row r="145" spans="1:31" hidden="1" x14ac:dyDescent="0.3">
      <c r="A145" s="357" t="str">
        <f>tblSeverityAnalysis[[#This Row],[Admin 2 P-Code]]</f>
        <v>SD07093</v>
      </c>
      <c r="B145" s="245" t="s">
        <v>188</v>
      </c>
      <c r="C145" s="358" t="s">
        <v>124</v>
      </c>
      <c r="D145" s="372" t="s">
        <v>344</v>
      </c>
      <c r="E145" s="246" t="s">
        <v>345</v>
      </c>
      <c r="F145" s="360"/>
      <c r="G145" s="361"/>
      <c r="H145" s="361"/>
      <c r="I145" s="361"/>
      <c r="J145" s="361"/>
      <c r="K145" s="361"/>
      <c r="L145" s="361">
        <f>_xlfn.XLOOKUP(tblSeverityAnalysis[[#This Row],[Admin 2 P-Code]],'PIN2025'!B:B,'PIN2025'!H:H,0,0)</f>
        <v>3</v>
      </c>
      <c r="M145" s="363"/>
      <c r="N145" s="361"/>
      <c r="O145" s="361"/>
      <c r="P145" s="361"/>
      <c r="Q145" s="361"/>
      <c r="R145" s="364" t="str">
        <f>IF(COUNTIF(tblSeverityAnalysis[[#This Row],[Site Management ]:[WASH]], 1)=0, "", COUNTIF(tblSeverityAnalysis[[#This Row],[Site Management ]:[WASH]], 1))</f>
        <v/>
      </c>
      <c r="S145" s="365" t="str">
        <f>IF(COUNTIF(tblSeverityAnalysis[[#This Row],[Site Management ]:[WASH]], 2)=0, "", COUNTIF(tblSeverityAnalysis[[#This Row],[Site Management ]:[WASH]], 2))</f>
        <v/>
      </c>
      <c r="T145" s="365">
        <f>IF(COUNTIF(tblSeverityAnalysis[[#This Row],[Site Management ]:[WASH]], 3)=0, "", COUNTIF(tblSeverityAnalysis[[#This Row],[Site Management ]:[WASH]], 3))</f>
        <v>1</v>
      </c>
      <c r="U145" s="365" t="str">
        <f>IF(COUNTIF(tblSeverityAnalysis[[#This Row],[Site Management ]:[WASH]], 4)=0, "", COUNTIF(tblSeverityAnalysis[[#This Row],[Site Management ]:[WASH]], 4))</f>
        <v/>
      </c>
      <c r="V145" s="366" t="str">
        <f>IF(COUNTIF(tblSeverityAnalysis[[#This Row],[Site Management ]:[WASH]], 5)=0, "", COUNTIF(tblSeverityAnalysis[[#This Row],[Site Management ]:[WASH]], 5))</f>
        <v/>
      </c>
      <c r="W145" s="367">
        <f>IFERROR(LARGE(tblSeverityAnalysis[[#This Row],[Site Management ]:[General Protection]],1),"")</f>
        <v>3</v>
      </c>
      <c r="X145" s="368" t="str">
        <f>IFERROR(IF(AND(tblSeverityAnalysis[[#This Row],[5]] &lt;&gt; "", tblSeverityAnalysis[[#This Row],[5]]&gt;=sectors_sev_5), "Flagged", ""), "")</f>
        <v/>
      </c>
      <c r="Y145" s="369"/>
      <c r="Z145" s="324"/>
      <c r="AA145" s="370">
        <f>COUNTIF(tblSeverityAnalysis[[#This Row],[1 sectors in severity phase 5 '[modify the threshold']]:[Manual Flag]], "Flagged")</f>
        <v>0</v>
      </c>
      <c r="AB145" s="339"/>
      <c r="AC145" s="339"/>
      <c r="AD145" s="339"/>
      <c r="AE145" s="339"/>
    </row>
    <row r="146" spans="1:31" hidden="1" x14ac:dyDescent="0.3">
      <c r="A146" s="357" t="str">
        <f>tblSeverityAnalysis[[#This Row],[Admin 2 P-Code]]</f>
        <v>SD07094</v>
      </c>
      <c r="B146" s="245" t="s">
        <v>188</v>
      </c>
      <c r="C146" s="358" t="s">
        <v>124</v>
      </c>
      <c r="D146" s="372" t="s">
        <v>346</v>
      </c>
      <c r="E146" s="246" t="s">
        <v>347</v>
      </c>
      <c r="F146" s="360"/>
      <c r="G146" s="361"/>
      <c r="H146" s="361"/>
      <c r="I146" s="361"/>
      <c r="J146" s="361"/>
      <c r="K146" s="361"/>
      <c r="L146" s="361">
        <f>_xlfn.XLOOKUP(tblSeverityAnalysis[[#This Row],[Admin 2 P-Code]],'PIN2025'!B:B,'PIN2025'!H:H,0,0)</f>
        <v>3</v>
      </c>
      <c r="M146" s="363"/>
      <c r="N146" s="361"/>
      <c r="O146" s="361"/>
      <c r="P146" s="361"/>
      <c r="Q146" s="361"/>
      <c r="R146" s="364" t="str">
        <f>IF(COUNTIF(tblSeverityAnalysis[[#This Row],[Site Management ]:[WASH]], 1)=0, "", COUNTIF(tblSeverityAnalysis[[#This Row],[Site Management ]:[WASH]], 1))</f>
        <v/>
      </c>
      <c r="S146" s="365" t="str">
        <f>IF(COUNTIF(tblSeverityAnalysis[[#This Row],[Site Management ]:[WASH]], 2)=0, "", COUNTIF(tblSeverityAnalysis[[#This Row],[Site Management ]:[WASH]], 2))</f>
        <v/>
      </c>
      <c r="T146" s="365">
        <f>IF(COUNTIF(tblSeverityAnalysis[[#This Row],[Site Management ]:[WASH]], 3)=0, "", COUNTIF(tblSeverityAnalysis[[#This Row],[Site Management ]:[WASH]], 3))</f>
        <v>1</v>
      </c>
      <c r="U146" s="365" t="str">
        <f>IF(COUNTIF(tblSeverityAnalysis[[#This Row],[Site Management ]:[WASH]], 4)=0, "", COUNTIF(tblSeverityAnalysis[[#This Row],[Site Management ]:[WASH]], 4))</f>
        <v/>
      </c>
      <c r="V146" s="366" t="str">
        <f>IF(COUNTIF(tblSeverityAnalysis[[#This Row],[Site Management ]:[WASH]], 5)=0, "", COUNTIF(tblSeverityAnalysis[[#This Row],[Site Management ]:[WASH]], 5))</f>
        <v/>
      </c>
      <c r="W146" s="367">
        <f>IFERROR(LARGE(tblSeverityAnalysis[[#This Row],[Site Management ]:[General Protection]],1),"")</f>
        <v>3</v>
      </c>
      <c r="X146" s="368" t="str">
        <f>IFERROR(IF(AND(tblSeverityAnalysis[[#This Row],[5]] &lt;&gt; "", tblSeverityAnalysis[[#This Row],[5]]&gt;=sectors_sev_5), "Flagged", ""), "")</f>
        <v/>
      </c>
      <c r="Y146" s="369"/>
      <c r="Z146" s="324"/>
      <c r="AA146" s="370">
        <f>COUNTIF(tblSeverityAnalysis[[#This Row],[1 sectors in severity phase 5 '[modify the threshold']]:[Manual Flag]], "Flagged")</f>
        <v>0</v>
      </c>
      <c r="AB146" s="339"/>
      <c r="AC146" s="339"/>
      <c r="AD146" s="339"/>
      <c r="AE146" s="339"/>
    </row>
    <row r="147" spans="1:31" hidden="1" x14ac:dyDescent="0.3">
      <c r="A147" s="357" t="str">
        <f>tblSeverityAnalysis[[#This Row],[Admin 2 P-Code]]</f>
        <v>SD07095</v>
      </c>
      <c r="B147" s="245" t="s">
        <v>188</v>
      </c>
      <c r="C147" s="358" t="s">
        <v>124</v>
      </c>
      <c r="D147" s="372" t="s">
        <v>348</v>
      </c>
      <c r="E147" s="246" t="s">
        <v>349</v>
      </c>
      <c r="F147" s="360"/>
      <c r="G147" s="361"/>
      <c r="H147" s="361"/>
      <c r="I147" s="361"/>
      <c r="J147" s="361"/>
      <c r="K147" s="361"/>
      <c r="L147" s="361">
        <f>_xlfn.XLOOKUP(tblSeverityAnalysis[[#This Row],[Admin 2 P-Code]],'PIN2025'!B:B,'PIN2025'!H:H,0,0)</f>
        <v>3</v>
      </c>
      <c r="M147" s="363"/>
      <c r="N147" s="361"/>
      <c r="O147" s="361"/>
      <c r="P147" s="361"/>
      <c r="Q147" s="361"/>
      <c r="R147" s="364" t="str">
        <f>IF(COUNTIF(tblSeverityAnalysis[[#This Row],[Site Management ]:[WASH]], 1)=0, "", COUNTIF(tblSeverityAnalysis[[#This Row],[Site Management ]:[WASH]], 1))</f>
        <v/>
      </c>
      <c r="S147" s="365" t="str">
        <f>IF(COUNTIF(tblSeverityAnalysis[[#This Row],[Site Management ]:[WASH]], 2)=0, "", COUNTIF(tblSeverityAnalysis[[#This Row],[Site Management ]:[WASH]], 2))</f>
        <v/>
      </c>
      <c r="T147" s="365">
        <f>IF(COUNTIF(tblSeverityAnalysis[[#This Row],[Site Management ]:[WASH]], 3)=0, "", COUNTIF(tblSeverityAnalysis[[#This Row],[Site Management ]:[WASH]], 3))</f>
        <v>1</v>
      </c>
      <c r="U147" s="365" t="str">
        <f>IF(COUNTIF(tblSeverityAnalysis[[#This Row],[Site Management ]:[WASH]], 4)=0, "", COUNTIF(tblSeverityAnalysis[[#This Row],[Site Management ]:[WASH]], 4))</f>
        <v/>
      </c>
      <c r="V147" s="366" t="str">
        <f>IF(COUNTIF(tblSeverityAnalysis[[#This Row],[Site Management ]:[WASH]], 5)=0, "", COUNTIF(tblSeverityAnalysis[[#This Row],[Site Management ]:[WASH]], 5))</f>
        <v/>
      </c>
      <c r="W147" s="367">
        <f>IFERROR(LARGE(tblSeverityAnalysis[[#This Row],[Site Management ]:[General Protection]],1),"")</f>
        <v>3</v>
      </c>
      <c r="X147" s="368" t="str">
        <f>IFERROR(IF(AND(tblSeverityAnalysis[[#This Row],[5]] &lt;&gt; "", tblSeverityAnalysis[[#This Row],[5]]&gt;=sectors_sev_5), "Flagged", ""), "")</f>
        <v/>
      </c>
      <c r="Y147" s="369"/>
      <c r="Z147" s="324"/>
      <c r="AA147" s="370">
        <f>COUNTIF(tblSeverityAnalysis[[#This Row],[1 sectors in severity phase 5 '[modify the threshold']]:[Manual Flag]], "Flagged")</f>
        <v>0</v>
      </c>
      <c r="AB147" s="339"/>
      <c r="AC147" s="339"/>
      <c r="AD147" s="339"/>
      <c r="AE147" s="339"/>
    </row>
    <row r="148" spans="1:31" hidden="1" x14ac:dyDescent="0.3">
      <c r="A148" s="357" t="str">
        <f>tblSeverityAnalysis[[#This Row],[Admin 2 P-Code]]</f>
        <v>SD07096</v>
      </c>
      <c r="B148" s="245" t="s">
        <v>188</v>
      </c>
      <c r="C148" s="358" t="s">
        <v>124</v>
      </c>
      <c r="D148" s="372" t="s">
        <v>350</v>
      </c>
      <c r="E148" s="246" t="s">
        <v>351</v>
      </c>
      <c r="F148" s="360"/>
      <c r="G148" s="361"/>
      <c r="H148" s="361"/>
      <c r="I148" s="361"/>
      <c r="J148" s="361"/>
      <c r="K148" s="361"/>
      <c r="L148" s="361">
        <f>_xlfn.XLOOKUP(tblSeverityAnalysis[[#This Row],[Admin 2 P-Code]],'PIN2025'!B:B,'PIN2025'!H:H,0,0)</f>
        <v>3</v>
      </c>
      <c r="M148" s="363"/>
      <c r="N148" s="361"/>
      <c r="O148" s="361"/>
      <c r="P148" s="361"/>
      <c r="Q148" s="361"/>
      <c r="R148" s="364" t="str">
        <f>IF(COUNTIF(tblSeverityAnalysis[[#This Row],[Site Management ]:[WASH]], 1)=0, "", COUNTIF(tblSeverityAnalysis[[#This Row],[Site Management ]:[WASH]], 1))</f>
        <v/>
      </c>
      <c r="S148" s="365" t="str">
        <f>IF(COUNTIF(tblSeverityAnalysis[[#This Row],[Site Management ]:[WASH]], 2)=0, "", COUNTIF(tblSeverityAnalysis[[#This Row],[Site Management ]:[WASH]], 2))</f>
        <v/>
      </c>
      <c r="T148" s="365">
        <f>IF(COUNTIF(tblSeverityAnalysis[[#This Row],[Site Management ]:[WASH]], 3)=0, "", COUNTIF(tblSeverityAnalysis[[#This Row],[Site Management ]:[WASH]], 3))</f>
        <v>1</v>
      </c>
      <c r="U148" s="365" t="str">
        <f>IF(COUNTIF(tblSeverityAnalysis[[#This Row],[Site Management ]:[WASH]], 4)=0, "", COUNTIF(tblSeverityAnalysis[[#This Row],[Site Management ]:[WASH]], 4))</f>
        <v/>
      </c>
      <c r="V148" s="366" t="str">
        <f>IF(COUNTIF(tblSeverityAnalysis[[#This Row],[Site Management ]:[WASH]], 5)=0, "", COUNTIF(tblSeverityAnalysis[[#This Row],[Site Management ]:[WASH]], 5))</f>
        <v/>
      </c>
      <c r="W148" s="367">
        <f>IFERROR(LARGE(tblSeverityAnalysis[[#This Row],[Site Management ]:[General Protection]],1),"")</f>
        <v>3</v>
      </c>
      <c r="X148" s="368" t="str">
        <f>IFERROR(IF(AND(tblSeverityAnalysis[[#This Row],[5]] &lt;&gt; "", tblSeverityAnalysis[[#This Row],[5]]&gt;=sectors_sev_5), "Flagged", ""), "")</f>
        <v/>
      </c>
      <c r="Y148" s="369"/>
      <c r="Z148" s="324"/>
      <c r="AA148" s="370">
        <f>COUNTIF(tblSeverityAnalysis[[#This Row],[1 sectors in severity phase 5 '[modify the threshold']]:[Manual Flag]], "Flagged")</f>
        <v>0</v>
      </c>
      <c r="AB148" s="339"/>
      <c r="AC148" s="339"/>
      <c r="AD148" s="339"/>
      <c r="AE148" s="339"/>
    </row>
    <row r="149" spans="1:31" hidden="1" x14ac:dyDescent="0.3">
      <c r="A149" s="357" t="str">
        <f>tblSeverityAnalysis[[#This Row],[Admin 2 P-Code]]</f>
        <v>SD07097</v>
      </c>
      <c r="B149" s="245" t="s">
        <v>188</v>
      </c>
      <c r="C149" s="358" t="s">
        <v>124</v>
      </c>
      <c r="D149" s="372" t="s">
        <v>352</v>
      </c>
      <c r="E149" s="246" t="s">
        <v>353</v>
      </c>
      <c r="F149" s="360"/>
      <c r="G149" s="361"/>
      <c r="H149" s="361"/>
      <c r="I149" s="361"/>
      <c r="J149" s="361"/>
      <c r="K149" s="361"/>
      <c r="L149" s="361">
        <f>_xlfn.XLOOKUP(tblSeverityAnalysis[[#This Row],[Admin 2 P-Code]],'PIN2025'!B:B,'PIN2025'!H:H,0,0)</f>
        <v>3</v>
      </c>
      <c r="M149" s="363"/>
      <c r="N149" s="361"/>
      <c r="O149" s="361"/>
      <c r="P149" s="361"/>
      <c r="Q149" s="361"/>
      <c r="R149" s="364" t="str">
        <f>IF(COUNTIF(tblSeverityAnalysis[[#This Row],[Site Management ]:[WASH]], 1)=0, "", COUNTIF(tblSeverityAnalysis[[#This Row],[Site Management ]:[WASH]], 1))</f>
        <v/>
      </c>
      <c r="S149" s="365" t="str">
        <f>IF(COUNTIF(tblSeverityAnalysis[[#This Row],[Site Management ]:[WASH]], 2)=0, "", COUNTIF(tblSeverityAnalysis[[#This Row],[Site Management ]:[WASH]], 2))</f>
        <v/>
      </c>
      <c r="T149" s="365">
        <f>IF(COUNTIF(tblSeverityAnalysis[[#This Row],[Site Management ]:[WASH]], 3)=0, "", COUNTIF(tblSeverityAnalysis[[#This Row],[Site Management ]:[WASH]], 3))</f>
        <v>1</v>
      </c>
      <c r="U149" s="365" t="str">
        <f>IF(COUNTIF(tblSeverityAnalysis[[#This Row],[Site Management ]:[WASH]], 4)=0, "", COUNTIF(tblSeverityAnalysis[[#This Row],[Site Management ]:[WASH]], 4))</f>
        <v/>
      </c>
      <c r="V149" s="366" t="str">
        <f>IF(COUNTIF(tblSeverityAnalysis[[#This Row],[Site Management ]:[WASH]], 5)=0, "", COUNTIF(tblSeverityAnalysis[[#This Row],[Site Management ]:[WASH]], 5))</f>
        <v/>
      </c>
      <c r="W149" s="367">
        <f>IFERROR(LARGE(tblSeverityAnalysis[[#This Row],[Site Management ]:[General Protection]],1),"")</f>
        <v>3</v>
      </c>
      <c r="X149" s="368" t="str">
        <f>IFERROR(IF(AND(tblSeverityAnalysis[[#This Row],[5]] &lt;&gt; "", tblSeverityAnalysis[[#This Row],[5]]&gt;=sectors_sev_5), "Flagged", ""), "")</f>
        <v/>
      </c>
      <c r="Y149" s="369"/>
      <c r="Z149" s="324"/>
      <c r="AA149" s="370">
        <f>COUNTIF(tblSeverityAnalysis[[#This Row],[1 sectors in severity phase 5 '[modify the threshold']]:[Manual Flag]], "Flagged")</f>
        <v>0</v>
      </c>
      <c r="AB149" s="339"/>
      <c r="AC149" s="339"/>
      <c r="AD149" s="339"/>
      <c r="AE149" s="339"/>
    </row>
    <row r="150" spans="1:31" hidden="1" x14ac:dyDescent="0.3">
      <c r="A150" s="357" t="str">
        <f>tblSeverityAnalysis[[#This Row],[Admin 2 P-Code]]</f>
        <v>SD07098</v>
      </c>
      <c r="B150" s="245" t="s">
        <v>188</v>
      </c>
      <c r="C150" s="358" t="s">
        <v>124</v>
      </c>
      <c r="D150" s="372" t="s">
        <v>354</v>
      </c>
      <c r="E150" s="246" t="s">
        <v>355</v>
      </c>
      <c r="F150" s="360"/>
      <c r="G150" s="361"/>
      <c r="H150" s="361"/>
      <c r="I150" s="361"/>
      <c r="J150" s="361"/>
      <c r="K150" s="361"/>
      <c r="L150" s="361">
        <f>_xlfn.XLOOKUP(tblSeverityAnalysis[[#This Row],[Admin 2 P-Code]],'PIN2025'!B:B,'PIN2025'!H:H,0,0)</f>
        <v>3</v>
      </c>
      <c r="M150" s="363"/>
      <c r="N150" s="361"/>
      <c r="O150" s="361"/>
      <c r="P150" s="361"/>
      <c r="Q150" s="361"/>
      <c r="R150" s="364" t="str">
        <f>IF(COUNTIF(tblSeverityAnalysis[[#This Row],[Site Management ]:[WASH]], 1)=0, "", COUNTIF(tblSeverityAnalysis[[#This Row],[Site Management ]:[WASH]], 1))</f>
        <v/>
      </c>
      <c r="S150" s="365" t="str">
        <f>IF(COUNTIF(tblSeverityAnalysis[[#This Row],[Site Management ]:[WASH]], 2)=0, "", COUNTIF(tblSeverityAnalysis[[#This Row],[Site Management ]:[WASH]], 2))</f>
        <v/>
      </c>
      <c r="T150" s="365">
        <f>IF(COUNTIF(tblSeverityAnalysis[[#This Row],[Site Management ]:[WASH]], 3)=0, "", COUNTIF(tblSeverityAnalysis[[#This Row],[Site Management ]:[WASH]], 3))</f>
        <v>1</v>
      </c>
      <c r="U150" s="365" t="str">
        <f>IF(COUNTIF(tblSeverityAnalysis[[#This Row],[Site Management ]:[WASH]], 4)=0, "", COUNTIF(tblSeverityAnalysis[[#This Row],[Site Management ]:[WASH]], 4))</f>
        <v/>
      </c>
      <c r="V150" s="366" t="str">
        <f>IF(COUNTIF(tblSeverityAnalysis[[#This Row],[Site Management ]:[WASH]], 5)=0, "", COUNTIF(tblSeverityAnalysis[[#This Row],[Site Management ]:[WASH]], 5))</f>
        <v/>
      </c>
      <c r="W150" s="367">
        <f>IFERROR(LARGE(tblSeverityAnalysis[[#This Row],[Site Management ]:[General Protection]],1),"")</f>
        <v>3</v>
      </c>
      <c r="X150" s="368" t="str">
        <f>IFERROR(IF(AND(tblSeverityAnalysis[[#This Row],[5]] &lt;&gt; "", tblSeverityAnalysis[[#This Row],[5]]&gt;=sectors_sev_5), "Flagged", ""), "")</f>
        <v/>
      </c>
      <c r="Y150" s="369"/>
      <c r="Z150" s="324"/>
      <c r="AA150" s="370">
        <f>COUNTIF(tblSeverityAnalysis[[#This Row],[1 sectors in severity phase 5 '[modify the threshold']]:[Manual Flag]], "Flagged")</f>
        <v>0</v>
      </c>
      <c r="AB150" s="339"/>
      <c r="AC150" s="339"/>
      <c r="AD150" s="339"/>
      <c r="AE150" s="339"/>
    </row>
    <row r="151" spans="1:31" hidden="1" x14ac:dyDescent="0.3">
      <c r="A151" s="357" t="str">
        <f>tblSeverityAnalysis[[#This Row],[Admin 2 P-Code]]</f>
        <v>SD07104</v>
      </c>
      <c r="B151" s="245" t="s">
        <v>188</v>
      </c>
      <c r="C151" s="358" t="s">
        <v>124</v>
      </c>
      <c r="D151" s="372" t="s">
        <v>360</v>
      </c>
      <c r="E151" s="246" t="s">
        <v>361</v>
      </c>
      <c r="F151" s="360"/>
      <c r="G151" s="361"/>
      <c r="H151" s="361"/>
      <c r="I151" s="361"/>
      <c r="J151" s="361"/>
      <c r="K151" s="361"/>
      <c r="L151" s="361">
        <f>_xlfn.XLOOKUP(tblSeverityAnalysis[[#This Row],[Admin 2 P-Code]],'PIN2025'!B:B,'PIN2025'!H:H,0,0)</f>
        <v>3</v>
      </c>
      <c r="M151" s="363"/>
      <c r="N151" s="361"/>
      <c r="O151" s="361"/>
      <c r="P151" s="361"/>
      <c r="Q151" s="361"/>
      <c r="R151" s="364" t="str">
        <f>IF(COUNTIF(tblSeverityAnalysis[[#This Row],[Site Management ]:[WASH]], 1)=0, "", COUNTIF(tblSeverityAnalysis[[#This Row],[Site Management ]:[WASH]], 1))</f>
        <v/>
      </c>
      <c r="S151" s="365" t="str">
        <f>IF(COUNTIF(tblSeverityAnalysis[[#This Row],[Site Management ]:[WASH]], 2)=0, "", COUNTIF(tblSeverityAnalysis[[#This Row],[Site Management ]:[WASH]], 2))</f>
        <v/>
      </c>
      <c r="T151" s="365">
        <f>IF(COUNTIF(tblSeverityAnalysis[[#This Row],[Site Management ]:[WASH]], 3)=0, "", COUNTIF(tblSeverityAnalysis[[#This Row],[Site Management ]:[WASH]], 3))</f>
        <v>1</v>
      </c>
      <c r="U151" s="365" t="str">
        <f>IF(COUNTIF(tblSeverityAnalysis[[#This Row],[Site Management ]:[WASH]], 4)=0, "", COUNTIF(tblSeverityAnalysis[[#This Row],[Site Management ]:[WASH]], 4))</f>
        <v/>
      </c>
      <c r="V151" s="366" t="str">
        <f>IF(COUNTIF(tblSeverityAnalysis[[#This Row],[Site Management ]:[WASH]], 5)=0, "", COUNTIF(tblSeverityAnalysis[[#This Row],[Site Management ]:[WASH]], 5))</f>
        <v/>
      </c>
      <c r="W151" s="367">
        <f>IFERROR(LARGE(tblSeverityAnalysis[[#This Row],[Site Management ]:[General Protection]],1),"")</f>
        <v>3</v>
      </c>
      <c r="X151" s="368" t="str">
        <f>IFERROR(IF(AND(tblSeverityAnalysis[[#This Row],[5]] &lt;&gt; "", tblSeverityAnalysis[[#This Row],[5]]&gt;=sectors_sev_5), "Flagged", ""), "")</f>
        <v/>
      </c>
      <c r="Y151" s="369"/>
      <c r="Z151" s="324"/>
      <c r="AA151" s="370">
        <f>COUNTIF(tblSeverityAnalysis[[#This Row],[1 sectors in severity phase 5 '[modify the threshold']]:[Manual Flag]], "Flagged")</f>
        <v>0</v>
      </c>
      <c r="AB151" s="339"/>
      <c r="AC151" s="339"/>
      <c r="AD151" s="339"/>
      <c r="AE151" s="339"/>
    </row>
    <row r="152" spans="1:31" hidden="1" x14ac:dyDescent="0.3">
      <c r="A152" s="357" t="str">
        <f>tblSeverityAnalysis[[#This Row],[Admin 2 P-Code]]</f>
        <v>SD07105</v>
      </c>
      <c r="B152" s="245" t="s">
        <v>188</v>
      </c>
      <c r="C152" s="358" t="s">
        <v>124</v>
      </c>
      <c r="D152" s="372" t="s">
        <v>362</v>
      </c>
      <c r="E152" s="246" t="s">
        <v>363</v>
      </c>
      <c r="F152" s="360"/>
      <c r="G152" s="361"/>
      <c r="H152" s="361"/>
      <c r="I152" s="361"/>
      <c r="J152" s="361"/>
      <c r="K152" s="361"/>
      <c r="L152" s="361">
        <f>_xlfn.XLOOKUP(tblSeverityAnalysis[[#This Row],[Admin 2 P-Code]],'PIN2025'!B:B,'PIN2025'!H:H,0,0)</f>
        <v>3</v>
      </c>
      <c r="M152" s="363"/>
      <c r="N152" s="361"/>
      <c r="O152" s="361"/>
      <c r="P152" s="361"/>
      <c r="Q152" s="361"/>
      <c r="R152" s="364" t="str">
        <f>IF(COUNTIF(tblSeverityAnalysis[[#This Row],[Site Management ]:[WASH]], 1)=0, "", COUNTIF(tblSeverityAnalysis[[#This Row],[Site Management ]:[WASH]], 1))</f>
        <v/>
      </c>
      <c r="S152" s="365" t="str">
        <f>IF(COUNTIF(tblSeverityAnalysis[[#This Row],[Site Management ]:[WASH]], 2)=0, "", COUNTIF(tblSeverityAnalysis[[#This Row],[Site Management ]:[WASH]], 2))</f>
        <v/>
      </c>
      <c r="T152" s="365">
        <f>IF(COUNTIF(tblSeverityAnalysis[[#This Row],[Site Management ]:[WASH]], 3)=0, "", COUNTIF(tblSeverityAnalysis[[#This Row],[Site Management ]:[WASH]], 3))</f>
        <v>1</v>
      </c>
      <c r="U152" s="365" t="str">
        <f>IF(COUNTIF(tblSeverityAnalysis[[#This Row],[Site Management ]:[WASH]], 4)=0, "", COUNTIF(tblSeverityAnalysis[[#This Row],[Site Management ]:[WASH]], 4))</f>
        <v/>
      </c>
      <c r="V152" s="366" t="str">
        <f>IF(COUNTIF(tblSeverityAnalysis[[#This Row],[Site Management ]:[WASH]], 5)=0, "", COUNTIF(tblSeverityAnalysis[[#This Row],[Site Management ]:[WASH]], 5))</f>
        <v/>
      </c>
      <c r="W152" s="367">
        <f>IFERROR(LARGE(tblSeverityAnalysis[[#This Row],[Site Management ]:[General Protection]],1),"")</f>
        <v>3</v>
      </c>
      <c r="X152" s="368" t="str">
        <f>IFERROR(IF(AND(tblSeverityAnalysis[[#This Row],[5]] &lt;&gt; "", tblSeverityAnalysis[[#This Row],[5]]&gt;=sectors_sev_5), "Flagged", ""), "")</f>
        <v/>
      </c>
      <c r="Y152" s="369"/>
      <c r="Z152" s="324"/>
      <c r="AA152" s="370">
        <f>COUNTIF(tblSeverityAnalysis[[#This Row],[1 sectors in severity phase 5 '[modify the threshold']]:[Manual Flag]], "Flagged")</f>
        <v>0</v>
      </c>
      <c r="AB152" s="339"/>
      <c r="AC152" s="339"/>
      <c r="AD152" s="339"/>
      <c r="AE152" s="339"/>
    </row>
    <row r="153" spans="1:31" hidden="1" x14ac:dyDescent="0.3">
      <c r="A153" s="357" t="str">
        <f>tblSeverityAnalysis[[#This Row],[Admin 2 P-Code]]</f>
        <v>SD07106</v>
      </c>
      <c r="B153" s="245" t="s">
        <v>188</v>
      </c>
      <c r="C153" s="358" t="s">
        <v>124</v>
      </c>
      <c r="D153" s="372" t="s">
        <v>364</v>
      </c>
      <c r="E153" s="246" t="s">
        <v>365</v>
      </c>
      <c r="F153" s="360"/>
      <c r="G153" s="361"/>
      <c r="H153" s="361"/>
      <c r="I153" s="361"/>
      <c r="J153" s="361"/>
      <c r="K153" s="361"/>
      <c r="L153" s="361">
        <f>_xlfn.XLOOKUP(tblSeverityAnalysis[[#This Row],[Admin 2 P-Code]],'PIN2025'!B:B,'PIN2025'!H:H,0,0)</f>
        <v>3</v>
      </c>
      <c r="M153" s="363"/>
      <c r="N153" s="361"/>
      <c r="O153" s="361"/>
      <c r="P153" s="361"/>
      <c r="Q153" s="361"/>
      <c r="R153" s="364" t="str">
        <f>IF(COUNTIF(tblSeverityAnalysis[[#This Row],[Site Management ]:[WASH]], 1)=0, "", COUNTIF(tblSeverityAnalysis[[#This Row],[Site Management ]:[WASH]], 1))</f>
        <v/>
      </c>
      <c r="S153" s="365" t="str">
        <f>IF(COUNTIF(tblSeverityAnalysis[[#This Row],[Site Management ]:[WASH]], 2)=0, "", COUNTIF(tblSeverityAnalysis[[#This Row],[Site Management ]:[WASH]], 2))</f>
        <v/>
      </c>
      <c r="T153" s="365">
        <f>IF(COUNTIF(tblSeverityAnalysis[[#This Row],[Site Management ]:[WASH]], 3)=0, "", COUNTIF(tblSeverityAnalysis[[#This Row],[Site Management ]:[WASH]], 3))</f>
        <v>1</v>
      </c>
      <c r="U153" s="365" t="str">
        <f>IF(COUNTIF(tblSeverityAnalysis[[#This Row],[Site Management ]:[WASH]], 4)=0, "", COUNTIF(tblSeverityAnalysis[[#This Row],[Site Management ]:[WASH]], 4))</f>
        <v/>
      </c>
      <c r="V153" s="366" t="str">
        <f>IF(COUNTIF(tblSeverityAnalysis[[#This Row],[Site Management ]:[WASH]], 5)=0, "", COUNTIF(tblSeverityAnalysis[[#This Row],[Site Management ]:[WASH]], 5))</f>
        <v/>
      </c>
      <c r="W153" s="367">
        <f>IFERROR(LARGE(tblSeverityAnalysis[[#This Row],[Site Management ]:[General Protection]],1),"")</f>
        <v>3</v>
      </c>
      <c r="X153" s="368" t="str">
        <f>IFERROR(IF(AND(tblSeverityAnalysis[[#This Row],[5]] &lt;&gt; "", tblSeverityAnalysis[[#This Row],[5]]&gt;=sectors_sev_5), "Flagged", ""), "")</f>
        <v/>
      </c>
      <c r="Y153" s="369"/>
      <c r="Z153" s="324"/>
      <c r="AA153" s="370">
        <f>COUNTIF(tblSeverityAnalysis[[#This Row],[1 sectors in severity phase 5 '[modify the threshold']]:[Manual Flag]], "Flagged")</f>
        <v>0</v>
      </c>
      <c r="AB153" s="339"/>
      <c r="AC153" s="339"/>
      <c r="AD153" s="339"/>
      <c r="AE153" s="339"/>
    </row>
    <row r="154" spans="1:31" hidden="1" x14ac:dyDescent="0.3">
      <c r="A154" s="357" t="str">
        <f>tblSeverityAnalysis[[#This Row],[Admin 2 P-Code]]</f>
        <v>SD07107</v>
      </c>
      <c r="B154" s="245" t="s">
        <v>188</v>
      </c>
      <c r="C154" s="358" t="s">
        <v>124</v>
      </c>
      <c r="D154" s="372" t="s">
        <v>366</v>
      </c>
      <c r="E154" s="246" t="s">
        <v>367</v>
      </c>
      <c r="F154" s="360"/>
      <c r="G154" s="361"/>
      <c r="H154" s="361"/>
      <c r="I154" s="361"/>
      <c r="J154" s="361"/>
      <c r="K154" s="361"/>
      <c r="L154" s="361">
        <f>_xlfn.XLOOKUP(tblSeverityAnalysis[[#This Row],[Admin 2 P-Code]],'PIN2025'!B:B,'PIN2025'!H:H,0,0)</f>
        <v>3</v>
      </c>
      <c r="M154" s="363"/>
      <c r="N154" s="361"/>
      <c r="O154" s="361"/>
      <c r="P154" s="361"/>
      <c r="Q154" s="361"/>
      <c r="R154" s="364" t="str">
        <f>IF(COUNTIF(tblSeverityAnalysis[[#This Row],[Site Management ]:[WASH]], 1)=0, "", COUNTIF(tblSeverityAnalysis[[#This Row],[Site Management ]:[WASH]], 1))</f>
        <v/>
      </c>
      <c r="S154" s="365" t="str">
        <f>IF(COUNTIF(tblSeverityAnalysis[[#This Row],[Site Management ]:[WASH]], 2)=0, "", COUNTIF(tblSeverityAnalysis[[#This Row],[Site Management ]:[WASH]], 2))</f>
        <v/>
      </c>
      <c r="T154" s="365">
        <f>IF(COUNTIF(tblSeverityAnalysis[[#This Row],[Site Management ]:[WASH]], 3)=0, "", COUNTIF(tblSeverityAnalysis[[#This Row],[Site Management ]:[WASH]], 3))</f>
        <v>1</v>
      </c>
      <c r="U154" s="365" t="str">
        <f>IF(COUNTIF(tblSeverityAnalysis[[#This Row],[Site Management ]:[WASH]], 4)=0, "", COUNTIF(tblSeverityAnalysis[[#This Row],[Site Management ]:[WASH]], 4))</f>
        <v/>
      </c>
      <c r="V154" s="366" t="str">
        <f>IF(COUNTIF(tblSeverityAnalysis[[#This Row],[Site Management ]:[WASH]], 5)=0, "", COUNTIF(tblSeverityAnalysis[[#This Row],[Site Management ]:[WASH]], 5))</f>
        <v/>
      </c>
      <c r="W154" s="367">
        <f>IFERROR(LARGE(tblSeverityAnalysis[[#This Row],[Site Management ]:[General Protection]],1),"")</f>
        <v>3</v>
      </c>
      <c r="X154" s="368" t="str">
        <f>IFERROR(IF(AND(tblSeverityAnalysis[[#This Row],[5]] &lt;&gt; "", tblSeverityAnalysis[[#This Row],[5]]&gt;=sectors_sev_5), "Flagged", ""), "")</f>
        <v/>
      </c>
      <c r="Y154" s="369"/>
      <c r="Z154" s="324"/>
      <c r="AA154" s="370">
        <f>COUNTIF(tblSeverityAnalysis[[#This Row],[1 sectors in severity phase 5 '[modify the threshold']]:[Manual Flag]], "Flagged")</f>
        <v>0</v>
      </c>
      <c r="AB154" s="339"/>
      <c r="AC154" s="339"/>
      <c r="AD154" s="339"/>
      <c r="AE154" s="339"/>
    </row>
    <row r="155" spans="1:31" hidden="1" x14ac:dyDescent="0.3">
      <c r="A155" s="357" t="str">
        <f>tblSeverityAnalysis[[#This Row],[Admin 2 P-Code]]</f>
        <v>SD07108</v>
      </c>
      <c r="B155" s="245" t="s">
        <v>188</v>
      </c>
      <c r="C155" s="358" t="s">
        <v>124</v>
      </c>
      <c r="D155" s="372" t="s">
        <v>368</v>
      </c>
      <c r="E155" s="246" t="s">
        <v>369</v>
      </c>
      <c r="F155" s="360"/>
      <c r="G155" s="361"/>
      <c r="H155" s="361"/>
      <c r="I155" s="361"/>
      <c r="J155" s="361"/>
      <c r="K155" s="361"/>
      <c r="L155" s="361">
        <f>_xlfn.XLOOKUP(tblSeverityAnalysis[[#This Row],[Admin 2 P-Code]],'PIN2025'!B:B,'PIN2025'!H:H,0,0)</f>
        <v>3</v>
      </c>
      <c r="M155" s="363"/>
      <c r="N155" s="361"/>
      <c r="O155" s="361"/>
      <c r="P155" s="361"/>
      <c r="Q155" s="361"/>
      <c r="R155" s="364" t="str">
        <f>IF(COUNTIF(tblSeverityAnalysis[[#This Row],[Site Management ]:[WASH]], 1)=0, "", COUNTIF(tblSeverityAnalysis[[#This Row],[Site Management ]:[WASH]], 1))</f>
        <v/>
      </c>
      <c r="S155" s="365" t="str">
        <f>IF(COUNTIF(tblSeverityAnalysis[[#This Row],[Site Management ]:[WASH]], 2)=0, "", COUNTIF(tblSeverityAnalysis[[#This Row],[Site Management ]:[WASH]], 2))</f>
        <v/>
      </c>
      <c r="T155" s="365">
        <f>IF(COUNTIF(tblSeverityAnalysis[[#This Row],[Site Management ]:[WASH]], 3)=0, "", COUNTIF(tblSeverityAnalysis[[#This Row],[Site Management ]:[WASH]], 3))</f>
        <v>1</v>
      </c>
      <c r="U155" s="365" t="str">
        <f>IF(COUNTIF(tblSeverityAnalysis[[#This Row],[Site Management ]:[WASH]], 4)=0, "", COUNTIF(tblSeverityAnalysis[[#This Row],[Site Management ]:[WASH]], 4))</f>
        <v/>
      </c>
      <c r="V155" s="366" t="str">
        <f>IF(COUNTIF(tblSeverityAnalysis[[#This Row],[Site Management ]:[WASH]], 5)=0, "", COUNTIF(tblSeverityAnalysis[[#This Row],[Site Management ]:[WASH]], 5))</f>
        <v/>
      </c>
      <c r="W155" s="367">
        <f>IFERROR(LARGE(tblSeverityAnalysis[[#This Row],[Site Management ]:[General Protection]],1),"")</f>
        <v>3</v>
      </c>
      <c r="X155" s="368" t="str">
        <f>IFERROR(IF(AND(tblSeverityAnalysis[[#This Row],[5]] &lt;&gt; "", tblSeverityAnalysis[[#This Row],[5]]&gt;=sectors_sev_5), "Flagged", ""), "")</f>
        <v/>
      </c>
      <c r="Y155" s="369"/>
      <c r="Z155" s="324"/>
      <c r="AA155" s="370">
        <f>COUNTIF(tblSeverityAnalysis[[#This Row],[1 sectors in severity phase 5 '[modify the threshold']]:[Manual Flag]], "Flagged")</f>
        <v>0</v>
      </c>
      <c r="AB155" s="339"/>
      <c r="AC155" s="339"/>
      <c r="AD155" s="339"/>
      <c r="AE155" s="339"/>
    </row>
    <row r="156" spans="1:31" hidden="1" x14ac:dyDescent="0.3">
      <c r="A156" s="357" t="str">
        <f>tblSeverityAnalysis[[#This Row],[Admin 2 P-Code]]</f>
        <v>SD04111</v>
      </c>
      <c r="B156" s="245" t="s">
        <v>191</v>
      </c>
      <c r="C156" s="358" t="s">
        <v>121</v>
      </c>
      <c r="D156" s="372" t="s">
        <v>275</v>
      </c>
      <c r="E156" s="246" t="s">
        <v>274</v>
      </c>
      <c r="F156" s="360"/>
      <c r="G156" s="361"/>
      <c r="H156" s="361"/>
      <c r="I156" s="361"/>
      <c r="J156" s="361"/>
      <c r="K156" s="361"/>
      <c r="L156" s="361">
        <f>_xlfn.XLOOKUP(tblSeverityAnalysis[[#This Row],[Admin 2 P-Code]],'PIN2025'!B:B,'PIN2025'!H:H,0,0)</f>
        <v>3</v>
      </c>
      <c r="M156" s="363"/>
      <c r="N156" s="361"/>
      <c r="O156" s="361"/>
      <c r="P156" s="361"/>
      <c r="Q156" s="361"/>
      <c r="R156" s="364" t="str">
        <f>IF(COUNTIF(tblSeverityAnalysis[[#This Row],[Site Management ]:[WASH]], 1)=0, "", COUNTIF(tblSeverityAnalysis[[#This Row],[Site Management ]:[WASH]], 1))</f>
        <v/>
      </c>
      <c r="S156" s="365" t="str">
        <f>IF(COUNTIF(tblSeverityAnalysis[[#This Row],[Site Management ]:[WASH]], 2)=0, "", COUNTIF(tblSeverityAnalysis[[#This Row],[Site Management ]:[WASH]], 2))</f>
        <v/>
      </c>
      <c r="T156" s="365">
        <f>IF(COUNTIF(tblSeverityAnalysis[[#This Row],[Site Management ]:[WASH]], 3)=0, "", COUNTIF(tblSeverityAnalysis[[#This Row],[Site Management ]:[WASH]], 3))</f>
        <v>1</v>
      </c>
      <c r="U156" s="365" t="str">
        <f>IF(COUNTIF(tblSeverityAnalysis[[#This Row],[Site Management ]:[WASH]], 4)=0, "", COUNTIF(tblSeverityAnalysis[[#This Row],[Site Management ]:[WASH]], 4))</f>
        <v/>
      </c>
      <c r="V156" s="366" t="str">
        <f>IF(COUNTIF(tblSeverityAnalysis[[#This Row],[Site Management ]:[WASH]], 5)=0, "", COUNTIF(tblSeverityAnalysis[[#This Row],[Site Management ]:[WASH]], 5))</f>
        <v/>
      </c>
      <c r="W156" s="367">
        <f>IFERROR(LARGE(tblSeverityAnalysis[[#This Row],[Site Management ]:[General Protection]],1),"")</f>
        <v>3</v>
      </c>
      <c r="X156" s="368" t="str">
        <f>IFERROR(IF(AND(tblSeverityAnalysis[[#This Row],[5]] &lt;&gt; "", tblSeverityAnalysis[[#This Row],[5]]&gt;=sectors_sev_5), "Flagged", ""), "")</f>
        <v/>
      </c>
      <c r="Y156" s="369"/>
      <c r="Z156" s="324"/>
      <c r="AA156" s="370">
        <f>COUNTIF(tblSeverityAnalysis[[#This Row],[1 sectors in severity phase 5 '[modify the threshold']]:[Manual Flag]], "Flagged")</f>
        <v>0</v>
      </c>
      <c r="AB156" s="339"/>
      <c r="AC156" s="339"/>
      <c r="AD156" s="339"/>
      <c r="AE156" s="339"/>
    </row>
    <row r="157" spans="1:31" hidden="1" x14ac:dyDescent="0.3">
      <c r="A157" s="357" t="str">
        <f>tblSeverityAnalysis[[#This Row],[Admin 2 P-Code]]</f>
        <v>SD04115</v>
      </c>
      <c r="B157" s="245" t="s">
        <v>191</v>
      </c>
      <c r="C157" s="358" t="s">
        <v>121</v>
      </c>
      <c r="D157" s="372" t="s">
        <v>277</v>
      </c>
      <c r="E157" s="246" t="s">
        <v>276</v>
      </c>
      <c r="F157" s="360"/>
      <c r="G157" s="361"/>
      <c r="H157" s="361"/>
      <c r="I157" s="361"/>
      <c r="J157" s="361"/>
      <c r="K157" s="361"/>
      <c r="L157" s="361">
        <f>_xlfn.XLOOKUP(tblSeverityAnalysis[[#This Row],[Admin 2 P-Code]],'PIN2025'!B:B,'PIN2025'!H:H,0,0)</f>
        <v>3</v>
      </c>
      <c r="M157" s="363"/>
      <c r="N157" s="361"/>
      <c r="O157" s="361"/>
      <c r="P157" s="361"/>
      <c r="Q157" s="361"/>
      <c r="R157" s="364" t="str">
        <f>IF(COUNTIF(tblSeverityAnalysis[[#This Row],[Site Management ]:[WASH]], 1)=0, "", COUNTIF(tblSeverityAnalysis[[#This Row],[Site Management ]:[WASH]], 1))</f>
        <v/>
      </c>
      <c r="S157" s="365" t="str">
        <f>IF(COUNTIF(tblSeverityAnalysis[[#This Row],[Site Management ]:[WASH]], 2)=0, "", COUNTIF(tblSeverityAnalysis[[#This Row],[Site Management ]:[WASH]], 2))</f>
        <v/>
      </c>
      <c r="T157" s="365">
        <f>IF(COUNTIF(tblSeverityAnalysis[[#This Row],[Site Management ]:[WASH]], 3)=0, "", COUNTIF(tblSeverityAnalysis[[#This Row],[Site Management ]:[WASH]], 3))</f>
        <v>1</v>
      </c>
      <c r="U157" s="365" t="str">
        <f>IF(COUNTIF(tblSeverityAnalysis[[#This Row],[Site Management ]:[WASH]], 4)=0, "", COUNTIF(tblSeverityAnalysis[[#This Row],[Site Management ]:[WASH]], 4))</f>
        <v/>
      </c>
      <c r="V157" s="366" t="str">
        <f>IF(COUNTIF(tblSeverityAnalysis[[#This Row],[Site Management ]:[WASH]], 5)=0, "", COUNTIF(tblSeverityAnalysis[[#This Row],[Site Management ]:[WASH]], 5))</f>
        <v/>
      </c>
      <c r="W157" s="367">
        <f>IFERROR(LARGE(tblSeverityAnalysis[[#This Row],[Site Management ]:[General Protection]],1),"")</f>
        <v>3</v>
      </c>
      <c r="X157" s="368" t="str">
        <f>IFERROR(IF(AND(tblSeverityAnalysis[[#This Row],[5]] &lt;&gt; "", tblSeverityAnalysis[[#This Row],[5]]&gt;=sectors_sev_5), "Flagged", ""), "")</f>
        <v/>
      </c>
      <c r="Y157" s="369"/>
      <c r="Z157" s="324"/>
      <c r="AA157" s="370">
        <f>COUNTIF(tblSeverityAnalysis[[#This Row],[1 sectors in severity phase 5 '[modify the threshold']]:[Manual Flag]], "Flagged")</f>
        <v>0</v>
      </c>
      <c r="AB157" s="339"/>
      <c r="AC157" s="339"/>
      <c r="AD157" s="339"/>
      <c r="AE157" s="339"/>
    </row>
    <row r="158" spans="1:31" hidden="1" x14ac:dyDescent="0.3">
      <c r="A158" s="357" t="str">
        <f>tblSeverityAnalysis[[#This Row],[Admin 2 P-Code]]</f>
        <v>SD04121</v>
      </c>
      <c r="B158" s="245" t="s">
        <v>191</v>
      </c>
      <c r="C158" s="358" t="s">
        <v>121</v>
      </c>
      <c r="D158" s="372" t="s">
        <v>279</v>
      </c>
      <c r="E158" s="246" t="s">
        <v>278</v>
      </c>
      <c r="F158" s="360"/>
      <c r="G158" s="361"/>
      <c r="H158" s="361"/>
      <c r="I158" s="361"/>
      <c r="J158" s="361"/>
      <c r="K158" s="361"/>
      <c r="L158" s="361">
        <f>_xlfn.XLOOKUP(tblSeverityAnalysis[[#This Row],[Admin 2 P-Code]],'PIN2025'!B:B,'PIN2025'!H:H,0,0)</f>
        <v>3</v>
      </c>
      <c r="M158" s="363"/>
      <c r="N158" s="361"/>
      <c r="O158" s="361"/>
      <c r="P158" s="361"/>
      <c r="Q158" s="361"/>
      <c r="R158" s="364" t="str">
        <f>IF(COUNTIF(tblSeverityAnalysis[[#This Row],[Site Management ]:[WASH]], 1)=0, "", COUNTIF(tblSeverityAnalysis[[#This Row],[Site Management ]:[WASH]], 1))</f>
        <v/>
      </c>
      <c r="S158" s="365" t="str">
        <f>IF(COUNTIF(tblSeverityAnalysis[[#This Row],[Site Management ]:[WASH]], 2)=0, "", COUNTIF(tblSeverityAnalysis[[#This Row],[Site Management ]:[WASH]], 2))</f>
        <v/>
      </c>
      <c r="T158" s="365">
        <f>IF(COUNTIF(tblSeverityAnalysis[[#This Row],[Site Management ]:[WASH]], 3)=0, "", COUNTIF(tblSeverityAnalysis[[#This Row],[Site Management ]:[WASH]], 3))</f>
        <v>1</v>
      </c>
      <c r="U158" s="365" t="str">
        <f>IF(COUNTIF(tblSeverityAnalysis[[#This Row],[Site Management ]:[WASH]], 4)=0, "", COUNTIF(tblSeverityAnalysis[[#This Row],[Site Management ]:[WASH]], 4))</f>
        <v/>
      </c>
      <c r="V158" s="366" t="str">
        <f>IF(COUNTIF(tblSeverityAnalysis[[#This Row],[Site Management ]:[WASH]], 5)=0, "", COUNTIF(tblSeverityAnalysis[[#This Row],[Site Management ]:[WASH]], 5))</f>
        <v/>
      </c>
      <c r="W158" s="367">
        <f>IFERROR(LARGE(tblSeverityAnalysis[[#This Row],[Site Management ]:[General Protection]],1),"")</f>
        <v>3</v>
      </c>
      <c r="X158" s="368" t="str">
        <f>IFERROR(IF(AND(tblSeverityAnalysis[[#This Row],[5]] &lt;&gt; "", tblSeverityAnalysis[[#This Row],[5]]&gt;=sectors_sev_5), "Flagged", ""), "")</f>
        <v/>
      </c>
      <c r="Y158" s="369"/>
      <c r="Z158" s="324"/>
      <c r="AA158" s="370">
        <f>COUNTIF(tblSeverityAnalysis[[#This Row],[1 sectors in severity phase 5 '[modify the threshold']]:[Manual Flag]], "Flagged")</f>
        <v>0</v>
      </c>
      <c r="AB158" s="339"/>
      <c r="AC158" s="339"/>
      <c r="AD158" s="339"/>
      <c r="AE158" s="339"/>
    </row>
    <row r="159" spans="1:31" hidden="1" x14ac:dyDescent="0.3">
      <c r="A159" s="357" t="str">
        <f>tblSeverityAnalysis[[#This Row],[Admin 2 P-Code]]</f>
        <v>SD04122</v>
      </c>
      <c r="B159" s="245" t="s">
        <v>191</v>
      </c>
      <c r="C159" s="358" t="s">
        <v>121</v>
      </c>
      <c r="D159" s="372" t="s">
        <v>281</v>
      </c>
      <c r="E159" s="246" t="s">
        <v>280</v>
      </c>
      <c r="F159" s="360"/>
      <c r="G159" s="361"/>
      <c r="H159" s="361"/>
      <c r="I159" s="361"/>
      <c r="J159" s="361"/>
      <c r="K159" s="361"/>
      <c r="L159" s="361">
        <f>_xlfn.XLOOKUP(tblSeverityAnalysis[[#This Row],[Admin 2 P-Code]],'PIN2025'!B:B,'PIN2025'!H:H,0,0)</f>
        <v>3</v>
      </c>
      <c r="M159" s="363"/>
      <c r="N159" s="361"/>
      <c r="O159" s="361"/>
      <c r="P159" s="361"/>
      <c r="Q159" s="361"/>
      <c r="R159" s="364" t="str">
        <f>IF(COUNTIF(tblSeverityAnalysis[[#This Row],[Site Management ]:[WASH]], 1)=0, "", COUNTIF(tblSeverityAnalysis[[#This Row],[Site Management ]:[WASH]], 1))</f>
        <v/>
      </c>
      <c r="S159" s="365" t="str">
        <f>IF(COUNTIF(tblSeverityAnalysis[[#This Row],[Site Management ]:[WASH]], 2)=0, "", COUNTIF(tblSeverityAnalysis[[#This Row],[Site Management ]:[WASH]], 2))</f>
        <v/>
      </c>
      <c r="T159" s="365">
        <f>IF(COUNTIF(tblSeverityAnalysis[[#This Row],[Site Management ]:[WASH]], 3)=0, "", COUNTIF(tblSeverityAnalysis[[#This Row],[Site Management ]:[WASH]], 3))</f>
        <v>1</v>
      </c>
      <c r="U159" s="365" t="str">
        <f>IF(COUNTIF(tblSeverityAnalysis[[#This Row],[Site Management ]:[WASH]], 4)=0, "", COUNTIF(tblSeverityAnalysis[[#This Row],[Site Management ]:[WASH]], 4))</f>
        <v/>
      </c>
      <c r="V159" s="366" t="str">
        <f>IF(COUNTIF(tblSeverityAnalysis[[#This Row],[Site Management ]:[WASH]], 5)=0, "", COUNTIF(tblSeverityAnalysis[[#This Row],[Site Management ]:[WASH]], 5))</f>
        <v/>
      </c>
      <c r="W159" s="367">
        <f>IFERROR(LARGE(tblSeverityAnalysis[[#This Row],[Site Management ]:[General Protection]],1),"")</f>
        <v>3</v>
      </c>
      <c r="X159" s="368" t="str">
        <f>IFERROR(IF(AND(tblSeverityAnalysis[[#This Row],[5]] &lt;&gt; "", tblSeverityAnalysis[[#This Row],[5]]&gt;=sectors_sev_5), "Flagged", ""), "")</f>
        <v/>
      </c>
      <c r="Y159" s="369"/>
      <c r="Z159" s="324"/>
      <c r="AA159" s="370">
        <f>COUNTIF(tblSeverityAnalysis[[#This Row],[1 sectors in severity phase 5 '[modify the threshold']]:[Manual Flag]], "Flagged")</f>
        <v>0</v>
      </c>
      <c r="AB159" s="339"/>
      <c r="AC159" s="339"/>
      <c r="AD159" s="339"/>
      <c r="AE159" s="339"/>
    </row>
    <row r="160" spans="1:31" hidden="1" x14ac:dyDescent="0.3">
      <c r="A160" s="357" t="str">
        <f>tblSeverityAnalysis[[#This Row],[Admin 2 P-Code]]</f>
        <v>SD04123</v>
      </c>
      <c r="B160" s="245" t="s">
        <v>191</v>
      </c>
      <c r="C160" s="358" t="s">
        <v>121</v>
      </c>
      <c r="D160" s="372" t="s">
        <v>283</v>
      </c>
      <c r="E160" s="246" t="s">
        <v>282</v>
      </c>
      <c r="F160" s="360"/>
      <c r="G160" s="361"/>
      <c r="H160" s="361"/>
      <c r="I160" s="361"/>
      <c r="J160" s="361"/>
      <c r="K160" s="361"/>
      <c r="L160" s="361">
        <f>_xlfn.XLOOKUP(tblSeverityAnalysis[[#This Row],[Admin 2 P-Code]],'PIN2025'!B:B,'PIN2025'!H:H,0,0)</f>
        <v>3</v>
      </c>
      <c r="M160" s="363"/>
      <c r="N160" s="361"/>
      <c r="O160" s="361"/>
      <c r="P160" s="361"/>
      <c r="Q160" s="361"/>
      <c r="R160" s="364" t="str">
        <f>IF(COUNTIF(tblSeverityAnalysis[[#This Row],[Site Management ]:[WASH]], 1)=0, "", COUNTIF(tblSeverityAnalysis[[#This Row],[Site Management ]:[WASH]], 1))</f>
        <v/>
      </c>
      <c r="S160" s="365" t="str">
        <f>IF(COUNTIF(tblSeverityAnalysis[[#This Row],[Site Management ]:[WASH]], 2)=0, "", COUNTIF(tblSeverityAnalysis[[#This Row],[Site Management ]:[WASH]], 2))</f>
        <v/>
      </c>
      <c r="T160" s="365">
        <f>IF(COUNTIF(tblSeverityAnalysis[[#This Row],[Site Management ]:[WASH]], 3)=0, "", COUNTIF(tblSeverityAnalysis[[#This Row],[Site Management ]:[WASH]], 3))</f>
        <v>1</v>
      </c>
      <c r="U160" s="365" t="str">
        <f>IF(COUNTIF(tblSeverityAnalysis[[#This Row],[Site Management ]:[WASH]], 4)=0, "", COUNTIF(tblSeverityAnalysis[[#This Row],[Site Management ]:[WASH]], 4))</f>
        <v/>
      </c>
      <c r="V160" s="366" t="str">
        <f>IF(COUNTIF(tblSeverityAnalysis[[#This Row],[Site Management ]:[WASH]], 5)=0, "", COUNTIF(tblSeverityAnalysis[[#This Row],[Site Management ]:[WASH]], 5))</f>
        <v/>
      </c>
      <c r="W160" s="367">
        <f>IFERROR(LARGE(tblSeverityAnalysis[[#This Row],[Site Management ]:[General Protection]],1),"")</f>
        <v>3</v>
      </c>
      <c r="X160" s="368" t="str">
        <f>IFERROR(IF(AND(tblSeverityAnalysis[[#This Row],[5]] &lt;&gt; "", tblSeverityAnalysis[[#This Row],[5]]&gt;=sectors_sev_5), "Flagged", ""), "")</f>
        <v/>
      </c>
      <c r="Y160" s="369"/>
      <c r="Z160" s="324"/>
      <c r="AA160" s="370">
        <f>COUNTIF(tblSeverityAnalysis[[#This Row],[1 sectors in severity phase 5 '[modify the threshold']]:[Manual Flag]], "Flagged")</f>
        <v>0</v>
      </c>
      <c r="AB160" s="339"/>
      <c r="AC160" s="339"/>
      <c r="AD160" s="339"/>
      <c r="AE160" s="339"/>
    </row>
    <row r="161" spans="1:31" hidden="1" x14ac:dyDescent="0.3">
      <c r="A161" s="357" t="str">
        <f>tblSeverityAnalysis[[#This Row],[Admin 2 P-Code]]</f>
        <v>SD04125</v>
      </c>
      <c r="B161" s="245" t="s">
        <v>191</v>
      </c>
      <c r="C161" s="358" t="s">
        <v>121</v>
      </c>
      <c r="D161" s="372" t="s">
        <v>285</v>
      </c>
      <c r="E161" s="246" t="s">
        <v>284</v>
      </c>
      <c r="F161" s="360"/>
      <c r="G161" s="361"/>
      <c r="H161" s="361"/>
      <c r="I161" s="361"/>
      <c r="J161" s="361"/>
      <c r="K161" s="361"/>
      <c r="L161" s="361">
        <f>_xlfn.XLOOKUP(tblSeverityAnalysis[[#This Row],[Admin 2 P-Code]],'PIN2025'!B:B,'PIN2025'!H:H,0,0)</f>
        <v>3</v>
      </c>
      <c r="M161" s="363"/>
      <c r="N161" s="361"/>
      <c r="O161" s="361"/>
      <c r="P161" s="361"/>
      <c r="Q161" s="361"/>
      <c r="R161" s="364" t="str">
        <f>IF(COUNTIF(tblSeverityAnalysis[[#This Row],[Site Management ]:[WASH]], 1)=0, "", COUNTIF(tblSeverityAnalysis[[#This Row],[Site Management ]:[WASH]], 1))</f>
        <v/>
      </c>
      <c r="S161" s="365" t="str">
        <f>IF(COUNTIF(tblSeverityAnalysis[[#This Row],[Site Management ]:[WASH]], 2)=0, "", COUNTIF(tblSeverityAnalysis[[#This Row],[Site Management ]:[WASH]], 2))</f>
        <v/>
      </c>
      <c r="T161" s="365">
        <f>IF(COUNTIF(tblSeverityAnalysis[[#This Row],[Site Management ]:[WASH]], 3)=0, "", COUNTIF(tblSeverityAnalysis[[#This Row],[Site Management ]:[WASH]], 3))</f>
        <v>1</v>
      </c>
      <c r="U161" s="365" t="str">
        <f>IF(COUNTIF(tblSeverityAnalysis[[#This Row],[Site Management ]:[WASH]], 4)=0, "", COUNTIF(tblSeverityAnalysis[[#This Row],[Site Management ]:[WASH]], 4))</f>
        <v/>
      </c>
      <c r="V161" s="366" t="str">
        <f>IF(COUNTIF(tblSeverityAnalysis[[#This Row],[Site Management ]:[WASH]], 5)=0, "", COUNTIF(tblSeverityAnalysis[[#This Row],[Site Management ]:[WASH]], 5))</f>
        <v/>
      </c>
      <c r="W161" s="367">
        <f>IFERROR(LARGE(tblSeverityAnalysis[[#This Row],[Site Management ]:[General Protection]],1),"")</f>
        <v>3</v>
      </c>
      <c r="X161" s="368" t="str">
        <f>IFERROR(IF(AND(tblSeverityAnalysis[[#This Row],[5]] &lt;&gt; "", tblSeverityAnalysis[[#This Row],[5]]&gt;=sectors_sev_5), "Flagged", ""), "")</f>
        <v/>
      </c>
      <c r="Y161" s="369"/>
      <c r="Z161" s="324"/>
      <c r="AA161" s="370">
        <f>COUNTIF(tblSeverityAnalysis[[#This Row],[1 sectors in severity phase 5 '[modify the threshold']]:[Manual Flag]], "Flagged")</f>
        <v>0</v>
      </c>
      <c r="AB161" s="339"/>
      <c r="AC161" s="339"/>
      <c r="AD161" s="339"/>
      <c r="AE161" s="339"/>
    </row>
    <row r="162" spans="1:31" hidden="1" x14ac:dyDescent="0.3">
      <c r="A162" s="357" t="str">
        <f>tblSeverityAnalysis[[#This Row],[Admin 2 P-Code]]</f>
        <v>SD04127</v>
      </c>
      <c r="B162" s="245" t="s">
        <v>191</v>
      </c>
      <c r="C162" s="358" t="s">
        <v>121</v>
      </c>
      <c r="D162" s="372" t="s">
        <v>287</v>
      </c>
      <c r="E162" s="246" t="s">
        <v>286</v>
      </c>
      <c r="F162" s="360"/>
      <c r="G162" s="361"/>
      <c r="H162" s="361"/>
      <c r="I162" s="361"/>
      <c r="J162" s="361"/>
      <c r="K162" s="361"/>
      <c r="L162" s="361">
        <f>_xlfn.XLOOKUP(tblSeverityAnalysis[[#This Row],[Admin 2 P-Code]],'PIN2025'!B:B,'PIN2025'!H:H,0,0)</f>
        <v>3</v>
      </c>
      <c r="M162" s="363"/>
      <c r="N162" s="361"/>
      <c r="O162" s="361"/>
      <c r="P162" s="361"/>
      <c r="Q162" s="361"/>
      <c r="R162" s="364" t="str">
        <f>IF(COUNTIF(tblSeverityAnalysis[[#This Row],[Site Management ]:[WASH]], 1)=0, "", COUNTIF(tblSeverityAnalysis[[#This Row],[Site Management ]:[WASH]], 1))</f>
        <v/>
      </c>
      <c r="S162" s="365" t="str">
        <f>IF(COUNTIF(tblSeverityAnalysis[[#This Row],[Site Management ]:[WASH]], 2)=0, "", COUNTIF(tblSeverityAnalysis[[#This Row],[Site Management ]:[WASH]], 2))</f>
        <v/>
      </c>
      <c r="T162" s="365">
        <f>IF(COUNTIF(tblSeverityAnalysis[[#This Row],[Site Management ]:[WASH]], 3)=0, "", COUNTIF(tblSeverityAnalysis[[#This Row],[Site Management ]:[WASH]], 3))</f>
        <v>1</v>
      </c>
      <c r="U162" s="365" t="str">
        <f>IF(COUNTIF(tblSeverityAnalysis[[#This Row],[Site Management ]:[WASH]], 4)=0, "", COUNTIF(tblSeverityAnalysis[[#This Row],[Site Management ]:[WASH]], 4))</f>
        <v/>
      </c>
      <c r="V162" s="366" t="str">
        <f>IF(COUNTIF(tblSeverityAnalysis[[#This Row],[Site Management ]:[WASH]], 5)=0, "", COUNTIF(tblSeverityAnalysis[[#This Row],[Site Management ]:[WASH]], 5))</f>
        <v/>
      </c>
      <c r="W162" s="367">
        <f>IFERROR(LARGE(tblSeverityAnalysis[[#This Row],[Site Management ]:[General Protection]],1),"")</f>
        <v>3</v>
      </c>
      <c r="X162" s="368" t="str">
        <f>IFERROR(IF(AND(tblSeverityAnalysis[[#This Row],[5]] &lt;&gt; "", tblSeverityAnalysis[[#This Row],[5]]&gt;=sectors_sev_5), "Flagged", ""), "")</f>
        <v/>
      </c>
      <c r="Y162" s="369"/>
      <c r="Z162" s="324"/>
      <c r="AA162" s="370">
        <f>COUNTIF(tblSeverityAnalysis[[#This Row],[1 sectors in severity phase 5 '[modify the threshold']]:[Manual Flag]], "Flagged")</f>
        <v>0</v>
      </c>
      <c r="AB162" s="339"/>
      <c r="AC162" s="339"/>
      <c r="AD162" s="339"/>
      <c r="AE162" s="339"/>
    </row>
    <row r="163" spans="1:31" hidden="1" x14ac:dyDescent="0.3">
      <c r="A163" s="357" t="str">
        <f>tblSeverityAnalysis[[#This Row],[Admin 2 P-Code]]</f>
        <v>SD04134</v>
      </c>
      <c r="B163" s="245" t="s">
        <v>191</v>
      </c>
      <c r="C163" s="358" t="s">
        <v>121</v>
      </c>
      <c r="D163" s="372" t="s">
        <v>289</v>
      </c>
      <c r="E163" s="246" t="s">
        <v>288</v>
      </c>
      <c r="F163" s="360"/>
      <c r="G163" s="361"/>
      <c r="H163" s="361"/>
      <c r="I163" s="361"/>
      <c r="J163" s="361"/>
      <c r="K163" s="361"/>
      <c r="L163" s="361">
        <f>_xlfn.XLOOKUP(tblSeverityAnalysis[[#This Row],[Admin 2 P-Code]],'PIN2025'!B:B,'PIN2025'!H:H,0,0)</f>
        <v>3</v>
      </c>
      <c r="M163" s="363"/>
      <c r="N163" s="361"/>
      <c r="O163" s="361"/>
      <c r="P163" s="361"/>
      <c r="Q163" s="361"/>
      <c r="R163" s="364" t="str">
        <f>IF(COUNTIF(tblSeverityAnalysis[[#This Row],[Site Management ]:[WASH]], 1)=0, "", COUNTIF(tblSeverityAnalysis[[#This Row],[Site Management ]:[WASH]], 1))</f>
        <v/>
      </c>
      <c r="S163" s="365" t="str">
        <f>IF(COUNTIF(tblSeverityAnalysis[[#This Row],[Site Management ]:[WASH]], 2)=0, "", COUNTIF(tblSeverityAnalysis[[#This Row],[Site Management ]:[WASH]], 2))</f>
        <v/>
      </c>
      <c r="T163" s="365">
        <f>IF(COUNTIF(tblSeverityAnalysis[[#This Row],[Site Management ]:[WASH]], 3)=0, "", COUNTIF(tblSeverityAnalysis[[#This Row],[Site Management ]:[WASH]], 3))</f>
        <v>1</v>
      </c>
      <c r="U163" s="365" t="str">
        <f>IF(COUNTIF(tblSeverityAnalysis[[#This Row],[Site Management ]:[WASH]], 4)=0, "", COUNTIF(tblSeverityAnalysis[[#This Row],[Site Management ]:[WASH]], 4))</f>
        <v/>
      </c>
      <c r="V163" s="366" t="str">
        <f>IF(COUNTIF(tblSeverityAnalysis[[#This Row],[Site Management ]:[WASH]], 5)=0, "", COUNTIF(tblSeverityAnalysis[[#This Row],[Site Management ]:[WASH]], 5))</f>
        <v/>
      </c>
      <c r="W163" s="367">
        <f>IFERROR(LARGE(tblSeverityAnalysis[[#This Row],[Site Management ]:[General Protection]],1),"")</f>
        <v>3</v>
      </c>
      <c r="X163" s="368" t="str">
        <f>IFERROR(IF(AND(tblSeverityAnalysis[[#This Row],[5]] &lt;&gt; "", tblSeverityAnalysis[[#This Row],[5]]&gt;=sectors_sev_5), "Flagged", ""), "")</f>
        <v/>
      </c>
      <c r="Y163" s="369"/>
      <c r="Z163" s="324"/>
      <c r="AA163" s="370">
        <f>COUNTIF(tblSeverityAnalysis[[#This Row],[1 sectors in severity phase 5 '[modify the threshold']]:[Manual Flag]], "Flagged")</f>
        <v>0</v>
      </c>
      <c r="AB163" s="339"/>
      <c r="AC163" s="339"/>
      <c r="AD163" s="339"/>
      <c r="AE163" s="339"/>
    </row>
    <row r="164" spans="1:31" hidden="1" x14ac:dyDescent="0.3">
      <c r="A164" s="357" t="str">
        <f>tblSeverityAnalysis[[#This Row],[Admin 2 P-Code]]</f>
        <v>SD18021</v>
      </c>
      <c r="B164" s="245" t="s">
        <v>194</v>
      </c>
      <c r="C164" s="358" t="s">
        <v>135</v>
      </c>
      <c r="D164" s="372" t="s">
        <v>540</v>
      </c>
      <c r="E164" s="246" t="s">
        <v>541</v>
      </c>
      <c r="F164" s="360"/>
      <c r="G164" s="361"/>
      <c r="H164" s="361"/>
      <c r="I164" s="361"/>
      <c r="J164" s="361"/>
      <c r="K164" s="361"/>
      <c r="L164" s="361">
        <f>_xlfn.XLOOKUP(tblSeverityAnalysis[[#This Row],[Admin 2 P-Code]],'PIN2025'!B:B,'PIN2025'!H:H,0,0)</f>
        <v>3</v>
      </c>
      <c r="M164" s="363"/>
      <c r="N164" s="361"/>
      <c r="O164" s="361"/>
      <c r="P164" s="361"/>
      <c r="Q164" s="361"/>
      <c r="R164" s="364" t="str">
        <f>IF(COUNTIF(tblSeverityAnalysis[[#This Row],[Site Management ]:[WASH]], 1)=0, "", COUNTIF(tblSeverityAnalysis[[#This Row],[Site Management ]:[WASH]], 1))</f>
        <v/>
      </c>
      <c r="S164" s="365" t="str">
        <f>IF(COUNTIF(tblSeverityAnalysis[[#This Row],[Site Management ]:[WASH]], 2)=0, "", COUNTIF(tblSeverityAnalysis[[#This Row],[Site Management ]:[WASH]], 2))</f>
        <v/>
      </c>
      <c r="T164" s="365">
        <f>IF(COUNTIF(tblSeverityAnalysis[[#This Row],[Site Management ]:[WASH]], 3)=0, "", COUNTIF(tblSeverityAnalysis[[#This Row],[Site Management ]:[WASH]], 3))</f>
        <v>1</v>
      </c>
      <c r="U164" s="365" t="str">
        <f>IF(COUNTIF(tblSeverityAnalysis[[#This Row],[Site Management ]:[WASH]], 4)=0, "", COUNTIF(tblSeverityAnalysis[[#This Row],[Site Management ]:[WASH]], 4))</f>
        <v/>
      </c>
      <c r="V164" s="366" t="str">
        <f>IF(COUNTIF(tblSeverityAnalysis[[#This Row],[Site Management ]:[WASH]], 5)=0, "", COUNTIF(tblSeverityAnalysis[[#This Row],[Site Management ]:[WASH]], 5))</f>
        <v/>
      </c>
      <c r="W164" s="367">
        <f>IFERROR(LARGE(tblSeverityAnalysis[[#This Row],[Site Management ]:[General Protection]],1),"")</f>
        <v>3</v>
      </c>
      <c r="X164" s="368" t="str">
        <f>IFERROR(IF(AND(tblSeverityAnalysis[[#This Row],[5]] &lt;&gt; "", tblSeverityAnalysis[[#This Row],[5]]&gt;=sectors_sev_5), "Flagged", ""), "")</f>
        <v/>
      </c>
      <c r="Y164" s="369"/>
      <c r="Z164" s="324"/>
      <c r="AA164" s="370">
        <f>COUNTIF(tblSeverityAnalysis[[#This Row],[1 sectors in severity phase 5 '[modify the threshold']]:[Manual Flag]], "Flagged")</f>
        <v>0</v>
      </c>
      <c r="AB164" s="339"/>
      <c r="AC164" s="339"/>
      <c r="AD164" s="339"/>
      <c r="AE164" s="339"/>
    </row>
    <row r="165" spans="1:31" hidden="1" x14ac:dyDescent="0.3">
      <c r="A165" s="357" t="str">
        <f>tblSeverityAnalysis[[#This Row],[Admin 2 P-Code]]</f>
        <v>SD18022</v>
      </c>
      <c r="B165" s="245" t="s">
        <v>194</v>
      </c>
      <c r="C165" s="358" t="s">
        <v>135</v>
      </c>
      <c r="D165" s="372" t="s">
        <v>542</v>
      </c>
      <c r="E165" s="246" t="s">
        <v>543</v>
      </c>
      <c r="F165" s="360"/>
      <c r="G165" s="361"/>
      <c r="H165" s="361"/>
      <c r="I165" s="361"/>
      <c r="J165" s="361"/>
      <c r="K165" s="361"/>
      <c r="L165" s="361">
        <f>_xlfn.XLOOKUP(tblSeverityAnalysis[[#This Row],[Admin 2 P-Code]],'PIN2025'!B:B,'PIN2025'!H:H,0,0)</f>
        <v>3</v>
      </c>
      <c r="M165" s="363"/>
      <c r="N165" s="361"/>
      <c r="O165" s="361"/>
      <c r="P165" s="361"/>
      <c r="Q165" s="361"/>
      <c r="R165" s="364" t="str">
        <f>IF(COUNTIF(tblSeverityAnalysis[[#This Row],[Site Management ]:[WASH]], 1)=0, "", COUNTIF(tblSeverityAnalysis[[#This Row],[Site Management ]:[WASH]], 1))</f>
        <v/>
      </c>
      <c r="S165" s="365" t="str">
        <f>IF(COUNTIF(tblSeverityAnalysis[[#This Row],[Site Management ]:[WASH]], 2)=0, "", COUNTIF(tblSeverityAnalysis[[#This Row],[Site Management ]:[WASH]], 2))</f>
        <v/>
      </c>
      <c r="T165" s="365">
        <f>IF(COUNTIF(tblSeverityAnalysis[[#This Row],[Site Management ]:[WASH]], 3)=0, "", COUNTIF(tblSeverityAnalysis[[#This Row],[Site Management ]:[WASH]], 3))</f>
        <v>1</v>
      </c>
      <c r="U165" s="365" t="str">
        <f>IF(COUNTIF(tblSeverityAnalysis[[#This Row],[Site Management ]:[WASH]], 4)=0, "", COUNTIF(tblSeverityAnalysis[[#This Row],[Site Management ]:[WASH]], 4))</f>
        <v/>
      </c>
      <c r="V165" s="366" t="str">
        <f>IF(COUNTIF(tblSeverityAnalysis[[#This Row],[Site Management ]:[WASH]], 5)=0, "", COUNTIF(tblSeverityAnalysis[[#This Row],[Site Management ]:[WASH]], 5))</f>
        <v/>
      </c>
      <c r="W165" s="367">
        <f>IFERROR(LARGE(tblSeverityAnalysis[[#This Row],[Site Management ]:[General Protection]],1),"")</f>
        <v>3</v>
      </c>
      <c r="X165" s="368" t="str">
        <f>IFERROR(IF(AND(tblSeverityAnalysis[[#This Row],[5]] &lt;&gt; "", tblSeverityAnalysis[[#This Row],[5]]&gt;=sectors_sev_5), "Flagged", ""), "")</f>
        <v/>
      </c>
      <c r="Y165" s="369"/>
      <c r="Z165" s="324"/>
      <c r="AA165" s="370">
        <f>COUNTIF(tblSeverityAnalysis[[#This Row],[1 sectors in severity phase 5 '[modify the threshold']]:[Manual Flag]], "Flagged")</f>
        <v>0</v>
      </c>
      <c r="AB165" s="339"/>
      <c r="AC165" s="339"/>
      <c r="AD165" s="339"/>
      <c r="AE165" s="339"/>
    </row>
    <row r="166" spans="1:31" hidden="1" x14ac:dyDescent="0.3">
      <c r="A166" s="357" t="str">
        <f>tblSeverityAnalysis[[#This Row],[Admin 2 P-Code]]</f>
        <v>SD18028</v>
      </c>
      <c r="B166" s="245" t="s">
        <v>194</v>
      </c>
      <c r="C166" s="358" t="s">
        <v>135</v>
      </c>
      <c r="D166" s="372" t="s">
        <v>544</v>
      </c>
      <c r="E166" s="246" t="s">
        <v>545</v>
      </c>
      <c r="F166" s="360"/>
      <c r="G166" s="361"/>
      <c r="H166" s="361"/>
      <c r="I166" s="361"/>
      <c r="J166" s="361"/>
      <c r="K166" s="361"/>
      <c r="L166" s="361">
        <f>_xlfn.XLOOKUP(tblSeverityAnalysis[[#This Row],[Admin 2 P-Code]],'PIN2025'!B:B,'PIN2025'!H:H,0,0)</f>
        <v>3</v>
      </c>
      <c r="M166" s="363"/>
      <c r="N166" s="361"/>
      <c r="O166" s="361"/>
      <c r="P166" s="361"/>
      <c r="Q166" s="361"/>
      <c r="R166" s="364" t="str">
        <f>IF(COUNTIF(tblSeverityAnalysis[[#This Row],[Site Management ]:[WASH]], 1)=0, "", COUNTIF(tblSeverityAnalysis[[#This Row],[Site Management ]:[WASH]], 1))</f>
        <v/>
      </c>
      <c r="S166" s="365" t="str">
        <f>IF(COUNTIF(tblSeverityAnalysis[[#This Row],[Site Management ]:[WASH]], 2)=0, "", COUNTIF(tblSeverityAnalysis[[#This Row],[Site Management ]:[WASH]], 2))</f>
        <v/>
      </c>
      <c r="T166" s="365">
        <f>IF(COUNTIF(tblSeverityAnalysis[[#This Row],[Site Management ]:[WASH]], 3)=0, "", COUNTIF(tblSeverityAnalysis[[#This Row],[Site Management ]:[WASH]], 3))</f>
        <v>1</v>
      </c>
      <c r="U166" s="365" t="str">
        <f>IF(COUNTIF(tblSeverityAnalysis[[#This Row],[Site Management ]:[WASH]], 4)=0, "", COUNTIF(tblSeverityAnalysis[[#This Row],[Site Management ]:[WASH]], 4))</f>
        <v/>
      </c>
      <c r="V166" s="366" t="str">
        <f>IF(COUNTIF(tblSeverityAnalysis[[#This Row],[Site Management ]:[WASH]], 5)=0, "", COUNTIF(tblSeverityAnalysis[[#This Row],[Site Management ]:[WASH]], 5))</f>
        <v/>
      </c>
      <c r="W166" s="367">
        <f>IFERROR(LARGE(tblSeverityAnalysis[[#This Row],[Site Management ]:[General Protection]],1),"")</f>
        <v>3</v>
      </c>
      <c r="X166" s="368" t="str">
        <f>IFERROR(IF(AND(tblSeverityAnalysis[[#This Row],[5]] &lt;&gt; "", tblSeverityAnalysis[[#This Row],[5]]&gt;=sectors_sev_5), "Flagged", ""), "")</f>
        <v/>
      </c>
      <c r="Y166" s="369"/>
      <c r="Z166" s="324"/>
      <c r="AA166" s="370">
        <f>COUNTIF(tblSeverityAnalysis[[#This Row],[1 sectors in severity phase 5 '[modify the threshold']]:[Manual Flag]], "Flagged")</f>
        <v>0</v>
      </c>
      <c r="AB166" s="339"/>
      <c r="AC166" s="339"/>
      <c r="AD166" s="339"/>
      <c r="AE166" s="339"/>
    </row>
    <row r="167" spans="1:31" hidden="1" x14ac:dyDescent="0.3">
      <c r="A167" s="357" t="str">
        <f>tblSeverityAnalysis[[#This Row],[Admin 2 P-Code]]</f>
        <v>SD18029</v>
      </c>
      <c r="B167" s="245" t="s">
        <v>194</v>
      </c>
      <c r="C167" s="358" t="s">
        <v>135</v>
      </c>
      <c r="D167" s="372" t="s">
        <v>546</v>
      </c>
      <c r="E167" s="246" t="s">
        <v>547</v>
      </c>
      <c r="F167" s="360"/>
      <c r="G167" s="361"/>
      <c r="H167" s="361"/>
      <c r="I167" s="361"/>
      <c r="J167" s="361"/>
      <c r="K167" s="361"/>
      <c r="L167" s="361">
        <f>_xlfn.XLOOKUP(tblSeverityAnalysis[[#This Row],[Admin 2 P-Code]],'PIN2025'!B:B,'PIN2025'!H:H,0,0)</f>
        <v>3</v>
      </c>
      <c r="M167" s="363"/>
      <c r="N167" s="361"/>
      <c r="O167" s="361"/>
      <c r="P167" s="361"/>
      <c r="Q167" s="361"/>
      <c r="R167" s="364" t="str">
        <f>IF(COUNTIF(tblSeverityAnalysis[[#This Row],[Site Management ]:[WASH]], 1)=0, "", COUNTIF(tblSeverityAnalysis[[#This Row],[Site Management ]:[WASH]], 1))</f>
        <v/>
      </c>
      <c r="S167" s="365" t="str">
        <f>IF(COUNTIF(tblSeverityAnalysis[[#This Row],[Site Management ]:[WASH]], 2)=0, "", COUNTIF(tblSeverityAnalysis[[#This Row],[Site Management ]:[WASH]], 2))</f>
        <v/>
      </c>
      <c r="T167" s="365">
        <f>IF(COUNTIF(tblSeverityAnalysis[[#This Row],[Site Management ]:[WASH]], 3)=0, "", COUNTIF(tblSeverityAnalysis[[#This Row],[Site Management ]:[WASH]], 3))</f>
        <v>1</v>
      </c>
      <c r="U167" s="365" t="str">
        <f>IF(COUNTIF(tblSeverityAnalysis[[#This Row],[Site Management ]:[WASH]], 4)=0, "", COUNTIF(tblSeverityAnalysis[[#This Row],[Site Management ]:[WASH]], 4))</f>
        <v/>
      </c>
      <c r="V167" s="366" t="str">
        <f>IF(COUNTIF(tblSeverityAnalysis[[#This Row],[Site Management ]:[WASH]], 5)=0, "", COUNTIF(tblSeverityAnalysis[[#This Row],[Site Management ]:[WASH]], 5))</f>
        <v/>
      </c>
      <c r="W167" s="367">
        <f>IFERROR(LARGE(tblSeverityAnalysis[[#This Row],[Site Management ]:[General Protection]],1),"")</f>
        <v>3</v>
      </c>
      <c r="X167" s="368" t="str">
        <f>IFERROR(IF(AND(tblSeverityAnalysis[[#This Row],[5]] &lt;&gt; "", tblSeverityAnalysis[[#This Row],[5]]&gt;=sectors_sev_5), "Flagged", ""), "")</f>
        <v/>
      </c>
      <c r="Y167" s="369"/>
      <c r="Z167" s="324"/>
      <c r="AA167" s="370">
        <f>COUNTIF(tblSeverityAnalysis[[#This Row],[1 sectors in severity phase 5 '[modify the threshold']]:[Manual Flag]], "Flagged")</f>
        <v>0</v>
      </c>
      <c r="AB167" s="339"/>
      <c r="AC167" s="339"/>
      <c r="AD167" s="339"/>
      <c r="AE167" s="339"/>
    </row>
    <row r="168" spans="1:31" hidden="1" x14ac:dyDescent="0.3">
      <c r="A168" s="357" t="str">
        <f>tblSeverityAnalysis[[#This Row],[Admin 2 P-Code]]</f>
        <v>SD18085</v>
      </c>
      <c r="B168" s="245" t="s">
        <v>194</v>
      </c>
      <c r="C168" s="358" t="s">
        <v>135</v>
      </c>
      <c r="D168" s="372" t="s">
        <v>548</v>
      </c>
      <c r="E168" s="246" t="s">
        <v>549</v>
      </c>
      <c r="F168" s="360"/>
      <c r="G168" s="361"/>
      <c r="H168" s="361"/>
      <c r="I168" s="361"/>
      <c r="J168" s="361"/>
      <c r="K168" s="361"/>
      <c r="L168" s="361">
        <f>_xlfn.XLOOKUP(tblSeverityAnalysis[[#This Row],[Admin 2 P-Code]],'PIN2025'!B:B,'PIN2025'!H:H,0,0)</f>
        <v>3</v>
      </c>
      <c r="M168" s="363"/>
      <c r="N168" s="361"/>
      <c r="O168" s="361"/>
      <c r="P168" s="361"/>
      <c r="Q168" s="361"/>
      <c r="R168" s="364" t="str">
        <f>IF(COUNTIF(tblSeverityAnalysis[[#This Row],[Site Management ]:[WASH]], 1)=0, "", COUNTIF(tblSeverityAnalysis[[#This Row],[Site Management ]:[WASH]], 1))</f>
        <v/>
      </c>
      <c r="S168" s="365" t="str">
        <f>IF(COUNTIF(tblSeverityAnalysis[[#This Row],[Site Management ]:[WASH]], 2)=0, "", COUNTIF(tblSeverityAnalysis[[#This Row],[Site Management ]:[WASH]], 2))</f>
        <v/>
      </c>
      <c r="T168" s="365">
        <f>IF(COUNTIF(tblSeverityAnalysis[[#This Row],[Site Management ]:[WASH]], 3)=0, "", COUNTIF(tblSeverityAnalysis[[#This Row],[Site Management ]:[WASH]], 3))</f>
        <v>1</v>
      </c>
      <c r="U168" s="365" t="str">
        <f>IF(COUNTIF(tblSeverityAnalysis[[#This Row],[Site Management ]:[WASH]], 4)=0, "", COUNTIF(tblSeverityAnalysis[[#This Row],[Site Management ]:[WASH]], 4))</f>
        <v/>
      </c>
      <c r="V168" s="366" t="str">
        <f>IF(COUNTIF(tblSeverityAnalysis[[#This Row],[Site Management ]:[WASH]], 5)=0, "", COUNTIF(tblSeverityAnalysis[[#This Row],[Site Management ]:[WASH]], 5))</f>
        <v/>
      </c>
      <c r="W168" s="367">
        <f>IFERROR(LARGE(tblSeverityAnalysis[[#This Row],[Site Management ]:[General Protection]],1),"")</f>
        <v>3</v>
      </c>
      <c r="X168" s="368" t="str">
        <f>IFERROR(IF(AND(tblSeverityAnalysis[[#This Row],[5]] &lt;&gt; "", tblSeverityAnalysis[[#This Row],[5]]&gt;=sectors_sev_5), "Flagged", ""), "")</f>
        <v/>
      </c>
      <c r="Y168" s="369"/>
      <c r="Z168" s="324"/>
      <c r="AA168" s="370">
        <f>COUNTIF(tblSeverityAnalysis[[#This Row],[1 sectors in severity phase 5 '[modify the threshold']]:[Manual Flag]], "Flagged")</f>
        <v>0</v>
      </c>
      <c r="AB168" s="339"/>
      <c r="AC168" s="339"/>
      <c r="AD168" s="339"/>
      <c r="AE168" s="339"/>
    </row>
    <row r="169" spans="1:31" hidden="1" x14ac:dyDescent="0.3">
      <c r="A169" s="357" t="str">
        <f>tblSeverityAnalysis[[#This Row],[Admin 2 P-Code]]</f>
        <v>SD18086</v>
      </c>
      <c r="B169" s="245" t="s">
        <v>194</v>
      </c>
      <c r="C169" s="358" t="s">
        <v>135</v>
      </c>
      <c r="D169" s="372" t="s">
        <v>550</v>
      </c>
      <c r="E169" s="246" t="s">
        <v>551</v>
      </c>
      <c r="F169" s="360"/>
      <c r="G169" s="361"/>
      <c r="H169" s="361"/>
      <c r="I169" s="361"/>
      <c r="J169" s="361"/>
      <c r="K169" s="361"/>
      <c r="L169" s="361">
        <f>_xlfn.XLOOKUP(tblSeverityAnalysis[[#This Row],[Admin 2 P-Code]],'PIN2025'!B:B,'PIN2025'!H:H,0,0)</f>
        <v>3</v>
      </c>
      <c r="M169" s="363"/>
      <c r="N169" s="361"/>
      <c r="O169" s="361"/>
      <c r="P169" s="361"/>
      <c r="Q169" s="361"/>
      <c r="R169" s="364" t="str">
        <f>IF(COUNTIF(tblSeverityAnalysis[[#This Row],[Site Management ]:[WASH]], 1)=0, "", COUNTIF(tblSeverityAnalysis[[#This Row],[Site Management ]:[WASH]], 1))</f>
        <v/>
      </c>
      <c r="S169" s="365" t="str">
        <f>IF(COUNTIF(tblSeverityAnalysis[[#This Row],[Site Management ]:[WASH]], 2)=0, "", COUNTIF(tblSeverityAnalysis[[#This Row],[Site Management ]:[WASH]], 2))</f>
        <v/>
      </c>
      <c r="T169" s="365">
        <f>IF(COUNTIF(tblSeverityAnalysis[[#This Row],[Site Management ]:[WASH]], 3)=0, "", COUNTIF(tblSeverityAnalysis[[#This Row],[Site Management ]:[WASH]], 3))</f>
        <v>1</v>
      </c>
      <c r="U169" s="365" t="str">
        <f>IF(COUNTIF(tblSeverityAnalysis[[#This Row],[Site Management ]:[WASH]], 4)=0, "", COUNTIF(tblSeverityAnalysis[[#This Row],[Site Management ]:[WASH]], 4))</f>
        <v/>
      </c>
      <c r="V169" s="366" t="str">
        <f>IF(COUNTIF(tblSeverityAnalysis[[#This Row],[Site Management ]:[WASH]], 5)=0, "", COUNTIF(tblSeverityAnalysis[[#This Row],[Site Management ]:[WASH]], 5))</f>
        <v/>
      </c>
      <c r="W169" s="367">
        <f>IFERROR(LARGE(tblSeverityAnalysis[[#This Row],[Site Management ]:[General Protection]],1),"")</f>
        <v>3</v>
      </c>
      <c r="X169" s="368" t="str">
        <f>IFERROR(IF(AND(tblSeverityAnalysis[[#This Row],[5]] &lt;&gt; "", tblSeverityAnalysis[[#This Row],[5]]&gt;=sectors_sev_5), "Flagged", ""), "")</f>
        <v/>
      </c>
      <c r="Y169" s="369"/>
      <c r="Z169" s="324"/>
      <c r="AA169" s="370">
        <f>COUNTIF(tblSeverityAnalysis[[#This Row],[1 sectors in severity phase 5 '[modify the threshold']]:[Manual Flag]], "Flagged")</f>
        <v>0</v>
      </c>
      <c r="AB169" s="339"/>
      <c r="AC169" s="339"/>
      <c r="AD169" s="339"/>
      <c r="AE169" s="339"/>
    </row>
    <row r="170" spans="1:31" hidden="1" x14ac:dyDescent="0.3">
      <c r="A170" s="357" t="str">
        <f>tblSeverityAnalysis[[#This Row],[Admin 2 P-Code]]</f>
        <v>SD18087</v>
      </c>
      <c r="B170" s="245" t="s">
        <v>194</v>
      </c>
      <c r="C170" s="358" t="s">
        <v>135</v>
      </c>
      <c r="D170" s="372" t="s">
        <v>552</v>
      </c>
      <c r="E170" s="246" t="s">
        <v>553</v>
      </c>
      <c r="F170" s="360"/>
      <c r="G170" s="361"/>
      <c r="H170" s="361"/>
      <c r="I170" s="361"/>
      <c r="J170" s="361"/>
      <c r="K170" s="361"/>
      <c r="L170" s="361">
        <f>_xlfn.XLOOKUP(tblSeverityAnalysis[[#This Row],[Admin 2 P-Code]],'PIN2025'!B:B,'PIN2025'!H:H,0,0)</f>
        <v>3</v>
      </c>
      <c r="M170" s="363"/>
      <c r="N170" s="361"/>
      <c r="O170" s="361"/>
      <c r="P170" s="361"/>
      <c r="Q170" s="361"/>
      <c r="R170" s="364" t="str">
        <f>IF(COUNTIF(tblSeverityAnalysis[[#This Row],[Site Management ]:[WASH]], 1)=0, "", COUNTIF(tblSeverityAnalysis[[#This Row],[Site Management ]:[WASH]], 1))</f>
        <v/>
      </c>
      <c r="S170" s="365" t="str">
        <f>IF(COUNTIF(tblSeverityAnalysis[[#This Row],[Site Management ]:[WASH]], 2)=0, "", COUNTIF(tblSeverityAnalysis[[#This Row],[Site Management ]:[WASH]], 2))</f>
        <v/>
      </c>
      <c r="T170" s="365">
        <f>IF(COUNTIF(tblSeverityAnalysis[[#This Row],[Site Management ]:[WASH]], 3)=0, "", COUNTIF(tblSeverityAnalysis[[#This Row],[Site Management ]:[WASH]], 3))</f>
        <v>1</v>
      </c>
      <c r="U170" s="365" t="str">
        <f>IF(COUNTIF(tblSeverityAnalysis[[#This Row],[Site Management ]:[WASH]], 4)=0, "", COUNTIF(tblSeverityAnalysis[[#This Row],[Site Management ]:[WASH]], 4))</f>
        <v/>
      </c>
      <c r="V170" s="366" t="str">
        <f>IF(COUNTIF(tblSeverityAnalysis[[#This Row],[Site Management ]:[WASH]], 5)=0, "", COUNTIF(tblSeverityAnalysis[[#This Row],[Site Management ]:[WASH]], 5))</f>
        <v/>
      </c>
      <c r="W170" s="367">
        <f>IFERROR(LARGE(tblSeverityAnalysis[[#This Row],[Site Management ]:[General Protection]],1),"")</f>
        <v>3</v>
      </c>
      <c r="X170" s="368" t="str">
        <f>IFERROR(IF(AND(tblSeverityAnalysis[[#This Row],[5]] &lt;&gt; "", tblSeverityAnalysis[[#This Row],[5]]&gt;=sectors_sev_5), "Flagged", ""), "")</f>
        <v/>
      </c>
      <c r="Y170" s="369"/>
      <c r="Z170" s="324"/>
      <c r="AA170" s="370">
        <f>COUNTIF(tblSeverityAnalysis[[#This Row],[1 sectors in severity phase 5 '[modify the threshold']]:[Manual Flag]], "Flagged")</f>
        <v>0</v>
      </c>
      <c r="AB170" s="339"/>
      <c r="AC170" s="339"/>
      <c r="AD170" s="339"/>
      <c r="AE170" s="339"/>
    </row>
    <row r="171" spans="1:31" hidden="1" x14ac:dyDescent="0.3">
      <c r="A171" s="357" t="str">
        <f>tblSeverityAnalysis[[#This Row],[Admin 2 P-Code]]</f>
        <v>SD18092</v>
      </c>
      <c r="B171" s="245" t="s">
        <v>194</v>
      </c>
      <c r="C171" s="358" t="s">
        <v>135</v>
      </c>
      <c r="D171" s="372" t="s">
        <v>554</v>
      </c>
      <c r="E171" s="246" t="s">
        <v>555</v>
      </c>
      <c r="F171" s="360"/>
      <c r="G171" s="361"/>
      <c r="H171" s="361"/>
      <c r="I171" s="361"/>
      <c r="J171" s="361"/>
      <c r="K171" s="361"/>
      <c r="L171" s="361">
        <f>_xlfn.XLOOKUP(tblSeverityAnalysis[[#This Row],[Admin 2 P-Code]],'PIN2025'!B:B,'PIN2025'!H:H,0,0)</f>
        <v>3</v>
      </c>
      <c r="M171" s="363"/>
      <c r="N171" s="361"/>
      <c r="O171" s="361"/>
      <c r="P171" s="361"/>
      <c r="Q171" s="361"/>
      <c r="R171" s="364" t="str">
        <f>IF(COUNTIF(tblSeverityAnalysis[[#This Row],[Site Management ]:[WASH]], 1)=0, "", COUNTIF(tblSeverityAnalysis[[#This Row],[Site Management ]:[WASH]], 1))</f>
        <v/>
      </c>
      <c r="S171" s="365" t="str">
        <f>IF(COUNTIF(tblSeverityAnalysis[[#This Row],[Site Management ]:[WASH]], 2)=0, "", COUNTIF(tblSeverityAnalysis[[#This Row],[Site Management ]:[WASH]], 2))</f>
        <v/>
      </c>
      <c r="T171" s="365">
        <f>IF(COUNTIF(tblSeverityAnalysis[[#This Row],[Site Management ]:[WASH]], 3)=0, "", COUNTIF(tblSeverityAnalysis[[#This Row],[Site Management ]:[WASH]], 3))</f>
        <v>1</v>
      </c>
      <c r="U171" s="365" t="str">
        <f>IF(COUNTIF(tblSeverityAnalysis[[#This Row],[Site Management ]:[WASH]], 4)=0, "", COUNTIF(tblSeverityAnalysis[[#This Row],[Site Management ]:[WASH]], 4))</f>
        <v/>
      </c>
      <c r="V171" s="366" t="str">
        <f>IF(COUNTIF(tblSeverityAnalysis[[#This Row],[Site Management ]:[WASH]], 5)=0, "", COUNTIF(tblSeverityAnalysis[[#This Row],[Site Management ]:[WASH]], 5))</f>
        <v/>
      </c>
      <c r="W171" s="367">
        <f>IFERROR(LARGE(tblSeverityAnalysis[[#This Row],[Site Management ]:[General Protection]],1),"")</f>
        <v>3</v>
      </c>
      <c r="X171" s="368" t="str">
        <f>IFERROR(IF(AND(tblSeverityAnalysis[[#This Row],[5]] &lt;&gt; "", tblSeverityAnalysis[[#This Row],[5]]&gt;=sectors_sev_5), "Flagged", ""), "")</f>
        <v/>
      </c>
      <c r="Y171" s="369"/>
      <c r="Z171" s="324"/>
      <c r="AA171" s="370">
        <f>COUNTIF(tblSeverityAnalysis[[#This Row],[1 sectors in severity phase 5 '[modify the threshold']]:[Manual Flag]], "Flagged")</f>
        <v>0</v>
      </c>
      <c r="AB171" s="339"/>
      <c r="AC171" s="339"/>
      <c r="AD171" s="339"/>
      <c r="AE171" s="339"/>
    </row>
    <row r="172" spans="1:31" hidden="1" x14ac:dyDescent="0.3">
      <c r="A172" s="357" t="str">
        <f>tblSeverityAnalysis[[#This Row],[Admin 2 P-Code]]</f>
        <v>SD18100</v>
      </c>
      <c r="B172" s="245" t="s">
        <v>194</v>
      </c>
      <c r="C172" s="358" t="s">
        <v>135</v>
      </c>
      <c r="D172" s="372" t="s">
        <v>556</v>
      </c>
      <c r="E172" s="246" t="s">
        <v>557</v>
      </c>
      <c r="F172" s="360"/>
      <c r="G172" s="361"/>
      <c r="H172" s="361"/>
      <c r="I172" s="361"/>
      <c r="J172" s="361"/>
      <c r="K172" s="361"/>
      <c r="L172" s="361">
        <f>_xlfn.XLOOKUP(tblSeverityAnalysis[[#This Row],[Admin 2 P-Code]],'PIN2025'!B:B,'PIN2025'!H:H,0,0)</f>
        <v>3</v>
      </c>
      <c r="M172" s="363"/>
      <c r="N172" s="361"/>
      <c r="O172" s="361"/>
      <c r="P172" s="361"/>
      <c r="Q172" s="361"/>
      <c r="R172" s="364" t="str">
        <f>IF(COUNTIF(tblSeverityAnalysis[[#This Row],[Site Management ]:[WASH]], 1)=0, "", COUNTIF(tblSeverityAnalysis[[#This Row],[Site Management ]:[WASH]], 1))</f>
        <v/>
      </c>
      <c r="S172" s="365" t="str">
        <f>IF(COUNTIF(tblSeverityAnalysis[[#This Row],[Site Management ]:[WASH]], 2)=0, "", COUNTIF(tblSeverityAnalysis[[#This Row],[Site Management ]:[WASH]], 2))</f>
        <v/>
      </c>
      <c r="T172" s="365">
        <f>IF(COUNTIF(tblSeverityAnalysis[[#This Row],[Site Management ]:[WASH]], 3)=0, "", COUNTIF(tblSeverityAnalysis[[#This Row],[Site Management ]:[WASH]], 3))</f>
        <v>1</v>
      </c>
      <c r="U172" s="365" t="str">
        <f>IF(COUNTIF(tblSeverityAnalysis[[#This Row],[Site Management ]:[WASH]], 4)=0, "", COUNTIF(tblSeverityAnalysis[[#This Row],[Site Management ]:[WASH]], 4))</f>
        <v/>
      </c>
      <c r="V172" s="366" t="str">
        <f>IF(COUNTIF(tblSeverityAnalysis[[#This Row],[Site Management ]:[WASH]], 5)=0, "", COUNTIF(tblSeverityAnalysis[[#This Row],[Site Management ]:[WASH]], 5))</f>
        <v/>
      </c>
      <c r="W172" s="367">
        <f>IFERROR(LARGE(tblSeverityAnalysis[[#This Row],[Site Management ]:[General Protection]],1),"")</f>
        <v>3</v>
      </c>
      <c r="X172" s="368" t="str">
        <f>IFERROR(IF(AND(tblSeverityAnalysis[[#This Row],[5]] &lt;&gt; "", tblSeverityAnalysis[[#This Row],[5]]&gt;=sectors_sev_5), "Flagged", ""), "")</f>
        <v/>
      </c>
      <c r="Y172" s="369"/>
      <c r="Z172" s="324"/>
      <c r="AA172" s="370">
        <f>COUNTIF(tblSeverityAnalysis[[#This Row],[1 sectors in severity phase 5 '[modify the threshold']]:[Manual Flag]], "Flagged")</f>
        <v>0</v>
      </c>
      <c r="AB172" s="339"/>
      <c r="AC172" s="339"/>
      <c r="AD172" s="339"/>
      <c r="AE172" s="339"/>
    </row>
    <row r="173" spans="1:31" hidden="1" x14ac:dyDescent="0.3">
      <c r="A173" s="357" t="str">
        <f>tblSeverityAnalysis[[#This Row],[Admin 2 P-Code]]</f>
        <v>SD18102</v>
      </c>
      <c r="B173" s="245" t="s">
        <v>194</v>
      </c>
      <c r="C173" s="358" t="s">
        <v>135</v>
      </c>
      <c r="D173" s="372" t="s">
        <v>558</v>
      </c>
      <c r="E173" s="246" t="s">
        <v>559</v>
      </c>
      <c r="F173" s="360"/>
      <c r="G173" s="361"/>
      <c r="H173" s="361"/>
      <c r="I173" s="361"/>
      <c r="J173" s="361"/>
      <c r="K173" s="361"/>
      <c r="L173" s="361">
        <f>_xlfn.XLOOKUP(tblSeverityAnalysis[[#This Row],[Admin 2 P-Code]],'PIN2025'!B:B,'PIN2025'!H:H,0,0)</f>
        <v>3</v>
      </c>
      <c r="M173" s="363"/>
      <c r="N173" s="361"/>
      <c r="O173" s="361"/>
      <c r="P173" s="361"/>
      <c r="Q173" s="361"/>
      <c r="R173" s="364" t="str">
        <f>IF(COUNTIF(tblSeverityAnalysis[[#This Row],[Site Management ]:[WASH]], 1)=0, "", COUNTIF(tblSeverityAnalysis[[#This Row],[Site Management ]:[WASH]], 1))</f>
        <v/>
      </c>
      <c r="S173" s="365" t="str">
        <f>IF(COUNTIF(tblSeverityAnalysis[[#This Row],[Site Management ]:[WASH]], 2)=0, "", COUNTIF(tblSeverityAnalysis[[#This Row],[Site Management ]:[WASH]], 2))</f>
        <v/>
      </c>
      <c r="T173" s="365">
        <f>IF(COUNTIF(tblSeverityAnalysis[[#This Row],[Site Management ]:[WASH]], 3)=0, "", COUNTIF(tblSeverityAnalysis[[#This Row],[Site Management ]:[WASH]], 3))</f>
        <v>1</v>
      </c>
      <c r="U173" s="365" t="str">
        <f>IF(COUNTIF(tblSeverityAnalysis[[#This Row],[Site Management ]:[WASH]], 4)=0, "", COUNTIF(tblSeverityAnalysis[[#This Row],[Site Management ]:[WASH]], 4))</f>
        <v/>
      </c>
      <c r="V173" s="366" t="str">
        <f>IF(COUNTIF(tblSeverityAnalysis[[#This Row],[Site Management ]:[WASH]], 5)=0, "", COUNTIF(tblSeverityAnalysis[[#This Row],[Site Management ]:[WASH]], 5))</f>
        <v/>
      </c>
      <c r="W173" s="367">
        <f>IFERROR(LARGE(tblSeverityAnalysis[[#This Row],[Site Management ]:[General Protection]],1),"")</f>
        <v>3</v>
      </c>
      <c r="X173" s="368" t="str">
        <f>IFERROR(IF(AND(tblSeverityAnalysis[[#This Row],[5]] &lt;&gt; "", tblSeverityAnalysis[[#This Row],[5]]&gt;=sectors_sev_5), "Flagged", ""), "")</f>
        <v/>
      </c>
      <c r="Y173" s="369"/>
      <c r="Z173" s="324"/>
      <c r="AA173" s="370">
        <f>COUNTIF(tblSeverityAnalysis[[#This Row],[1 sectors in severity phase 5 '[modify the threshold']]:[Manual Flag]], "Flagged")</f>
        <v>0</v>
      </c>
      <c r="AB173" s="339"/>
      <c r="AC173" s="339"/>
      <c r="AD173" s="339"/>
      <c r="AE173" s="339"/>
    </row>
    <row r="174" spans="1:31" hidden="1" x14ac:dyDescent="0.3">
      <c r="A174" s="357" t="str">
        <f>tblSeverityAnalysis[[#This Row],[Admin 2 P-Code]]</f>
        <v>SD18103</v>
      </c>
      <c r="B174" s="245" t="s">
        <v>194</v>
      </c>
      <c r="C174" s="358" t="s">
        <v>135</v>
      </c>
      <c r="D174" s="372" t="s">
        <v>560</v>
      </c>
      <c r="E174" s="246" t="s">
        <v>561</v>
      </c>
      <c r="F174" s="360"/>
      <c r="G174" s="361"/>
      <c r="H174" s="361"/>
      <c r="I174" s="361"/>
      <c r="J174" s="361"/>
      <c r="K174" s="361"/>
      <c r="L174" s="361">
        <f>_xlfn.XLOOKUP(tblSeverityAnalysis[[#This Row],[Admin 2 P-Code]],'PIN2025'!B:B,'PIN2025'!H:H,0,0)</f>
        <v>3</v>
      </c>
      <c r="M174" s="363"/>
      <c r="N174" s="361"/>
      <c r="O174" s="361"/>
      <c r="P174" s="361"/>
      <c r="Q174" s="361"/>
      <c r="R174" s="364" t="str">
        <f>IF(COUNTIF(tblSeverityAnalysis[[#This Row],[Site Management ]:[WASH]], 1)=0, "", COUNTIF(tblSeverityAnalysis[[#This Row],[Site Management ]:[WASH]], 1))</f>
        <v/>
      </c>
      <c r="S174" s="365" t="str">
        <f>IF(COUNTIF(tblSeverityAnalysis[[#This Row],[Site Management ]:[WASH]], 2)=0, "", COUNTIF(tblSeverityAnalysis[[#This Row],[Site Management ]:[WASH]], 2))</f>
        <v/>
      </c>
      <c r="T174" s="365">
        <f>IF(COUNTIF(tblSeverityAnalysis[[#This Row],[Site Management ]:[WASH]], 3)=0, "", COUNTIF(tblSeverityAnalysis[[#This Row],[Site Management ]:[WASH]], 3))</f>
        <v>1</v>
      </c>
      <c r="U174" s="365" t="str">
        <f>IF(COUNTIF(tblSeverityAnalysis[[#This Row],[Site Management ]:[WASH]], 4)=0, "", COUNTIF(tblSeverityAnalysis[[#This Row],[Site Management ]:[WASH]], 4))</f>
        <v/>
      </c>
      <c r="V174" s="366" t="str">
        <f>IF(COUNTIF(tblSeverityAnalysis[[#This Row],[Site Management ]:[WASH]], 5)=0, "", COUNTIF(tblSeverityAnalysis[[#This Row],[Site Management ]:[WASH]], 5))</f>
        <v/>
      </c>
      <c r="W174" s="367">
        <f>IFERROR(LARGE(tblSeverityAnalysis[[#This Row],[Site Management ]:[General Protection]],1),"")</f>
        <v>3</v>
      </c>
      <c r="X174" s="368" t="str">
        <f>IFERROR(IF(AND(tblSeverityAnalysis[[#This Row],[5]] &lt;&gt; "", tblSeverityAnalysis[[#This Row],[5]]&gt;=sectors_sev_5), "Flagged", ""), "")</f>
        <v/>
      </c>
      <c r="Y174" s="369"/>
      <c r="Z174" s="324"/>
      <c r="AA174" s="370">
        <f>COUNTIF(tblSeverityAnalysis[[#This Row],[1 sectors in severity phase 5 '[modify the threshold']]:[Manual Flag]], "Flagged")</f>
        <v>0</v>
      </c>
      <c r="AB174" s="339"/>
      <c r="AC174" s="339"/>
      <c r="AD174" s="339"/>
      <c r="AE174" s="339"/>
    </row>
    <row r="175" spans="1:31" hidden="1" x14ac:dyDescent="0.3">
      <c r="A175" s="357" t="str">
        <f>tblSeverityAnalysis[[#This Row],[Admin 2 P-Code]]</f>
        <v>SD18104</v>
      </c>
      <c r="B175" s="245" t="s">
        <v>194</v>
      </c>
      <c r="C175" s="358" t="s">
        <v>135</v>
      </c>
      <c r="D175" s="372" t="s">
        <v>562</v>
      </c>
      <c r="E175" s="246" t="s">
        <v>563</v>
      </c>
      <c r="F175" s="360"/>
      <c r="G175" s="361"/>
      <c r="H175" s="361"/>
      <c r="I175" s="361"/>
      <c r="J175" s="361"/>
      <c r="K175" s="361"/>
      <c r="L175" s="361">
        <f>_xlfn.XLOOKUP(tblSeverityAnalysis[[#This Row],[Admin 2 P-Code]],'PIN2025'!B:B,'PIN2025'!H:H,0,0)</f>
        <v>3</v>
      </c>
      <c r="M175" s="363"/>
      <c r="N175" s="361"/>
      <c r="O175" s="361"/>
      <c r="P175" s="361"/>
      <c r="Q175" s="361"/>
      <c r="R175" s="364" t="str">
        <f>IF(COUNTIF(tblSeverityAnalysis[[#This Row],[Site Management ]:[WASH]], 1)=0, "", COUNTIF(tblSeverityAnalysis[[#This Row],[Site Management ]:[WASH]], 1))</f>
        <v/>
      </c>
      <c r="S175" s="365" t="str">
        <f>IF(COUNTIF(tblSeverityAnalysis[[#This Row],[Site Management ]:[WASH]], 2)=0, "", COUNTIF(tblSeverityAnalysis[[#This Row],[Site Management ]:[WASH]], 2))</f>
        <v/>
      </c>
      <c r="T175" s="365">
        <f>IF(COUNTIF(tblSeverityAnalysis[[#This Row],[Site Management ]:[WASH]], 3)=0, "", COUNTIF(tblSeverityAnalysis[[#This Row],[Site Management ]:[WASH]], 3))</f>
        <v>1</v>
      </c>
      <c r="U175" s="365" t="str">
        <f>IF(COUNTIF(tblSeverityAnalysis[[#This Row],[Site Management ]:[WASH]], 4)=0, "", COUNTIF(tblSeverityAnalysis[[#This Row],[Site Management ]:[WASH]], 4))</f>
        <v/>
      </c>
      <c r="V175" s="366" t="str">
        <f>IF(COUNTIF(tblSeverityAnalysis[[#This Row],[Site Management ]:[WASH]], 5)=0, "", COUNTIF(tblSeverityAnalysis[[#This Row],[Site Management ]:[WASH]], 5))</f>
        <v/>
      </c>
      <c r="W175" s="367">
        <f>IFERROR(LARGE(tblSeverityAnalysis[[#This Row],[Site Management ]:[General Protection]],1),"")</f>
        <v>3</v>
      </c>
      <c r="X175" s="368" t="str">
        <f>IFERROR(IF(AND(tblSeverityAnalysis[[#This Row],[5]] &lt;&gt; "", tblSeverityAnalysis[[#This Row],[5]]&gt;=sectors_sev_5), "Flagged", ""), "")</f>
        <v/>
      </c>
      <c r="Y175" s="369"/>
      <c r="Z175" s="324"/>
      <c r="AA175" s="370">
        <f>COUNTIF(tblSeverityAnalysis[[#This Row],[1 sectors in severity phase 5 '[modify the threshold']]:[Manual Flag]], "Flagged")</f>
        <v>0</v>
      </c>
      <c r="AB175" s="339"/>
      <c r="AC175" s="339"/>
      <c r="AD175" s="339"/>
      <c r="AE175" s="339"/>
    </row>
    <row r="176" spans="1:31" hidden="1" x14ac:dyDescent="0.3">
      <c r="A176" s="357" t="str">
        <f>tblSeverityAnalysis[[#This Row],[Admin 2 P-Code]]</f>
        <v>SD18105</v>
      </c>
      <c r="B176" s="245" t="s">
        <v>194</v>
      </c>
      <c r="C176" s="358" t="s">
        <v>135</v>
      </c>
      <c r="D176" s="372" t="s">
        <v>564</v>
      </c>
      <c r="E176" s="246" t="s">
        <v>565</v>
      </c>
      <c r="F176" s="360"/>
      <c r="G176" s="361"/>
      <c r="H176" s="361"/>
      <c r="I176" s="361"/>
      <c r="J176" s="361"/>
      <c r="K176" s="361"/>
      <c r="L176" s="361">
        <f>_xlfn.XLOOKUP(tblSeverityAnalysis[[#This Row],[Admin 2 P-Code]],'PIN2025'!B:B,'PIN2025'!H:H,0,0)</f>
        <v>3</v>
      </c>
      <c r="M176" s="363"/>
      <c r="N176" s="361"/>
      <c r="O176" s="361"/>
      <c r="P176" s="361"/>
      <c r="Q176" s="361"/>
      <c r="R176" s="364" t="str">
        <f>IF(COUNTIF(tblSeverityAnalysis[[#This Row],[Site Management ]:[WASH]], 1)=0, "", COUNTIF(tblSeverityAnalysis[[#This Row],[Site Management ]:[WASH]], 1))</f>
        <v/>
      </c>
      <c r="S176" s="365" t="str">
        <f>IF(COUNTIF(tblSeverityAnalysis[[#This Row],[Site Management ]:[WASH]], 2)=0, "", COUNTIF(tblSeverityAnalysis[[#This Row],[Site Management ]:[WASH]], 2))</f>
        <v/>
      </c>
      <c r="T176" s="365">
        <f>IF(COUNTIF(tblSeverityAnalysis[[#This Row],[Site Management ]:[WASH]], 3)=0, "", COUNTIF(tblSeverityAnalysis[[#This Row],[Site Management ]:[WASH]], 3))</f>
        <v>1</v>
      </c>
      <c r="U176" s="365" t="str">
        <f>IF(COUNTIF(tblSeverityAnalysis[[#This Row],[Site Management ]:[WASH]], 4)=0, "", COUNTIF(tblSeverityAnalysis[[#This Row],[Site Management ]:[WASH]], 4))</f>
        <v/>
      </c>
      <c r="V176" s="366" t="str">
        <f>IF(COUNTIF(tblSeverityAnalysis[[#This Row],[Site Management ]:[WASH]], 5)=0, "", COUNTIF(tblSeverityAnalysis[[#This Row],[Site Management ]:[WASH]], 5))</f>
        <v/>
      </c>
      <c r="W176" s="367">
        <f>IFERROR(LARGE(tblSeverityAnalysis[[#This Row],[Site Management ]:[General Protection]],1),"")</f>
        <v>3</v>
      </c>
      <c r="X176" s="368" t="str">
        <f>IFERROR(IF(AND(tblSeverityAnalysis[[#This Row],[5]] &lt;&gt; "", tblSeverityAnalysis[[#This Row],[5]]&gt;=sectors_sev_5), "Flagged", ""), "")</f>
        <v/>
      </c>
      <c r="Y176" s="369"/>
      <c r="Z176" s="324"/>
      <c r="AA176" s="370">
        <f>COUNTIF(tblSeverityAnalysis[[#This Row],[1 sectors in severity phase 5 '[modify the threshold']]:[Manual Flag]], "Flagged")</f>
        <v>0</v>
      </c>
      <c r="AB176" s="339"/>
      <c r="AC176" s="339"/>
      <c r="AD176" s="339"/>
      <c r="AE176" s="339"/>
    </row>
    <row r="177" spans="1:31" hidden="1" x14ac:dyDescent="0.3">
      <c r="A177" s="357" t="str">
        <f>tblSeverityAnalysis[[#This Row],[Admin 2 P-Code]]</f>
        <v>SD18106</v>
      </c>
      <c r="B177" s="245" t="s">
        <v>194</v>
      </c>
      <c r="C177" s="358" t="s">
        <v>135</v>
      </c>
      <c r="D177" s="372" t="s">
        <v>566</v>
      </c>
      <c r="E177" s="246" t="s">
        <v>567</v>
      </c>
      <c r="F177" s="360"/>
      <c r="G177" s="361"/>
      <c r="H177" s="361"/>
      <c r="I177" s="361"/>
      <c r="J177" s="361"/>
      <c r="K177" s="361"/>
      <c r="L177" s="361">
        <f>_xlfn.XLOOKUP(tblSeverityAnalysis[[#This Row],[Admin 2 P-Code]],'PIN2025'!B:B,'PIN2025'!H:H,0,0)</f>
        <v>3</v>
      </c>
      <c r="M177" s="363"/>
      <c r="N177" s="361"/>
      <c r="O177" s="361"/>
      <c r="P177" s="361"/>
      <c r="Q177" s="361"/>
      <c r="R177" s="364" t="str">
        <f>IF(COUNTIF(tblSeverityAnalysis[[#This Row],[Site Management ]:[WASH]], 1)=0, "", COUNTIF(tblSeverityAnalysis[[#This Row],[Site Management ]:[WASH]], 1))</f>
        <v/>
      </c>
      <c r="S177" s="365" t="str">
        <f>IF(COUNTIF(tblSeverityAnalysis[[#This Row],[Site Management ]:[WASH]], 2)=0, "", COUNTIF(tblSeverityAnalysis[[#This Row],[Site Management ]:[WASH]], 2))</f>
        <v/>
      </c>
      <c r="T177" s="365">
        <f>IF(COUNTIF(tblSeverityAnalysis[[#This Row],[Site Management ]:[WASH]], 3)=0, "", COUNTIF(tblSeverityAnalysis[[#This Row],[Site Management ]:[WASH]], 3))</f>
        <v>1</v>
      </c>
      <c r="U177" s="365" t="str">
        <f>IF(COUNTIF(tblSeverityAnalysis[[#This Row],[Site Management ]:[WASH]], 4)=0, "", COUNTIF(tblSeverityAnalysis[[#This Row],[Site Management ]:[WASH]], 4))</f>
        <v/>
      </c>
      <c r="V177" s="366" t="str">
        <f>IF(COUNTIF(tblSeverityAnalysis[[#This Row],[Site Management ]:[WASH]], 5)=0, "", COUNTIF(tblSeverityAnalysis[[#This Row],[Site Management ]:[WASH]], 5))</f>
        <v/>
      </c>
      <c r="W177" s="367">
        <f>IFERROR(LARGE(tblSeverityAnalysis[[#This Row],[Site Management ]:[General Protection]],1),"")</f>
        <v>3</v>
      </c>
      <c r="X177" s="368" t="str">
        <f>IFERROR(IF(AND(tblSeverityAnalysis[[#This Row],[5]] &lt;&gt; "", tblSeverityAnalysis[[#This Row],[5]]&gt;=sectors_sev_5), "Flagged", ""), "")</f>
        <v/>
      </c>
      <c r="Y177" s="369"/>
      <c r="Z177" s="324"/>
      <c r="AA177" s="370">
        <f>COUNTIF(tblSeverityAnalysis[[#This Row],[1 sectors in severity phase 5 '[modify the threshold']]:[Manual Flag]], "Flagged")</f>
        <v>0</v>
      </c>
      <c r="AB177" s="339"/>
      <c r="AC177" s="339"/>
      <c r="AD177" s="339"/>
      <c r="AE177" s="339"/>
    </row>
    <row r="178" spans="1:31" hidden="1" x14ac:dyDescent="0.3">
      <c r="A178" s="357" t="str">
        <f>tblSeverityAnalysis[[#This Row],[Admin 2 P-Code]]</f>
        <v>SD09044</v>
      </c>
      <c r="B178" s="245" t="s">
        <v>197</v>
      </c>
      <c r="C178" s="358" t="s">
        <v>126</v>
      </c>
      <c r="D178" s="372" t="s">
        <v>384</v>
      </c>
      <c r="E178" s="246" t="s">
        <v>385</v>
      </c>
      <c r="F178" s="360"/>
      <c r="G178" s="361"/>
      <c r="H178" s="361"/>
      <c r="I178" s="361"/>
      <c r="J178" s="361"/>
      <c r="K178" s="361"/>
      <c r="L178" s="361">
        <f>_xlfn.XLOOKUP(tblSeverityAnalysis[[#This Row],[Admin 2 P-Code]],'PIN2025'!B:B,'PIN2025'!H:H,0,0)</f>
        <v>3</v>
      </c>
      <c r="M178" s="363"/>
      <c r="N178" s="361"/>
      <c r="O178" s="361"/>
      <c r="P178" s="361"/>
      <c r="Q178" s="361"/>
      <c r="R178" s="364" t="str">
        <f>IF(COUNTIF(tblSeverityAnalysis[[#This Row],[Site Management ]:[WASH]], 1)=0, "", COUNTIF(tblSeverityAnalysis[[#This Row],[Site Management ]:[WASH]], 1))</f>
        <v/>
      </c>
      <c r="S178" s="365" t="str">
        <f>IF(COUNTIF(tblSeverityAnalysis[[#This Row],[Site Management ]:[WASH]], 2)=0, "", COUNTIF(tblSeverityAnalysis[[#This Row],[Site Management ]:[WASH]], 2))</f>
        <v/>
      </c>
      <c r="T178" s="365">
        <f>IF(COUNTIF(tblSeverityAnalysis[[#This Row],[Site Management ]:[WASH]], 3)=0, "", COUNTIF(tblSeverityAnalysis[[#This Row],[Site Management ]:[WASH]], 3))</f>
        <v>1</v>
      </c>
      <c r="U178" s="365" t="str">
        <f>IF(COUNTIF(tblSeverityAnalysis[[#This Row],[Site Management ]:[WASH]], 4)=0, "", COUNTIF(tblSeverityAnalysis[[#This Row],[Site Management ]:[WASH]], 4))</f>
        <v/>
      </c>
      <c r="V178" s="366" t="str">
        <f>IF(COUNTIF(tblSeverityAnalysis[[#This Row],[Site Management ]:[WASH]], 5)=0, "", COUNTIF(tblSeverityAnalysis[[#This Row],[Site Management ]:[WASH]], 5))</f>
        <v/>
      </c>
      <c r="W178" s="367">
        <f>IFERROR(LARGE(tblSeverityAnalysis[[#This Row],[Site Management ]:[General Protection]],1),"")</f>
        <v>3</v>
      </c>
      <c r="X178" s="368" t="str">
        <f>IFERROR(IF(AND(tblSeverityAnalysis[[#This Row],[5]] &lt;&gt; "", tblSeverityAnalysis[[#This Row],[5]]&gt;=sectors_sev_5), "Flagged", ""), "")</f>
        <v/>
      </c>
      <c r="Y178" s="369"/>
      <c r="Z178" s="324"/>
      <c r="AA178" s="370">
        <f>COUNTIF(tblSeverityAnalysis[[#This Row],[1 sectors in severity phase 5 '[modify the threshold']]:[Manual Flag]], "Flagged")</f>
        <v>0</v>
      </c>
      <c r="AB178" s="339"/>
      <c r="AC178" s="339"/>
      <c r="AD178" s="339"/>
      <c r="AE178" s="339"/>
    </row>
    <row r="179" spans="1:31" hidden="1" x14ac:dyDescent="0.3">
      <c r="A179" s="357" t="str">
        <f>tblSeverityAnalysis[[#This Row],[Admin 2 P-Code]]</f>
        <v>SD09045</v>
      </c>
      <c r="B179" s="245" t="s">
        <v>197</v>
      </c>
      <c r="C179" s="358" t="s">
        <v>126</v>
      </c>
      <c r="D179" s="372" t="s">
        <v>386</v>
      </c>
      <c r="E179" s="246" t="s">
        <v>387</v>
      </c>
      <c r="F179" s="360"/>
      <c r="G179" s="361"/>
      <c r="H179" s="361"/>
      <c r="I179" s="361"/>
      <c r="J179" s="361"/>
      <c r="K179" s="361"/>
      <c r="L179" s="361">
        <f>_xlfn.XLOOKUP(tblSeverityAnalysis[[#This Row],[Admin 2 P-Code]],'PIN2025'!B:B,'PIN2025'!H:H,0,0)</f>
        <v>3</v>
      </c>
      <c r="M179" s="363"/>
      <c r="N179" s="361"/>
      <c r="O179" s="361"/>
      <c r="P179" s="361"/>
      <c r="Q179" s="361"/>
      <c r="R179" s="364" t="str">
        <f>IF(COUNTIF(tblSeverityAnalysis[[#This Row],[Site Management ]:[WASH]], 1)=0, "", COUNTIF(tblSeverityAnalysis[[#This Row],[Site Management ]:[WASH]], 1))</f>
        <v/>
      </c>
      <c r="S179" s="365" t="str">
        <f>IF(COUNTIF(tblSeverityAnalysis[[#This Row],[Site Management ]:[WASH]], 2)=0, "", COUNTIF(tblSeverityAnalysis[[#This Row],[Site Management ]:[WASH]], 2))</f>
        <v/>
      </c>
      <c r="T179" s="365">
        <f>IF(COUNTIF(tblSeverityAnalysis[[#This Row],[Site Management ]:[WASH]], 3)=0, "", COUNTIF(tblSeverityAnalysis[[#This Row],[Site Management ]:[WASH]], 3))</f>
        <v>1</v>
      </c>
      <c r="U179" s="365" t="str">
        <f>IF(COUNTIF(tblSeverityAnalysis[[#This Row],[Site Management ]:[WASH]], 4)=0, "", COUNTIF(tblSeverityAnalysis[[#This Row],[Site Management ]:[WASH]], 4))</f>
        <v/>
      </c>
      <c r="V179" s="366" t="str">
        <f>IF(COUNTIF(tblSeverityAnalysis[[#This Row],[Site Management ]:[WASH]], 5)=0, "", COUNTIF(tblSeverityAnalysis[[#This Row],[Site Management ]:[WASH]], 5))</f>
        <v/>
      </c>
      <c r="W179" s="367">
        <f>IFERROR(LARGE(tblSeverityAnalysis[[#This Row],[Site Management ]:[General Protection]],1),"")</f>
        <v>3</v>
      </c>
      <c r="X179" s="368" t="str">
        <f>IFERROR(IF(AND(tblSeverityAnalysis[[#This Row],[5]] &lt;&gt; "", tblSeverityAnalysis[[#This Row],[5]]&gt;=sectors_sev_5), "Flagged", ""), "")</f>
        <v/>
      </c>
      <c r="Y179" s="369"/>
      <c r="Z179" s="324"/>
      <c r="AA179" s="370">
        <f>COUNTIF(tblSeverityAnalysis[[#This Row],[1 sectors in severity phase 5 '[modify the threshold']]:[Manual Flag]], "Flagged")</f>
        <v>0</v>
      </c>
      <c r="AB179" s="339"/>
      <c r="AC179" s="339"/>
      <c r="AD179" s="339"/>
      <c r="AE179" s="339"/>
    </row>
    <row r="180" spans="1:31" hidden="1" x14ac:dyDescent="0.3">
      <c r="A180" s="357" t="str">
        <f>tblSeverityAnalysis[[#This Row],[Admin 2 P-Code]]</f>
        <v>SD09047</v>
      </c>
      <c r="B180" s="245" t="s">
        <v>197</v>
      </c>
      <c r="C180" s="358" t="s">
        <v>126</v>
      </c>
      <c r="D180" s="372" t="s">
        <v>390</v>
      </c>
      <c r="E180" s="246" t="s">
        <v>391</v>
      </c>
      <c r="F180" s="360"/>
      <c r="G180" s="361"/>
      <c r="H180" s="361"/>
      <c r="I180" s="361"/>
      <c r="J180" s="361"/>
      <c r="K180" s="361"/>
      <c r="L180" s="361">
        <f>_xlfn.XLOOKUP(tblSeverityAnalysis[[#This Row],[Admin 2 P-Code]],'PIN2025'!B:B,'PIN2025'!H:H,0,0)</f>
        <v>3</v>
      </c>
      <c r="M180" s="363"/>
      <c r="N180" s="361"/>
      <c r="O180" s="361"/>
      <c r="P180" s="361"/>
      <c r="Q180" s="361"/>
      <c r="R180" s="364" t="str">
        <f>IF(COUNTIF(tblSeverityAnalysis[[#This Row],[Site Management ]:[WASH]], 1)=0, "", COUNTIF(tblSeverityAnalysis[[#This Row],[Site Management ]:[WASH]], 1))</f>
        <v/>
      </c>
      <c r="S180" s="365" t="str">
        <f>IF(COUNTIF(tblSeverityAnalysis[[#This Row],[Site Management ]:[WASH]], 2)=0, "", COUNTIF(tblSeverityAnalysis[[#This Row],[Site Management ]:[WASH]], 2))</f>
        <v/>
      </c>
      <c r="T180" s="365">
        <f>IF(COUNTIF(tblSeverityAnalysis[[#This Row],[Site Management ]:[WASH]], 3)=0, "", COUNTIF(tblSeverityAnalysis[[#This Row],[Site Management ]:[WASH]], 3))</f>
        <v>1</v>
      </c>
      <c r="U180" s="365" t="str">
        <f>IF(COUNTIF(tblSeverityAnalysis[[#This Row],[Site Management ]:[WASH]], 4)=0, "", COUNTIF(tblSeverityAnalysis[[#This Row],[Site Management ]:[WASH]], 4))</f>
        <v/>
      </c>
      <c r="V180" s="366" t="str">
        <f>IF(COUNTIF(tblSeverityAnalysis[[#This Row],[Site Management ]:[WASH]], 5)=0, "", COUNTIF(tblSeverityAnalysis[[#This Row],[Site Management ]:[WASH]], 5))</f>
        <v/>
      </c>
      <c r="W180" s="367">
        <f>IFERROR(LARGE(tblSeverityAnalysis[[#This Row],[Site Management ]:[General Protection]],1),"")</f>
        <v>3</v>
      </c>
      <c r="X180" s="368" t="str">
        <f>IFERROR(IF(AND(tblSeverityAnalysis[[#This Row],[5]] &lt;&gt; "", tblSeverityAnalysis[[#This Row],[5]]&gt;=sectors_sev_5), "Flagged", ""), "")</f>
        <v/>
      </c>
      <c r="Y180" s="369"/>
      <c r="Z180" s="324"/>
      <c r="AA180" s="370">
        <f>COUNTIF(tblSeverityAnalysis[[#This Row],[1 sectors in severity phase 5 '[modify the threshold']]:[Manual Flag]], "Flagged")</f>
        <v>0</v>
      </c>
      <c r="AB180" s="339"/>
      <c r="AC180" s="339"/>
      <c r="AD180" s="339"/>
      <c r="AE180" s="339"/>
    </row>
    <row r="181" spans="1:31" hidden="1" x14ac:dyDescent="0.3">
      <c r="A181" s="357" t="str">
        <f>tblSeverityAnalysis[[#This Row],[Admin 2 P-Code]]</f>
        <v>SD09048</v>
      </c>
      <c r="B181" s="245" t="s">
        <v>197</v>
      </c>
      <c r="C181" s="358" t="s">
        <v>126</v>
      </c>
      <c r="D181" s="372" t="s">
        <v>392</v>
      </c>
      <c r="E181" s="246" t="s">
        <v>393</v>
      </c>
      <c r="F181" s="360"/>
      <c r="G181" s="361"/>
      <c r="H181" s="361"/>
      <c r="I181" s="361"/>
      <c r="J181" s="361"/>
      <c r="K181" s="361"/>
      <c r="L181" s="361">
        <f>_xlfn.XLOOKUP(tblSeverityAnalysis[[#This Row],[Admin 2 P-Code]],'PIN2025'!B:B,'PIN2025'!H:H,0,0)</f>
        <v>3</v>
      </c>
      <c r="M181" s="363"/>
      <c r="N181" s="361"/>
      <c r="O181" s="361"/>
      <c r="P181" s="361"/>
      <c r="Q181" s="361"/>
      <c r="R181" s="364" t="str">
        <f>IF(COUNTIF(tblSeverityAnalysis[[#This Row],[Site Management ]:[WASH]], 1)=0, "", COUNTIF(tblSeverityAnalysis[[#This Row],[Site Management ]:[WASH]], 1))</f>
        <v/>
      </c>
      <c r="S181" s="365" t="str">
        <f>IF(COUNTIF(tblSeverityAnalysis[[#This Row],[Site Management ]:[WASH]], 2)=0, "", COUNTIF(tblSeverityAnalysis[[#This Row],[Site Management ]:[WASH]], 2))</f>
        <v/>
      </c>
      <c r="T181" s="365">
        <f>IF(COUNTIF(tblSeverityAnalysis[[#This Row],[Site Management ]:[WASH]], 3)=0, "", COUNTIF(tblSeverityAnalysis[[#This Row],[Site Management ]:[WASH]], 3))</f>
        <v>1</v>
      </c>
      <c r="U181" s="365" t="str">
        <f>IF(COUNTIF(tblSeverityAnalysis[[#This Row],[Site Management ]:[WASH]], 4)=0, "", COUNTIF(tblSeverityAnalysis[[#This Row],[Site Management ]:[WASH]], 4))</f>
        <v/>
      </c>
      <c r="V181" s="366" t="str">
        <f>IF(COUNTIF(tblSeverityAnalysis[[#This Row],[Site Management ]:[WASH]], 5)=0, "", COUNTIF(tblSeverityAnalysis[[#This Row],[Site Management ]:[WASH]], 5))</f>
        <v/>
      </c>
      <c r="W181" s="367">
        <f>IFERROR(LARGE(tblSeverityAnalysis[[#This Row],[Site Management ]:[General Protection]],1),"")</f>
        <v>3</v>
      </c>
      <c r="X181" s="368" t="str">
        <f>IFERROR(IF(AND(tblSeverityAnalysis[[#This Row],[5]] &lt;&gt; "", tblSeverityAnalysis[[#This Row],[5]]&gt;=sectors_sev_5), "Flagged", ""), "")</f>
        <v/>
      </c>
      <c r="Y181" s="369"/>
      <c r="Z181" s="324"/>
      <c r="AA181" s="370">
        <f>COUNTIF(tblSeverityAnalysis[[#This Row],[1 sectors in severity phase 5 '[modify the threshold']]:[Manual Flag]], "Flagged")</f>
        <v>0</v>
      </c>
      <c r="AB181" s="339"/>
      <c r="AC181" s="339"/>
      <c r="AD181" s="339"/>
      <c r="AE181" s="339"/>
    </row>
    <row r="182" spans="1:31" hidden="1" x14ac:dyDescent="0.3">
      <c r="A182" s="357" t="str">
        <f>tblSeverityAnalysis[[#This Row],[Admin 2 P-Code]]</f>
        <v>SD09049</v>
      </c>
      <c r="B182" s="245" t="s">
        <v>197</v>
      </c>
      <c r="C182" s="358" t="s">
        <v>126</v>
      </c>
      <c r="D182" s="372" t="s">
        <v>394</v>
      </c>
      <c r="E182" s="246" t="s">
        <v>395</v>
      </c>
      <c r="F182" s="360"/>
      <c r="G182" s="361"/>
      <c r="H182" s="361"/>
      <c r="I182" s="361"/>
      <c r="J182" s="361"/>
      <c r="K182" s="361"/>
      <c r="L182" s="361">
        <f>_xlfn.XLOOKUP(tblSeverityAnalysis[[#This Row],[Admin 2 P-Code]],'PIN2025'!B:B,'PIN2025'!H:H,0,0)</f>
        <v>3</v>
      </c>
      <c r="M182" s="363"/>
      <c r="N182" s="361"/>
      <c r="O182" s="361"/>
      <c r="P182" s="361"/>
      <c r="Q182" s="361"/>
      <c r="R182" s="364" t="str">
        <f>IF(COUNTIF(tblSeverityAnalysis[[#This Row],[Site Management ]:[WASH]], 1)=0, "", COUNTIF(tblSeverityAnalysis[[#This Row],[Site Management ]:[WASH]], 1))</f>
        <v/>
      </c>
      <c r="S182" s="365" t="str">
        <f>IF(COUNTIF(tblSeverityAnalysis[[#This Row],[Site Management ]:[WASH]], 2)=0, "", COUNTIF(tblSeverityAnalysis[[#This Row],[Site Management ]:[WASH]], 2))</f>
        <v/>
      </c>
      <c r="T182" s="365">
        <f>IF(COUNTIF(tblSeverityAnalysis[[#This Row],[Site Management ]:[WASH]], 3)=0, "", COUNTIF(tblSeverityAnalysis[[#This Row],[Site Management ]:[WASH]], 3))</f>
        <v>1</v>
      </c>
      <c r="U182" s="365" t="str">
        <f>IF(COUNTIF(tblSeverityAnalysis[[#This Row],[Site Management ]:[WASH]], 4)=0, "", COUNTIF(tblSeverityAnalysis[[#This Row],[Site Management ]:[WASH]], 4))</f>
        <v/>
      </c>
      <c r="V182" s="366" t="str">
        <f>IF(COUNTIF(tblSeverityAnalysis[[#This Row],[Site Management ]:[WASH]], 5)=0, "", COUNTIF(tblSeverityAnalysis[[#This Row],[Site Management ]:[WASH]], 5))</f>
        <v/>
      </c>
      <c r="W182" s="367">
        <f>IFERROR(LARGE(tblSeverityAnalysis[[#This Row],[Site Management ]:[General Protection]],1),"")</f>
        <v>3</v>
      </c>
      <c r="X182" s="368" t="str">
        <f>IFERROR(IF(AND(tblSeverityAnalysis[[#This Row],[5]] &lt;&gt; "", tblSeverityAnalysis[[#This Row],[5]]&gt;=sectors_sev_5), "Flagged", ""), "")</f>
        <v/>
      </c>
      <c r="Y182" s="369"/>
      <c r="Z182" s="324"/>
      <c r="AA182" s="370">
        <f>COUNTIF(tblSeverityAnalysis[[#This Row],[1 sectors in severity phase 5 '[modify the threshold']]:[Manual Flag]], "Flagged")</f>
        <v>0</v>
      </c>
      <c r="AB182" s="339"/>
      <c r="AC182" s="339"/>
      <c r="AD182" s="339"/>
      <c r="AE182" s="339"/>
    </row>
    <row r="183" spans="1:31" hidden="1" x14ac:dyDescent="0.3">
      <c r="A183" s="357" t="str">
        <f>tblSeverityAnalysis[[#This Row],[Admin 2 P-Code]]</f>
        <v>SD09050</v>
      </c>
      <c r="B183" s="245" t="s">
        <v>197</v>
      </c>
      <c r="C183" s="358" t="s">
        <v>126</v>
      </c>
      <c r="D183" s="372" t="s">
        <v>396</v>
      </c>
      <c r="E183" s="246" t="s">
        <v>397</v>
      </c>
      <c r="F183" s="360"/>
      <c r="G183" s="361"/>
      <c r="H183" s="361"/>
      <c r="I183" s="361"/>
      <c r="J183" s="361"/>
      <c r="K183" s="361"/>
      <c r="L183" s="361">
        <f>_xlfn.XLOOKUP(tblSeverityAnalysis[[#This Row],[Admin 2 P-Code]],'PIN2025'!B:B,'PIN2025'!H:H,0,0)</f>
        <v>3</v>
      </c>
      <c r="M183" s="363"/>
      <c r="N183" s="361"/>
      <c r="O183" s="361"/>
      <c r="P183" s="361"/>
      <c r="Q183" s="361"/>
      <c r="R183" s="364" t="str">
        <f>IF(COUNTIF(tblSeverityAnalysis[[#This Row],[Site Management ]:[WASH]], 1)=0, "", COUNTIF(tblSeverityAnalysis[[#This Row],[Site Management ]:[WASH]], 1))</f>
        <v/>
      </c>
      <c r="S183" s="365" t="str">
        <f>IF(COUNTIF(tblSeverityAnalysis[[#This Row],[Site Management ]:[WASH]], 2)=0, "", COUNTIF(tblSeverityAnalysis[[#This Row],[Site Management ]:[WASH]], 2))</f>
        <v/>
      </c>
      <c r="T183" s="365">
        <f>IF(COUNTIF(tblSeverityAnalysis[[#This Row],[Site Management ]:[WASH]], 3)=0, "", COUNTIF(tblSeverityAnalysis[[#This Row],[Site Management ]:[WASH]], 3))</f>
        <v>1</v>
      </c>
      <c r="U183" s="365" t="str">
        <f>IF(COUNTIF(tblSeverityAnalysis[[#This Row],[Site Management ]:[WASH]], 4)=0, "", COUNTIF(tblSeverityAnalysis[[#This Row],[Site Management ]:[WASH]], 4))</f>
        <v/>
      </c>
      <c r="V183" s="366" t="str">
        <f>IF(COUNTIF(tblSeverityAnalysis[[#This Row],[Site Management ]:[WASH]], 5)=0, "", COUNTIF(tblSeverityAnalysis[[#This Row],[Site Management ]:[WASH]], 5))</f>
        <v/>
      </c>
      <c r="W183" s="367">
        <f>IFERROR(LARGE(tblSeverityAnalysis[[#This Row],[Site Management ]:[General Protection]],1),"")</f>
        <v>3</v>
      </c>
      <c r="X183" s="368" t="str">
        <f>IFERROR(IF(AND(tblSeverityAnalysis[[#This Row],[5]] &lt;&gt; "", tblSeverityAnalysis[[#This Row],[5]]&gt;=sectors_sev_5), "Flagged", ""), "")</f>
        <v/>
      </c>
      <c r="Y183" s="369"/>
      <c r="Z183" s="324"/>
      <c r="AA183" s="370">
        <f>COUNTIF(tblSeverityAnalysis[[#This Row],[1 sectors in severity phase 5 '[modify the threshold']]:[Manual Flag]], "Flagged")</f>
        <v>0</v>
      </c>
      <c r="AB183" s="339"/>
      <c r="AC183" s="339"/>
      <c r="AD183" s="339"/>
      <c r="AE183" s="339"/>
    </row>
    <row r="184" spans="1:31" hidden="1" x14ac:dyDescent="0.3">
      <c r="A184" s="357" t="str">
        <f>tblSeverityAnalysis[[#This Row],[Admin 2 P-Code]]</f>
        <v>SD09052</v>
      </c>
      <c r="B184" s="245" t="s">
        <v>197</v>
      </c>
      <c r="C184" s="358" t="s">
        <v>126</v>
      </c>
      <c r="D184" s="372" t="s">
        <v>400</v>
      </c>
      <c r="E184" s="246" t="s">
        <v>401</v>
      </c>
      <c r="F184" s="360"/>
      <c r="G184" s="361"/>
      <c r="H184" s="361"/>
      <c r="I184" s="361"/>
      <c r="J184" s="361"/>
      <c r="K184" s="361"/>
      <c r="L184" s="361">
        <f>_xlfn.XLOOKUP(tblSeverityAnalysis[[#This Row],[Admin 2 P-Code]],'PIN2025'!B:B,'PIN2025'!H:H,0,0)</f>
        <v>3</v>
      </c>
      <c r="M184" s="363"/>
      <c r="N184" s="361"/>
      <c r="O184" s="361"/>
      <c r="P184" s="361"/>
      <c r="Q184" s="361"/>
      <c r="R184" s="364" t="str">
        <f>IF(COUNTIF(tblSeverityAnalysis[[#This Row],[Site Management ]:[WASH]], 1)=0, "", COUNTIF(tblSeverityAnalysis[[#This Row],[Site Management ]:[WASH]], 1))</f>
        <v/>
      </c>
      <c r="S184" s="365" t="str">
        <f>IF(COUNTIF(tblSeverityAnalysis[[#This Row],[Site Management ]:[WASH]], 2)=0, "", COUNTIF(tblSeverityAnalysis[[#This Row],[Site Management ]:[WASH]], 2))</f>
        <v/>
      </c>
      <c r="T184" s="365">
        <f>IF(COUNTIF(tblSeverityAnalysis[[#This Row],[Site Management ]:[WASH]], 3)=0, "", COUNTIF(tblSeverityAnalysis[[#This Row],[Site Management ]:[WASH]], 3))</f>
        <v>1</v>
      </c>
      <c r="U184" s="365" t="str">
        <f>IF(COUNTIF(tblSeverityAnalysis[[#This Row],[Site Management ]:[WASH]], 4)=0, "", COUNTIF(tblSeverityAnalysis[[#This Row],[Site Management ]:[WASH]], 4))</f>
        <v/>
      </c>
      <c r="V184" s="366" t="str">
        <f>IF(COUNTIF(tblSeverityAnalysis[[#This Row],[Site Management ]:[WASH]], 5)=0, "", COUNTIF(tblSeverityAnalysis[[#This Row],[Site Management ]:[WASH]], 5))</f>
        <v/>
      </c>
      <c r="W184" s="367">
        <f>IFERROR(LARGE(tblSeverityAnalysis[[#This Row],[Site Management ]:[General Protection]],1),"")</f>
        <v>3</v>
      </c>
      <c r="X184" s="368" t="str">
        <f>IFERROR(IF(AND(tblSeverityAnalysis[[#This Row],[5]] &lt;&gt; "", tblSeverityAnalysis[[#This Row],[5]]&gt;=sectors_sev_5), "Flagged", ""), "")</f>
        <v/>
      </c>
      <c r="Y184" s="369"/>
      <c r="Z184" s="324"/>
      <c r="AA184" s="370">
        <f>COUNTIF(tblSeverityAnalysis[[#This Row],[1 sectors in severity phase 5 '[modify the threshold']]:[Manual Flag]], "Flagged")</f>
        <v>0</v>
      </c>
      <c r="AB184" s="339"/>
      <c r="AC184" s="339"/>
      <c r="AD184" s="339"/>
      <c r="AE184" s="339"/>
    </row>
    <row r="185" spans="1:31" hidden="1" x14ac:dyDescent="0.3">
      <c r="A185" s="357" t="str">
        <f>tblSeverityAnalysis[[#This Row],[Admin 2 P-Code]]</f>
        <v>SD08107</v>
      </c>
      <c r="B185" s="245" t="s">
        <v>150</v>
      </c>
      <c r="C185" s="358" t="s">
        <v>125</v>
      </c>
      <c r="D185" s="372" t="s">
        <v>376</v>
      </c>
      <c r="E185" s="246" t="s">
        <v>377</v>
      </c>
      <c r="F185" s="360"/>
      <c r="G185" s="361"/>
      <c r="H185" s="361"/>
      <c r="I185" s="361"/>
      <c r="J185" s="361"/>
      <c r="K185" s="361"/>
      <c r="L185" s="361">
        <f>_xlfn.XLOOKUP(tblSeverityAnalysis[[#This Row],[Admin 2 P-Code]],'PIN2025'!B:B,'PIN2025'!H:H,0,0)</f>
        <v>2</v>
      </c>
      <c r="M185" s="363"/>
      <c r="N185" s="361"/>
      <c r="O185" s="361"/>
      <c r="P185" s="361"/>
      <c r="Q185" s="361"/>
      <c r="R185" s="364" t="str">
        <f>IF(COUNTIF(tblSeverityAnalysis[[#This Row],[Site Management ]:[WASH]], 1)=0, "", COUNTIF(tblSeverityAnalysis[[#This Row],[Site Management ]:[WASH]], 1))</f>
        <v/>
      </c>
      <c r="S185" s="365">
        <f>IF(COUNTIF(tblSeverityAnalysis[[#This Row],[Site Management ]:[WASH]], 2)=0, "", COUNTIF(tblSeverityAnalysis[[#This Row],[Site Management ]:[WASH]], 2))</f>
        <v>1</v>
      </c>
      <c r="T185" s="365" t="str">
        <f>IF(COUNTIF(tblSeverityAnalysis[[#This Row],[Site Management ]:[WASH]], 3)=0, "", COUNTIF(tblSeverityAnalysis[[#This Row],[Site Management ]:[WASH]], 3))</f>
        <v/>
      </c>
      <c r="U185" s="365" t="str">
        <f>IF(COUNTIF(tblSeverityAnalysis[[#This Row],[Site Management ]:[WASH]], 4)=0, "", COUNTIF(tblSeverityAnalysis[[#This Row],[Site Management ]:[WASH]], 4))</f>
        <v/>
      </c>
      <c r="V185" s="366" t="str">
        <f>IF(COUNTIF(tblSeverityAnalysis[[#This Row],[Site Management ]:[WASH]], 5)=0, "", COUNTIF(tblSeverityAnalysis[[#This Row],[Site Management ]:[WASH]], 5))</f>
        <v/>
      </c>
      <c r="W185" s="367">
        <f>IFERROR(LARGE(tblSeverityAnalysis[[#This Row],[Site Management ]:[General Protection]],1),"")</f>
        <v>2</v>
      </c>
      <c r="X185" s="368" t="str">
        <f>IFERROR(IF(AND(tblSeverityAnalysis[[#This Row],[5]] &lt;&gt; "", tblSeverityAnalysis[[#This Row],[5]]&gt;=sectors_sev_5), "Flagged", ""), "")</f>
        <v/>
      </c>
      <c r="Y185" s="369"/>
      <c r="Z185" s="324"/>
      <c r="AA185" s="370">
        <f>COUNTIF(tblSeverityAnalysis[[#This Row],[1 sectors in severity phase 5 '[modify the threshold']]:[Manual Flag]], "Flagged")</f>
        <v>0</v>
      </c>
      <c r="AB185" s="339"/>
      <c r="AC185" s="339"/>
      <c r="AD185" s="339"/>
      <c r="AE185" s="339"/>
    </row>
    <row r="186" spans="1:31" hidden="1" x14ac:dyDescent="0.3">
      <c r="A186" s="357" t="str">
        <f>tblSeverityAnalysis[[#This Row],[Admin 2 P-Code]]</f>
        <v>SD12076</v>
      </c>
      <c r="B186" s="245" t="s">
        <v>158</v>
      </c>
      <c r="C186" s="358" t="s">
        <v>129</v>
      </c>
      <c r="D186" s="372" t="s">
        <v>450</v>
      </c>
      <c r="E186" s="246" t="s">
        <v>451</v>
      </c>
      <c r="F186" s="360"/>
      <c r="G186" s="361"/>
      <c r="H186" s="361"/>
      <c r="I186" s="361"/>
      <c r="J186" s="361"/>
      <c r="K186" s="361">
        <v>3</v>
      </c>
      <c r="L186" s="384">
        <v>3</v>
      </c>
      <c r="M186" s="363"/>
      <c r="N186" s="361"/>
      <c r="O186" s="361"/>
      <c r="P186" s="361"/>
      <c r="Q186" s="361"/>
      <c r="R186" s="364" t="str">
        <f>IF(COUNTIF(tblSeverityAnalysis[[#This Row],[Site Management ]:[WASH]], 1)=0, "", COUNTIF(tblSeverityAnalysis[[#This Row],[Site Management ]:[WASH]], 1))</f>
        <v/>
      </c>
      <c r="S186" s="365" t="str">
        <f>IF(COUNTIF(tblSeverityAnalysis[[#This Row],[Site Management ]:[WASH]], 2)=0, "", COUNTIF(tblSeverityAnalysis[[#This Row],[Site Management ]:[WASH]], 2))</f>
        <v/>
      </c>
      <c r="T186" s="365">
        <f>IF(COUNTIF(tblSeverityAnalysis[[#This Row],[Site Management ]:[WASH]], 3)=0, "", COUNTIF(tblSeverityAnalysis[[#This Row],[Site Management ]:[WASH]], 3))</f>
        <v>2</v>
      </c>
      <c r="U186" s="365" t="str">
        <f>IF(COUNTIF(tblSeverityAnalysis[[#This Row],[Site Management ]:[WASH]], 4)=0, "", COUNTIF(tblSeverityAnalysis[[#This Row],[Site Management ]:[WASH]], 4))</f>
        <v/>
      </c>
      <c r="V186" s="366" t="str">
        <f>IF(COUNTIF(tblSeverityAnalysis[[#This Row],[Site Management ]:[WASH]], 5)=0, "", COUNTIF(tblSeverityAnalysis[[#This Row],[Site Management ]:[WASH]], 5))</f>
        <v/>
      </c>
      <c r="W186" s="367">
        <f>IFERROR(LARGE(tblSeverityAnalysis[[#This Row],[Site Management ]:[General Protection]],1),"")</f>
        <v>3</v>
      </c>
      <c r="X186" s="368" t="str">
        <f>IFERROR(IF(AND(tblSeverityAnalysis[[#This Row],[5]] &lt;&gt; "", tblSeverityAnalysis[[#This Row],[5]]&gt;=sectors_sev_5), "Flagged", ""), "")</f>
        <v/>
      </c>
      <c r="Y186" s="369"/>
      <c r="Z186" s="324"/>
      <c r="AA186" s="370">
        <f>COUNTIF(tblSeverityAnalysis[[#This Row],[1 sectors in severity phase 5 '[modify the threshold']]:[Manual Flag]], "Flagged")</f>
        <v>0</v>
      </c>
      <c r="AB186" s="339"/>
      <c r="AC186" s="339"/>
      <c r="AD186" s="339"/>
      <c r="AE186" s="339"/>
    </row>
    <row r="187" spans="1:31" hidden="1" x14ac:dyDescent="0.3">
      <c r="A187" s="357" t="str">
        <f>tblSeverityAnalysis[[#This Row],[Admin 2 P-Code]]</f>
        <v>SD12083</v>
      </c>
      <c r="B187" s="245" t="s">
        <v>158</v>
      </c>
      <c r="C187" s="358" t="s">
        <v>129</v>
      </c>
      <c r="D187" s="372" t="s">
        <v>464</v>
      </c>
      <c r="E187" s="246" t="s">
        <v>465</v>
      </c>
      <c r="F187" s="360"/>
      <c r="G187" s="361"/>
      <c r="H187" s="361"/>
      <c r="I187" s="361"/>
      <c r="J187" s="361"/>
      <c r="K187" s="361">
        <v>3</v>
      </c>
      <c r="L187" s="384">
        <v>3</v>
      </c>
      <c r="M187" s="363"/>
      <c r="N187" s="361"/>
      <c r="O187" s="361"/>
      <c r="P187" s="361"/>
      <c r="Q187" s="361"/>
      <c r="R187" s="364" t="str">
        <f>IF(COUNTIF(tblSeverityAnalysis[[#This Row],[Site Management ]:[WASH]], 1)=0, "", COUNTIF(tblSeverityAnalysis[[#This Row],[Site Management ]:[WASH]], 1))</f>
        <v/>
      </c>
      <c r="S187" s="365" t="str">
        <f>IF(COUNTIF(tblSeverityAnalysis[[#This Row],[Site Management ]:[WASH]], 2)=0, "", COUNTIF(tblSeverityAnalysis[[#This Row],[Site Management ]:[WASH]], 2))</f>
        <v/>
      </c>
      <c r="T187" s="365">
        <f>IF(COUNTIF(tblSeverityAnalysis[[#This Row],[Site Management ]:[WASH]], 3)=0, "", COUNTIF(tblSeverityAnalysis[[#This Row],[Site Management ]:[WASH]], 3))</f>
        <v>2</v>
      </c>
      <c r="U187" s="365" t="str">
        <f>IF(COUNTIF(tblSeverityAnalysis[[#This Row],[Site Management ]:[WASH]], 4)=0, "", COUNTIF(tblSeverityAnalysis[[#This Row],[Site Management ]:[WASH]], 4))</f>
        <v/>
      </c>
      <c r="V187" s="366" t="str">
        <f>IF(COUNTIF(tblSeverityAnalysis[[#This Row],[Site Management ]:[WASH]], 5)=0, "", COUNTIF(tblSeverityAnalysis[[#This Row],[Site Management ]:[WASH]], 5))</f>
        <v/>
      </c>
      <c r="W187" s="367">
        <f>IFERROR(LARGE(tblSeverityAnalysis[[#This Row],[Site Management ]:[General Protection]],1),"")</f>
        <v>3</v>
      </c>
      <c r="X187" s="368" t="str">
        <f>IFERROR(IF(AND(tblSeverityAnalysis[[#This Row],[5]] &lt;&gt; "", tblSeverityAnalysis[[#This Row],[5]]&gt;=sectors_sev_5), "Flagged", ""), "")</f>
        <v/>
      </c>
      <c r="Y187" s="369"/>
      <c r="Z187" s="324"/>
      <c r="AA187" s="370">
        <f>COUNTIF(tblSeverityAnalysis[[#This Row],[1 sectors in severity phase 5 '[modify the threshold']]:[Manual Flag]], "Flagged")</f>
        <v>0</v>
      </c>
      <c r="AB187" s="339"/>
      <c r="AC187" s="339"/>
      <c r="AD187" s="339"/>
      <c r="AE187" s="339"/>
    </row>
    <row r="188" spans="1:31" hidden="1" x14ac:dyDescent="0.3">
      <c r="A188" s="357" t="str">
        <f>tblSeverityAnalysis[[#This Row],[Admin 2 P-Code]]</f>
        <v>SD11057</v>
      </c>
      <c r="B188" s="245" t="s">
        <v>161</v>
      </c>
      <c r="C188" s="358" t="s">
        <v>128</v>
      </c>
      <c r="D188" s="372" t="s">
        <v>432</v>
      </c>
      <c r="E188" s="246" t="s">
        <v>433</v>
      </c>
      <c r="F188" s="360"/>
      <c r="G188" s="361"/>
      <c r="H188" s="361"/>
      <c r="I188" s="361"/>
      <c r="J188" s="361"/>
      <c r="K188" s="361"/>
      <c r="L188" s="361">
        <f>_xlfn.XLOOKUP(tblSeverityAnalysis[[#This Row],[Admin 2 P-Code]],'PIN2025'!B:B,'PIN2025'!H:H,0,0)</f>
        <v>2</v>
      </c>
      <c r="M188" s="363"/>
      <c r="N188" s="361"/>
      <c r="O188" s="361"/>
      <c r="P188" s="361"/>
      <c r="Q188" s="361"/>
      <c r="R188" s="364" t="str">
        <f>IF(COUNTIF(tblSeverityAnalysis[[#This Row],[Site Management ]:[WASH]], 1)=0, "", COUNTIF(tblSeverityAnalysis[[#This Row],[Site Management ]:[WASH]], 1))</f>
        <v/>
      </c>
      <c r="S188" s="365">
        <f>IF(COUNTIF(tblSeverityAnalysis[[#This Row],[Site Management ]:[WASH]], 2)=0, "", COUNTIF(tblSeverityAnalysis[[#This Row],[Site Management ]:[WASH]], 2))</f>
        <v>1</v>
      </c>
      <c r="T188" s="365" t="str">
        <f>IF(COUNTIF(tblSeverityAnalysis[[#This Row],[Site Management ]:[WASH]], 3)=0, "", COUNTIF(tblSeverityAnalysis[[#This Row],[Site Management ]:[WASH]], 3))</f>
        <v/>
      </c>
      <c r="U188" s="365" t="str">
        <f>IF(COUNTIF(tblSeverityAnalysis[[#This Row],[Site Management ]:[WASH]], 4)=0, "", COUNTIF(tblSeverityAnalysis[[#This Row],[Site Management ]:[WASH]], 4))</f>
        <v/>
      </c>
      <c r="V188" s="366" t="str">
        <f>IF(COUNTIF(tblSeverityAnalysis[[#This Row],[Site Management ]:[WASH]], 5)=0, "", COUNTIF(tblSeverityAnalysis[[#This Row],[Site Management ]:[WASH]], 5))</f>
        <v/>
      </c>
      <c r="W188" s="367">
        <f>IFERROR(LARGE(tblSeverityAnalysis[[#This Row],[Site Management ]:[General Protection]],1),"")</f>
        <v>2</v>
      </c>
      <c r="X188" s="368" t="str">
        <f>IFERROR(IF(AND(tblSeverityAnalysis[[#This Row],[5]] &lt;&gt; "", tblSeverityAnalysis[[#This Row],[5]]&gt;=sectors_sev_5), "Flagged", ""), "")</f>
        <v/>
      </c>
      <c r="Y188" s="369"/>
      <c r="Z188" s="324"/>
      <c r="AA188" s="370">
        <f>COUNTIF(tblSeverityAnalysis[[#This Row],[1 sectors in severity phase 5 '[modify the threshold']]:[Manual Flag]], "Flagged")</f>
        <v>0</v>
      </c>
      <c r="AB188" s="339"/>
      <c r="AC188" s="339"/>
      <c r="AD188" s="339"/>
      <c r="AE188" s="339"/>
    </row>
    <row r="189" spans="1:31" hidden="1" x14ac:dyDescent="0.3">
      <c r="A189" s="357" t="str">
        <f>tblSeverityAnalysis[[#This Row],[Admin 2 P-Code]]</f>
        <v>SD11060</v>
      </c>
      <c r="B189" s="245" t="s">
        <v>161</v>
      </c>
      <c r="C189" s="358" t="s">
        <v>128</v>
      </c>
      <c r="D189" s="372" t="s">
        <v>438</v>
      </c>
      <c r="E189" s="246" t="s">
        <v>439</v>
      </c>
      <c r="F189" s="360"/>
      <c r="G189" s="361"/>
      <c r="H189" s="361"/>
      <c r="I189" s="361"/>
      <c r="J189" s="361"/>
      <c r="K189" s="361"/>
      <c r="L189" s="361">
        <f>_xlfn.XLOOKUP(tblSeverityAnalysis[[#This Row],[Admin 2 P-Code]],'PIN2025'!B:B,'PIN2025'!H:H,0,0)</f>
        <v>2</v>
      </c>
      <c r="M189" s="363"/>
      <c r="N189" s="361"/>
      <c r="O189" s="361"/>
      <c r="P189" s="361"/>
      <c r="Q189" s="361"/>
      <c r="R189" s="364" t="str">
        <f>IF(COUNTIF(tblSeverityAnalysis[[#This Row],[Site Management ]:[WASH]], 1)=0, "", COUNTIF(tblSeverityAnalysis[[#This Row],[Site Management ]:[WASH]], 1))</f>
        <v/>
      </c>
      <c r="S189" s="365">
        <f>IF(COUNTIF(tblSeverityAnalysis[[#This Row],[Site Management ]:[WASH]], 2)=0, "", COUNTIF(tblSeverityAnalysis[[#This Row],[Site Management ]:[WASH]], 2))</f>
        <v>1</v>
      </c>
      <c r="T189" s="365" t="str">
        <f>IF(COUNTIF(tblSeverityAnalysis[[#This Row],[Site Management ]:[WASH]], 3)=0, "", COUNTIF(tblSeverityAnalysis[[#This Row],[Site Management ]:[WASH]], 3))</f>
        <v/>
      </c>
      <c r="U189" s="365" t="str">
        <f>IF(COUNTIF(tblSeverityAnalysis[[#This Row],[Site Management ]:[WASH]], 4)=0, "", COUNTIF(tblSeverityAnalysis[[#This Row],[Site Management ]:[WASH]], 4))</f>
        <v/>
      </c>
      <c r="V189" s="366" t="str">
        <f>IF(COUNTIF(tblSeverityAnalysis[[#This Row],[Site Management ]:[WASH]], 5)=0, "", COUNTIF(tblSeverityAnalysis[[#This Row],[Site Management ]:[WASH]], 5))</f>
        <v/>
      </c>
      <c r="W189" s="367">
        <f>IFERROR(LARGE(tblSeverityAnalysis[[#This Row],[Site Management ]:[General Protection]],1),"")</f>
        <v>2</v>
      </c>
      <c r="X189" s="368" t="str">
        <f>IFERROR(IF(AND(tblSeverityAnalysis[[#This Row],[5]] &lt;&gt; "", tblSeverityAnalysis[[#This Row],[5]]&gt;=sectors_sev_5), "Flagged", ""), "")</f>
        <v/>
      </c>
      <c r="Y189" s="369"/>
      <c r="Z189" s="324"/>
      <c r="AA189" s="370">
        <f>COUNTIF(tblSeverityAnalysis[[#This Row],[1 sectors in severity phase 5 '[modify the threshold']]:[Manual Flag]], "Flagged")</f>
        <v>0</v>
      </c>
      <c r="AB189" s="339"/>
      <c r="AC189" s="339"/>
      <c r="AD189" s="339"/>
      <c r="AE189" s="339"/>
    </row>
    <row r="190" spans="1:31" hidden="1" x14ac:dyDescent="0.3">
      <c r="A190" s="357" t="str">
        <f>tblSeverityAnalysis[[#This Row],[Admin 2 P-Code]]</f>
        <v>SD02120</v>
      </c>
      <c r="B190" s="245" t="s">
        <v>167</v>
      </c>
      <c r="C190" s="358" t="s">
        <v>119</v>
      </c>
      <c r="D190" s="372" t="s">
        <v>209</v>
      </c>
      <c r="E190" s="246" t="s">
        <v>208</v>
      </c>
      <c r="F190" s="360"/>
      <c r="G190" s="361"/>
      <c r="H190" s="361"/>
      <c r="I190" s="361"/>
      <c r="J190" s="361"/>
      <c r="K190" s="361">
        <v>3</v>
      </c>
      <c r="L190" s="384">
        <v>3</v>
      </c>
      <c r="M190" s="363"/>
      <c r="N190" s="361"/>
      <c r="O190" s="361"/>
      <c r="P190" s="361"/>
      <c r="Q190" s="361"/>
      <c r="R190" s="364" t="str">
        <f>IF(COUNTIF(tblSeverityAnalysis[[#This Row],[Site Management ]:[WASH]], 1)=0, "", COUNTIF(tblSeverityAnalysis[[#This Row],[Site Management ]:[WASH]], 1))</f>
        <v/>
      </c>
      <c r="S190" s="365" t="str">
        <f>IF(COUNTIF(tblSeverityAnalysis[[#This Row],[Site Management ]:[WASH]], 2)=0, "", COUNTIF(tblSeverityAnalysis[[#This Row],[Site Management ]:[WASH]], 2))</f>
        <v/>
      </c>
      <c r="T190" s="365">
        <f>IF(COUNTIF(tblSeverityAnalysis[[#This Row],[Site Management ]:[WASH]], 3)=0, "", COUNTIF(tblSeverityAnalysis[[#This Row],[Site Management ]:[WASH]], 3))</f>
        <v>2</v>
      </c>
      <c r="U190" s="365" t="str">
        <f>IF(COUNTIF(tblSeverityAnalysis[[#This Row],[Site Management ]:[WASH]], 4)=0, "", COUNTIF(tblSeverityAnalysis[[#This Row],[Site Management ]:[WASH]], 4))</f>
        <v/>
      </c>
      <c r="V190" s="366" t="str">
        <f>IF(COUNTIF(tblSeverityAnalysis[[#This Row],[Site Management ]:[WASH]], 5)=0, "", COUNTIF(tblSeverityAnalysis[[#This Row],[Site Management ]:[WASH]], 5))</f>
        <v/>
      </c>
      <c r="W190" s="367">
        <f>IFERROR(LARGE(tblSeverityAnalysis[[#This Row],[Site Management ]:[General Protection]],1),"")</f>
        <v>3</v>
      </c>
      <c r="X190" s="368" t="str">
        <f>IFERROR(IF(AND(tblSeverityAnalysis[[#This Row],[5]] &lt;&gt; "", tblSeverityAnalysis[[#This Row],[5]]&gt;=sectors_sev_5), "Flagged", ""), "")</f>
        <v/>
      </c>
      <c r="Y190" s="369"/>
      <c r="Z190" s="324"/>
      <c r="AA190" s="370">
        <f>COUNTIF(tblSeverityAnalysis[[#This Row],[1 sectors in severity phase 5 '[modify the threshold']]:[Manual Flag]], "Flagged")</f>
        <v>0</v>
      </c>
      <c r="AB190" s="339"/>
      <c r="AC190" s="339"/>
      <c r="AD190" s="339"/>
      <c r="AE190" s="339"/>
    </row>
    <row r="191" spans="1:31" hidden="1" x14ac:dyDescent="0.3">
      <c r="A191" s="357" t="str">
        <f>tblSeverityAnalysis[[#This Row],[Admin 2 P-Code]]</f>
        <v>SD16008</v>
      </c>
      <c r="B191" s="245" t="s">
        <v>179</v>
      </c>
      <c r="C191" s="358" t="s">
        <v>133</v>
      </c>
      <c r="D191" s="372" t="s">
        <v>512</v>
      </c>
      <c r="E191" s="246" t="s">
        <v>513</v>
      </c>
      <c r="F191" s="360"/>
      <c r="G191" s="361"/>
      <c r="H191" s="361"/>
      <c r="I191" s="361"/>
      <c r="J191" s="361"/>
      <c r="K191" s="361"/>
      <c r="L191" s="361">
        <f>_xlfn.XLOOKUP(tblSeverityAnalysis[[#This Row],[Admin 2 P-Code]],'PIN2025'!B:B,'PIN2025'!H:H,0,0)</f>
        <v>2</v>
      </c>
      <c r="M191" s="363"/>
      <c r="N191" s="361"/>
      <c r="O191" s="361"/>
      <c r="P191" s="361"/>
      <c r="Q191" s="361"/>
      <c r="R191" s="364" t="str">
        <f>IF(COUNTIF(tblSeverityAnalysis[[#This Row],[Site Management ]:[WASH]], 1)=0, "", COUNTIF(tblSeverityAnalysis[[#This Row],[Site Management ]:[WASH]], 1))</f>
        <v/>
      </c>
      <c r="S191" s="365">
        <f>IF(COUNTIF(tblSeverityAnalysis[[#This Row],[Site Management ]:[WASH]], 2)=0, "", COUNTIF(tblSeverityAnalysis[[#This Row],[Site Management ]:[WASH]], 2))</f>
        <v>1</v>
      </c>
      <c r="T191" s="365" t="str">
        <f>IF(COUNTIF(tblSeverityAnalysis[[#This Row],[Site Management ]:[WASH]], 3)=0, "", COUNTIF(tblSeverityAnalysis[[#This Row],[Site Management ]:[WASH]], 3))</f>
        <v/>
      </c>
      <c r="U191" s="365" t="str">
        <f>IF(COUNTIF(tblSeverityAnalysis[[#This Row],[Site Management ]:[WASH]], 4)=0, "", COUNTIF(tblSeverityAnalysis[[#This Row],[Site Management ]:[WASH]], 4))</f>
        <v/>
      </c>
      <c r="V191" s="366" t="str">
        <f>IF(COUNTIF(tblSeverityAnalysis[[#This Row],[Site Management ]:[WASH]], 5)=0, "", COUNTIF(tblSeverityAnalysis[[#This Row],[Site Management ]:[WASH]], 5))</f>
        <v/>
      </c>
      <c r="W191" s="367">
        <f>IFERROR(LARGE(tblSeverityAnalysis[[#This Row],[Site Management ]:[General Protection]],1),"")</f>
        <v>2</v>
      </c>
      <c r="X191" s="368" t="str">
        <f>IFERROR(IF(AND(tblSeverityAnalysis[[#This Row],[5]] &lt;&gt; "", tblSeverityAnalysis[[#This Row],[5]]&gt;=sectors_sev_5), "Flagged", ""), "")</f>
        <v/>
      </c>
      <c r="Y191" s="369"/>
      <c r="Z191" s="324"/>
      <c r="AA191" s="370">
        <f>COUNTIF(tblSeverityAnalysis[[#This Row],[1 sectors in severity phase 5 '[modify the threshold']]:[Manual Flag]], "Flagged")</f>
        <v>0</v>
      </c>
      <c r="AB191" s="339"/>
      <c r="AC191" s="339"/>
      <c r="AD191" s="339"/>
      <c r="AE191" s="339"/>
    </row>
  </sheetData>
  <mergeCells count="5">
    <mergeCell ref="B1:E1"/>
    <mergeCell ref="R2:V2"/>
    <mergeCell ref="F1:V1"/>
    <mergeCell ref="Y2:Z2"/>
    <mergeCell ref="B2:E2"/>
  </mergeCells>
  <phoneticPr fontId="9" type="noConversion"/>
  <conditionalFormatting sqref="X4:Y191">
    <cfRule type="containsText" dxfId="67" priority="1" operator="containsText" text="Flagged">
      <formula>NOT(ISERROR(SEARCH("Flagged",X4)))</formula>
    </cfRule>
  </conditionalFormatting>
  <dataValidations count="1">
    <dataValidation type="list" allowBlank="1" showInputMessage="1" showErrorMessage="1" sqref="Y4:Y191" xr:uid="{191ACA1A-DBF7-4014-A670-173F33EF2F89}">
      <formula1>"Flagged, --"</formula1>
    </dataValidation>
  </dataValidations>
  <pageMargins left="0.7" right="0.7" top="0.75" bottom="0.75" header="0.3" footer="0.3"/>
  <pageSetup paperSize="9" orientation="portrait" r:id="rId1"/>
  <tableParts count="1">
    <tablePart r:id="rId2"/>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E63CB9-BF88-4E37-8BF1-E453D269D580}">
  <dimension ref="B1:D189"/>
  <sheetViews>
    <sheetView workbookViewId="0">
      <selection activeCell="D6" sqref="D6"/>
    </sheetView>
  </sheetViews>
  <sheetFormatPr defaultRowHeight="15" x14ac:dyDescent="0.25"/>
  <cols>
    <col min="2" max="2" width="13.42578125" bestFit="1" customWidth="1"/>
    <col min="3" max="4" width="12" style="18" bestFit="1" customWidth="1"/>
  </cols>
  <sheetData>
    <row r="1" spans="2:4" x14ac:dyDescent="0.25">
      <c r="B1" t="s">
        <v>705</v>
      </c>
      <c r="C1" s="18" t="s">
        <v>706</v>
      </c>
      <c r="D1" s="18" t="s">
        <v>707</v>
      </c>
    </row>
    <row r="2" spans="2:4" x14ac:dyDescent="0.25">
      <c r="B2" t="s">
        <v>505</v>
      </c>
      <c r="C2" s="18">
        <v>0.48143832140185916</v>
      </c>
      <c r="D2" s="18">
        <v>0.51856167859814084</v>
      </c>
    </row>
    <row r="3" spans="2:4" x14ac:dyDescent="0.25">
      <c r="B3" t="s">
        <v>507</v>
      </c>
      <c r="C3" s="18">
        <v>0.49061477292191835</v>
      </c>
      <c r="D3" s="18">
        <v>0.50938522707808165</v>
      </c>
    </row>
    <row r="4" spans="2:4" x14ac:dyDescent="0.25">
      <c r="B4" t="s">
        <v>509</v>
      </c>
      <c r="C4" s="18">
        <v>0.47814957441831168</v>
      </c>
      <c r="D4" s="18">
        <v>0.52185042558168826</v>
      </c>
    </row>
    <row r="5" spans="2:4" x14ac:dyDescent="0.25">
      <c r="B5" t="s">
        <v>511</v>
      </c>
      <c r="C5" s="18">
        <v>0.47743828788213877</v>
      </c>
      <c r="D5" s="18">
        <v>0.52256171211786118</v>
      </c>
    </row>
    <row r="6" spans="2:4" x14ac:dyDescent="0.25">
      <c r="B6" t="s">
        <v>499</v>
      </c>
      <c r="C6" s="18">
        <v>0.47991277029011847</v>
      </c>
      <c r="D6" s="18">
        <v>0.52008722970988153</v>
      </c>
    </row>
    <row r="7" spans="2:4" x14ac:dyDescent="0.25">
      <c r="B7" t="s">
        <v>497</v>
      </c>
      <c r="C7" s="18">
        <v>0.49318322299238432</v>
      </c>
      <c r="D7" s="18">
        <v>0.50681677700761563</v>
      </c>
    </row>
    <row r="8" spans="2:4" x14ac:dyDescent="0.25">
      <c r="B8" t="s">
        <v>503</v>
      </c>
      <c r="C8" s="18">
        <v>0.47582672684517485</v>
      </c>
      <c r="D8" s="18">
        <v>0.5241732731548252</v>
      </c>
    </row>
    <row r="9" spans="2:4" x14ac:dyDescent="0.25">
      <c r="B9" t="s">
        <v>501</v>
      </c>
      <c r="C9" s="18">
        <v>0.47917654767420503</v>
      </c>
      <c r="D9" s="18">
        <v>0.52082345232579497</v>
      </c>
    </row>
    <row r="10" spans="2:4" x14ac:dyDescent="0.25">
      <c r="B10" t="s">
        <v>375</v>
      </c>
      <c r="C10" s="18">
        <v>0.50698580641978963</v>
      </c>
      <c r="D10" s="18">
        <v>0.49301419358021037</v>
      </c>
    </row>
    <row r="11" spans="2:4" x14ac:dyDescent="0.25">
      <c r="B11" t="s">
        <v>377</v>
      </c>
      <c r="C11" s="18">
        <v>0.49721789276807982</v>
      </c>
      <c r="D11" s="18">
        <v>0.50278210723192018</v>
      </c>
    </row>
    <row r="12" spans="2:4" x14ac:dyDescent="0.25">
      <c r="B12" t="s">
        <v>379</v>
      </c>
      <c r="C12" s="18">
        <v>0.4991344968225363</v>
      </c>
      <c r="D12" s="18">
        <v>0.5008655031774637</v>
      </c>
    </row>
    <row r="13" spans="2:4" x14ac:dyDescent="0.25">
      <c r="B13" t="s">
        <v>371</v>
      </c>
      <c r="C13" s="18">
        <v>0.49481782442676298</v>
      </c>
      <c r="D13" s="18">
        <v>0.50518217557323708</v>
      </c>
    </row>
    <row r="14" spans="2:4" x14ac:dyDescent="0.25">
      <c r="B14" t="s">
        <v>373</v>
      </c>
      <c r="C14" s="18">
        <v>0.49783545167619209</v>
      </c>
      <c r="D14" s="18">
        <v>0.50216454832380786</v>
      </c>
    </row>
    <row r="15" spans="2:4" x14ac:dyDescent="0.25">
      <c r="B15" t="s">
        <v>381</v>
      </c>
      <c r="C15" s="18">
        <v>0.4955753355639671</v>
      </c>
      <c r="D15" s="18">
        <v>0.50442466443603295</v>
      </c>
    </row>
    <row r="16" spans="2:4" x14ac:dyDescent="0.25">
      <c r="B16" t="s">
        <v>383</v>
      </c>
      <c r="C16" s="18">
        <v>0.50081687481847226</v>
      </c>
      <c r="D16" s="18">
        <v>0.49918312518152774</v>
      </c>
    </row>
    <row r="17" spans="2:4" x14ac:dyDescent="0.25">
      <c r="B17" t="s">
        <v>142</v>
      </c>
      <c r="C17" s="18">
        <v>0.49393150928454838</v>
      </c>
      <c r="D17" s="18">
        <v>0.50606849071545157</v>
      </c>
    </row>
    <row r="18" spans="2:4" x14ac:dyDescent="0.25">
      <c r="B18" t="s">
        <v>145</v>
      </c>
      <c r="C18" s="18">
        <v>0.47862017867574769</v>
      </c>
      <c r="D18" s="18">
        <v>0.52137982132425231</v>
      </c>
    </row>
    <row r="19" spans="2:4" x14ac:dyDescent="0.25">
      <c r="B19" t="s">
        <v>151</v>
      </c>
      <c r="C19" s="18">
        <v>0.49741857407778234</v>
      </c>
      <c r="D19" s="18">
        <v>0.50258142592221766</v>
      </c>
    </row>
    <row r="20" spans="2:4" x14ac:dyDescent="0.25">
      <c r="B20" t="s">
        <v>148</v>
      </c>
      <c r="C20" s="18">
        <v>0.48420157536698888</v>
      </c>
      <c r="D20" s="18">
        <v>0.51579842463301107</v>
      </c>
    </row>
    <row r="21" spans="2:4" x14ac:dyDescent="0.25">
      <c r="B21" t="s">
        <v>153</v>
      </c>
      <c r="C21" s="18">
        <v>0.49753396136255035</v>
      </c>
      <c r="D21" s="18">
        <v>0.50246603863744965</v>
      </c>
    </row>
    <row r="22" spans="2:4" x14ac:dyDescent="0.25">
      <c r="B22" t="s">
        <v>156</v>
      </c>
      <c r="C22" s="18">
        <v>0.47507140351756277</v>
      </c>
      <c r="D22" s="18">
        <v>0.52492859648243728</v>
      </c>
    </row>
    <row r="23" spans="2:4" x14ac:dyDescent="0.25">
      <c r="B23" t="s">
        <v>159</v>
      </c>
      <c r="C23" s="18">
        <v>0.4755595172131345</v>
      </c>
      <c r="D23" s="18">
        <v>0.5244404827868655</v>
      </c>
    </row>
    <row r="24" spans="2:4" x14ac:dyDescent="0.25">
      <c r="B24" t="s">
        <v>165</v>
      </c>
      <c r="C24" s="18">
        <v>0.49609165525812743</v>
      </c>
      <c r="D24" s="18">
        <v>0.50390834474187263</v>
      </c>
    </row>
    <row r="25" spans="2:4" x14ac:dyDescent="0.25">
      <c r="B25" t="s">
        <v>162</v>
      </c>
      <c r="C25" s="18">
        <v>0.47517199347147904</v>
      </c>
      <c r="D25" s="18">
        <v>0.52482800652852091</v>
      </c>
    </row>
    <row r="26" spans="2:4" x14ac:dyDescent="0.25">
      <c r="B26" t="s">
        <v>171</v>
      </c>
      <c r="C26" s="18">
        <v>0.5006403065004339</v>
      </c>
      <c r="D26" s="18">
        <v>0.49935969349956605</v>
      </c>
    </row>
    <row r="27" spans="2:4" x14ac:dyDescent="0.25">
      <c r="B27" t="s">
        <v>183</v>
      </c>
      <c r="C27" s="18">
        <v>0.51205578979069422</v>
      </c>
      <c r="D27" s="18">
        <v>0.48794421020930584</v>
      </c>
    </row>
    <row r="28" spans="2:4" x14ac:dyDescent="0.25">
      <c r="B28" t="s">
        <v>174</v>
      </c>
      <c r="C28" s="18">
        <v>0.49569581470853863</v>
      </c>
      <c r="D28" s="18">
        <v>0.50430418529146137</v>
      </c>
    </row>
    <row r="29" spans="2:4" x14ac:dyDescent="0.25">
      <c r="B29" t="s">
        <v>168</v>
      </c>
      <c r="C29" s="18">
        <v>0.51194995555957279</v>
      </c>
      <c r="D29" s="18">
        <v>0.48805004444042721</v>
      </c>
    </row>
    <row r="30" spans="2:4" x14ac:dyDescent="0.25">
      <c r="B30" t="s">
        <v>180</v>
      </c>
      <c r="C30" s="18">
        <v>0.48807815809250532</v>
      </c>
      <c r="D30" s="18">
        <v>0.51192184190749468</v>
      </c>
    </row>
    <row r="31" spans="2:4" x14ac:dyDescent="0.25">
      <c r="B31" t="s">
        <v>189</v>
      </c>
      <c r="C31" s="18">
        <v>0.52283486337940288</v>
      </c>
      <c r="D31" s="18">
        <v>0.47716513662059717</v>
      </c>
    </row>
    <row r="32" spans="2:4" x14ac:dyDescent="0.25">
      <c r="B32" t="s">
        <v>186</v>
      </c>
      <c r="C32" s="18">
        <v>0.50514340196356322</v>
      </c>
      <c r="D32" s="18">
        <v>0.49485659803643672</v>
      </c>
    </row>
    <row r="33" spans="2:4" x14ac:dyDescent="0.25">
      <c r="B33" t="s">
        <v>177</v>
      </c>
      <c r="C33" s="18">
        <v>0.49083605964956045</v>
      </c>
      <c r="D33" s="18">
        <v>0.50916394035043955</v>
      </c>
    </row>
    <row r="34" spans="2:4" x14ac:dyDescent="0.25">
      <c r="B34" t="s">
        <v>192</v>
      </c>
      <c r="C34" s="18">
        <v>0.50338267359670097</v>
      </c>
      <c r="D34" s="18">
        <v>0.49661732640329903</v>
      </c>
    </row>
    <row r="35" spans="2:4" x14ac:dyDescent="0.25">
      <c r="B35" t="s">
        <v>445</v>
      </c>
      <c r="C35" s="18">
        <v>0.50654143120728778</v>
      </c>
      <c r="D35" s="18">
        <v>0.49345856879271216</v>
      </c>
    </row>
    <row r="36" spans="2:4" x14ac:dyDescent="0.25">
      <c r="B36" t="s">
        <v>447</v>
      </c>
      <c r="C36" s="18">
        <v>0.48255262791021886</v>
      </c>
      <c r="D36" s="18">
        <v>0.51744737208978109</v>
      </c>
    </row>
    <row r="37" spans="2:4" x14ac:dyDescent="0.25">
      <c r="B37" t="s">
        <v>449</v>
      </c>
      <c r="C37" s="18">
        <v>0.46933973885193397</v>
      </c>
      <c r="D37" s="18">
        <v>0.53066026114806608</v>
      </c>
    </row>
    <row r="38" spans="2:4" x14ac:dyDescent="0.25">
      <c r="B38" t="s">
        <v>455</v>
      </c>
      <c r="C38" s="18">
        <v>0.4821222075543139</v>
      </c>
      <c r="D38" s="18">
        <v>0.5178777924456861</v>
      </c>
    </row>
    <row r="39" spans="2:4" x14ac:dyDescent="0.25">
      <c r="B39" t="s">
        <v>463</v>
      </c>
      <c r="C39" s="18">
        <v>0.47563922213757936</v>
      </c>
      <c r="D39" s="18">
        <v>0.52436077786242064</v>
      </c>
    </row>
    <row r="40" spans="2:4" x14ac:dyDescent="0.25">
      <c r="B40" t="s">
        <v>451</v>
      </c>
      <c r="C40" s="18">
        <v>0.47557110017599941</v>
      </c>
      <c r="D40" s="18">
        <v>0.52442889982400054</v>
      </c>
    </row>
    <row r="41" spans="2:4" x14ac:dyDescent="0.25">
      <c r="B41" t="s">
        <v>467</v>
      </c>
      <c r="C41" s="18">
        <v>0.48196048041057432</v>
      </c>
      <c r="D41" s="18">
        <v>0.51803951958942562</v>
      </c>
    </row>
    <row r="42" spans="2:4" x14ac:dyDescent="0.25">
      <c r="B42" t="s">
        <v>453</v>
      </c>
      <c r="C42" s="18">
        <v>0.47871418711543828</v>
      </c>
      <c r="D42" s="18">
        <v>0.52128581288456177</v>
      </c>
    </row>
    <row r="43" spans="2:4" x14ac:dyDescent="0.25">
      <c r="B43" t="s">
        <v>457</v>
      </c>
      <c r="C43" s="18">
        <v>0.47624759565905556</v>
      </c>
      <c r="D43" s="18">
        <v>0.52375240434094439</v>
      </c>
    </row>
    <row r="44" spans="2:4" x14ac:dyDescent="0.25">
      <c r="B44" t="s">
        <v>465</v>
      </c>
      <c r="C44" s="18">
        <v>0.48163789341575214</v>
      </c>
      <c r="D44" s="18">
        <v>0.51836210658424786</v>
      </c>
    </row>
    <row r="45" spans="2:4" x14ac:dyDescent="0.25">
      <c r="B45" t="s">
        <v>459</v>
      </c>
      <c r="C45" s="18">
        <v>0.48739648945239195</v>
      </c>
      <c r="D45" s="18">
        <v>0.51260351054760811</v>
      </c>
    </row>
    <row r="46" spans="2:4" x14ac:dyDescent="0.25">
      <c r="B46" t="s">
        <v>461</v>
      </c>
      <c r="C46" s="18">
        <v>0.4898103267466537</v>
      </c>
      <c r="D46" s="18">
        <v>0.5101896732533463</v>
      </c>
    </row>
    <row r="47" spans="2:4" x14ac:dyDescent="0.25">
      <c r="B47" t="s">
        <v>423</v>
      </c>
      <c r="C47" s="18">
        <v>0.47848920610649903</v>
      </c>
      <c r="D47" s="18">
        <v>0.52151079389350097</v>
      </c>
    </row>
    <row r="48" spans="2:4" x14ac:dyDescent="0.25">
      <c r="B48" t="s">
        <v>425</v>
      </c>
      <c r="C48" s="18">
        <v>0.48251656486884442</v>
      </c>
      <c r="D48" s="18">
        <v>0.51748343513115558</v>
      </c>
    </row>
    <row r="49" spans="2:4" x14ac:dyDescent="0.25">
      <c r="B49" t="s">
        <v>429</v>
      </c>
      <c r="C49" s="18">
        <v>0.52809247908527335</v>
      </c>
      <c r="D49" s="18">
        <v>0.4719075209147266</v>
      </c>
    </row>
    <row r="50" spans="2:4" x14ac:dyDescent="0.25">
      <c r="B50" t="s">
        <v>427</v>
      </c>
      <c r="C50" s="18">
        <v>0.50424388956522481</v>
      </c>
      <c r="D50" s="18">
        <v>0.49575611043477519</v>
      </c>
    </row>
    <row r="51" spans="2:4" x14ac:dyDescent="0.25">
      <c r="B51" t="s">
        <v>435</v>
      </c>
      <c r="C51" s="18">
        <v>0.58886302893898901</v>
      </c>
      <c r="D51" s="18">
        <v>0.41113697106101099</v>
      </c>
    </row>
    <row r="52" spans="2:4" x14ac:dyDescent="0.25">
      <c r="B52" t="s">
        <v>431</v>
      </c>
      <c r="C52" s="18">
        <v>0.52160347623298775</v>
      </c>
      <c r="D52" s="18">
        <v>0.47839652376701225</v>
      </c>
    </row>
    <row r="53" spans="2:4" x14ac:dyDescent="0.25">
      <c r="B53" t="s">
        <v>439</v>
      </c>
      <c r="C53" s="18">
        <v>0.49317149171126656</v>
      </c>
      <c r="D53" s="18">
        <v>0.50682850828873349</v>
      </c>
    </row>
    <row r="54" spans="2:4" x14ac:dyDescent="0.25">
      <c r="B54" t="s">
        <v>443</v>
      </c>
      <c r="C54" s="18">
        <v>0.47914002981718878</v>
      </c>
      <c r="D54" s="18">
        <v>0.52085997018281116</v>
      </c>
    </row>
    <row r="55" spans="2:4" x14ac:dyDescent="0.25">
      <c r="B55" t="s">
        <v>433</v>
      </c>
      <c r="C55" s="18">
        <v>0.52568111785703386</v>
      </c>
      <c r="D55" s="18">
        <v>0.47431888214296608</v>
      </c>
    </row>
    <row r="56" spans="2:4" x14ac:dyDescent="0.25">
      <c r="B56" t="s">
        <v>437</v>
      </c>
      <c r="C56" s="18">
        <v>0.56513417566464019</v>
      </c>
      <c r="D56" s="18">
        <v>0.43486582433535975</v>
      </c>
    </row>
    <row r="57" spans="2:4" x14ac:dyDescent="0.25">
      <c r="B57" t="s">
        <v>441</v>
      </c>
      <c r="C57" s="18">
        <v>0.47979655724644094</v>
      </c>
      <c r="D57" s="18">
        <v>0.52020344275355901</v>
      </c>
    </row>
    <row r="58" spans="2:4" x14ac:dyDescent="0.25">
      <c r="B58" t="s">
        <v>328</v>
      </c>
      <c r="C58" s="18">
        <v>0.52798474461466782</v>
      </c>
      <c r="D58" s="18">
        <v>0.47201525538533223</v>
      </c>
    </row>
    <row r="59" spans="2:4" x14ac:dyDescent="0.25">
      <c r="B59" t="s">
        <v>324</v>
      </c>
      <c r="C59" s="18">
        <v>0.53694062902198747</v>
      </c>
      <c r="D59" s="18">
        <v>0.46305937097801253</v>
      </c>
    </row>
    <row r="60" spans="2:4" x14ac:dyDescent="0.25">
      <c r="B60" t="s">
        <v>332</v>
      </c>
      <c r="C60" s="18">
        <v>0.52449466143072987</v>
      </c>
      <c r="D60" s="18">
        <v>0.47550533856927019</v>
      </c>
    </row>
    <row r="61" spans="2:4" x14ac:dyDescent="0.25">
      <c r="B61" t="s">
        <v>335</v>
      </c>
      <c r="C61" s="18">
        <v>0.5317331803503188</v>
      </c>
      <c r="D61" s="18">
        <v>0.46826681964968125</v>
      </c>
    </row>
    <row r="62" spans="2:4" x14ac:dyDescent="0.25">
      <c r="B62" t="s">
        <v>330</v>
      </c>
      <c r="C62" s="18">
        <v>0.53279598412018758</v>
      </c>
      <c r="D62" s="18">
        <v>0.46720401587981242</v>
      </c>
    </row>
    <row r="63" spans="2:4" x14ac:dyDescent="0.25">
      <c r="B63" t="s">
        <v>326</v>
      </c>
      <c r="C63" s="18">
        <v>0.53769812768657854</v>
      </c>
      <c r="D63" s="18">
        <v>0.46230187231342146</v>
      </c>
    </row>
    <row r="64" spans="2:4" x14ac:dyDescent="0.25">
      <c r="B64" t="s">
        <v>334</v>
      </c>
      <c r="C64" s="18">
        <v>0.52833270652424069</v>
      </c>
      <c r="D64" s="18">
        <v>0.47166729347575931</v>
      </c>
    </row>
    <row r="65" spans="2:4" x14ac:dyDescent="0.25">
      <c r="B65" t="s">
        <v>198</v>
      </c>
      <c r="C65" s="18">
        <v>0.49578099619669136</v>
      </c>
      <c r="D65" s="18">
        <v>0.50421900380330864</v>
      </c>
    </row>
    <row r="66" spans="2:4" x14ac:dyDescent="0.25">
      <c r="B66" t="s">
        <v>200</v>
      </c>
      <c r="C66" s="18">
        <v>0.50322847491900091</v>
      </c>
      <c r="D66" s="18">
        <v>0.49677152508099909</v>
      </c>
    </row>
    <row r="67" spans="2:4" x14ac:dyDescent="0.25">
      <c r="B67" t="s">
        <v>224</v>
      </c>
      <c r="C67" s="18">
        <v>0.48975613383689492</v>
      </c>
      <c r="D67" s="18">
        <v>0.51024386616310513</v>
      </c>
    </row>
    <row r="68" spans="2:4" x14ac:dyDescent="0.25">
      <c r="B68" t="s">
        <v>202</v>
      </c>
      <c r="C68" s="18">
        <v>0.51668660287081336</v>
      </c>
      <c r="D68" s="18">
        <v>0.48331339712918658</v>
      </c>
    </row>
    <row r="69" spans="2:4" x14ac:dyDescent="0.25">
      <c r="B69" t="s">
        <v>204</v>
      </c>
      <c r="C69" s="18">
        <v>0.50835260858391162</v>
      </c>
      <c r="D69" s="18">
        <v>0.49164739141608843</v>
      </c>
    </row>
    <row r="70" spans="2:4" x14ac:dyDescent="0.25">
      <c r="B70" t="s">
        <v>206</v>
      </c>
      <c r="C70" s="18">
        <v>0.49156030460663913</v>
      </c>
      <c r="D70" s="18">
        <v>0.50843969539336087</v>
      </c>
    </row>
    <row r="71" spans="2:4" x14ac:dyDescent="0.25">
      <c r="B71" t="s">
        <v>228</v>
      </c>
      <c r="C71" s="18">
        <v>0.49280913077615429</v>
      </c>
      <c r="D71" s="18">
        <v>0.50719086922384571</v>
      </c>
    </row>
    <row r="72" spans="2:4" x14ac:dyDescent="0.25">
      <c r="B72" t="s">
        <v>195</v>
      </c>
      <c r="C72" s="18">
        <v>0.52870076928560783</v>
      </c>
      <c r="D72" s="18">
        <v>0.47129923071439217</v>
      </c>
    </row>
    <row r="73" spans="2:4" x14ac:dyDescent="0.25">
      <c r="B73" t="s">
        <v>210</v>
      </c>
      <c r="C73" s="18">
        <v>0.49964327211203297</v>
      </c>
      <c r="D73" s="18">
        <v>0.50035672788796703</v>
      </c>
    </row>
    <row r="74" spans="2:4" x14ac:dyDescent="0.25">
      <c r="B74" t="s">
        <v>212</v>
      </c>
      <c r="C74" s="18">
        <v>0.48895089914876827</v>
      </c>
      <c r="D74" s="18">
        <v>0.51104910085123179</v>
      </c>
    </row>
    <row r="75" spans="2:4" x14ac:dyDescent="0.25">
      <c r="B75" t="s">
        <v>222</v>
      </c>
      <c r="C75" s="18">
        <v>0.49040926002480362</v>
      </c>
      <c r="D75" s="18">
        <v>0.50959073997519633</v>
      </c>
    </row>
    <row r="76" spans="2:4" x14ac:dyDescent="0.25">
      <c r="B76" t="s">
        <v>214</v>
      </c>
      <c r="C76" s="18">
        <v>0.49341212629427156</v>
      </c>
      <c r="D76" s="18">
        <v>0.50658787370572844</v>
      </c>
    </row>
    <row r="77" spans="2:4" x14ac:dyDescent="0.25">
      <c r="B77" t="s">
        <v>216</v>
      </c>
      <c r="C77" s="18">
        <v>0.49518509516665687</v>
      </c>
      <c r="D77" s="18">
        <v>0.50481490483334313</v>
      </c>
    </row>
    <row r="78" spans="2:4" x14ac:dyDescent="0.25">
      <c r="B78" t="s">
        <v>218</v>
      </c>
      <c r="C78" s="18">
        <v>0.49536447305151804</v>
      </c>
      <c r="D78" s="18">
        <v>0.50463552694848191</v>
      </c>
    </row>
    <row r="79" spans="2:4" x14ac:dyDescent="0.25">
      <c r="B79" t="s">
        <v>226</v>
      </c>
      <c r="C79" s="18">
        <v>0.49140592937129901</v>
      </c>
      <c r="D79" s="18">
        <v>0.50859407062870099</v>
      </c>
    </row>
    <row r="80" spans="2:4" x14ac:dyDescent="0.25">
      <c r="B80" t="s">
        <v>208</v>
      </c>
      <c r="C80" s="18">
        <v>0.49047656778550486</v>
      </c>
      <c r="D80" s="18">
        <v>0.50952343221449514</v>
      </c>
    </row>
    <row r="81" spans="2:4" x14ac:dyDescent="0.25">
      <c r="B81" t="s">
        <v>220</v>
      </c>
      <c r="C81" s="18">
        <v>0.48395381415290573</v>
      </c>
      <c r="D81" s="18">
        <v>0.51604618584709427</v>
      </c>
    </row>
    <row r="82" spans="2:4" x14ac:dyDescent="0.25">
      <c r="B82" t="s">
        <v>482</v>
      </c>
      <c r="C82" s="18">
        <v>0.46964224104546448</v>
      </c>
      <c r="D82" s="18">
        <v>0.53035775895453552</v>
      </c>
    </row>
    <row r="83" spans="2:4" x14ac:dyDescent="0.25">
      <c r="B83" t="s">
        <v>475</v>
      </c>
      <c r="C83" s="18">
        <v>0.46633788006694216</v>
      </c>
      <c r="D83" s="18">
        <v>0.5336621199330579</v>
      </c>
    </row>
    <row r="84" spans="2:4" x14ac:dyDescent="0.25">
      <c r="B84" t="s">
        <v>477</v>
      </c>
      <c r="C84" s="18">
        <v>0.50732804062651182</v>
      </c>
      <c r="D84" s="18">
        <v>0.49267195937348818</v>
      </c>
    </row>
    <row r="85" spans="2:4" x14ac:dyDescent="0.25">
      <c r="B85" t="s">
        <v>481</v>
      </c>
      <c r="C85" s="18">
        <v>0.46550690468171102</v>
      </c>
      <c r="D85" s="18">
        <v>0.53449309531828904</v>
      </c>
    </row>
    <row r="86" spans="2:4" x14ac:dyDescent="0.25">
      <c r="B86" t="s">
        <v>471</v>
      </c>
      <c r="C86" s="18">
        <v>0.48500149063912129</v>
      </c>
      <c r="D86" s="18">
        <v>0.51499850936087865</v>
      </c>
    </row>
    <row r="87" spans="2:4" x14ac:dyDescent="0.25">
      <c r="B87" t="s">
        <v>473</v>
      </c>
      <c r="C87" s="18">
        <v>0.4940709794488754</v>
      </c>
      <c r="D87" s="18">
        <v>0.50592902055112465</v>
      </c>
    </row>
    <row r="88" spans="2:4" x14ac:dyDescent="0.25">
      <c r="B88" t="s">
        <v>479</v>
      </c>
      <c r="C88" s="18">
        <v>0.45854233672738182</v>
      </c>
      <c r="D88" s="18">
        <v>0.54145766327261824</v>
      </c>
    </row>
    <row r="89" spans="2:4" x14ac:dyDescent="0.25">
      <c r="B89" t="s">
        <v>469</v>
      </c>
      <c r="C89" s="18">
        <v>0.46937453005659108</v>
      </c>
      <c r="D89" s="18">
        <v>0.53062546994340887</v>
      </c>
    </row>
    <row r="90" spans="2:4" x14ac:dyDescent="0.25">
      <c r="B90" t="s">
        <v>537</v>
      </c>
      <c r="C90" s="18">
        <v>0.48932591493398853</v>
      </c>
      <c r="D90" s="18">
        <v>0.51067408506601153</v>
      </c>
    </row>
    <row r="91" spans="2:4" x14ac:dyDescent="0.25">
      <c r="B91" t="s">
        <v>531</v>
      </c>
      <c r="C91" s="18">
        <v>0.48465938637545503</v>
      </c>
      <c r="D91" s="18">
        <v>0.51534061362454497</v>
      </c>
    </row>
    <row r="92" spans="2:4" x14ac:dyDescent="0.25">
      <c r="B92" t="s">
        <v>535</v>
      </c>
      <c r="C92" s="18">
        <v>0.47601858039636719</v>
      </c>
      <c r="D92" s="18">
        <v>0.52398141960363287</v>
      </c>
    </row>
    <row r="93" spans="2:4" x14ac:dyDescent="0.25">
      <c r="B93" t="s">
        <v>529</v>
      </c>
      <c r="C93" s="18">
        <v>0.47138140580889037</v>
      </c>
      <c r="D93" s="18">
        <v>0.52861859419110957</v>
      </c>
    </row>
    <row r="94" spans="2:4" x14ac:dyDescent="0.25">
      <c r="B94" t="s">
        <v>533</v>
      </c>
      <c r="C94" s="18">
        <v>0.4863382592104985</v>
      </c>
      <c r="D94" s="18">
        <v>0.51366174078950144</v>
      </c>
    </row>
    <row r="95" spans="2:4" x14ac:dyDescent="0.25">
      <c r="B95" t="s">
        <v>527</v>
      </c>
      <c r="C95" s="18">
        <v>0.49875555870106281</v>
      </c>
      <c r="D95" s="18">
        <v>0.50124444129893719</v>
      </c>
    </row>
    <row r="96" spans="2:4" x14ac:dyDescent="0.25">
      <c r="B96" t="s">
        <v>539</v>
      </c>
      <c r="C96" s="18">
        <v>0.49173045995496945</v>
      </c>
      <c r="D96" s="18">
        <v>0.50826954004503055</v>
      </c>
    </row>
    <row r="97" spans="2:4" x14ac:dyDescent="0.25">
      <c r="B97" t="s">
        <v>421</v>
      </c>
      <c r="C97" s="18">
        <v>0.52112935429468665</v>
      </c>
      <c r="D97" s="18">
        <v>0.47887064570531335</v>
      </c>
    </row>
    <row r="98" spans="2:4" x14ac:dyDescent="0.25">
      <c r="B98" t="s">
        <v>415</v>
      </c>
      <c r="C98" s="18">
        <v>0.53725600723621247</v>
      </c>
      <c r="D98" s="18">
        <v>0.46274399276378747</v>
      </c>
    </row>
    <row r="99" spans="2:4" x14ac:dyDescent="0.25">
      <c r="B99" t="s">
        <v>403</v>
      </c>
      <c r="C99" s="18">
        <v>0.54322197858893329</v>
      </c>
      <c r="D99" s="18">
        <v>0.45677802141106666</v>
      </c>
    </row>
    <row r="100" spans="2:4" x14ac:dyDescent="0.25">
      <c r="B100" t="s">
        <v>409</v>
      </c>
      <c r="C100" s="18">
        <v>0.5454491795537717</v>
      </c>
      <c r="D100" s="18">
        <v>0.4545508204462283</v>
      </c>
    </row>
    <row r="101" spans="2:4" x14ac:dyDescent="0.25">
      <c r="B101" t="s">
        <v>417</v>
      </c>
      <c r="C101" s="18">
        <v>0.54383818267737793</v>
      </c>
      <c r="D101" s="18">
        <v>0.45616181732262201</v>
      </c>
    </row>
    <row r="102" spans="2:4" x14ac:dyDescent="0.25">
      <c r="B102" t="s">
        <v>411</v>
      </c>
      <c r="C102" s="18">
        <v>0.54650523691931352</v>
      </c>
      <c r="D102" s="18">
        <v>0.45349476308068648</v>
      </c>
    </row>
    <row r="103" spans="2:4" x14ac:dyDescent="0.25">
      <c r="B103" t="s">
        <v>405</v>
      </c>
      <c r="C103" s="18">
        <v>0.49821293205212375</v>
      </c>
      <c r="D103" s="18">
        <v>0.5017870679478762</v>
      </c>
    </row>
    <row r="104" spans="2:4" x14ac:dyDescent="0.25">
      <c r="B104" t="s">
        <v>413</v>
      </c>
      <c r="C104" s="18">
        <v>0.52482957547619258</v>
      </c>
      <c r="D104" s="18">
        <v>0.47517042452380748</v>
      </c>
    </row>
    <row r="105" spans="2:4" x14ac:dyDescent="0.25">
      <c r="B105" t="s">
        <v>419</v>
      </c>
      <c r="C105" s="18">
        <v>0.52719140417120702</v>
      </c>
      <c r="D105" s="18">
        <v>0.47280859582879298</v>
      </c>
    </row>
    <row r="106" spans="2:4" x14ac:dyDescent="0.25">
      <c r="B106" t="s">
        <v>407</v>
      </c>
      <c r="C106" s="18">
        <v>0.54351361513406748</v>
      </c>
      <c r="D106" s="18">
        <v>0.45648638486593252</v>
      </c>
    </row>
    <row r="107" spans="2:4" x14ac:dyDescent="0.25">
      <c r="B107" t="s">
        <v>513</v>
      </c>
      <c r="C107" s="18">
        <v>0.50706558338583185</v>
      </c>
      <c r="D107" s="18">
        <v>0.49293441661416809</v>
      </c>
    </row>
    <row r="108" spans="2:4" x14ac:dyDescent="0.25">
      <c r="B108" t="s">
        <v>519</v>
      </c>
      <c r="C108" s="18">
        <v>0.49883423399113308</v>
      </c>
      <c r="D108" s="18">
        <v>0.50116576600886698</v>
      </c>
    </row>
    <row r="109" spans="2:4" x14ac:dyDescent="0.25">
      <c r="B109" t="s">
        <v>525</v>
      </c>
      <c r="C109" s="18">
        <v>0.50653629183903726</v>
      </c>
      <c r="D109" s="18">
        <v>0.49346370816096274</v>
      </c>
    </row>
    <row r="110" spans="2:4" x14ac:dyDescent="0.25">
      <c r="B110" t="s">
        <v>515</v>
      </c>
      <c r="C110" s="18">
        <v>0.49004582339679154</v>
      </c>
      <c r="D110" s="18">
        <v>0.50995417660320841</v>
      </c>
    </row>
    <row r="111" spans="2:4" x14ac:dyDescent="0.25">
      <c r="B111" t="s">
        <v>521</v>
      </c>
      <c r="C111" s="18">
        <v>0.49298588147663275</v>
      </c>
      <c r="D111" s="18">
        <v>0.5070141185233672</v>
      </c>
    </row>
    <row r="112" spans="2:4" x14ac:dyDescent="0.25">
      <c r="B112" t="s">
        <v>523</v>
      </c>
      <c r="C112" s="18">
        <v>0.48971577348665657</v>
      </c>
      <c r="D112" s="18">
        <v>0.51028422651334349</v>
      </c>
    </row>
    <row r="113" spans="2:4" x14ac:dyDescent="0.25">
      <c r="B113" t="s">
        <v>517</v>
      </c>
      <c r="C113" s="18">
        <v>0.49282818454552824</v>
      </c>
      <c r="D113" s="18">
        <v>0.50717181545447176</v>
      </c>
    </row>
    <row r="114" spans="2:4" x14ac:dyDescent="0.25">
      <c r="B114" t="s">
        <v>484</v>
      </c>
      <c r="C114" s="18">
        <v>0.48744251583233977</v>
      </c>
      <c r="D114" s="18">
        <v>0.51255748416766023</v>
      </c>
    </row>
    <row r="115" spans="2:4" x14ac:dyDescent="0.25">
      <c r="B115" t="s">
        <v>487</v>
      </c>
      <c r="C115" s="18">
        <v>0.48379271950554442</v>
      </c>
      <c r="D115" s="18">
        <v>0.51620728049445552</v>
      </c>
    </row>
    <row r="116" spans="2:4" x14ac:dyDescent="0.25">
      <c r="B116" t="s">
        <v>489</v>
      </c>
      <c r="C116" s="18">
        <v>0.47906932157432008</v>
      </c>
      <c r="D116" s="18">
        <v>0.52093067842567997</v>
      </c>
    </row>
    <row r="117" spans="2:4" x14ac:dyDescent="0.25">
      <c r="B117" t="s">
        <v>491</v>
      </c>
      <c r="C117" s="18">
        <v>0.47189123374755165</v>
      </c>
      <c r="D117" s="18">
        <v>0.5281087662524484</v>
      </c>
    </row>
    <row r="118" spans="2:4" x14ac:dyDescent="0.25">
      <c r="B118" t="s">
        <v>485</v>
      </c>
      <c r="C118" s="18">
        <v>0.47385191662919679</v>
      </c>
      <c r="D118" s="18">
        <v>0.52614808337080321</v>
      </c>
    </row>
    <row r="119" spans="2:4" x14ac:dyDescent="0.25">
      <c r="B119" t="s">
        <v>493</v>
      </c>
      <c r="C119" s="18">
        <v>0.47333400787283969</v>
      </c>
      <c r="D119" s="18">
        <v>0.52666599212716037</v>
      </c>
    </row>
    <row r="120" spans="2:4" x14ac:dyDescent="0.25">
      <c r="B120" t="s">
        <v>495</v>
      </c>
      <c r="C120" s="18">
        <v>0.48421869258094813</v>
      </c>
      <c r="D120" s="18">
        <v>0.51578130741905193</v>
      </c>
    </row>
    <row r="121" spans="2:4" x14ac:dyDescent="0.25">
      <c r="B121" t="s">
        <v>232</v>
      </c>
      <c r="C121" s="18">
        <v>0.50368492017283117</v>
      </c>
      <c r="D121" s="18">
        <v>0.49631507982716883</v>
      </c>
    </row>
    <row r="122" spans="2:4" x14ac:dyDescent="0.25">
      <c r="B122" t="s">
        <v>246</v>
      </c>
      <c r="C122" s="18">
        <v>0.522027435865556</v>
      </c>
      <c r="D122" s="18">
        <v>0.47797256413444406</v>
      </c>
    </row>
    <row r="123" spans="2:4" x14ac:dyDescent="0.25">
      <c r="B123" t="s">
        <v>268</v>
      </c>
      <c r="C123" s="18">
        <v>0.49553927408838899</v>
      </c>
      <c r="D123" s="18">
        <v>0.50446072591161106</v>
      </c>
    </row>
    <row r="124" spans="2:4" x14ac:dyDescent="0.25">
      <c r="B124" t="s">
        <v>254</v>
      </c>
      <c r="C124" s="18">
        <v>0.49990942608102634</v>
      </c>
      <c r="D124" s="18">
        <v>0.5000905739189736</v>
      </c>
    </row>
    <row r="125" spans="2:4" x14ac:dyDescent="0.25">
      <c r="B125" t="s">
        <v>264</v>
      </c>
      <c r="C125" s="18">
        <v>0.49667538948137757</v>
      </c>
      <c r="D125" s="18">
        <v>0.50332461051862243</v>
      </c>
    </row>
    <row r="126" spans="2:4" x14ac:dyDescent="0.25">
      <c r="B126" t="s">
        <v>262</v>
      </c>
      <c r="C126" s="18">
        <v>0.50466626818091254</v>
      </c>
      <c r="D126" s="18">
        <v>0.49533373181908746</v>
      </c>
    </row>
    <row r="127" spans="2:4" x14ac:dyDescent="0.25">
      <c r="B127" t="s">
        <v>272</v>
      </c>
      <c r="C127" s="18">
        <v>0.54989990156065083</v>
      </c>
      <c r="D127" s="18">
        <v>0.45010009843934917</v>
      </c>
    </row>
    <row r="128" spans="2:4" x14ac:dyDescent="0.25">
      <c r="B128" t="s">
        <v>234</v>
      </c>
      <c r="C128" s="18">
        <v>0.50385346482478266</v>
      </c>
      <c r="D128" s="18">
        <v>0.4961465351752174</v>
      </c>
    </row>
    <row r="129" spans="2:4" x14ac:dyDescent="0.25">
      <c r="B129" t="s">
        <v>250</v>
      </c>
      <c r="C129" s="18">
        <v>0.51804948846739429</v>
      </c>
      <c r="D129" s="18">
        <v>0.48195051153260576</v>
      </c>
    </row>
    <row r="130" spans="2:4" x14ac:dyDescent="0.25">
      <c r="B130" t="s">
        <v>236</v>
      </c>
      <c r="C130" s="18">
        <v>0.50063174592439341</v>
      </c>
      <c r="D130" s="18">
        <v>0.49936825407560659</v>
      </c>
    </row>
    <row r="131" spans="2:4" x14ac:dyDescent="0.25">
      <c r="B131" t="s">
        <v>260</v>
      </c>
      <c r="C131" s="18">
        <v>0.51559738628964746</v>
      </c>
      <c r="D131" s="18">
        <v>0.48440261371035254</v>
      </c>
    </row>
    <row r="132" spans="2:4" x14ac:dyDescent="0.25">
      <c r="B132" t="s">
        <v>256</v>
      </c>
      <c r="C132" s="18">
        <v>0.49129474073373514</v>
      </c>
      <c r="D132" s="18">
        <v>0.50870525926626486</v>
      </c>
    </row>
    <row r="133" spans="2:4" x14ac:dyDescent="0.25">
      <c r="B133" t="s">
        <v>238</v>
      </c>
      <c r="C133" s="18">
        <v>0.52580885087393081</v>
      </c>
      <c r="D133" s="18">
        <v>0.47419114912606919</v>
      </c>
    </row>
    <row r="134" spans="2:4" x14ac:dyDescent="0.25">
      <c r="B134" t="s">
        <v>248</v>
      </c>
      <c r="C134" s="18">
        <v>0.51878441486024951</v>
      </c>
      <c r="D134" s="18">
        <v>0.48121558513975049</v>
      </c>
    </row>
    <row r="135" spans="2:4" x14ac:dyDescent="0.25">
      <c r="B135" t="s">
        <v>270</v>
      </c>
      <c r="C135" s="18">
        <v>0.4908397139463776</v>
      </c>
      <c r="D135" s="18">
        <v>0.5091602860536224</v>
      </c>
    </row>
    <row r="136" spans="2:4" x14ac:dyDescent="0.25">
      <c r="B136" t="s">
        <v>266</v>
      </c>
      <c r="C136" s="18">
        <v>0.49088394722763384</v>
      </c>
      <c r="D136" s="18">
        <v>0.50911605277236616</v>
      </c>
    </row>
    <row r="137" spans="2:4" x14ac:dyDescent="0.25">
      <c r="B137" t="s">
        <v>258</v>
      </c>
      <c r="C137" s="18">
        <v>0.49332324245036807</v>
      </c>
      <c r="D137" s="18">
        <v>0.50667675754963193</v>
      </c>
    </row>
    <row r="138" spans="2:4" x14ac:dyDescent="0.25">
      <c r="B138" t="s">
        <v>242</v>
      </c>
      <c r="C138" s="18">
        <v>0.49904831625183016</v>
      </c>
      <c r="D138" s="18">
        <v>0.50095168374816978</v>
      </c>
    </row>
    <row r="139" spans="2:4" x14ac:dyDescent="0.25">
      <c r="B139" t="s">
        <v>252</v>
      </c>
      <c r="C139" s="18">
        <v>0.49646869983948638</v>
      </c>
      <c r="D139" s="18">
        <v>0.50353130016051362</v>
      </c>
    </row>
    <row r="140" spans="2:4" x14ac:dyDescent="0.25">
      <c r="B140" t="s">
        <v>244</v>
      </c>
      <c r="C140" s="18">
        <v>0.52764398835023518</v>
      </c>
      <c r="D140" s="18">
        <v>0.47235601164976482</v>
      </c>
    </row>
    <row r="141" spans="2:4" x14ac:dyDescent="0.25">
      <c r="B141" t="s">
        <v>240</v>
      </c>
      <c r="C141" s="18">
        <v>0.51705970898143505</v>
      </c>
      <c r="D141" s="18">
        <v>0.482940291018565</v>
      </c>
    </row>
    <row r="142" spans="2:4" x14ac:dyDescent="0.25">
      <c r="B142" t="s">
        <v>341</v>
      </c>
      <c r="C142" s="18">
        <v>0.47486151587283931</v>
      </c>
      <c r="D142" s="18">
        <v>0.52513848412716069</v>
      </c>
    </row>
    <row r="143" spans="2:4" x14ac:dyDescent="0.25">
      <c r="B143" t="s">
        <v>337</v>
      </c>
      <c r="C143" s="18">
        <v>0.4845567250245415</v>
      </c>
      <c r="D143" s="18">
        <v>0.5154432749754585</v>
      </c>
    </row>
    <row r="144" spans="2:4" x14ac:dyDescent="0.25">
      <c r="B144" t="s">
        <v>361</v>
      </c>
      <c r="C144" s="18">
        <v>0.4788840905865418</v>
      </c>
      <c r="D144" s="18">
        <v>0.5211159094134582</v>
      </c>
    </row>
    <row r="145" spans="2:4" x14ac:dyDescent="0.25">
      <c r="B145" t="s">
        <v>357</v>
      </c>
      <c r="C145" s="18">
        <v>0.49312161718878139</v>
      </c>
      <c r="D145" s="18">
        <v>0.50687838281121866</v>
      </c>
    </row>
    <row r="146" spans="2:4" x14ac:dyDescent="0.25">
      <c r="B146" t="s">
        <v>363</v>
      </c>
      <c r="C146" s="18">
        <v>0.47661971830985916</v>
      </c>
      <c r="D146" s="18">
        <v>0.52338028169014084</v>
      </c>
    </row>
    <row r="147" spans="2:4" x14ac:dyDescent="0.25">
      <c r="B147" t="s">
        <v>347</v>
      </c>
      <c r="C147" s="18">
        <v>0.47972252553150491</v>
      </c>
      <c r="D147" s="18">
        <v>0.52027747446849504</v>
      </c>
    </row>
    <row r="148" spans="2:4" x14ac:dyDescent="0.25">
      <c r="B148" t="s">
        <v>345</v>
      </c>
      <c r="C148" s="18">
        <v>0.4792502775168645</v>
      </c>
      <c r="D148" s="18">
        <v>0.52074972248313556</v>
      </c>
    </row>
    <row r="149" spans="2:4" x14ac:dyDescent="0.25">
      <c r="B149" t="s">
        <v>353</v>
      </c>
      <c r="C149" s="18">
        <v>0.48396486698559749</v>
      </c>
      <c r="D149" s="18">
        <v>0.51603513301440251</v>
      </c>
    </row>
    <row r="150" spans="2:4" x14ac:dyDescent="0.25">
      <c r="B150" t="s">
        <v>365</v>
      </c>
      <c r="C150" s="18">
        <v>0.48822371951583088</v>
      </c>
      <c r="D150" s="18">
        <v>0.51177628048416912</v>
      </c>
    </row>
    <row r="151" spans="2:4" x14ac:dyDescent="0.25">
      <c r="B151" t="s">
        <v>367</v>
      </c>
      <c r="C151" s="18">
        <v>0.50151835225772379</v>
      </c>
      <c r="D151" s="18">
        <v>0.49848164774227621</v>
      </c>
    </row>
    <row r="152" spans="2:4" x14ac:dyDescent="0.25">
      <c r="B152" t="s">
        <v>349</v>
      </c>
      <c r="C152" s="18">
        <v>0.48100201320047908</v>
      </c>
      <c r="D152" s="18">
        <v>0.51899798679952092</v>
      </c>
    </row>
    <row r="153" spans="2:4" x14ac:dyDescent="0.25">
      <c r="B153" t="s">
        <v>369</v>
      </c>
      <c r="C153" s="18">
        <v>0.48071515507617407</v>
      </c>
      <c r="D153" s="18">
        <v>0.51928484492382587</v>
      </c>
    </row>
    <row r="154" spans="2:4" x14ac:dyDescent="0.25">
      <c r="B154" t="s">
        <v>359</v>
      </c>
      <c r="C154" s="18">
        <v>0.48284837159636945</v>
      </c>
      <c r="D154" s="18">
        <v>0.51715162840363049</v>
      </c>
    </row>
    <row r="155" spans="2:4" x14ac:dyDescent="0.25">
      <c r="B155" t="s">
        <v>351</v>
      </c>
      <c r="C155" s="18">
        <v>0.4931693395338056</v>
      </c>
      <c r="D155" s="18">
        <v>0.5068306604661944</v>
      </c>
    </row>
    <row r="156" spans="2:4" x14ac:dyDescent="0.25">
      <c r="B156" t="s">
        <v>355</v>
      </c>
      <c r="C156" s="18">
        <v>0.49332655983004664</v>
      </c>
      <c r="D156" s="18">
        <v>0.5066734401699533</v>
      </c>
    </row>
    <row r="157" spans="2:4" x14ac:dyDescent="0.25">
      <c r="B157" t="s">
        <v>339</v>
      </c>
      <c r="C157" s="18">
        <v>0.48036345280161535</v>
      </c>
      <c r="D157" s="18">
        <v>0.5196365471983847</v>
      </c>
    </row>
    <row r="158" spans="2:4" x14ac:dyDescent="0.25">
      <c r="B158" t="s">
        <v>343</v>
      </c>
      <c r="C158" s="18">
        <v>0.49917081260364843</v>
      </c>
      <c r="D158" s="18">
        <v>0.50082918739635163</v>
      </c>
    </row>
    <row r="159" spans="2:4" x14ac:dyDescent="0.25">
      <c r="B159" t="s">
        <v>276</v>
      </c>
      <c r="C159" s="18">
        <v>0.5053411916382724</v>
      </c>
      <c r="D159" s="18">
        <v>0.4946588083617276</v>
      </c>
    </row>
    <row r="160" spans="2:4" x14ac:dyDescent="0.25">
      <c r="B160" t="s">
        <v>274</v>
      </c>
      <c r="C160" s="18">
        <v>0.49077343486137126</v>
      </c>
      <c r="D160" s="18">
        <v>0.50922656513862874</v>
      </c>
    </row>
    <row r="161" spans="2:4" x14ac:dyDescent="0.25">
      <c r="B161" t="s">
        <v>278</v>
      </c>
      <c r="C161" s="18">
        <v>0.49840130308880309</v>
      </c>
      <c r="D161" s="18">
        <v>0.50159869691119696</v>
      </c>
    </row>
    <row r="162" spans="2:4" x14ac:dyDescent="0.25">
      <c r="B162" t="s">
        <v>280</v>
      </c>
      <c r="C162" s="18">
        <v>0.48973607038123168</v>
      </c>
      <c r="D162" s="18">
        <v>0.51026392961876832</v>
      </c>
    </row>
    <row r="163" spans="2:4" x14ac:dyDescent="0.25">
      <c r="B163" t="s">
        <v>282</v>
      </c>
      <c r="C163" s="18">
        <v>0.49852145107861356</v>
      </c>
      <c r="D163" s="18">
        <v>0.50147854892138644</v>
      </c>
    </row>
    <row r="164" spans="2:4" x14ac:dyDescent="0.25">
      <c r="B164" t="s">
        <v>284</v>
      </c>
      <c r="C164" s="18">
        <v>0.49688136801407062</v>
      </c>
      <c r="D164" s="18">
        <v>0.50311863198592932</v>
      </c>
    </row>
    <row r="165" spans="2:4" x14ac:dyDescent="0.25">
      <c r="B165" t="s">
        <v>286</v>
      </c>
      <c r="C165" s="18">
        <v>0.50126956008266899</v>
      </c>
      <c r="D165" s="18">
        <v>0.49873043991733096</v>
      </c>
    </row>
    <row r="166" spans="2:4" x14ac:dyDescent="0.25">
      <c r="B166" t="s">
        <v>288</v>
      </c>
      <c r="C166" s="18">
        <v>0.50491852239000989</v>
      </c>
      <c r="D166" s="18">
        <v>0.49508147760999011</v>
      </c>
    </row>
    <row r="167" spans="2:4" x14ac:dyDescent="0.25">
      <c r="B167" t="s">
        <v>545</v>
      </c>
      <c r="C167" s="18">
        <v>0.47854563538034661</v>
      </c>
      <c r="D167" s="18">
        <v>0.52145436461965333</v>
      </c>
    </row>
    <row r="168" spans="2:4" x14ac:dyDescent="0.25">
      <c r="B168" t="s">
        <v>553</v>
      </c>
      <c r="C168" s="18">
        <v>0.48813476562500002</v>
      </c>
      <c r="D168" s="18">
        <v>0.51186523437499998</v>
      </c>
    </row>
    <row r="169" spans="2:4" x14ac:dyDescent="0.25">
      <c r="B169" t="s">
        <v>561</v>
      </c>
      <c r="C169" s="18">
        <v>0.50390594314343318</v>
      </c>
      <c r="D169" s="18">
        <v>0.49609405685656677</v>
      </c>
    </row>
    <row r="170" spans="2:4" x14ac:dyDescent="0.25">
      <c r="B170" t="s">
        <v>563</v>
      </c>
      <c r="C170" s="18">
        <v>0.48297491970772571</v>
      </c>
      <c r="D170" s="18">
        <v>0.51702508029227423</v>
      </c>
    </row>
    <row r="171" spans="2:4" x14ac:dyDescent="0.25">
      <c r="B171" t="s">
        <v>565</v>
      </c>
      <c r="C171" s="18">
        <v>0.48458270351640015</v>
      </c>
      <c r="D171" s="18">
        <v>0.51541729648359991</v>
      </c>
    </row>
    <row r="172" spans="2:4" x14ac:dyDescent="0.25">
      <c r="B172" t="s">
        <v>559</v>
      </c>
      <c r="C172" s="18">
        <v>0.49039823490956636</v>
      </c>
      <c r="D172" s="18">
        <v>0.50960176509043364</v>
      </c>
    </row>
    <row r="173" spans="2:4" x14ac:dyDescent="0.25">
      <c r="B173" t="s">
        <v>567</v>
      </c>
      <c r="C173" s="18">
        <v>0.50301580305987537</v>
      </c>
      <c r="D173" s="18">
        <v>0.49698419694012463</v>
      </c>
    </row>
    <row r="174" spans="2:4" x14ac:dyDescent="0.25">
      <c r="B174" t="s">
        <v>543</v>
      </c>
      <c r="C174" s="18">
        <v>0.48757266183491232</v>
      </c>
      <c r="D174" s="18">
        <v>0.51242733816508768</v>
      </c>
    </row>
    <row r="175" spans="2:4" x14ac:dyDescent="0.25">
      <c r="B175" t="s">
        <v>551</v>
      </c>
      <c r="C175" s="18">
        <v>0.48987602360583743</v>
      </c>
      <c r="D175" s="18">
        <v>0.51012397639416263</v>
      </c>
    </row>
    <row r="176" spans="2:4" x14ac:dyDescent="0.25">
      <c r="B176" t="s">
        <v>555</v>
      </c>
      <c r="C176" s="18">
        <v>0.48245262903411185</v>
      </c>
      <c r="D176" s="18">
        <v>0.5175473709658881</v>
      </c>
    </row>
    <row r="177" spans="2:4" x14ac:dyDescent="0.25">
      <c r="B177" t="s">
        <v>557</v>
      </c>
      <c r="C177" s="18">
        <v>0.49608549927275025</v>
      </c>
      <c r="D177" s="18">
        <v>0.50391450072724975</v>
      </c>
    </row>
    <row r="178" spans="2:4" x14ac:dyDescent="0.25">
      <c r="B178" t="s">
        <v>541</v>
      </c>
      <c r="C178" s="18">
        <v>0.4820823488670784</v>
      </c>
      <c r="D178" s="18">
        <v>0.51791765113292154</v>
      </c>
    </row>
    <row r="179" spans="2:4" x14ac:dyDescent="0.25">
      <c r="B179" t="s">
        <v>549</v>
      </c>
      <c r="C179" s="18">
        <v>0.49855652899457653</v>
      </c>
      <c r="D179" s="18">
        <v>0.50144347100542341</v>
      </c>
    </row>
    <row r="180" spans="2:4" x14ac:dyDescent="0.25">
      <c r="B180" t="s">
        <v>547</v>
      </c>
      <c r="C180" s="18">
        <v>0.47590715083355034</v>
      </c>
      <c r="D180" s="18">
        <v>0.5240928491664496</v>
      </c>
    </row>
    <row r="181" spans="2:4" x14ac:dyDescent="0.25">
      <c r="B181" t="s">
        <v>385</v>
      </c>
      <c r="C181" s="18">
        <v>0.47142388829979143</v>
      </c>
      <c r="D181" s="18">
        <v>0.52857611170020857</v>
      </c>
    </row>
    <row r="182" spans="2:4" x14ac:dyDescent="0.25">
      <c r="B182" t="s">
        <v>399</v>
      </c>
      <c r="C182" s="18">
        <v>0.48105616577671012</v>
      </c>
      <c r="D182" s="18">
        <v>0.51894383422328982</v>
      </c>
    </row>
    <row r="183" spans="2:4" x14ac:dyDescent="0.25">
      <c r="B183" t="s">
        <v>397</v>
      </c>
      <c r="C183" s="18">
        <v>0.48267915690866509</v>
      </c>
      <c r="D183" s="18">
        <v>0.51732084309133486</v>
      </c>
    </row>
    <row r="184" spans="2:4" x14ac:dyDescent="0.25">
      <c r="B184" t="s">
        <v>395</v>
      </c>
      <c r="C184" s="18">
        <v>0.48431368823099069</v>
      </c>
      <c r="D184" s="18">
        <v>0.51568631176900936</v>
      </c>
    </row>
    <row r="185" spans="2:4" x14ac:dyDescent="0.25">
      <c r="B185" t="s">
        <v>401</v>
      </c>
      <c r="C185" s="18">
        <v>0.48144517182323093</v>
      </c>
      <c r="D185" s="18">
        <v>0.51855482817676901</v>
      </c>
    </row>
    <row r="186" spans="2:4" x14ac:dyDescent="0.25">
      <c r="B186" t="s">
        <v>391</v>
      </c>
      <c r="C186" s="18">
        <v>0.47325525514835448</v>
      </c>
      <c r="D186" s="18">
        <v>0.52674474485164546</v>
      </c>
    </row>
    <row r="187" spans="2:4" x14ac:dyDescent="0.25">
      <c r="B187" t="s">
        <v>389</v>
      </c>
      <c r="C187" s="18">
        <v>0.47699472681177751</v>
      </c>
      <c r="D187" s="18">
        <v>0.52300527318822254</v>
      </c>
    </row>
    <row r="188" spans="2:4" x14ac:dyDescent="0.25">
      <c r="B188" t="s">
        <v>393</v>
      </c>
      <c r="C188" s="18">
        <v>0.4712657819712191</v>
      </c>
      <c r="D188" s="18">
        <v>0.52873421802878084</v>
      </c>
    </row>
    <row r="189" spans="2:4" x14ac:dyDescent="0.25">
      <c r="B189" t="s">
        <v>387</v>
      </c>
      <c r="C189" s="18">
        <v>0.48058177476299779</v>
      </c>
      <c r="D189" s="18">
        <v>0.51941822523700221</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434E67-7CED-42BF-AC5E-1C6B8531985E}">
  <sheetPr codeName="Sheet5"/>
  <dimension ref="A1:AV429"/>
  <sheetViews>
    <sheetView showGridLines="0" topLeftCell="B1" zoomScale="60" zoomScaleNormal="70" workbookViewId="0">
      <pane ySplit="3" topLeftCell="A4" activePane="bottomLeft" state="frozen"/>
      <selection activeCell="B1" sqref="B1"/>
      <selection pane="bottomLeft" activeCell="H11" sqref="H11"/>
    </sheetView>
  </sheetViews>
  <sheetFormatPr defaultColWidth="8.7109375" defaultRowHeight="15" x14ac:dyDescent="0.25"/>
  <cols>
    <col min="1" max="1" width="0" hidden="1" customWidth="1"/>
    <col min="2" max="2" width="12.7109375" style="12" bestFit="1" customWidth="1"/>
    <col min="3" max="3" width="16.7109375" style="13" customWidth="1"/>
    <col min="4" max="4" width="20.28515625" style="12" customWidth="1"/>
    <col min="5" max="5" width="16" style="13" customWidth="1"/>
    <col min="6" max="8" width="7.5703125" style="119" customWidth="1"/>
    <col min="9" max="9" width="7.5703125" style="17" customWidth="1"/>
    <col min="10" max="11" width="7.5703125" style="62" customWidth="1"/>
    <col min="12" max="12" width="7.5703125" style="1" customWidth="1"/>
    <col min="13" max="14" width="7.5703125" style="62" customWidth="1"/>
    <col min="15" max="16" width="7.5703125" style="17" customWidth="1"/>
    <col min="17" max="18" width="7.5703125" style="1" customWidth="1"/>
    <col min="19" max="19" width="7.5703125" style="62" customWidth="1"/>
    <col min="20" max="22" width="7.5703125" style="1" customWidth="1"/>
    <col min="23" max="23" width="7.5703125" style="62" customWidth="1"/>
    <col min="24" max="24" width="7.5703125" style="1" customWidth="1"/>
    <col min="25" max="25" width="7.5703125" style="14" customWidth="1"/>
    <col min="26" max="26" width="7.5703125" style="12" customWidth="1"/>
    <col min="27" max="48" width="7.5703125" customWidth="1"/>
  </cols>
  <sheetData>
    <row r="1" spans="1:48" ht="15.75" thickBot="1" x14ac:dyDescent="0.3">
      <c r="B1" s="16"/>
      <c r="C1" s="19"/>
      <c r="D1" s="16"/>
      <c r="E1" s="19"/>
      <c r="F1" s="447" t="s">
        <v>631</v>
      </c>
      <c r="G1" s="447"/>
      <c r="H1" s="447"/>
      <c r="I1" s="447"/>
      <c r="J1" s="447"/>
      <c r="K1" s="447"/>
      <c r="L1" s="447"/>
      <c r="M1" s="447"/>
      <c r="N1" s="447"/>
      <c r="O1" s="447"/>
      <c r="P1" s="447"/>
      <c r="Q1" s="447"/>
      <c r="R1" s="447"/>
      <c r="S1" s="447"/>
      <c r="T1" s="447"/>
      <c r="U1" s="447"/>
      <c r="V1" s="447"/>
      <c r="W1" s="447"/>
      <c r="X1" s="447"/>
      <c r="Y1" s="447"/>
      <c r="Z1" s="447"/>
      <c r="AA1" s="447"/>
      <c r="AB1" s="447"/>
      <c r="AC1" s="447"/>
      <c r="AD1" s="447"/>
      <c r="AE1" s="447"/>
      <c r="AF1" s="447"/>
      <c r="AG1" s="447"/>
      <c r="AH1" s="447"/>
      <c r="AI1" s="447"/>
      <c r="AJ1" s="447"/>
      <c r="AK1" s="447"/>
      <c r="AL1" s="447"/>
      <c r="AM1" s="447"/>
      <c r="AN1" s="447"/>
      <c r="AO1" s="447"/>
      <c r="AP1" s="447"/>
      <c r="AQ1" s="447"/>
      <c r="AR1" s="447"/>
      <c r="AS1" s="447"/>
      <c r="AT1" s="447"/>
      <c r="AU1" s="447"/>
      <c r="AV1" s="447"/>
    </row>
    <row r="2" spans="1:48" ht="15.75" customHeight="1" thickTop="1" thickBot="1" x14ac:dyDescent="0.3">
      <c r="A2" s="64"/>
      <c r="B2" s="415" t="s">
        <v>55</v>
      </c>
      <c r="C2" s="415"/>
      <c r="D2" s="415"/>
      <c r="E2" s="415"/>
      <c r="F2" s="444" t="s">
        <v>632</v>
      </c>
      <c r="G2" s="445"/>
      <c r="H2" s="445"/>
      <c r="I2" s="445"/>
      <c r="J2" s="445"/>
      <c r="K2" s="446"/>
      <c r="L2" s="448" t="s">
        <v>633</v>
      </c>
      <c r="M2" s="449"/>
      <c r="N2" s="449"/>
      <c r="O2" s="449"/>
      <c r="P2" s="449"/>
      <c r="Q2" s="450"/>
      <c r="R2" s="451" t="s">
        <v>634</v>
      </c>
      <c r="S2" s="452"/>
      <c r="T2" s="452"/>
      <c r="U2" s="452"/>
      <c r="V2" s="452"/>
      <c r="W2" s="452"/>
      <c r="X2" s="444" t="s">
        <v>635</v>
      </c>
      <c r="Y2" s="445"/>
      <c r="Z2" s="445"/>
      <c r="AA2" s="445"/>
      <c r="AB2" s="445"/>
      <c r="AC2" s="446"/>
      <c r="AD2" s="167"/>
      <c r="AE2" s="444" t="s">
        <v>636</v>
      </c>
      <c r="AF2" s="445"/>
      <c r="AG2" s="445"/>
      <c r="AH2" s="445"/>
      <c r="AI2" s="445"/>
      <c r="AJ2" s="446"/>
      <c r="AK2" s="444" t="s">
        <v>637</v>
      </c>
      <c r="AL2" s="445"/>
      <c r="AM2" s="445"/>
      <c r="AN2" s="445"/>
      <c r="AO2" s="445"/>
      <c r="AP2" s="446"/>
      <c r="AQ2" s="444" t="s">
        <v>638</v>
      </c>
      <c r="AR2" s="445"/>
      <c r="AS2" s="445"/>
      <c r="AT2" s="445"/>
      <c r="AU2" s="445"/>
      <c r="AV2" s="446"/>
    </row>
    <row r="3" spans="1:48" s="193" customFormat="1" ht="74.650000000000006" customHeight="1" thickTop="1" thickBot="1" x14ac:dyDescent="0.25">
      <c r="A3" s="200" t="s">
        <v>294</v>
      </c>
      <c r="B3" s="168" t="s">
        <v>69</v>
      </c>
      <c r="C3" s="169" t="s">
        <v>295</v>
      </c>
      <c r="D3" s="170" t="s">
        <v>70</v>
      </c>
      <c r="E3" s="169" t="s">
        <v>139</v>
      </c>
      <c r="F3" s="175" t="s">
        <v>639</v>
      </c>
      <c r="G3" s="176" t="s">
        <v>640</v>
      </c>
      <c r="H3" s="177" t="s">
        <v>641</v>
      </c>
      <c r="I3" s="178" t="s">
        <v>642</v>
      </c>
      <c r="J3" s="179" t="s">
        <v>643</v>
      </c>
      <c r="K3" s="171" t="s">
        <v>644</v>
      </c>
      <c r="L3" s="180" t="s">
        <v>645</v>
      </c>
      <c r="M3" s="176" t="s">
        <v>646</v>
      </c>
      <c r="N3" s="177" t="s">
        <v>647</v>
      </c>
      <c r="O3" s="178" t="s">
        <v>648</v>
      </c>
      <c r="P3" s="179" t="s">
        <v>649</v>
      </c>
      <c r="Q3" s="172" t="s">
        <v>650</v>
      </c>
      <c r="R3" s="180" t="s">
        <v>651</v>
      </c>
      <c r="S3" s="184" t="s">
        <v>652</v>
      </c>
      <c r="T3" s="181" t="s">
        <v>653</v>
      </c>
      <c r="U3" s="182" t="s">
        <v>654</v>
      </c>
      <c r="V3" s="183" t="s">
        <v>655</v>
      </c>
      <c r="W3" s="173" t="s">
        <v>656</v>
      </c>
      <c r="X3" s="180" t="s">
        <v>657</v>
      </c>
      <c r="Y3" s="184" t="s">
        <v>658</v>
      </c>
      <c r="Z3" s="181" t="s">
        <v>659</v>
      </c>
      <c r="AA3" s="182" t="s">
        <v>660</v>
      </c>
      <c r="AB3" s="183" t="s">
        <v>661</v>
      </c>
      <c r="AC3" s="173" t="s">
        <v>662</v>
      </c>
      <c r="AD3" s="174" t="s">
        <v>663</v>
      </c>
      <c r="AE3" s="186" t="s">
        <v>664</v>
      </c>
      <c r="AF3" s="187" t="s">
        <v>665</v>
      </c>
      <c r="AG3" s="188" t="s">
        <v>666</v>
      </c>
      <c r="AH3" s="189" t="s">
        <v>667</v>
      </c>
      <c r="AI3" s="190" t="s">
        <v>668</v>
      </c>
      <c r="AJ3" s="174" t="s">
        <v>669</v>
      </c>
      <c r="AK3" s="191" t="s">
        <v>670</v>
      </c>
      <c r="AL3" s="192" t="s">
        <v>671</v>
      </c>
      <c r="AM3" s="185" t="s">
        <v>672</v>
      </c>
      <c r="AN3" s="189" t="s">
        <v>673</v>
      </c>
      <c r="AO3" s="190" t="s">
        <v>674</v>
      </c>
      <c r="AP3" s="174" t="s">
        <v>675</v>
      </c>
      <c r="AQ3" s="180" t="s">
        <v>676</v>
      </c>
      <c r="AR3" s="184" t="s">
        <v>677</v>
      </c>
      <c r="AS3" s="181" t="s">
        <v>678</v>
      </c>
      <c r="AT3" s="182" t="s">
        <v>679</v>
      </c>
      <c r="AU3" s="183" t="s">
        <v>680</v>
      </c>
      <c r="AV3" s="174" t="s">
        <v>681</v>
      </c>
    </row>
    <row r="4" spans="1:48" s="2" customFormat="1" ht="26.25" thickTop="1" x14ac:dyDescent="0.25">
      <c r="A4" s="198" t="str">
        <f>tblSeverityReference[[#This Row],[Admin 2 P-Code]]</f>
        <v>SD01001</v>
      </c>
      <c r="B4" s="127" t="s">
        <v>164</v>
      </c>
      <c r="C4" s="60" t="s">
        <v>118</v>
      </c>
      <c r="D4" s="146" t="s">
        <v>323</v>
      </c>
      <c r="E4" s="60" t="s">
        <v>324</v>
      </c>
      <c r="F4" s="120"/>
      <c r="G4" s="120"/>
      <c r="H4" s="120"/>
      <c r="I4" s="121"/>
      <c r="J4" s="122"/>
      <c r="K4" s="122"/>
      <c r="L4" s="123"/>
      <c r="M4" s="122"/>
      <c r="N4" s="122"/>
      <c r="O4" s="123"/>
      <c r="P4" s="123"/>
      <c r="Q4" s="25"/>
      <c r="R4" s="25"/>
      <c r="S4" s="25"/>
      <c r="T4" s="25"/>
      <c r="U4" s="63"/>
      <c r="V4" s="26"/>
      <c r="W4" s="63"/>
      <c r="X4" s="165"/>
      <c r="Y4" s="63"/>
      <c r="Z4" s="165"/>
      <c r="AA4" s="63"/>
      <c r="AB4" s="165"/>
      <c r="AC4" s="63"/>
      <c r="AD4" s="165"/>
      <c r="AE4" s="63"/>
      <c r="AF4" s="165"/>
      <c r="AG4" s="63"/>
      <c r="AH4" s="165"/>
      <c r="AI4" s="63"/>
      <c r="AJ4" s="165"/>
      <c r="AK4" s="63"/>
      <c r="AL4" s="165"/>
      <c r="AM4" s="63"/>
      <c r="AN4" s="165"/>
      <c r="AO4" s="63"/>
      <c r="AP4" s="165"/>
      <c r="AQ4" s="63"/>
      <c r="AR4" s="165"/>
      <c r="AS4" s="63"/>
      <c r="AT4" s="165"/>
      <c r="AU4" s="63"/>
      <c r="AV4" s="165"/>
    </row>
    <row r="5" spans="1:48" ht="25.5" x14ac:dyDescent="0.25">
      <c r="A5" s="197" t="str">
        <f>tblSeverityReference[[#This Row],[Admin 2 P-Code]]</f>
        <v>SD01002</v>
      </c>
      <c r="B5" s="127" t="s">
        <v>164</v>
      </c>
      <c r="C5" s="60" t="s">
        <v>118</v>
      </c>
      <c r="D5" s="146" t="s">
        <v>325</v>
      </c>
      <c r="E5" s="60" t="s">
        <v>326</v>
      </c>
      <c r="F5" s="118"/>
      <c r="G5" s="118"/>
      <c r="H5" s="118"/>
      <c r="I5" s="23"/>
      <c r="J5" s="25"/>
      <c r="K5" s="25"/>
      <c r="L5" s="24"/>
      <c r="M5" s="25"/>
      <c r="N5" s="25"/>
      <c r="O5" s="24"/>
      <c r="P5" s="24"/>
      <c r="Q5" s="25"/>
      <c r="R5" s="25"/>
      <c r="S5" s="25"/>
      <c r="T5" s="25"/>
      <c r="U5" s="63"/>
      <c r="V5" s="26"/>
      <c r="W5" s="63"/>
      <c r="X5" s="165"/>
      <c r="Y5" s="63"/>
      <c r="Z5" s="165"/>
      <c r="AA5" s="63"/>
      <c r="AB5" s="165"/>
      <c r="AC5" s="63"/>
      <c r="AD5" s="165"/>
      <c r="AE5" s="63"/>
      <c r="AF5" s="165"/>
      <c r="AG5" s="63"/>
      <c r="AH5" s="165"/>
      <c r="AI5" s="63"/>
      <c r="AJ5" s="165"/>
      <c r="AK5" s="63"/>
      <c r="AL5" s="165"/>
      <c r="AM5" s="63"/>
      <c r="AN5" s="165"/>
      <c r="AO5" s="63"/>
      <c r="AP5" s="165"/>
      <c r="AQ5" s="63"/>
      <c r="AR5" s="165"/>
      <c r="AS5" s="63"/>
      <c r="AT5" s="165"/>
      <c r="AU5" s="63"/>
      <c r="AV5" s="165"/>
    </row>
    <row r="6" spans="1:48" ht="25.5" x14ac:dyDescent="0.25">
      <c r="A6" s="197" t="str">
        <f>tblSeverityReference[[#This Row],[Admin 2 P-Code]]</f>
        <v>SD01003</v>
      </c>
      <c r="B6" s="127" t="s">
        <v>164</v>
      </c>
      <c r="C6" s="60" t="s">
        <v>118</v>
      </c>
      <c r="D6" s="146" t="s">
        <v>327</v>
      </c>
      <c r="E6" s="60" t="s">
        <v>328</v>
      </c>
      <c r="F6" s="118"/>
      <c r="G6" s="118"/>
      <c r="H6" s="118"/>
      <c r="I6" s="23"/>
      <c r="J6" s="25"/>
      <c r="K6" s="25"/>
      <c r="L6" s="24"/>
      <c r="M6" s="25"/>
      <c r="N6" s="25"/>
      <c r="O6" s="24"/>
      <c r="P6" s="24"/>
      <c r="Q6" s="25"/>
      <c r="R6" s="25"/>
      <c r="S6" s="25"/>
      <c r="T6" s="25"/>
      <c r="U6" s="63"/>
      <c r="V6" s="26"/>
      <c r="W6" s="63"/>
      <c r="X6" s="165"/>
      <c r="Y6" s="63"/>
      <c r="Z6" s="165"/>
      <c r="AA6" s="63"/>
      <c r="AB6" s="165"/>
      <c r="AC6" s="63"/>
      <c r="AD6" s="165"/>
      <c r="AE6" s="63"/>
      <c r="AF6" s="165"/>
      <c r="AG6" s="63"/>
      <c r="AH6" s="165"/>
      <c r="AI6" s="63"/>
      <c r="AJ6" s="165"/>
      <c r="AK6" s="63"/>
      <c r="AL6" s="165"/>
      <c r="AM6" s="63"/>
      <c r="AN6" s="165"/>
      <c r="AO6" s="63"/>
      <c r="AP6" s="165"/>
      <c r="AQ6" s="63"/>
      <c r="AR6" s="165"/>
      <c r="AS6" s="63"/>
      <c r="AT6" s="165"/>
      <c r="AU6" s="63"/>
      <c r="AV6" s="165"/>
    </row>
    <row r="7" spans="1:48" ht="25.5" x14ac:dyDescent="0.25">
      <c r="A7" s="197" t="str">
        <f>tblSeverityReference[[#This Row],[Admin 2 P-Code]]</f>
        <v>SD01004</v>
      </c>
      <c r="B7" s="127" t="s">
        <v>164</v>
      </c>
      <c r="C7" s="60" t="s">
        <v>118</v>
      </c>
      <c r="D7" s="146" t="s">
        <v>329</v>
      </c>
      <c r="E7" s="60" t="s">
        <v>330</v>
      </c>
      <c r="F7" s="118"/>
      <c r="G7" s="118"/>
      <c r="H7" s="118"/>
      <c r="I7" s="23"/>
      <c r="J7" s="25"/>
      <c r="K7" s="25"/>
      <c r="L7" s="24"/>
      <c r="M7" s="25"/>
      <c r="N7" s="25"/>
      <c r="O7" s="24"/>
      <c r="P7" s="24"/>
      <c r="Q7" s="25"/>
      <c r="R7" s="25"/>
      <c r="S7" s="25"/>
      <c r="T7" s="25"/>
      <c r="U7" s="63"/>
      <c r="V7" s="26"/>
      <c r="W7" s="63"/>
      <c r="X7" s="165"/>
      <c r="Y7" s="63"/>
      <c r="Z7" s="165"/>
      <c r="AA7" s="63"/>
      <c r="AB7" s="165"/>
      <c r="AC7" s="63"/>
      <c r="AD7" s="165"/>
      <c r="AE7" s="63"/>
      <c r="AF7" s="165"/>
      <c r="AG7" s="63"/>
      <c r="AH7" s="165"/>
      <c r="AI7" s="63"/>
      <c r="AJ7" s="165"/>
      <c r="AK7" s="63"/>
      <c r="AL7" s="165"/>
      <c r="AM7" s="63"/>
      <c r="AN7" s="165"/>
      <c r="AO7" s="63"/>
      <c r="AP7" s="165"/>
      <c r="AQ7" s="63"/>
      <c r="AR7" s="165"/>
      <c r="AS7" s="63"/>
      <c r="AT7" s="165"/>
      <c r="AU7" s="63"/>
      <c r="AV7" s="165"/>
    </row>
    <row r="8" spans="1:48" ht="25.5" x14ac:dyDescent="0.25">
      <c r="A8" s="197" t="str">
        <f>tblSeverityReference[[#This Row],[Admin 2 P-Code]]</f>
        <v>SD01005</v>
      </c>
      <c r="B8" s="127" t="s">
        <v>164</v>
      </c>
      <c r="C8" s="60" t="s">
        <v>118</v>
      </c>
      <c r="D8" s="146" t="s">
        <v>331</v>
      </c>
      <c r="E8" s="60" t="s">
        <v>332</v>
      </c>
      <c r="F8" s="118"/>
      <c r="G8" s="118"/>
      <c r="H8" s="118"/>
      <c r="I8" s="23"/>
      <c r="J8" s="25"/>
      <c r="K8" s="25"/>
      <c r="L8" s="24"/>
      <c r="M8" s="25"/>
      <c r="N8" s="25"/>
      <c r="O8" s="24"/>
      <c r="P8" s="24"/>
      <c r="Q8" s="25"/>
      <c r="R8" s="25"/>
      <c r="S8" s="25"/>
      <c r="T8" s="25"/>
      <c r="U8" s="63"/>
      <c r="V8" s="26"/>
      <c r="W8" s="63"/>
      <c r="X8" s="165"/>
      <c r="Y8" s="63"/>
      <c r="Z8" s="165"/>
      <c r="AA8" s="63"/>
      <c r="AB8" s="165"/>
      <c r="AC8" s="63"/>
      <c r="AD8" s="165"/>
      <c r="AE8" s="63"/>
      <c r="AF8" s="165"/>
      <c r="AG8" s="63"/>
      <c r="AH8" s="165"/>
      <c r="AI8" s="63"/>
      <c r="AJ8" s="165"/>
      <c r="AK8" s="63"/>
      <c r="AL8" s="165"/>
      <c r="AM8" s="63"/>
      <c r="AN8" s="165"/>
      <c r="AO8" s="63"/>
      <c r="AP8" s="165"/>
      <c r="AQ8" s="63"/>
      <c r="AR8" s="165"/>
      <c r="AS8" s="63"/>
      <c r="AT8" s="165"/>
      <c r="AU8" s="63"/>
      <c r="AV8" s="165"/>
    </row>
    <row r="9" spans="1:48" ht="25.5" x14ac:dyDescent="0.25">
      <c r="A9" s="197" t="str">
        <f>tblSeverityReference[[#This Row],[Admin 2 P-Code]]</f>
        <v>SD01006</v>
      </c>
      <c r="B9" s="127" t="s">
        <v>164</v>
      </c>
      <c r="C9" s="60" t="s">
        <v>118</v>
      </c>
      <c r="D9" s="146" t="s">
        <v>333</v>
      </c>
      <c r="E9" s="60" t="s">
        <v>334</v>
      </c>
      <c r="F9" s="118"/>
      <c r="G9" s="118"/>
      <c r="H9" s="118"/>
      <c r="I9" s="23"/>
      <c r="J9" s="25"/>
      <c r="K9" s="25"/>
      <c r="L9" s="24"/>
      <c r="M9" s="25"/>
      <c r="N9" s="25"/>
      <c r="O9" s="24"/>
      <c r="P9" s="24"/>
      <c r="Q9" s="25"/>
      <c r="R9" s="25"/>
      <c r="S9" s="25"/>
      <c r="T9" s="25"/>
      <c r="U9" s="63"/>
      <c r="V9" s="26"/>
      <c r="W9" s="63"/>
      <c r="X9" s="165"/>
      <c r="Y9" s="63"/>
      <c r="Z9" s="165"/>
      <c r="AA9" s="63"/>
      <c r="AB9" s="165"/>
      <c r="AC9" s="63"/>
      <c r="AD9" s="165"/>
      <c r="AE9" s="63"/>
      <c r="AF9" s="165"/>
      <c r="AG9" s="63"/>
      <c r="AH9" s="165"/>
      <c r="AI9" s="63"/>
      <c r="AJ9" s="165"/>
      <c r="AK9" s="63"/>
      <c r="AL9" s="165"/>
      <c r="AM9" s="63"/>
      <c r="AN9" s="165"/>
      <c r="AO9" s="63"/>
      <c r="AP9" s="165"/>
      <c r="AQ9" s="63"/>
      <c r="AR9" s="165"/>
      <c r="AS9" s="63"/>
      <c r="AT9" s="165"/>
      <c r="AU9" s="63"/>
      <c r="AV9" s="165"/>
    </row>
    <row r="10" spans="1:48" ht="25.5" x14ac:dyDescent="0.25">
      <c r="A10" s="197" t="str">
        <f>tblSeverityReference[[#This Row],[Admin 2 P-Code]]</f>
        <v>SD01007</v>
      </c>
      <c r="B10" s="127" t="s">
        <v>164</v>
      </c>
      <c r="C10" s="60" t="s">
        <v>118</v>
      </c>
      <c r="D10" s="146" t="s">
        <v>164</v>
      </c>
      <c r="E10" s="60" t="s">
        <v>335</v>
      </c>
      <c r="F10" s="118"/>
      <c r="G10" s="118"/>
      <c r="H10" s="118"/>
      <c r="I10" s="23"/>
      <c r="J10" s="25"/>
      <c r="K10" s="25"/>
      <c r="L10" s="24"/>
      <c r="M10" s="25"/>
      <c r="N10" s="25"/>
      <c r="O10" s="24"/>
      <c r="P10" s="24"/>
      <c r="Q10" s="25"/>
      <c r="R10" s="25"/>
      <c r="S10" s="25"/>
      <c r="T10" s="25"/>
      <c r="U10" s="63"/>
      <c r="V10" s="26"/>
      <c r="W10" s="32"/>
      <c r="X10" s="166"/>
      <c r="Y10" s="32"/>
      <c r="Z10" s="166"/>
      <c r="AA10" s="32"/>
      <c r="AB10" s="166"/>
      <c r="AC10" s="32"/>
      <c r="AD10" s="166"/>
      <c r="AE10" s="32"/>
      <c r="AF10" s="166"/>
      <c r="AG10" s="32"/>
      <c r="AH10" s="166"/>
      <c r="AI10" s="32"/>
      <c r="AJ10" s="166"/>
      <c r="AK10" s="32"/>
      <c r="AL10" s="166"/>
      <c r="AM10" s="32"/>
      <c r="AN10" s="166"/>
      <c r="AO10" s="32"/>
      <c r="AP10" s="166"/>
      <c r="AQ10" s="32"/>
      <c r="AR10" s="166"/>
      <c r="AS10" s="32"/>
      <c r="AT10" s="166"/>
      <c r="AU10" s="32"/>
      <c r="AV10" s="166"/>
    </row>
    <row r="11" spans="1:48" ht="25.5" x14ac:dyDescent="0.25">
      <c r="A11" s="197" t="str">
        <f>tblSeverityReference[[#This Row],[Admin 2 P-Code]]</f>
        <v>SD02113</v>
      </c>
      <c r="B11" s="127" t="s">
        <v>167</v>
      </c>
      <c r="C11" s="60" t="s">
        <v>119</v>
      </c>
      <c r="D11" s="146" t="s">
        <v>196</v>
      </c>
      <c r="E11" s="60" t="s">
        <v>195</v>
      </c>
      <c r="F11" s="131"/>
      <c r="G11" s="131"/>
      <c r="H11" s="131"/>
      <c r="I11" s="132"/>
      <c r="J11" s="31"/>
      <c r="K11" s="25"/>
      <c r="L11" s="129"/>
      <c r="M11" s="133"/>
      <c r="N11" s="25"/>
      <c r="O11" s="132"/>
      <c r="P11" s="132"/>
      <c r="Q11" s="25"/>
      <c r="R11" s="25"/>
      <c r="S11" s="25"/>
      <c r="T11" s="25"/>
      <c r="U11" s="32"/>
      <c r="V11" s="130"/>
      <c r="W11" s="63"/>
      <c r="X11" s="165"/>
      <c r="Y11" s="63"/>
      <c r="Z11" s="165"/>
      <c r="AA11" s="63"/>
      <c r="AB11" s="165"/>
      <c r="AC11" s="63"/>
      <c r="AD11" s="165"/>
      <c r="AE11" s="63"/>
      <c r="AF11" s="165"/>
      <c r="AG11" s="63"/>
      <c r="AH11" s="165"/>
      <c r="AI11" s="63"/>
      <c r="AJ11" s="165"/>
      <c r="AK11" s="63"/>
      <c r="AL11" s="165"/>
      <c r="AM11" s="63"/>
      <c r="AN11" s="165"/>
      <c r="AO11" s="63"/>
      <c r="AP11" s="165"/>
      <c r="AQ11" s="63"/>
      <c r="AR11" s="165"/>
      <c r="AS11" s="63"/>
      <c r="AT11" s="165"/>
      <c r="AU11" s="63"/>
      <c r="AV11" s="165"/>
    </row>
    <row r="12" spans="1:48" ht="25.5" x14ac:dyDescent="0.25">
      <c r="A12" s="197" t="str">
        <f>tblSeverityReference[[#This Row],[Admin 2 P-Code]]</f>
        <v>SD02114</v>
      </c>
      <c r="B12" s="127" t="s">
        <v>167</v>
      </c>
      <c r="C12" s="60" t="s">
        <v>119</v>
      </c>
      <c r="D12" s="146" t="s">
        <v>199</v>
      </c>
      <c r="E12" s="60" t="s">
        <v>198</v>
      </c>
      <c r="F12" s="118"/>
      <c r="G12" s="118"/>
      <c r="H12" s="118"/>
      <c r="I12" s="23"/>
      <c r="J12" s="25"/>
      <c r="K12" s="25"/>
      <c r="L12" s="24"/>
      <c r="M12" s="25"/>
      <c r="N12" s="25"/>
      <c r="O12" s="24"/>
      <c r="P12" s="24"/>
      <c r="Q12" s="25"/>
      <c r="R12" s="25"/>
      <c r="S12" s="25"/>
      <c r="T12" s="25"/>
      <c r="U12" s="63"/>
      <c r="V12" s="26"/>
      <c r="W12" s="63"/>
      <c r="X12" s="165"/>
      <c r="Y12" s="63"/>
      <c r="Z12" s="165"/>
      <c r="AA12" s="63"/>
      <c r="AB12" s="165"/>
      <c r="AC12" s="63"/>
      <c r="AD12" s="165"/>
      <c r="AE12" s="63"/>
      <c r="AF12" s="165"/>
      <c r="AG12" s="63"/>
      <c r="AH12" s="165"/>
      <c r="AI12" s="63"/>
      <c r="AJ12" s="165"/>
      <c r="AK12" s="63"/>
      <c r="AL12" s="165"/>
      <c r="AM12" s="63"/>
      <c r="AN12" s="165"/>
      <c r="AO12" s="63"/>
      <c r="AP12" s="165"/>
      <c r="AQ12" s="63"/>
      <c r="AR12" s="165"/>
      <c r="AS12" s="63"/>
      <c r="AT12" s="165"/>
      <c r="AU12" s="63"/>
      <c r="AV12" s="165"/>
    </row>
    <row r="13" spans="1:48" ht="25.5" x14ac:dyDescent="0.25">
      <c r="A13" s="197" t="str">
        <f>tblSeverityReference[[#This Row],[Admin 2 P-Code]]</f>
        <v>SD02116</v>
      </c>
      <c r="B13" s="127" t="s">
        <v>167</v>
      </c>
      <c r="C13" s="60" t="s">
        <v>119</v>
      </c>
      <c r="D13" s="146" t="s">
        <v>201</v>
      </c>
      <c r="E13" s="60" t="s">
        <v>200</v>
      </c>
      <c r="F13" s="118"/>
      <c r="G13" s="118"/>
      <c r="H13" s="118"/>
      <c r="I13" s="23"/>
      <c r="J13" s="25"/>
      <c r="K13" s="25"/>
      <c r="L13" s="24"/>
      <c r="M13" s="25"/>
      <c r="N13" s="25"/>
      <c r="O13" s="24"/>
      <c r="P13" s="24"/>
      <c r="Q13" s="25"/>
      <c r="R13" s="25"/>
      <c r="S13" s="25"/>
      <c r="T13" s="25"/>
      <c r="U13" s="63"/>
      <c r="V13" s="26"/>
      <c r="W13" s="63"/>
      <c r="X13" s="165"/>
      <c r="Y13" s="63"/>
      <c r="Z13" s="165"/>
      <c r="AA13" s="63"/>
      <c r="AB13" s="165"/>
      <c r="AC13" s="63"/>
      <c r="AD13" s="165"/>
      <c r="AE13" s="63"/>
      <c r="AF13" s="165"/>
      <c r="AG13" s="63"/>
      <c r="AH13" s="165"/>
      <c r="AI13" s="63"/>
      <c r="AJ13" s="165"/>
      <c r="AK13" s="63"/>
      <c r="AL13" s="165"/>
      <c r="AM13" s="63"/>
      <c r="AN13" s="165"/>
      <c r="AO13" s="63"/>
      <c r="AP13" s="165"/>
      <c r="AQ13" s="63"/>
      <c r="AR13" s="165"/>
      <c r="AS13" s="63"/>
      <c r="AT13" s="165"/>
      <c r="AU13" s="63"/>
      <c r="AV13" s="165"/>
    </row>
    <row r="14" spans="1:48" ht="25.5" x14ac:dyDescent="0.25">
      <c r="A14" s="197" t="str">
        <f>tblSeverityReference[[#This Row],[Admin 2 P-Code]]</f>
        <v>SD02117</v>
      </c>
      <c r="B14" s="127" t="s">
        <v>167</v>
      </c>
      <c r="C14" s="60" t="s">
        <v>119</v>
      </c>
      <c r="D14" s="146" t="s">
        <v>203</v>
      </c>
      <c r="E14" s="60" t="s">
        <v>202</v>
      </c>
      <c r="F14" s="131"/>
      <c r="G14" s="131"/>
      <c r="H14" s="131"/>
      <c r="I14" s="132"/>
      <c r="J14" s="31"/>
      <c r="K14" s="25"/>
      <c r="L14" s="129"/>
      <c r="M14" s="133"/>
      <c r="N14" s="25"/>
      <c r="O14" s="132"/>
      <c r="P14" s="132"/>
      <c r="Q14" s="25"/>
      <c r="R14" s="25"/>
      <c r="S14" s="25"/>
      <c r="T14" s="25"/>
      <c r="U14" s="32"/>
      <c r="V14" s="130"/>
      <c r="W14" s="63"/>
      <c r="X14" s="165"/>
      <c r="Y14" s="63"/>
      <c r="Z14" s="165"/>
      <c r="AA14" s="63"/>
      <c r="AB14" s="165"/>
      <c r="AC14" s="63"/>
      <c r="AD14" s="165"/>
      <c r="AE14" s="63"/>
      <c r="AF14" s="165"/>
      <c r="AG14" s="63"/>
      <c r="AH14" s="165"/>
      <c r="AI14" s="63"/>
      <c r="AJ14" s="165"/>
      <c r="AK14" s="63"/>
      <c r="AL14" s="165"/>
      <c r="AM14" s="63"/>
      <c r="AN14" s="165"/>
      <c r="AO14" s="63"/>
      <c r="AP14" s="165"/>
      <c r="AQ14" s="63"/>
      <c r="AR14" s="165"/>
      <c r="AS14" s="63"/>
      <c r="AT14" s="165"/>
      <c r="AU14" s="63"/>
      <c r="AV14" s="165"/>
    </row>
    <row r="15" spans="1:48" ht="25.5" x14ac:dyDescent="0.25">
      <c r="A15" s="197" t="str">
        <f>tblSeverityReference[[#This Row],[Admin 2 P-Code]]</f>
        <v>SD02118</v>
      </c>
      <c r="B15" s="127" t="s">
        <v>167</v>
      </c>
      <c r="C15" s="60" t="s">
        <v>119</v>
      </c>
      <c r="D15" s="146" t="s">
        <v>205</v>
      </c>
      <c r="E15" s="60" t="s">
        <v>204</v>
      </c>
      <c r="F15" s="131"/>
      <c r="G15" s="131"/>
      <c r="H15" s="131"/>
      <c r="I15" s="132"/>
      <c r="J15" s="31"/>
      <c r="K15" s="25"/>
      <c r="L15" s="129"/>
      <c r="M15" s="133"/>
      <c r="N15" s="25"/>
      <c r="O15" s="132"/>
      <c r="P15" s="132"/>
      <c r="Q15" s="25"/>
      <c r="R15" s="25"/>
      <c r="S15" s="25"/>
      <c r="T15" s="25"/>
      <c r="U15" s="32"/>
      <c r="V15" s="130"/>
      <c r="W15" s="63"/>
      <c r="X15" s="165"/>
      <c r="Y15" s="63"/>
      <c r="Z15" s="165"/>
      <c r="AA15" s="63"/>
      <c r="AB15" s="165"/>
      <c r="AC15" s="63"/>
      <c r="AD15" s="165"/>
      <c r="AE15" s="63"/>
      <c r="AF15" s="165"/>
      <c r="AG15" s="63"/>
      <c r="AH15" s="165"/>
      <c r="AI15" s="63"/>
      <c r="AJ15" s="165"/>
      <c r="AK15" s="63"/>
      <c r="AL15" s="165"/>
      <c r="AM15" s="63"/>
      <c r="AN15" s="165"/>
      <c r="AO15" s="63"/>
      <c r="AP15" s="165"/>
      <c r="AQ15" s="63"/>
      <c r="AR15" s="165"/>
      <c r="AS15" s="63"/>
      <c r="AT15" s="165"/>
      <c r="AU15" s="63"/>
      <c r="AV15" s="165"/>
    </row>
    <row r="16" spans="1:48" ht="25.5" x14ac:dyDescent="0.25">
      <c r="A16" s="197" t="str">
        <f>tblSeverityReference[[#This Row],[Admin 2 P-Code]]</f>
        <v>SD02119</v>
      </c>
      <c r="B16" s="127" t="s">
        <v>167</v>
      </c>
      <c r="C16" s="60" t="s">
        <v>119</v>
      </c>
      <c r="D16" s="146" t="s">
        <v>207</v>
      </c>
      <c r="E16" s="60" t="s">
        <v>206</v>
      </c>
      <c r="F16" s="131"/>
      <c r="G16" s="131"/>
      <c r="H16" s="131"/>
      <c r="I16" s="132"/>
      <c r="J16" s="31"/>
      <c r="K16" s="25"/>
      <c r="L16" s="129"/>
      <c r="M16" s="133"/>
      <c r="N16" s="25"/>
      <c r="O16" s="132"/>
      <c r="P16" s="132"/>
      <c r="Q16" s="25"/>
      <c r="R16" s="25"/>
      <c r="S16" s="25"/>
      <c r="T16" s="25"/>
      <c r="U16" s="32"/>
      <c r="V16" s="130"/>
      <c r="W16" s="63"/>
      <c r="X16" s="165"/>
      <c r="Y16" s="63"/>
      <c r="Z16" s="165"/>
      <c r="AA16" s="63"/>
      <c r="AB16" s="165"/>
      <c r="AC16" s="63"/>
      <c r="AD16" s="165"/>
      <c r="AE16" s="63"/>
      <c r="AF16" s="165"/>
      <c r="AG16" s="63"/>
      <c r="AH16" s="165"/>
      <c r="AI16" s="63"/>
      <c r="AJ16" s="165"/>
      <c r="AK16" s="63"/>
      <c r="AL16" s="165"/>
      <c r="AM16" s="63"/>
      <c r="AN16" s="165"/>
      <c r="AO16" s="63"/>
      <c r="AP16" s="165"/>
      <c r="AQ16" s="63"/>
      <c r="AR16" s="165"/>
      <c r="AS16" s="63"/>
      <c r="AT16" s="165"/>
      <c r="AU16" s="63"/>
      <c r="AV16" s="165"/>
    </row>
    <row r="17" spans="1:48" ht="25.5" x14ac:dyDescent="0.25">
      <c r="A17" s="197" t="str">
        <f>tblSeverityReference[[#This Row],[Admin 2 P-Code]]</f>
        <v>SD02120</v>
      </c>
      <c r="B17" s="127" t="s">
        <v>167</v>
      </c>
      <c r="C17" s="60" t="s">
        <v>119</v>
      </c>
      <c r="D17" s="146" t="s">
        <v>209</v>
      </c>
      <c r="E17" s="60" t="s">
        <v>208</v>
      </c>
      <c r="F17" s="131"/>
      <c r="G17" s="131"/>
      <c r="H17" s="131"/>
      <c r="I17" s="132"/>
      <c r="J17" s="31"/>
      <c r="K17" s="25"/>
      <c r="L17" s="129"/>
      <c r="M17" s="133"/>
      <c r="N17" s="25"/>
      <c r="O17" s="132"/>
      <c r="P17" s="132"/>
      <c r="Q17" s="25"/>
      <c r="R17" s="25"/>
      <c r="S17" s="25"/>
      <c r="T17" s="25"/>
      <c r="U17" s="32"/>
      <c r="V17" s="130"/>
      <c r="W17" s="32"/>
      <c r="X17" s="166"/>
      <c r="Y17" s="32"/>
      <c r="Z17" s="166"/>
      <c r="AA17" s="32"/>
      <c r="AB17" s="166"/>
      <c r="AC17" s="32"/>
      <c r="AD17" s="166"/>
      <c r="AE17" s="32"/>
      <c r="AF17" s="166"/>
      <c r="AG17" s="32"/>
      <c r="AH17" s="166"/>
      <c r="AI17" s="32"/>
      <c r="AJ17" s="166"/>
      <c r="AK17" s="32"/>
      <c r="AL17" s="166"/>
      <c r="AM17" s="32"/>
      <c r="AN17" s="166"/>
      <c r="AO17" s="32"/>
      <c r="AP17" s="166"/>
      <c r="AQ17" s="32"/>
      <c r="AR17" s="166"/>
      <c r="AS17" s="32"/>
      <c r="AT17" s="166"/>
      <c r="AU17" s="32"/>
      <c r="AV17" s="166"/>
    </row>
    <row r="18" spans="1:48" ht="25.5" x14ac:dyDescent="0.25">
      <c r="A18" s="197" t="str">
        <f>tblSeverityReference[[#This Row],[Admin 2 P-Code]]</f>
        <v>SD02124</v>
      </c>
      <c r="B18" s="127" t="s">
        <v>167</v>
      </c>
      <c r="C18" s="60" t="s">
        <v>119</v>
      </c>
      <c r="D18" s="146" t="s">
        <v>211</v>
      </c>
      <c r="E18" s="60" t="s">
        <v>210</v>
      </c>
      <c r="F18" s="131"/>
      <c r="G18" s="131"/>
      <c r="H18" s="131"/>
      <c r="I18" s="132"/>
      <c r="J18" s="31"/>
      <c r="K18" s="25"/>
      <c r="L18" s="129"/>
      <c r="M18" s="133"/>
      <c r="N18" s="25"/>
      <c r="O18" s="132"/>
      <c r="P18" s="132"/>
      <c r="Q18" s="25"/>
      <c r="R18" s="25"/>
      <c r="S18" s="25"/>
      <c r="T18" s="25"/>
      <c r="U18" s="32"/>
      <c r="V18" s="130"/>
      <c r="W18" s="63"/>
      <c r="X18" s="165"/>
      <c r="Y18" s="63"/>
      <c r="Z18" s="165"/>
      <c r="AA18" s="63"/>
      <c r="AB18" s="165"/>
      <c r="AC18" s="63"/>
      <c r="AD18" s="165"/>
      <c r="AE18" s="63"/>
      <c r="AF18" s="165"/>
      <c r="AG18" s="63"/>
      <c r="AH18" s="165"/>
      <c r="AI18" s="63"/>
      <c r="AJ18" s="165"/>
      <c r="AK18" s="63"/>
      <c r="AL18" s="165"/>
      <c r="AM18" s="63"/>
      <c r="AN18" s="165"/>
      <c r="AO18" s="63"/>
      <c r="AP18" s="165"/>
      <c r="AQ18" s="63"/>
      <c r="AR18" s="165"/>
      <c r="AS18" s="63"/>
      <c r="AT18" s="165"/>
      <c r="AU18" s="63"/>
      <c r="AV18" s="165"/>
    </row>
    <row r="19" spans="1:48" ht="25.5" x14ac:dyDescent="0.25">
      <c r="A19" s="197" t="str">
        <f>tblSeverityReference[[#This Row],[Admin 2 P-Code]]</f>
        <v>SD02126</v>
      </c>
      <c r="B19" s="127" t="s">
        <v>167</v>
      </c>
      <c r="C19" s="60" t="s">
        <v>119</v>
      </c>
      <c r="D19" s="146" t="s">
        <v>213</v>
      </c>
      <c r="E19" s="60" t="s">
        <v>212</v>
      </c>
      <c r="F19" s="131"/>
      <c r="G19" s="131"/>
      <c r="H19" s="131"/>
      <c r="I19" s="132"/>
      <c r="J19" s="31"/>
      <c r="K19" s="25"/>
      <c r="L19" s="129"/>
      <c r="M19" s="133"/>
      <c r="N19" s="25"/>
      <c r="O19" s="132"/>
      <c r="P19" s="132"/>
      <c r="Q19" s="25"/>
      <c r="R19" s="25"/>
      <c r="S19" s="25"/>
      <c r="T19" s="25"/>
      <c r="U19" s="32"/>
      <c r="V19" s="130"/>
      <c r="W19" s="63"/>
      <c r="X19" s="165"/>
      <c r="Y19" s="63"/>
      <c r="Z19" s="165"/>
      <c r="AA19" s="63"/>
      <c r="AB19" s="165"/>
      <c r="AC19" s="63"/>
      <c r="AD19" s="165"/>
      <c r="AE19" s="63"/>
      <c r="AF19" s="165"/>
      <c r="AG19" s="63"/>
      <c r="AH19" s="165"/>
      <c r="AI19" s="63"/>
      <c r="AJ19" s="165"/>
      <c r="AK19" s="63"/>
      <c r="AL19" s="165"/>
      <c r="AM19" s="63"/>
      <c r="AN19" s="165"/>
      <c r="AO19" s="63"/>
      <c r="AP19" s="165"/>
      <c r="AQ19" s="63"/>
      <c r="AR19" s="165"/>
      <c r="AS19" s="63"/>
      <c r="AT19" s="165"/>
      <c r="AU19" s="63"/>
      <c r="AV19" s="165"/>
    </row>
    <row r="20" spans="1:48" ht="25.5" x14ac:dyDescent="0.25">
      <c r="A20" s="197" t="str">
        <f>tblSeverityReference[[#This Row],[Admin 2 P-Code]]</f>
        <v>SD02128</v>
      </c>
      <c r="B20" s="127" t="s">
        <v>167</v>
      </c>
      <c r="C20" s="60" t="s">
        <v>119</v>
      </c>
      <c r="D20" s="146" t="s">
        <v>215</v>
      </c>
      <c r="E20" s="60" t="s">
        <v>214</v>
      </c>
      <c r="F20" s="131"/>
      <c r="G20" s="131"/>
      <c r="H20" s="131"/>
      <c r="I20" s="132"/>
      <c r="J20" s="31"/>
      <c r="K20" s="25"/>
      <c r="L20" s="129"/>
      <c r="M20" s="133"/>
      <c r="N20" s="25"/>
      <c r="O20" s="132"/>
      <c r="P20" s="132"/>
      <c r="Q20" s="25"/>
      <c r="R20" s="25"/>
      <c r="S20" s="25"/>
      <c r="T20" s="25"/>
      <c r="U20" s="32"/>
      <c r="V20" s="130"/>
      <c r="W20" s="63"/>
      <c r="X20" s="165"/>
      <c r="Y20" s="63"/>
      <c r="Z20" s="165"/>
      <c r="AA20" s="63"/>
      <c r="AB20" s="165"/>
      <c r="AC20" s="63"/>
      <c r="AD20" s="165"/>
      <c r="AE20" s="63"/>
      <c r="AF20" s="165"/>
      <c r="AG20" s="63"/>
      <c r="AH20" s="165"/>
      <c r="AI20" s="63"/>
      <c r="AJ20" s="165"/>
      <c r="AK20" s="63"/>
      <c r="AL20" s="165"/>
      <c r="AM20" s="63"/>
      <c r="AN20" s="165"/>
      <c r="AO20" s="63"/>
      <c r="AP20" s="165"/>
      <c r="AQ20" s="63"/>
      <c r="AR20" s="165"/>
      <c r="AS20" s="63"/>
      <c r="AT20" s="165"/>
      <c r="AU20" s="63"/>
      <c r="AV20" s="165"/>
    </row>
    <row r="21" spans="1:48" ht="25.5" x14ac:dyDescent="0.25">
      <c r="A21" s="197" t="str">
        <f>tblSeverityReference[[#This Row],[Admin 2 P-Code]]</f>
        <v>SD02129</v>
      </c>
      <c r="B21" s="127" t="s">
        <v>167</v>
      </c>
      <c r="C21" s="60" t="s">
        <v>119</v>
      </c>
      <c r="D21" s="146" t="s">
        <v>217</v>
      </c>
      <c r="E21" s="60" t="s">
        <v>216</v>
      </c>
      <c r="F21" s="131"/>
      <c r="G21" s="131"/>
      <c r="H21" s="131"/>
      <c r="I21" s="132"/>
      <c r="J21" s="31"/>
      <c r="K21" s="25"/>
      <c r="L21" s="129"/>
      <c r="M21" s="133"/>
      <c r="N21" s="25"/>
      <c r="O21" s="132"/>
      <c r="P21" s="132"/>
      <c r="Q21" s="25"/>
      <c r="R21" s="25"/>
      <c r="S21" s="25"/>
      <c r="T21" s="25"/>
      <c r="U21" s="32"/>
      <c r="V21" s="130"/>
      <c r="W21" s="63"/>
      <c r="X21" s="165"/>
      <c r="Y21" s="63"/>
      <c r="Z21" s="165"/>
      <c r="AA21" s="63"/>
      <c r="AB21" s="165"/>
      <c r="AC21" s="63"/>
      <c r="AD21" s="165"/>
      <c r="AE21" s="63"/>
      <c r="AF21" s="165"/>
      <c r="AG21" s="63"/>
      <c r="AH21" s="165"/>
      <c r="AI21" s="63"/>
      <c r="AJ21" s="165"/>
      <c r="AK21" s="63"/>
      <c r="AL21" s="165"/>
      <c r="AM21" s="63"/>
      <c r="AN21" s="165"/>
      <c r="AO21" s="63"/>
      <c r="AP21" s="165"/>
      <c r="AQ21" s="63"/>
      <c r="AR21" s="165"/>
      <c r="AS21" s="63"/>
      <c r="AT21" s="165"/>
      <c r="AU21" s="63"/>
      <c r="AV21" s="165"/>
    </row>
    <row r="22" spans="1:48" ht="25.5" x14ac:dyDescent="0.25">
      <c r="A22" s="197" t="str">
        <f>tblSeverityReference[[#This Row],[Admin 2 P-Code]]</f>
        <v>SD02133</v>
      </c>
      <c r="B22" s="127" t="s">
        <v>167</v>
      </c>
      <c r="C22" s="60" t="s">
        <v>119</v>
      </c>
      <c r="D22" s="146" t="s">
        <v>219</v>
      </c>
      <c r="E22" s="60" t="s">
        <v>218</v>
      </c>
      <c r="F22" s="131"/>
      <c r="G22" s="131"/>
      <c r="H22" s="131"/>
      <c r="I22" s="132"/>
      <c r="J22" s="31"/>
      <c r="K22" s="25"/>
      <c r="L22" s="129"/>
      <c r="M22" s="133"/>
      <c r="N22" s="25"/>
      <c r="O22" s="132"/>
      <c r="P22" s="132"/>
      <c r="Q22" s="25"/>
      <c r="R22" s="25"/>
      <c r="S22" s="25"/>
      <c r="T22" s="25"/>
      <c r="U22" s="32"/>
      <c r="V22" s="130"/>
      <c r="W22" s="63"/>
      <c r="X22" s="165"/>
      <c r="Y22" s="63"/>
      <c r="Z22" s="165"/>
      <c r="AA22" s="63"/>
      <c r="AB22" s="165"/>
      <c r="AC22" s="63"/>
      <c r="AD22" s="165"/>
      <c r="AE22" s="63"/>
      <c r="AF22" s="165"/>
      <c r="AG22" s="63"/>
      <c r="AH22" s="165"/>
      <c r="AI22" s="63"/>
      <c r="AJ22" s="165"/>
      <c r="AK22" s="63"/>
      <c r="AL22" s="165"/>
      <c r="AM22" s="63"/>
      <c r="AN22" s="165"/>
      <c r="AO22" s="63"/>
      <c r="AP22" s="165"/>
      <c r="AQ22" s="63"/>
      <c r="AR22" s="165"/>
      <c r="AS22" s="63"/>
      <c r="AT22" s="165"/>
      <c r="AU22" s="63"/>
      <c r="AV22" s="165"/>
    </row>
    <row r="23" spans="1:48" ht="25.5" x14ac:dyDescent="0.25">
      <c r="A23" s="197" t="str">
        <f>tblSeverityReference[[#This Row],[Admin 2 P-Code]]</f>
        <v>SD02136</v>
      </c>
      <c r="B23" s="127" t="s">
        <v>167</v>
      </c>
      <c r="C23" s="60" t="s">
        <v>119</v>
      </c>
      <c r="D23" s="146" t="s">
        <v>221</v>
      </c>
      <c r="E23" s="60" t="s">
        <v>220</v>
      </c>
      <c r="F23" s="131"/>
      <c r="G23" s="131"/>
      <c r="H23" s="131"/>
      <c r="I23" s="132"/>
      <c r="J23" s="31"/>
      <c r="K23" s="25"/>
      <c r="L23" s="129"/>
      <c r="M23" s="133"/>
      <c r="N23" s="25"/>
      <c r="O23" s="132"/>
      <c r="P23" s="132"/>
      <c r="Q23" s="25"/>
      <c r="R23" s="25"/>
      <c r="S23" s="25"/>
      <c r="T23" s="25"/>
      <c r="U23" s="32"/>
      <c r="V23" s="130"/>
      <c r="W23" s="63"/>
      <c r="X23" s="165"/>
      <c r="Y23" s="63"/>
      <c r="Z23" s="165"/>
      <c r="AA23" s="63"/>
      <c r="AB23" s="165"/>
      <c r="AC23" s="63"/>
      <c r="AD23" s="165"/>
      <c r="AE23" s="63"/>
      <c r="AF23" s="165"/>
      <c r="AG23" s="63"/>
      <c r="AH23" s="165"/>
      <c r="AI23" s="63"/>
      <c r="AJ23" s="165"/>
      <c r="AK23" s="63"/>
      <c r="AL23" s="165"/>
      <c r="AM23" s="63"/>
      <c r="AN23" s="165"/>
      <c r="AO23" s="63"/>
      <c r="AP23" s="165"/>
      <c r="AQ23" s="63"/>
      <c r="AR23" s="165"/>
      <c r="AS23" s="63"/>
      <c r="AT23" s="165"/>
      <c r="AU23" s="63"/>
      <c r="AV23" s="165"/>
    </row>
    <row r="24" spans="1:48" ht="25.5" x14ac:dyDescent="0.25">
      <c r="A24" s="197" t="str">
        <f>tblSeverityReference[[#This Row],[Admin 2 P-Code]]</f>
        <v>SD02168</v>
      </c>
      <c r="B24" s="127" t="s">
        <v>167</v>
      </c>
      <c r="C24" s="60" t="s">
        <v>119</v>
      </c>
      <c r="D24" s="146" t="s">
        <v>223</v>
      </c>
      <c r="E24" s="60" t="s">
        <v>222</v>
      </c>
      <c r="F24" s="131"/>
      <c r="G24" s="131"/>
      <c r="H24" s="131"/>
      <c r="I24" s="132"/>
      <c r="J24" s="31"/>
      <c r="K24" s="25"/>
      <c r="L24" s="129"/>
      <c r="M24" s="133"/>
      <c r="N24" s="25"/>
      <c r="O24" s="132"/>
      <c r="P24" s="132"/>
      <c r="Q24" s="25"/>
      <c r="R24" s="25"/>
      <c r="S24" s="25"/>
      <c r="T24" s="25"/>
      <c r="U24" s="32"/>
      <c r="V24" s="130"/>
      <c r="W24" s="32"/>
      <c r="X24" s="166"/>
      <c r="Y24" s="32"/>
      <c r="Z24" s="166"/>
      <c r="AA24" s="32"/>
      <c r="AB24" s="166"/>
      <c r="AC24" s="32"/>
      <c r="AD24" s="166"/>
      <c r="AE24" s="32"/>
      <c r="AF24" s="166"/>
      <c r="AG24" s="32"/>
      <c r="AH24" s="166"/>
      <c r="AI24" s="32"/>
      <c r="AJ24" s="166"/>
      <c r="AK24" s="32"/>
      <c r="AL24" s="166"/>
      <c r="AM24" s="32"/>
      <c r="AN24" s="166"/>
      <c r="AO24" s="32"/>
      <c r="AP24" s="166"/>
      <c r="AQ24" s="32"/>
      <c r="AR24" s="166"/>
      <c r="AS24" s="32"/>
      <c r="AT24" s="166"/>
      <c r="AU24" s="32"/>
      <c r="AV24" s="166"/>
    </row>
    <row r="25" spans="1:48" ht="25.5" x14ac:dyDescent="0.25">
      <c r="A25" s="197" t="str">
        <f>tblSeverityReference[[#This Row],[Admin 2 P-Code]]</f>
        <v>SD02169</v>
      </c>
      <c r="B25" s="127" t="s">
        <v>167</v>
      </c>
      <c r="C25" s="60" t="s">
        <v>119</v>
      </c>
      <c r="D25" s="146" t="s">
        <v>225</v>
      </c>
      <c r="E25" s="60" t="s">
        <v>224</v>
      </c>
      <c r="F25" s="118"/>
      <c r="G25" s="118"/>
      <c r="H25" s="118"/>
      <c r="I25" s="23"/>
      <c r="J25" s="25"/>
      <c r="K25" s="25"/>
      <c r="L25" s="24"/>
      <c r="M25" s="25"/>
      <c r="N25" s="25"/>
      <c r="O25" s="24"/>
      <c r="P25" s="24"/>
      <c r="Q25" s="25"/>
      <c r="R25" s="25"/>
      <c r="S25" s="25"/>
      <c r="T25" s="25"/>
      <c r="U25" s="63"/>
      <c r="V25" s="26"/>
      <c r="W25" s="63"/>
      <c r="X25" s="165"/>
      <c r="Y25" s="63"/>
      <c r="Z25" s="165"/>
      <c r="AA25" s="63"/>
      <c r="AB25" s="165"/>
      <c r="AC25" s="63"/>
      <c r="AD25" s="165"/>
      <c r="AE25" s="63"/>
      <c r="AF25" s="165"/>
      <c r="AG25" s="63"/>
      <c r="AH25" s="165"/>
      <c r="AI25" s="63"/>
      <c r="AJ25" s="165"/>
      <c r="AK25" s="63"/>
      <c r="AL25" s="165"/>
      <c r="AM25" s="63"/>
      <c r="AN25" s="165"/>
      <c r="AO25" s="63"/>
      <c r="AP25" s="165"/>
      <c r="AQ25" s="63"/>
      <c r="AR25" s="165"/>
      <c r="AS25" s="63"/>
      <c r="AT25" s="165"/>
      <c r="AU25" s="63"/>
      <c r="AV25" s="165"/>
    </row>
    <row r="26" spans="1:48" ht="25.5" x14ac:dyDescent="0.25">
      <c r="A26" s="197" t="str">
        <f>tblSeverityReference[[#This Row],[Admin 2 P-Code]]</f>
        <v>SD02170</v>
      </c>
      <c r="B26" s="127" t="s">
        <v>167</v>
      </c>
      <c r="C26" s="60" t="s">
        <v>119</v>
      </c>
      <c r="D26" s="146" t="s">
        <v>227</v>
      </c>
      <c r="E26" s="60" t="s">
        <v>226</v>
      </c>
      <c r="F26" s="131"/>
      <c r="G26" s="131"/>
      <c r="H26" s="131"/>
      <c r="I26" s="132"/>
      <c r="J26" s="31"/>
      <c r="K26" s="25"/>
      <c r="L26" s="129"/>
      <c r="M26" s="133"/>
      <c r="N26" s="25"/>
      <c r="O26" s="132"/>
      <c r="P26" s="132"/>
      <c r="Q26" s="25"/>
      <c r="R26" s="25"/>
      <c r="S26" s="25"/>
      <c r="T26" s="25"/>
      <c r="U26" s="32"/>
      <c r="V26" s="130"/>
      <c r="W26" s="63"/>
      <c r="X26" s="165"/>
      <c r="Y26" s="63"/>
      <c r="Z26" s="165"/>
      <c r="AA26" s="63"/>
      <c r="AB26" s="165"/>
      <c r="AC26" s="63"/>
      <c r="AD26" s="165"/>
      <c r="AE26" s="63"/>
      <c r="AF26" s="165"/>
      <c r="AG26" s="63"/>
      <c r="AH26" s="165"/>
      <c r="AI26" s="63"/>
      <c r="AJ26" s="165"/>
      <c r="AK26" s="63"/>
      <c r="AL26" s="165"/>
      <c r="AM26" s="63"/>
      <c r="AN26" s="165"/>
      <c r="AO26" s="63"/>
      <c r="AP26" s="165"/>
      <c r="AQ26" s="63"/>
      <c r="AR26" s="165"/>
      <c r="AS26" s="63"/>
      <c r="AT26" s="165"/>
      <c r="AU26" s="63"/>
      <c r="AV26" s="165"/>
    </row>
    <row r="27" spans="1:48" ht="25.5" x14ac:dyDescent="0.25">
      <c r="A27" s="197" t="str">
        <f>tblSeverityReference[[#This Row],[Admin 2 P-Code]]</f>
        <v>SD02171</v>
      </c>
      <c r="B27" s="127" t="s">
        <v>167</v>
      </c>
      <c r="C27" s="60" t="s">
        <v>119</v>
      </c>
      <c r="D27" s="146" t="s">
        <v>229</v>
      </c>
      <c r="E27" s="60" t="s">
        <v>228</v>
      </c>
      <c r="F27" s="131"/>
      <c r="G27" s="131"/>
      <c r="H27" s="131"/>
      <c r="I27" s="132"/>
      <c r="J27" s="31"/>
      <c r="K27" s="25"/>
      <c r="L27" s="129"/>
      <c r="M27" s="133"/>
      <c r="N27" s="25"/>
      <c r="O27" s="132"/>
      <c r="P27" s="132"/>
      <c r="Q27" s="25"/>
      <c r="R27" s="25"/>
      <c r="S27" s="25"/>
      <c r="T27" s="25"/>
      <c r="U27" s="32"/>
      <c r="V27" s="130"/>
      <c r="W27" s="63"/>
      <c r="X27" s="165"/>
      <c r="Y27" s="63"/>
      <c r="Z27" s="165"/>
      <c r="AA27" s="63"/>
      <c r="AB27" s="165"/>
      <c r="AC27" s="63"/>
      <c r="AD27" s="165"/>
      <c r="AE27" s="63"/>
      <c r="AF27" s="165"/>
      <c r="AG27" s="63"/>
      <c r="AH27" s="165"/>
      <c r="AI27" s="63"/>
      <c r="AJ27" s="165"/>
      <c r="AK27" s="63"/>
      <c r="AL27" s="165"/>
      <c r="AM27" s="63"/>
      <c r="AN27" s="165"/>
      <c r="AO27" s="63"/>
      <c r="AP27" s="165"/>
      <c r="AQ27" s="63"/>
      <c r="AR27" s="165"/>
      <c r="AS27" s="63"/>
      <c r="AT27" s="165"/>
      <c r="AU27" s="63"/>
      <c r="AV27" s="165"/>
    </row>
    <row r="28" spans="1:48" ht="25.5" x14ac:dyDescent="0.25">
      <c r="A28" s="197" t="str">
        <f>tblSeverityReference[[#This Row],[Admin 2 P-Code]]</f>
        <v>SD03141</v>
      </c>
      <c r="B28" s="127" t="s">
        <v>185</v>
      </c>
      <c r="C28" s="60" t="s">
        <v>120</v>
      </c>
      <c r="D28" s="146" t="s">
        <v>233</v>
      </c>
      <c r="E28" s="60" t="s">
        <v>232</v>
      </c>
      <c r="F28" s="131"/>
      <c r="G28" s="131"/>
      <c r="H28" s="131"/>
      <c r="I28" s="132"/>
      <c r="J28" s="31"/>
      <c r="K28" s="25"/>
      <c r="L28" s="129"/>
      <c r="M28" s="133"/>
      <c r="N28" s="25"/>
      <c r="O28" s="132"/>
      <c r="P28" s="132"/>
      <c r="Q28" s="25"/>
      <c r="R28" s="25"/>
      <c r="S28" s="25"/>
      <c r="T28" s="25"/>
      <c r="U28" s="32"/>
      <c r="V28" s="130"/>
      <c r="W28" s="63"/>
      <c r="X28" s="165"/>
      <c r="Y28" s="63"/>
      <c r="Z28" s="165"/>
      <c r="AA28" s="63"/>
      <c r="AB28" s="165"/>
      <c r="AC28" s="63"/>
      <c r="AD28" s="165"/>
      <c r="AE28" s="63"/>
      <c r="AF28" s="165"/>
      <c r="AG28" s="63"/>
      <c r="AH28" s="165"/>
      <c r="AI28" s="63"/>
      <c r="AJ28" s="165"/>
      <c r="AK28" s="63"/>
      <c r="AL28" s="165"/>
      <c r="AM28" s="63"/>
      <c r="AN28" s="165"/>
      <c r="AO28" s="63"/>
      <c r="AP28" s="165"/>
      <c r="AQ28" s="63"/>
      <c r="AR28" s="165"/>
      <c r="AS28" s="63"/>
      <c r="AT28" s="165"/>
      <c r="AU28" s="63"/>
      <c r="AV28" s="165"/>
    </row>
    <row r="29" spans="1:48" ht="25.5" x14ac:dyDescent="0.25">
      <c r="A29" s="197" t="str">
        <f>tblSeverityReference[[#This Row],[Admin 2 P-Code]]</f>
        <v>SD03143</v>
      </c>
      <c r="B29" s="127" t="s">
        <v>185</v>
      </c>
      <c r="C29" s="60" t="s">
        <v>120</v>
      </c>
      <c r="D29" s="146" t="s">
        <v>235</v>
      </c>
      <c r="E29" s="60" t="s">
        <v>234</v>
      </c>
      <c r="F29" s="131"/>
      <c r="G29" s="131"/>
      <c r="H29" s="131"/>
      <c r="I29" s="132"/>
      <c r="J29" s="31"/>
      <c r="K29" s="25"/>
      <c r="L29" s="129"/>
      <c r="M29" s="133"/>
      <c r="N29" s="25"/>
      <c r="O29" s="132"/>
      <c r="P29" s="132"/>
      <c r="Q29" s="25"/>
      <c r="R29" s="25"/>
      <c r="S29" s="25"/>
      <c r="T29" s="25"/>
      <c r="U29" s="32"/>
      <c r="V29" s="130"/>
      <c r="W29" s="63"/>
      <c r="X29" s="165"/>
      <c r="Y29" s="63"/>
      <c r="Z29" s="165"/>
      <c r="AA29" s="63"/>
      <c r="AB29" s="165"/>
      <c r="AC29" s="63"/>
      <c r="AD29" s="165"/>
      <c r="AE29" s="63"/>
      <c r="AF29" s="165"/>
      <c r="AG29" s="63"/>
      <c r="AH29" s="165"/>
      <c r="AI29" s="63"/>
      <c r="AJ29" s="165"/>
      <c r="AK29" s="63"/>
      <c r="AL29" s="165"/>
      <c r="AM29" s="63"/>
      <c r="AN29" s="165"/>
      <c r="AO29" s="63"/>
      <c r="AP29" s="165"/>
      <c r="AQ29" s="63"/>
      <c r="AR29" s="165"/>
      <c r="AS29" s="63"/>
      <c r="AT29" s="165"/>
      <c r="AU29" s="63"/>
      <c r="AV29" s="165"/>
    </row>
    <row r="30" spans="1:48" ht="25.5" x14ac:dyDescent="0.25">
      <c r="A30" s="197" t="str">
        <f>tblSeverityReference[[#This Row],[Admin 2 P-Code]]</f>
        <v>SD03144</v>
      </c>
      <c r="B30" s="127" t="s">
        <v>185</v>
      </c>
      <c r="C30" s="60" t="s">
        <v>120</v>
      </c>
      <c r="D30" s="146" t="s">
        <v>237</v>
      </c>
      <c r="E30" s="60" t="s">
        <v>236</v>
      </c>
      <c r="F30" s="131"/>
      <c r="G30" s="131"/>
      <c r="H30" s="131"/>
      <c r="I30" s="132"/>
      <c r="J30" s="31"/>
      <c r="K30" s="25"/>
      <c r="L30" s="129"/>
      <c r="M30" s="133"/>
      <c r="N30" s="25"/>
      <c r="O30" s="132"/>
      <c r="P30" s="132"/>
      <c r="Q30" s="25"/>
      <c r="R30" s="25"/>
      <c r="S30" s="25"/>
      <c r="T30" s="25"/>
      <c r="U30" s="32"/>
      <c r="V30" s="130"/>
      <c r="W30" s="63"/>
      <c r="X30" s="165"/>
      <c r="Y30" s="63"/>
      <c r="Z30" s="165"/>
      <c r="AA30" s="63"/>
      <c r="AB30" s="165"/>
      <c r="AC30" s="63"/>
      <c r="AD30" s="165"/>
      <c r="AE30" s="63"/>
      <c r="AF30" s="165"/>
      <c r="AG30" s="63"/>
      <c r="AH30" s="165"/>
      <c r="AI30" s="63"/>
      <c r="AJ30" s="165"/>
      <c r="AK30" s="63"/>
      <c r="AL30" s="165"/>
      <c r="AM30" s="63"/>
      <c r="AN30" s="165"/>
      <c r="AO30" s="63"/>
      <c r="AP30" s="165"/>
      <c r="AQ30" s="63"/>
      <c r="AR30" s="165"/>
      <c r="AS30" s="63"/>
      <c r="AT30" s="165"/>
      <c r="AU30" s="63"/>
      <c r="AV30" s="165"/>
    </row>
    <row r="31" spans="1:48" ht="25.5" x14ac:dyDescent="0.25">
      <c r="A31" s="197" t="str">
        <f>tblSeverityReference[[#This Row],[Admin 2 P-Code]]</f>
        <v>SD03145</v>
      </c>
      <c r="B31" s="127" t="s">
        <v>185</v>
      </c>
      <c r="C31" s="60" t="s">
        <v>120</v>
      </c>
      <c r="D31" s="146" t="s">
        <v>239</v>
      </c>
      <c r="E31" s="60" t="s">
        <v>238</v>
      </c>
      <c r="F31" s="131"/>
      <c r="G31" s="131"/>
      <c r="H31" s="131"/>
      <c r="I31" s="132"/>
      <c r="J31" s="31"/>
      <c r="K31" s="25"/>
      <c r="L31" s="129"/>
      <c r="M31" s="133"/>
      <c r="N31" s="25"/>
      <c r="O31" s="132"/>
      <c r="P31" s="132"/>
      <c r="Q31" s="25"/>
      <c r="R31" s="25"/>
      <c r="S31" s="25"/>
      <c r="T31" s="25"/>
      <c r="U31" s="32"/>
      <c r="V31" s="130"/>
      <c r="W31" s="32"/>
      <c r="X31" s="166"/>
      <c r="Y31" s="32"/>
      <c r="Z31" s="166"/>
      <c r="AA31" s="32"/>
      <c r="AB31" s="166"/>
      <c r="AC31" s="32"/>
      <c r="AD31" s="166"/>
      <c r="AE31" s="32"/>
      <c r="AF31" s="166"/>
      <c r="AG31" s="32"/>
      <c r="AH31" s="166"/>
      <c r="AI31" s="32"/>
      <c r="AJ31" s="166"/>
      <c r="AK31" s="32"/>
      <c r="AL31" s="166"/>
      <c r="AM31" s="32"/>
      <c r="AN31" s="166"/>
      <c r="AO31" s="32"/>
      <c r="AP31" s="166"/>
      <c r="AQ31" s="32"/>
      <c r="AR31" s="166"/>
      <c r="AS31" s="32"/>
      <c r="AT31" s="166"/>
      <c r="AU31" s="32"/>
      <c r="AV31" s="166"/>
    </row>
    <row r="32" spans="1:48" ht="25.5" x14ac:dyDescent="0.25">
      <c r="A32" s="197" t="str">
        <f>tblSeverityReference[[#This Row],[Admin 2 P-Code]]</f>
        <v>SD03146</v>
      </c>
      <c r="B32" s="127" t="s">
        <v>185</v>
      </c>
      <c r="C32" s="60" t="s">
        <v>120</v>
      </c>
      <c r="D32" s="146" t="s">
        <v>241</v>
      </c>
      <c r="E32" s="60" t="s">
        <v>240</v>
      </c>
      <c r="F32" s="131"/>
      <c r="G32" s="131"/>
      <c r="H32" s="131"/>
      <c r="I32" s="132"/>
      <c r="J32" s="31"/>
      <c r="K32" s="25"/>
      <c r="L32" s="129"/>
      <c r="M32" s="133"/>
      <c r="N32" s="25"/>
      <c r="O32" s="132"/>
      <c r="P32" s="132"/>
      <c r="Q32" s="25"/>
      <c r="R32" s="25"/>
      <c r="S32" s="25"/>
      <c r="T32" s="25"/>
      <c r="U32" s="32"/>
      <c r="V32" s="130"/>
      <c r="W32" s="63"/>
      <c r="X32" s="165"/>
      <c r="Y32" s="63"/>
      <c r="Z32" s="165"/>
      <c r="AA32" s="63"/>
      <c r="AB32" s="165"/>
      <c r="AC32" s="63"/>
      <c r="AD32" s="165"/>
      <c r="AE32" s="63"/>
      <c r="AF32" s="165"/>
      <c r="AG32" s="63"/>
      <c r="AH32" s="165"/>
      <c r="AI32" s="63"/>
      <c r="AJ32" s="165"/>
      <c r="AK32" s="63"/>
      <c r="AL32" s="165"/>
      <c r="AM32" s="63"/>
      <c r="AN32" s="165"/>
      <c r="AO32" s="63"/>
      <c r="AP32" s="165"/>
      <c r="AQ32" s="63"/>
      <c r="AR32" s="165"/>
      <c r="AS32" s="63"/>
      <c r="AT32" s="165"/>
      <c r="AU32" s="63"/>
      <c r="AV32" s="165"/>
    </row>
    <row r="33" spans="1:48" ht="25.5" x14ac:dyDescent="0.25">
      <c r="A33" s="197" t="str">
        <f>tblSeverityReference[[#This Row],[Admin 2 P-Code]]</f>
        <v>SD03147</v>
      </c>
      <c r="B33" s="127" t="s">
        <v>185</v>
      </c>
      <c r="C33" s="60" t="s">
        <v>120</v>
      </c>
      <c r="D33" s="146" t="s">
        <v>243</v>
      </c>
      <c r="E33" s="60" t="s">
        <v>242</v>
      </c>
      <c r="F33" s="131"/>
      <c r="G33" s="131"/>
      <c r="H33" s="131"/>
      <c r="I33" s="132"/>
      <c r="J33" s="31"/>
      <c r="K33" s="25"/>
      <c r="L33" s="129"/>
      <c r="M33" s="133"/>
      <c r="N33" s="25"/>
      <c r="O33" s="132"/>
      <c r="P33" s="132"/>
      <c r="Q33" s="25"/>
      <c r="R33" s="25"/>
      <c r="S33" s="25"/>
      <c r="T33" s="25"/>
      <c r="U33" s="32"/>
      <c r="V33" s="130"/>
      <c r="W33" s="63"/>
      <c r="X33" s="165"/>
      <c r="Y33" s="63"/>
      <c r="Z33" s="165"/>
      <c r="AA33" s="63"/>
      <c r="AB33" s="165"/>
      <c r="AC33" s="63"/>
      <c r="AD33" s="165"/>
      <c r="AE33" s="63"/>
      <c r="AF33" s="165"/>
      <c r="AG33" s="63"/>
      <c r="AH33" s="165"/>
      <c r="AI33" s="63"/>
      <c r="AJ33" s="165"/>
      <c r="AK33" s="63"/>
      <c r="AL33" s="165"/>
      <c r="AM33" s="63"/>
      <c r="AN33" s="165"/>
      <c r="AO33" s="63"/>
      <c r="AP33" s="165"/>
      <c r="AQ33" s="63"/>
      <c r="AR33" s="165"/>
      <c r="AS33" s="63"/>
      <c r="AT33" s="165"/>
      <c r="AU33" s="63"/>
      <c r="AV33" s="165"/>
    </row>
    <row r="34" spans="1:48" ht="25.5" x14ac:dyDescent="0.25">
      <c r="A34" s="197" t="str">
        <f>tblSeverityReference[[#This Row],[Admin 2 P-Code]]</f>
        <v>SD03149</v>
      </c>
      <c r="B34" s="127" t="s">
        <v>185</v>
      </c>
      <c r="C34" s="60" t="s">
        <v>120</v>
      </c>
      <c r="D34" s="146" t="s">
        <v>245</v>
      </c>
      <c r="E34" s="60" t="s">
        <v>244</v>
      </c>
      <c r="F34" s="131"/>
      <c r="G34" s="131"/>
      <c r="H34" s="131"/>
      <c r="I34" s="132"/>
      <c r="J34" s="31"/>
      <c r="K34" s="25"/>
      <c r="L34" s="129"/>
      <c r="M34" s="133"/>
      <c r="N34" s="25"/>
      <c r="O34" s="132"/>
      <c r="P34" s="132"/>
      <c r="Q34" s="25"/>
      <c r="R34" s="25"/>
      <c r="S34" s="25"/>
      <c r="T34" s="25"/>
      <c r="U34" s="32"/>
      <c r="V34" s="130"/>
      <c r="W34" s="63"/>
      <c r="X34" s="165"/>
      <c r="Y34" s="63"/>
      <c r="Z34" s="165"/>
      <c r="AA34" s="63"/>
      <c r="AB34" s="165"/>
      <c r="AC34" s="63"/>
      <c r="AD34" s="165"/>
      <c r="AE34" s="63"/>
      <c r="AF34" s="165"/>
      <c r="AG34" s="63"/>
      <c r="AH34" s="165"/>
      <c r="AI34" s="63"/>
      <c r="AJ34" s="165"/>
      <c r="AK34" s="63"/>
      <c r="AL34" s="165"/>
      <c r="AM34" s="63"/>
      <c r="AN34" s="165"/>
      <c r="AO34" s="63"/>
      <c r="AP34" s="165"/>
      <c r="AQ34" s="63"/>
      <c r="AR34" s="165"/>
      <c r="AS34" s="63"/>
      <c r="AT34" s="165"/>
      <c r="AU34" s="63"/>
      <c r="AV34" s="165"/>
    </row>
    <row r="35" spans="1:48" ht="25.5" x14ac:dyDescent="0.25">
      <c r="A35" s="197" t="str">
        <f>tblSeverityReference[[#This Row],[Admin 2 P-Code]]</f>
        <v>SD03150</v>
      </c>
      <c r="B35" s="127" t="s">
        <v>185</v>
      </c>
      <c r="C35" s="60" t="s">
        <v>120</v>
      </c>
      <c r="D35" s="146" t="s">
        <v>247</v>
      </c>
      <c r="E35" s="60" t="s">
        <v>246</v>
      </c>
      <c r="F35" s="131"/>
      <c r="G35" s="131"/>
      <c r="H35" s="131"/>
      <c r="I35" s="132"/>
      <c r="J35" s="31"/>
      <c r="K35" s="25"/>
      <c r="L35" s="129"/>
      <c r="M35" s="133"/>
      <c r="N35" s="25"/>
      <c r="O35" s="132"/>
      <c r="P35" s="132"/>
      <c r="Q35" s="25"/>
      <c r="R35" s="25"/>
      <c r="S35" s="25"/>
      <c r="T35" s="25"/>
      <c r="U35" s="32"/>
      <c r="V35" s="130"/>
      <c r="W35" s="63"/>
      <c r="X35" s="165"/>
      <c r="Y35" s="63"/>
      <c r="Z35" s="165"/>
      <c r="AA35" s="63"/>
      <c r="AB35" s="165"/>
      <c r="AC35" s="63"/>
      <c r="AD35" s="165"/>
      <c r="AE35" s="63"/>
      <c r="AF35" s="165"/>
      <c r="AG35" s="63"/>
      <c r="AH35" s="165"/>
      <c r="AI35" s="63"/>
      <c r="AJ35" s="165"/>
      <c r="AK35" s="63"/>
      <c r="AL35" s="165"/>
      <c r="AM35" s="63"/>
      <c r="AN35" s="165"/>
      <c r="AO35" s="63"/>
      <c r="AP35" s="165"/>
      <c r="AQ35" s="63"/>
      <c r="AR35" s="165"/>
      <c r="AS35" s="63"/>
      <c r="AT35" s="165"/>
      <c r="AU35" s="63"/>
      <c r="AV35" s="165"/>
    </row>
    <row r="36" spans="1:48" ht="25.5" x14ac:dyDescent="0.25">
      <c r="A36" s="197" t="str">
        <f>tblSeverityReference[[#This Row],[Admin 2 P-Code]]</f>
        <v>SD03151</v>
      </c>
      <c r="B36" s="127" t="s">
        <v>185</v>
      </c>
      <c r="C36" s="60" t="s">
        <v>120</v>
      </c>
      <c r="D36" s="146" t="s">
        <v>249</v>
      </c>
      <c r="E36" s="60" t="s">
        <v>248</v>
      </c>
      <c r="F36" s="131"/>
      <c r="G36" s="131"/>
      <c r="H36" s="131"/>
      <c r="I36" s="132"/>
      <c r="J36" s="31"/>
      <c r="K36" s="25"/>
      <c r="L36" s="129"/>
      <c r="M36" s="133"/>
      <c r="N36" s="25"/>
      <c r="O36" s="132"/>
      <c r="P36" s="132"/>
      <c r="Q36" s="25"/>
      <c r="R36" s="25"/>
      <c r="S36" s="25"/>
      <c r="T36" s="25"/>
      <c r="U36" s="32"/>
      <c r="V36" s="130"/>
      <c r="W36" s="63"/>
      <c r="X36" s="165"/>
      <c r="Y36" s="63"/>
      <c r="Z36" s="165"/>
      <c r="AA36" s="63"/>
      <c r="AB36" s="165"/>
      <c r="AC36" s="63"/>
      <c r="AD36" s="165"/>
      <c r="AE36" s="63"/>
      <c r="AF36" s="165"/>
      <c r="AG36" s="63"/>
      <c r="AH36" s="165"/>
      <c r="AI36" s="63"/>
      <c r="AJ36" s="165"/>
      <c r="AK36" s="63"/>
      <c r="AL36" s="165"/>
      <c r="AM36" s="63"/>
      <c r="AN36" s="165"/>
      <c r="AO36" s="63"/>
      <c r="AP36" s="165"/>
      <c r="AQ36" s="63"/>
      <c r="AR36" s="165"/>
      <c r="AS36" s="63"/>
      <c r="AT36" s="165"/>
      <c r="AU36" s="63"/>
      <c r="AV36" s="165"/>
    </row>
    <row r="37" spans="1:48" ht="25.5" x14ac:dyDescent="0.25">
      <c r="A37" s="197" t="str">
        <f>tblSeverityReference[[#This Row],[Admin 2 P-Code]]</f>
        <v>SD03153</v>
      </c>
      <c r="B37" s="127" t="s">
        <v>185</v>
      </c>
      <c r="C37" s="60" t="s">
        <v>120</v>
      </c>
      <c r="D37" s="146" t="s">
        <v>251</v>
      </c>
      <c r="E37" s="60" t="s">
        <v>250</v>
      </c>
      <c r="F37" s="131"/>
      <c r="G37" s="131"/>
      <c r="H37" s="131"/>
      <c r="I37" s="132"/>
      <c r="J37" s="31"/>
      <c r="K37" s="25"/>
      <c r="L37" s="129"/>
      <c r="M37" s="133"/>
      <c r="N37" s="25"/>
      <c r="O37" s="132"/>
      <c r="P37" s="132"/>
      <c r="Q37" s="25"/>
      <c r="R37" s="25"/>
      <c r="S37" s="25"/>
      <c r="T37" s="25"/>
      <c r="U37" s="32"/>
      <c r="V37" s="130"/>
      <c r="W37" s="63"/>
      <c r="X37" s="165"/>
      <c r="Y37" s="63"/>
      <c r="Z37" s="165"/>
      <c r="AA37" s="63"/>
      <c r="AB37" s="165"/>
      <c r="AC37" s="63"/>
      <c r="AD37" s="165"/>
      <c r="AE37" s="63"/>
      <c r="AF37" s="165"/>
      <c r="AG37" s="63"/>
      <c r="AH37" s="165"/>
      <c r="AI37" s="63"/>
      <c r="AJ37" s="165"/>
      <c r="AK37" s="63"/>
      <c r="AL37" s="165"/>
      <c r="AM37" s="63"/>
      <c r="AN37" s="165"/>
      <c r="AO37" s="63"/>
      <c r="AP37" s="165"/>
      <c r="AQ37" s="63"/>
      <c r="AR37" s="165"/>
      <c r="AS37" s="63"/>
      <c r="AT37" s="165"/>
      <c r="AU37" s="63"/>
      <c r="AV37" s="165"/>
    </row>
    <row r="38" spans="1:48" ht="25.5" x14ac:dyDescent="0.25">
      <c r="A38" s="197" t="str">
        <f>tblSeverityReference[[#This Row],[Admin 2 P-Code]]</f>
        <v>SD03154</v>
      </c>
      <c r="B38" s="127" t="s">
        <v>185</v>
      </c>
      <c r="C38" s="60" t="s">
        <v>120</v>
      </c>
      <c r="D38" s="146" t="s">
        <v>253</v>
      </c>
      <c r="E38" s="60" t="s">
        <v>252</v>
      </c>
      <c r="F38" s="131"/>
      <c r="G38" s="131"/>
      <c r="H38" s="131"/>
      <c r="I38" s="132"/>
      <c r="J38" s="31"/>
      <c r="K38" s="25"/>
      <c r="L38" s="129"/>
      <c r="M38" s="133"/>
      <c r="N38" s="25"/>
      <c r="O38" s="132"/>
      <c r="P38" s="132"/>
      <c r="Q38" s="25"/>
      <c r="R38" s="25"/>
      <c r="S38" s="25"/>
      <c r="T38" s="25"/>
      <c r="U38" s="32"/>
      <c r="V38" s="130"/>
      <c r="W38" s="32"/>
      <c r="X38" s="166"/>
      <c r="Y38" s="32"/>
      <c r="Z38" s="166"/>
      <c r="AA38" s="32"/>
      <c r="AB38" s="166"/>
      <c r="AC38" s="32"/>
      <c r="AD38" s="166"/>
      <c r="AE38" s="32"/>
      <c r="AF38" s="166"/>
      <c r="AG38" s="32"/>
      <c r="AH38" s="166"/>
      <c r="AI38" s="32"/>
      <c r="AJ38" s="166"/>
      <c r="AK38" s="32"/>
      <c r="AL38" s="166"/>
      <c r="AM38" s="32"/>
      <c r="AN38" s="166"/>
      <c r="AO38" s="32"/>
      <c r="AP38" s="166"/>
      <c r="AQ38" s="32"/>
      <c r="AR38" s="166"/>
      <c r="AS38" s="32"/>
      <c r="AT38" s="166"/>
      <c r="AU38" s="32"/>
      <c r="AV38" s="166"/>
    </row>
    <row r="39" spans="1:48" ht="25.5" x14ac:dyDescent="0.25">
      <c r="A39" s="197" t="str">
        <f>tblSeverityReference[[#This Row],[Admin 2 P-Code]]</f>
        <v>SD03156</v>
      </c>
      <c r="B39" s="127" t="s">
        <v>185</v>
      </c>
      <c r="C39" s="60" t="s">
        <v>120</v>
      </c>
      <c r="D39" s="146" t="s">
        <v>255</v>
      </c>
      <c r="E39" s="60" t="s">
        <v>254</v>
      </c>
      <c r="F39" s="131"/>
      <c r="G39" s="131"/>
      <c r="H39" s="131"/>
      <c r="I39" s="132"/>
      <c r="J39" s="31"/>
      <c r="K39" s="25"/>
      <c r="L39" s="129"/>
      <c r="M39" s="133"/>
      <c r="N39" s="25"/>
      <c r="O39" s="132"/>
      <c r="P39" s="132"/>
      <c r="Q39" s="25"/>
      <c r="R39" s="25"/>
      <c r="S39" s="25"/>
      <c r="T39" s="25"/>
      <c r="U39" s="32"/>
      <c r="V39" s="130"/>
      <c r="W39" s="63"/>
      <c r="X39" s="165"/>
      <c r="Y39" s="63"/>
      <c r="Z39" s="165"/>
      <c r="AA39" s="63"/>
      <c r="AB39" s="165"/>
      <c r="AC39" s="63"/>
      <c r="AD39" s="165"/>
      <c r="AE39" s="63"/>
      <c r="AF39" s="165"/>
      <c r="AG39" s="63"/>
      <c r="AH39" s="165"/>
      <c r="AI39" s="63"/>
      <c r="AJ39" s="165"/>
      <c r="AK39" s="63"/>
      <c r="AL39" s="165"/>
      <c r="AM39" s="63"/>
      <c r="AN39" s="165"/>
      <c r="AO39" s="63"/>
      <c r="AP39" s="165"/>
      <c r="AQ39" s="63"/>
      <c r="AR39" s="165"/>
      <c r="AS39" s="63"/>
      <c r="AT39" s="165"/>
      <c r="AU39" s="63"/>
      <c r="AV39" s="165"/>
    </row>
    <row r="40" spans="1:48" ht="25.5" x14ac:dyDescent="0.25">
      <c r="A40" s="197" t="str">
        <f>tblSeverityReference[[#This Row],[Admin 2 P-Code]]</f>
        <v>SD03157</v>
      </c>
      <c r="B40" s="127" t="s">
        <v>185</v>
      </c>
      <c r="C40" s="60" t="s">
        <v>120</v>
      </c>
      <c r="D40" s="146" t="s">
        <v>257</v>
      </c>
      <c r="E40" s="60" t="s">
        <v>256</v>
      </c>
      <c r="F40" s="131"/>
      <c r="G40" s="131"/>
      <c r="H40" s="131"/>
      <c r="I40" s="132"/>
      <c r="J40" s="31"/>
      <c r="K40" s="25"/>
      <c r="L40" s="129"/>
      <c r="M40" s="133"/>
      <c r="N40" s="25"/>
      <c r="O40" s="132"/>
      <c r="P40" s="132"/>
      <c r="Q40" s="25"/>
      <c r="R40" s="25"/>
      <c r="S40" s="25"/>
      <c r="T40" s="25"/>
      <c r="U40" s="32"/>
      <c r="V40" s="130"/>
      <c r="W40" s="63"/>
      <c r="X40" s="165"/>
      <c r="Y40" s="63"/>
      <c r="Z40" s="165"/>
      <c r="AA40" s="63"/>
      <c r="AB40" s="165"/>
      <c r="AC40" s="63"/>
      <c r="AD40" s="165"/>
      <c r="AE40" s="63"/>
      <c r="AF40" s="165"/>
      <c r="AG40" s="63"/>
      <c r="AH40" s="165"/>
      <c r="AI40" s="63"/>
      <c r="AJ40" s="165"/>
      <c r="AK40" s="63"/>
      <c r="AL40" s="165"/>
      <c r="AM40" s="63"/>
      <c r="AN40" s="165"/>
      <c r="AO40" s="63"/>
      <c r="AP40" s="165"/>
      <c r="AQ40" s="63"/>
      <c r="AR40" s="165"/>
      <c r="AS40" s="63"/>
      <c r="AT40" s="165"/>
      <c r="AU40" s="63"/>
      <c r="AV40" s="165"/>
    </row>
    <row r="41" spans="1:48" ht="25.5" x14ac:dyDescent="0.25">
      <c r="A41" s="197" t="str">
        <f>tblSeverityReference[[#This Row],[Admin 2 P-Code]]</f>
        <v>SD03158</v>
      </c>
      <c r="B41" s="127" t="s">
        <v>185</v>
      </c>
      <c r="C41" s="60" t="s">
        <v>120</v>
      </c>
      <c r="D41" s="146" t="s">
        <v>259</v>
      </c>
      <c r="E41" s="60" t="s">
        <v>258</v>
      </c>
      <c r="F41" s="131"/>
      <c r="G41" s="131"/>
      <c r="H41" s="131"/>
      <c r="I41" s="132"/>
      <c r="J41" s="31"/>
      <c r="K41" s="25"/>
      <c r="L41" s="129"/>
      <c r="M41" s="133"/>
      <c r="N41" s="25"/>
      <c r="O41" s="132"/>
      <c r="P41" s="132"/>
      <c r="Q41" s="25"/>
      <c r="R41" s="25"/>
      <c r="S41" s="25"/>
      <c r="T41" s="25"/>
      <c r="U41" s="32"/>
      <c r="V41" s="130"/>
      <c r="W41" s="63"/>
      <c r="X41" s="165"/>
      <c r="Y41" s="63"/>
      <c r="Z41" s="165"/>
      <c r="AA41" s="63"/>
      <c r="AB41" s="165"/>
      <c r="AC41" s="63"/>
      <c r="AD41" s="165"/>
      <c r="AE41" s="63"/>
      <c r="AF41" s="165"/>
      <c r="AG41" s="63"/>
      <c r="AH41" s="165"/>
      <c r="AI41" s="63"/>
      <c r="AJ41" s="165"/>
      <c r="AK41" s="63"/>
      <c r="AL41" s="165"/>
      <c r="AM41" s="63"/>
      <c r="AN41" s="165"/>
      <c r="AO41" s="63"/>
      <c r="AP41" s="165"/>
      <c r="AQ41" s="63"/>
      <c r="AR41" s="165"/>
      <c r="AS41" s="63"/>
      <c r="AT41" s="165"/>
      <c r="AU41" s="63"/>
      <c r="AV41" s="165"/>
    </row>
    <row r="42" spans="1:48" ht="25.5" x14ac:dyDescent="0.25">
      <c r="A42" s="197" t="str">
        <f>tblSeverityReference[[#This Row],[Admin 2 P-Code]]</f>
        <v>SD03159</v>
      </c>
      <c r="B42" s="127" t="s">
        <v>185</v>
      </c>
      <c r="C42" s="60" t="s">
        <v>120</v>
      </c>
      <c r="D42" s="146" t="s">
        <v>261</v>
      </c>
      <c r="E42" s="60" t="s">
        <v>260</v>
      </c>
      <c r="F42" s="131"/>
      <c r="G42" s="131"/>
      <c r="H42" s="131"/>
      <c r="I42" s="132"/>
      <c r="J42" s="31"/>
      <c r="K42" s="25"/>
      <c r="L42" s="129"/>
      <c r="M42" s="133"/>
      <c r="N42" s="25"/>
      <c r="O42" s="132"/>
      <c r="P42" s="132"/>
      <c r="Q42" s="25"/>
      <c r="R42" s="25"/>
      <c r="S42" s="25"/>
      <c r="T42" s="25"/>
      <c r="U42" s="32"/>
      <c r="V42" s="130"/>
      <c r="W42" s="63"/>
      <c r="X42" s="165"/>
      <c r="Y42" s="63"/>
      <c r="Z42" s="165"/>
      <c r="AA42" s="63"/>
      <c r="AB42" s="165"/>
      <c r="AC42" s="63"/>
      <c r="AD42" s="165"/>
      <c r="AE42" s="63"/>
      <c r="AF42" s="165"/>
      <c r="AG42" s="63"/>
      <c r="AH42" s="165"/>
      <c r="AI42" s="63"/>
      <c r="AJ42" s="165"/>
      <c r="AK42" s="63"/>
      <c r="AL42" s="165"/>
      <c r="AM42" s="63"/>
      <c r="AN42" s="165"/>
      <c r="AO42" s="63"/>
      <c r="AP42" s="165"/>
      <c r="AQ42" s="63"/>
      <c r="AR42" s="165"/>
      <c r="AS42" s="63"/>
      <c r="AT42" s="165"/>
      <c r="AU42" s="63"/>
      <c r="AV42" s="165"/>
    </row>
    <row r="43" spans="1:48" ht="25.5" x14ac:dyDescent="0.25">
      <c r="A43" s="197" t="str">
        <f>tblSeverityReference[[#This Row],[Admin 2 P-Code]]</f>
        <v>SD03161</v>
      </c>
      <c r="B43" s="127" t="s">
        <v>185</v>
      </c>
      <c r="C43" s="60" t="s">
        <v>120</v>
      </c>
      <c r="D43" s="146" t="s">
        <v>263</v>
      </c>
      <c r="E43" s="60" t="s">
        <v>262</v>
      </c>
      <c r="F43" s="131"/>
      <c r="G43" s="131"/>
      <c r="H43" s="131"/>
      <c r="I43" s="132"/>
      <c r="J43" s="31"/>
      <c r="K43" s="25"/>
      <c r="L43" s="129"/>
      <c r="M43" s="133"/>
      <c r="N43" s="25"/>
      <c r="O43" s="132"/>
      <c r="P43" s="132"/>
      <c r="Q43" s="25"/>
      <c r="R43" s="25"/>
      <c r="S43" s="25"/>
      <c r="T43" s="25"/>
      <c r="U43" s="32"/>
      <c r="V43" s="130"/>
      <c r="W43" s="63"/>
      <c r="X43" s="165"/>
      <c r="Y43" s="63"/>
      <c r="Z43" s="165"/>
      <c r="AA43" s="63"/>
      <c r="AB43" s="165"/>
      <c r="AC43" s="63"/>
      <c r="AD43" s="165"/>
      <c r="AE43" s="63"/>
      <c r="AF43" s="165"/>
      <c r="AG43" s="63"/>
      <c r="AH43" s="165"/>
      <c r="AI43" s="63"/>
      <c r="AJ43" s="165"/>
      <c r="AK43" s="63"/>
      <c r="AL43" s="165"/>
      <c r="AM43" s="63"/>
      <c r="AN43" s="165"/>
      <c r="AO43" s="63"/>
      <c r="AP43" s="165"/>
      <c r="AQ43" s="63"/>
      <c r="AR43" s="165"/>
      <c r="AS43" s="63"/>
      <c r="AT43" s="165"/>
      <c r="AU43" s="63"/>
      <c r="AV43" s="165"/>
    </row>
    <row r="44" spans="1:48" ht="25.5" x14ac:dyDescent="0.25">
      <c r="A44" s="197" t="str">
        <f>tblSeverityReference[[#This Row],[Admin 2 P-Code]]</f>
        <v>SD03162</v>
      </c>
      <c r="B44" s="127" t="s">
        <v>185</v>
      </c>
      <c r="C44" s="60" t="s">
        <v>120</v>
      </c>
      <c r="D44" s="146" t="s">
        <v>265</v>
      </c>
      <c r="E44" s="60" t="s">
        <v>264</v>
      </c>
      <c r="F44" s="131"/>
      <c r="G44" s="131"/>
      <c r="H44" s="131"/>
      <c r="I44" s="132"/>
      <c r="J44" s="31"/>
      <c r="K44" s="25"/>
      <c r="L44" s="129"/>
      <c r="M44" s="133"/>
      <c r="N44" s="25"/>
      <c r="O44" s="132"/>
      <c r="P44" s="132"/>
      <c r="Q44" s="25"/>
      <c r="R44" s="25"/>
      <c r="S44" s="25"/>
      <c r="T44" s="25"/>
      <c r="U44" s="32"/>
      <c r="V44" s="130"/>
      <c r="W44" s="63"/>
      <c r="X44" s="165"/>
      <c r="Y44" s="63"/>
      <c r="Z44" s="165"/>
      <c r="AA44" s="63"/>
      <c r="AB44" s="165"/>
      <c r="AC44" s="63"/>
      <c r="AD44" s="165"/>
      <c r="AE44" s="63"/>
      <c r="AF44" s="165"/>
      <c r="AG44" s="63"/>
      <c r="AH44" s="165"/>
      <c r="AI44" s="63"/>
      <c r="AJ44" s="165"/>
      <c r="AK44" s="63"/>
      <c r="AL44" s="165"/>
      <c r="AM44" s="63"/>
      <c r="AN44" s="165"/>
      <c r="AO44" s="63"/>
      <c r="AP44" s="165"/>
      <c r="AQ44" s="63"/>
      <c r="AR44" s="165"/>
      <c r="AS44" s="63"/>
      <c r="AT44" s="165"/>
      <c r="AU44" s="63"/>
      <c r="AV44" s="165"/>
    </row>
    <row r="45" spans="1:48" ht="25.5" x14ac:dyDescent="0.25">
      <c r="A45" s="197" t="str">
        <f>tblSeverityReference[[#This Row],[Admin 2 P-Code]]</f>
        <v>SD03164</v>
      </c>
      <c r="B45" s="127" t="s">
        <v>185</v>
      </c>
      <c r="C45" s="60" t="s">
        <v>120</v>
      </c>
      <c r="D45" s="146" t="s">
        <v>267</v>
      </c>
      <c r="E45" s="60" t="s">
        <v>266</v>
      </c>
      <c r="F45" s="131"/>
      <c r="G45" s="131"/>
      <c r="H45" s="131"/>
      <c r="I45" s="132"/>
      <c r="J45" s="31"/>
      <c r="K45" s="25"/>
      <c r="L45" s="129"/>
      <c r="M45" s="133"/>
      <c r="N45" s="25"/>
      <c r="O45" s="132"/>
      <c r="P45" s="132"/>
      <c r="Q45" s="25"/>
      <c r="R45" s="25"/>
      <c r="S45" s="25"/>
      <c r="T45" s="25"/>
      <c r="U45" s="32"/>
      <c r="V45" s="130"/>
      <c r="W45" s="32"/>
      <c r="X45" s="166"/>
      <c r="Y45" s="32"/>
      <c r="Z45" s="166"/>
      <c r="AA45" s="32"/>
      <c r="AB45" s="166"/>
      <c r="AC45" s="32"/>
      <c r="AD45" s="166"/>
      <c r="AE45" s="32"/>
      <c r="AF45" s="166"/>
      <c r="AG45" s="32"/>
      <c r="AH45" s="166"/>
      <c r="AI45" s="32"/>
      <c r="AJ45" s="166"/>
      <c r="AK45" s="32"/>
      <c r="AL45" s="166"/>
      <c r="AM45" s="32"/>
      <c r="AN45" s="166"/>
      <c r="AO45" s="32"/>
      <c r="AP45" s="166"/>
      <c r="AQ45" s="32"/>
      <c r="AR45" s="166"/>
      <c r="AS45" s="32"/>
      <c r="AT45" s="166"/>
      <c r="AU45" s="32"/>
      <c r="AV45" s="166"/>
    </row>
    <row r="46" spans="1:48" ht="25.5" x14ac:dyDescent="0.25">
      <c r="A46" s="197" t="str">
        <f>tblSeverityReference[[#This Row],[Admin 2 P-Code]]</f>
        <v>SD03166</v>
      </c>
      <c r="B46" s="127" t="s">
        <v>185</v>
      </c>
      <c r="C46" s="60" t="s">
        <v>120</v>
      </c>
      <c r="D46" s="146" t="s">
        <v>269</v>
      </c>
      <c r="E46" s="60" t="s">
        <v>268</v>
      </c>
      <c r="F46" s="131"/>
      <c r="G46" s="131"/>
      <c r="H46" s="131"/>
      <c r="I46" s="132"/>
      <c r="J46" s="31"/>
      <c r="K46" s="25"/>
      <c r="L46" s="129"/>
      <c r="M46" s="133"/>
      <c r="N46" s="25"/>
      <c r="O46" s="132"/>
      <c r="P46" s="132"/>
      <c r="Q46" s="25"/>
      <c r="R46" s="25"/>
      <c r="S46" s="25"/>
      <c r="T46" s="25"/>
      <c r="U46" s="32"/>
      <c r="V46" s="130"/>
      <c r="W46" s="63"/>
      <c r="X46" s="165"/>
      <c r="Y46" s="63"/>
      <c r="Z46" s="165"/>
      <c r="AA46" s="63"/>
      <c r="AB46" s="165"/>
      <c r="AC46" s="63"/>
      <c r="AD46" s="165"/>
      <c r="AE46" s="63"/>
      <c r="AF46" s="165"/>
      <c r="AG46" s="63"/>
      <c r="AH46" s="165"/>
      <c r="AI46" s="63"/>
      <c r="AJ46" s="165"/>
      <c r="AK46" s="63"/>
      <c r="AL46" s="165"/>
      <c r="AM46" s="63"/>
      <c r="AN46" s="165"/>
      <c r="AO46" s="63"/>
      <c r="AP46" s="165"/>
      <c r="AQ46" s="63"/>
      <c r="AR46" s="165"/>
      <c r="AS46" s="63"/>
      <c r="AT46" s="165"/>
      <c r="AU46" s="63"/>
      <c r="AV46" s="165"/>
    </row>
    <row r="47" spans="1:48" ht="25.5" x14ac:dyDescent="0.25">
      <c r="A47" s="197" t="str">
        <f>tblSeverityReference[[#This Row],[Admin 2 P-Code]]</f>
        <v>SD03167</v>
      </c>
      <c r="B47" s="127" t="s">
        <v>185</v>
      </c>
      <c r="C47" s="60" t="s">
        <v>120</v>
      </c>
      <c r="D47" s="146" t="s">
        <v>271</v>
      </c>
      <c r="E47" s="60" t="s">
        <v>270</v>
      </c>
      <c r="F47" s="131"/>
      <c r="G47" s="131"/>
      <c r="H47" s="131"/>
      <c r="I47" s="132"/>
      <c r="J47" s="31"/>
      <c r="K47" s="25"/>
      <c r="L47" s="129"/>
      <c r="M47" s="133"/>
      <c r="N47" s="25"/>
      <c r="O47" s="132"/>
      <c r="P47" s="132"/>
      <c r="Q47" s="25"/>
      <c r="R47" s="25"/>
      <c r="S47" s="25"/>
      <c r="T47" s="25"/>
      <c r="U47" s="32"/>
      <c r="V47" s="130"/>
      <c r="W47" s="63"/>
      <c r="X47" s="165"/>
      <c r="Y47" s="63"/>
      <c r="Z47" s="165"/>
      <c r="AA47" s="63"/>
      <c r="AB47" s="165"/>
      <c r="AC47" s="63"/>
      <c r="AD47" s="165"/>
      <c r="AE47" s="63"/>
      <c r="AF47" s="165"/>
      <c r="AG47" s="63"/>
      <c r="AH47" s="165"/>
      <c r="AI47" s="63"/>
      <c r="AJ47" s="165"/>
      <c r="AK47" s="63"/>
      <c r="AL47" s="165"/>
      <c r="AM47" s="63"/>
      <c r="AN47" s="165"/>
      <c r="AO47" s="63"/>
      <c r="AP47" s="165"/>
      <c r="AQ47" s="63"/>
      <c r="AR47" s="165"/>
      <c r="AS47" s="63"/>
      <c r="AT47" s="165"/>
      <c r="AU47" s="63"/>
      <c r="AV47" s="165"/>
    </row>
    <row r="48" spans="1:48" ht="25.5" x14ac:dyDescent="0.25">
      <c r="A48" s="197" t="str">
        <f>tblSeverityReference[[#This Row],[Admin 2 P-Code]]</f>
        <v>SD03172</v>
      </c>
      <c r="B48" s="127" t="s">
        <v>185</v>
      </c>
      <c r="C48" s="60" t="s">
        <v>120</v>
      </c>
      <c r="D48" s="146" t="s">
        <v>273</v>
      </c>
      <c r="E48" s="60" t="s">
        <v>272</v>
      </c>
      <c r="F48" s="131"/>
      <c r="G48" s="131"/>
      <c r="H48" s="131"/>
      <c r="I48" s="132"/>
      <c r="J48" s="31"/>
      <c r="K48" s="25"/>
      <c r="L48" s="129"/>
      <c r="M48" s="133"/>
      <c r="N48" s="25"/>
      <c r="O48" s="132"/>
      <c r="P48" s="132"/>
      <c r="Q48" s="25"/>
      <c r="R48" s="25"/>
      <c r="S48" s="25"/>
      <c r="T48" s="25"/>
      <c r="U48" s="32"/>
      <c r="V48" s="130"/>
      <c r="W48" s="63"/>
      <c r="X48" s="165"/>
      <c r="Y48" s="63"/>
      <c r="Z48" s="165"/>
      <c r="AA48" s="63"/>
      <c r="AB48" s="165"/>
      <c r="AC48" s="63"/>
      <c r="AD48" s="165"/>
      <c r="AE48" s="63"/>
      <c r="AF48" s="165"/>
      <c r="AG48" s="63"/>
      <c r="AH48" s="165"/>
      <c r="AI48" s="63"/>
      <c r="AJ48" s="165"/>
      <c r="AK48" s="63"/>
      <c r="AL48" s="165"/>
      <c r="AM48" s="63"/>
      <c r="AN48" s="165"/>
      <c r="AO48" s="63"/>
      <c r="AP48" s="165"/>
      <c r="AQ48" s="63"/>
      <c r="AR48" s="165"/>
      <c r="AS48" s="63"/>
      <c r="AT48" s="165"/>
      <c r="AU48" s="63"/>
      <c r="AV48" s="165"/>
    </row>
    <row r="49" spans="1:48" ht="25.5" x14ac:dyDescent="0.25">
      <c r="A49" s="197" t="str">
        <f>tblSeverityReference[[#This Row],[Admin 2 P-Code]]</f>
        <v>SD04111</v>
      </c>
      <c r="B49" s="127" t="s">
        <v>191</v>
      </c>
      <c r="C49" s="60" t="s">
        <v>121</v>
      </c>
      <c r="D49" s="146" t="s">
        <v>275</v>
      </c>
      <c r="E49" s="60" t="s">
        <v>274</v>
      </c>
      <c r="F49" s="131"/>
      <c r="G49" s="131"/>
      <c r="H49" s="131"/>
      <c r="I49" s="132"/>
      <c r="J49" s="31"/>
      <c r="K49" s="25"/>
      <c r="L49" s="129"/>
      <c r="M49" s="133"/>
      <c r="N49" s="25"/>
      <c r="O49" s="132"/>
      <c r="P49" s="132"/>
      <c r="Q49" s="25"/>
      <c r="R49" s="25"/>
      <c r="S49" s="25"/>
      <c r="T49" s="25"/>
      <c r="U49" s="32"/>
      <c r="V49" s="130"/>
      <c r="W49" s="63"/>
      <c r="X49" s="165"/>
      <c r="Y49" s="63"/>
      <c r="Z49" s="165"/>
      <c r="AA49" s="63"/>
      <c r="AB49" s="165"/>
      <c r="AC49" s="63"/>
      <c r="AD49" s="165"/>
      <c r="AE49" s="63"/>
      <c r="AF49" s="165"/>
      <c r="AG49" s="63"/>
      <c r="AH49" s="165"/>
      <c r="AI49" s="63"/>
      <c r="AJ49" s="165"/>
      <c r="AK49" s="63"/>
      <c r="AL49" s="165"/>
      <c r="AM49" s="63"/>
      <c r="AN49" s="165"/>
      <c r="AO49" s="63"/>
      <c r="AP49" s="165"/>
      <c r="AQ49" s="63"/>
      <c r="AR49" s="165"/>
      <c r="AS49" s="63"/>
      <c r="AT49" s="165"/>
      <c r="AU49" s="63"/>
      <c r="AV49" s="165"/>
    </row>
    <row r="50" spans="1:48" ht="25.5" x14ac:dyDescent="0.25">
      <c r="A50" s="197" t="str">
        <f>tblSeverityReference[[#This Row],[Admin 2 P-Code]]</f>
        <v>SD04115</v>
      </c>
      <c r="B50" s="127" t="s">
        <v>191</v>
      </c>
      <c r="C50" s="60" t="s">
        <v>121</v>
      </c>
      <c r="D50" s="146" t="s">
        <v>277</v>
      </c>
      <c r="E50" s="60" t="s">
        <v>276</v>
      </c>
      <c r="F50" s="131"/>
      <c r="G50" s="131"/>
      <c r="H50" s="131"/>
      <c r="I50" s="132"/>
      <c r="J50" s="31"/>
      <c r="K50" s="25"/>
      <c r="L50" s="129"/>
      <c r="M50" s="133"/>
      <c r="N50" s="25"/>
      <c r="O50" s="132"/>
      <c r="P50" s="132"/>
      <c r="Q50" s="25"/>
      <c r="R50" s="25"/>
      <c r="S50" s="25"/>
      <c r="T50" s="25"/>
      <c r="U50" s="32"/>
      <c r="V50" s="130"/>
      <c r="W50" s="63"/>
      <c r="X50" s="165"/>
      <c r="Y50" s="63"/>
      <c r="Z50" s="165"/>
      <c r="AA50" s="63"/>
      <c r="AB50" s="165"/>
      <c r="AC50" s="63"/>
      <c r="AD50" s="165"/>
      <c r="AE50" s="63"/>
      <c r="AF50" s="165"/>
      <c r="AG50" s="63"/>
      <c r="AH50" s="165"/>
      <c r="AI50" s="63"/>
      <c r="AJ50" s="165"/>
      <c r="AK50" s="63"/>
      <c r="AL50" s="165"/>
      <c r="AM50" s="63"/>
      <c r="AN50" s="165"/>
      <c r="AO50" s="63"/>
      <c r="AP50" s="165"/>
      <c r="AQ50" s="63"/>
      <c r="AR50" s="165"/>
      <c r="AS50" s="63"/>
      <c r="AT50" s="165"/>
      <c r="AU50" s="63"/>
      <c r="AV50" s="165"/>
    </row>
    <row r="51" spans="1:48" ht="25.5" x14ac:dyDescent="0.25">
      <c r="A51" s="197" t="str">
        <f>tblSeverityReference[[#This Row],[Admin 2 P-Code]]</f>
        <v>SD04121</v>
      </c>
      <c r="B51" s="127" t="s">
        <v>191</v>
      </c>
      <c r="C51" s="60" t="s">
        <v>121</v>
      </c>
      <c r="D51" s="146" t="s">
        <v>279</v>
      </c>
      <c r="E51" s="60" t="s">
        <v>278</v>
      </c>
      <c r="F51" s="131"/>
      <c r="G51" s="131"/>
      <c r="H51" s="131"/>
      <c r="I51" s="132"/>
      <c r="J51" s="31"/>
      <c r="K51" s="25"/>
      <c r="L51" s="129"/>
      <c r="M51" s="133"/>
      <c r="N51" s="25"/>
      <c r="O51" s="132"/>
      <c r="P51" s="132"/>
      <c r="Q51" s="25"/>
      <c r="R51" s="25"/>
      <c r="S51" s="25"/>
      <c r="T51" s="25"/>
      <c r="U51" s="32"/>
      <c r="V51" s="130"/>
      <c r="W51" s="63"/>
      <c r="X51" s="165"/>
      <c r="Y51" s="63"/>
      <c r="Z51" s="165"/>
      <c r="AA51" s="63"/>
      <c r="AB51" s="165"/>
      <c r="AC51" s="63"/>
      <c r="AD51" s="165"/>
      <c r="AE51" s="63"/>
      <c r="AF51" s="165"/>
      <c r="AG51" s="63"/>
      <c r="AH51" s="165"/>
      <c r="AI51" s="63"/>
      <c r="AJ51" s="165"/>
      <c r="AK51" s="63"/>
      <c r="AL51" s="165"/>
      <c r="AM51" s="63"/>
      <c r="AN51" s="165"/>
      <c r="AO51" s="63"/>
      <c r="AP51" s="165"/>
      <c r="AQ51" s="63"/>
      <c r="AR51" s="165"/>
      <c r="AS51" s="63"/>
      <c r="AT51" s="165"/>
      <c r="AU51" s="63"/>
      <c r="AV51" s="165"/>
    </row>
    <row r="52" spans="1:48" ht="25.5" x14ac:dyDescent="0.25">
      <c r="A52" s="197" t="str">
        <f>tblSeverityReference[[#This Row],[Admin 2 P-Code]]</f>
        <v>SD04122</v>
      </c>
      <c r="B52" s="127" t="s">
        <v>191</v>
      </c>
      <c r="C52" s="60" t="s">
        <v>121</v>
      </c>
      <c r="D52" s="146" t="s">
        <v>281</v>
      </c>
      <c r="E52" s="60" t="s">
        <v>280</v>
      </c>
      <c r="F52" s="131"/>
      <c r="G52" s="131"/>
      <c r="H52" s="131"/>
      <c r="I52" s="132"/>
      <c r="J52" s="31"/>
      <c r="K52" s="25"/>
      <c r="L52" s="129"/>
      <c r="M52" s="133"/>
      <c r="N52" s="25"/>
      <c r="O52" s="132"/>
      <c r="P52" s="132"/>
      <c r="Q52" s="25"/>
      <c r="R52" s="25"/>
      <c r="S52" s="25"/>
      <c r="T52" s="25"/>
      <c r="U52" s="32"/>
      <c r="V52" s="130"/>
      <c r="W52" s="32"/>
      <c r="X52" s="166"/>
      <c r="Y52" s="32"/>
      <c r="Z52" s="166"/>
      <c r="AA52" s="32"/>
      <c r="AB52" s="166"/>
      <c r="AC52" s="32"/>
      <c r="AD52" s="166"/>
      <c r="AE52" s="32"/>
      <c r="AF52" s="166"/>
      <c r="AG52" s="32"/>
      <c r="AH52" s="166"/>
      <c r="AI52" s="32"/>
      <c r="AJ52" s="166"/>
      <c r="AK52" s="32"/>
      <c r="AL52" s="166"/>
      <c r="AM52" s="32"/>
      <c r="AN52" s="166"/>
      <c r="AO52" s="32"/>
      <c r="AP52" s="166"/>
      <c r="AQ52" s="32"/>
      <c r="AR52" s="166"/>
      <c r="AS52" s="32"/>
      <c r="AT52" s="166"/>
      <c r="AU52" s="32"/>
      <c r="AV52" s="166"/>
    </row>
    <row r="53" spans="1:48" ht="25.5" x14ac:dyDescent="0.25">
      <c r="A53" s="197" t="str">
        <f>tblSeverityReference[[#This Row],[Admin 2 P-Code]]</f>
        <v>SD04123</v>
      </c>
      <c r="B53" s="127" t="s">
        <v>191</v>
      </c>
      <c r="C53" s="60" t="s">
        <v>121</v>
      </c>
      <c r="D53" s="146" t="s">
        <v>283</v>
      </c>
      <c r="E53" s="60" t="s">
        <v>282</v>
      </c>
      <c r="F53" s="131"/>
      <c r="G53" s="131"/>
      <c r="H53" s="131"/>
      <c r="I53" s="132"/>
      <c r="J53" s="31"/>
      <c r="K53" s="25"/>
      <c r="L53" s="129"/>
      <c r="M53" s="133"/>
      <c r="N53" s="25"/>
      <c r="O53" s="132"/>
      <c r="P53" s="132"/>
      <c r="Q53" s="25"/>
      <c r="R53" s="25"/>
      <c r="S53" s="25"/>
      <c r="T53" s="25"/>
      <c r="U53" s="32"/>
      <c r="V53" s="130"/>
      <c r="W53" s="63"/>
      <c r="X53" s="165"/>
      <c r="Y53" s="63"/>
      <c r="Z53" s="165"/>
      <c r="AA53" s="63"/>
      <c r="AB53" s="165"/>
      <c r="AC53" s="63"/>
      <c r="AD53" s="165"/>
      <c r="AE53" s="63"/>
      <c r="AF53" s="165"/>
      <c r="AG53" s="63"/>
      <c r="AH53" s="165"/>
      <c r="AI53" s="63"/>
      <c r="AJ53" s="165"/>
      <c r="AK53" s="63"/>
      <c r="AL53" s="165"/>
      <c r="AM53" s="63"/>
      <c r="AN53" s="165"/>
      <c r="AO53" s="63"/>
      <c r="AP53" s="165"/>
      <c r="AQ53" s="63"/>
      <c r="AR53" s="165"/>
      <c r="AS53" s="63"/>
      <c r="AT53" s="165"/>
      <c r="AU53" s="63"/>
      <c r="AV53" s="165"/>
    </row>
    <row r="54" spans="1:48" ht="25.5" x14ac:dyDescent="0.25">
      <c r="A54" s="197" t="str">
        <f>tblSeverityReference[[#This Row],[Admin 2 P-Code]]</f>
        <v>SD04125</v>
      </c>
      <c r="B54" s="127" t="s">
        <v>191</v>
      </c>
      <c r="C54" s="60" t="s">
        <v>121</v>
      </c>
      <c r="D54" s="146" t="s">
        <v>285</v>
      </c>
      <c r="E54" s="60" t="s">
        <v>284</v>
      </c>
      <c r="F54" s="131"/>
      <c r="G54" s="131"/>
      <c r="H54" s="131"/>
      <c r="I54" s="132"/>
      <c r="J54" s="31"/>
      <c r="K54" s="25"/>
      <c r="L54" s="129"/>
      <c r="M54" s="133"/>
      <c r="N54" s="25"/>
      <c r="O54" s="132"/>
      <c r="P54" s="132"/>
      <c r="Q54" s="25"/>
      <c r="R54" s="25"/>
      <c r="S54" s="25"/>
      <c r="T54" s="25"/>
      <c r="U54" s="32"/>
      <c r="V54" s="130"/>
      <c r="W54" s="63"/>
      <c r="X54" s="165"/>
      <c r="Y54" s="63"/>
      <c r="Z54" s="165"/>
      <c r="AA54" s="63"/>
      <c r="AB54" s="165"/>
      <c r="AC54" s="63"/>
      <c r="AD54" s="165"/>
      <c r="AE54" s="63"/>
      <c r="AF54" s="165"/>
      <c r="AG54" s="63"/>
      <c r="AH54" s="165"/>
      <c r="AI54" s="63"/>
      <c r="AJ54" s="165"/>
      <c r="AK54" s="63"/>
      <c r="AL54" s="165"/>
      <c r="AM54" s="63"/>
      <c r="AN54" s="165"/>
      <c r="AO54" s="63"/>
      <c r="AP54" s="165"/>
      <c r="AQ54" s="63"/>
      <c r="AR54" s="165"/>
      <c r="AS54" s="63"/>
      <c r="AT54" s="165"/>
      <c r="AU54" s="63"/>
      <c r="AV54" s="165"/>
    </row>
    <row r="55" spans="1:48" ht="25.5" x14ac:dyDescent="0.25">
      <c r="A55" s="197" t="str">
        <f>tblSeverityReference[[#This Row],[Admin 2 P-Code]]</f>
        <v>SD04127</v>
      </c>
      <c r="B55" s="127" t="s">
        <v>191</v>
      </c>
      <c r="C55" s="60" t="s">
        <v>121</v>
      </c>
      <c r="D55" s="146" t="s">
        <v>287</v>
      </c>
      <c r="E55" s="60" t="s">
        <v>286</v>
      </c>
      <c r="F55" s="131"/>
      <c r="G55" s="131"/>
      <c r="H55" s="131"/>
      <c r="I55" s="132"/>
      <c r="J55" s="31"/>
      <c r="K55" s="25"/>
      <c r="L55" s="129"/>
      <c r="M55" s="133"/>
      <c r="N55" s="25"/>
      <c r="O55" s="132"/>
      <c r="P55" s="132"/>
      <c r="Q55" s="25"/>
      <c r="R55" s="25"/>
      <c r="S55" s="25"/>
      <c r="T55" s="25"/>
      <c r="U55" s="32"/>
      <c r="V55" s="130"/>
      <c r="W55" s="63"/>
      <c r="X55" s="165"/>
      <c r="Y55" s="63"/>
      <c r="Z55" s="165"/>
      <c r="AA55" s="63"/>
      <c r="AB55" s="165"/>
      <c r="AC55" s="63"/>
      <c r="AD55" s="165"/>
      <c r="AE55" s="63"/>
      <c r="AF55" s="165"/>
      <c r="AG55" s="63"/>
      <c r="AH55" s="165"/>
      <c r="AI55" s="63"/>
      <c r="AJ55" s="165"/>
      <c r="AK55" s="63"/>
      <c r="AL55" s="165"/>
      <c r="AM55" s="63"/>
      <c r="AN55" s="165"/>
      <c r="AO55" s="63"/>
      <c r="AP55" s="165"/>
      <c r="AQ55" s="63"/>
      <c r="AR55" s="165"/>
      <c r="AS55" s="63"/>
      <c r="AT55" s="165"/>
      <c r="AU55" s="63"/>
      <c r="AV55" s="165"/>
    </row>
    <row r="56" spans="1:48" ht="25.5" x14ac:dyDescent="0.25">
      <c r="A56" s="197" t="str">
        <f>tblSeverityReference[[#This Row],[Admin 2 P-Code]]</f>
        <v>SD04134</v>
      </c>
      <c r="B56" s="127" t="s">
        <v>191</v>
      </c>
      <c r="C56" s="60" t="s">
        <v>121</v>
      </c>
      <c r="D56" s="146" t="s">
        <v>289</v>
      </c>
      <c r="E56" s="60" t="s">
        <v>288</v>
      </c>
      <c r="F56" s="131"/>
      <c r="G56" s="131"/>
      <c r="H56" s="131"/>
      <c r="I56" s="132"/>
      <c r="J56" s="31"/>
      <c r="K56" s="25"/>
      <c r="L56" s="129"/>
      <c r="M56" s="133"/>
      <c r="N56" s="25"/>
      <c r="O56" s="132"/>
      <c r="P56" s="132"/>
      <c r="Q56" s="25"/>
      <c r="R56" s="25"/>
      <c r="S56" s="25"/>
      <c r="T56" s="25"/>
      <c r="U56" s="32"/>
      <c r="V56" s="130"/>
      <c r="W56" s="63"/>
      <c r="X56" s="165"/>
      <c r="Y56" s="63"/>
      <c r="Z56" s="165"/>
      <c r="AA56" s="63"/>
      <c r="AB56" s="165"/>
      <c r="AC56" s="63"/>
      <c r="AD56" s="165"/>
      <c r="AE56" s="63"/>
      <c r="AF56" s="165"/>
      <c r="AG56" s="63"/>
      <c r="AH56" s="165"/>
      <c r="AI56" s="63"/>
      <c r="AJ56" s="165"/>
      <c r="AK56" s="63"/>
      <c r="AL56" s="165"/>
      <c r="AM56" s="63"/>
      <c r="AN56" s="165"/>
      <c r="AO56" s="63"/>
      <c r="AP56" s="165"/>
      <c r="AQ56" s="63"/>
      <c r="AR56" s="165"/>
      <c r="AS56" s="63"/>
      <c r="AT56" s="165"/>
      <c r="AU56" s="63"/>
      <c r="AV56" s="165"/>
    </row>
    <row r="57" spans="1:48" ht="25.5" x14ac:dyDescent="0.25">
      <c r="A57" s="197" t="str">
        <f>tblSeverityReference[[#This Row],[Admin 2 P-Code]]</f>
        <v>SD05139</v>
      </c>
      <c r="B57" s="127" t="s">
        <v>155</v>
      </c>
      <c r="C57" s="60" t="s">
        <v>122</v>
      </c>
      <c r="D57" s="146" t="s">
        <v>169</v>
      </c>
      <c r="E57" s="60" t="s">
        <v>168</v>
      </c>
      <c r="F57" s="118"/>
      <c r="G57" s="118"/>
      <c r="H57" s="118"/>
      <c r="I57" s="23"/>
      <c r="J57" s="25"/>
      <c r="K57" s="25"/>
      <c r="L57" s="24"/>
      <c r="M57" s="25"/>
      <c r="N57" s="25"/>
      <c r="O57" s="24"/>
      <c r="P57" s="24"/>
      <c r="Q57" s="25"/>
      <c r="R57" s="25"/>
      <c r="S57" s="25"/>
      <c r="T57" s="25"/>
      <c r="U57" s="63"/>
      <c r="V57" s="26"/>
      <c r="W57" s="63"/>
      <c r="X57" s="165"/>
      <c r="Y57" s="63"/>
      <c r="Z57" s="165"/>
      <c r="AA57" s="63"/>
      <c r="AB57" s="165"/>
      <c r="AC57" s="63"/>
      <c r="AD57" s="165"/>
      <c r="AE57" s="63"/>
      <c r="AF57" s="165"/>
      <c r="AG57" s="63"/>
      <c r="AH57" s="165"/>
      <c r="AI57" s="63"/>
      <c r="AJ57" s="165"/>
      <c r="AK57" s="63"/>
      <c r="AL57" s="165"/>
      <c r="AM57" s="63"/>
      <c r="AN57" s="165"/>
      <c r="AO57" s="63"/>
      <c r="AP57" s="165"/>
      <c r="AQ57" s="63"/>
      <c r="AR57" s="165"/>
      <c r="AS57" s="63"/>
      <c r="AT57" s="165"/>
      <c r="AU57" s="63"/>
      <c r="AV57" s="165"/>
    </row>
    <row r="58" spans="1:48" ht="25.5" x14ac:dyDescent="0.25">
      <c r="A58" s="197" t="str">
        <f>tblSeverityReference[[#This Row],[Admin 2 P-Code]]</f>
        <v>SD05140</v>
      </c>
      <c r="B58" s="127" t="s">
        <v>155</v>
      </c>
      <c r="C58" s="60" t="s">
        <v>122</v>
      </c>
      <c r="D58" s="146" t="s">
        <v>172</v>
      </c>
      <c r="E58" s="60" t="s">
        <v>171</v>
      </c>
      <c r="F58" s="118"/>
      <c r="G58" s="118"/>
      <c r="H58" s="118"/>
      <c r="I58" s="23"/>
      <c r="J58" s="25"/>
      <c r="K58" s="25"/>
      <c r="L58" s="24"/>
      <c r="M58" s="25"/>
      <c r="N58" s="25"/>
      <c r="O58" s="24"/>
      <c r="P58" s="24"/>
      <c r="Q58" s="25"/>
      <c r="R58" s="25"/>
      <c r="S58" s="25"/>
      <c r="T58" s="25"/>
      <c r="U58" s="63"/>
      <c r="V58" s="26"/>
      <c r="W58" s="63"/>
      <c r="X58" s="165"/>
      <c r="Y58" s="63"/>
      <c r="Z58" s="165"/>
      <c r="AA58" s="63"/>
      <c r="AB58" s="165"/>
      <c r="AC58" s="63"/>
      <c r="AD58" s="165"/>
      <c r="AE58" s="63"/>
      <c r="AF58" s="165"/>
      <c r="AG58" s="63"/>
      <c r="AH58" s="165"/>
      <c r="AI58" s="63"/>
      <c r="AJ58" s="165"/>
      <c r="AK58" s="63"/>
      <c r="AL58" s="165"/>
      <c r="AM58" s="63"/>
      <c r="AN58" s="165"/>
      <c r="AO58" s="63"/>
      <c r="AP58" s="165"/>
      <c r="AQ58" s="63"/>
      <c r="AR58" s="165"/>
      <c r="AS58" s="63"/>
      <c r="AT58" s="165"/>
      <c r="AU58" s="63"/>
      <c r="AV58" s="165"/>
    </row>
    <row r="59" spans="1:48" ht="25.5" x14ac:dyDescent="0.25">
      <c r="A59" s="197" t="str">
        <f>tblSeverityReference[[#This Row],[Admin 2 P-Code]]</f>
        <v>SD05142</v>
      </c>
      <c r="B59" s="127" t="s">
        <v>155</v>
      </c>
      <c r="C59" s="60" t="s">
        <v>122</v>
      </c>
      <c r="D59" s="146" t="s">
        <v>175</v>
      </c>
      <c r="E59" s="60" t="s">
        <v>174</v>
      </c>
      <c r="F59" s="118"/>
      <c r="G59" s="118"/>
      <c r="H59" s="118"/>
      <c r="I59" s="23"/>
      <c r="J59" s="25"/>
      <c r="K59" s="25"/>
      <c r="L59" s="24"/>
      <c r="M59" s="25"/>
      <c r="N59" s="25"/>
      <c r="O59" s="24"/>
      <c r="P59" s="24"/>
      <c r="Q59" s="25"/>
      <c r="R59" s="25"/>
      <c r="S59" s="25"/>
      <c r="T59" s="25"/>
      <c r="U59" s="63"/>
      <c r="V59" s="26"/>
      <c r="W59" s="32"/>
      <c r="X59" s="166"/>
      <c r="Y59" s="32"/>
      <c r="Z59" s="166"/>
      <c r="AA59" s="32"/>
      <c r="AB59" s="166"/>
      <c r="AC59" s="32"/>
      <c r="AD59" s="166"/>
      <c r="AE59" s="32"/>
      <c r="AF59" s="166"/>
      <c r="AG59" s="32"/>
      <c r="AH59" s="166"/>
      <c r="AI59" s="32"/>
      <c r="AJ59" s="166"/>
      <c r="AK59" s="32"/>
      <c r="AL59" s="166"/>
      <c r="AM59" s="32"/>
      <c r="AN59" s="166"/>
      <c r="AO59" s="32"/>
      <c r="AP59" s="166"/>
      <c r="AQ59" s="32"/>
      <c r="AR59" s="166"/>
      <c r="AS59" s="32"/>
      <c r="AT59" s="166"/>
      <c r="AU59" s="32"/>
      <c r="AV59" s="166"/>
    </row>
    <row r="60" spans="1:48" ht="25.5" x14ac:dyDescent="0.25">
      <c r="A60" s="197" t="str">
        <f>tblSeverityReference[[#This Row],[Admin 2 P-Code]]</f>
        <v>SD05148</v>
      </c>
      <c r="B60" s="127" t="s">
        <v>155</v>
      </c>
      <c r="C60" s="60" t="s">
        <v>122</v>
      </c>
      <c r="D60" s="146" t="s">
        <v>178</v>
      </c>
      <c r="E60" s="60" t="s">
        <v>177</v>
      </c>
      <c r="F60" s="118"/>
      <c r="G60" s="118"/>
      <c r="H60" s="118"/>
      <c r="I60" s="23"/>
      <c r="J60" s="25"/>
      <c r="K60" s="25"/>
      <c r="L60" s="24"/>
      <c r="M60" s="25"/>
      <c r="N60" s="25"/>
      <c r="O60" s="24"/>
      <c r="P60" s="24"/>
      <c r="Q60" s="25"/>
      <c r="R60" s="25"/>
      <c r="S60" s="25"/>
      <c r="T60" s="25"/>
      <c r="U60" s="63"/>
      <c r="V60" s="26"/>
      <c r="W60" s="63"/>
      <c r="X60" s="165"/>
      <c r="Y60" s="63"/>
      <c r="Z60" s="165"/>
      <c r="AA60" s="63"/>
      <c r="AB60" s="165"/>
      <c r="AC60" s="63"/>
      <c r="AD60" s="165"/>
      <c r="AE60" s="63"/>
      <c r="AF60" s="165"/>
      <c r="AG60" s="63"/>
      <c r="AH60" s="165"/>
      <c r="AI60" s="63"/>
      <c r="AJ60" s="165"/>
      <c r="AK60" s="63"/>
      <c r="AL60" s="165"/>
      <c r="AM60" s="63"/>
      <c r="AN60" s="165"/>
      <c r="AO60" s="63"/>
      <c r="AP60" s="165"/>
      <c r="AQ60" s="63"/>
      <c r="AR60" s="165"/>
      <c r="AS60" s="63"/>
      <c r="AT60" s="165"/>
      <c r="AU60" s="63"/>
      <c r="AV60" s="165"/>
    </row>
    <row r="61" spans="1:48" ht="25.5" x14ac:dyDescent="0.25">
      <c r="A61" s="197" t="str">
        <f>tblSeverityReference[[#This Row],[Admin 2 P-Code]]</f>
        <v>SD05152</v>
      </c>
      <c r="B61" s="127" t="s">
        <v>155</v>
      </c>
      <c r="C61" s="60" t="s">
        <v>122</v>
      </c>
      <c r="D61" s="146" t="s">
        <v>181</v>
      </c>
      <c r="E61" s="60" t="s">
        <v>180</v>
      </c>
      <c r="F61" s="118"/>
      <c r="G61" s="118"/>
      <c r="H61" s="118"/>
      <c r="I61" s="23"/>
      <c r="J61" s="25"/>
      <c r="K61" s="25"/>
      <c r="L61" s="24"/>
      <c r="M61" s="25"/>
      <c r="N61" s="25"/>
      <c r="O61" s="24"/>
      <c r="P61" s="24"/>
      <c r="Q61" s="25"/>
      <c r="R61" s="25"/>
      <c r="S61" s="25"/>
      <c r="T61" s="25"/>
      <c r="U61" s="63"/>
      <c r="V61" s="26"/>
      <c r="W61" s="63"/>
      <c r="X61" s="165"/>
      <c r="Y61" s="63"/>
      <c r="Z61" s="165"/>
      <c r="AA61" s="63"/>
      <c r="AB61" s="165"/>
      <c r="AC61" s="63"/>
      <c r="AD61" s="165"/>
      <c r="AE61" s="63"/>
      <c r="AF61" s="165"/>
      <c r="AG61" s="63"/>
      <c r="AH61" s="165"/>
      <c r="AI61" s="63"/>
      <c r="AJ61" s="165"/>
      <c r="AK61" s="63"/>
      <c r="AL61" s="165"/>
      <c r="AM61" s="63"/>
      <c r="AN61" s="165"/>
      <c r="AO61" s="63"/>
      <c r="AP61" s="165"/>
      <c r="AQ61" s="63"/>
      <c r="AR61" s="165"/>
      <c r="AS61" s="63"/>
      <c r="AT61" s="165"/>
      <c r="AU61" s="63"/>
      <c r="AV61" s="165"/>
    </row>
    <row r="62" spans="1:48" ht="25.5" x14ac:dyDescent="0.25">
      <c r="A62" s="197" t="str">
        <f>tblSeverityReference[[#This Row],[Admin 2 P-Code]]</f>
        <v>SD05155</v>
      </c>
      <c r="B62" s="127" t="s">
        <v>155</v>
      </c>
      <c r="C62" s="60" t="s">
        <v>122</v>
      </c>
      <c r="D62" s="146" t="s">
        <v>184</v>
      </c>
      <c r="E62" s="60" t="s">
        <v>183</v>
      </c>
      <c r="F62" s="118"/>
      <c r="G62" s="118"/>
      <c r="H62" s="118"/>
      <c r="I62" s="23"/>
      <c r="J62" s="25"/>
      <c r="K62" s="25"/>
      <c r="L62" s="24"/>
      <c r="M62" s="25"/>
      <c r="N62" s="25"/>
      <c r="O62" s="24"/>
      <c r="P62" s="24"/>
      <c r="Q62" s="25"/>
      <c r="R62" s="25"/>
      <c r="S62" s="25"/>
      <c r="T62" s="25"/>
      <c r="U62" s="63"/>
      <c r="V62" s="26"/>
      <c r="W62" s="63"/>
      <c r="X62" s="165"/>
      <c r="Y62" s="63"/>
      <c r="Z62" s="165"/>
      <c r="AA62" s="63"/>
      <c r="AB62" s="165"/>
      <c r="AC62" s="63"/>
      <c r="AD62" s="165"/>
      <c r="AE62" s="63"/>
      <c r="AF62" s="165"/>
      <c r="AG62" s="63"/>
      <c r="AH62" s="165"/>
      <c r="AI62" s="63"/>
      <c r="AJ62" s="165"/>
      <c r="AK62" s="63"/>
      <c r="AL62" s="165"/>
      <c r="AM62" s="63"/>
      <c r="AN62" s="165"/>
      <c r="AO62" s="63"/>
      <c r="AP62" s="165"/>
      <c r="AQ62" s="63"/>
      <c r="AR62" s="165"/>
      <c r="AS62" s="63"/>
      <c r="AT62" s="165"/>
      <c r="AU62" s="63"/>
      <c r="AV62" s="165"/>
    </row>
    <row r="63" spans="1:48" ht="25.5" x14ac:dyDescent="0.25">
      <c r="A63" s="197" t="str">
        <f>tblSeverityReference[[#This Row],[Admin 2 P-Code]]</f>
        <v>SD05160</v>
      </c>
      <c r="B63" s="127" t="s">
        <v>155</v>
      </c>
      <c r="C63" s="60" t="s">
        <v>122</v>
      </c>
      <c r="D63" s="146" t="s">
        <v>187</v>
      </c>
      <c r="E63" s="60" t="s">
        <v>186</v>
      </c>
      <c r="F63" s="118"/>
      <c r="G63" s="118"/>
      <c r="H63" s="118"/>
      <c r="I63" s="23"/>
      <c r="J63" s="25"/>
      <c r="K63" s="25"/>
      <c r="L63" s="24"/>
      <c r="M63" s="25"/>
      <c r="N63" s="25"/>
      <c r="O63" s="24"/>
      <c r="P63" s="24"/>
      <c r="Q63" s="25"/>
      <c r="R63" s="25"/>
      <c r="S63" s="25"/>
      <c r="T63" s="25"/>
      <c r="U63" s="63"/>
      <c r="V63" s="26"/>
      <c r="W63" s="63"/>
      <c r="X63" s="165"/>
      <c r="Y63" s="63"/>
      <c r="Z63" s="165"/>
      <c r="AA63" s="63"/>
      <c r="AB63" s="165"/>
      <c r="AC63" s="63"/>
      <c r="AD63" s="165"/>
      <c r="AE63" s="63"/>
      <c r="AF63" s="165"/>
      <c r="AG63" s="63"/>
      <c r="AH63" s="165"/>
      <c r="AI63" s="63"/>
      <c r="AJ63" s="165"/>
      <c r="AK63" s="63"/>
      <c r="AL63" s="165"/>
      <c r="AM63" s="63"/>
      <c r="AN63" s="165"/>
      <c r="AO63" s="63"/>
      <c r="AP63" s="165"/>
      <c r="AQ63" s="63"/>
      <c r="AR63" s="165"/>
      <c r="AS63" s="63"/>
      <c r="AT63" s="165"/>
      <c r="AU63" s="63"/>
      <c r="AV63" s="165"/>
    </row>
    <row r="64" spans="1:48" ht="25.5" x14ac:dyDescent="0.25">
      <c r="A64" s="197" t="str">
        <f>tblSeverityReference[[#This Row],[Admin 2 P-Code]]</f>
        <v>SD05163</v>
      </c>
      <c r="B64" s="127" t="s">
        <v>155</v>
      </c>
      <c r="C64" s="60" t="s">
        <v>122</v>
      </c>
      <c r="D64" s="146" t="s">
        <v>190</v>
      </c>
      <c r="E64" s="60" t="s">
        <v>189</v>
      </c>
      <c r="F64" s="118"/>
      <c r="G64" s="118"/>
      <c r="H64" s="118"/>
      <c r="I64" s="23"/>
      <c r="J64" s="25"/>
      <c r="K64" s="25"/>
      <c r="L64" s="24"/>
      <c r="M64" s="25"/>
      <c r="N64" s="25"/>
      <c r="O64" s="24"/>
      <c r="P64" s="24"/>
      <c r="Q64" s="25"/>
      <c r="R64" s="25"/>
      <c r="S64" s="25"/>
      <c r="T64" s="25"/>
      <c r="U64" s="63"/>
      <c r="V64" s="26"/>
      <c r="W64" s="63"/>
      <c r="X64" s="165"/>
      <c r="Y64" s="63"/>
      <c r="Z64" s="165"/>
      <c r="AA64" s="63"/>
      <c r="AB64" s="165"/>
      <c r="AC64" s="63"/>
      <c r="AD64" s="165"/>
      <c r="AE64" s="63"/>
      <c r="AF64" s="165"/>
      <c r="AG64" s="63"/>
      <c r="AH64" s="165"/>
      <c r="AI64" s="63"/>
      <c r="AJ64" s="165"/>
      <c r="AK64" s="63"/>
      <c r="AL64" s="165"/>
      <c r="AM64" s="63"/>
      <c r="AN64" s="165"/>
      <c r="AO64" s="63"/>
      <c r="AP64" s="165"/>
      <c r="AQ64" s="63"/>
      <c r="AR64" s="165"/>
      <c r="AS64" s="63"/>
      <c r="AT64" s="165"/>
      <c r="AU64" s="63"/>
      <c r="AV64" s="165"/>
    </row>
    <row r="65" spans="1:48" ht="25.5" x14ac:dyDescent="0.25">
      <c r="A65" s="197" t="str">
        <f>tblSeverityReference[[#This Row],[Admin 2 P-Code]]</f>
        <v>SD05165</v>
      </c>
      <c r="B65" s="127" t="s">
        <v>155</v>
      </c>
      <c r="C65" s="60" t="s">
        <v>122</v>
      </c>
      <c r="D65" s="146" t="s">
        <v>193</v>
      </c>
      <c r="E65" s="60" t="s">
        <v>192</v>
      </c>
      <c r="F65" s="118"/>
      <c r="G65" s="118"/>
      <c r="H65" s="118"/>
      <c r="I65" s="23"/>
      <c r="J65" s="25"/>
      <c r="K65" s="25"/>
      <c r="L65" s="24"/>
      <c r="M65" s="25"/>
      <c r="N65" s="25"/>
      <c r="O65" s="24"/>
      <c r="P65" s="24"/>
      <c r="Q65" s="25"/>
      <c r="R65" s="25"/>
      <c r="S65" s="25"/>
      <c r="T65" s="25"/>
      <c r="U65" s="63"/>
      <c r="V65" s="26"/>
      <c r="W65" s="63"/>
      <c r="X65" s="165"/>
      <c r="Y65" s="63"/>
      <c r="Z65" s="165"/>
      <c r="AA65" s="63"/>
      <c r="AB65" s="165"/>
      <c r="AC65" s="63"/>
      <c r="AD65" s="165"/>
      <c r="AE65" s="63"/>
      <c r="AF65" s="165"/>
      <c r="AG65" s="63"/>
      <c r="AH65" s="165"/>
      <c r="AI65" s="63"/>
      <c r="AJ65" s="165"/>
      <c r="AK65" s="63"/>
      <c r="AL65" s="165"/>
      <c r="AM65" s="63"/>
      <c r="AN65" s="165"/>
      <c r="AO65" s="63"/>
      <c r="AP65" s="165"/>
      <c r="AQ65" s="63"/>
      <c r="AR65" s="165"/>
      <c r="AS65" s="63"/>
      <c r="AT65" s="165"/>
      <c r="AU65" s="63"/>
      <c r="AV65" s="165"/>
    </row>
    <row r="66" spans="1:48" ht="30" x14ac:dyDescent="0.25">
      <c r="A66" s="197" t="str">
        <f>tblSeverityReference[[#This Row],[Admin 2 P-Code]]</f>
        <v>SD06110</v>
      </c>
      <c r="B66" s="127" t="s">
        <v>141</v>
      </c>
      <c r="C66" s="60" t="s">
        <v>123</v>
      </c>
      <c r="D66" s="146" t="s">
        <v>143</v>
      </c>
      <c r="E66" s="60" t="s">
        <v>142</v>
      </c>
      <c r="F66" s="118"/>
      <c r="G66" s="118"/>
      <c r="H66" s="118"/>
      <c r="I66" s="23"/>
      <c r="J66" s="25"/>
      <c r="K66" s="25"/>
      <c r="L66" s="24"/>
      <c r="M66" s="25"/>
      <c r="N66" s="25"/>
      <c r="O66" s="24"/>
      <c r="P66" s="24"/>
      <c r="Q66" s="25"/>
      <c r="R66" s="25"/>
      <c r="S66" s="25"/>
      <c r="T66" s="25"/>
      <c r="U66" s="63"/>
      <c r="V66" s="26"/>
      <c r="W66" s="32"/>
      <c r="X66" s="166"/>
      <c r="Y66" s="32"/>
      <c r="Z66" s="166"/>
      <c r="AA66" s="32"/>
      <c r="AB66" s="166"/>
      <c r="AC66" s="32"/>
      <c r="AD66" s="166"/>
      <c r="AE66" s="32"/>
      <c r="AF66" s="166"/>
      <c r="AG66" s="32"/>
      <c r="AH66" s="166"/>
      <c r="AI66" s="32"/>
      <c r="AJ66" s="166"/>
      <c r="AK66" s="32"/>
      <c r="AL66" s="166"/>
      <c r="AM66" s="32"/>
      <c r="AN66" s="166"/>
      <c r="AO66" s="32"/>
      <c r="AP66" s="166"/>
      <c r="AQ66" s="32"/>
      <c r="AR66" s="166"/>
      <c r="AS66" s="32"/>
      <c r="AT66" s="166"/>
      <c r="AU66" s="32"/>
      <c r="AV66" s="166"/>
    </row>
    <row r="67" spans="1:48" ht="30" x14ac:dyDescent="0.25">
      <c r="A67" s="197" t="str">
        <f>tblSeverityReference[[#This Row],[Admin 2 P-Code]]</f>
        <v>SD06112</v>
      </c>
      <c r="B67" s="127" t="s">
        <v>141</v>
      </c>
      <c r="C67" s="60" t="s">
        <v>123</v>
      </c>
      <c r="D67" s="146" t="s">
        <v>146</v>
      </c>
      <c r="E67" s="60" t="s">
        <v>145</v>
      </c>
      <c r="F67" s="118"/>
      <c r="G67" s="118"/>
      <c r="H67" s="118"/>
      <c r="I67" s="23"/>
      <c r="J67" s="25"/>
      <c r="K67" s="25"/>
      <c r="L67" s="24"/>
      <c r="M67" s="25"/>
      <c r="N67" s="25"/>
      <c r="O67" s="24"/>
      <c r="P67" s="24"/>
      <c r="Q67" s="25"/>
      <c r="R67" s="25"/>
      <c r="S67" s="25"/>
      <c r="T67" s="25"/>
      <c r="U67" s="63"/>
      <c r="V67" s="26"/>
      <c r="W67" s="63"/>
      <c r="X67" s="165"/>
      <c r="Y67" s="63"/>
      <c r="Z67" s="165"/>
      <c r="AA67" s="63"/>
      <c r="AB67" s="165"/>
      <c r="AC67" s="63"/>
      <c r="AD67" s="165"/>
      <c r="AE67" s="63"/>
      <c r="AF67" s="165"/>
      <c r="AG67" s="63"/>
      <c r="AH67" s="165"/>
      <c r="AI67" s="63"/>
      <c r="AJ67" s="165"/>
      <c r="AK67" s="63"/>
      <c r="AL67" s="165"/>
      <c r="AM67" s="63"/>
      <c r="AN67" s="165"/>
      <c r="AO67" s="63"/>
      <c r="AP67" s="165"/>
      <c r="AQ67" s="63"/>
      <c r="AR67" s="165"/>
      <c r="AS67" s="63"/>
      <c r="AT67" s="165"/>
      <c r="AU67" s="63"/>
      <c r="AV67" s="165"/>
    </row>
    <row r="68" spans="1:48" ht="30" x14ac:dyDescent="0.25">
      <c r="A68" s="197" t="str">
        <f>tblSeverityReference[[#This Row],[Admin 2 P-Code]]</f>
        <v>SD06130</v>
      </c>
      <c r="B68" s="127" t="s">
        <v>141</v>
      </c>
      <c r="C68" s="60" t="s">
        <v>123</v>
      </c>
      <c r="D68" s="146" t="s">
        <v>149</v>
      </c>
      <c r="E68" s="60" t="s">
        <v>148</v>
      </c>
      <c r="F68" s="118"/>
      <c r="G68" s="118"/>
      <c r="H68" s="118"/>
      <c r="I68" s="23"/>
      <c r="J68" s="25"/>
      <c r="K68" s="25"/>
      <c r="L68" s="24"/>
      <c r="M68" s="25"/>
      <c r="N68" s="25"/>
      <c r="O68" s="24"/>
      <c r="P68" s="24"/>
      <c r="Q68" s="25"/>
      <c r="R68" s="25"/>
      <c r="S68" s="25"/>
      <c r="T68" s="25"/>
      <c r="U68" s="63"/>
      <c r="V68" s="26"/>
      <c r="W68" s="63"/>
      <c r="X68" s="165"/>
      <c r="Y68" s="63"/>
      <c r="Z68" s="165"/>
      <c r="AA68" s="63"/>
      <c r="AB68" s="165"/>
      <c r="AC68" s="63"/>
      <c r="AD68" s="165"/>
      <c r="AE68" s="63"/>
      <c r="AF68" s="165"/>
      <c r="AG68" s="63"/>
      <c r="AH68" s="165"/>
      <c r="AI68" s="63"/>
      <c r="AJ68" s="165"/>
      <c r="AK68" s="63"/>
      <c r="AL68" s="165"/>
      <c r="AM68" s="63"/>
      <c r="AN68" s="165"/>
      <c r="AO68" s="63"/>
      <c r="AP68" s="165"/>
      <c r="AQ68" s="63"/>
      <c r="AR68" s="165"/>
      <c r="AS68" s="63"/>
      <c r="AT68" s="165"/>
      <c r="AU68" s="63"/>
      <c r="AV68" s="165"/>
    </row>
    <row r="69" spans="1:48" ht="30" x14ac:dyDescent="0.25">
      <c r="A69" s="197" t="str">
        <f>tblSeverityReference[[#This Row],[Admin 2 P-Code]]</f>
        <v>SD06131</v>
      </c>
      <c r="B69" s="127" t="s">
        <v>141</v>
      </c>
      <c r="C69" s="60" t="s">
        <v>123</v>
      </c>
      <c r="D69" s="146" t="s">
        <v>152</v>
      </c>
      <c r="E69" s="60" t="s">
        <v>151</v>
      </c>
      <c r="F69" s="118"/>
      <c r="G69" s="118"/>
      <c r="H69" s="118"/>
      <c r="I69" s="23"/>
      <c r="J69" s="25"/>
      <c r="K69" s="25"/>
      <c r="L69" s="24"/>
      <c r="M69" s="25"/>
      <c r="N69" s="25"/>
      <c r="O69" s="24"/>
      <c r="P69" s="24"/>
      <c r="Q69" s="25"/>
      <c r="R69" s="25"/>
      <c r="S69" s="25"/>
      <c r="T69" s="25"/>
      <c r="U69" s="63"/>
      <c r="V69" s="26"/>
      <c r="W69" s="63"/>
      <c r="X69" s="165"/>
      <c r="Y69" s="63"/>
      <c r="Z69" s="165"/>
      <c r="AA69" s="63"/>
      <c r="AB69" s="165"/>
      <c r="AC69" s="63"/>
      <c r="AD69" s="165"/>
      <c r="AE69" s="63"/>
      <c r="AF69" s="165"/>
      <c r="AG69" s="63"/>
      <c r="AH69" s="165"/>
      <c r="AI69" s="63"/>
      <c r="AJ69" s="165"/>
      <c r="AK69" s="63"/>
      <c r="AL69" s="165"/>
      <c r="AM69" s="63"/>
      <c r="AN69" s="165"/>
      <c r="AO69" s="63"/>
      <c r="AP69" s="165"/>
      <c r="AQ69" s="63"/>
      <c r="AR69" s="165"/>
      <c r="AS69" s="63"/>
      <c r="AT69" s="165"/>
      <c r="AU69" s="63"/>
      <c r="AV69" s="165"/>
    </row>
    <row r="70" spans="1:48" ht="30" x14ac:dyDescent="0.25">
      <c r="A70" s="197" t="str">
        <f>tblSeverityReference[[#This Row],[Admin 2 P-Code]]</f>
        <v>SD06132</v>
      </c>
      <c r="B70" s="127" t="s">
        <v>141</v>
      </c>
      <c r="C70" s="60" t="s">
        <v>123</v>
      </c>
      <c r="D70" s="146" t="s">
        <v>154</v>
      </c>
      <c r="E70" s="60" t="s">
        <v>153</v>
      </c>
      <c r="F70" s="118"/>
      <c r="G70" s="118"/>
      <c r="H70" s="118"/>
      <c r="I70" s="23"/>
      <c r="J70" s="25"/>
      <c r="K70" s="25"/>
      <c r="L70" s="24"/>
      <c r="M70" s="25"/>
      <c r="N70" s="25"/>
      <c r="O70" s="24"/>
      <c r="P70" s="24"/>
      <c r="Q70" s="25"/>
      <c r="R70" s="25"/>
      <c r="S70" s="25"/>
      <c r="T70" s="25"/>
      <c r="U70" s="63"/>
      <c r="V70" s="26"/>
      <c r="W70" s="63"/>
      <c r="X70" s="165"/>
      <c r="Y70" s="63"/>
      <c r="Z70" s="165"/>
      <c r="AA70" s="63"/>
      <c r="AB70" s="165"/>
      <c r="AC70" s="63"/>
      <c r="AD70" s="165"/>
      <c r="AE70" s="63"/>
      <c r="AF70" s="165"/>
      <c r="AG70" s="63"/>
      <c r="AH70" s="165"/>
      <c r="AI70" s="63"/>
      <c r="AJ70" s="165"/>
      <c r="AK70" s="63"/>
      <c r="AL70" s="165"/>
      <c r="AM70" s="63"/>
      <c r="AN70" s="165"/>
      <c r="AO70" s="63"/>
      <c r="AP70" s="165"/>
      <c r="AQ70" s="63"/>
      <c r="AR70" s="165"/>
      <c r="AS70" s="63"/>
      <c r="AT70" s="165"/>
      <c r="AU70" s="63"/>
      <c r="AV70" s="165"/>
    </row>
    <row r="71" spans="1:48" ht="30" x14ac:dyDescent="0.25">
      <c r="A71" s="197" t="str">
        <f>tblSeverityReference[[#This Row],[Admin 2 P-Code]]</f>
        <v>SD06135</v>
      </c>
      <c r="B71" s="127" t="s">
        <v>141</v>
      </c>
      <c r="C71" s="60" t="s">
        <v>123</v>
      </c>
      <c r="D71" s="146" t="s">
        <v>157</v>
      </c>
      <c r="E71" s="60" t="s">
        <v>156</v>
      </c>
      <c r="F71" s="118"/>
      <c r="G71" s="118"/>
      <c r="H71" s="118"/>
      <c r="I71" s="23"/>
      <c r="J71" s="25"/>
      <c r="K71" s="25"/>
      <c r="L71" s="24"/>
      <c r="M71" s="25"/>
      <c r="N71" s="25"/>
      <c r="O71" s="24"/>
      <c r="P71" s="24"/>
      <c r="Q71" s="25"/>
      <c r="R71" s="25"/>
      <c r="S71" s="25"/>
      <c r="T71" s="25"/>
      <c r="U71" s="63"/>
      <c r="V71" s="26"/>
      <c r="W71" s="63"/>
      <c r="X71" s="165"/>
      <c r="Y71" s="63"/>
      <c r="Z71" s="165"/>
      <c r="AA71" s="63"/>
      <c r="AB71" s="165"/>
      <c r="AC71" s="63"/>
      <c r="AD71" s="165"/>
      <c r="AE71" s="63"/>
      <c r="AF71" s="165"/>
      <c r="AG71" s="63"/>
      <c r="AH71" s="165"/>
      <c r="AI71" s="63"/>
      <c r="AJ71" s="165"/>
      <c r="AK71" s="63"/>
      <c r="AL71" s="165"/>
      <c r="AM71" s="63"/>
      <c r="AN71" s="165"/>
      <c r="AO71" s="63"/>
      <c r="AP71" s="165"/>
      <c r="AQ71" s="63"/>
      <c r="AR71" s="165"/>
      <c r="AS71" s="63"/>
      <c r="AT71" s="165"/>
      <c r="AU71" s="63"/>
      <c r="AV71" s="165"/>
    </row>
    <row r="72" spans="1:48" ht="30" x14ac:dyDescent="0.25">
      <c r="A72" s="197" t="str">
        <f>tblSeverityReference[[#This Row],[Admin 2 P-Code]]</f>
        <v>SD06137</v>
      </c>
      <c r="B72" s="127" t="s">
        <v>141</v>
      </c>
      <c r="C72" s="60" t="s">
        <v>123</v>
      </c>
      <c r="D72" s="146" t="s">
        <v>160</v>
      </c>
      <c r="E72" s="60" t="s">
        <v>159</v>
      </c>
      <c r="F72" s="118"/>
      <c r="G72" s="118"/>
      <c r="H72" s="118"/>
      <c r="I72" s="23"/>
      <c r="J72" s="25"/>
      <c r="K72" s="25"/>
      <c r="L72" s="24"/>
      <c r="M72" s="25"/>
      <c r="N72" s="25"/>
      <c r="O72" s="24"/>
      <c r="P72" s="24"/>
      <c r="Q72" s="25"/>
      <c r="R72" s="25"/>
      <c r="S72" s="25"/>
      <c r="T72" s="25"/>
      <c r="U72" s="63"/>
      <c r="V72" s="26"/>
      <c r="W72" s="63"/>
      <c r="X72" s="165"/>
      <c r="Y72" s="63"/>
      <c r="Z72" s="165"/>
      <c r="AA72" s="63"/>
      <c r="AB72" s="165"/>
      <c r="AC72" s="63"/>
      <c r="AD72" s="165"/>
      <c r="AE72" s="63"/>
      <c r="AF72" s="165"/>
      <c r="AG72" s="63"/>
      <c r="AH72" s="165"/>
      <c r="AI72" s="63"/>
      <c r="AJ72" s="165"/>
      <c r="AK72" s="63"/>
      <c r="AL72" s="165"/>
      <c r="AM72" s="63"/>
      <c r="AN72" s="165"/>
      <c r="AO72" s="63"/>
      <c r="AP72" s="165"/>
      <c r="AQ72" s="63"/>
      <c r="AR72" s="165"/>
      <c r="AS72" s="63"/>
      <c r="AT72" s="165"/>
      <c r="AU72" s="63"/>
      <c r="AV72" s="165"/>
    </row>
    <row r="73" spans="1:48" ht="30" x14ac:dyDescent="0.25">
      <c r="A73" s="197" t="str">
        <f>tblSeverityReference[[#This Row],[Admin 2 P-Code]]</f>
        <v>SD06138</v>
      </c>
      <c r="B73" s="127" t="s">
        <v>141</v>
      </c>
      <c r="C73" s="60" t="s">
        <v>123</v>
      </c>
      <c r="D73" s="146" t="s">
        <v>163</v>
      </c>
      <c r="E73" s="60" t="s">
        <v>162</v>
      </c>
      <c r="F73" s="118"/>
      <c r="G73" s="118"/>
      <c r="H73" s="118"/>
      <c r="I73" s="23"/>
      <c r="J73" s="25"/>
      <c r="K73" s="25"/>
      <c r="L73" s="24"/>
      <c r="M73" s="25"/>
      <c r="N73" s="25"/>
      <c r="O73" s="24"/>
      <c r="P73" s="24"/>
      <c r="Q73" s="25"/>
      <c r="R73" s="25"/>
      <c r="S73" s="25"/>
      <c r="T73" s="25"/>
      <c r="U73" s="63"/>
      <c r="V73" s="26"/>
      <c r="W73" s="32"/>
      <c r="X73" s="166"/>
      <c r="Y73" s="32"/>
      <c r="Z73" s="166"/>
      <c r="AA73" s="32"/>
      <c r="AB73" s="166"/>
      <c r="AC73" s="32"/>
      <c r="AD73" s="166"/>
      <c r="AE73" s="32"/>
      <c r="AF73" s="166"/>
      <c r="AG73" s="32"/>
      <c r="AH73" s="166"/>
      <c r="AI73" s="32"/>
      <c r="AJ73" s="166"/>
      <c r="AK73" s="32"/>
      <c r="AL73" s="166"/>
      <c r="AM73" s="32"/>
      <c r="AN73" s="166"/>
      <c r="AO73" s="32"/>
      <c r="AP73" s="166"/>
      <c r="AQ73" s="32"/>
      <c r="AR73" s="166"/>
      <c r="AS73" s="32"/>
      <c r="AT73" s="166"/>
      <c r="AU73" s="32"/>
      <c r="AV73" s="166"/>
    </row>
    <row r="74" spans="1:48" ht="30" x14ac:dyDescent="0.25">
      <c r="A74" s="197" t="str">
        <f>tblSeverityReference[[#This Row],[Admin 2 P-Code]]</f>
        <v>SD06139</v>
      </c>
      <c r="B74" s="127" t="s">
        <v>141</v>
      </c>
      <c r="C74" s="60" t="s">
        <v>123</v>
      </c>
      <c r="D74" s="146" t="s">
        <v>166</v>
      </c>
      <c r="E74" s="60" t="s">
        <v>165</v>
      </c>
      <c r="F74" s="118"/>
      <c r="G74" s="118"/>
      <c r="H74" s="118"/>
      <c r="I74" s="23"/>
      <c r="J74" s="25"/>
      <c r="K74" s="25"/>
      <c r="L74" s="24"/>
      <c r="M74" s="25"/>
      <c r="N74" s="25"/>
      <c r="O74" s="24"/>
      <c r="P74" s="24"/>
      <c r="Q74" s="25"/>
      <c r="R74" s="25"/>
      <c r="S74" s="25"/>
      <c r="T74" s="25"/>
      <c r="U74" s="63"/>
      <c r="V74" s="26"/>
      <c r="W74" s="63"/>
      <c r="X74" s="165"/>
      <c r="Y74" s="63"/>
      <c r="Z74" s="165"/>
      <c r="AA74" s="63"/>
      <c r="AB74" s="165"/>
      <c r="AC74" s="63"/>
      <c r="AD74" s="165"/>
      <c r="AE74" s="63"/>
      <c r="AF74" s="165"/>
      <c r="AG74" s="63"/>
      <c r="AH74" s="165"/>
      <c r="AI74" s="63"/>
      <c r="AJ74" s="165"/>
      <c r="AK74" s="63"/>
      <c r="AL74" s="165"/>
      <c r="AM74" s="63"/>
      <c r="AN74" s="165"/>
      <c r="AO74" s="63"/>
      <c r="AP74" s="165"/>
      <c r="AQ74" s="63"/>
      <c r="AR74" s="165"/>
      <c r="AS74" s="63"/>
      <c r="AT74" s="165"/>
      <c r="AU74" s="63"/>
      <c r="AV74" s="165"/>
    </row>
    <row r="75" spans="1:48" ht="30" x14ac:dyDescent="0.25">
      <c r="A75" s="197" t="str">
        <f>tblSeverityReference[[#This Row],[Admin 2 P-Code]]</f>
        <v>SD07088</v>
      </c>
      <c r="B75" s="127" t="s">
        <v>188</v>
      </c>
      <c r="C75" s="60" t="s">
        <v>124</v>
      </c>
      <c r="D75" s="146" t="s">
        <v>336</v>
      </c>
      <c r="E75" s="60" t="s">
        <v>337</v>
      </c>
      <c r="F75" s="131"/>
      <c r="G75" s="131"/>
      <c r="H75" s="131"/>
      <c r="I75" s="132"/>
      <c r="J75" s="31"/>
      <c r="K75" s="25"/>
      <c r="L75" s="129"/>
      <c r="M75" s="133"/>
      <c r="N75" s="25"/>
      <c r="O75" s="132"/>
      <c r="P75" s="132"/>
      <c r="Q75" s="25"/>
      <c r="R75" s="25"/>
      <c r="S75" s="25"/>
      <c r="T75" s="25"/>
      <c r="U75" s="32"/>
      <c r="V75" s="130"/>
      <c r="W75" s="63"/>
      <c r="X75" s="165"/>
      <c r="Y75" s="63"/>
      <c r="Z75" s="165"/>
      <c r="AA75" s="63"/>
      <c r="AB75" s="165"/>
      <c r="AC75" s="63"/>
      <c r="AD75" s="165"/>
      <c r="AE75" s="63"/>
      <c r="AF75" s="165"/>
      <c r="AG75" s="63"/>
      <c r="AH75" s="165"/>
      <c r="AI75" s="63"/>
      <c r="AJ75" s="165"/>
      <c r="AK75" s="63"/>
      <c r="AL75" s="165"/>
      <c r="AM75" s="63"/>
      <c r="AN75" s="165"/>
      <c r="AO75" s="63"/>
      <c r="AP75" s="165"/>
      <c r="AQ75" s="63"/>
      <c r="AR75" s="165"/>
      <c r="AS75" s="63"/>
      <c r="AT75" s="165"/>
      <c r="AU75" s="63"/>
      <c r="AV75" s="165"/>
    </row>
    <row r="76" spans="1:48" ht="30" x14ac:dyDescent="0.25">
      <c r="A76" s="197" t="str">
        <f>tblSeverityReference[[#This Row],[Admin 2 P-Code]]</f>
        <v>SD07089</v>
      </c>
      <c r="B76" s="127" t="s">
        <v>188</v>
      </c>
      <c r="C76" s="60" t="s">
        <v>124</v>
      </c>
      <c r="D76" s="146" t="s">
        <v>338</v>
      </c>
      <c r="E76" s="60" t="s">
        <v>339</v>
      </c>
      <c r="F76" s="131"/>
      <c r="G76" s="131"/>
      <c r="H76" s="131"/>
      <c r="I76" s="132"/>
      <c r="J76" s="31"/>
      <c r="K76" s="25"/>
      <c r="L76" s="129"/>
      <c r="M76" s="133"/>
      <c r="N76" s="25"/>
      <c r="O76" s="132"/>
      <c r="P76" s="132"/>
      <c r="Q76" s="25"/>
      <c r="R76" s="25"/>
      <c r="S76" s="25"/>
      <c r="T76" s="25"/>
      <c r="U76" s="32"/>
      <c r="V76" s="130"/>
      <c r="W76" s="63"/>
      <c r="X76" s="165"/>
      <c r="Y76" s="63"/>
      <c r="Z76" s="165"/>
      <c r="AA76" s="63"/>
      <c r="AB76" s="165"/>
      <c r="AC76" s="63"/>
      <c r="AD76" s="165"/>
      <c r="AE76" s="63"/>
      <c r="AF76" s="165"/>
      <c r="AG76" s="63"/>
      <c r="AH76" s="165"/>
      <c r="AI76" s="63"/>
      <c r="AJ76" s="165"/>
      <c r="AK76" s="63"/>
      <c r="AL76" s="165"/>
      <c r="AM76" s="63"/>
      <c r="AN76" s="165"/>
      <c r="AO76" s="63"/>
      <c r="AP76" s="165"/>
      <c r="AQ76" s="63"/>
      <c r="AR76" s="165"/>
      <c r="AS76" s="63"/>
      <c r="AT76" s="165"/>
      <c r="AU76" s="63"/>
      <c r="AV76" s="165"/>
    </row>
    <row r="77" spans="1:48" ht="30" x14ac:dyDescent="0.25">
      <c r="A77" s="197" t="str">
        <f>tblSeverityReference[[#This Row],[Admin 2 P-Code]]</f>
        <v>SD07090</v>
      </c>
      <c r="B77" s="127" t="s">
        <v>188</v>
      </c>
      <c r="C77" s="60" t="s">
        <v>124</v>
      </c>
      <c r="D77" s="146" t="s">
        <v>340</v>
      </c>
      <c r="E77" s="60" t="s">
        <v>341</v>
      </c>
      <c r="F77" s="131"/>
      <c r="G77" s="131"/>
      <c r="H77" s="131"/>
      <c r="I77" s="132"/>
      <c r="J77" s="31"/>
      <c r="K77" s="25"/>
      <c r="L77" s="129"/>
      <c r="M77" s="133"/>
      <c r="N77" s="25"/>
      <c r="O77" s="132"/>
      <c r="P77" s="132"/>
      <c r="Q77" s="25"/>
      <c r="R77" s="25"/>
      <c r="S77" s="25"/>
      <c r="T77" s="25"/>
      <c r="U77" s="32"/>
      <c r="V77" s="130"/>
      <c r="W77" s="63"/>
      <c r="X77" s="165"/>
      <c r="Y77" s="63"/>
      <c r="Z77" s="165"/>
      <c r="AA77" s="63"/>
      <c r="AB77" s="165"/>
      <c r="AC77" s="63"/>
      <c r="AD77" s="165"/>
      <c r="AE77" s="63"/>
      <c r="AF77" s="165"/>
      <c r="AG77" s="63"/>
      <c r="AH77" s="165"/>
      <c r="AI77" s="63"/>
      <c r="AJ77" s="165"/>
      <c r="AK77" s="63"/>
      <c r="AL77" s="165"/>
      <c r="AM77" s="63"/>
      <c r="AN77" s="165"/>
      <c r="AO77" s="63"/>
      <c r="AP77" s="165"/>
      <c r="AQ77" s="63"/>
      <c r="AR77" s="165"/>
      <c r="AS77" s="63"/>
      <c r="AT77" s="165"/>
      <c r="AU77" s="63"/>
      <c r="AV77" s="165"/>
    </row>
    <row r="78" spans="1:48" ht="30" x14ac:dyDescent="0.25">
      <c r="A78" s="197" t="str">
        <f>tblSeverityReference[[#This Row],[Admin 2 P-Code]]</f>
        <v>SD07091</v>
      </c>
      <c r="B78" s="127" t="s">
        <v>188</v>
      </c>
      <c r="C78" s="60" t="s">
        <v>124</v>
      </c>
      <c r="D78" s="146" t="s">
        <v>342</v>
      </c>
      <c r="E78" s="60" t="s">
        <v>343</v>
      </c>
      <c r="F78" s="131"/>
      <c r="G78" s="131"/>
      <c r="H78" s="131"/>
      <c r="I78" s="132"/>
      <c r="J78" s="31"/>
      <c r="K78" s="25"/>
      <c r="L78" s="129"/>
      <c r="M78" s="133"/>
      <c r="N78" s="25"/>
      <c r="O78" s="132"/>
      <c r="P78" s="132"/>
      <c r="Q78" s="25"/>
      <c r="R78" s="25"/>
      <c r="S78" s="25"/>
      <c r="T78" s="25"/>
      <c r="U78" s="32"/>
      <c r="V78" s="130"/>
      <c r="W78" s="63"/>
      <c r="X78" s="165"/>
      <c r="Y78" s="63"/>
      <c r="Z78" s="165"/>
      <c r="AA78" s="63"/>
      <c r="AB78" s="165"/>
      <c r="AC78" s="63"/>
      <c r="AD78" s="165"/>
      <c r="AE78" s="63"/>
      <c r="AF78" s="165"/>
      <c r="AG78" s="63"/>
      <c r="AH78" s="165"/>
      <c r="AI78" s="63"/>
      <c r="AJ78" s="165"/>
      <c r="AK78" s="63"/>
      <c r="AL78" s="165"/>
      <c r="AM78" s="63"/>
      <c r="AN78" s="165"/>
      <c r="AO78" s="63"/>
      <c r="AP78" s="165"/>
      <c r="AQ78" s="63"/>
      <c r="AR78" s="165"/>
      <c r="AS78" s="63"/>
      <c r="AT78" s="165"/>
      <c r="AU78" s="63"/>
      <c r="AV78" s="165"/>
    </row>
    <row r="79" spans="1:48" ht="30" x14ac:dyDescent="0.25">
      <c r="A79" s="197" t="str">
        <f>tblSeverityReference[[#This Row],[Admin 2 P-Code]]</f>
        <v>SD07093</v>
      </c>
      <c r="B79" s="127" t="s">
        <v>188</v>
      </c>
      <c r="C79" s="60" t="s">
        <v>124</v>
      </c>
      <c r="D79" s="146" t="s">
        <v>344</v>
      </c>
      <c r="E79" s="60" t="s">
        <v>345</v>
      </c>
      <c r="F79" s="131"/>
      <c r="G79" s="131"/>
      <c r="H79" s="131"/>
      <c r="I79" s="132"/>
      <c r="J79" s="31"/>
      <c r="K79" s="25"/>
      <c r="L79" s="129"/>
      <c r="M79" s="133"/>
      <c r="N79" s="25"/>
      <c r="O79" s="132"/>
      <c r="P79" s="132"/>
      <c r="Q79" s="25"/>
      <c r="R79" s="25"/>
      <c r="S79" s="25"/>
      <c r="T79" s="25"/>
      <c r="U79" s="32"/>
      <c r="V79" s="130"/>
      <c r="W79" s="63"/>
      <c r="X79" s="165"/>
      <c r="Y79" s="63"/>
      <c r="Z79" s="165"/>
      <c r="AA79" s="63"/>
      <c r="AB79" s="165"/>
      <c r="AC79" s="63"/>
      <c r="AD79" s="165"/>
      <c r="AE79" s="63"/>
      <c r="AF79" s="165"/>
      <c r="AG79" s="63"/>
      <c r="AH79" s="165"/>
      <c r="AI79" s="63"/>
      <c r="AJ79" s="165"/>
      <c r="AK79" s="63"/>
      <c r="AL79" s="165"/>
      <c r="AM79" s="63"/>
      <c r="AN79" s="165"/>
      <c r="AO79" s="63"/>
      <c r="AP79" s="165"/>
      <c r="AQ79" s="63"/>
      <c r="AR79" s="165"/>
      <c r="AS79" s="63"/>
      <c r="AT79" s="165"/>
      <c r="AU79" s="63"/>
      <c r="AV79" s="165"/>
    </row>
    <row r="80" spans="1:48" ht="30" x14ac:dyDescent="0.25">
      <c r="A80" s="197" t="str">
        <f>tblSeverityReference[[#This Row],[Admin 2 P-Code]]</f>
        <v>SD07094</v>
      </c>
      <c r="B80" s="127" t="s">
        <v>188</v>
      </c>
      <c r="C80" s="60" t="s">
        <v>124</v>
      </c>
      <c r="D80" s="146" t="s">
        <v>346</v>
      </c>
      <c r="E80" s="60" t="s">
        <v>347</v>
      </c>
      <c r="F80" s="131"/>
      <c r="G80" s="131"/>
      <c r="H80" s="131"/>
      <c r="I80" s="132"/>
      <c r="J80" s="31"/>
      <c r="K80" s="25"/>
      <c r="L80" s="129"/>
      <c r="M80" s="133"/>
      <c r="N80" s="25"/>
      <c r="O80" s="132"/>
      <c r="P80" s="132"/>
      <c r="Q80" s="25"/>
      <c r="R80" s="25"/>
      <c r="S80" s="25"/>
      <c r="T80" s="25"/>
      <c r="U80" s="32"/>
      <c r="V80" s="130"/>
      <c r="W80" s="32"/>
      <c r="X80" s="166"/>
      <c r="Y80" s="32"/>
      <c r="Z80" s="166"/>
      <c r="AA80" s="32"/>
      <c r="AB80" s="166"/>
      <c r="AC80" s="32"/>
      <c r="AD80" s="166"/>
      <c r="AE80" s="32"/>
      <c r="AF80" s="166"/>
      <c r="AG80" s="32"/>
      <c r="AH80" s="166"/>
      <c r="AI80" s="32"/>
      <c r="AJ80" s="166"/>
      <c r="AK80" s="32"/>
      <c r="AL80" s="166"/>
      <c r="AM80" s="32"/>
      <c r="AN80" s="166"/>
      <c r="AO80" s="32"/>
      <c r="AP80" s="166"/>
      <c r="AQ80" s="32"/>
      <c r="AR80" s="166"/>
      <c r="AS80" s="32"/>
      <c r="AT80" s="166"/>
      <c r="AU80" s="32"/>
      <c r="AV80" s="166"/>
    </row>
    <row r="81" spans="1:48" ht="30" x14ac:dyDescent="0.25">
      <c r="A81" s="197" t="str">
        <f>tblSeverityReference[[#This Row],[Admin 2 P-Code]]</f>
        <v>SD07095</v>
      </c>
      <c r="B81" s="127" t="s">
        <v>188</v>
      </c>
      <c r="C81" s="60" t="s">
        <v>124</v>
      </c>
      <c r="D81" s="146" t="s">
        <v>348</v>
      </c>
      <c r="E81" s="60" t="s">
        <v>349</v>
      </c>
      <c r="F81" s="131"/>
      <c r="G81" s="131"/>
      <c r="H81" s="131"/>
      <c r="I81" s="132"/>
      <c r="J81" s="31"/>
      <c r="K81" s="25"/>
      <c r="L81" s="129"/>
      <c r="M81" s="133"/>
      <c r="N81" s="25"/>
      <c r="O81" s="132"/>
      <c r="P81" s="132"/>
      <c r="Q81" s="25"/>
      <c r="R81" s="25"/>
      <c r="S81" s="25"/>
      <c r="T81" s="25"/>
      <c r="U81" s="32"/>
      <c r="V81" s="130"/>
      <c r="W81" s="63"/>
      <c r="X81" s="165"/>
      <c r="Y81" s="63"/>
      <c r="Z81" s="165"/>
      <c r="AA81" s="63"/>
      <c r="AB81" s="165"/>
      <c r="AC81" s="63"/>
      <c r="AD81" s="165"/>
      <c r="AE81" s="63"/>
      <c r="AF81" s="165"/>
      <c r="AG81" s="63"/>
      <c r="AH81" s="165"/>
      <c r="AI81" s="63"/>
      <c r="AJ81" s="165"/>
      <c r="AK81" s="63"/>
      <c r="AL81" s="165"/>
      <c r="AM81" s="63"/>
      <c r="AN81" s="165"/>
      <c r="AO81" s="63"/>
      <c r="AP81" s="165"/>
      <c r="AQ81" s="63"/>
      <c r="AR81" s="165"/>
      <c r="AS81" s="63"/>
      <c r="AT81" s="165"/>
      <c r="AU81" s="63"/>
      <c r="AV81" s="165"/>
    </row>
    <row r="82" spans="1:48" ht="30" x14ac:dyDescent="0.25">
      <c r="A82" s="197" t="str">
        <f>tblSeverityReference[[#This Row],[Admin 2 P-Code]]</f>
        <v>SD07096</v>
      </c>
      <c r="B82" s="127" t="s">
        <v>188</v>
      </c>
      <c r="C82" s="60" t="s">
        <v>124</v>
      </c>
      <c r="D82" s="146" t="s">
        <v>350</v>
      </c>
      <c r="E82" s="60" t="s">
        <v>351</v>
      </c>
      <c r="F82" s="131"/>
      <c r="G82" s="131"/>
      <c r="H82" s="131"/>
      <c r="I82" s="132"/>
      <c r="J82" s="31"/>
      <c r="K82" s="25"/>
      <c r="L82" s="129"/>
      <c r="M82" s="133"/>
      <c r="N82" s="25"/>
      <c r="O82" s="132"/>
      <c r="P82" s="132"/>
      <c r="Q82" s="25"/>
      <c r="R82" s="25"/>
      <c r="S82" s="25"/>
      <c r="T82" s="25"/>
      <c r="U82" s="32"/>
      <c r="V82" s="130"/>
      <c r="W82" s="63"/>
      <c r="X82" s="165"/>
      <c r="Y82" s="63"/>
      <c r="Z82" s="165"/>
      <c r="AA82" s="63"/>
      <c r="AB82" s="165"/>
      <c r="AC82" s="63"/>
      <c r="AD82" s="165"/>
      <c r="AE82" s="63"/>
      <c r="AF82" s="165"/>
      <c r="AG82" s="63"/>
      <c r="AH82" s="165"/>
      <c r="AI82" s="63"/>
      <c r="AJ82" s="165"/>
      <c r="AK82" s="63"/>
      <c r="AL82" s="165"/>
      <c r="AM82" s="63"/>
      <c r="AN82" s="165"/>
      <c r="AO82" s="63"/>
      <c r="AP82" s="165"/>
      <c r="AQ82" s="63"/>
      <c r="AR82" s="165"/>
      <c r="AS82" s="63"/>
      <c r="AT82" s="165"/>
      <c r="AU82" s="63"/>
      <c r="AV82" s="165"/>
    </row>
    <row r="83" spans="1:48" ht="30" x14ac:dyDescent="0.25">
      <c r="A83" s="197" t="str">
        <f>tblSeverityReference[[#This Row],[Admin 2 P-Code]]</f>
        <v>SD07097</v>
      </c>
      <c r="B83" s="127" t="s">
        <v>188</v>
      </c>
      <c r="C83" s="60" t="s">
        <v>124</v>
      </c>
      <c r="D83" s="146" t="s">
        <v>352</v>
      </c>
      <c r="E83" s="60" t="s">
        <v>353</v>
      </c>
      <c r="F83" s="131"/>
      <c r="G83" s="131"/>
      <c r="H83" s="131"/>
      <c r="I83" s="132"/>
      <c r="J83" s="31"/>
      <c r="K83" s="25"/>
      <c r="L83" s="129"/>
      <c r="M83" s="133"/>
      <c r="N83" s="25"/>
      <c r="O83" s="132"/>
      <c r="P83" s="132"/>
      <c r="Q83" s="25"/>
      <c r="R83" s="25"/>
      <c r="S83" s="25"/>
      <c r="T83" s="25"/>
      <c r="U83" s="32"/>
      <c r="V83" s="130"/>
      <c r="W83" s="63"/>
      <c r="X83" s="165"/>
      <c r="Y83" s="63"/>
      <c r="Z83" s="165"/>
      <c r="AA83" s="63"/>
      <c r="AB83" s="165"/>
      <c r="AC83" s="63"/>
      <c r="AD83" s="165"/>
      <c r="AE83" s="63"/>
      <c r="AF83" s="165"/>
      <c r="AG83" s="63"/>
      <c r="AH83" s="165"/>
      <c r="AI83" s="63"/>
      <c r="AJ83" s="165"/>
      <c r="AK83" s="63"/>
      <c r="AL83" s="165"/>
      <c r="AM83" s="63"/>
      <c r="AN83" s="165"/>
      <c r="AO83" s="63"/>
      <c r="AP83" s="165"/>
      <c r="AQ83" s="63"/>
      <c r="AR83" s="165"/>
      <c r="AS83" s="63"/>
      <c r="AT83" s="165"/>
      <c r="AU83" s="63"/>
      <c r="AV83" s="165"/>
    </row>
    <row r="84" spans="1:48" ht="30" x14ac:dyDescent="0.25">
      <c r="A84" s="197" t="str">
        <f>tblSeverityReference[[#This Row],[Admin 2 P-Code]]</f>
        <v>SD07098</v>
      </c>
      <c r="B84" s="127" t="s">
        <v>188</v>
      </c>
      <c r="C84" s="60" t="s">
        <v>124</v>
      </c>
      <c r="D84" s="146" t="s">
        <v>354</v>
      </c>
      <c r="E84" s="60" t="s">
        <v>355</v>
      </c>
      <c r="F84" s="131"/>
      <c r="G84" s="131"/>
      <c r="H84" s="131"/>
      <c r="I84" s="132"/>
      <c r="J84" s="31"/>
      <c r="K84" s="25"/>
      <c r="L84" s="129"/>
      <c r="M84" s="133"/>
      <c r="N84" s="25"/>
      <c r="O84" s="132"/>
      <c r="P84" s="132"/>
      <c r="Q84" s="25"/>
      <c r="R84" s="25"/>
      <c r="S84" s="25"/>
      <c r="T84" s="25"/>
      <c r="U84" s="32"/>
      <c r="V84" s="130"/>
      <c r="W84" s="63"/>
      <c r="X84" s="165"/>
      <c r="Y84" s="63"/>
      <c r="Z84" s="165"/>
      <c r="AA84" s="63"/>
      <c r="AB84" s="165"/>
      <c r="AC84" s="63"/>
      <c r="AD84" s="165"/>
      <c r="AE84" s="63"/>
      <c r="AF84" s="165"/>
      <c r="AG84" s="63"/>
      <c r="AH84" s="165"/>
      <c r="AI84" s="63"/>
      <c r="AJ84" s="165"/>
      <c r="AK84" s="63"/>
      <c r="AL84" s="165"/>
      <c r="AM84" s="63"/>
      <c r="AN84" s="165"/>
      <c r="AO84" s="63"/>
      <c r="AP84" s="165"/>
      <c r="AQ84" s="63"/>
      <c r="AR84" s="165"/>
      <c r="AS84" s="63"/>
      <c r="AT84" s="165"/>
      <c r="AU84" s="63"/>
      <c r="AV84" s="165"/>
    </row>
    <row r="85" spans="1:48" ht="30" x14ac:dyDescent="0.25">
      <c r="A85" s="197" t="str">
        <f>tblSeverityReference[[#This Row],[Admin 2 P-Code]]</f>
        <v>SD07099</v>
      </c>
      <c r="B85" s="127" t="s">
        <v>188</v>
      </c>
      <c r="C85" s="60" t="s">
        <v>124</v>
      </c>
      <c r="D85" s="146" t="s">
        <v>356</v>
      </c>
      <c r="E85" s="60" t="s">
        <v>357</v>
      </c>
      <c r="F85" s="131"/>
      <c r="G85" s="131"/>
      <c r="H85" s="131"/>
      <c r="I85" s="132"/>
      <c r="J85" s="31"/>
      <c r="K85" s="25"/>
      <c r="L85" s="129"/>
      <c r="M85" s="133"/>
      <c r="N85" s="25"/>
      <c r="O85" s="132"/>
      <c r="P85" s="132"/>
      <c r="Q85" s="25"/>
      <c r="R85" s="25"/>
      <c r="S85" s="25"/>
      <c r="T85" s="25"/>
      <c r="U85" s="32"/>
      <c r="V85" s="130"/>
      <c r="W85" s="63"/>
      <c r="X85" s="165"/>
      <c r="Y85" s="63"/>
      <c r="Z85" s="165"/>
      <c r="AA85" s="63"/>
      <c r="AB85" s="165"/>
      <c r="AC85" s="63"/>
      <c r="AD85" s="165"/>
      <c r="AE85" s="63"/>
      <c r="AF85" s="165"/>
      <c r="AG85" s="63"/>
      <c r="AH85" s="165"/>
      <c r="AI85" s="63"/>
      <c r="AJ85" s="165"/>
      <c r="AK85" s="63"/>
      <c r="AL85" s="165"/>
      <c r="AM85" s="63"/>
      <c r="AN85" s="165"/>
      <c r="AO85" s="63"/>
      <c r="AP85" s="165"/>
      <c r="AQ85" s="63"/>
      <c r="AR85" s="165"/>
      <c r="AS85" s="63"/>
      <c r="AT85" s="165"/>
      <c r="AU85" s="63"/>
      <c r="AV85" s="165"/>
    </row>
    <row r="86" spans="1:48" ht="30" x14ac:dyDescent="0.25">
      <c r="A86" s="197" t="str">
        <f>tblSeverityReference[[#This Row],[Admin 2 P-Code]]</f>
        <v>SD07103</v>
      </c>
      <c r="B86" s="127" t="s">
        <v>188</v>
      </c>
      <c r="C86" s="60" t="s">
        <v>124</v>
      </c>
      <c r="D86" s="146" t="s">
        <v>358</v>
      </c>
      <c r="E86" s="60" t="s">
        <v>359</v>
      </c>
      <c r="F86" s="131"/>
      <c r="G86" s="131"/>
      <c r="H86" s="131"/>
      <c r="I86" s="132"/>
      <c r="J86" s="31"/>
      <c r="K86" s="25"/>
      <c r="L86" s="129"/>
      <c r="M86" s="133"/>
      <c r="N86" s="25"/>
      <c r="O86" s="132"/>
      <c r="P86" s="132"/>
      <c r="Q86" s="25"/>
      <c r="R86" s="25"/>
      <c r="S86" s="25"/>
      <c r="T86" s="25"/>
      <c r="U86" s="32"/>
      <c r="V86" s="130"/>
      <c r="W86" s="63"/>
      <c r="X86" s="165"/>
      <c r="Y86" s="63"/>
      <c r="Z86" s="165"/>
      <c r="AA86" s="63"/>
      <c r="AB86" s="165"/>
      <c r="AC86" s="63"/>
      <c r="AD86" s="165"/>
      <c r="AE86" s="63"/>
      <c r="AF86" s="165"/>
      <c r="AG86" s="63"/>
      <c r="AH86" s="165"/>
      <c r="AI86" s="63"/>
      <c r="AJ86" s="165"/>
      <c r="AK86" s="63"/>
      <c r="AL86" s="165"/>
      <c r="AM86" s="63"/>
      <c r="AN86" s="165"/>
      <c r="AO86" s="63"/>
      <c r="AP86" s="165"/>
      <c r="AQ86" s="63"/>
      <c r="AR86" s="165"/>
      <c r="AS86" s="63"/>
      <c r="AT86" s="165"/>
      <c r="AU86" s="63"/>
      <c r="AV86" s="165"/>
    </row>
    <row r="87" spans="1:48" ht="30" x14ac:dyDescent="0.25">
      <c r="A87" s="197" t="str">
        <f>tblSeverityReference[[#This Row],[Admin 2 P-Code]]</f>
        <v>SD07104</v>
      </c>
      <c r="B87" s="127" t="s">
        <v>188</v>
      </c>
      <c r="C87" s="60" t="s">
        <v>124</v>
      </c>
      <c r="D87" s="146" t="s">
        <v>360</v>
      </c>
      <c r="E87" s="60" t="s">
        <v>361</v>
      </c>
      <c r="F87" s="131"/>
      <c r="G87" s="131"/>
      <c r="H87" s="131"/>
      <c r="I87" s="132"/>
      <c r="J87" s="31"/>
      <c r="K87" s="25"/>
      <c r="L87" s="129"/>
      <c r="M87" s="133"/>
      <c r="N87" s="25"/>
      <c r="O87" s="132"/>
      <c r="P87" s="132"/>
      <c r="Q87" s="25"/>
      <c r="R87" s="25"/>
      <c r="S87" s="25"/>
      <c r="T87" s="25"/>
      <c r="U87" s="32"/>
      <c r="V87" s="130"/>
      <c r="W87" s="32"/>
      <c r="X87" s="166"/>
      <c r="Y87" s="32"/>
      <c r="Z87" s="166"/>
      <c r="AA87" s="32"/>
      <c r="AB87" s="166"/>
      <c r="AC87" s="32"/>
      <c r="AD87" s="166"/>
      <c r="AE87" s="32"/>
      <c r="AF87" s="166"/>
      <c r="AG87" s="32"/>
      <c r="AH87" s="166"/>
      <c r="AI87" s="32"/>
      <c r="AJ87" s="166"/>
      <c r="AK87" s="32"/>
      <c r="AL87" s="166"/>
      <c r="AM87" s="32"/>
      <c r="AN87" s="166"/>
      <c r="AO87" s="32"/>
      <c r="AP87" s="166"/>
      <c r="AQ87" s="32"/>
      <c r="AR87" s="166"/>
      <c r="AS87" s="32"/>
      <c r="AT87" s="166"/>
      <c r="AU87" s="32"/>
      <c r="AV87" s="166"/>
    </row>
    <row r="88" spans="1:48" ht="30" x14ac:dyDescent="0.25">
      <c r="A88" s="197" t="str">
        <f>tblSeverityReference[[#This Row],[Admin 2 P-Code]]</f>
        <v>SD07105</v>
      </c>
      <c r="B88" s="127" t="s">
        <v>188</v>
      </c>
      <c r="C88" s="60" t="s">
        <v>124</v>
      </c>
      <c r="D88" s="146" t="s">
        <v>362</v>
      </c>
      <c r="E88" s="60" t="s">
        <v>363</v>
      </c>
      <c r="F88" s="131"/>
      <c r="G88" s="131"/>
      <c r="H88" s="131"/>
      <c r="I88" s="132"/>
      <c r="J88" s="31"/>
      <c r="K88" s="25"/>
      <c r="L88" s="129"/>
      <c r="M88" s="133"/>
      <c r="N88" s="25"/>
      <c r="O88" s="132"/>
      <c r="P88" s="132"/>
      <c r="Q88" s="25"/>
      <c r="R88" s="25"/>
      <c r="S88" s="25"/>
      <c r="T88" s="25"/>
      <c r="U88" s="32"/>
      <c r="V88" s="130"/>
      <c r="W88" s="63"/>
      <c r="X88" s="165"/>
      <c r="Y88" s="63"/>
      <c r="Z88" s="165"/>
      <c r="AA88" s="63"/>
      <c r="AB88" s="165"/>
      <c r="AC88" s="63"/>
      <c r="AD88" s="165"/>
      <c r="AE88" s="63"/>
      <c r="AF88" s="165"/>
      <c r="AG88" s="63"/>
      <c r="AH88" s="165"/>
      <c r="AI88" s="63"/>
      <c r="AJ88" s="165"/>
      <c r="AK88" s="63"/>
      <c r="AL88" s="165"/>
      <c r="AM88" s="63"/>
      <c r="AN88" s="165"/>
      <c r="AO88" s="63"/>
      <c r="AP88" s="165"/>
      <c r="AQ88" s="63"/>
      <c r="AR88" s="165"/>
      <c r="AS88" s="63"/>
      <c r="AT88" s="165"/>
      <c r="AU88" s="63"/>
      <c r="AV88" s="165"/>
    </row>
    <row r="89" spans="1:48" ht="30" x14ac:dyDescent="0.25">
      <c r="A89" s="197" t="str">
        <f>tblSeverityReference[[#This Row],[Admin 2 P-Code]]</f>
        <v>SD07106</v>
      </c>
      <c r="B89" s="127" t="s">
        <v>188</v>
      </c>
      <c r="C89" s="60" t="s">
        <v>124</v>
      </c>
      <c r="D89" s="146" t="s">
        <v>364</v>
      </c>
      <c r="E89" s="60" t="s">
        <v>365</v>
      </c>
      <c r="F89" s="131"/>
      <c r="G89" s="131"/>
      <c r="H89" s="131"/>
      <c r="I89" s="132"/>
      <c r="J89" s="31"/>
      <c r="K89" s="25"/>
      <c r="L89" s="129"/>
      <c r="M89" s="133"/>
      <c r="N89" s="25"/>
      <c r="O89" s="132"/>
      <c r="P89" s="132"/>
      <c r="Q89" s="25"/>
      <c r="R89" s="25"/>
      <c r="S89" s="25"/>
      <c r="T89" s="25"/>
      <c r="U89" s="32"/>
      <c r="V89" s="130"/>
      <c r="W89" s="63"/>
      <c r="X89" s="165"/>
      <c r="Y89" s="63"/>
      <c r="Z89" s="165"/>
      <c r="AA89" s="63"/>
      <c r="AB89" s="165"/>
      <c r="AC89" s="63"/>
      <c r="AD89" s="165"/>
      <c r="AE89" s="63"/>
      <c r="AF89" s="165"/>
      <c r="AG89" s="63"/>
      <c r="AH89" s="165"/>
      <c r="AI89" s="63"/>
      <c r="AJ89" s="165"/>
      <c r="AK89" s="63"/>
      <c r="AL89" s="165"/>
      <c r="AM89" s="63"/>
      <c r="AN89" s="165"/>
      <c r="AO89" s="63"/>
      <c r="AP89" s="165"/>
      <c r="AQ89" s="63"/>
      <c r="AR89" s="165"/>
      <c r="AS89" s="63"/>
      <c r="AT89" s="165"/>
      <c r="AU89" s="63"/>
      <c r="AV89" s="165"/>
    </row>
    <row r="90" spans="1:48" ht="30" x14ac:dyDescent="0.25">
      <c r="A90" s="197" t="str">
        <f>tblSeverityReference[[#This Row],[Admin 2 P-Code]]</f>
        <v>SD07107</v>
      </c>
      <c r="B90" s="127" t="s">
        <v>188</v>
      </c>
      <c r="C90" s="60" t="s">
        <v>124</v>
      </c>
      <c r="D90" s="146" t="s">
        <v>366</v>
      </c>
      <c r="E90" s="60" t="s">
        <v>367</v>
      </c>
      <c r="F90" s="131"/>
      <c r="G90" s="131"/>
      <c r="H90" s="131"/>
      <c r="I90" s="132"/>
      <c r="J90" s="31"/>
      <c r="K90" s="25"/>
      <c r="L90" s="129"/>
      <c r="M90" s="133"/>
      <c r="N90" s="25"/>
      <c r="O90" s="132"/>
      <c r="P90" s="132"/>
      <c r="Q90" s="25"/>
      <c r="R90" s="25"/>
      <c r="S90" s="25"/>
      <c r="T90" s="25"/>
      <c r="U90" s="32"/>
      <c r="V90" s="130"/>
      <c r="W90" s="63"/>
      <c r="X90" s="165"/>
      <c r="Y90" s="63"/>
      <c r="Z90" s="165"/>
      <c r="AA90" s="63"/>
      <c r="AB90" s="165"/>
      <c r="AC90" s="63"/>
      <c r="AD90" s="165"/>
      <c r="AE90" s="63"/>
      <c r="AF90" s="165"/>
      <c r="AG90" s="63"/>
      <c r="AH90" s="165"/>
      <c r="AI90" s="63"/>
      <c r="AJ90" s="165"/>
      <c r="AK90" s="63"/>
      <c r="AL90" s="165"/>
      <c r="AM90" s="63"/>
      <c r="AN90" s="165"/>
      <c r="AO90" s="63"/>
      <c r="AP90" s="165"/>
      <c r="AQ90" s="63"/>
      <c r="AR90" s="165"/>
      <c r="AS90" s="63"/>
      <c r="AT90" s="165"/>
      <c r="AU90" s="63"/>
      <c r="AV90" s="165"/>
    </row>
    <row r="91" spans="1:48" ht="30" x14ac:dyDescent="0.25">
      <c r="A91" s="197" t="str">
        <f>tblSeverityReference[[#This Row],[Admin 2 P-Code]]</f>
        <v>SD07108</v>
      </c>
      <c r="B91" s="127" t="s">
        <v>188</v>
      </c>
      <c r="C91" s="60" t="s">
        <v>124</v>
      </c>
      <c r="D91" s="146" t="s">
        <v>368</v>
      </c>
      <c r="E91" s="60" t="s">
        <v>369</v>
      </c>
      <c r="F91" s="131"/>
      <c r="G91" s="131"/>
      <c r="H91" s="131"/>
      <c r="I91" s="132"/>
      <c r="J91" s="31"/>
      <c r="K91" s="25"/>
      <c r="L91" s="129"/>
      <c r="M91" s="133"/>
      <c r="N91" s="25"/>
      <c r="O91" s="132"/>
      <c r="P91" s="132"/>
      <c r="Q91" s="25"/>
      <c r="R91" s="25"/>
      <c r="S91" s="25"/>
      <c r="T91" s="25"/>
      <c r="U91" s="32"/>
      <c r="V91" s="130"/>
      <c r="W91" s="63"/>
      <c r="X91" s="165"/>
      <c r="Y91" s="63"/>
      <c r="Z91" s="165"/>
      <c r="AA91" s="63"/>
      <c r="AB91" s="165"/>
      <c r="AC91" s="63"/>
      <c r="AD91" s="165"/>
      <c r="AE91" s="63"/>
      <c r="AF91" s="165"/>
      <c r="AG91" s="63"/>
      <c r="AH91" s="165"/>
      <c r="AI91" s="63"/>
      <c r="AJ91" s="165"/>
      <c r="AK91" s="63"/>
      <c r="AL91" s="165"/>
      <c r="AM91" s="63"/>
      <c r="AN91" s="165"/>
      <c r="AO91" s="63"/>
      <c r="AP91" s="165"/>
      <c r="AQ91" s="63"/>
      <c r="AR91" s="165"/>
      <c r="AS91" s="63"/>
      <c r="AT91" s="165"/>
      <c r="AU91" s="63"/>
      <c r="AV91" s="165"/>
    </row>
    <row r="92" spans="1:48" ht="25.5" x14ac:dyDescent="0.25">
      <c r="A92" s="197" t="str">
        <f>tblSeverityReference[[#This Row],[Admin 2 P-Code]]</f>
        <v>SD08104</v>
      </c>
      <c r="B92" s="127" t="s">
        <v>150</v>
      </c>
      <c r="C92" s="60" t="s">
        <v>125</v>
      </c>
      <c r="D92" s="146" t="s">
        <v>370</v>
      </c>
      <c r="E92" s="60" t="s">
        <v>371</v>
      </c>
      <c r="F92" s="118"/>
      <c r="G92" s="118"/>
      <c r="H92" s="118"/>
      <c r="I92" s="23"/>
      <c r="J92" s="25"/>
      <c r="K92" s="25"/>
      <c r="L92" s="24"/>
      <c r="M92" s="25"/>
      <c r="N92" s="25"/>
      <c r="O92" s="24"/>
      <c r="P92" s="24"/>
      <c r="Q92" s="25"/>
      <c r="R92" s="25"/>
      <c r="S92" s="25"/>
      <c r="T92" s="25"/>
      <c r="U92" s="63"/>
      <c r="V92" s="26"/>
      <c r="W92" s="63"/>
      <c r="X92" s="165"/>
      <c r="Y92" s="63"/>
      <c r="Z92" s="165"/>
      <c r="AA92" s="63"/>
      <c r="AB92" s="165"/>
      <c r="AC92" s="63"/>
      <c r="AD92" s="165"/>
      <c r="AE92" s="63"/>
      <c r="AF92" s="165"/>
      <c r="AG92" s="63"/>
      <c r="AH92" s="165"/>
      <c r="AI92" s="63"/>
      <c r="AJ92" s="165"/>
      <c r="AK92" s="63"/>
      <c r="AL92" s="165"/>
      <c r="AM92" s="63"/>
      <c r="AN92" s="165"/>
      <c r="AO92" s="63"/>
      <c r="AP92" s="165"/>
      <c r="AQ92" s="63"/>
      <c r="AR92" s="165"/>
      <c r="AS92" s="63"/>
      <c r="AT92" s="165"/>
      <c r="AU92" s="63"/>
      <c r="AV92" s="165"/>
    </row>
    <row r="93" spans="1:48" ht="25.5" x14ac:dyDescent="0.25">
      <c r="A93" s="197" t="str">
        <f>tblSeverityReference[[#This Row],[Admin 2 P-Code]]</f>
        <v>SD08105</v>
      </c>
      <c r="B93" s="127" t="s">
        <v>150</v>
      </c>
      <c r="C93" s="60" t="s">
        <v>125</v>
      </c>
      <c r="D93" s="146" t="s">
        <v>372</v>
      </c>
      <c r="E93" s="60" t="s">
        <v>373</v>
      </c>
      <c r="F93" s="118"/>
      <c r="G93" s="118"/>
      <c r="H93" s="118"/>
      <c r="I93" s="23"/>
      <c r="J93" s="25"/>
      <c r="K93" s="25"/>
      <c r="L93" s="24"/>
      <c r="M93" s="25"/>
      <c r="N93" s="25"/>
      <c r="O93" s="24"/>
      <c r="P93" s="24"/>
      <c r="Q93" s="25"/>
      <c r="R93" s="25"/>
      <c r="S93" s="25"/>
      <c r="T93" s="25"/>
      <c r="U93" s="63"/>
      <c r="V93" s="26"/>
      <c r="W93" s="63"/>
      <c r="X93" s="165"/>
      <c r="Y93" s="63"/>
      <c r="Z93" s="165"/>
      <c r="AA93" s="63"/>
      <c r="AB93" s="165"/>
      <c r="AC93" s="63"/>
      <c r="AD93" s="165"/>
      <c r="AE93" s="63"/>
      <c r="AF93" s="165"/>
      <c r="AG93" s="63"/>
      <c r="AH93" s="165"/>
      <c r="AI93" s="63"/>
      <c r="AJ93" s="165"/>
      <c r="AK93" s="63"/>
      <c r="AL93" s="165"/>
      <c r="AM93" s="63"/>
      <c r="AN93" s="165"/>
      <c r="AO93" s="63"/>
      <c r="AP93" s="165"/>
      <c r="AQ93" s="63"/>
      <c r="AR93" s="165"/>
      <c r="AS93" s="63"/>
      <c r="AT93" s="165"/>
      <c r="AU93" s="63"/>
      <c r="AV93" s="165"/>
    </row>
    <row r="94" spans="1:48" ht="25.5" x14ac:dyDescent="0.25">
      <c r="A94" s="197" t="str">
        <f>tblSeverityReference[[#This Row],[Admin 2 P-Code]]</f>
        <v>SD08106</v>
      </c>
      <c r="B94" s="127" t="s">
        <v>150</v>
      </c>
      <c r="C94" s="60" t="s">
        <v>125</v>
      </c>
      <c r="D94" s="146" t="s">
        <v>374</v>
      </c>
      <c r="E94" s="60" t="s">
        <v>375</v>
      </c>
      <c r="F94" s="118"/>
      <c r="G94" s="118"/>
      <c r="H94" s="118"/>
      <c r="I94" s="23"/>
      <c r="J94" s="25"/>
      <c r="K94" s="25"/>
      <c r="L94" s="24"/>
      <c r="M94" s="25"/>
      <c r="N94" s="25"/>
      <c r="O94" s="24"/>
      <c r="P94" s="24"/>
      <c r="Q94" s="25"/>
      <c r="R94" s="25"/>
      <c r="S94" s="25"/>
      <c r="T94" s="25"/>
      <c r="U94" s="63"/>
      <c r="V94" s="26"/>
      <c r="W94" s="32"/>
      <c r="X94" s="166"/>
      <c r="Y94" s="32"/>
      <c r="Z94" s="166"/>
      <c r="AA94" s="32"/>
      <c r="AB94" s="166"/>
      <c r="AC94" s="32"/>
      <c r="AD94" s="166"/>
      <c r="AE94" s="32"/>
      <c r="AF94" s="166"/>
      <c r="AG94" s="32"/>
      <c r="AH94" s="166"/>
      <c r="AI94" s="32"/>
      <c r="AJ94" s="166"/>
      <c r="AK94" s="32"/>
      <c r="AL94" s="166"/>
      <c r="AM94" s="32"/>
      <c r="AN94" s="166"/>
      <c r="AO94" s="32"/>
      <c r="AP94" s="166"/>
      <c r="AQ94" s="32"/>
      <c r="AR94" s="166"/>
      <c r="AS94" s="32"/>
      <c r="AT94" s="166"/>
      <c r="AU94" s="32"/>
      <c r="AV94" s="166"/>
    </row>
    <row r="95" spans="1:48" ht="25.5" x14ac:dyDescent="0.25">
      <c r="A95" s="197" t="str">
        <f>tblSeverityReference[[#This Row],[Admin 2 P-Code]]</f>
        <v>SD08107</v>
      </c>
      <c r="B95" s="127" t="s">
        <v>150</v>
      </c>
      <c r="C95" s="60" t="s">
        <v>125</v>
      </c>
      <c r="D95" s="146" t="s">
        <v>376</v>
      </c>
      <c r="E95" s="60" t="s">
        <v>377</v>
      </c>
      <c r="F95" s="118"/>
      <c r="G95" s="118"/>
      <c r="H95" s="118"/>
      <c r="I95" s="23"/>
      <c r="J95" s="25"/>
      <c r="K95" s="25"/>
      <c r="L95" s="24"/>
      <c r="M95" s="25"/>
      <c r="N95" s="25"/>
      <c r="O95" s="24"/>
      <c r="P95" s="24"/>
      <c r="Q95" s="25"/>
      <c r="R95" s="25"/>
      <c r="S95" s="25"/>
      <c r="T95" s="25"/>
      <c r="U95" s="63"/>
      <c r="V95" s="26"/>
      <c r="W95" s="63"/>
      <c r="X95" s="165"/>
      <c r="Y95" s="63"/>
      <c r="Z95" s="165"/>
      <c r="AA95" s="63"/>
      <c r="AB95" s="165"/>
      <c r="AC95" s="63"/>
      <c r="AD95" s="165"/>
      <c r="AE95" s="63"/>
      <c r="AF95" s="165"/>
      <c r="AG95" s="63"/>
      <c r="AH95" s="165"/>
      <c r="AI95" s="63"/>
      <c r="AJ95" s="165"/>
      <c r="AK95" s="63"/>
      <c r="AL95" s="165"/>
      <c r="AM95" s="63"/>
      <c r="AN95" s="165"/>
      <c r="AO95" s="63"/>
      <c r="AP95" s="165"/>
      <c r="AQ95" s="63"/>
      <c r="AR95" s="165"/>
      <c r="AS95" s="63"/>
      <c r="AT95" s="165"/>
      <c r="AU95" s="63"/>
      <c r="AV95" s="165"/>
    </row>
    <row r="96" spans="1:48" ht="25.5" x14ac:dyDescent="0.25">
      <c r="A96" s="197" t="str">
        <f>tblSeverityReference[[#This Row],[Admin 2 P-Code]]</f>
        <v>SD08108</v>
      </c>
      <c r="B96" s="127" t="s">
        <v>150</v>
      </c>
      <c r="C96" s="60" t="s">
        <v>125</v>
      </c>
      <c r="D96" s="146" t="s">
        <v>378</v>
      </c>
      <c r="E96" s="60" t="s">
        <v>379</v>
      </c>
      <c r="F96" s="118"/>
      <c r="G96" s="118"/>
      <c r="H96" s="118"/>
      <c r="I96" s="23"/>
      <c r="J96" s="25"/>
      <c r="K96" s="25"/>
      <c r="L96" s="24"/>
      <c r="M96" s="25"/>
      <c r="N96" s="25"/>
      <c r="O96" s="24"/>
      <c r="P96" s="24"/>
      <c r="Q96" s="25"/>
      <c r="R96" s="25"/>
      <c r="S96" s="25"/>
      <c r="T96" s="25"/>
      <c r="U96" s="63"/>
      <c r="V96" s="26"/>
      <c r="W96" s="63"/>
      <c r="X96" s="165"/>
      <c r="Y96" s="63"/>
      <c r="Z96" s="165"/>
      <c r="AA96" s="63"/>
      <c r="AB96" s="165"/>
      <c r="AC96" s="63"/>
      <c r="AD96" s="165"/>
      <c r="AE96" s="63"/>
      <c r="AF96" s="165"/>
      <c r="AG96" s="63"/>
      <c r="AH96" s="165"/>
      <c r="AI96" s="63"/>
      <c r="AJ96" s="165"/>
      <c r="AK96" s="63"/>
      <c r="AL96" s="165"/>
      <c r="AM96" s="63"/>
      <c r="AN96" s="165"/>
      <c r="AO96" s="63"/>
      <c r="AP96" s="165"/>
      <c r="AQ96" s="63"/>
      <c r="AR96" s="165"/>
      <c r="AS96" s="63"/>
      <c r="AT96" s="165"/>
      <c r="AU96" s="63"/>
      <c r="AV96" s="165"/>
    </row>
    <row r="97" spans="1:48" ht="25.5" x14ac:dyDescent="0.25">
      <c r="A97" s="197" t="str">
        <f>tblSeverityReference[[#This Row],[Admin 2 P-Code]]</f>
        <v>SD08109</v>
      </c>
      <c r="B97" s="127" t="s">
        <v>150</v>
      </c>
      <c r="C97" s="60" t="s">
        <v>125</v>
      </c>
      <c r="D97" s="146" t="s">
        <v>380</v>
      </c>
      <c r="E97" s="60" t="s">
        <v>381</v>
      </c>
      <c r="F97" s="118"/>
      <c r="G97" s="118"/>
      <c r="H97" s="118"/>
      <c r="I97" s="23"/>
      <c r="J97" s="25"/>
      <c r="K97" s="25"/>
      <c r="L97" s="24"/>
      <c r="M97" s="25"/>
      <c r="N97" s="25"/>
      <c r="O97" s="24"/>
      <c r="P97" s="24"/>
      <c r="Q97" s="25"/>
      <c r="R97" s="25"/>
      <c r="S97" s="25"/>
      <c r="T97" s="25"/>
      <c r="U97" s="63"/>
      <c r="V97" s="26"/>
      <c r="W97" s="63"/>
      <c r="X97" s="165"/>
      <c r="Y97" s="63"/>
      <c r="Z97" s="165"/>
      <c r="AA97" s="63"/>
      <c r="AB97" s="165"/>
      <c r="AC97" s="63"/>
      <c r="AD97" s="165"/>
      <c r="AE97" s="63"/>
      <c r="AF97" s="165"/>
      <c r="AG97" s="63"/>
      <c r="AH97" s="165"/>
      <c r="AI97" s="63"/>
      <c r="AJ97" s="165"/>
      <c r="AK97" s="63"/>
      <c r="AL97" s="165"/>
      <c r="AM97" s="63"/>
      <c r="AN97" s="165"/>
      <c r="AO97" s="63"/>
      <c r="AP97" s="165"/>
      <c r="AQ97" s="63"/>
      <c r="AR97" s="165"/>
      <c r="AS97" s="63"/>
      <c r="AT97" s="165"/>
      <c r="AU97" s="63"/>
      <c r="AV97" s="165"/>
    </row>
    <row r="98" spans="1:48" ht="25.5" x14ac:dyDescent="0.25">
      <c r="A98" s="197" t="str">
        <f>tblSeverityReference[[#This Row],[Admin 2 P-Code]]</f>
        <v>SD08110</v>
      </c>
      <c r="B98" s="127" t="s">
        <v>150</v>
      </c>
      <c r="C98" s="60" t="s">
        <v>125</v>
      </c>
      <c r="D98" s="146" t="s">
        <v>382</v>
      </c>
      <c r="E98" s="60" t="s">
        <v>383</v>
      </c>
      <c r="F98" s="118"/>
      <c r="G98" s="118"/>
      <c r="H98" s="118"/>
      <c r="I98" s="23"/>
      <c r="J98" s="25"/>
      <c r="K98" s="25"/>
      <c r="L98" s="24"/>
      <c r="M98" s="25"/>
      <c r="N98" s="25"/>
      <c r="O98" s="24"/>
      <c r="P98" s="24"/>
      <c r="Q98" s="25"/>
      <c r="R98" s="25"/>
      <c r="S98" s="25"/>
      <c r="T98" s="25"/>
      <c r="U98" s="63"/>
      <c r="V98" s="26"/>
      <c r="W98" s="63"/>
      <c r="X98" s="165"/>
      <c r="Y98" s="63"/>
      <c r="Z98" s="165"/>
      <c r="AA98" s="63"/>
      <c r="AB98" s="165"/>
      <c r="AC98" s="63"/>
      <c r="AD98" s="165"/>
      <c r="AE98" s="63"/>
      <c r="AF98" s="165"/>
      <c r="AG98" s="63"/>
      <c r="AH98" s="165"/>
      <c r="AI98" s="63"/>
      <c r="AJ98" s="165"/>
      <c r="AK98" s="63"/>
      <c r="AL98" s="165"/>
      <c r="AM98" s="63"/>
      <c r="AN98" s="165"/>
      <c r="AO98" s="63"/>
      <c r="AP98" s="165"/>
      <c r="AQ98" s="63"/>
      <c r="AR98" s="165"/>
      <c r="AS98" s="63"/>
      <c r="AT98" s="165"/>
      <c r="AU98" s="63"/>
      <c r="AV98" s="165"/>
    </row>
    <row r="99" spans="1:48" ht="25.5" x14ac:dyDescent="0.25">
      <c r="A99" s="197" t="str">
        <f>tblSeverityReference[[#This Row],[Admin 2 P-Code]]</f>
        <v>SD09044</v>
      </c>
      <c r="B99" s="127" t="s">
        <v>197</v>
      </c>
      <c r="C99" s="60" t="s">
        <v>126</v>
      </c>
      <c r="D99" s="146" t="s">
        <v>384</v>
      </c>
      <c r="E99" s="60" t="s">
        <v>385</v>
      </c>
      <c r="F99" s="131"/>
      <c r="G99" s="131"/>
      <c r="H99" s="131"/>
      <c r="I99" s="132"/>
      <c r="J99" s="31"/>
      <c r="K99" s="25"/>
      <c r="L99" s="129"/>
      <c r="M99" s="133"/>
      <c r="N99" s="25"/>
      <c r="O99" s="132"/>
      <c r="P99" s="132"/>
      <c r="Q99" s="25"/>
      <c r="R99" s="25"/>
      <c r="S99" s="25"/>
      <c r="T99" s="25"/>
      <c r="U99" s="32"/>
      <c r="V99" s="130"/>
      <c r="W99" s="63"/>
      <c r="X99" s="165"/>
      <c r="Y99" s="63"/>
      <c r="Z99" s="165"/>
      <c r="AA99" s="63"/>
      <c r="AB99" s="165"/>
      <c r="AC99" s="63"/>
      <c r="AD99" s="165"/>
      <c r="AE99" s="63"/>
      <c r="AF99" s="165"/>
      <c r="AG99" s="63"/>
      <c r="AH99" s="165"/>
      <c r="AI99" s="63"/>
      <c r="AJ99" s="165"/>
      <c r="AK99" s="63"/>
      <c r="AL99" s="165"/>
      <c r="AM99" s="63"/>
      <c r="AN99" s="165"/>
      <c r="AO99" s="63"/>
      <c r="AP99" s="165"/>
      <c r="AQ99" s="63"/>
      <c r="AR99" s="165"/>
      <c r="AS99" s="63"/>
      <c r="AT99" s="165"/>
      <c r="AU99" s="63"/>
      <c r="AV99" s="165"/>
    </row>
    <row r="100" spans="1:48" ht="25.5" x14ac:dyDescent="0.25">
      <c r="A100" s="197" t="str">
        <f>tblSeverityReference[[#This Row],[Admin 2 P-Code]]</f>
        <v>SD09045</v>
      </c>
      <c r="B100" s="127" t="s">
        <v>197</v>
      </c>
      <c r="C100" s="60" t="s">
        <v>126</v>
      </c>
      <c r="D100" s="146" t="s">
        <v>386</v>
      </c>
      <c r="E100" s="60" t="s">
        <v>387</v>
      </c>
      <c r="F100" s="131"/>
      <c r="G100" s="131"/>
      <c r="H100" s="131"/>
      <c r="I100" s="132"/>
      <c r="J100" s="31"/>
      <c r="K100" s="25"/>
      <c r="L100" s="129"/>
      <c r="M100" s="133"/>
      <c r="N100" s="25"/>
      <c r="O100" s="132"/>
      <c r="P100" s="132"/>
      <c r="Q100" s="25"/>
      <c r="R100" s="25"/>
      <c r="S100" s="25"/>
      <c r="T100" s="25"/>
      <c r="U100" s="32"/>
      <c r="V100" s="130"/>
      <c r="W100" s="63"/>
      <c r="X100" s="165"/>
      <c r="Y100" s="63"/>
      <c r="Z100" s="165"/>
      <c r="AA100" s="63"/>
      <c r="AB100" s="165"/>
      <c r="AC100" s="63"/>
      <c r="AD100" s="165"/>
      <c r="AE100" s="63"/>
      <c r="AF100" s="165"/>
      <c r="AG100" s="63"/>
      <c r="AH100" s="165"/>
      <c r="AI100" s="63"/>
      <c r="AJ100" s="165"/>
      <c r="AK100" s="63"/>
      <c r="AL100" s="165"/>
      <c r="AM100" s="63"/>
      <c r="AN100" s="165"/>
      <c r="AO100" s="63"/>
      <c r="AP100" s="165"/>
      <c r="AQ100" s="63"/>
      <c r="AR100" s="165"/>
      <c r="AS100" s="63"/>
      <c r="AT100" s="165"/>
      <c r="AU100" s="63"/>
      <c r="AV100" s="165"/>
    </row>
    <row r="101" spans="1:48" ht="25.5" x14ac:dyDescent="0.25">
      <c r="A101" s="197" t="str">
        <f>tblSeverityReference[[#This Row],[Admin 2 P-Code]]</f>
        <v>SD09046</v>
      </c>
      <c r="B101" s="127" t="s">
        <v>197</v>
      </c>
      <c r="C101" s="60" t="s">
        <v>126</v>
      </c>
      <c r="D101" s="146" t="s">
        <v>388</v>
      </c>
      <c r="E101" s="60" t="s">
        <v>389</v>
      </c>
      <c r="F101" s="131"/>
      <c r="G101" s="131"/>
      <c r="H101" s="131"/>
      <c r="I101" s="132"/>
      <c r="J101" s="31"/>
      <c r="K101" s="25"/>
      <c r="L101" s="129"/>
      <c r="M101" s="133"/>
      <c r="N101" s="25"/>
      <c r="O101" s="132"/>
      <c r="P101" s="132"/>
      <c r="Q101" s="25"/>
      <c r="R101" s="25"/>
      <c r="S101" s="25"/>
      <c r="T101" s="25"/>
      <c r="U101" s="32"/>
      <c r="V101" s="130"/>
      <c r="W101" s="32"/>
      <c r="X101" s="166"/>
      <c r="Y101" s="32"/>
      <c r="Z101" s="166"/>
      <c r="AA101" s="32"/>
      <c r="AB101" s="166"/>
      <c r="AC101" s="32"/>
      <c r="AD101" s="166"/>
      <c r="AE101" s="32"/>
      <c r="AF101" s="166"/>
      <c r="AG101" s="32"/>
      <c r="AH101" s="166"/>
      <c r="AI101" s="32"/>
      <c r="AJ101" s="166"/>
      <c r="AK101" s="32"/>
      <c r="AL101" s="166"/>
      <c r="AM101" s="32"/>
      <c r="AN101" s="166"/>
      <c r="AO101" s="32"/>
      <c r="AP101" s="166"/>
      <c r="AQ101" s="32"/>
      <c r="AR101" s="166"/>
      <c r="AS101" s="32"/>
      <c r="AT101" s="166"/>
      <c r="AU101" s="32"/>
      <c r="AV101" s="166"/>
    </row>
    <row r="102" spans="1:48" ht="25.5" x14ac:dyDescent="0.25">
      <c r="A102" s="197" t="str">
        <f>tblSeverityReference[[#This Row],[Admin 2 P-Code]]</f>
        <v>SD09047</v>
      </c>
      <c r="B102" s="127" t="s">
        <v>197</v>
      </c>
      <c r="C102" s="60" t="s">
        <v>126</v>
      </c>
      <c r="D102" s="146" t="s">
        <v>390</v>
      </c>
      <c r="E102" s="60" t="s">
        <v>391</v>
      </c>
      <c r="F102" s="131"/>
      <c r="G102" s="131"/>
      <c r="H102" s="131"/>
      <c r="I102" s="132"/>
      <c r="J102" s="31"/>
      <c r="K102" s="25"/>
      <c r="L102" s="129"/>
      <c r="M102" s="133"/>
      <c r="N102" s="25"/>
      <c r="O102" s="132"/>
      <c r="P102" s="132"/>
      <c r="Q102" s="25"/>
      <c r="R102" s="25"/>
      <c r="S102" s="25"/>
      <c r="T102" s="25"/>
      <c r="U102" s="32"/>
      <c r="V102" s="130"/>
      <c r="W102" s="63"/>
      <c r="X102" s="165"/>
      <c r="Y102" s="63"/>
      <c r="Z102" s="165"/>
      <c r="AA102" s="63"/>
      <c r="AB102" s="165"/>
      <c r="AC102" s="63"/>
      <c r="AD102" s="165"/>
      <c r="AE102" s="63"/>
      <c r="AF102" s="165"/>
      <c r="AG102" s="63"/>
      <c r="AH102" s="165"/>
      <c r="AI102" s="63"/>
      <c r="AJ102" s="165"/>
      <c r="AK102" s="63"/>
      <c r="AL102" s="165"/>
      <c r="AM102" s="63"/>
      <c r="AN102" s="165"/>
      <c r="AO102" s="63"/>
      <c r="AP102" s="165"/>
      <c r="AQ102" s="63"/>
      <c r="AR102" s="165"/>
      <c r="AS102" s="63"/>
      <c r="AT102" s="165"/>
      <c r="AU102" s="63"/>
      <c r="AV102" s="165"/>
    </row>
    <row r="103" spans="1:48" ht="25.5" x14ac:dyDescent="0.25">
      <c r="A103" s="197" t="str">
        <f>tblSeverityReference[[#This Row],[Admin 2 P-Code]]</f>
        <v>SD09048</v>
      </c>
      <c r="B103" s="127" t="s">
        <v>197</v>
      </c>
      <c r="C103" s="60" t="s">
        <v>126</v>
      </c>
      <c r="D103" s="146" t="s">
        <v>392</v>
      </c>
      <c r="E103" s="60" t="s">
        <v>393</v>
      </c>
      <c r="F103" s="131"/>
      <c r="G103" s="131"/>
      <c r="H103" s="131"/>
      <c r="I103" s="132"/>
      <c r="J103" s="31"/>
      <c r="K103" s="25"/>
      <c r="L103" s="129"/>
      <c r="M103" s="133"/>
      <c r="N103" s="25"/>
      <c r="O103" s="132"/>
      <c r="P103" s="132"/>
      <c r="Q103" s="25"/>
      <c r="R103" s="25"/>
      <c r="S103" s="25"/>
      <c r="T103" s="25"/>
      <c r="U103" s="32"/>
      <c r="V103" s="130"/>
      <c r="W103" s="63"/>
      <c r="X103" s="165"/>
      <c r="Y103" s="63"/>
      <c r="Z103" s="165"/>
      <c r="AA103" s="63"/>
      <c r="AB103" s="165"/>
      <c r="AC103" s="63"/>
      <c r="AD103" s="165"/>
      <c r="AE103" s="63"/>
      <c r="AF103" s="165"/>
      <c r="AG103" s="63"/>
      <c r="AH103" s="165"/>
      <c r="AI103" s="63"/>
      <c r="AJ103" s="165"/>
      <c r="AK103" s="63"/>
      <c r="AL103" s="165"/>
      <c r="AM103" s="63"/>
      <c r="AN103" s="165"/>
      <c r="AO103" s="63"/>
      <c r="AP103" s="165"/>
      <c r="AQ103" s="63"/>
      <c r="AR103" s="165"/>
      <c r="AS103" s="63"/>
      <c r="AT103" s="165"/>
      <c r="AU103" s="63"/>
      <c r="AV103" s="165"/>
    </row>
    <row r="104" spans="1:48" ht="25.5" x14ac:dyDescent="0.25">
      <c r="A104" s="197" t="str">
        <f>tblSeverityReference[[#This Row],[Admin 2 P-Code]]</f>
        <v>SD09049</v>
      </c>
      <c r="B104" s="127" t="s">
        <v>197</v>
      </c>
      <c r="C104" s="60" t="s">
        <v>126</v>
      </c>
      <c r="D104" s="146" t="s">
        <v>394</v>
      </c>
      <c r="E104" s="60" t="s">
        <v>395</v>
      </c>
      <c r="F104" s="131"/>
      <c r="G104" s="131"/>
      <c r="H104" s="131"/>
      <c r="I104" s="132"/>
      <c r="J104" s="31"/>
      <c r="K104" s="25"/>
      <c r="L104" s="129"/>
      <c r="M104" s="133"/>
      <c r="N104" s="25"/>
      <c r="O104" s="132"/>
      <c r="P104" s="132"/>
      <c r="Q104" s="25"/>
      <c r="R104" s="25"/>
      <c r="S104" s="25"/>
      <c r="T104" s="25"/>
      <c r="U104" s="32"/>
      <c r="V104" s="130"/>
      <c r="W104" s="63"/>
      <c r="X104" s="165"/>
      <c r="Y104" s="63"/>
      <c r="Z104" s="165"/>
      <c r="AA104" s="63"/>
      <c r="AB104" s="165"/>
      <c r="AC104" s="63"/>
      <c r="AD104" s="165"/>
      <c r="AE104" s="63"/>
      <c r="AF104" s="165"/>
      <c r="AG104" s="63"/>
      <c r="AH104" s="165"/>
      <c r="AI104" s="63"/>
      <c r="AJ104" s="165"/>
      <c r="AK104" s="63"/>
      <c r="AL104" s="165"/>
      <c r="AM104" s="63"/>
      <c r="AN104" s="165"/>
      <c r="AO104" s="63"/>
      <c r="AP104" s="165"/>
      <c r="AQ104" s="63"/>
      <c r="AR104" s="165"/>
      <c r="AS104" s="63"/>
      <c r="AT104" s="165"/>
      <c r="AU104" s="63"/>
      <c r="AV104" s="165"/>
    </row>
    <row r="105" spans="1:48" ht="25.5" x14ac:dyDescent="0.25">
      <c r="A105" s="197" t="str">
        <f>tblSeverityReference[[#This Row],[Admin 2 P-Code]]</f>
        <v>SD09050</v>
      </c>
      <c r="B105" s="127" t="s">
        <v>197</v>
      </c>
      <c r="C105" s="60" t="s">
        <v>126</v>
      </c>
      <c r="D105" s="146" t="s">
        <v>396</v>
      </c>
      <c r="E105" s="60" t="s">
        <v>397</v>
      </c>
      <c r="F105" s="131"/>
      <c r="G105" s="131"/>
      <c r="H105" s="131"/>
      <c r="I105" s="132"/>
      <c r="J105" s="31"/>
      <c r="K105" s="25"/>
      <c r="L105" s="129"/>
      <c r="M105" s="133"/>
      <c r="N105" s="25"/>
      <c r="O105" s="132"/>
      <c r="P105" s="132"/>
      <c r="Q105" s="25"/>
      <c r="R105" s="25"/>
      <c r="S105" s="25"/>
      <c r="T105" s="25"/>
      <c r="U105" s="32"/>
      <c r="V105" s="130"/>
      <c r="W105" s="63"/>
      <c r="X105" s="165"/>
      <c r="Y105" s="63"/>
      <c r="Z105" s="165"/>
      <c r="AA105" s="63"/>
      <c r="AB105" s="165"/>
      <c r="AC105" s="63"/>
      <c r="AD105" s="165"/>
      <c r="AE105" s="63"/>
      <c r="AF105" s="165"/>
      <c r="AG105" s="63"/>
      <c r="AH105" s="165"/>
      <c r="AI105" s="63"/>
      <c r="AJ105" s="165"/>
      <c r="AK105" s="63"/>
      <c r="AL105" s="165"/>
      <c r="AM105" s="63"/>
      <c r="AN105" s="165"/>
      <c r="AO105" s="63"/>
      <c r="AP105" s="165"/>
      <c r="AQ105" s="63"/>
      <c r="AR105" s="165"/>
      <c r="AS105" s="63"/>
      <c r="AT105" s="165"/>
      <c r="AU105" s="63"/>
      <c r="AV105" s="165"/>
    </row>
    <row r="106" spans="1:48" ht="25.5" x14ac:dyDescent="0.25">
      <c r="A106" s="197" t="str">
        <f>tblSeverityReference[[#This Row],[Admin 2 P-Code]]</f>
        <v>SD09051</v>
      </c>
      <c r="B106" s="127" t="s">
        <v>197</v>
      </c>
      <c r="C106" s="60" t="s">
        <v>126</v>
      </c>
      <c r="D106" s="146" t="s">
        <v>398</v>
      </c>
      <c r="E106" s="60" t="s">
        <v>399</v>
      </c>
      <c r="F106" s="131"/>
      <c r="G106" s="131"/>
      <c r="H106" s="131"/>
      <c r="I106" s="132"/>
      <c r="J106" s="31"/>
      <c r="K106" s="25"/>
      <c r="L106" s="129"/>
      <c r="M106" s="133"/>
      <c r="N106" s="25"/>
      <c r="O106" s="132"/>
      <c r="P106" s="132"/>
      <c r="Q106" s="25"/>
      <c r="R106" s="25"/>
      <c r="S106" s="25"/>
      <c r="T106" s="25"/>
      <c r="U106" s="32"/>
      <c r="V106" s="130"/>
      <c r="W106" s="63"/>
      <c r="X106" s="165"/>
      <c r="Y106" s="63"/>
      <c r="Z106" s="165"/>
      <c r="AA106" s="63"/>
      <c r="AB106" s="165"/>
      <c r="AC106" s="63"/>
      <c r="AD106" s="165"/>
      <c r="AE106" s="63"/>
      <c r="AF106" s="165"/>
      <c r="AG106" s="63"/>
      <c r="AH106" s="165"/>
      <c r="AI106" s="63"/>
      <c r="AJ106" s="165"/>
      <c r="AK106" s="63"/>
      <c r="AL106" s="165"/>
      <c r="AM106" s="63"/>
      <c r="AN106" s="165"/>
      <c r="AO106" s="63"/>
      <c r="AP106" s="165"/>
      <c r="AQ106" s="63"/>
      <c r="AR106" s="165"/>
      <c r="AS106" s="63"/>
      <c r="AT106" s="165"/>
      <c r="AU106" s="63"/>
      <c r="AV106" s="165"/>
    </row>
    <row r="107" spans="1:48" ht="25.5" x14ac:dyDescent="0.25">
      <c r="A107" s="197" t="str">
        <f>tblSeverityReference[[#This Row],[Admin 2 P-Code]]</f>
        <v>SD09052</v>
      </c>
      <c r="B107" s="127" t="s">
        <v>197</v>
      </c>
      <c r="C107" s="60" t="s">
        <v>126</v>
      </c>
      <c r="D107" s="146" t="s">
        <v>400</v>
      </c>
      <c r="E107" s="60" t="s">
        <v>401</v>
      </c>
      <c r="F107" s="131"/>
      <c r="G107" s="131"/>
      <c r="H107" s="131"/>
      <c r="I107" s="132"/>
      <c r="J107" s="31"/>
      <c r="K107" s="25"/>
      <c r="L107" s="129"/>
      <c r="M107" s="133"/>
      <c r="N107" s="25"/>
      <c r="O107" s="132"/>
      <c r="P107" s="132"/>
      <c r="Q107" s="25"/>
      <c r="R107" s="25"/>
      <c r="S107" s="25"/>
      <c r="T107" s="25"/>
      <c r="U107" s="32"/>
      <c r="V107" s="130"/>
      <c r="W107" s="63"/>
      <c r="X107" s="165"/>
      <c r="Y107" s="63"/>
      <c r="Z107" s="165"/>
      <c r="AA107" s="63"/>
      <c r="AB107" s="165"/>
      <c r="AC107" s="63"/>
      <c r="AD107" s="165"/>
      <c r="AE107" s="63"/>
      <c r="AF107" s="165"/>
      <c r="AG107" s="63"/>
      <c r="AH107" s="165"/>
      <c r="AI107" s="63"/>
      <c r="AJ107" s="165"/>
      <c r="AK107" s="63"/>
      <c r="AL107" s="165"/>
      <c r="AM107" s="63"/>
      <c r="AN107" s="165"/>
      <c r="AO107" s="63"/>
      <c r="AP107" s="165"/>
      <c r="AQ107" s="63"/>
      <c r="AR107" s="165"/>
      <c r="AS107" s="63"/>
      <c r="AT107" s="165"/>
      <c r="AU107" s="63"/>
      <c r="AV107" s="165"/>
    </row>
    <row r="108" spans="1:48" ht="25.5" x14ac:dyDescent="0.25">
      <c r="A108" s="197" t="str">
        <f>tblSeverityReference[[#This Row],[Admin 2 P-Code]]</f>
        <v>SD10063</v>
      </c>
      <c r="B108" s="127" t="s">
        <v>176</v>
      </c>
      <c r="C108" s="60" t="s">
        <v>127</v>
      </c>
      <c r="D108" s="146" t="s">
        <v>402</v>
      </c>
      <c r="E108" s="60" t="s">
        <v>403</v>
      </c>
      <c r="F108" s="131"/>
      <c r="G108" s="131"/>
      <c r="H108" s="131"/>
      <c r="I108" s="132"/>
      <c r="J108" s="31"/>
      <c r="K108" s="25"/>
      <c r="L108" s="129"/>
      <c r="M108" s="133"/>
      <c r="N108" s="25"/>
      <c r="O108" s="132"/>
      <c r="P108" s="132"/>
      <c r="Q108" s="25"/>
      <c r="R108" s="25"/>
      <c r="S108" s="25"/>
      <c r="T108" s="25"/>
      <c r="U108" s="32"/>
      <c r="V108" s="130"/>
      <c r="W108" s="32"/>
      <c r="X108" s="166"/>
      <c r="Y108" s="32"/>
      <c r="Z108" s="166"/>
      <c r="AA108" s="32"/>
      <c r="AB108" s="166"/>
      <c r="AC108" s="32"/>
      <c r="AD108" s="166"/>
      <c r="AE108" s="32"/>
      <c r="AF108" s="166"/>
      <c r="AG108" s="32"/>
      <c r="AH108" s="166"/>
      <c r="AI108" s="32"/>
      <c r="AJ108" s="166"/>
      <c r="AK108" s="32"/>
      <c r="AL108" s="166"/>
      <c r="AM108" s="32"/>
      <c r="AN108" s="166"/>
      <c r="AO108" s="32"/>
      <c r="AP108" s="166"/>
      <c r="AQ108" s="32"/>
      <c r="AR108" s="166"/>
      <c r="AS108" s="32"/>
      <c r="AT108" s="166"/>
      <c r="AU108" s="32"/>
      <c r="AV108" s="166"/>
    </row>
    <row r="109" spans="1:48" ht="25.5" x14ac:dyDescent="0.25">
      <c r="A109" s="197" t="str">
        <f>tblSeverityReference[[#This Row],[Admin 2 P-Code]]</f>
        <v>SD10064</v>
      </c>
      <c r="B109" s="127" t="s">
        <v>176</v>
      </c>
      <c r="C109" s="60" t="s">
        <v>127</v>
      </c>
      <c r="D109" s="146" t="s">
        <v>404</v>
      </c>
      <c r="E109" s="60" t="s">
        <v>405</v>
      </c>
      <c r="F109" s="131"/>
      <c r="G109" s="131"/>
      <c r="H109" s="131"/>
      <c r="I109" s="132"/>
      <c r="J109" s="31"/>
      <c r="K109" s="25"/>
      <c r="L109" s="129"/>
      <c r="M109" s="133"/>
      <c r="N109" s="25"/>
      <c r="O109" s="132"/>
      <c r="P109" s="132"/>
      <c r="Q109" s="25"/>
      <c r="R109" s="25"/>
      <c r="S109" s="25"/>
      <c r="T109" s="25"/>
      <c r="U109" s="32"/>
      <c r="V109" s="130"/>
      <c r="W109" s="63"/>
      <c r="X109" s="165"/>
      <c r="Y109" s="63"/>
      <c r="Z109" s="165"/>
      <c r="AA109" s="63"/>
      <c r="AB109" s="165"/>
      <c r="AC109" s="63"/>
      <c r="AD109" s="165"/>
      <c r="AE109" s="63"/>
      <c r="AF109" s="165"/>
      <c r="AG109" s="63"/>
      <c r="AH109" s="165"/>
      <c r="AI109" s="63"/>
      <c r="AJ109" s="165"/>
      <c r="AK109" s="63"/>
      <c r="AL109" s="165"/>
      <c r="AM109" s="63"/>
      <c r="AN109" s="165"/>
      <c r="AO109" s="63"/>
      <c r="AP109" s="165"/>
      <c r="AQ109" s="63"/>
      <c r="AR109" s="165"/>
      <c r="AS109" s="63"/>
      <c r="AT109" s="165"/>
      <c r="AU109" s="63"/>
      <c r="AV109" s="165"/>
    </row>
    <row r="110" spans="1:48" ht="25.5" x14ac:dyDescent="0.25">
      <c r="A110" s="197" t="str">
        <f>tblSeverityReference[[#This Row],[Admin 2 P-Code]]</f>
        <v>SD10065</v>
      </c>
      <c r="B110" s="127" t="s">
        <v>176</v>
      </c>
      <c r="C110" s="60" t="s">
        <v>127</v>
      </c>
      <c r="D110" s="146" t="s">
        <v>406</v>
      </c>
      <c r="E110" s="60" t="s">
        <v>407</v>
      </c>
      <c r="F110" s="131"/>
      <c r="G110" s="131"/>
      <c r="H110" s="131"/>
      <c r="I110" s="132"/>
      <c r="J110" s="31"/>
      <c r="K110" s="25"/>
      <c r="L110" s="129"/>
      <c r="M110" s="133"/>
      <c r="N110" s="25"/>
      <c r="O110" s="132"/>
      <c r="P110" s="132"/>
      <c r="Q110" s="25"/>
      <c r="R110" s="25"/>
      <c r="S110" s="25"/>
      <c r="T110" s="25"/>
      <c r="U110" s="32"/>
      <c r="V110" s="130"/>
      <c r="W110" s="63"/>
      <c r="X110" s="165"/>
      <c r="Y110" s="63"/>
      <c r="Z110" s="165"/>
      <c r="AA110" s="63"/>
      <c r="AB110" s="165"/>
      <c r="AC110" s="63"/>
      <c r="AD110" s="165"/>
      <c r="AE110" s="63"/>
      <c r="AF110" s="165"/>
      <c r="AG110" s="63"/>
      <c r="AH110" s="165"/>
      <c r="AI110" s="63"/>
      <c r="AJ110" s="165"/>
      <c r="AK110" s="63"/>
      <c r="AL110" s="165"/>
      <c r="AM110" s="63"/>
      <c r="AN110" s="165"/>
      <c r="AO110" s="63"/>
      <c r="AP110" s="165"/>
      <c r="AQ110" s="63"/>
      <c r="AR110" s="165"/>
      <c r="AS110" s="63"/>
      <c r="AT110" s="165"/>
      <c r="AU110" s="63"/>
      <c r="AV110" s="165"/>
    </row>
    <row r="111" spans="1:48" ht="25.5" x14ac:dyDescent="0.25">
      <c r="A111" s="197" t="str">
        <f>tblSeverityReference[[#This Row],[Admin 2 P-Code]]</f>
        <v>SD10066</v>
      </c>
      <c r="B111" s="127" t="s">
        <v>176</v>
      </c>
      <c r="C111" s="60" t="s">
        <v>127</v>
      </c>
      <c r="D111" s="146" t="s">
        <v>408</v>
      </c>
      <c r="E111" s="60" t="s">
        <v>409</v>
      </c>
      <c r="F111" s="131"/>
      <c r="G111" s="131"/>
      <c r="H111" s="131"/>
      <c r="I111" s="132"/>
      <c r="J111" s="31"/>
      <c r="K111" s="25"/>
      <c r="L111" s="129"/>
      <c r="M111" s="133"/>
      <c r="N111" s="25"/>
      <c r="O111" s="132"/>
      <c r="P111" s="132"/>
      <c r="Q111" s="25"/>
      <c r="R111" s="25"/>
      <c r="S111" s="25"/>
      <c r="T111" s="25"/>
      <c r="U111" s="32"/>
      <c r="V111" s="130"/>
      <c r="W111" s="63"/>
      <c r="X111" s="165"/>
      <c r="Y111" s="63"/>
      <c r="Z111" s="165"/>
      <c r="AA111" s="63"/>
      <c r="AB111" s="165"/>
      <c r="AC111" s="63"/>
      <c r="AD111" s="165"/>
      <c r="AE111" s="63"/>
      <c r="AF111" s="165"/>
      <c r="AG111" s="63"/>
      <c r="AH111" s="165"/>
      <c r="AI111" s="63"/>
      <c r="AJ111" s="165"/>
      <c r="AK111" s="63"/>
      <c r="AL111" s="165"/>
      <c r="AM111" s="63"/>
      <c r="AN111" s="165"/>
      <c r="AO111" s="63"/>
      <c r="AP111" s="165"/>
      <c r="AQ111" s="63"/>
      <c r="AR111" s="165"/>
      <c r="AS111" s="63"/>
      <c r="AT111" s="165"/>
      <c r="AU111" s="63"/>
      <c r="AV111" s="165"/>
    </row>
    <row r="112" spans="1:48" ht="25.5" x14ac:dyDescent="0.25">
      <c r="A112" s="197" t="str">
        <f>tblSeverityReference[[#This Row],[Admin 2 P-Code]]</f>
        <v>SD10067</v>
      </c>
      <c r="B112" s="127" t="s">
        <v>176</v>
      </c>
      <c r="C112" s="60" t="s">
        <v>127</v>
      </c>
      <c r="D112" s="146" t="s">
        <v>410</v>
      </c>
      <c r="E112" s="60" t="s">
        <v>411</v>
      </c>
      <c r="F112" s="131"/>
      <c r="G112" s="131"/>
      <c r="H112" s="131"/>
      <c r="I112" s="132"/>
      <c r="J112" s="31"/>
      <c r="K112" s="25"/>
      <c r="L112" s="129"/>
      <c r="M112" s="133"/>
      <c r="N112" s="25"/>
      <c r="O112" s="132"/>
      <c r="P112" s="132"/>
      <c r="Q112" s="25"/>
      <c r="R112" s="25"/>
      <c r="S112" s="25"/>
      <c r="T112" s="25"/>
      <c r="U112" s="32"/>
      <c r="V112" s="130"/>
      <c r="W112" s="63"/>
      <c r="X112" s="165"/>
      <c r="Y112" s="63"/>
      <c r="Z112" s="165"/>
      <c r="AA112" s="63"/>
      <c r="AB112" s="165"/>
      <c r="AC112" s="63"/>
      <c r="AD112" s="165"/>
      <c r="AE112" s="63"/>
      <c r="AF112" s="165"/>
      <c r="AG112" s="63"/>
      <c r="AH112" s="165"/>
      <c r="AI112" s="63"/>
      <c r="AJ112" s="165"/>
      <c r="AK112" s="63"/>
      <c r="AL112" s="165"/>
      <c r="AM112" s="63"/>
      <c r="AN112" s="165"/>
      <c r="AO112" s="63"/>
      <c r="AP112" s="165"/>
      <c r="AQ112" s="63"/>
      <c r="AR112" s="165"/>
      <c r="AS112" s="63"/>
      <c r="AT112" s="165"/>
      <c r="AU112" s="63"/>
      <c r="AV112" s="165"/>
    </row>
    <row r="113" spans="1:48" ht="25.5" x14ac:dyDescent="0.25">
      <c r="A113" s="197" t="str">
        <f>tblSeverityReference[[#This Row],[Admin 2 P-Code]]</f>
        <v>SD10068</v>
      </c>
      <c r="B113" s="127" t="s">
        <v>176</v>
      </c>
      <c r="C113" s="60" t="s">
        <v>127</v>
      </c>
      <c r="D113" s="146" t="s">
        <v>412</v>
      </c>
      <c r="E113" s="60" t="s">
        <v>413</v>
      </c>
      <c r="F113" s="131"/>
      <c r="G113" s="131"/>
      <c r="H113" s="131"/>
      <c r="I113" s="132"/>
      <c r="J113" s="31"/>
      <c r="K113" s="25"/>
      <c r="L113" s="129"/>
      <c r="M113" s="133"/>
      <c r="N113" s="25"/>
      <c r="O113" s="132"/>
      <c r="P113" s="132"/>
      <c r="Q113" s="25"/>
      <c r="R113" s="25"/>
      <c r="S113" s="25"/>
      <c r="T113" s="25"/>
      <c r="U113" s="32"/>
      <c r="V113" s="130"/>
      <c r="W113" s="63"/>
      <c r="X113" s="165"/>
      <c r="Y113" s="63"/>
      <c r="Z113" s="165"/>
      <c r="AA113" s="63"/>
      <c r="AB113" s="165"/>
      <c r="AC113" s="63"/>
      <c r="AD113" s="165"/>
      <c r="AE113" s="63"/>
      <c r="AF113" s="165"/>
      <c r="AG113" s="63"/>
      <c r="AH113" s="165"/>
      <c r="AI113" s="63"/>
      <c r="AJ113" s="165"/>
      <c r="AK113" s="63"/>
      <c r="AL113" s="165"/>
      <c r="AM113" s="63"/>
      <c r="AN113" s="165"/>
      <c r="AO113" s="63"/>
      <c r="AP113" s="165"/>
      <c r="AQ113" s="63"/>
      <c r="AR113" s="165"/>
      <c r="AS113" s="63"/>
      <c r="AT113" s="165"/>
      <c r="AU113" s="63"/>
      <c r="AV113" s="165"/>
    </row>
    <row r="114" spans="1:48" ht="25.5" x14ac:dyDescent="0.25">
      <c r="A114" s="197" t="str">
        <f>tblSeverityReference[[#This Row],[Admin 2 P-Code]]</f>
        <v>SD10069</v>
      </c>
      <c r="B114" s="127" t="s">
        <v>176</v>
      </c>
      <c r="C114" s="60" t="s">
        <v>127</v>
      </c>
      <c r="D114" s="146" t="s">
        <v>414</v>
      </c>
      <c r="E114" s="60" t="s">
        <v>415</v>
      </c>
      <c r="F114" s="131"/>
      <c r="G114" s="131"/>
      <c r="H114" s="131"/>
      <c r="I114" s="132"/>
      <c r="J114" s="31"/>
      <c r="K114" s="25"/>
      <c r="L114" s="129"/>
      <c r="M114" s="133"/>
      <c r="N114" s="25"/>
      <c r="O114" s="132"/>
      <c r="P114" s="132"/>
      <c r="Q114" s="25"/>
      <c r="R114" s="25"/>
      <c r="S114" s="25"/>
      <c r="T114" s="25"/>
      <c r="U114" s="32"/>
      <c r="V114" s="130"/>
      <c r="W114" s="63"/>
      <c r="X114" s="165"/>
      <c r="Y114" s="63"/>
      <c r="Z114" s="165"/>
      <c r="AA114" s="63"/>
      <c r="AB114" s="165"/>
      <c r="AC114" s="63"/>
      <c r="AD114" s="165"/>
      <c r="AE114" s="63"/>
      <c r="AF114" s="165"/>
      <c r="AG114" s="63"/>
      <c r="AH114" s="165"/>
      <c r="AI114" s="63"/>
      <c r="AJ114" s="165"/>
      <c r="AK114" s="63"/>
      <c r="AL114" s="165"/>
      <c r="AM114" s="63"/>
      <c r="AN114" s="165"/>
      <c r="AO114" s="63"/>
      <c r="AP114" s="165"/>
      <c r="AQ114" s="63"/>
      <c r="AR114" s="165"/>
      <c r="AS114" s="63"/>
      <c r="AT114" s="165"/>
      <c r="AU114" s="63"/>
      <c r="AV114" s="165"/>
    </row>
    <row r="115" spans="1:48" ht="25.5" x14ac:dyDescent="0.25">
      <c r="A115" s="197" t="str">
        <f>tblSeverityReference[[#This Row],[Admin 2 P-Code]]</f>
        <v>SD10070</v>
      </c>
      <c r="B115" s="127" t="s">
        <v>176</v>
      </c>
      <c r="C115" s="60" t="s">
        <v>127</v>
      </c>
      <c r="D115" s="146" t="s">
        <v>416</v>
      </c>
      <c r="E115" s="60" t="s">
        <v>417</v>
      </c>
      <c r="F115" s="131"/>
      <c r="G115" s="131"/>
      <c r="H115" s="131"/>
      <c r="I115" s="132"/>
      <c r="J115" s="31"/>
      <c r="K115" s="25"/>
      <c r="L115" s="129"/>
      <c r="M115" s="133"/>
      <c r="N115" s="25"/>
      <c r="O115" s="132"/>
      <c r="P115" s="132"/>
      <c r="Q115" s="25"/>
      <c r="R115" s="25"/>
      <c r="S115" s="25"/>
      <c r="T115" s="25"/>
      <c r="U115" s="32"/>
      <c r="V115" s="130"/>
      <c r="W115" s="32"/>
      <c r="X115" s="166"/>
      <c r="Y115" s="32"/>
      <c r="Z115" s="166"/>
      <c r="AA115" s="32"/>
      <c r="AB115" s="166"/>
      <c r="AC115" s="32"/>
      <c r="AD115" s="166"/>
      <c r="AE115" s="32"/>
      <c r="AF115" s="166"/>
      <c r="AG115" s="32"/>
      <c r="AH115" s="166"/>
      <c r="AI115" s="32"/>
      <c r="AJ115" s="166"/>
      <c r="AK115" s="32"/>
      <c r="AL115" s="166"/>
      <c r="AM115" s="32"/>
      <c r="AN115" s="166"/>
      <c r="AO115" s="32"/>
      <c r="AP115" s="166"/>
      <c r="AQ115" s="32"/>
      <c r="AR115" s="166"/>
      <c r="AS115" s="32"/>
      <c r="AT115" s="166"/>
      <c r="AU115" s="32"/>
      <c r="AV115" s="166"/>
    </row>
    <row r="116" spans="1:48" ht="25.5" x14ac:dyDescent="0.25">
      <c r="A116" s="197" t="str">
        <f>tblSeverityReference[[#This Row],[Admin 2 P-Code]]</f>
        <v>SD10071</v>
      </c>
      <c r="B116" s="127" t="s">
        <v>176</v>
      </c>
      <c r="C116" s="60" t="s">
        <v>127</v>
      </c>
      <c r="D116" s="146" t="s">
        <v>418</v>
      </c>
      <c r="E116" s="60" t="s">
        <v>419</v>
      </c>
      <c r="F116" s="131"/>
      <c r="G116" s="131"/>
      <c r="H116" s="131"/>
      <c r="I116" s="132"/>
      <c r="J116" s="31"/>
      <c r="K116" s="25"/>
      <c r="L116" s="129"/>
      <c r="M116" s="133"/>
      <c r="N116" s="25"/>
      <c r="O116" s="132"/>
      <c r="P116" s="132"/>
      <c r="Q116" s="25"/>
      <c r="R116" s="25"/>
      <c r="S116" s="25"/>
      <c r="T116" s="25"/>
      <c r="U116" s="32"/>
      <c r="V116" s="130"/>
      <c r="W116" s="63"/>
      <c r="X116" s="165"/>
      <c r="Y116" s="63"/>
      <c r="Z116" s="165"/>
      <c r="AA116" s="63"/>
      <c r="AB116" s="165"/>
      <c r="AC116" s="63"/>
      <c r="AD116" s="165"/>
      <c r="AE116" s="63"/>
      <c r="AF116" s="165"/>
      <c r="AG116" s="63"/>
      <c r="AH116" s="165"/>
      <c r="AI116" s="63"/>
      <c r="AJ116" s="165"/>
      <c r="AK116" s="63"/>
      <c r="AL116" s="165"/>
      <c r="AM116" s="63"/>
      <c r="AN116" s="165"/>
      <c r="AO116" s="63"/>
      <c r="AP116" s="165"/>
      <c r="AQ116" s="63"/>
      <c r="AR116" s="165"/>
      <c r="AS116" s="63"/>
      <c r="AT116" s="165"/>
      <c r="AU116" s="63"/>
      <c r="AV116" s="165"/>
    </row>
    <row r="117" spans="1:48" ht="25.5" x14ac:dyDescent="0.25">
      <c r="A117" s="197" t="str">
        <f>tblSeverityReference[[#This Row],[Admin 2 P-Code]]</f>
        <v>SD10072</v>
      </c>
      <c r="B117" s="127" t="s">
        <v>176</v>
      </c>
      <c r="C117" s="60" t="s">
        <v>127</v>
      </c>
      <c r="D117" s="146" t="s">
        <v>420</v>
      </c>
      <c r="E117" s="60" t="s">
        <v>421</v>
      </c>
      <c r="F117" s="131"/>
      <c r="G117" s="131"/>
      <c r="H117" s="131"/>
      <c r="I117" s="132"/>
      <c r="J117" s="31"/>
      <c r="K117" s="25"/>
      <c r="L117" s="129"/>
      <c r="M117" s="133"/>
      <c r="N117" s="25"/>
      <c r="O117" s="132"/>
      <c r="P117" s="132"/>
      <c r="Q117" s="25"/>
      <c r="R117" s="25"/>
      <c r="S117" s="25"/>
      <c r="T117" s="25"/>
      <c r="U117" s="32"/>
      <c r="V117" s="130"/>
      <c r="W117" s="63"/>
      <c r="X117" s="165"/>
      <c r="Y117" s="63"/>
      <c r="Z117" s="165"/>
      <c r="AA117" s="63"/>
      <c r="AB117" s="165"/>
      <c r="AC117" s="63"/>
      <c r="AD117" s="165"/>
      <c r="AE117" s="63"/>
      <c r="AF117" s="165"/>
      <c r="AG117" s="63"/>
      <c r="AH117" s="165"/>
      <c r="AI117" s="63"/>
      <c r="AJ117" s="165"/>
      <c r="AK117" s="63"/>
      <c r="AL117" s="165"/>
      <c r="AM117" s="63"/>
      <c r="AN117" s="165"/>
      <c r="AO117" s="63"/>
      <c r="AP117" s="165"/>
      <c r="AQ117" s="63"/>
      <c r="AR117" s="165"/>
      <c r="AS117" s="63"/>
      <c r="AT117" s="165"/>
      <c r="AU117" s="63"/>
      <c r="AV117" s="165"/>
    </row>
    <row r="118" spans="1:48" ht="25.5" x14ac:dyDescent="0.25">
      <c r="A118" s="197" t="str">
        <f>tblSeverityReference[[#This Row],[Admin 2 P-Code]]</f>
        <v>SD11052</v>
      </c>
      <c r="B118" s="127" t="s">
        <v>161</v>
      </c>
      <c r="C118" s="60" t="s">
        <v>128</v>
      </c>
      <c r="D118" s="146" t="s">
        <v>422</v>
      </c>
      <c r="E118" s="60" t="s">
        <v>423</v>
      </c>
      <c r="F118" s="118"/>
      <c r="G118" s="118"/>
      <c r="H118" s="118"/>
      <c r="I118" s="23"/>
      <c r="J118" s="25"/>
      <c r="K118" s="25"/>
      <c r="L118" s="24"/>
      <c r="M118" s="25"/>
      <c r="N118" s="25"/>
      <c r="O118" s="24"/>
      <c r="P118" s="24"/>
      <c r="Q118" s="25"/>
      <c r="R118" s="25"/>
      <c r="S118" s="25"/>
      <c r="T118" s="25"/>
      <c r="U118" s="63"/>
      <c r="V118" s="26"/>
      <c r="W118" s="63"/>
      <c r="X118" s="165"/>
      <c r="Y118" s="63"/>
      <c r="Z118" s="165"/>
      <c r="AA118" s="63"/>
      <c r="AB118" s="165"/>
      <c r="AC118" s="63"/>
      <c r="AD118" s="165"/>
      <c r="AE118" s="63"/>
      <c r="AF118" s="165"/>
      <c r="AG118" s="63"/>
      <c r="AH118" s="165"/>
      <c r="AI118" s="63"/>
      <c r="AJ118" s="165"/>
      <c r="AK118" s="63"/>
      <c r="AL118" s="165"/>
      <c r="AM118" s="63"/>
      <c r="AN118" s="165"/>
      <c r="AO118" s="63"/>
      <c r="AP118" s="165"/>
      <c r="AQ118" s="63"/>
      <c r="AR118" s="165"/>
      <c r="AS118" s="63"/>
      <c r="AT118" s="165"/>
      <c r="AU118" s="63"/>
      <c r="AV118" s="165"/>
    </row>
    <row r="119" spans="1:48" ht="25.5" x14ac:dyDescent="0.25">
      <c r="A119" s="197" t="str">
        <f>tblSeverityReference[[#This Row],[Admin 2 P-Code]]</f>
        <v>SD11053</v>
      </c>
      <c r="B119" s="127" t="s">
        <v>161</v>
      </c>
      <c r="C119" s="60" t="s">
        <v>128</v>
      </c>
      <c r="D119" s="146" t="s">
        <v>424</v>
      </c>
      <c r="E119" s="60" t="s">
        <v>425</v>
      </c>
      <c r="F119" s="118"/>
      <c r="G119" s="118"/>
      <c r="H119" s="118"/>
      <c r="I119" s="23"/>
      <c r="J119" s="25"/>
      <c r="K119" s="25"/>
      <c r="L119" s="24"/>
      <c r="M119" s="25"/>
      <c r="N119" s="25"/>
      <c r="O119" s="24"/>
      <c r="P119" s="24"/>
      <c r="Q119" s="25"/>
      <c r="R119" s="25"/>
      <c r="S119" s="25"/>
      <c r="T119" s="25"/>
      <c r="U119" s="63"/>
      <c r="V119" s="26"/>
      <c r="W119" s="63"/>
      <c r="X119" s="165"/>
      <c r="Y119" s="63"/>
      <c r="Z119" s="165"/>
      <c r="AA119" s="63"/>
      <c r="AB119" s="165"/>
      <c r="AC119" s="63"/>
      <c r="AD119" s="165"/>
      <c r="AE119" s="63"/>
      <c r="AF119" s="165"/>
      <c r="AG119" s="63"/>
      <c r="AH119" s="165"/>
      <c r="AI119" s="63"/>
      <c r="AJ119" s="165"/>
      <c r="AK119" s="63"/>
      <c r="AL119" s="165"/>
      <c r="AM119" s="63"/>
      <c r="AN119" s="165"/>
      <c r="AO119" s="63"/>
      <c r="AP119" s="165"/>
      <c r="AQ119" s="63"/>
      <c r="AR119" s="165"/>
      <c r="AS119" s="63"/>
      <c r="AT119" s="165"/>
      <c r="AU119" s="63"/>
      <c r="AV119" s="165"/>
    </row>
    <row r="120" spans="1:48" ht="25.5" x14ac:dyDescent="0.25">
      <c r="A120" s="197" t="str">
        <f>tblSeverityReference[[#This Row],[Admin 2 P-Code]]</f>
        <v>SD11054</v>
      </c>
      <c r="B120" s="127" t="s">
        <v>161</v>
      </c>
      <c r="C120" s="60" t="s">
        <v>128</v>
      </c>
      <c r="D120" s="146" t="s">
        <v>426</v>
      </c>
      <c r="E120" s="60" t="s">
        <v>427</v>
      </c>
      <c r="F120" s="118"/>
      <c r="G120" s="118"/>
      <c r="H120" s="118"/>
      <c r="I120" s="23"/>
      <c r="J120" s="25"/>
      <c r="K120" s="25"/>
      <c r="L120" s="24"/>
      <c r="M120" s="25"/>
      <c r="N120" s="25"/>
      <c r="O120" s="24"/>
      <c r="P120" s="24"/>
      <c r="Q120" s="25"/>
      <c r="R120" s="25"/>
      <c r="S120" s="25"/>
      <c r="T120" s="25"/>
      <c r="U120" s="63"/>
      <c r="V120" s="26"/>
      <c r="W120" s="63"/>
      <c r="X120" s="165"/>
      <c r="Y120" s="63"/>
      <c r="Z120" s="165"/>
      <c r="AA120" s="63"/>
      <c r="AB120" s="165"/>
      <c r="AC120" s="63"/>
      <c r="AD120" s="165"/>
      <c r="AE120" s="63"/>
      <c r="AF120" s="165"/>
      <c r="AG120" s="63"/>
      <c r="AH120" s="165"/>
      <c r="AI120" s="63"/>
      <c r="AJ120" s="165"/>
      <c r="AK120" s="63"/>
      <c r="AL120" s="165"/>
      <c r="AM120" s="63"/>
      <c r="AN120" s="165"/>
      <c r="AO120" s="63"/>
      <c r="AP120" s="165"/>
      <c r="AQ120" s="63"/>
      <c r="AR120" s="165"/>
      <c r="AS120" s="63"/>
      <c r="AT120" s="165"/>
      <c r="AU120" s="63"/>
      <c r="AV120" s="165"/>
    </row>
    <row r="121" spans="1:48" ht="25.5" x14ac:dyDescent="0.25">
      <c r="A121" s="197" t="str">
        <f>tblSeverityReference[[#This Row],[Admin 2 P-Code]]</f>
        <v>SD11055</v>
      </c>
      <c r="B121" s="127" t="s">
        <v>161</v>
      </c>
      <c r="C121" s="60" t="s">
        <v>128</v>
      </c>
      <c r="D121" s="146" t="s">
        <v>428</v>
      </c>
      <c r="E121" s="60" t="s">
        <v>429</v>
      </c>
      <c r="F121" s="118"/>
      <c r="G121" s="118"/>
      <c r="H121" s="118"/>
      <c r="I121" s="23"/>
      <c r="J121" s="25"/>
      <c r="K121" s="25"/>
      <c r="L121" s="24"/>
      <c r="M121" s="25"/>
      <c r="N121" s="25"/>
      <c r="O121" s="24"/>
      <c r="P121" s="24"/>
      <c r="Q121" s="25"/>
      <c r="R121" s="25"/>
      <c r="S121" s="25"/>
      <c r="T121" s="25"/>
      <c r="U121" s="63"/>
      <c r="V121" s="26"/>
      <c r="W121" s="63"/>
      <c r="X121" s="165"/>
      <c r="Y121" s="63"/>
      <c r="Z121" s="165"/>
      <c r="AA121" s="63"/>
      <c r="AB121" s="165"/>
      <c r="AC121" s="63"/>
      <c r="AD121" s="165"/>
      <c r="AE121" s="63"/>
      <c r="AF121" s="165"/>
      <c r="AG121" s="63"/>
      <c r="AH121" s="165"/>
      <c r="AI121" s="63"/>
      <c r="AJ121" s="165"/>
      <c r="AK121" s="63"/>
      <c r="AL121" s="165"/>
      <c r="AM121" s="63"/>
      <c r="AN121" s="165"/>
      <c r="AO121" s="63"/>
      <c r="AP121" s="165"/>
      <c r="AQ121" s="63"/>
      <c r="AR121" s="165"/>
      <c r="AS121" s="63"/>
      <c r="AT121" s="165"/>
      <c r="AU121" s="63"/>
      <c r="AV121" s="165"/>
    </row>
    <row r="122" spans="1:48" ht="25.5" x14ac:dyDescent="0.25">
      <c r="A122" s="197" t="str">
        <f>tblSeverityReference[[#This Row],[Admin 2 P-Code]]</f>
        <v>SD11056</v>
      </c>
      <c r="B122" s="127" t="s">
        <v>161</v>
      </c>
      <c r="C122" s="60" t="s">
        <v>128</v>
      </c>
      <c r="D122" s="146" t="s">
        <v>430</v>
      </c>
      <c r="E122" s="60" t="s">
        <v>431</v>
      </c>
      <c r="F122" s="118"/>
      <c r="G122" s="118"/>
      <c r="H122" s="118"/>
      <c r="I122" s="23"/>
      <c r="J122" s="25"/>
      <c r="K122" s="25"/>
      <c r="L122" s="24"/>
      <c r="M122" s="25"/>
      <c r="N122" s="25"/>
      <c r="O122" s="24"/>
      <c r="P122" s="24"/>
      <c r="Q122" s="25"/>
      <c r="R122" s="25"/>
      <c r="S122" s="25"/>
      <c r="T122" s="25"/>
      <c r="U122" s="63"/>
      <c r="V122" s="26"/>
      <c r="W122" s="32"/>
      <c r="X122" s="166"/>
      <c r="Y122" s="32"/>
      <c r="Z122" s="166"/>
      <c r="AA122" s="32"/>
      <c r="AB122" s="166"/>
      <c r="AC122" s="32"/>
      <c r="AD122" s="166"/>
      <c r="AE122" s="32"/>
      <c r="AF122" s="166"/>
      <c r="AG122" s="32"/>
      <c r="AH122" s="166"/>
      <c r="AI122" s="32"/>
      <c r="AJ122" s="166"/>
      <c r="AK122" s="32"/>
      <c r="AL122" s="166"/>
      <c r="AM122" s="32"/>
      <c r="AN122" s="166"/>
      <c r="AO122" s="32"/>
      <c r="AP122" s="166"/>
      <c r="AQ122" s="32"/>
      <c r="AR122" s="166"/>
      <c r="AS122" s="32"/>
      <c r="AT122" s="166"/>
      <c r="AU122" s="32"/>
      <c r="AV122" s="166"/>
    </row>
    <row r="123" spans="1:48" ht="25.5" x14ac:dyDescent="0.25">
      <c r="A123" s="197" t="str">
        <f>tblSeverityReference[[#This Row],[Admin 2 P-Code]]</f>
        <v>SD11057</v>
      </c>
      <c r="B123" s="127" t="s">
        <v>161</v>
      </c>
      <c r="C123" s="60" t="s">
        <v>128</v>
      </c>
      <c r="D123" s="146" t="s">
        <v>432</v>
      </c>
      <c r="E123" s="60" t="s">
        <v>433</v>
      </c>
      <c r="F123" s="118"/>
      <c r="G123" s="118"/>
      <c r="H123" s="118"/>
      <c r="I123" s="23"/>
      <c r="J123" s="25"/>
      <c r="K123" s="25"/>
      <c r="L123" s="24"/>
      <c r="M123" s="25"/>
      <c r="N123" s="25"/>
      <c r="O123" s="24"/>
      <c r="P123" s="24"/>
      <c r="Q123" s="25"/>
      <c r="R123" s="25"/>
      <c r="S123" s="25"/>
      <c r="T123" s="25"/>
      <c r="U123" s="63"/>
      <c r="V123" s="26"/>
      <c r="W123" s="63"/>
      <c r="X123" s="165"/>
      <c r="Y123" s="63"/>
      <c r="Z123" s="165"/>
      <c r="AA123" s="63"/>
      <c r="AB123" s="165"/>
      <c r="AC123" s="63"/>
      <c r="AD123" s="165"/>
      <c r="AE123" s="63"/>
      <c r="AF123" s="165"/>
      <c r="AG123" s="63"/>
      <c r="AH123" s="165"/>
      <c r="AI123" s="63"/>
      <c r="AJ123" s="165"/>
      <c r="AK123" s="63"/>
      <c r="AL123" s="165"/>
      <c r="AM123" s="63"/>
      <c r="AN123" s="165"/>
      <c r="AO123" s="63"/>
      <c r="AP123" s="165"/>
      <c r="AQ123" s="63"/>
      <c r="AR123" s="165"/>
      <c r="AS123" s="63"/>
      <c r="AT123" s="165"/>
      <c r="AU123" s="63"/>
      <c r="AV123" s="165"/>
    </row>
    <row r="124" spans="1:48" ht="25.5" x14ac:dyDescent="0.25">
      <c r="A124" s="197" t="str">
        <f>tblSeverityReference[[#This Row],[Admin 2 P-Code]]</f>
        <v>SD11058</v>
      </c>
      <c r="B124" s="127" t="s">
        <v>161</v>
      </c>
      <c r="C124" s="60" t="s">
        <v>128</v>
      </c>
      <c r="D124" s="146" t="s">
        <v>434</v>
      </c>
      <c r="E124" s="60" t="s">
        <v>435</v>
      </c>
      <c r="F124" s="118"/>
      <c r="G124" s="118"/>
      <c r="H124" s="118"/>
      <c r="I124" s="23"/>
      <c r="J124" s="25"/>
      <c r="K124" s="25"/>
      <c r="L124" s="24"/>
      <c r="M124" s="25"/>
      <c r="N124" s="25"/>
      <c r="O124" s="24"/>
      <c r="P124" s="24"/>
      <c r="Q124" s="25"/>
      <c r="R124" s="25"/>
      <c r="S124" s="25"/>
      <c r="T124" s="25"/>
      <c r="U124" s="63"/>
      <c r="V124" s="26"/>
      <c r="W124" s="63"/>
      <c r="X124" s="165"/>
      <c r="Y124" s="63"/>
      <c r="Z124" s="165"/>
      <c r="AA124" s="63"/>
      <c r="AB124" s="165"/>
      <c r="AC124" s="63"/>
      <c r="AD124" s="165"/>
      <c r="AE124" s="63"/>
      <c r="AF124" s="165"/>
      <c r="AG124" s="63"/>
      <c r="AH124" s="165"/>
      <c r="AI124" s="63"/>
      <c r="AJ124" s="165"/>
      <c r="AK124" s="63"/>
      <c r="AL124" s="165"/>
      <c r="AM124" s="63"/>
      <c r="AN124" s="165"/>
      <c r="AO124" s="63"/>
      <c r="AP124" s="165"/>
      <c r="AQ124" s="63"/>
      <c r="AR124" s="165"/>
      <c r="AS124" s="63"/>
      <c r="AT124" s="165"/>
      <c r="AU124" s="63"/>
      <c r="AV124" s="165"/>
    </row>
    <row r="125" spans="1:48" ht="25.5" x14ac:dyDescent="0.25">
      <c r="A125" s="197" t="str">
        <f>tblSeverityReference[[#This Row],[Admin 2 P-Code]]</f>
        <v>SD11059</v>
      </c>
      <c r="B125" s="127" t="s">
        <v>161</v>
      </c>
      <c r="C125" s="60" t="s">
        <v>128</v>
      </c>
      <c r="D125" s="146" t="s">
        <v>436</v>
      </c>
      <c r="E125" s="60" t="s">
        <v>437</v>
      </c>
      <c r="F125" s="118"/>
      <c r="G125" s="118"/>
      <c r="H125" s="118"/>
      <c r="I125" s="23"/>
      <c r="J125" s="25"/>
      <c r="K125" s="25"/>
      <c r="L125" s="24"/>
      <c r="M125" s="25"/>
      <c r="N125" s="25"/>
      <c r="O125" s="24"/>
      <c r="P125" s="24"/>
      <c r="Q125" s="25"/>
      <c r="R125" s="25"/>
      <c r="S125" s="25"/>
      <c r="T125" s="25"/>
      <c r="U125" s="63"/>
      <c r="V125" s="26"/>
      <c r="W125" s="63"/>
      <c r="X125" s="165"/>
      <c r="Y125" s="63"/>
      <c r="Z125" s="165"/>
      <c r="AA125" s="63"/>
      <c r="AB125" s="165"/>
      <c r="AC125" s="63"/>
      <c r="AD125" s="165"/>
      <c r="AE125" s="63"/>
      <c r="AF125" s="165"/>
      <c r="AG125" s="63"/>
      <c r="AH125" s="165"/>
      <c r="AI125" s="63"/>
      <c r="AJ125" s="165"/>
      <c r="AK125" s="63"/>
      <c r="AL125" s="165"/>
      <c r="AM125" s="63"/>
      <c r="AN125" s="165"/>
      <c r="AO125" s="63"/>
      <c r="AP125" s="165"/>
      <c r="AQ125" s="63"/>
      <c r="AR125" s="165"/>
      <c r="AS125" s="63"/>
      <c r="AT125" s="165"/>
      <c r="AU125" s="63"/>
      <c r="AV125" s="165"/>
    </row>
    <row r="126" spans="1:48" ht="25.5" x14ac:dyDescent="0.25">
      <c r="A126" s="197" t="str">
        <f>tblSeverityReference[[#This Row],[Admin 2 P-Code]]</f>
        <v>SD11060</v>
      </c>
      <c r="B126" s="127" t="s">
        <v>161</v>
      </c>
      <c r="C126" s="60" t="s">
        <v>128</v>
      </c>
      <c r="D126" s="146" t="s">
        <v>438</v>
      </c>
      <c r="E126" s="60" t="s">
        <v>439</v>
      </c>
      <c r="F126" s="118"/>
      <c r="G126" s="118"/>
      <c r="H126" s="118"/>
      <c r="I126" s="23"/>
      <c r="J126" s="25"/>
      <c r="K126" s="25"/>
      <c r="L126" s="24"/>
      <c r="M126" s="25"/>
      <c r="N126" s="25"/>
      <c r="O126" s="24"/>
      <c r="P126" s="24"/>
      <c r="Q126" s="25"/>
      <c r="R126" s="25"/>
      <c r="S126" s="25"/>
      <c r="T126" s="25"/>
      <c r="U126" s="63"/>
      <c r="V126" s="26"/>
      <c r="W126" s="63"/>
      <c r="X126" s="165"/>
      <c r="Y126" s="63"/>
      <c r="Z126" s="165"/>
      <c r="AA126" s="63"/>
      <c r="AB126" s="165"/>
      <c r="AC126" s="63"/>
      <c r="AD126" s="165"/>
      <c r="AE126" s="63"/>
      <c r="AF126" s="165"/>
      <c r="AG126" s="63"/>
      <c r="AH126" s="165"/>
      <c r="AI126" s="63"/>
      <c r="AJ126" s="165"/>
      <c r="AK126" s="63"/>
      <c r="AL126" s="165"/>
      <c r="AM126" s="63"/>
      <c r="AN126" s="165"/>
      <c r="AO126" s="63"/>
      <c r="AP126" s="165"/>
      <c r="AQ126" s="63"/>
      <c r="AR126" s="165"/>
      <c r="AS126" s="63"/>
      <c r="AT126" s="165"/>
      <c r="AU126" s="63"/>
      <c r="AV126" s="165"/>
    </row>
    <row r="127" spans="1:48" ht="25.5" x14ac:dyDescent="0.25">
      <c r="A127" s="197" t="str">
        <f>tblSeverityReference[[#This Row],[Admin 2 P-Code]]</f>
        <v>SD11061</v>
      </c>
      <c r="B127" s="127" t="s">
        <v>161</v>
      </c>
      <c r="C127" s="60" t="s">
        <v>128</v>
      </c>
      <c r="D127" s="146" t="s">
        <v>440</v>
      </c>
      <c r="E127" s="60" t="s">
        <v>441</v>
      </c>
      <c r="F127" s="118"/>
      <c r="G127" s="118"/>
      <c r="H127" s="118"/>
      <c r="I127" s="23"/>
      <c r="J127" s="25"/>
      <c r="K127" s="25"/>
      <c r="L127" s="24"/>
      <c r="M127" s="25"/>
      <c r="N127" s="25"/>
      <c r="O127" s="24"/>
      <c r="P127" s="24"/>
      <c r="Q127" s="25"/>
      <c r="R127" s="25"/>
      <c r="S127" s="25"/>
      <c r="T127" s="25"/>
      <c r="U127" s="63"/>
      <c r="V127" s="26"/>
      <c r="W127" s="63"/>
      <c r="X127" s="165"/>
      <c r="Y127" s="63"/>
      <c r="Z127" s="165"/>
      <c r="AA127" s="63"/>
      <c r="AB127" s="165"/>
      <c r="AC127" s="63"/>
      <c r="AD127" s="165"/>
      <c r="AE127" s="63"/>
      <c r="AF127" s="165"/>
      <c r="AG127" s="63"/>
      <c r="AH127" s="165"/>
      <c r="AI127" s="63"/>
      <c r="AJ127" s="165"/>
      <c r="AK127" s="63"/>
      <c r="AL127" s="165"/>
      <c r="AM127" s="63"/>
      <c r="AN127" s="165"/>
      <c r="AO127" s="63"/>
      <c r="AP127" s="165"/>
      <c r="AQ127" s="63"/>
      <c r="AR127" s="165"/>
      <c r="AS127" s="63"/>
      <c r="AT127" s="165"/>
      <c r="AU127" s="63"/>
      <c r="AV127" s="165"/>
    </row>
    <row r="128" spans="1:48" ht="25.5" x14ac:dyDescent="0.25">
      <c r="A128" s="197" t="str">
        <f>tblSeverityReference[[#This Row],[Admin 2 P-Code]]</f>
        <v>SD11062</v>
      </c>
      <c r="B128" s="127" t="s">
        <v>161</v>
      </c>
      <c r="C128" s="60" t="s">
        <v>128</v>
      </c>
      <c r="D128" s="146" t="s">
        <v>442</v>
      </c>
      <c r="E128" s="60" t="s">
        <v>443</v>
      </c>
      <c r="F128" s="118"/>
      <c r="G128" s="118"/>
      <c r="H128" s="118"/>
      <c r="I128" s="23"/>
      <c r="J128" s="25"/>
      <c r="K128" s="25"/>
      <c r="L128" s="24"/>
      <c r="M128" s="25"/>
      <c r="N128" s="25"/>
      <c r="O128" s="24"/>
      <c r="P128" s="24"/>
      <c r="Q128" s="25"/>
      <c r="R128" s="25"/>
      <c r="S128" s="25"/>
      <c r="T128" s="25"/>
      <c r="U128" s="63"/>
      <c r="V128" s="26"/>
      <c r="W128" s="63"/>
      <c r="X128" s="165"/>
      <c r="Y128" s="63"/>
      <c r="Z128" s="165"/>
      <c r="AA128" s="63"/>
      <c r="AB128" s="165"/>
      <c r="AC128" s="63"/>
      <c r="AD128" s="165"/>
      <c r="AE128" s="63"/>
      <c r="AF128" s="165"/>
      <c r="AG128" s="63"/>
      <c r="AH128" s="165"/>
      <c r="AI128" s="63"/>
      <c r="AJ128" s="165"/>
      <c r="AK128" s="63"/>
      <c r="AL128" s="165"/>
      <c r="AM128" s="63"/>
      <c r="AN128" s="165"/>
      <c r="AO128" s="63"/>
      <c r="AP128" s="165"/>
      <c r="AQ128" s="63"/>
      <c r="AR128" s="165"/>
      <c r="AS128" s="63"/>
      <c r="AT128" s="165"/>
      <c r="AU128" s="63"/>
      <c r="AV128" s="165"/>
    </row>
    <row r="129" spans="1:48" ht="25.5" x14ac:dyDescent="0.25">
      <c r="A129" s="197" t="str">
        <f>tblSeverityReference[[#This Row],[Admin 2 P-Code]]</f>
        <v>SD12073</v>
      </c>
      <c r="B129" s="127" t="s">
        <v>158</v>
      </c>
      <c r="C129" s="60" t="s">
        <v>129</v>
      </c>
      <c r="D129" s="146" t="s">
        <v>444</v>
      </c>
      <c r="E129" s="60" t="s">
        <v>445</v>
      </c>
      <c r="F129" s="118"/>
      <c r="G129" s="118"/>
      <c r="H129" s="118"/>
      <c r="I129" s="23"/>
      <c r="J129" s="25"/>
      <c r="K129" s="25"/>
      <c r="L129" s="24"/>
      <c r="M129" s="25"/>
      <c r="N129" s="25"/>
      <c r="O129" s="24"/>
      <c r="P129" s="24"/>
      <c r="Q129" s="25"/>
      <c r="R129" s="25"/>
      <c r="S129" s="25"/>
      <c r="T129" s="25"/>
      <c r="U129" s="63"/>
      <c r="V129" s="26"/>
      <c r="W129" s="32"/>
      <c r="X129" s="166"/>
      <c r="Y129" s="32"/>
      <c r="Z129" s="166"/>
      <c r="AA129" s="32"/>
      <c r="AB129" s="166"/>
      <c r="AC129" s="32"/>
      <c r="AD129" s="166"/>
      <c r="AE129" s="32"/>
      <c r="AF129" s="166"/>
      <c r="AG129" s="32"/>
      <c r="AH129" s="166"/>
      <c r="AI129" s="32"/>
      <c r="AJ129" s="166"/>
      <c r="AK129" s="32"/>
      <c r="AL129" s="166"/>
      <c r="AM129" s="32"/>
      <c r="AN129" s="166"/>
      <c r="AO129" s="32"/>
      <c r="AP129" s="166"/>
      <c r="AQ129" s="32"/>
      <c r="AR129" s="166"/>
      <c r="AS129" s="32"/>
      <c r="AT129" s="166"/>
      <c r="AU129" s="32"/>
      <c r="AV129" s="166"/>
    </row>
    <row r="130" spans="1:48" ht="25.5" x14ac:dyDescent="0.25">
      <c r="A130" s="197" t="str">
        <f>tblSeverityReference[[#This Row],[Admin 2 P-Code]]</f>
        <v>SD12074</v>
      </c>
      <c r="B130" s="127" t="s">
        <v>158</v>
      </c>
      <c r="C130" s="60" t="s">
        <v>129</v>
      </c>
      <c r="D130" s="146" t="s">
        <v>446</v>
      </c>
      <c r="E130" s="60" t="s">
        <v>447</v>
      </c>
      <c r="F130" s="118"/>
      <c r="G130" s="118"/>
      <c r="H130" s="118"/>
      <c r="I130" s="23"/>
      <c r="J130" s="25"/>
      <c r="K130" s="25"/>
      <c r="L130" s="24"/>
      <c r="M130" s="25"/>
      <c r="N130" s="25"/>
      <c r="O130" s="24"/>
      <c r="P130" s="24"/>
      <c r="Q130" s="25"/>
      <c r="R130" s="25"/>
      <c r="S130" s="25"/>
      <c r="T130" s="25"/>
      <c r="U130" s="63"/>
      <c r="V130" s="26"/>
      <c r="W130" s="63"/>
      <c r="X130" s="165"/>
      <c r="Y130" s="63"/>
      <c r="Z130" s="165"/>
      <c r="AA130" s="63"/>
      <c r="AB130" s="165"/>
      <c r="AC130" s="63"/>
      <c r="AD130" s="165"/>
      <c r="AE130" s="63"/>
      <c r="AF130" s="165"/>
      <c r="AG130" s="63"/>
      <c r="AH130" s="165"/>
      <c r="AI130" s="63"/>
      <c r="AJ130" s="165"/>
      <c r="AK130" s="63"/>
      <c r="AL130" s="165"/>
      <c r="AM130" s="63"/>
      <c r="AN130" s="165"/>
      <c r="AO130" s="63"/>
      <c r="AP130" s="165"/>
      <c r="AQ130" s="63"/>
      <c r="AR130" s="165"/>
      <c r="AS130" s="63"/>
      <c r="AT130" s="165"/>
      <c r="AU130" s="63"/>
      <c r="AV130" s="165"/>
    </row>
    <row r="131" spans="1:48" ht="25.5" x14ac:dyDescent="0.25">
      <c r="A131" s="197" t="str">
        <f>tblSeverityReference[[#This Row],[Admin 2 P-Code]]</f>
        <v>SD12075</v>
      </c>
      <c r="B131" s="127" t="s">
        <v>158</v>
      </c>
      <c r="C131" s="60" t="s">
        <v>129</v>
      </c>
      <c r="D131" s="146" t="s">
        <v>448</v>
      </c>
      <c r="E131" s="60" t="s">
        <v>449</v>
      </c>
      <c r="F131" s="118"/>
      <c r="G131" s="118"/>
      <c r="H131" s="118"/>
      <c r="I131" s="23"/>
      <c r="J131" s="25"/>
      <c r="K131" s="25"/>
      <c r="L131" s="24"/>
      <c r="M131" s="25"/>
      <c r="N131" s="25"/>
      <c r="O131" s="24"/>
      <c r="P131" s="24"/>
      <c r="Q131" s="25"/>
      <c r="R131" s="25"/>
      <c r="S131" s="25"/>
      <c r="T131" s="25"/>
      <c r="U131" s="63"/>
      <c r="V131" s="26"/>
      <c r="W131" s="63"/>
      <c r="X131" s="165"/>
      <c r="Y131" s="63"/>
      <c r="Z131" s="165"/>
      <c r="AA131" s="63"/>
      <c r="AB131" s="165"/>
      <c r="AC131" s="63"/>
      <c r="AD131" s="165"/>
      <c r="AE131" s="63"/>
      <c r="AF131" s="165"/>
      <c r="AG131" s="63"/>
      <c r="AH131" s="165"/>
      <c r="AI131" s="63"/>
      <c r="AJ131" s="165"/>
      <c r="AK131" s="63"/>
      <c r="AL131" s="165"/>
      <c r="AM131" s="63"/>
      <c r="AN131" s="165"/>
      <c r="AO131" s="63"/>
      <c r="AP131" s="165"/>
      <c r="AQ131" s="63"/>
      <c r="AR131" s="165"/>
      <c r="AS131" s="63"/>
      <c r="AT131" s="165"/>
      <c r="AU131" s="63"/>
      <c r="AV131" s="165"/>
    </row>
    <row r="132" spans="1:48" ht="25.5" x14ac:dyDescent="0.25">
      <c r="A132" s="197" t="str">
        <f>tblSeverityReference[[#This Row],[Admin 2 P-Code]]</f>
        <v>SD12076</v>
      </c>
      <c r="B132" s="127" t="s">
        <v>158</v>
      </c>
      <c r="C132" s="60" t="s">
        <v>129</v>
      </c>
      <c r="D132" s="146" t="s">
        <v>450</v>
      </c>
      <c r="E132" s="60" t="s">
        <v>451</v>
      </c>
      <c r="F132" s="118"/>
      <c r="G132" s="118"/>
      <c r="H132" s="118"/>
      <c r="I132" s="23"/>
      <c r="J132" s="25"/>
      <c r="K132" s="25"/>
      <c r="L132" s="24"/>
      <c r="M132" s="25"/>
      <c r="N132" s="25"/>
      <c r="O132" s="24"/>
      <c r="P132" s="24"/>
      <c r="Q132" s="25"/>
      <c r="R132" s="25"/>
      <c r="S132" s="25"/>
      <c r="T132" s="25"/>
      <c r="U132" s="63"/>
      <c r="V132" s="26"/>
      <c r="W132" s="63"/>
      <c r="X132" s="165"/>
      <c r="Y132" s="63"/>
      <c r="Z132" s="165"/>
      <c r="AA132" s="63"/>
      <c r="AB132" s="165"/>
      <c r="AC132" s="63"/>
      <c r="AD132" s="165"/>
      <c r="AE132" s="63"/>
      <c r="AF132" s="165"/>
      <c r="AG132" s="63"/>
      <c r="AH132" s="165"/>
      <c r="AI132" s="63"/>
      <c r="AJ132" s="165"/>
      <c r="AK132" s="63"/>
      <c r="AL132" s="165"/>
      <c r="AM132" s="63"/>
      <c r="AN132" s="165"/>
      <c r="AO132" s="63"/>
      <c r="AP132" s="165"/>
      <c r="AQ132" s="63"/>
      <c r="AR132" s="165"/>
      <c r="AS132" s="63"/>
      <c r="AT132" s="165"/>
      <c r="AU132" s="63"/>
      <c r="AV132" s="165"/>
    </row>
    <row r="133" spans="1:48" ht="25.5" x14ac:dyDescent="0.25">
      <c r="A133" s="197" t="str">
        <f>tblSeverityReference[[#This Row],[Admin 2 P-Code]]</f>
        <v>SD12077</v>
      </c>
      <c r="B133" s="127" t="s">
        <v>158</v>
      </c>
      <c r="C133" s="60" t="s">
        <v>129</v>
      </c>
      <c r="D133" s="146" t="s">
        <v>452</v>
      </c>
      <c r="E133" s="60" t="s">
        <v>453</v>
      </c>
      <c r="F133" s="118"/>
      <c r="G133" s="118"/>
      <c r="H133" s="118"/>
      <c r="I133" s="23"/>
      <c r="J133" s="25"/>
      <c r="K133" s="25"/>
      <c r="L133" s="24"/>
      <c r="M133" s="25"/>
      <c r="N133" s="25"/>
      <c r="O133" s="24"/>
      <c r="P133" s="24"/>
      <c r="Q133" s="25"/>
      <c r="R133" s="25"/>
      <c r="S133" s="25"/>
      <c r="T133" s="25"/>
      <c r="U133" s="63"/>
      <c r="V133" s="26"/>
      <c r="W133" s="63"/>
      <c r="X133" s="165"/>
      <c r="Y133" s="63"/>
      <c r="Z133" s="165"/>
      <c r="AA133" s="63"/>
      <c r="AB133" s="165"/>
      <c r="AC133" s="63"/>
      <c r="AD133" s="165"/>
      <c r="AE133" s="63"/>
      <c r="AF133" s="165"/>
      <c r="AG133" s="63"/>
      <c r="AH133" s="165"/>
      <c r="AI133" s="63"/>
      <c r="AJ133" s="165"/>
      <c r="AK133" s="63"/>
      <c r="AL133" s="165"/>
      <c r="AM133" s="63"/>
      <c r="AN133" s="165"/>
      <c r="AO133" s="63"/>
      <c r="AP133" s="165"/>
      <c r="AQ133" s="63"/>
      <c r="AR133" s="165"/>
      <c r="AS133" s="63"/>
      <c r="AT133" s="165"/>
      <c r="AU133" s="63"/>
      <c r="AV133" s="165"/>
    </row>
    <row r="134" spans="1:48" ht="30" x14ac:dyDescent="0.25">
      <c r="A134" s="197" t="str">
        <f>tblSeverityReference[[#This Row],[Admin 2 P-Code]]</f>
        <v>SD12078</v>
      </c>
      <c r="B134" s="127" t="s">
        <v>158</v>
      </c>
      <c r="C134" s="60" t="s">
        <v>129</v>
      </c>
      <c r="D134" s="146" t="s">
        <v>454</v>
      </c>
      <c r="E134" s="60" t="s">
        <v>455</v>
      </c>
      <c r="F134" s="118"/>
      <c r="G134" s="118"/>
      <c r="H134" s="118"/>
      <c r="I134" s="23"/>
      <c r="J134" s="25"/>
      <c r="K134" s="25"/>
      <c r="L134" s="24"/>
      <c r="M134" s="25"/>
      <c r="N134" s="25"/>
      <c r="O134" s="24"/>
      <c r="P134" s="24"/>
      <c r="Q134" s="25"/>
      <c r="R134" s="25"/>
      <c r="S134" s="25"/>
      <c r="T134" s="25"/>
      <c r="U134" s="63"/>
      <c r="V134" s="26"/>
      <c r="W134" s="63"/>
      <c r="X134" s="165"/>
      <c r="Y134" s="63"/>
      <c r="Z134" s="165"/>
      <c r="AA134" s="63"/>
      <c r="AB134" s="165"/>
      <c r="AC134" s="63"/>
      <c r="AD134" s="165"/>
      <c r="AE134" s="63"/>
      <c r="AF134" s="165"/>
      <c r="AG134" s="63"/>
      <c r="AH134" s="165"/>
      <c r="AI134" s="63"/>
      <c r="AJ134" s="165"/>
      <c r="AK134" s="63"/>
      <c r="AL134" s="165"/>
      <c r="AM134" s="63"/>
      <c r="AN134" s="165"/>
      <c r="AO134" s="63"/>
      <c r="AP134" s="165"/>
      <c r="AQ134" s="63"/>
      <c r="AR134" s="165"/>
      <c r="AS134" s="63"/>
      <c r="AT134" s="165"/>
      <c r="AU134" s="63"/>
      <c r="AV134" s="165"/>
    </row>
    <row r="135" spans="1:48" ht="25.5" x14ac:dyDescent="0.25">
      <c r="A135" s="197" t="str">
        <f>tblSeverityReference[[#This Row],[Admin 2 P-Code]]</f>
        <v>SD12079</v>
      </c>
      <c r="B135" s="127" t="s">
        <v>158</v>
      </c>
      <c r="C135" s="60" t="s">
        <v>129</v>
      </c>
      <c r="D135" s="146" t="s">
        <v>456</v>
      </c>
      <c r="E135" s="60" t="s">
        <v>457</v>
      </c>
      <c r="F135" s="118"/>
      <c r="G135" s="118"/>
      <c r="H135" s="118"/>
      <c r="I135" s="23"/>
      <c r="J135" s="25"/>
      <c r="K135" s="25"/>
      <c r="L135" s="24"/>
      <c r="M135" s="25"/>
      <c r="N135" s="25"/>
      <c r="O135" s="24"/>
      <c r="P135" s="24"/>
      <c r="Q135" s="25"/>
      <c r="R135" s="25"/>
      <c r="S135" s="25"/>
      <c r="T135" s="25"/>
      <c r="U135" s="63"/>
      <c r="V135" s="26"/>
      <c r="W135" s="63"/>
      <c r="X135" s="165"/>
      <c r="Y135" s="63"/>
      <c r="Z135" s="165"/>
      <c r="AA135" s="63"/>
      <c r="AB135" s="165"/>
      <c r="AC135" s="63"/>
      <c r="AD135" s="165"/>
      <c r="AE135" s="63"/>
      <c r="AF135" s="165"/>
      <c r="AG135" s="63"/>
      <c r="AH135" s="165"/>
      <c r="AI135" s="63"/>
      <c r="AJ135" s="165"/>
      <c r="AK135" s="63"/>
      <c r="AL135" s="165"/>
      <c r="AM135" s="63"/>
      <c r="AN135" s="165"/>
      <c r="AO135" s="63"/>
      <c r="AP135" s="165"/>
      <c r="AQ135" s="63"/>
      <c r="AR135" s="165"/>
      <c r="AS135" s="63"/>
      <c r="AT135" s="165"/>
      <c r="AU135" s="63"/>
      <c r="AV135" s="165"/>
    </row>
    <row r="136" spans="1:48" ht="25.5" x14ac:dyDescent="0.25">
      <c r="A136" s="197" t="str">
        <f>tblSeverityReference[[#This Row],[Admin 2 P-Code]]</f>
        <v>SD12080</v>
      </c>
      <c r="B136" s="127" t="s">
        <v>158</v>
      </c>
      <c r="C136" s="60" t="s">
        <v>129</v>
      </c>
      <c r="D136" s="146" t="s">
        <v>458</v>
      </c>
      <c r="E136" s="60" t="s">
        <v>459</v>
      </c>
      <c r="F136" s="118"/>
      <c r="G136" s="118"/>
      <c r="H136" s="118"/>
      <c r="I136" s="23"/>
      <c r="J136" s="25"/>
      <c r="K136" s="25"/>
      <c r="L136" s="24"/>
      <c r="M136" s="25"/>
      <c r="N136" s="25"/>
      <c r="O136" s="24"/>
      <c r="P136" s="24"/>
      <c r="Q136" s="25"/>
      <c r="R136" s="25"/>
      <c r="S136" s="25"/>
      <c r="T136" s="25"/>
      <c r="U136" s="63"/>
      <c r="V136" s="26"/>
      <c r="W136" s="32"/>
      <c r="X136" s="166"/>
      <c r="Y136" s="32"/>
      <c r="Z136" s="166"/>
      <c r="AA136" s="32"/>
      <c r="AB136" s="166"/>
      <c r="AC136" s="32"/>
      <c r="AD136" s="166"/>
      <c r="AE136" s="32"/>
      <c r="AF136" s="166"/>
      <c r="AG136" s="32"/>
      <c r="AH136" s="166"/>
      <c r="AI136" s="32"/>
      <c r="AJ136" s="166"/>
      <c r="AK136" s="32"/>
      <c r="AL136" s="166"/>
      <c r="AM136" s="32"/>
      <c r="AN136" s="166"/>
      <c r="AO136" s="32"/>
      <c r="AP136" s="166"/>
      <c r="AQ136" s="32"/>
      <c r="AR136" s="166"/>
      <c r="AS136" s="32"/>
      <c r="AT136" s="166"/>
      <c r="AU136" s="32"/>
      <c r="AV136" s="166"/>
    </row>
    <row r="137" spans="1:48" ht="25.5" x14ac:dyDescent="0.25">
      <c r="A137" s="197" t="str">
        <f>tblSeverityReference[[#This Row],[Admin 2 P-Code]]</f>
        <v>SD12081</v>
      </c>
      <c r="B137" s="127" t="s">
        <v>158</v>
      </c>
      <c r="C137" s="60" t="s">
        <v>129</v>
      </c>
      <c r="D137" s="146" t="s">
        <v>460</v>
      </c>
      <c r="E137" s="60" t="s">
        <v>461</v>
      </c>
      <c r="F137" s="118"/>
      <c r="G137" s="118"/>
      <c r="H137" s="118"/>
      <c r="I137" s="23"/>
      <c r="J137" s="25"/>
      <c r="K137" s="25"/>
      <c r="L137" s="24"/>
      <c r="M137" s="25"/>
      <c r="N137" s="25"/>
      <c r="O137" s="24"/>
      <c r="P137" s="24"/>
      <c r="Q137" s="25"/>
      <c r="R137" s="25"/>
      <c r="S137" s="25"/>
      <c r="T137" s="25"/>
      <c r="U137" s="63"/>
      <c r="V137" s="26"/>
      <c r="W137" s="63"/>
      <c r="X137" s="165"/>
      <c r="Y137" s="63"/>
      <c r="Z137" s="165"/>
      <c r="AA137" s="63"/>
      <c r="AB137" s="165"/>
      <c r="AC137" s="63"/>
      <c r="AD137" s="165"/>
      <c r="AE137" s="63"/>
      <c r="AF137" s="165"/>
      <c r="AG137" s="63"/>
      <c r="AH137" s="165"/>
      <c r="AI137" s="63"/>
      <c r="AJ137" s="165"/>
      <c r="AK137" s="63"/>
      <c r="AL137" s="165"/>
      <c r="AM137" s="63"/>
      <c r="AN137" s="165"/>
      <c r="AO137" s="63"/>
      <c r="AP137" s="165"/>
      <c r="AQ137" s="63"/>
      <c r="AR137" s="165"/>
      <c r="AS137" s="63"/>
      <c r="AT137" s="165"/>
      <c r="AU137" s="63"/>
      <c r="AV137" s="165"/>
    </row>
    <row r="138" spans="1:48" ht="25.5" x14ac:dyDescent="0.25">
      <c r="A138" s="197" t="str">
        <f>tblSeverityReference[[#This Row],[Admin 2 P-Code]]</f>
        <v>SD12082</v>
      </c>
      <c r="B138" s="127" t="s">
        <v>158</v>
      </c>
      <c r="C138" s="60" t="s">
        <v>129</v>
      </c>
      <c r="D138" s="146" t="s">
        <v>462</v>
      </c>
      <c r="E138" s="60" t="s">
        <v>463</v>
      </c>
      <c r="F138" s="118"/>
      <c r="G138" s="118"/>
      <c r="H138" s="118"/>
      <c r="I138" s="23"/>
      <c r="J138" s="25"/>
      <c r="K138" s="25"/>
      <c r="L138" s="24"/>
      <c r="M138" s="25"/>
      <c r="N138" s="25"/>
      <c r="O138" s="24"/>
      <c r="P138" s="24"/>
      <c r="Q138" s="25"/>
      <c r="R138" s="25"/>
      <c r="S138" s="25"/>
      <c r="T138" s="25"/>
      <c r="U138" s="63"/>
      <c r="V138" s="26"/>
      <c r="W138" s="63"/>
      <c r="X138" s="165"/>
      <c r="Y138" s="63"/>
      <c r="Z138" s="165"/>
      <c r="AA138" s="63"/>
      <c r="AB138" s="165"/>
      <c r="AC138" s="63"/>
      <c r="AD138" s="165"/>
      <c r="AE138" s="63"/>
      <c r="AF138" s="165"/>
      <c r="AG138" s="63"/>
      <c r="AH138" s="165"/>
      <c r="AI138" s="63"/>
      <c r="AJ138" s="165"/>
      <c r="AK138" s="63"/>
      <c r="AL138" s="165"/>
      <c r="AM138" s="63"/>
      <c r="AN138" s="165"/>
      <c r="AO138" s="63"/>
      <c r="AP138" s="165"/>
      <c r="AQ138" s="63"/>
      <c r="AR138" s="165"/>
      <c r="AS138" s="63"/>
      <c r="AT138" s="165"/>
      <c r="AU138" s="63"/>
      <c r="AV138" s="165"/>
    </row>
    <row r="139" spans="1:48" ht="25.5" x14ac:dyDescent="0.25">
      <c r="A139" s="197" t="str">
        <f>tblSeverityReference[[#This Row],[Admin 2 P-Code]]</f>
        <v>SD12083</v>
      </c>
      <c r="B139" s="127" t="s">
        <v>158</v>
      </c>
      <c r="C139" s="60" t="s">
        <v>129</v>
      </c>
      <c r="D139" s="146" t="s">
        <v>464</v>
      </c>
      <c r="E139" s="60" t="s">
        <v>465</v>
      </c>
      <c r="F139" s="118"/>
      <c r="G139" s="118"/>
      <c r="H139" s="118"/>
      <c r="I139" s="23"/>
      <c r="J139" s="25"/>
      <c r="K139" s="25"/>
      <c r="L139" s="24"/>
      <c r="M139" s="25"/>
      <c r="N139" s="25"/>
      <c r="O139" s="24"/>
      <c r="P139" s="24"/>
      <c r="Q139" s="25"/>
      <c r="R139" s="25"/>
      <c r="S139" s="25"/>
      <c r="T139" s="25"/>
      <c r="U139" s="63"/>
      <c r="V139" s="26"/>
      <c r="W139" s="63"/>
      <c r="X139" s="165"/>
      <c r="Y139" s="63"/>
      <c r="Z139" s="165"/>
      <c r="AA139" s="63"/>
      <c r="AB139" s="165"/>
      <c r="AC139" s="63"/>
      <c r="AD139" s="165"/>
      <c r="AE139" s="63"/>
      <c r="AF139" s="165"/>
      <c r="AG139" s="63"/>
      <c r="AH139" s="165"/>
      <c r="AI139" s="63"/>
      <c r="AJ139" s="165"/>
      <c r="AK139" s="63"/>
      <c r="AL139" s="165"/>
      <c r="AM139" s="63"/>
      <c r="AN139" s="165"/>
      <c r="AO139" s="63"/>
      <c r="AP139" s="165"/>
      <c r="AQ139" s="63"/>
      <c r="AR139" s="165"/>
      <c r="AS139" s="63"/>
      <c r="AT139" s="165"/>
      <c r="AU139" s="63"/>
      <c r="AV139" s="165"/>
    </row>
    <row r="140" spans="1:48" ht="25.5" x14ac:dyDescent="0.25">
      <c r="A140" s="197" t="str">
        <f>tblSeverityReference[[#This Row],[Admin 2 P-Code]]</f>
        <v>SD12084</v>
      </c>
      <c r="B140" s="127" t="s">
        <v>158</v>
      </c>
      <c r="C140" s="60" t="s">
        <v>129</v>
      </c>
      <c r="D140" s="146" t="s">
        <v>466</v>
      </c>
      <c r="E140" s="60" t="s">
        <v>467</v>
      </c>
      <c r="F140" s="118"/>
      <c r="G140" s="118"/>
      <c r="H140" s="118"/>
      <c r="I140" s="23"/>
      <c r="J140" s="25"/>
      <c r="K140" s="25"/>
      <c r="L140" s="24"/>
      <c r="M140" s="25"/>
      <c r="N140" s="25"/>
      <c r="O140" s="24"/>
      <c r="P140" s="24"/>
      <c r="Q140" s="25"/>
      <c r="R140" s="25"/>
      <c r="S140" s="25"/>
      <c r="T140" s="25"/>
      <c r="U140" s="63"/>
      <c r="V140" s="26"/>
      <c r="W140" s="63"/>
      <c r="X140" s="165"/>
      <c r="Y140" s="63"/>
      <c r="Z140" s="165"/>
      <c r="AA140" s="63"/>
      <c r="AB140" s="165"/>
      <c r="AC140" s="63"/>
      <c r="AD140" s="165"/>
      <c r="AE140" s="63"/>
      <c r="AF140" s="165"/>
      <c r="AG140" s="63"/>
      <c r="AH140" s="165"/>
      <c r="AI140" s="63"/>
      <c r="AJ140" s="165"/>
      <c r="AK140" s="63"/>
      <c r="AL140" s="165"/>
      <c r="AM140" s="63"/>
      <c r="AN140" s="165"/>
      <c r="AO140" s="63"/>
      <c r="AP140" s="165"/>
      <c r="AQ140" s="63"/>
      <c r="AR140" s="165"/>
      <c r="AS140" s="63"/>
      <c r="AT140" s="165"/>
      <c r="AU140" s="63"/>
      <c r="AV140" s="165"/>
    </row>
    <row r="141" spans="1:48" ht="30" x14ac:dyDescent="0.25">
      <c r="A141" s="197" t="str">
        <f>tblSeverityReference[[#This Row],[Admin 2 P-Code]]</f>
        <v>SD13023</v>
      </c>
      <c r="B141" s="127" t="s">
        <v>170</v>
      </c>
      <c r="C141" s="60" t="s">
        <v>130</v>
      </c>
      <c r="D141" s="146" t="s">
        <v>468</v>
      </c>
      <c r="E141" s="60" t="s">
        <v>469</v>
      </c>
      <c r="F141" s="131"/>
      <c r="G141" s="131"/>
      <c r="H141" s="131"/>
      <c r="I141" s="132"/>
      <c r="J141" s="31"/>
      <c r="K141" s="25"/>
      <c r="L141" s="129"/>
      <c r="M141" s="133"/>
      <c r="N141" s="25"/>
      <c r="O141" s="132"/>
      <c r="P141" s="132"/>
      <c r="Q141" s="25"/>
      <c r="R141" s="25"/>
      <c r="S141" s="25"/>
      <c r="T141" s="25"/>
      <c r="U141" s="32"/>
      <c r="V141" s="130"/>
      <c r="W141" s="63"/>
      <c r="X141" s="165"/>
      <c r="Y141" s="63"/>
      <c r="Z141" s="165"/>
      <c r="AA141" s="63"/>
      <c r="AB141" s="165"/>
      <c r="AC141" s="63"/>
      <c r="AD141" s="165"/>
      <c r="AE141" s="63"/>
      <c r="AF141" s="165"/>
      <c r="AG141" s="63"/>
      <c r="AH141" s="165"/>
      <c r="AI141" s="63"/>
      <c r="AJ141" s="165"/>
      <c r="AK141" s="63"/>
      <c r="AL141" s="165"/>
      <c r="AM141" s="63"/>
      <c r="AN141" s="165"/>
      <c r="AO141" s="63"/>
      <c r="AP141" s="165"/>
      <c r="AQ141" s="63"/>
      <c r="AR141" s="165"/>
      <c r="AS141" s="63"/>
      <c r="AT141" s="165"/>
      <c r="AU141" s="63"/>
      <c r="AV141" s="165"/>
    </row>
    <row r="142" spans="1:48" ht="30" x14ac:dyDescent="0.25">
      <c r="A142" s="197" t="str">
        <f>tblSeverityReference[[#This Row],[Admin 2 P-Code]]</f>
        <v>SD13024</v>
      </c>
      <c r="B142" s="127" t="s">
        <v>170</v>
      </c>
      <c r="C142" s="60" t="s">
        <v>130</v>
      </c>
      <c r="D142" s="146" t="s">
        <v>470</v>
      </c>
      <c r="E142" s="60" t="s">
        <v>471</v>
      </c>
      <c r="F142" s="131"/>
      <c r="G142" s="131"/>
      <c r="H142" s="131"/>
      <c r="I142" s="132"/>
      <c r="J142" s="31"/>
      <c r="K142" s="25"/>
      <c r="L142" s="129"/>
      <c r="M142" s="133"/>
      <c r="N142" s="25"/>
      <c r="O142" s="132"/>
      <c r="P142" s="132"/>
      <c r="Q142" s="25"/>
      <c r="R142" s="25"/>
      <c r="S142" s="25"/>
      <c r="T142" s="25"/>
      <c r="U142" s="32"/>
      <c r="V142" s="130"/>
      <c r="W142" s="63"/>
      <c r="X142" s="165"/>
      <c r="Y142" s="63"/>
      <c r="Z142" s="165"/>
      <c r="AA142" s="63"/>
      <c r="AB142" s="165"/>
      <c r="AC142" s="63"/>
      <c r="AD142" s="165"/>
      <c r="AE142" s="63"/>
      <c r="AF142" s="165"/>
      <c r="AG142" s="63"/>
      <c r="AH142" s="165"/>
      <c r="AI142" s="63"/>
      <c r="AJ142" s="165"/>
      <c r="AK142" s="63"/>
      <c r="AL142" s="165"/>
      <c r="AM142" s="63"/>
      <c r="AN142" s="165"/>
      <c r="AO142" s="63"/>
      <c r="AP142" s="165"/>
      <c r="AQ142" s="63"/>
      <c r="AR142" s="165"/>
      <c r="AS142" s="63"/>
      <c r="AT142" s="165"/>
      <c r="AU142" s="63"/>
      <c r="AV142" s="165"/>
    </row>
    <row r="143" spans="1:48" ht="30" x14ac:dyDescent="0.25">
      <c r="A143" s="197" t="str">
        <f>tblSeverityReference[[#This Row],[Admin 2 P-Code]]</f>
        <v>SD13025</v>
      </c>
      <c r="B143" s="127" t="s">
        <v>170</v>
      </c>
      <c r="C143" s="60" t="s">
        <v>130</v>
      </c>
      <c r="D143" s="146" t="s">
        <v>472</v>
      </c>
      <c r="E143" s="60" t="s">
        <v>473</v>
      </c>
      <c r="F143" s="131"/>
      <c r="G143" s="131"/>
      <c r="H143" s="131"/>
      <c r="I143" s="132"/>
      <c r="J143" s="31"/>
      <c r="K143" s="25"/>
      <c r="L143" s="129"/>
      <c r="M143" s="133"/>
      <c r="N143" s="25"/>
      <c r="O143" s="132"/>
      <c r="P143" s="132"/>
      <c r="Q143" s="25"/>
      <c r="R143" s="25"/>
      <c r="S143" s="25"/>
      <c r="T143" s="25"/>
      <c r="U143" s="32"/>
      <c r="V143" s="130"/>
      <c r="W143" s="32"/>
      <c r="X143" s="166"/>
      <c r="Y143" s="32"/>
      <c r="Z143" s="166"/>
      <c r="AA143" s="32"/>
      <c r="AB143" s="166"/>
      <c r="AC143" s="32"/>
      <c r="AD143" s="166"/>
      <c r="AE143" s="32"/>
      <c r="AF143" s="166"/>
      <c r="AG143" s="32"/>
      <c r="AH143" s="166"/>
      <c r="AI143" s="32"/>
      <c r="AJ143" s="166"/>
      <c r="AK143" s="32"/>
      <c r="AL143" s="166"/>
      <c r="AM143" s="32"/>
      <c r="AN143" s="166"/>
      <c r="AO143" s="32"/>
      <c r="AP143" s="166"/>
      <c r="AQ143" s="32"/>
      <c r="AR143" s="166"/>
      <c r="AS143" s="32"/>
      <c r="AT143" s="166"/>
      <c r="AU143" s="32"/>
      <c r="AV143" s="166"/>
    </row>
    <row r="144" spans="1:48" ht="30" x14ac:dyDescent="0.25">
      <c r="A144" s="197" t="str">
        <f>tblSeverityReference[[#This Row],[Admin 2 P-Code]]</f>
        <v>SD13026</v>
      </c>
      <c r="B144" s="127" t="s">
        <v>170</v>
      </c>
      <c r="C144" s="60" t="s">
        <v>130</v>
      </c>
      <c r="D144" s="146" t="s">
        <v>474</v>
      </c>
      <c r="E144" s="60" t="s">
        <v>475</v>
      </c>
      <c r="F144" s="131"/>
      <c r="G144" s="131"/>
      <c r="H144" s="131"/>
      <c r="I144" s="132"/>
      <c r="J144" s="31"/>
      <c r="K144" s="25"/>
      <c r="L144" s="129"/>
      <c r="M144" s="133"/>
      <c r="N144" s="25"/>
      <c r="O144" s="132"/>
      <c r="P144" s="132"/>
      <c r="Q144" s="25"/>
      <c r="R144" s="25"/>
      <c r="S144" s="25"/>
      <c r="T144" s="25"/>
      <c r="U144" s="32"/>
      <c r="V144" s="130"/>
      <c r="W144" s="63"/>
      <c r="X144" s="165"/>
      <c r="Y144" s="63"/>
      <c r="Z144" s="165"/>
      <c r="AA144" s="63"/>
      <c r="AB144" s="165"/>
      <c r="AC144" s="63"/>
      <c r="AD144" s="165"/>
      <c r="AE144" s="63"/>
      <c r="AF144" s="165"/>
      <c r="AG144" s="63"/>
      <c r="AH144" s="165"/>
      <c r="AI144" s="63"/>
      <c r="AJ144" s="165"/>
      <c r="AK144" s="63"/>
      <c r="AL144" s="165"/>
      <c r="AM144" s="63"/>
      <c r="AN144" s="165"/>
      <c r="AO144" s="63"/>
      <c r="AP144" s="165"/>
      <c r="AQ144" s="63"/>
      <c r="AR144" s="165"/>
      <c r="AS144" s="63"/>
      <c r="AT144" s="165"/>
      <c r="AU144" s="63"/>
      <c r="AV144" s="165"/>
    </row>
    <row r="145" spans="1:48" ht="30" x14ac:dyDescent="0.25">
      <c r="A145" s="197" t="str">
        <f>tblSeverityReference[[#This Row],[Admin 2 P-Code]]</f>
        <v>SD13027</v>
      </c>
      <c r="B145" s="127" t="s">
        <v>170</v>
      </c>
      <c r="C145" s="60" t="s">
        <v>130</v>
      </c>
      <c r="D145" s="146" t="s">
        <v>476</v>
      </c>
      <c r="E145" s="60" t="s">
        <v>477</v>
      </c>
      <c r="F145" s="131"/>
      <c r="G145" s="131"/>
      <c r="H145" s="131"/>
      <c r="I145" s="132"/>
      <c r="J145" s="31"/>
      <c r="K145" s="25"/>
      <c r="L145" s="129"/>
      <c r="M145" s="133"/>
      <c r="N145" s="25"/>
      <c r="O145" s="132"/>
      <c r="P145" s="132"/>
      <c r="Q145" s="25"/>
      <c r="R145" s="25"/>
      <c r="S145" s="25"/>
      <c r="T145" s="25"/>
      <c r="U145" s="32"/>
      <c r="V145" s="130"/>
      <c r="W145" s="63"/>
      <c r="X145" s="165"/>
      <c r="Y145" s="63"/>
      <c r="Z145" s="165"/>
      <c r="AA145" s="63"/>
      <c r="AB145" s="165"/>
      <c r="AC145" s="63"/>
      <c r="AD145" s="165"/>
      <c r="AE145" s="63"/>
      <c r="AF145" s="165"/>
      <c r="AG145" s="63"/>
      <c r="AH145" s="165"/>
      <c r="AI145" s="63"/>
      <c r="AJ145" s="165"/>
      <c r="AK145" s="63"/>
      <c r="AL145" s="165"/>
      <c r="AM145" s="63"/>
      <c r="AN145" s="165"/>
      <c r="AO145" s="63"/>
      <c r="AP145" s="165"/>
      <c r="AQ145" s="63"/>
      <c r="AR145" s="165"/>
      <c r="AS145" s="63"/>
      <c r="AT145" s="165"/>
      <c r="AU145" s="63"/>
      <c r="AV145" s="165"/>
    </row>
    <row r="146" spans="1:48" ht="30" x14ac:dyDescent="0.25">
      <c r="A146" s="197" t="str">
        <f>tblSeverityReference[[#This Row],[Admin 2 P-Code]]</f>
        <v>SD13028</v>
      </c>
      <c r="B146" s="127" t="s">
        <v>170</v>
      </c>
      <c r="C146" s="60" t="s">
        <v>130</v>
      </c>
      <c r="D146" s="146" t="s">
        <v>478</v>
      </c>
      <c r="E146" s="60" t="s">
        <v>479</v>
      </c>
      <c r="F146" s="131"/>
      <c r="G146" s="131"/>
      <c r="H146" s="131"/>
      <c r="I146" s="132"/>
      <c r="J146" s="31"/>
      <c r="K146" s="25"/>
      <c r="L146" s="129"/>
      <c r="M146" s="133"/>
      <c r="N146" s="25"/>
      <c r="O146" s="132"/>
      <c r="P146" s="132"/>
      <c r="Q146" s="25"/>
      <c r="R146" s="25"/>
      <c r="S146" s="25"/>
      <c r="T146" s="25"/>
      <c r="U146" s="32"/>
      <c r="V146" s="130"/>
      <c r="W146" s="63"/>
      <c r="X146" s="165"/>
      <c r="Y146" s="63"/>
      <c r="Z146" s="165"/>
      <c r="AA146" s="63"/>
      <c r="AB146" s="165"/>
      <c r="AC146" s="63"/>
      <c r="AD146" s="165"/>
      <c r="AE146" s="63"/>
      <c r="AF146" s="165"/>
      <c r="AG146" s="63"/>
      <c r="AH146" s="165"/>
      <c r="AI146" s="63"/>
      <c r="AJ146" s="165"/>
      <c r="AK146" s="63"/>
      <c r="AL146" s="165"/>
      <c r="AM146" s="63"/>
      <c r="AN146" s="165"/>
      <c r="AO146" s="63"/>
      <c r="AP146" s="165"/>
      <c r="AQ146" s="63"/>
      <c r="AR146" s="165"/>
      <c r="AS146" s="63"/>
      <c r="AT146" s="165"/>
      <c r="AU146" s="63"/>
      <c r="AV146" s="165"/>
    </row>
    <row r="147" spans="1:48" ht="30" x14ac:dyDescent="0.25">
      <c r="A147" s="197" t="str">
        <f>tblSeverityReference[[#This Row],[Admin 2 P-Code]]</f>
        <v>SD13029</v>
      </c>
      <c r="B147" s="127" t="s">
        <v>170</v>
      </c>
      <c r="C147" s="60" t="s">
        <v>130</v>
      </c>
      <c r="D147" s="146" t="s">
        <v>480</v>
      </c>
      <c r="E147" s="60" t="s">
        <v>481</v>
      </c>
      <c r="F147" s="131"/>
      <c r="G147" s="131"/>
      <c r="H147" s="131"/>
      <c r="I147" s="132"/>
      <c r="J147" s="31"/>
      <c r="K147" s="25"/>
      <c r="L147" s="129"/>
      <c r="M147" s="133"/>
      <c r="N147" s="25"/>
      <c r="O147" s="132"/>
      <c r="P147" s="132"/>
      <c r="Q147" s="25"/>
      <c r="R147" s="25"/>
      <c r="S147" s="25"/>
      <c r="T147" s="25"/>
      <c r="U147" s="32"/>
      <c r="V147" s="130"/>
      <c r="W147" s="63"/>
      <c r="X147" s="165"/>
      <c r="Y147" s="63"/>
      <c r="Z147" s="165"/>
      <c r="AA147" s="63"/>
      <c r="AB147" s="165"/>
      <c r="AC147" s="63"/>
      <c r="AD147" s="165"/>
      <c r="AE147" s="63"/>
      <c r="AF147" s="165"/>
      <c r="AG147" s="63"/>
      <c r="AH147" s="165"/>
      <c r="AI147" s="63"/>
      <c r="AJ147" s="165"/>
      <c r="AK147" s="63"/>
      <c r="AL147" s="165"/>
      <c r="AM147" s="63"/>
      <c r="AN147" s="165"/>
      <c r="AO147" s="63"/>
      <c r="AP147" s="165"/>
      <c r="AQ147" s="63"/>
      <c r="AR147" s="165"/>
      <c r="AS147" s="63"/>
      <c r="AT147" s="165"/>
      <c r="AU147" s="63"/>
      <c r="AV147" s="165"/>
    </row>
    <row r="148" spans="1:48" ht="30" x14ac:dyDescent="0.25">
      <c r="A148" s="197" t="str">
        <f>tblSeverityReference[[#This Row],[Admin 2 P-Code]]</f>
        <v>SD13030</v>
      </c>
      <c r="B148" s="127" t="s">
        <v>170</v>
      </c>
      <c r="C148" s="60" t="s">
        <v>130</v>
      </c>
      <c r="D148" s="146" t="s">
        <v>466</v>
      </c>
      <c r="E148" s="60" t="s">
        <v>482</v>
      </c>
      <c r="F148" s="131"/>
      <c r="G148" s="131"/>
      <c r="H148" s="131"/>
      <c r="I148" s="132"/>
      <c r="J148" s="31"/>
      <c r="K148" s="25"/>
      <c r="L148" s="129"/>
      <c r="M148" s="133"/>
      <c r="N148" s="25"/>
      <c r="O148" s="132"/>
      <c r="P148" s="132"/>
      <c r="Q148" s="25"/>
      <c r="R148" s="25"/>
      <c r="S148" s="25"/>
      <c r="T148" s="25"/>
      <c r="U148" s="32"/>
      <c r="V148" s="130"/>
      <c r="W148" s="63"/>
      <c r="X148" s="165"/>
      <c r="Y148" s="63"/>
      <c r="Z148" s="165"/>
      <c r="AA148" s="63"/>
      <c r="AB148" s="165"/>
      <c r="AC148" s="63"/>
      <c r="AD148" s="165"/>
      <c r="AE148" s="63"/>
      <c r="AF148" s="165"/>
      <c r="AG148" s="63"/>
      <c r="AH148" s="165"/>
      <c r="AI148" s="63"/>
      <c r="AJ148" s="165"/>
      <c r="AK148" s="63"/>
      <c r="AL148" s="165"/>
      <c r="AM148" s="63"/>
      <c r="AN148" s="165"/>
      <c r="AO148" s="63"/>
      <c r="AP148" s="165"/>
      <c r="AQ148" s="63"/>
      <c r="AR148" s="165"/>
      <c r="AS148" s="63"/>
      <c r="AT148" s="165"/>
      <c r="AU148" s="63"/>
      <c r="AV148" s="165"/>
    </row>
    <row r="149" spans="1:48" ht="25.5" x14ac:dyDescent="0.25">
      <c r="A149" s="197" t="str">
        <f>tblSeverityReference[[#This Row],[Admin 2 P-Code]]</f>
        <v>SD14037</v>
      </c>
      <c r="B149" s="127" t="s">
        <v>182</v>
      </c>
      <c r="C149" s="60" t="s">
        <v>131</v>
      </c>
      <c r="D149" s="146" t="s">
        <v>483</v>
      </c>
      <c r="E149" s="60" t="s">
        <v>484</v>
      </c>
      <c r="F149" s="131"/>
      <c r="G149" s="131"/>
      <c r="H149" s="131"/>
      <c r="I149" s="132"/>
      <c r="J149" s="31"/>
      <c r="K149" s="25"/>
      <c r="L149" s="129"/>
      <c r="M149" s="133"/>
      <c r="N149" s="25"/>
      <c r="O149" s="132"/>
      <c r="P149" s="132"/>
      <c r="Q149" s="25"/>
      <c r="R149" s="25"/>
      <c r="S149" s="25"/>
      <c r="T149" s="25"/>
      <c r="U149" s="32"/>
      <c r="V149" s="130"/>
      <c r="W149" s="63"/>
      <c r="X149" s="165"/>
      <c r="Y149" s="63"/>
      <c r="Z149" s="165"/>
      <c r="AA149" s="63"/>
      <c r="AB149" s="165"/>
      <c r="AC149" s="63"/>
      <c r="AD149" s="165"/>
      <c r="AE149" s="63"/>
      <c r="AF149" s="165"/>
      <c r="AG149" s="63"/>
      <c r="AH149" s="165"/>
      <c r="AI149" s="63"/>
      <c r="AJ149" s="165"/>
      <c r="AK149" s="63"/>
      <c r="AL149" s="165"/>
      <c r="AM149" s="63"/>
      <c r="AN149" s="165"/>
      <c r="AO149" s="63"/>
      <c r="AP149" s="165"/>
      <c r="AQ149" s="63"/>
      <c r="AR149" s="165"/>
      <c r="AS149" s="63"/>
      <c r="AT149" s="165"/>
      <c r="AU149" s="63"/>
      <c r="AV149" s="165"/>
    </row>
    <row r="150" spans="1:48" ht="25.5" x14ac:dyDescent="0.25">
      <c r="A150" s="197" t="str">
        <f>tblSeverityReference[[#This Row],[Admin 2 P-Code]]</f>
        <v>SD14038</v>
      </c>
      <c r="B150" s="127" t="s">
        <v>182</v>
      </c>
      <c r="C150" s="60" t="s">
        <v>131</v>
      </c>
      <c r="D150" s="146" t="s">
        <v>182</v>
      </c>
      <c r="E150" s="60" t="s">
        <v>485</v>
      </c>
      <c r="F150" s="131"/>
      <c r="G150" s="131"/>
      <c r="H150" s="131"/>
      <c r="I150" s="132"/>
      <c r="J150" s="31"/>
      <c r="K150" s="25"/>
      <c r="L150" s="129"/>
      <c r="M150" s="133"/>
      <c r="N150" s="25"/>
      <c r="O150" s="132"/>
      <c r="P150" s="132"/>
      <c r="Q150" s="25"/>
      <c r="R150" s="25"/>
      <c r="S150" s="25"/>
      <c r="T150" s="25"/>
      <c r="U150" s="32"/>
      <c r="V150" s="130"/>
      <c r="W150" s="32"/>
      <c r="X150" s="166"/>
      <c r="Y150" s="32"/>
      <c r="Z150" s="166"/>
      <c r="AA150" s="32"/>
      <c r="AB150" s="166"/>
      <c r="AC150" s="32"/>
      <c r="AD150" s="166"/>
      <c r="AE150" s="32"/>
      <c r="AF150" s="166"/>
      <c r="AG150" s="32"/>
      <c r="AH150" s="166"/>
      <c r="AI150" s="32"/>
      <c r="AJ150" s="166"/>
      <c r="AK150" s="32"/>
      <c r="AL150" s="166"/>
      <c r="AM150" s="32"/>
      <c r="AN150" s="166"/>
      <c r="AO150" s="32"/>
      <c r="AP150" s="166"/>
      <c r="AQ150" s="32"/>
      <c r="AR150" s="166"/>
      <c r="AS150" s="32"/>
      <c r="AT150" s="166"/>
      <c r="AU150" s="32"/>
      <c r="AV150" s="166"/>
    </row>
    <row r="151" spans="1:48" ht="25.5" x14ac:dyDescent="0.25">
      <c r="A151" s="197" t="str">
        <f>tblSeverityReference[[#This Row],[Admin 2 P-Code]]</f>
        <v>SD14039</v>
      </c>
      <c r="B151" s="127" t="s">
        <v>182</v>
      </c>
      <c r="C151" s="60" t="s">
        <v>131</v>
      </c>
      <c r="D151" s="146" t="s">
        <v>486</v>
      </c>
      <c r="E151" s="60" t="s">
        <v>487</v>
      </c>
      <c r="F151" s="131"/>
      <c r="G151" s="131"/>
      <c r="H151" s="131"/>
      <c r="I151" s="132"/>
      <c r="J151" s="31"/>
      <c r="K151" s="25"/>
      <c r="L151" s="129"/>
      <c r="M151" s="133"/>
      <c r="N151" s="25"/>
      <c r="O151" s="132"/>
      <c r="P151" s="132"/>
      <c r="Q151" s="25"/>
      <c r="R151" s="25"/>
      <c r="S151" s="25"/>
      <c r="T151" s="25"/>
      <c r="U151" s="32"/>
      <c r="V151" s="130"/>
      <c r="W151" s="63"/>
      <c r="X151" s="165"/>
      <c r="Y151" s="63"/>
      <c r="Z151" s="165"/>
      <c r="AA151" s="63"/>
      <c r="AB151" s="165"/>
      <c r="AC151" s="63"/>
      <c r="AD151" s="165"/>
      <c r="AE151" s="63"/>
      <c r="AF151" s="165"/>
      <c r="AG151" s="63"/>
      <c r="AH151" s="165"/>
      <c r="AI151" s="63"/>
      <c r="AJ151" s="165"/>
      <c r="AK151" s="63"/>
      <c r="AL151" s="165"/>
      <c r="AM151" s="63"/>
      <c r="AN151" s="165"/>
      <c r="AO151" s="63"/>
      <c r="AP151" s="165"/>
      <c r="AQ151" s="63"/>
      <c r="AR151" s="165"/>
      <c r="AS151" s="63"/>
      <c r="AT151" s="165"/>
      <c r="AU151" s="63"/>
      <c r="AV151" s="165"/>
    </row>
    <row r="152" spans="1:48" ht="25.5" x14ac:dyDescent="0.25">
      <c r="A152" s="197" t="str">
        <f>tblSeverityReference[[#This Row],[Admin 2 P-Code]]</f>
        <v>SD14040</v>
      </c>
      <c r="B152" s="127" t="s">
        <v>182</v>
      </c>
      <c r="C152" s="60" t="s">
        <v>131</v>
      </c>
      <c r="D152" s="146" t="s">
        <v>488</v>
      </c>
      <c r="E152" s="60" t="s">
        <v>489</v>
      </c>
      <c r="F152" s="131"/>
      <c r="G152" s="131"/>
      <c r="H152" s="131"/>
      <c r="I152" s="132"/>
      <c r="J152" s="31"/>
      <c r="K152" s="25"/>
      <c r="L152" s="129"/>
      <c r="M152" s="133"/>
      <c r="N152" s="25"/>
      <c r="O152" s="132"/>
      <c r="P152" s="132"/>
      <c r="Q152" s="25"/>
      <c r="R152" s="25"/>
      <c r="S152" s="25"/>
      <c r="T152" s="25"/>
      <c r="U152" s="32"/>
      <c r="V152" s="130"/>
      <c r="W152" s="63"/>
      <c r="X152" s="165"/>
      <c r="Y152" s="63"/>
      <c r="Z152" s="165"/>
      <c r="AA152" s="63"/>
      <c r="AB152" s="165"/>
      <c r="AC152" s="63"/>
      <c r="AD152" s="165"/>
      <c r="AE152" s="63"/>
      <c r="AF152" s="165"/>
      <c r="AG152" s="63"/>
      <c r="AH152" s="165"/>
      <c r="AI152" s="63"/>
      <c r="AJ152" s="165"/>
      <c r="AK152" s="63"/>
      <c r="AL152" s="165"/>
      <c r="AM152" s="63"/>
      <c r="AN152" s="165"/>
      <c r="AO152" s="63"/>
      <c r="AP152" s="165"/>
      <c r="AQ152" s="63"/>
      <c r="AR152" s="165"/>
      <c r="AS152" s="63"/>
      <c r="AT152" s="165"/>
      <c r="AU152" s="63"/>
      <c r="AV152" s="165"/>
    </row>
    <row r="153" spans="1:48" ht="25.5" x14ac:dyDescent="0.25">
      <c r="A153" s="197" t="str">
        <f>tblSeverityReference[[#This Row],[Admin 2 P-Code]]</f>
        <v>SD14041</v>
      </c>
      <c r="B153" s="127" t="s">
        <v>182</v>
      </c>
      <c r="C153" s="60" t="s">
        <v>131</v>
      </c>
      <c r="D153" s="146" t="s">
        <v>490</v>
      </c>
      <c r="E153" s="60" t="s">
        <v>491</v>
      </c>
      <c r="F153" s="131"/>
      <c r="G153" s="131"/>
      <c r="H153" s="131"/>
      <c r="I153" s="132"/>
      <c r="J153" s="31"/>
      <c r="K153" s="25"/>
      <c r="L153" s="129"/>
      <c r="M153" s="133"/>
      <c r="N153" s="25"/>
      <c r="O153" s="132"/>
      <c r="P153" s="132"/>
      <c r="Q153" s="25"/>
      <c r="R153" s="25"/>
      <c r="S153" s="25"/>
      <c r="T153" s="25"/>
      <c r="U153" s="32"/>
      <c r="V153" s="130"/>
      <c r="W153" s="63"/>
      <c r="X153" s="165"/>
      <c r="Y153" s="63"/>
      <c r="Z153" s="165"/>
      <c r="AA153" s="63"/>
      <c r="AB153" s="165"/>
      <c r="AC153" s="63"/>
      <c r="AD153" s="165"/>
      <c r="AE153" s="63"/>
      <c r="AF153" s="165"/>
      <c r="AG153" s="63"/>
      <c r="AH153" s="165"/>
      <c r="AI153" s="63"/>
      <c r="AJ153" s="165"/>
      <c r="AK153" s="63"/>
      <c r="AL153" s="165"/>
      <c r="AM153" s="63"/>
      <c r="AN153" s="165"/>
      <c r="AO153" s="63"/>
      <c r="AP153" s="165"/>
      <c r="AQ153" s="63"/>
      <c r="AR153" s="165"/>
      <c r="AS153" s="63"/>
      <c r="AT153" s="165"/>
      <c r="AU153" s="63"/>
      <c r="AV153" s="165"/>
    </row>
    <row r="154" spans="1:48" ht="25.5" x14ac:dyDescent="0.25">
      <c r="A154" s="197" t="str">
        <f>tblSeverityReference[[#This Row],[Admin 2 P-Code]]</f>
        <v>SD14042</v>
      </c>
      <c r="B154" s="127" t="s">
        <v>182</v>
      </c>
      <c r="C154" s="60" t="s">
        <v>131</v>
      </c>
      <c r="D154" s="146" t="s">
        <v>492</v>
      </c>
      <c r="E154" s="60" t="s">
        <v>493</v>
      </c>
      <c r="F154" s="131"/>
      <c r="G154" s="131"/>
      <c r="H154" s="131"/>
      <c r="I154" s="132"/>
      <c r="J154" s="31"/>
      <c r="K154" s="25"/>
      <c r="L154" s="129"/>
      <c r="M154" s="133"/>
      <c r="N154" s="25"/>
      <c r="O154" s="132"/>
      <c r="P154" s="132"/>
      <c r="Q154" s="25"/>
      <c r="R154" s="25"/>
      <c r="S154" s="25"/>
      <c r="T154" s="25"/>
      <c r="U154" s="32"/>
      <c r="V154" s="130"/>
      <c r="W154" s="63"/>
      <c r="X154" s="165"/>
      <c r="Y154" s="63"/>
      <c r="Z154" s="165"/>
      <c r="AA154" s="63"/>
      <c r="AB154" s="165"/>
      <c r="AC154" s="63"/>
      <c r="AD154" s="165"/>
      <c r="AE154" s="63"/>
      <c r="AF154" s="165"/>
      <c r="AG154" s="63"/>
      <c r="AH154" s="165"/>
      <c r="AI154" s="63"/>
      <c r="AJ154" s="165"/>
      <c r="AK154" s="63"/>
      <c r="AL154" s="165"/>
      <c r="AM154" s="63"/>
      <c r="AN154" s="165"/>
      <c r="AO154" s="63"/>
      <c r="AP154" s="165"/>
      <c r="AQ154" s="63"/>
      <c r="AR154" s="165"/>
      <c r="AS154" s="63"/>
      <c r="AT154" s="165"/>
      <c r="AU154" s="63"/>
      <c r="AV154" s="165"/>
    </row>
    <row r="155" spans="1:48" ht="25.5" x14ac:dyDescent="0.25">
      <c r="A155" s="197" t="str">
        <f>tblSeverityReference[[#This Row],[Admin 2 P-Code]]</f>
        <v>SD14043</v>
      </c>
      <c r="B155" s="127" t="s">
        <v>182</v>
      </c>
      <c r="C155" s="60" t="s">
        <v>131</v>
      </c>
      <c r="D155" s="146" t="s">
        <v>494</v>
      </c>
      <c r="E155" s="60" t="s">
        <v>495</v>
      </c>
      <c r="F155" s="131"/>
      <c r="G155" s="131"/>
      <c r="H155" s="131"/>
      <c r="I155" s="132"/>
      <c r="J155" s="31"/>
      <c r="K155" s="25"/>
      <c r="L155" s="129"/>
      <c r="M155" s="133"/>
      <c r="N155" s="25"/>
      <c r="O155" s="132"/>
      <c r="P155" s="132"/>
      <c r="Q155" s="25"/>
      <c r="R155" s="25"/>
      <c r="S155" s="25"/>
      <c r="T155" s="25"/>
      <c r="U155" s="32"/>
      <c r="V155" s="130"/>
      <c r="W155" s="63"/>
      <c r="X155" s="165"/>
      <c r="Y155" s="63"/>
      <c r="Z155" s="165"/>
      <c r="AA155" s="63"/>
      <c r="AB155" s="165"/>
      <c r="AC155" s="63"/>
      <c r="AD155" s="165"/>
      <c r="AE155" s="63"/>
      <c r="AF155" s="165"/>
      <c r="AG155" s="63"/>
      <c r="AH155" s="165"/>
      <c r="AI155" s="63"/>
      <c r="AJ155" s="165"/>
      <c r="AK155" s="63"/>
      <c r="AL155" s="165"/>
      <c r="AM155" s="63"/>
      <c r="AN155" s="165"/>
      <c r="AO155" s="63"/>
      <c r="AP155" s="165"/>
      <c r="AQ155" s="63"/>
      <c r="AR155" s="165"/>
      <c r="AS155" s="63"/>
      <c r="AT155" s="165"/>
      <c r="AU155" s="63"/>
      <c r="AV155" s="165"/>
    </row>
    <row r="156" spans="1:48" ht="25.5" x14ac:dyDescent="0.25">
      <c r="A156" s="197" t="str">
        <f>tblSeverityReference[[#This Row],[Admin 2 P-Code]]</f>
        <v>SD15030</v>
      </c>
      <c r="B156" s="127" t="s">
        <v>147</v>
      </c>
      <c r="C156" s="60" t="s">
        <v>132</v>
      </c>
      <c r="D156" s="146" t="s">
        <v>496</v>
      </c>
      <c r="E156" s="60" t="s">
        <v>497</v>
      </c>
      <c r="F156" s="118"/>
      <c r="G156" s="118"/>
      <c r="H156" s="118"/>
      <c r="I156" s="23"/>
      <c r="J156" s="25"/>
      <c r="K156" s="25"/>
      <c r="L156" s="24"/>
      <c r="M156" s="25"/>
      <c r="N156" s="25"/>
      <c r="O156" s="24"/>
      <c r="P156" s="24"/>
      <c r="Q156" s="25"/>
      <c r="R156" s="25"/>
      <c r="S156" s="25"/>
      <c r="T156" s="25"/>
      <c r="U156" s="63"/>
      <c r="V156" s="26"/>
      <c r="W156" s="63"/>
      <c r="X156" s="165"/>
      <c r="Y156" s="63"/>
      <c r="Z156" s="165"/>
      <c r="AA156" s="63"/>
      <c r="AB156" s="165"/>
      <c r="AC156" s="63"/>
      <c r="AD156" s="165"/>
      <c r="AE156" s="63"/>
      <c r="AF156" s="165"/>
      <c r="AG156" s="63"/>
      <c r="AH156" s="165"/>
      <c r="AI156" s="63"/>
      <c r="AJ156" s="165"/>
      <c r="AK156" s="63"/>
      <c r="AL156" s="165"/>
      <c r="AM156" s="63"/>
      <c r="AN156" s="165"/>
      <c r="AO156" s="63"/>
      <c r="AP156" s="165"/>
      <c r="AQ156" s="63"/>
      <c r="AR156" s="165"/>
      <c r="AS156" s="63"/>
      <c r="AT156" s="165"/>
      <c r="AU156" s="63"/>
      <c r="AV156" s="165"/>
    </row>
    <row r="157" spans="1:48" ht="25.5" x14ac:dyDescent="0.25">
      <c r="A157" s="197" t="str">
        <f>tblSeverityReference[[#This Row],[Admin 2 P-Code]]</f>
        <v>SD15031</v>
      </c>
      <c r="B157" s="127" t="s">
        <v>147</v>
      </c>
      <c r="C157" s="60" t="s">
        <v>132</v>
      </c>
      <c r="D157" s="146" t="s">
        <v>498</v>
      </c>
      <c r="E157" s="60" t="s">
        <v>499</v>
      </c>
      <c r="F157" s="118"/>
      <c r="G157" s="118"/>
      <c r="H157" s="118"/>
      <c r="I157" s="23"/>
      <c r="J157" s="25"/>
      <c r="K157" s="25"/>
      <c r="L157" s="24"/>
      <c r="M157" s="25"/>
      <c r="N157" s="25"/>
      <c r="O157" s="24"/>
      <c r="P157" s="24"/>
      <c r="Q157" s="25"/>
      <c r="R157" s="25"/>
      <c r="S157" s="25"/>
      <c r="T157" s="25"/>
      <c r="U157" s="63"/>
      <c r="V157" s="26"/>
      <c r="W157" s="32"/>
      <c r="X157" s="166"/>
      <c r="Y157" s="32"/>
      <c r="Z157" s="166"/>
      <c r="AA157" s="32"/>
      <c r="AB157" s="166"/>
      <c r="AC157" s="32"/>
      <c r="AD157" s="166"/>
      <c r="AE157" s="32"/>
      <c r="AF157" s="166"/>
      <c r="AG157" s="32"/>
      <c r="AH157" s="166"/>
      <c r="AI157" s="32"/>
      <c r="AJ157" s="166"/>
      <c r="AK157" s="32"/>
      <c r="AL157" s="166"/>
      <c r="AM157" s="32"/>
      <c r="AN157" s="166"/>
      <c r="AO157" s="32"/>
      <c r="AP157" s="166"/>
      <c r="AQ157" s="32"/>
      <c r="AR157" s="166"/>
      <c r="AS157" s="32"/>
      <c r="AT157" s="166"/>
      <c r="AU157" s="32"/>
      <c r="AV157" s="166"/>
    </row>
    <row r="158" spans="1:48" ht="25.5" x14ac:dyDescent="0.25">
      <c r="A158" s="197" t="str">
        <f>tblSeverityReference[[#This Row],[Admin 2 P-Code]]</f>
        <v>SD15032</v>
      </c>
      <c r="B158" s="127" t="s">
        <v>147</v>
      </c>
      <c r="C158" s="60" t="s">
        <v>132</v>
      </c>
      <c r="D158" s="146" t="s">
        <v>500</v>
      </c>
      <c r="E158" s="60" t="s">
        <v>501</v>
      </c>
      <c r="F158" s="118"/>
      <c r="G158" s="118"/>
      <c r="H158" s="118"/>
      <c r="I158" s="23"/>
      <c r="J158" s="25"/>
      <c r="K158" s="25"/>
      <c r="L158" s="24"/>
      <c r="M158" s="25"/>
      <c r="N158" s="25"/>
      <c r="O158" s="24"/>
      <c r="P158" s="24"/>
      <c r="Q158" s="25"/>
      <c r="R158" s="25"/>
      <c r="S158" s="25"/>
      <c r="T158" s="25"/>
      <c r="U158" s="63"/>
      <c r="V158" s="26"/>
      <c r="W158" s="63"/>
      <c r="X158" s="165"/>
      <c r="Y158" s="63"/>
      <c r="Z158" s="165"/>
      <c r="AA158" s="63"/>
      <c r="AB158" s="165"/>
      <c r="AC158" s="63"/>
      <c r="AD158" s="165"/>
      <c r="AE158" s="63"/>
      <c r="AF158" s="165"/>
      <c r="AG158" s="63"/>
      <c r="AH158" s="165"/>
      <c r="AI158" s="63"/>
      <c r="AJ158" s="165"/>
      <c r="AK158" s="63"/>
      <c r="AL158" s="165"/>
      <c r="AM158" s="63"/>
      <c r="AN158" s="165"/>
      <c r="AO158" s="63"/>
      <c r="AP158" s="165"/>
      <c r="AQ158" s="63"/>
      <c r="AR158" s="165"/>
      <c r="AS158" s="63"/>
      <c r="AT158" s="165"/>
      <c r="AU158" s="63"/>
      <c r="AV158" s="165"/>
    </row>
    <row r="159" spans="1:48" ht="25.5" x14ac:dyDescent="0.25">
      <c r="A159" s="197" t="str">
        <f>tblSeverityReference[[#This Row],[Admin 2 P-Code]]</f>
        <v>SD15033</v>
      </c>
      <c r="B159" s="127" t="s">
        <v>147</v>
      </c>
      <c r="C159" s="60" t="s">
        <v>132</v>
      </c>
      <c r="D159" s="146" t="s">
        <v>502</v>
      </c>
      <c r="E159" s="60" t="s">
        <v>503</v>
      </c>
      <c r="F159" s="118"/>
      <c r="G159" s="118"/>
      <c r="H159" s="118"/>
      <c r="I159" s="23"/>
      <c r="J159" s="25"/>
      <c r="K159" s="25"/>
      <c r="L159" s="24"/>
      <c r="M159" s="25"/>
      <c r="N159" s="25"/>
      <c r="O159" s="24"/>
      <c r="P159" s="24"/>
      <c r="Q159" s="25"/>
      <c r="R159" s="25"/>
      <c r="S159" s="25"/>
      <c r="T159" s="25"/>
      <c r="U159" s="63"/>
      <c r="V159" s="26"/>
      <c r="W159" s="63"/>
      <c r="X159" s="165"/>
      <c r="Y159" s="63"/>
      <c r="Z159" s="165"/>
      <c r="AA159" s="63"/>
      <c r="AB159" s="165"/>
      <c r="AC159" s="63"/>
      <c r="AD159" s="165"/>
      <c r="AE159" s="63"/>
      <c r="AF159" s="165"/>
      <c r="AG159" s="63"/>
      <c r="AH159" s="165"/>
      <c r="AI159" s="63"/>
      <c r="AJ159" s="165"/>
      <c r="AK159" s="63"/>
      <c r="AL159" s="165"/>
      <c r="AM159" s="63"/>
      <c r="AN159" s="165"/>
      <c r="AO159" s="63"/>
      <c r="AP159" s="165"/>
      <c r="AQ159" s="63"/>
      <c r="AR159" s="165"/>
      <c r="AS159" s="63"/>
      <c r="AT159" s="165"/>
      <c r="AU159" s="63"/>
      <c r="AV159" s="165"/>
    </row>
    <row r="160" spans="1:48" ht="25.5" x14ac:dyDescent="0.25">
      <c r="A160" s="197" t="str">
        <f>tblSeverityReference[[#This Row],[Admin 2 P-Code]]</f>
        <v>SD15034</v>
      </c>
      <c r="B160" s="127" t="s">
        <v>147</v>
      </c>
      <c r="C160" s="60" t="s">
        <v>132</v>
      </c>
      <c r="D160" s="146" t="s">
        <v>504</v>
      </c>
      <c r="E160" s="60" t="s">
        <v>505</v>
      </c>
      <c r="F160" s="118"/>
      <c r="G160" s="118"/>
      <c r="H160" s="118"/>
      <c r="I160" s="23"/>
      <c r="J160" s="25"/>
      <c r="K160" s="25"/>
      <c r="L160" s="24"/>
      <c r="M160" s="25"/>
      <c r="N160" s="25"/>
      <c r="O160" s="24"/>
      <c r="P160" s="24"/>
      <c r="Q160" s="25"/>
      <c r="R160" s="25"/>
      <c r="S160" s="25"/>
      <c r="T160" s="25"/>
      <c r="U160" s="63"/>
      <c r="V160" s="26"/>
      <c r="W160" s="63"/>
      <c r="X160" s="165"/>
      <c r="Y160" s="63"/>
      <c r="Z160" s="165"/>
      <c r="AA160" s="63"/>
      <c r="AB160" s="165"/>
      <c r="AC160" s="63"/>
      <c r="AD160" s="165"/>
      <c r="AE160" s="63"/>
      <c r="AF160" s="165"/>
      <c r="AG160" s="63"/>
      <c r="AH160" s="165"/>
      <c r="AI160" s="63"/>
      <c r="AJ160" s="165"/>
      <c r="AK160" s="63"/>
      <c r="AL160" s="165"/>
      <c r="AM160" s="63"/>
      <c r="AN160" s="165"/>
      <c r="AO160" s="63"/>
      <c r="AP160" s="165"/>
      <c r="AQ160" s="63"/>
      <c r="AR160" s="165"/>
      <c r="AS160" s="63"/>
      <c r="AT160" s="165"/>
      <c r="AU160" s="63"/>
      <c r="AV160" s="165"/>
    </row>
    <row r="161" spans="1:48" ht="25.5" x14ac:dyDescent="0.25">
      <c r="A161" s="197" t="str">
        <f>tblSeverityReference[[#This Row],[Admin 2 P-Code]]</f>
        <v>SD15035</v>
      </c>
      <c r="B161" s="127" t="s">
        <v>147</v>
      </c>
      <c r="C161" s="60" t="s">
        <v>132</v>
      </c>
      <c r="D161" s="146" t="s">
        <v>506</v>
      </c>
      <c r="E161" s="60" t="s">
        <v>507</v>
      </c>
      <c r="F161" s="118"/>
      <c r="G161" s="118"/>
      <c r="H161" s="118"/>
      <c r="I161" s="23"/>
      <c r="J161" s="25"/>
      <c r="K161" s="25"/>
      <c r="L161" s="24"/>
      <c r="M161" s="25"/>
      <c r="N161" s="25"/>
      <c r="O161" s="24"/>
      <c r="P161" s="24"/>
      <c r="Q161" s="25"/>
      <c r="R161" s="25"/>
      <c r="S161" s="25"/>
      <c r="T161" s="25"/>
      <c r="U161" s="63"/>
      <c r="V161" s="26"/>
      <c r="W161" s="63"/>
      <c r="X161" s="165"/>
      <c r="Y161" s="63"/>
      <c r="Z161" s="165"/>
      <c r="AA161" s="63"/>
      <c r="AB161" s="165"/>
      <c r="AC161" s="63"/>
      <c r="AD161" s="165"/>
      <c r="AE161" s="63"/>
      <c r="AF161" s="165"/>
      <c r="AG161" s="63"/>
      <c r="AH161" s="165"/>
      <c r="AI161" s="63"/>
      <c r="AJ161" s="165"/>
      <c r="AK161" s="63"/>
      <c r="AL161" s="165"/>
      <c r="AM161" s="63"/>
      <c r="AN161" s="165"/>
      <c r="AO161" s="63"/>
      <c r="AP161" s="165"/>
      <c r="AQ161" s="63"/>
      <c r="AR161" s="165"/>
      <c r="AS161" s="63"/>
      <c r="AT161" s="165"/>
      <c r="AU161" s="63"/>
      <c r="AV161" s="165"/>
    </row>
    <row r="162" spans="1:48" ht="25.5" x14ac:dyDescent="0.25">
      <c r="A162" s="197" t="str">
        <f>tblSeverityReference[[#This Row],[Admin 2 P-Code]]</f>
        <v>SD15036</v>
      </c>
      <c r="B162" s="127" t="s">
        <v>147</v>
      </c>
      <c r="C162" s="60" t="s">
        <v>132</v>
      </c>
      <c r="D162" s="146" t="s">
        <v>508</v>
      </c>
      <c r="E162" s="60" t="s">
        <v>509</v>
      </c>
      <c r="F162" s="118"/>
      <c r="G162" s="118"/>
      <c r="H162" s="118"/>
      <c r="I162" s="23"/>
      <c r="J162" s="25"/>
      <c r="K162" s="25"/>
      <c r="L162" s="24"/>
      <c r="M162" s="25"/>
      <c r="N162" s="25"/>
      <c r="O162" s="24"/>
      <c r="P162" s="24"/>
      <c r="Q162" s="25"/>
      <c r="R162" s="25"/>
      <c r="S162" s="25"/>
      <c r="T162" s="25"/>
      <c r="U162" s="63"/>
      <c r="V162" s="26"/>
      <c r="W162" s="63"/>
      <c r="X162" s="165"/>
      <c r="Y162" s="63"/>
      <c r="Z162" s="165"/>
      <c r="AA162" s="63"/>
      <c r="AB162" s="165"/>
      <c r="AC162" s="63"/>
      <c r="AD162" s="165"/>
      <c r="AE162" s="63"/>
      <c r="AF162" s="165"/>
      <c r="AG162" s="63"/>
      <c r="AH162" s="165"/>
      <c r="AI162" s="63"/>
      <c r="AJ162" s="165"/>
      <c r="AK162" s="63"/>
      <c r="AL162" s="165"/>
      <c r="AM162" s="63"/>
      <c r="AN162" s="165"/>
      <c r="AO162" s="63"/>
      <c r="AP162" s="165"/>
      <c r="AQ162" s="63"/>
      <c r="AR162" s="165"/>
      <c r="AS162" s="63"/>
      <c r="AT162" s="165"/>
      <c r="AU162" s="63"/>
      <c r="AV162" s="165"/>
    </row>
    <row r="163" spans="1:48" ht="25.5" x14ac:dyDescent="0.25">
      <c r="A163" s="197" t="str">
        <f>tblSeverityReference[[#This Row],[Admin 2 P-Code]]</f>
        <v>SD15037</v>
      </c>
      <c r="B163" s="127" t="s">
        <v>147</v>
      </c>
      <c r="C163" s="60" t="s">
        <v>132</v>
      </c>
      <c r="D163" s="146" t="s">
        <v>510</v>
      </c>
      <c r="E163" s="60" t="s">
        <v>511</v>
      </c>
      <c r="F163" s="118"/>
      <c r="G163" s="118"/>
      <c r="H163" s="118"/>
      <c r="I163" s="23"/>
      <c r="J163" s="25"/>
      <c r="K163" s="25"/>
      <c r="L163" s="24"/>
      <c r="M163" s="25"/>
      <c r="N163" s="25"/>
      <c r="O163" s="24"/>
      <c r="P163" s="24"/>
      <c r="Q163" s="25"/>
      <c r="R163" s="25"/>
      <c r="S163" s="25"/>
      <c r="T163" s="25"/>
      <c r="U163" s="63"/>
      <c r="V163" s="26"/>
      <c r="W163" s="63"/>
      <c r="X163" s="165"/>
      <c r="Y163" s="63"/>
      <c r="Z163" s="165"/>
      <c r="AA163" s="63"/>
      <c r="AB163" s="165"/>
      <c r="AC163" s="63"/>
      <c r="AD163" s="165"/>
      <c r="AE163" s="63"/>
      <c r="AF163" s="165"/>
      <c r="AG163" s="63"/>
      <c r="AH163" s="165"/>
      <c r="AI163" s="63"/>
      <c r="AJ163" s="165"/>
      <c r="AK163" s="63"/>
      <c r="AL163" s="165"/>
      <c r="AM163" s="63"/>
      <c r="AN163" s="165"/>
      <c r="AO163" s="63"/>
      <c r="AP163" s="165"/>
      <c r="AQ163" s="63"/>
      <c r="AR163" s="165"/>
      <c r="AS163" s="63"/>
      <c r="AT163" s="165"/>
      <c r="AU163" s="63"/>
      <c r="AV163" s="165"/>
    </row>
    <row r="164" spans="1:48" ht="25.5" x14ac:dyDescent="0.25">
      <c r="A164" s="197" t="str">
        <f>tblSeverityReference[[#This Row],[Admin 2 P-Code]]</f>
        <v>SD16008</v>
      </c>
      <c r="B164" s="127" t="s">
        <v>179</v>
      </c>
      <c r="C164" s="60" t="s">
        <v>133</v>
      </c>
      <c r="D164" s="146" t="s">
        <v>512</v>
      </c>
      <c r="E164" s="60" t="s">
        <v>513</v>
      </c>
      <c r="F164" s="131"/>
      <c r="G164" s="131"/>
      <c r="H164" s="131"/>
      <c r="I164" s="132"/>
      <c r="J164" s="31"/>
      <c r="K164" s="25"/>
      <c r="L164" s="129"/>
      <c r="M164" s="133"/>
      <c r="N164" s="25"/>
      <c r="O164" s="132"/>
      <c r="P164" s="132"/>
      <c r="Q164" s="25"/>
      <c r="R164" s="25"/>
      <c r="S164" s="25"/>
      <c r="T164" s="25"/>
      <c r="U164" s="32"/>
      <c r="V164" s="130"/>
      <c r="W164" s="32"/>
      <c r="X164" s="166"/>
      <c r="Y164" s="32"/>
      <c r="Z164" s="166"/>
      <c r="AA164" s="32"/>
      <c r="AB164" s="166"/>
      <c r="AC164" s="32"/>
      <c r="AD164" s="166"/>
      <c r="AE164" s="32"/>
      <c r="AF164" s="166"/>
      <c r="AG164" s="32"/>
      <c r="AH164" s="166"/>
      <c r="AI164" s="32"/>
      <c r="AJ164" s="166"/>
      <c r="AK164" s="32"/>
      <c r="AL164" s="166"/>
      <c r="AM164" s="32"/>
      <c r="AN164" s="166"/>
      <c r="AO164" s="32"/>
      <c r="AP164" s="166"/>
      <c r="AQ164" s="32"/>
      <c r="AR164" s="166"/>
      <c r="AS164" s="32"/>
      <c r="AT164" s="166"/>
      <c r="AU164" s="32"/>
      <c r="AV164" s="166"/>
    </row>
    <row r="165" spans="1:48" ht="25.5" x14ac:dyDescent="0.25">
      <c r="A165" s="197" t="str">
        <f>tblSeverityReference[[#This Row],[Admin 2 P-Code]]</f>
        <v>SD16009</v>
      </c>
      <c r="B165" s="127" t="s">
        <v>179</v>
      </c>
      <c r="C165" s="60" t="s">
        <v>133</v>
      </c>
      <c r="D165" s="146" t="s">
        <v>514</v>
      </c>
      <c r="E165" s="60" t="s">
        <v>515</v>
      </c>
      <c r="F165" s="131"/>
      <c r="G165" s="131"/>
      <c r="H165" s="131"/>
      <c r="I165" s="132"/>
      <c r="J165" s="31"/>
      <c r="K165" s="25"/>
      <c r="L165" s="129"/>
      <c r="M165" s="133"/>
      <c r="N165" s="25"/>
      <c r="O165" s="132"/>
      <c r="P165" s="132"/>
      <c r="Q165" s="25"/>
      <c r="R165" s="25"/>
      <c r="S165" s="25"/>
      <c r="T165" s="25"/>
      <c r="U165" s="32"/>
      <c r="V165" s="130"/>
      <c r="W165" s="63"/>
      <c r="X165" s="165"/>
      <c r="Y165" s="63"/>
      <c r="Z165" s="165"/>
      <c r="AA165" s="63"/>
      <c r="AB165" s="165"/>
      <c r="AC165" s="63"/>
      <c r="AD165" s="165"/>
      <c r="AE165" s="63"/>
      <c r="AF165" s="165"/>
      <c r="AG165" s="63"/>
      <c r="AH165" s="165"/>
      <c r="AI165" s="63"/>
      <c r="AJ165" s="165"/>
      <c r="AK165" s="63"/>
      <c r="AL165" s="165"/>
      <c r="AM165" s="63"/>
      <c r="AN165" s="165"/>
      <c r="AO165" s="63"/>
      <c r="AP165" s="165"/>
      <c r="AQ165" s="63"/>
      <c r="AR165" s="165"/>
      <c r="AS165" s="63"/>
      <c r="AT165" s="165"/>
      <c r="AU165" s="63"/>
      <c r="AV165" s="165"/>
    </row>
    <row r="166" spans="1:48" ht="25.5" x14ac:dyDescent="0.25">
      <c r="A166" s="197" t="str">
        <f>tblSeverityReference[[#This Row],[Admin 2 P-Code]]</f>
        <v>SD16010</v>
      </c>
      <c r="B166" s="127" t="s">
        <v>179</v>
      </c>
      <c r="C166" s="60" t="s">
        <v>133</v>
      </c>
      <c r="D166" s="146" t="s">
        <v>516</v>
      </c>
      <c r="E166" s="60" t="s">
        <v>517</v>
      </c>
      <c r="F166" s="131"/>
      <c r="G166" s="131"/>
      <c r="H166" s="131"/>
      <c r="I166" s="132"/>
      <c r="J166" s="31"/>
      <c r="K166" s="25"/>
      <c r="L166" s="129"/>
      <c r="M166" s="133"/>
      <c r="N166" s="25"/>
      <c r="O166" s="132"/>
      <c r="P166" s="132"/>
      <c r="Q166" s="25"/>
      <c r="R166" s="25"/>
      <c r="S166" s="25"/>
      <c r="T166" s="25"/>
      <c r="U166" s="32"/>
      <c r="V166" s="130"/>
      <c r="W166" s="63"/>
      <c r="X166" s="165"/>
      <c r="Y166" s="63"/>
      <c r="Z166" s="165"/>
      <c r="AA166" s="63"/>
      <c r="AB166" s="165"/>
      <c r="AC166" s="63"/>
      <c r="AD166" s="165"/>
      <c r="AE166" s="63"/>
      <c r="AF166" s="165"/>
      <c r="AG166" s="63"/>
      <c r="AH166" s="165"/>
      <c r="AI166" s="63"/>
      <c r="AJ166" s="165"/>
      <c r="AK166" s="63"/>
      <c r="AL166" s="165"/>
      <c r="AM166" s="63"/>
      <c r="AN166" s="165"/>
      <c r="AO166" s="63"/>
      <c r="AP166" s="165"/>
      <c r="AQ166" s="63"/>
      <c r="AR166" s="165"/>
      <c r="AS166" s="63"/>
      <c r="AT166" s="165"/>
      <c r="AU166" s="63"/>
      <c r="AV166" s="165"/>
    </row>
    <row r="167" spans="1:48" ht="25.5" x14ac:dyDescent="0.25">
      <c r="A167" s="197" t="str">
        <f>tblSeverityReference[[#This Row],[Admin 2 P-Code]]</f>
        <v>SD16011</v>
      </c>
      <c r="B167" s="127" t="s">
        <v>179</v>
      </c>
      <c r="C167" s="60" t="s">
        <v>133</v>
      </c>
      <c r="D167" s="146" t="s">
        <v>518</v>
      </c>
      <c r="E167" s="60" t="s">
        <v>519</v>
      </c>
      <c r="F167" s="131"/>
      <c r="G167" s="131"/>
      <c r="H167" s="131"/>
      <c r="I167" s="132"/>
      <c r="J167" s="31"/>
      <c r="K167" s="25"/>
      <c r="L167" s="129"/>
      <c r="M167" s="133"/>
      <c r="N167" s="25"/>
      <c r="O167" s="132"/>
      <c r="P167" s="132"/>
      <c r="Q167" s="25"/>
      <c r="R167" s="25"/>
      <c r="S167" s="25"/>
      <c r="T167" s="25"/>
      <c r="U167" s="32"/>
      <c r="V167" s="130"/>
      <c r="W167" s="63"/>
      <c r="X167" s="165"/>
      <c r="Y167" s="63"/>
      <c r="Z167" s="165"/>
      <c r="AA167" s="63"/>
      <c r="AB167" s="165"/>
      <c r="AC167" s="63"/>
      <c r="AD167" s="165"/>
      <c r="AE167" s="63"/>
      <c r="AF167" s="165"/>
      <c r="AG167" s="63"/>
      <c r="AH167" s="165"/>
      <c r="AI167" s="63"/>
      <c r="AJ167" s="165"/>
      <c r="AK167" s="63"/>
      <c r="AL167" s="165"/>
      <c r="AM167" s="63"/>
      <c r="AN167" s="165"/>
      <c r="AO167" s="63"/>
      <c r="AP167" s="165"/>
      <c r="AQ167" s="63"/>
      <c r="AR167" s="165"/>
      <c r="AS167" s="63"/>
      <c r="AT167" s="165"/>
      <c r="AU167" s="63"/>
      <c r="AV167" s="165"/>
    </row>
    <row r="168" spans="1:48" ht="25.5" x14ac:dyDescent="0.25">
      <c r="A168" s="197" t="str">
        <f>tblSeverityReference[[#This Row],[Admin 2 P-Code]]</f>
        <v>SD16012</v>
      </c>
      <c r="B168" s="127" t="s">
        <v>179</v>
      </c>
      <c r="C168" s="60" t="s">
        <v>133</v>
      </c>
      <c r="D168" s="146" t="s">
        <v>520</v>
      </c>
      <c r="E168" s="60" t="s">
        <v>521</v>
      </c>
      <c r="F168" s="131"/>
      <c r="G168" s="131"/>
      <c r="H168" s="131"/>
      <c r="I168" s="132"/>
      <c r="J168" s="31"/>
      <c r="K168" s="25"/>
      <c r="L168" s="129"/>
      <c r="M168" s="133"/>
      <c r="N168" s="25"/>
      <c r="O168" s="132"/>
      <c r="P168" s="132"/>
      <c r="Q168" s="25"/>
      <c r="R168" s="25"/>
      <c r="S168" s="25"/>
      <c r="T168" s="25"/>
      <c r="U168" s="32"/>
      <c r="V168" s="130"/>
      <c r="W168" s="63"/>
      <c r="X168" s="165"/>
      <c r="Y168" s="63"/>
      <c r="Z168" s="165"/>
      <c r="AA168" s="63"/>
      <c r="AB168" s="165"/>
      <c r="AC168" s="63"/>
      <c r="AD168" s="165"/>
      <c r="AE168" s="63"/>
      <c r="AF168" s="165"/>
      <c r="AG168" s="63"/>
      <c r="AH168" s="165"/>
      <c r="AI168" s="63"/>
      <c r="AJ168" s="165"/>
      <c r="AK168" s="63"/>
      <c r="AL168" s="165"/>
      <c r="AM168" s="63"/>
      <c r="AN168" s="165"/>
      <c r="AO168" s="63"/>
      <c r="AP168" s="165"/>
      <c r="AQ168" s="63"/>
      <c r="AR168" s="165"/>
      <c r="AS168" s="63"/>
      <c r="AT168" s="165"/>
      <c r="AU168" s="63"/>
      <c r="AV168" s="165"/>
    </row>
    <row r="169" spans="1:48" ht="25.5" x14ac:dyDescent="0.25">
      <c r="A169" s="197" t="str">
        <f>tblSeverityReference[[#This Row],[Admin 2 P-Code]]</f>
        <v>SD16013</v>
      </c>
      <c r="B169" s="127" t="s">
        <v>179</v>
      </c>
      <c r="C169" s="60" t="s">
        <v>133</v>
      </c>
      <c r="D169" s="146" t="s">
        <v>522</v>
      </c>
      <c r="E169" s="60" t="s">
        <v>523</v>
      </c>
      <c r="F169" s="131"/>
      <c r="G169" s="131"/>
      <c r="H169" s="131"/>
      <c r="I169" s="132"/>
      <c r="J169" s="31"/>
      <c r="K169" s="25"/>
      <c r="L169" s="129"/>
      <c r="M169" s="133"/>
      <c r="N169" s="25"/>
      <c r="O169" s="132"/>
      <c r="P169" s="132"/>
      <c r="Q169" s="25"/>
      <c r="R169" s="25"/>
      <c r="S169" s="25"/>
      <c r="T169" s="25"/>
      <c r="U169" s="32"/>
      <c r="V169" s="130"/>
      <c r="W169" s="63"/>
      <c r="X169" s="165"/>
      <c r="Y169" s="63"/>
      <c r="Z169" s="165"/>
      <c r="AA169" s="63"/>
      <c r="AB169" s="165"/>
      <c r="AC169" s="63"/>
      <c r="AD169" s="165"/>
      <c r="AE169" s="63"/>
      <c r="AF169" s="165"/>
      <c r="AG169" s="63"/>
      <c r="AH169" s="165"/>
      <c r="AI169" s="63"/>
      <c r="AJ169" s="165"/>
      <c r="AK169" s="63"/>
      <c r="AL169" s="165"/>
      <c r="AM169" s="63"/>
      <c r="AN169" s="165"/>
      <c r="AO169" s="63"/>
      <c r="AP169" s="165"/>
      <c r="AQ169" s="63"/>
      <c r="AR169" s="165"/>
      <c r="AS169" s="63"/>
      <c r="AT169" s="165"/>
      <c r="AU169" s="63"/>
      <c r="AV169" s="165"/>
    </row>
    <row r="170" spans="1:48" ht="25.5" x14ac:dyDescent="0.25">
      <c r="A170" s="197" t="str">
        <f>tblSeverityReference[[#This Row],[Admin 2 P-Code]]</f>
        <v>SD16014</v>
      </c>
      <c r="B170" s="127" t="s">
        <v>179</v>
      </c>
      <c r="C170" s="60" t="s">
        <v>133</v>
      </c>
      <c r="D170" s="146" t="s">
        <v>524</v>
      </c>
      <c r="E170" s="60" t="s">
        <v>525</v>
      </c>
      <c r="F170" s="131"/>
      <c r="G170" s="131"/>
      <c r="H170" s="131"/>
      <c r="I170" s="132"/>
      <c r="J170" s="31"/>
      <c r="K170" s="25"/>
      <c r="L170" s="129"/>
      <c r="M170" s="133"/>
      <c r="N170" s="25"/>
      <c r="O170" s="132"/>
      <c r="P170" s="132"/>
      <c r="Q170" s="25"/>
      <c r="R170" s="25"/>
      <c r="S170" s="25"/>
      <c r="T170" s="25"/>
      <c r="U170" s="32"/>
      <c r="V170" s="130"/>
      <c r="W170" s="63"/>
      <c r="X170" s="165"/>
      <c r="Y170" s="63"/>
      <c r="Z170" s="165"/>
      <c r="AA170" s="63"/>
      <c r="AB170" s="165"/>
      <c r="AC170" s="63"/>
      <c r="AD170" s="165"/>
      <c r="AE170" s="63"/>
      <c r="AF170" s="165"/>
      <c r="AG170" s="63"/>
      <c r="AH170" s="165"/>
      <c r="AI170" s="63"/>
      <c r="AJ170" s="165"/>
      <c r="AK170" s="63"/>
      <c r="AL170" s="165"/>
      <c r="AM170" s="63"/>
      <c r="AN170" s="165"/>
      <c r="AO170" s="63"/>
      <c r="AP170" s="165"/>
      <c r="AQ170" s="63"/>
      <c r="AR170" s="165"/>
      <c r="AS170" s="63"/>
      <c r="AT170" s="165"/>
      <c r="AU170" s="63"/>
      <c r="AV170" s="165"/>
    </row>
    <row r="171" spans="1:48" ht="25.5" x14ac:dyDescent="0.25">
      <c r="A171" s="197" t="str">
        <f>tblSeverityReference[[#This Row],[Admin 2 P-Code]]</f>
        <v>SD17014</v>
      </c>
      <c r="B171" s="127" t="s">
        <v>173</v>
      </c>
      <c r="C171" s="60" t="s">
        <v>134</v>
      </c>
      <c r="D171" s="146" t="s">
        <v>526</v>
      </c>
      <c r="E171" s="60" t="s">
        <v>527</v>
      </c>
      <c r="F171" s="131"/>
      <c r="G171" s="131"/>
      <c r="H171" s="131"/>
      <c r="I171" s="132"/>
      <c r="J171" s="31"/>
      <c r="K171" s="25"/>
      <c r="L171" s="129"/>
      <c r="M171" s="133"/>
      <c r="N171" s="25"/>
      <c r="O171" s="132"/>
      <c r="P171" s="132"/>
      <c r="Q171" s="25"/>
      <c r="R171" s="25"/>
      <c r="S171" s="25"/>
      <c r="T171" s="25"/>
      <c r="U171" s="32"/>
      <c r="V171" s="130"/>
      <c r="W171" s="32"/>
      <c r="X171" s="166"/>
      <c r="Y171" s="32"/>
      <c r="Z171" s="166"/>
      <c r="AA171" s="32"/>
      <c r="AB171" s="166"/>
      <c r="AC171" s="32"/>
      <c r="AD171" s="166"/>
      <c r="AE171" s="32"/>
      <c r="AF171" s="166"/>
      <c r="AG171" s="32"/>
      <c r="AH171" s="166"/>
      <c r="AI171" s="32"/>
      <c r="AJ171" s="166"/>
      <c r="AK171" s="32"/>
      <c r="AL171" s="166"/>
      <c r="AM171" s="32"/>
      <c r="AN171" s="166"/>
      <c r="AO171" s="32"/>
      <c r="AP171" s="166"/>
      <c r="AQ171" s="32"/>
      <c r="AR171" s="166"/>
      <c r="AS171" s="32"/>
      <c r="AT171" s="166"/>
      <c r="AU171" s="32"/>
      <c r="AV171" s="166"/>
    </row>
    <row r="172" spans="1:48" ht="25.5" x14ac:dyDescent="0.25">
      <c r="A172" s="197" t="str">
        <f>tblSeverityReference[[#This Row],[Admin 2 P-Code]]</f>
        <v>SD17015</v>
      </c>
      <c r="B172" s="127" t="s">
        <v>173</v>
      </c>
      <c r="C172" s="60" t="s">
        <v>134</v>
      </c>
      <c r="D172" s="146" t="s">
        <v>528</v>
      </c>
      <c r="E172" s="60" t="s">
        <v>529</v>
      </c>
      <c r="F172" s="131"/>
      <c r="G172" s="131"/>
      <c r="H172" s="131"/>
      <c r="I172" s="132"/>
      <c r="J172" s="31"/>
      <c r="K172" s="25"/>
      <c r="L172" s="129"/>
      <c r="M172" s="133"/>
      <c r="N172" s="25"/>
      <c r="O172" s="132"/>
      <c r="P172" s="132"/>
      <c r="Q172" s="25"/>
      <c r="R172" s="25"/>
      <c r="S172" s="25"/>
      <c r="T172" s="25"/>
      <c r="U172" s="32"/>
      <c r="V172" s="130"/>
      <c r="W172" s="63"/>
      <c r="X172" s="165"/>
      <c r="Y172" s="63"/>
      <c r="Z172" s="165"/>
      <c r="AA172" s="63"/>
      <c r="AB172" s="165"/>
      <c r="AC172" s="63"/>
      <c r="AD172" s="165"/>
      <c r="AE172" s="63"/>
      <c r="AF172" s="165"/>
      <c r="AG172" s="63"/>
      <c r="AH172" s="165"/>
      <c r="AI172" s="63"/>
      <c r="AJ172" s="165"/>
      <c r="AK172" s="63"/>
      <c r="AL172" s="165"/>
      <c r="AM172" s="63"/>
      <c r="AN172" s="165"/>
      <c r="AO172" s="63"/>
      <c r="AP172" s="165"/>
      <c r="AQ172" s="63"/>
      <c r="AR172" s="165"/>
      <c r="AS172" s="63"/>
      <c r="AT172" s="165"/>
      <c r="AU172" s="63"/>
      <c r="AV172" s="165"/>
    </row>
    <row r="173" spans="1:48" ht="25.5" x14ac:dyDescent="0.25">
      <c r="A173" s="197" t="str">
        <f>tblSeverityReference[[#This Row],[Admin 2 P-Code]]</f>
        <v>SD17016</v>
      </c>
      <c r="B173" s="127" t="s">
        <v>173</v>
      </c>
      <c r="C173" s="60" t="s">
        <v>134</v>
      </c>
      <c r="D173" s="146" t="s">
        <v>530</v>
      </c>
      <c r="E173" s="60" t="s">
        <v>531</v>
      </c>
      <c r="F173" s="131"/>
      <c r="G173" s="131"/>
      <c r="H173" s="131"/>
      <c r="I173" s="132"/>
      <c r="J173" s="31"/>
      <c r="K173" s="25"/>
      <c r="L173" s="129"/>
      <c r="M173" s="133"/>
      <c r="N173" s="25"/>
      <c r="O173" s="132"/>
      <c r="P173" s="132"/>
      <c r="Q173" s="25"/>
      <c r="R173" s="25"/>
      <c r="S173" s="25"/>
      <c r="T173" s="25"/>
      <c r="U173" s="32"/>
      <c r="V173" s="130"/>
      <c r="W173" s="63"/>
      <c r="X173" s="165"/>
      <c r="Y173" s="63"/>
      <c r="Z173" s="165"/>
      <c r="AA173" s="63"/>
      <c r="AB173" s="165"/>
      <c r="AC173" s="63"/>
      <c r="AD173" s="165"/>
      <c r="AE173" s="63"/>
      <c r="AF173" s="165"/>
      <c r="AG173" s="63"/>
      <c r="AH173" s="165"/>
      <c r="AI173" s="63"/>
      <c r="AJ173" s="165"/>
      <c r="AK173" s="63"/>
      <c r="AL173" s="165"/>
      <c r="AM173" s="63"/>
      <c r="AN173" s="165"/>
      <c r="AO173" s="63"/>
      <c r="AP173" s="165"/>
      <c r="AQ173" s="63"/>
      <c r="AR173" s="165"/>
      <c r="AS173" s="63"/>
      <c r="AT173" s="165"/>
      <c r="AU173" s="63"/>
      <c r="AV173" s="165"/>
    </row>
    <row r="174" spans="1:48" ht="25.5" x14ac:dyDescent="0.25">
      <c r="A174" s="197" t="str">
        <f>tblSeverityReference[[#This Row],[Admin 2 P-Code]]</f>
        <v>SD17017</v>
      </c>
      <c r="B174" s="127" t="s">
        <v>173</v>
      </c>
      <c r="C174" s="60" t="s">
        <v>134</v>
      </c>
      <c r="D174" s="146" t="s">
        <v>532</v>
      </c>
      <c r="E174" s="60" t="s">
        <v>533</v>
      </c>
      <c r="F174" s="131"/>
      <c r="G174" s="131"/>
      <c r="H174" s="131"/>
      <c r="I174" s="132"/>
      <c r="J174" s="31"/>
      <c r="K174" s="25"/>
      <c r="L174" s="129"/>
      <c r="M174" s="133"/>
      <c r="N174" s="25"/>
      <c r="O174" s="132"/>
      <c r="P174" s="132"/>
      <c r="Q174" s="25"/>
      <c r="R174" s="25"/>
      <c r="S174" s="25"/>
      <c r="T174" s="25"/>
      <c r="U174" s="32"/>
      <c r="V174" s="130"/>
      <c r="W174" s="63"/>
      <c r="X174" s="165"/>
      <c r="Y174" s="63"/>
      <c r="Z174" s="165"/>
      <c r="AA174" s="63"/>
      <c r="AB174" s="165"/>
      <c r="AC174" s="63"/>
      <c r="AD174" s="165"/>
      <c r="AE174" s="63"/>
      <c r="AF174" s="165"/>
      <c r="AG174" s="63"/>
      <c r="AH174" s="165"/>
      <c r="AI174" s="63"/>
      <c r="AJ174" s="165"/>
      <c r="AK174" s="63"/>
      <c r="AL174" s="165"/>
      <c r="AM174" s="63"/>
      <c r="AN174" s="165"/>
      <c r="AO174" s="63"/>
      <c r="AP174" s="165"/>
      <c r="AQ174" s="63"/>
      <c r="AR174" s="165"/>
      <c r="AS174" s="63"/>
      <c r="AT174" s="165"/>
      <c r="AU174" s="63"/>
      <c r="AV174" s="165"/>
    </row>
    <row r="175" spans="1:48" ht="25.5" x14ac:dyDescent="0.25">
      <c r="A175" s="197" t="str">
        <f>tblSeverityReference[[#This Row],[Admin 2 P-Code]]</f>
        <v>SD17018</v>
      </c>
      <c r="B175" s="127" t="s">
        <v>173</v>
      </c>
      <c r="C175" s="60" t="s">
        <v>134</v>
      </c>
      <c r="D175" s="146" t="s">
        <v>534</v>
      </c>
      <c r="E175" s="60" t="s">
        <v>535</v>
      </c>
      <c r="F175" s="131"/>
      <c r="G175" s="131"/>
      <c r="H175" s="131"/>
      <c r="I175" s="132"/>
      <c r="J175" s="31"/>
      <c r="K175" s="25"/>
      <c r="L175" s="129"/>
      <c r="M175" s="133"/>
      <c r="N175" s="25"/>
      <c r="O175" s="132"/>
      <c r="P175" s="132"/>
      <c r="Q175" s="25"/>
      <c r="R175" s="25"/>
      <c r="S175" s="25"/>
      <c r="T175" s="25"/>
      <c r="U175" s="32"/>
      <c r="V175" s="130"/>
      <c r="W175" s="63"/>
      <c r="X175" s="165"/>
      <c r="Y175" s="63"/>
      <c r="Z175" s="165"/>
      <c r="AA175" s="63"/>
      <c r="AB175" s="165"/>
      <c r="AC175" s="63"/>
      <c r="AD175" s="165"/>
      <c r="AE175" s="63"/>
      <c r="AF175" s="165"/>
      <c r="AG175" s="63"/>
      <c r="AH175" s="165"/>
      <c r="AI175" s="63"/>
      <c r="AJ175" s="165"/>
      <c r="AK175" s="63"/>
      <c r="AL175" s="165"/>
      <c r="AM175" s="63"/>
      <c r="AN175" s="165"/>
      <c r="AO175" s="63"/>
      <c r="AP175" s="165"/>
      <c r="AQ175" s="63"/>
      <c r="AR175" s="165"/>
      <c r="AS175" s="63"/>
      <c r="AT175" s="165"/>
      <c r="AU175" s="63"/>
      <c r="AV175" s="165"/>
    </row>
    <row r="176" spans="1:48" ht="25.5" x14ac:dyDescent="0.25">
      <c r="A176" s="197" t="str">
        <f>tblSeverityReference[[#This Row],[Admin 2 P-Code]]</f>
        <v>SD17019</v>
      </c>
      <c r="B176" s="127" t="s">
        <v>173</v>
      </c>
      <c r="C176" s="60" t="s">
        <v>134</v>
      </c>
      <c r="D176" s="146" t="s">
        <v>536</v>
      </c>
      <c r="E176" s="60" t="s">
        <v>537</v>
      </c>
      <c r="F176" s="131"/>
      <c r="G176" s="131"/>
      <c r="H176" s="131"/>
      <c r="I176" s="132"/>
      <c r="J176" s="31"/>
      <c r="K176" s="25"/>
      <c r="L176" s="129"/>
      <c r="M176" s="133"/>
      <c r="N176" s="25"/>
      <c r="O176" s="132"/>
      <c r="P176" s="132"/>
      <c r="Q176" s="25"/>
      <c r="R176" s="25"/>
      <c r="S176" s="25"/>
      <c r="T176" s="25"/>
      <c r="U176" s="32"/>
      <c r="V176" s="130"/>
      <c r="W176" s="63"/>
      <c r="X176" s="165"/>
      <c r="Y176" s="63"/>
      <c r="Z176" s="165"/>
      <c r="AA176" s="63"/>
      <c r="AB176" s="165"/>
      <c r="AC176" s="63"/>
      <c r="AD176" s="165"/>
      <c r="AE176" s="63"/>
      <c r="AF176" s="165"/>
      <c r="AG176" s="63"/>
      <c r="AH176" s="165"/>
      <c r="AI176" s="63"/>
      <c r="AJ176" s="165"/>
      <c r="AK176" s="63"/>
      <c r="AL176" s="165"/>
      <c r="AM176" s="63"/>
      <c r="AN176" s="165"/>
      <c r="AO176" s="63"/>
      <c r="AP176" s="165"/>
      <c r="AQ176" s="63"/>
      <c r="AR176" s="165"/>
      <c r="AS176" s="63"/>
      <c r="AT176" s="165"/>
      <c r="AU176" s="63"/>
      <c r="AV176" s="165"/>
    </row>
    <row r="177" spans="1:48" ht="25.5" x14ac:dyDescent="0.25">
      <c r="A177" s="197" t="str">
        <f>tblSeverityReference[[#This Row],[Admin 2 P-Code]]</f>
        <v>SD17020</v>
      </c>
      <c r="B177" s="127" t="s">
        <v>173</v>
      </c>
      <c r="C177" s="60" t="s">
        <v>134</v>
      </c>
      <c r="D177" s="146" t="s">
        <v>538</v>
      </c>
      <c r="E177" s="60" t="s">
        <v>539</v>
      </c>
      <c r="F177" s="131"/>
      <c r="G177" s="131"/>
      <c r="H177" s="131"/>
      <c r="I177" s="132"/>
      <c r="J177" s="31"/>
      <c r="K177" s="25"/>
      <c r="L177" s="129"/>
      <c r="M177" s="133"/>
      <c r="N177" s="25"/>
      <c r="O177" s="132"/>
      <c r="P177" s="132"/>
      <c r="Q177" s="25"/>
      <c r="R177" s="25"/>
      <c r="S177" s="25"/>
      <c r="T177" s="25"/>
      <c r="U177" s="32"/>
      <c r="V177" s="130"/>
      <c r="W177" s="63"/>
      <c r="X177" s="165"/>
      <c r="Y177" s="63"/>
      <c r="Z177" s="165"/>
      <c r="AA177" s="63"/>
      <c r="AB177" s="165"/>
      <c r="AC177" s="63"/>
      <c r="AD177" s="165"/>
      <c r="AE177" s="63"/>
      <c r="AF177" s="165"/>
      <c r="AG177" s="63"/>
      <c r="AH177" s="165"/>
      <c r="AI177" s="63"/>
      <c r="AJ177" s="165"/>
      <c r="AK177" s="63"/>
      <c r="AL177" s="165"/>
      <c r="AM177" s="63"/>
      <c r="AN177" s="165"/>
      <c r="AO177" s="63"/>
      <c r="AP177" s="165"/>
      <c r="AQ177" s="63"/>
      <c r="AR177" s="165"/>
      <c r="AS177" s="63"/>
      <c r="AT177" s="165"/>
      <c r="AU177" s="63"/>
      <c r="AV177" s="165"/>
    </row>
    <row r="178" spans="1:48" ht="30" x14ac:dyDescent="0.25">
      <c r="A178" s="197" t="str">
        <f>tblSeverityReference[[#This Row],[Admin 2 P-Code]]</f>
        <v>SD18021</v>
      </c>
      <c r="B178" s="127" t="s">
        <v>194</v>
      </c>
      <c r="C178" s="60" t="s">
        <v>135</v>
      </c>
      <c r="D178" s="146" t="s">
        <v>540</v>
      </c>
      <c r="E178" s="60" t="s">
        <v>541</v>
      </c>
      <c r="F178" s="131"/>
      <c r="G178" s="131"/>
      <c r="H178" s="131"/>
      <c r="I178" s="132"/>
      <c r="J178" s="31"/>
      <c r="K178" s="25"/>
      <c r="L178" s="129"/>
      <c r="M178" s="133"/>
      <c r="N178" s="25"/>
      <c r="O178" s="132"/>
      <c r="P178" s="132"/>
      <c r="Q178" s="25"/>
      <c r="R178" s="25"/>
      <c r="S178" s="25"/>
      <c r="T178" s="25"/>
      <c r="U178" s="32"/>
      <c r="V178" s="130"/>
      <c r="W178" s="32"/>
      <c r="X178" s="166"/>
      <c r="Y178" s="32"/>
      <c r="Z178" s="166"/>
      <c r="AA178" s="32"/>
      <c r="AB178" s="166"/>
      <c r="AC178" s="32"/>
      <c r="AD178" s="166"/>
      <c r="AE178" s="32"/>
      <c r="AF178" s="166"/>
      <c r="AG178" s="32"/>
      <c r="AH178" s="166"/>
      <c r="AI178" s="32"/>
      <c r="AJ178" s="166"/>
      <c r="AK178" s="32"/>
      <c r="AL178" s="166"/>
      <c r="AM178" s="32"/>
      <c r="AN178" s="166"/>
      <c r="AO178" s="32"/>
      <c r="AP178" s="166"/>
      <c r="AQ178" s="32"/>
      <c r="AR178" s="166"/>
      <c r="AS178" s="32"/>
      <c r="AT178" s="166"/>
      <c r="AU178" s="32"/>
      <c r="AV178" s="166"/>
    </row>
    <row r="179" spans="1:48" ht="30" x14ac:dyDescent="0.25">
      <c r="A179" s="197" t="str">
        <f>tblSeverityReference[[#This Row],[Admin 2 P-Code]]</f>
        <v>SD18022</v>
      </c>
      <c r="B179" s="127" t="s">
        <v>194</v>
      </c>
      <c r="C179" s="60" t="s">
        <v>135</v>
      </c>
      <c r="D179" s="146" t="s">
        <v>542</v>
      </c>
      <c r="E179" s="60" t="s">
        <v>543</v>
      </c>
      <c r="F179" s="131"/>
      <c r="G179" s="131"/>
      <c r="H179" s="131"/>
      <c r="I179" s="132"/>
      <c r="J179" s="31"/>
      <c r="K179" s="25"/>
      <c r="L179" s="129"/>
      <c r="M179" s="133"/>
      <c r="N179" s="25"/>
      <c r="O179" s="132"/>
      <c r="P179" s="132"/>
      <c r="Q179" s="25"/>
      <c r="R179" s="25"/>
      <c r="S179" s="25"/>
      <c r="T179" s="25"/>
      <c r="U179" s="32"/>
      <c r="V179" s="130"/>
      <c r="W179" s="63"/>
      <c r="X179" s="165"/>
      <c r="Y179" s="63"/>
      <c r="Z179" s="165"/>
      <c r="AA179" s="63"/>
      <c r="AB179" s="165"/>
      <c r="AC179" s="63"/>
      <c r="AD179" s="165"/>
      <c r="AE179" s="63"/>
      <c r="AF179" s="165"/>
      <c r="AG179" s="63"/>
      <c r="AH179" s="165"/>
      <c r="AI179" s="63"/>
      <c r="AJ179" s="165"/>
      <c r="AK179" s="63"/>
      <c r="AL179" s="165"/>
      <c r="AM179" s="63"/>
      <c r="AN179" s="165"/>
      <c r="AO179" s="63"/>
      <c r="AP179" s="165"/>
      <c r="AQ179" s="63"/>
      <c r="AR179" s="165"/>
      <c r="AS179" s="63"/>
      <c r="AT179" s="165"/>
      <c r="AU179" s="63"/>
      <c r="AV179" s="165"/>
    </row>
    <row r="180" spans="1:48" ht="30" x14ac:dyDescent="0.25">
      <c r="A180" s="197" t="str">
        <f>tblSeverityReference[[#This Row],[Admin 2 P-Code]]</f>
        <v>SD18028</v>
      </c>
      <c r="B180" s="127" t="s">
        <v>194</v>
      </c>
      <c r="C180" s="60" t="s">
        <v>135</v>
      </c>
      <c r="D180" s="146" t="s">
        <v>544</v>
      </c>
      <c r="E180" s="60" t="s">
        <v>545</v>
      </c>
      <c r="F180" s="131"/>
      <c r="G180" s="131"/>
      <c r="H180" s="131"/>
      <c r="I180" s="132"/>
      <c r="J180" s="31"/>
      <c r="K180" s="25"/>
      <c r="L180" s="129"/>
      <c r="M180" s="133"/>
      <c r="N180" s="25"/>
      <c r="O180" s="132"/>
      <c r="P180" s="132"/>
      <c r="Q180" s="25"/>
      <c r="R180" s="25"/>
      <c r="S180" s="25"/>
      <c r="T180" s="25"/>
      <c r="U180" s="32"/>
      <c r="V180" s="130"/>
      <c r="W180" s="63"/>
      <c r="X180" s="165"/>
      <c r="Y180" s="63"/>
      <c r="Z180" s="165"/>
      <c r="AA180" s="63"/>
      <c r="AB180" s="165"/>
      <c r="AC180" s="63"/>
      <c r="AD180" s="165"/>
      <c r="AE180" s="63"/>
      <c r="AF180" s="165"/>
      <c r="AG180" s="63"/>
      <c r="AH180" s="165"/>
      <c r="AI180" s="63"/>
      <c r="AJ180" s="165"/>
      <c r="AK180" s="63"/>
      <c r="AL180" s="165"/>
      <c r="AM180" s="63"/>
      <c r="AN180" s="165"/>
      <c r="AO180" s="63"/>
      <c r="AP180" s="165"/>
      <c r="AQ180" s="63"/>
      <c r="AR180" s="165"/>
      <c r="AS180" s="63"/>
      <c r="AT180" s="165"/>
      <c r="AU180" s="63"/>
      <c r="AV180" s="165"/>
    </row>
    <row r="181" spans="1:48" ht="30" x14ac:dyDescent="0.25">
      <c r="A181" s="197" t="str">
        <f>tblSeverityReference[[#This Row],[Admin 2 P-Code]]</f>
        <v>SD18029</v>
      </c>
      <c r="B181" s="127" t="s">
        <v>194</v>
      </c>
      <c r="C181" s="60" t="s">
        <v>135</v>
      </c>
      <c r="D181" s="146" t="s">
        <v>546</v>
      </c>
      <c r="E181" s="60" t="s">
        <v>547</v>
      </c>
      <c r="F181" s="131"/>
      <c r="G181" s="131"/>
      <c r="H181" s="131"/>
      <c r="I181" s="132"/>
      <c r="J181" s="31"/>
      <c r="K181" s="25"/>
      <c r="L181" s="129"/>
      <c r="M181" s="133"/>
      <c r="N181" s="25"/>
      <c r="O181" s="132"/>
      <c r="P181" s="132"/>
      <c r="Q181" s="25"/>
      <c r="R181" s="25"/>
      <c r="S181" s="25"/>
      <c r="T181" s="25"/>
      <c r="U181" s="32"/>
      <c r="V181" s="130"/>
      <c r="W181" s="63"/>
      <c r="X181" s="165"/>
      <c r="Y181" s="63"/>
      <c r="Z181" s="165"/>
      <c r="AA181" s="63"/>
      <c r="AB181" s="165"/>
      <c r="AC181" s="63"/>
      <c r="AD181" s="165"/>
      <c r="AE181" s="63"/>
      <c r="AF181" s="165"/>
      <c r="AG181" s="63"/>
      <c r="AH181" s="165"/>
      <c r="AI181" s="63"/>
      <c r="AJ181" s="165"/>
      <c r="AK181" s="63"/>
      <c r="AL181" s="165"/>
      <c r="AM181" s="63"/>
      <c r="AN181" s="165"/>
      <c r="AO181" s="63"/>
      <c r="AP181" s="165"/>
      <c r="AQ181" s="63"/>
      <c r="AR181" s="165"/>
      <c r="AS181" s="63"/>
      <c r="AT181" s="165"/>
      <c r="AU181" s="63"/>
      <c r="AV181" s="165"/>
    </row>
    <row r="182" spans="1:48" ht="30" x14ac:dyDescent="0.25">
      <c r="A182" s="197" t="str">
        <f>tblSeverityReference[[#This Row],[Admin 2 P-Code]]</f>
        <v>SD18085</v>
      </c>
      <c r="B182" s="127" t="s">
        <v>194</v>
      </c>
      <c r="C182" s="60" t="s">
        <v>135</v>
      </c>
      <c r="D182" s="146" t="s">
        <v>548</v>
      </c>
      <c r="E182" s="60" t="s">
        <v>549</v>
      </c>
      <c r="F182" s="131"/>
      <c r="G182" s="131"/>
      <c r="H182" s="131"/>
      <c r="I182" s="132"/>
      <c r="J182" s="31"/>
      <c r="K182" s="25"/>
      <c r="L182" s="129"/>
      <c r="M182" s="133"/>
      <c r="N182" s="25"/>
      <c r="O182" s="132"/>
      <c r="P182" s="132"/>
      <c r="Q182" s="25"/>
      <c r="R182" s="25"/>
      <c r="S182" s="25"/>
      <c r="T182" s="25"/>
      <c r="U182" s="32"/>
      <c r="V182" s="130"/>
      <c r="W182" s="63"/>
      <c r="X182" s="165"/>
      <c r="Y182" s="63"/>
      <c r="Z182" s="165"/>
      <c r="AA182" s="63"/>
      <c r="AB182" s="165"/>
      <c r="AC182" s="63"/>
      <c r="AD182" s="165"/>
      <c r="AE182" s="63"/>
      <c r="AF182" s="165"/>
      <c r="AG182" s="63"/>
      <c r="AH182" s="165"/>
      <c r="AI182" s="63"/>
      <c r="AJ182" s="165"/>
      <c r="AK182" s="63"/>
      <c r="AL182" s="165"/>
      <c r="AM182" s="63"/>
      <c r="AN182" s="165"/>
      <c r="AO182" s="63"/>
      <c r="AP182" s="165"/>
      <c r="AQ182" s="63"/>
      <c r="AR182" s="165"/>
      <c r="AS182" s="63"/>
      <c r="AT182" s="165"/>
      <c r="AU182" s="63"/>
      <c r="AV182" s="165"/>
    </row>
    <row r="183" spans="1:48" ht="30" x14ac:dyDescent="0.25">
      <c r="A183" s="197" t="str">
        <f>tblSeverityReference[[#This Row],[Admin 2 P-Code]]</f>
        <v>SD18086</v>
      </c>
      <c r="B183" s="127" t="s">
        <v>194</v>
      </c>
      <c r="C183" s="60" t="s">
        <v>135</v>
      </c>
      <c r="D183" s="146" t="s">
        <v>550</v>
      </c>
      <c r="E183" s="60" t="s">
        <v>551</v>
      </c>
      <c r="F183" s="131"/>
      <c r="G183" s="131"/>
      <c r="H183" s="131"/>
      <c r="I183" s="132"/>
      <c r="J183" s="31"/>
      <c r="K183" s="25"/>
      <c r="L183" s="129"/>
      <c r="M183" s="133"/>
      <c r="N183" s="25"/>
      <c r="O183" s="132"/>
      <c r="P183" s="132"/>
      <c r="Q183" s="25"/>
      <c r="R183" s="25"/>
      <c r="S183" s="25"/>
      <c r="T183" s="25"/>
      <c r="U183" s="32"/>
      <c r="V183" s="130"/>
      <c r="W183" s="63"/>
      <c r="X183" s="165"/>
      <c r="Y183" s="63"/>
      <c r="Z183" s="165"/>
      <c r="AA183" s="63"/>
      <c r="AB183" s="165"/>
      <c r="AC183" s="63"/>
      <c r="AD183" s="165"/>
      <c r="AE183" s="63"/>
      <c r="AF183" s="165"/>
      <c r="AG183" s="63"/>
      <c r="AH183" s="165"/>
      <c r="AI183" s="63"/>
      <c r="AJ183" s="165"/>
      <c r="AK183" s="63"/>
      <c r="AL183" s="165"/>
      <c r="AM183" s="63"/>
      <c r="AN183" s="165"/>
      <c r="AO183" s="63"/>
      <c r="AP183" s="165"/>
      <c r="AQ183" s="63"/>
      <c r="AR183" s="165"/>
      <c r="AS183" s="63"/>
      <c r="AT183" s="165"/>
      <c r="AU183" s="63"/>
      <c r="AV183" s="165"/>
    </row>
    <row r="184" spans="1:48" ht="30" x14ac:dyDescent="0.25">
      <c r="A184" s="197" t="str">
        <f>tblSeverityReference[[#This Row],[Admin 2 P-Code]]</f>
        <v>SD18087</v>
      </c>
      <c r="B184" s="127" t="s">
        <v>194</v>
      </c>
      <c r="C184" s="60" t="s">
        <v>135</v>
      </c>
      <c r="D184" s="146" t="s">
        <v>552</v>
      </c>
      <c r="E184" s="60" t="s">
        <v>553</v>
      </c>
      <c r="F184" s="131"/>
      <c r="G184" s="131"/>
      <c r="H184" s="131"/>
      <c r="I184" s="132"/>
      <c r="J184" s="31"/>
      <c r="K184" s="25"/>
      <c r="L184" s="129"/>
      <c r="M184" s="133"/>
      <c r="N184" s="25"/>
      <c r="O184" s="132"/>
      <c r="P184" s="132"/>
      <c r="Q184" s="25"/>
      <c r="R184" s="25"/>
      <c r="S184" s="25"/>
      <c r="T184" s="25"/>
      <c r="U184" s="32"/>
      <c r="V184" s="130"/>
      <c r="W184" s="63"/>
      <c r="X184" s="165"/>
      <c r="Y184" s="63"/>
      <c r="Z184" s="165"/>
      <c r="AA184" s="63"/>
      <c r="AB184" s="165"/>
      <c r="AC184" s="63"/>
      <c r="AD184" s="165"/>
      <c r="AE184" s="63"/>
      <c r="AF184" s="165"/>
      <c r="AG184" s="63"/>
      <c r="AH184" s="165"/>
      <c r="AI184" s="63"/>
      <c r="AJ184" s="165"/>
      <c r="AK184" s="63"/>
      <c r="AL184" s="165"/>
      <c r="AM184" s="63"/>
      <c r="AN184" s="165"/>
      <c r="AO184" s="63"/>
      <c r="AP184" s="165"/>
      <c r="AQ184" s="63"/>
      <c r="AR184" s="165"/>
      <c r="AS184" s="63"/>
      <c r="AT184" s="165"/>
      <c r="AU184" s="63"/>
      <c r="AV184" s="165"/>
    </row>
    <row r="185" spans="1:48" ht="30" x14ac:dyDescent="0.25">
      <c r="A185" s="197" t="str">
        <f>tblSeverityReference[[#This Row],[Admin 2 P-Code]]</f>
        <v>SD18092</v>
      </c>
      <c r="B185" s="127" t="s">
        <v>194</v>
      </c>
      <c r="C185" s="60" t="s">
        <v>135</v>
      </c>
      <c r="D185" s="146" t="s">
        <v>554</v>
      </c>
      <c r="E185" s="60" t="s">
        <v>555</v>
      </c>
      <c r="F185" s="131"/>
      <c r="G185" s="131"/>
      <c r="H185" s="131"/>
      <c r="I185" s="132"/>
      <c r="J185" s="31"/>
      <c r="K185" s="25"/>
      <c r="L185" s="129"/>
      <c r="M185" s="133"/>
      <c r="N185" s="25"/>
      <c r="O185" s="132"/>
      <c r="P185" s="132"/>
      <c r="Q185" s="25"/>
      <c r="R185" s="25"/>
      <c r="S185" s="25"/>
      <c r="T185" s="25"/>
      <c r="U185" s="32"/>
      <c r="V185" s="130"/>
      <c r="W185" s="32"/>
      <c r="X185" s="166"/>
      <c r="Y185" s="32"/>
      <c r="Z185" s="166"/>
      <c r="AA185" s="32"/>
      <c r="AB185" s="166"/>
      <c r="AC185" s="32"/>
      <c r="AD185" s="166"/>
      <c r="AE185" s="32"/>
      <c r="AF185" s="166"/>
      <c r="AG185" s="32"/>
      <c r="AH185" s="166"/>
      <c r="AI185" s="32"/>
      <c r="AJ185" s="166"/>
      <c r="AK185" s="32"/>
      <c r="AL185" s="166"/>
      <c r="AM185" s="32"/>
      <c r="AN185" s="166"/>
      <c r="AO185" s="32"/>
      <c r="AP185" s="166"/>
      <c r="AQ185" s="32"/>
      <c r="AR185" s="166"/>
      <c r="AS185" s="32"/>
      <c r="AT185" s="166"/>
      <c r="AU185" s="32"/>
      <c r="AV185" s="166"/>
    </row>
    <row r="186" spans="1:48" ht="30" x14ac:dyDescent="0.25">
      <c r="A186" s="197" t="str">
        <f>tblSeverityReference[[#This Row],[Admin 2 P-Code]]</f>
        <v>SD18100</v>
      </c>
      <c r="B186" s="127" t="s">
        <v>194</v>
      </c>
      <c r="C186" s="60" t="s">
        <v>135</v>
      </c>
      <c r="D186" s="146" t="s">
        <v>556</v>
      </c>
      <c r="E186" s="60" t="s">
        <v>557</v>
      </c>
      <c r="F186" s="131"/>
      <c r="G186" s="131"/>
      <c r="H186" s="131"/>
      <c r="I186" s="132"/>
      <c r="J186" s="31"/>
      <c r="K186" s="25"/>
      <c r="L186" s="129"/>
      <c r="M186" s="133"/>
      <c r="N186" s="25"/>
      <c r="O186" s="132"/>
      <c r="P186" s="132"/>
      <c r="Q186" s="25"/>
      <c r="R186" s="25"/>
      <c r="S186" s="25"/>
      <c r="T186" s="25"/>
      <c r="U186" s="32"/>
      <c r="V186" s="130"/>
      <c r="W186" s="63"/>
      <c r="X186" s="165"/>
      <c r="Y186" s="63"/>
      <c r="Z186" s="165"/>
      <c r="AA186" s="63"/>
      <c r="AB186" s="165"/>
      <c r="AC186" s="63"/>
      <c r="AD186" s="165"/>
      <c r="AE186" s="63"/>
      <c r="AF186" s="165"/>
      <c r="AG186" s="63"/>
      <c r="AH186" s="165"/>
      <c r="AI186" s="63"/>
      <c r="AJ186" s="165"/>
      <c r="AK186" s="63"/>
      <c r="AL186" s="165"/>
      <c r="AM186" s="63"/>
      <c r="AN186" s="165"/>
      <c r="AO186" s="63"/>
      <c r="AP186" s="165"/>
      <c r="AQ186" s="63"/>
      <c r="AR186" s="165"/>
      <c r="AS186" s="63"/>
      <c r="AT186" s="165"/>
      <c r="AU186" s="63"/>
      <c r="AV186" s="165"/>
    </row>
    <row r="187" spans="1:48" ht="30" x14ac:dyDescent="0.25">
      <c r="A187" s="197" t="str">
        <f>tblSeverityReference[[#This Row],[Admin 2 P-Code]]</f>
        <v>SD18102</v>
      </c>
      <c r="B187" s="127" t="s">
        <v>194</v>
      </c>
      <c r="C187" s="60" t="s">
        <v>135</v>
      </c>
      <c r="D187" s="146" t="s">
        <v>558</v>
      </c>
      <c r="E187" s="60" t="s">
        <v>559</v>
      </c>
      <c r="F187" s="131"/>
      <c r="G187" s="131"/>
      <c r="H187" s="131"/>
      <c r="I187" s="132"/>
      <c r="J187" s="31"/>
      <c r="K187" s="25"/>
      <c r="L187" s="129"/>
      <c r="M187" s="133"/>
      <c r="N187" s="25"/>
      <c r="O187" s="132"/>
      <c r="P187" s="132"/>
      <c r="Q187" s="25"/>
      <c r="R187" s="25"/>
      <c r="S187" s="25"/>
      <c r="T187" s="25"/>
      <c r="U187" s="32"/>
      <c r="V187" s="130"/>
      <c r="W187" s="63"/>
      <c r="X187" s="165"/>
      <c r="Y187" s="63"/>
      <c r="Z187" s="165"/>
      <c r="AA187" s="63"/>
      <c r="AB187" s="165"/>
      <c r="AC187" s="63"/>
      <c r="AD187" s="165"/>
      <c r="AE187" s="63"/>
      <c r="AF187" s="165"/>
      <c r="AG187" s="63"/>
      <c r="AH187" s="165"/>
      <c r="AI187" s="63"/>
      <c r="AJ187" s="165"/>
      <c r="AK187" s="63"/>
      <c r="AL187" s="165"/>
      <c r="AM187" s="63"/>
      <c r="AN187" s="165"/>
      <c r="AO187" s="63"/>
      <c r="AP187" s="165"/>
      <c r="AQ187" s="63"/>
      <c r="AR187" s="165"/>
      <c r="AS187" s="63"/>
      <c r="AT187" s="165"/>
      <c r="AU187" s="63"/>
      <c r="AV187" s="165"/>
    </row>
    <row r="188" spans="1:48" ht="30" x14ac:dyDescent="0.25">
      <c r="A188" s="197" t="str">
        <f>tblSeverityReference[[#This Row],[Admin 2 P-Code]]</f>
        <v>SD18103</v>
      </c>
      <c r="B188" s="127" t="s">
        <v>194</v>
      </c>
      <c r="C188" s="60" t="s">
        <v>135</v>
      </c>
      <c r="D188" s="146" t="s">
        <v>560</v>
      </c>
      <c r="E188" s="60" t="s">
        <v>561</v>
      </c>
      <c r="F188" s="131"/>
      <c r="G188" s="131"/>
      <c r="H188" s="131"/>
      <c r="I188" s="132"/>
      <c r="J188" s="31"/>
      <c r="K188" s="25"/>
      <c r="L188" s="129"/>
      <c r="M188" s="133"/>
      <c r="N188" s="25"/>
      <c r="O188" s="132"/>
      <c r="P188" s="132"/>
      <c r="Q188" s="25"/>
      <c r="R188" s="25"/>
      <c r="S188" s="25"/>
      <c r="T188" s="25"/>
      <c r="U188" s="32"/>
      <c r="V188" s="130"/>
      <c r="W188" s="63"/>
      <c r="X188" s="165"/>
      <c r="Y188" s="63"/>
      <c r="Z188" s="165"/>
      <c r="AA188" s="63"/>
      <c r="AB188" s="165"/>
      <c r="AC188" s="63"/>
      <c r="AD188" s="165"/>
      <c r="AE188" s="63"/>
      <c r="AF188" s="165"/>
      <c r="AG188" s="63"/>
      <c r="AH188" s="165"/>
      <c r="AI188" s="63"/>
      <c r="AJ188" s="165"/>
      <c r="AK188" s="63"/>
      <c r="AL188" s="165"/>
      <c r="AM188" s="63"/>
      <c r="AN188" s="165"/>
      <c r="AO188" s="63"/>
      <c r="AP188" s="165"/>
      <c r="AQ188" s="63"/>
      <c r="AR188" s="165"/>
      <c r="AS188" s="63"/>
      <c r="AT188" s="165"/>
      <c r="AU188" s="63"/>
      <c r="AV188" s="165"/>
    </row>
    <row r="189" spans="1:48" ht="30" x14ac:dyDescent="0.25">
      <c r="A189" s="197" t="str">
        <f>tblSeverityReference[[#This Row],[Admin 2 P-Code]]</f>
        <v>SD18104</v>
      </c>
      <c r="B189" s="127" t="s">
        <v>194</v>
      </c>
      <c r="C189" s="60" t="s">
        <v>135</v>
      </c>
      <c r="D189" s="146" t="s">
        <v>562</v>
      </c>
      <c r="E189" s="60" t="s">
        <v>563</v>
      </c>
      <c r="F189" s="131"/>
      <c r="G189" s="131"/>
      <c r="H189" s="131"/>
      <c r="I189" s="132"/>
      <c r="J189" s="31"/>
      <c r="K189" s="25"/>
      <c r="L189" s="129"/>
      <c r="M189" s="133"/>
      <c r="N189" s="25"/>
      <c r="O189" s="132"/>
      <c r="P189" s="132"/>
      <c r="Q189" s="25"/>
      <c r="R189" s="25"/>
      <c r="S189" s="25"/>
      <c r="T189" s="25"/>
      <c r="U189" s="32"/>
      <c r="V189" s="130"/>
      <c r="W189" s="63"/>
      <c r="X189" s="165"/>
      <c r="Y189" s="63"/>
      <c r="Z189" s="165"/>
      <c r="AA189" s="63"/>
      <c r="AB189" s="165"/>
      <c r="AC189" s="63"/>
      <c r="AD189" s="165"/>
      <c r="AE189" s="63"/>
      <c r="AF189" s="165"/>
      <c r="AG189" s="63"/>
      <c r="AH189" s="165"/>
      <c r="AI189" s="63"/>
      <c r="AJ189" s="165"/>
      <c r="AK189" s="63"/>
      <c r="AL189" s="165"/>
      <c r="AM189" s="63"/>
      <c r="AN189" s="165"/>
      <c r="AO189" s="63"/>
      <c r="AP189" s="165"/>
      <c r="AQ189" s="63"/>
      <c r="AR189" s="165"/>
      <c r="AS189" s="63"/>
      <c r="AT189" s="165"/>
      <c r="AU189" s="63"/>
      <c r="AV189" s="165"/>
    </row>
    <row r="190" spans="1:48" ht="30" x14ac:dyDescent="0.25">
      <c r="A190" s="197" t="str">
        <f>tblSeverityReference[[#This Row],[Admin 2 P-Code]]</f>
        <v>SD18105</v>
      </c>
      <c r="B190" s="127" t="s">
        <v>194</v>
      </c>
      <c r="C190" s="60" t="s">
        <v>135</v>
      </c>
      <c r="D190" s="146" t="s">
        <v>564</v>
      </c>
      <c r="E190" s="60" t="s">
        <v>565</v>
      </c>
      <c r="F190" s="131"/>
      <c r="G190" s="131"/>
      <c r="H190" s="131"/>
      <c r="I190" s="132"/>
      <c r="J190" s="31"/>
      <c r="K190" s="25"/>
      <c r="L190" s="129"/>
      <c r="M190" s="133"/>
      <c r="N190" s="25"/>
      <c r="O190" s="132"/>
      <c r="P190" s="132"/>
      <c r="Q190" s="25"/>
      <c r="R190" s="25"/>
      <c r="S190" s="25"/>
      <c r="T190" s="25"/>
      <c r="U190" s="32"/>
      <c r="V190" s="130"/>
      <c r="W190" s="63"/>
      <c r="X190" s="165"/>
      <c r="Y190" s="63"/>
      <c r="Z190" s="165"/>
      <c r="AA190" s="63"/>
      <c r="AB190" s="165"/>
      <c r="AC190" s="63"/>
      <c r="AD190" s="165"/>
      <c r="AE190" s="63"/>
      <c r="AF190" s="165"/>
      <c r="AG190" s="63"/>
      <c r="AH190" s="165"/>
      <c r="AI190" s="63"/>
      <c r="AJ190" s="165"/>
      <c r="AK190" s="63"/>
      <c r="AL190" s="165"/>
      <c r="AM190" s="63"/>
      <c r="AN190" s="165"/>
      <c r="AO190" s="63"/>
      <c r="AP190" s="165"/>
      <c r="AQ190" s="63"/>
      <c r="AR190" s="165"/>
      <c r="AS190" s="63"/>
      <c r="AT190" s="165"/>
      <c r="AU190" s="63"/>
      <c r="AV190" s="165"/>
    </row>
    <row r="191" spans="1:48" ht="30" x14ac:dyDescent="0.25">
      <c r="A191" s="199" t="str">
        <f>tblSeverityReference[[#This Row],[Admin 2 P-Code]]</f>
        <v>SD18106</v>
      </c>
      <c r="B191" s="127" t="s">
        <v>194</v>
      </c>
      <c r="C191" s="60" t="s">
        <v>135</v>
      </c>
      <c r="D191" s="146" t="s">
        <v>566</v>
      </c>
      <c r="E191" s="60" t="s">
        <v>567</v>
      </c>
      <c r="F191" s="131"/>
      <c r="G191" s="131"/>
      <c r="H191" s="131"/>
      <c r="I191" s="132"/>
      <c r="J191" s="31"/>
      <c r="K191" s="25"/>
      <c r="L191" s="129"/>
      <c r="M191" s="133"/>
      <c r="N191" s="25"/>
      <c r="O191" s="132"/>
      <c r="P191" s="132"/>
      <c r="Q191" s="25"/>
      <c r="R191" s="25"/>
      <c r="S191" s="25"/>
      <c r="T191" s="25"/>
      <c r="U191" s="32"/>
      <c r="V191" s="130"/>
      <c r="W191" s="63"/>
      <c r="X191" s="165"/>
      <c r="Y191" s="63"/>
      <c r="Z191" s="165"/>
      <c r="AA191" s="63"/>
      <c r="AB191" s="165"/>
      <c r="AC191" s="63"/>
      <c r="AD191" s="165"/>
      <c r="AE191" s="63"/>
      <c r="AF191" s="165"/>
      <c r="AG191" s="63"/>
      <c r="AH191" s="165"/>
      <c r="AI191" s="63"/>
      <c r="AJ191" s="165"/>
      <c r="AK191" s="63"/>
      <c r="AL191" s="165"/>
      <c r="AM191" s="63"/>
      <c r="AN191" s="165"/>
      <c r="AO191" s="63"/>
      <c r="AP191" s="165"/>
      <c r="AQ191" s="63"/>
      <c r="AR191" s="165"/>
      <c r="AS191" s="63"/>
      <c r="AT191" s="165"/>
      <c r="AU191" s="63"/>
      <c r="AV191" s="165"/>
    </row>
    <row r="192" spans="1:48" x14ac:dyDescent="0.25">
      <c r="B192" s="16"/>
      <c r="C192" s="19"/>
      <c r="D192" s="16"/>
      <c r="E192" s="19"/>
      <c r="X192" s="62"/>
      <c r="Y192" s="62"/>
      <c r="Z192" s="62"/>
      <c r="AA192" s="62"/>
      <c r="AB192" s="62"/>
      <c r="AC192" s="62"/>
      <c r="AD192" s="62"/>
      <c r="AE192" s="62"/>
      <c r="AF192" s="62"/>
      <c r="AG192" s="62"/>
      <c r="AH192" s="62"/>
      <c r="AI192" s="62"/>
      <c r="AJ192" s="62"/>
      <c r="AK192" s="62"/>
      <c r="AL192" s="62"/>
      <c r="AM192" s="62"/>
      <c r="AN192" s="62"/>
      <c r="AO192" s="62"/>
      <c r="AP192" s="62"/>
      <c r="AQ192" s="62"/>
      <c r="AR192" s="62"/>
      <c r="AS192" s="62"/>
      <c r="AT192" s="62"/>
      <c r="AU192" s="62"/>
      <c r="AV192" s="62"/>
    </row>
    <row r="193" spans="2:48" x14ac:dyDescent="0.25">
      <c r="B193" s="16"/>
      <c r="C193" s="19"/>
      <c r="D193" s="16"/>
      <c r="E193" s="19"/>
      <c r="X193" s="62"/>
      <c r="Y193" s="62"/>
      <c r="Z193" s="62"/>
      <c r="AA193" s="62"/>
      <c r="AB193" s="62"/>
      <c r="AC193" s="62"/>
      <c r="AD193" s="62"/>
      <c r="AE193" s="62"/>
      <c r="AF193" s="62"/>
      <c r="AG193" s="62"/>
      <c r="AH193" s="62"/>
      <c r="AI193" s="62"/>
      <c r="AJ193" s="62"/>
      <c r="AK193" s="62"/>
      <c r="AL193" s="62"/>
      <c r="AM193" s="62"/>
      <c r="AN193" s="62"/>
      <c r="AO193" s="62"/>
      <c r="AP193" s="62"/>
      <c r="AQ193" s="62"/>
      <c r="AR193" s="62"/>
      <c r="AS193" s="62"/>
      <c r="AT193" s="62"/>
      <c r="AU193" s="62"/>
      <c r="AV193" s="62"/>
    </row>
    <row r="194" spans="2:48" x14ac:dyDescent="0.25">
      <c r="B194" s="16"/>
      <c r="C194" s="19"/>
      <c r="D194" s="16"/>
      <c r="E194" s="19"/>
      <c r="X194" s="62"/>
      <c r="Y194" s="62"/>
      <c r="Z194" s="62"/>
      <c r="AA194" s="62"/>
      <c r="AB194" s="62"/>
      <c r="AC194" s="62"/>
      <c r="AD194" s="62"/>
      <c r="AE194" s="62"/>
      <c r="AF194" s="62"/>
      <c r="AG194" s="62"/>
      <c r="AH194" s="62"/>
      <c r="AI194" s="62"/>
      <c r="AJ194" s="62"/>
      <c r="AK194" s="62"/>
      <c r="AL194" s="62"/>
      <c r="AM194" s="62"/>
      <c r="AN194" s="62"/>
      <c r="AO194" s="62"/>
      <c r="AP194" s="62"/>
      <c r="AQ194" s="62"/>
      <c r="AR194" s="62"/>
      <c r="AS194" s="62"/>
      <c r="AT194" s="62"/>
      <c r="AU194" s="62"/>
      <c r="AV194" s="62"/>
    </row>
    <row r="195" spans="2:48" x14ac:dyDescent="0.25">
      <c r="B195" s="16"/>
      <c r="C195" s="19"/>
      <c r="D195" s="16"/>
      <c r="E195" s="19"/>
      <c r="X195" s="62"/>
      <c r="Y195" s="62"/>
      <c r="Z195" s="62"/>
      <c r="AA195" s="62"/>
      <c r="AB195" s="62"/>
      <c r="AC195" s="62"/>
      <c r="AD195" s="62"/>
      <c r="AE195" s="62"/>
      <c r="AF195" s="62"/>
      <c r="AG195" s="62"/>
      <c r="AH195" s="62"/>
      <c r="AI195" s="62"/>
      <c r="AJ195" s="62"/>
      <c r="AK195" s="62"/>
      <c r="AL195" s="62"/>
      <c r="AM195" s="62"/>
      <c r="AN195" s="62"/>
      <c r="AO195" s="62"/>
      <c r="AP195" s="62"/>
      <c r="AQ195" s="62"/>
      <c r="AR195" s="62"/>
      <c r="AS195" s="62"/>
      <c r="AT195" s="62"/>
      <c r="AU195" s="62"/>
      <c r="AV195" s="62"/>
    </row>
    <row r="196" spans="2:48" x14ac:dyDescent="0.25">
      <c r="B196" s="16"/>
      <c r="C196" s="19"/>
      <c r="D196" s="16"/>
      <c r="E196" s="19"/>
      <c r="X196" s="62"/>
      <c r="Y196" s="62"/>
      <c r="Z196" s="62"/>
      <c r="AA196" s="62"/>
      <c r="AB196" s="62"/>
      <c r="AC196" s="62"/>
      <c r="AD196" s="62"/>
      <c r="AE196" s="62"/>
      <c r="AF196" s="62"/>
      <c r="AG196" s="62"/>
      <c r="AH196" s="62"/>
      <c r="AI196" s="62"/>
      <c r="AJ196" s="62"/>
      <c r="AK196" s="62"/>
      <c r="AL196" s="62"/>
      <c r="AM196" s="62"/>
      <c r="AN196" s="62"/>
      <c r="AO196" s="62"/>
      <c r="AP196" s="62"/>
      <c r="AQ196" s="62"/>
      <c r="AR196" s="62"/>
      <c r="AS196" s="62"/>
      <c r="AT196" s="62"/>
      <c r="AU196" s="62"/>
      <c r="AV196" s="62"/>
    </row>
    <row r="197" spans="2:48" x14ac:dyDescent="0.25">
      <c r="B197" s="16"/>
      <c r="C197" s="19"/>
      <c r="D197" s="16"/>
      <c r="E197" s="19"/>
      <c r="X197" s="62"/>
      <c r="Y197" s="62"/>
      <c r="Z197" s="62"/>
      <c r="AA197" s="62"/>
      <c r="AB197" s="62"/>
      <c r="AC197" s="62"/>
      <c r="AD197" s="62"/>
      <c r="AE197" s="62"/>
      <c r="AF197" s="62"/>
      <c r="AG197" s="62"/>
      <c r="AH197" s="62"/>
      <c r="AI197" s="62"/>
      <c r="AJ197" s="62"/>
      <c r="AK197" s="62"/>
      <c r="AL197" s="62"/>
      <c r="AM197" s="62"/>
      <c r="AN197" s="62"/>
      <c r="AO197" s="62"/>
      <c r="AP197" s="62"/>
      <c r="AQ197" s="62"/>
      <c r="AR197" s="62"/>
      <c r="AS197" s="62"/>
      <c r="AT197" s="62"/>
      <c r="AU197" s="62"/>
      <c r="AV197" s="62"/>
    </row>
    <row r="198" spans="2:48" x14ac:dyDescent="0.25">
      <c r="B198" s="16"/>
      <c r="C198" s="19"/>
      <c r="D198" s="16"/>
      <c r="E198" s="19"/>
      <c r="X198" s="62"/>
      <c r="Y198" s="62"/>
      <c r="Z198" s="62"/>
      <c r="AA198" s="62"/>
      <c r="AB198" s="62"/>
      <c r="AC198" s="62"/>
      <c r="AD198" s="62"/>
      <c r="AE198" s="62"/>
      <c r="AF198" s="62"/>
      <c r="AG198" s="62"/>
      <c r="AH198" s="62"/>
      <c r="AI198" s="62"/>
      <c r="AJ198" s="62"/>
      <c r="AK198" s="62"/>
      <c r="AL198" s="62"/>
      <c r="AM198" s="62"/>
      <c r="AN198" s="62"/>
      <c r="AO198" s="62"/>
      <c r="AP198" s="62"/>
      <c r="AQ198" s="62"/>
      <c r="AR198" s="62"/>
      <c r="AS198" s="62"/>
      <c r="AT198" s="62"/>
      <c r="AU198" s="62"/>
      <c r="AV198" s="62"/>
    </row>
    <row r="199" spans="2:48" x14ac:dyDescent="0.25">
      <c r="X199" s="62"/>
      <c r="Y199" s="62"/>
      <c r="Z199" s="62"/>
      <c r="AA199" s="62"/>
      <c r="AB199" s="62"/>
      <c r="AC199" s="62"/>
      <c r="AD199" s="62"/>
      <c r="AE199" s="62"/>
      <c r="AF199" s="62"/>
      <c r="AG199" s="62"/>
      <c r="AH199" s="62"/>
      <c r="AI199" s="62"/>
      <c r="AJ199" s="62"/>
      <c r="AK199" s="62"/>
      <c r="AL199" s="62"/>
      <c r="AM199" s="62"/>
      <c r="AN199" s="62"/>
      <c r="AO199" s="62"/>
      <c r="AP199" s="62"/>
      <c r="AQ199" s="62"/>
      <c r="AR199" s="62"/>
      <c r="AS199" s="62"/>
      <c r="AT199" s="62"/>
      <c r="AU199" s="62"/>
      <c r="AV199" s="62"/>
    </row>
    <row r="200" spans="2:48" x14ac:dyDescent="0.25">
      <c r="X200" s="62"/>
      <c r="Y200" s="62"/>
      <c r="Z200" s="62"/>
      <c r="AA200" s="62"/>
      <c r="AB200" s="62"/>
      <c r="AC200" s="62"/>
      <c r="AD200" s="62"/>
      <c r="AE200" s="62"/>
      <c r="AF200" s="62"/>
      <c r="AG200" s="62"/>
      <c r="AH200" s="62"/>
      <c r="AI200" s="62"/>
      <c r="AJ200" s="62"/>
      <c r="AK200" s="62"/>
      <c r="AL200" s="62"/>
      <c r="AM200" s="62"/>
      <c r="AN200" s="62"/>
      <c r="AO200" s="62"/>
      <c r="AP200" s="62"/>
      <c r="AQ200" s="62"/>
      <c r="AR200" s="62"/>
      <c r="AS200" s="62"/>
      <c r="AT200" s="62"/>
      <c r="AU200" s="62"/>
      <c r="AV200" s="62"/>
    </row>
    <row r="201" spans="2:48" x14ac:dyDescent="0.25">
      <c r="X201" s="62"/>
      <c r="Y201" s="62"/>
      <c r="Z201" s="62"/>
      <c r="AA201" s="62"/>
      <c r="AB201" s="62"/>
      <c r="AC201" s="62"/>
      <c r="AD201" s="62"/>
      <c r="AE201" s="62"/>
      <c r="AF201" s="62"/>
      <c r="AG201" s="62"/>
      <c r="AH201" s="62"/>
      <c r="AI201" s="62"/>
      <c r="AJ201" s="62"/>
      <c r="AK201" s="62"/>
      <c r="AL201" s="62"/>
      <c r="AM201" s="62"/>
      <c r="AN201" s="62"/>
      <c r="AO201" s="62"/>
      <c r="AP201" s="62"/>
      <c r="AQ201" s="62"/>
      <c r="AR201" s="62"/>
      <c r="AS201" s="62"/>
      <c r="AT201" s="62"/>
      <c r="AU201" s="62"/>
      <c r="AV201" s="62"/>
    </row>
    <row r="202" spans="2:48" x14ac:dyDescent="0.25">
      <c r="X202" s="62"/>
      <c r="Y202" s="62"/>
      <c r="Z202" s="62"/>
      <c r="AA202" s="62"/>
      <c r="AB202" s="62"/>
      <c r="AC202" s="62"/>
      <c r="AD202" s="62"/>
      <c r="AE202" s="62"/>
      <c r="AF202" s="62"/>
      <c r="AG202" s="62"/>
      <c r="AH202" s="62"/>
      <c r="AI202" s="62"/>
      <c r="AJ202" s="62"/>
      <c r="AK202" s="62"/>
      <c r="AL202" s="62"/>
      <c r="AM202" s="62"/>
      <c r="AN202" s="62"/>
      <c r="AO202" s="62"/>
      <c r="AP202" s="62"/>
      <c r="AQ202" s="62"/>
      <c r="AR202" s="62"/>
      <c r="AS202" s="62"/>
      <c r="AT202" s="62"/>
      <c r="AU202" s="62"/>
      <c r="AV202" s="62"/>
    </row>
    <row r="203" spans="2:48" x14ac:dyDescent="0.25">
      <c r="X203" s="62"/>
      <c r="Y203" s="62"/>
      <c r="Z203" s="62"/>
      <c r="AA203" s="62"/>
      <c r="AB203" s="62"/>
      <c r="AC203" s="62"/>
      <c r="AD203" s="62"/>
      <c r="AE203" s="62"/>
      <c r="AF203" s="62"/>
      <c r="AG203" s="62"/>
      <c r="AH203" s="62"/>
      <c r="AI203" s="62"/>
      <c r="AJ203" s="62"/>
      <c r="AK203" s="62"/>
      <c r="AL203" s="62"/>
      <c r="AM203" s="62"/>
      <c r="AN203" s="62"/>
      <c r="AO203" s="62"/>
      <c r="AP203" s="62"/>
      <c r="AQ203" s="62"/>
      <c r="AR203" s="62"/>
      <c r="AS203" s="62"/>
      <c r="AT203" s="62"/>
      <c r="AU203" s="62"/>
      <c r="AV203" s="62"/>
    </row>
    <row r="204" spans="2:48" x14ac:dyDescent="0.25">
      <c r="X204" s="62"/>
      <c r="Y204" s="62"/>
      <c r="Z204" s="62"/>
      <c r="AA204" s="62"/>
      <c r="AB204" s="62"/>
      <c r="AC204" s="62"/>
      <c r="AD204" s="62"/>
      <c r="AE204" s="62"/>
      <c r="AF204" s="62"/>
      <c r="AG204" s="62"/>
      <c r="AH204" s="62"/>
      <c r="AI204" s="62"/>
      <c r="AJ204" s="62"/>
      <c r="AK204" s="62"/>
      <c r="AL204" s="62"/>
      <c r="AM204" s="62"/>
      <c r="AN204" s="62"/>
      <c r="AO204" s="62"/>
      <c r="AP204" s="62"/>
      <c r="AQ204" s="62"/>
      <c r="AR204" s="62"/>
      <c r="AS204" s="62"/>
      <c r="AT204" s="62"/>
      <c r="AU204" s="62"/>
      <c r="AV204" s="62"/>
    </row>
    <row r="205" spans="2:48" x14ac:dyDescent="0.25">
      <c r="X205" s="62"/>
      <c r="Y205" s="62"/>
      <c r="Z205" s="62"/>
      <c r="AA205" s="62"/>
      <c r="AB205" s="62"/>
      <c r="AC205" s="62"/>
      <c r="AD205" s="62"/>
      <c r="AE205" s="62"/>
      <c r="AF205" s="62"/>
      <c r="AG205" s="62"/>
      <c r="AH205" s="62"/>
      <c r="AI205" s="62"/>
      <c r="AJ205" s="62"/>
      <c r="AK205" s="62"/>
      <c r="AL205" s="62"/>
      <c r="AM205" s="62"/>
      <c r="AN205" s="62"/>
      <c r="AO205" s="62"/>
      <c r="AP205" s="62"/>
      <c r="AQ205" s="62"/>
      <c r="AR205" s="62"/>
      <c r="AS205" s="62"/>
      <c r="AT205" s="62"/>
      <c r="AU205" s="62"/>
      <c r="AV205" s="62"/>
    </row>
    <row r="206" spans="2:48" x14ac:dyDescent="0.25">
      <c r="X206" s="62"/>
      <c r="Y206" s="62"/>
      <c r="Z206" s="62"/>
      <c r="AA206" s="62"/>
      <c r="AB206" s="62"/>
      <c r="AC206" s="62"/>
      <c r="AD206" s="62"/>
      <c r="AE206" s="62"/>
      <c r="AF206" s="62"/>
      <c r="AG206" s="62"/>
      <c r="AH206" s="62"/>
      <c r="AI206" s="62"/>
      <c r="AJ206" s="62"/>
      <c r="AK206" s="62"/>
      <c r="AL206" s="62"/>
      <c r="AM206" s="62"/>
      <c r="AN206" s="62"/>
      <c r="AO206" s="62"/>
      <c r="AP206" s="62"/>
      <c r="AQ206" s="62"/>
      <c r="AR206" s="62"/>
      <c r="AS206" s="62"/>
      <c r="AT206" s="62"/>
      <c r="AU206" s="62"/>
      <c r="AV206" s="62"/>
    </row>
    <row r="207" spans="2:48" x14ac:dyDescent="0.25">
      <c r="X207" s="62"/>
      <c r="Y207" s="62"/>
      <c r="Z207" s="62"/>
      <c r="AA207" s="62"/>
      <c r="AB207" s="62"/>
      <c r="AC207" s="62"/>
      <c r="AD207" s="62"/>
      <c r="AE207" s="62"/>
      <c r="AF207" s="62"/>
      <c r="AG207" s="62"/>
      <c r="AH207" s="62"/>
      <c r="AI207" s="62"/>
      <c r="AJ207" s="62"/>
      <c r="AK207" s="62"/>
      <c r="AL207" s="62"/>
      <c r="AM207" s="62"/>
      <c r="AN207" s="62"/>
      <c r="AO207" s="62"/>
      <c r="AP207" s="62"/>
      <c r="AQ207" s="62"/>
      <c r="AR207" s="62"/>
      <c r="AS207" s="62"/>
      <c r="AT207" s="62"/>
      <c r="AU207" s="62"/>
      <c r="AV207" s="62"/>
    </row>
    <row r="208" spans="2:48" x14ac:dyDescent="0.25">
      <c r="X208" s="62"/>
      <c r="Y208" s="62"/>
      <c r="Z208" s="62"/>
      <c r="AA208" s="62"/>
      <c r="AB208" s="62"/>
      <c r="AC208" s="62"/>
      <c r="AD208" s="62"/>
      <c r="AE208" s="62"/>
      <c r="AF208" s="62"/>
      <c r="AG208" s="62"/>
      <c r="AH208" s="62"/>
      <c r="AI208" s="62"/>
      <c r="AJ208" s="62"/>
      <c r="AK208" s="62"/>
      <c r="AL208" s="62"/>
      <c r="AM208" s="62"/>
      <c r="AN208" s="62"/>
      <c r="AO208" s="62"/>
      <c r="AP208" s="62"/>
      <c r="AQ208" s="62"/>
      <c r="AR208" s="62"/>
      <c r="AS208" s="62"/>
      <c r="AT208" s="62"/>
      <c r="AU208" s="62"/>
      <c r="AV208" s="62"/>
    </row>
    <row r="209" spans="24:48" x14ac:dyDescent="0.25">
      <c r="X209" s="62"/>
      <c r="Y209" s="62"/>
      <c r="Z209" s="62"/>
      <c r="AA209" s="62"/>
      <c r="AB209" s="62"/>
      <c r="AC209" s="62"/>
      <c r="AD209" s="62"/>
      <c r="AE209" s="62"/>
      <c r="AF209" s="62"/>
      <c r="AG209" s="62"/>
      <c r="AH209" s="62"/>
      <c r="AI209" s="62"/>
      <c r="AJ209" s="62"/>
      <c r="AK209" s="62"/>
      <c r="AL209" s="62"/>
      <c r="AM209" s="62"/>
      <c r="AN209" s="62"/>
      <c r="AO209" s="62"/>
      <c r="AP209" s="62"/>
      <c r="AQ209" s="62"/>
      <c r="AR209" s="62"/>
      <c r="AS209" s="62"/>
      <c r="AT209" s="62"/>
      <c r="AU209" s="62"/>
      <c r="AV209" s="62"/>
    </row>
    <row r="210" spans="24:48" x14ac:dyDescent="0.25">
      <c r="X210" s="62"/>
      <c r="Y210" s="62"/>
      <c r="Z210" s="62"/>
      <c r="AA210" s="62"/>
      <c r="AB210" s="62"/>
      <c r="AC210" s="62"/>
      <c r="AD210" s="62"/>
      <c r="AE210" s="62"/>
      <c r="AF210" s="62"/>
      <c r="AG210" s="62"/>
      <c r="AH210" s="62"/>
      <c r="AI210" s="62"/>
      <c r="AJ210" s="62"/>
      <c r="AK210" s="62"/>
      <c r="AL210" s="62"/>
      <c r="AM210" s="62"/>
      <c r="AN210" s="62"/>
      <c r="AO210" s="62"/>
      <c r="AP210" s="62"/>
      <c r="AQ210" s="62"/>
      <c r="AR210" s="62"/>
      <c r="AS210" s="62"/>
      <c r="AT210" s="62"/>
      <c r="AU210" s="62"/>
      <c r="AV210" s="62"/>
    </row>
    <row r="211" spans="24:48" x14ac:dyDescent="0.25">
      <c r="X211" s="62"/>
      <c r="Y211" s="62"/>
      <c r="Z211" s="62"/>
      <c r="AA211" s="62"/>
      <c r="AB211" s="62"/>
      <c r="AC211" s="62"/>
      <c r="AD211" s="62"/>
      <c r="AE211" s="62"/>
      <c r="AF211" s="62"/>
      <c r="AG211" s="62"/>
      <c r="AH211" s="62"/>
      <c r="AI211" s="62"/>
      <c r="AJ211" s="62"/>
      <c r="AK211" s="62"/>
      <c r="AL211" s="62"/>
      <c r="AM211" s="62"/>
      <c r="AN211" s="62"/>
      <c r="AO211" s="62"/>
      <c r="AP211" s="62"/>
      <c r="AQ211" s="62"/>
      <c r="AR211" s="62"/>
      <c r="AS211" s="62"/>
      <c r="AT211" s="62"/>
      <c r="AU211" s="62"/>
      <c r="AV211" s="62"/>
    </row>
    <row r="212" spans="24:48" x14ac:dyDescent="0.25">
      <c r="X212" s="62"/>
      <c r="Y212" s="62"/>
      <c r="Z212" s="62"/>
      <c r="AA212" s="62"/>
      <c r="AB212" s="62"/>
      <c r="AC212" s="62"/>
      <c r="AD212" s="62"/>
      <c r="AE212" s="62"/>
      <c r="AF212" s="62"/>
      <c r="AG212" s="62"/>
      <c r="AH212" s="62"/>
      <c r="AI212" s="62"/>
      <c r="AJ212" s="62"/>
      <c r="AK212" s="62"/>
      <c r="AL212" s="62"/>
      <c r="AM212" s="62"/>
      <c r="AN212" s="62"/>
      <c r="AO212" s="62"/>
      <c r="AP212" s="62"/>
      <c r="AQ212" s="62"/>
      <c r="AR212" s="62"/>
      <c r="AS212" s="62"/>
      <c r="AT212" s="62"/>
      <c r="AU212" s="62"/>
      <c r="AV212" s="62"/>
    </row>
    <row r="213" spans="24:48" x14ac:dyDescent="0.25">
      <c r="X213" s="62"/>
      <c r="Y213" s="62"/>
      <c r="Z213" s="62"/>
      <c r="AA213" s="62"/>
      <c r="AB213" s="62"/>
      <c r="AC213" s="62"/>
      <c r="AD213" s="62"/>
      <c r="AE213" s="62"/>
      <c r="AF213" s="62"/>
      <c r="AG213" s="62"/>
      <c r="AH213" s="62"/>
      <c r="AI213" s="62"/>
      <c r="AJ213" s="62"/>
      <c r="AK213" s="62"/>
      <c r="AL213" s="62"/>
      <c r="AM213" s="62"/>
      <c r="AN213" s="62"/>
      <c r="AO213" s="62"/>
      <c r="AP213" s="62"/>
      <c r="AQ213" s="62"/>
      <c r="AR213" s="62"/>
      <c r="AS213" s="62"/>
      <c r="AT213" s="62"/>
      <c r="AU213" s="62"/>
      <c r="AV213" s="62"/>
    </row>
    <row r="214" spans="24:48" x14ac:dyDescent="0.25">
      <c r="X214" s="62"/>
      <c r="Y214" s="62"/>
      <c r="Z214" s="62"/>
      <c r="AA214" s="62"/>
      <c r="AB214" s="62"/>
      <c r="AC214" s="62"/>
      <c r="AD214" s="62"/>
      <c r="AE214" s="62"/>
      <c r="AF214" s="62"/>
      <c r="AG214" s="62"/>
      <c r="AH214" s="62"/>
      <c r="AI214" s="62"/>
      <c r="AJ214" s="62"/>
      <c r="AK214" s="62"/>
      <c r="AL214" s="62"/>
      <c r="AM214" s="62"/>
      <c r="AN214" s="62"/>
      <c r="AO214" s="62"/>
      <c r="AP214" s="62"/>
      <c r="AQ214" s="62"/>
      <c r="AR214" s="62"/>
      <c r="AS214" s="62"/>
      <c r="AT214" s="62"/>
      <c r="AU214" s="62"/>
      <c r="AV214" s="62"/>
    </row>
    <row r="215" spans="24:48" x14ac:dyDescent="0.25">
      <c r="X215" s="62"/>
      <c r="Y215" s="62"/>
      <c r="Z215" s="62"/>
      <c r="AA215" s="62"/>
      <c r="AB215" s="62"/>
      <c r="AC215" s="62"/>
      <c r="AD215" s="62"/>
      <c r="AE215" s="62"/>
      <c r="AF215" s="62"/>
      <c r="AG215" s="62"/>
      <c r="AH215" s="62"/>
      <c r="AI215" s="62"/>
      <c r="AJ215" s="62"/>
      <c r="AK215" s="62"/>
      <c r="AL215" s="62"/>
      <c r="AM215" s="62"/>
      <c r="AN215" s="62"/>
      <c r="AO215" s="62"/>
      <c r="AP215" s="62"/>
      <c r="AQ215" s="62"/>
      <c r="AR215" s="62"/>
      <c r="AS215" s="62"/>
      <c r="AT215" s="62"/>
      <c r="AU215" s="62"/>
      <c r="AV215" s="62"/>
    </row>
    <row r="216" spans="24:48" x14ac:dyDescent="0.25">
      <c r="X216" s="62"/>
      <c r="Y216" s="62"/>
      <c r="Z216" s="62"/>
      <c r="AA216" s="62"/>
      <c r="AB216" s="62"/>
      <c r="AC216" s="62"/>
      <c r="AD216" s="62"/>
      <c r="AE216" s="62"/>
      <c r="AF216" s="62"/>
      <c r="AG216" s="62"/>
      <c r="AH216" s="62"/>
      <c r="AI216" s="62"/>
      <c r="AJ216" s="62"/>
      <c r="AK216" s="62"/>
      <c r="AL216" s="62"/>
      <c r="AM216" s="62"/>
      <c r="AN216" s="62"/>
      <c r="AO216" s="62"/>
      <c r="AP216" s="62"/>
      <c r="AQ216" s="62"/>
      <c r="AR216" s="62"/>
      <c r="AS216" s="62"/>
      <c r="AT216" s="62"/>
      <c r="AU216" s="62"/>
      <c r="AV216" s="62"/>
    </row>
    <row r="217" spans="24:48" x14ac:dyDescent="0.25">
      <c r="X217" s="62"/>
      <c r="Y217" s="62"/>
      <c r="Z217" s="62"/>
      <c r="AA217" s="62"/>
      <c r="AB217" s="62"/>
      <c r="AC217" s="62"/>
      <c r="AD217" s="62"/>
      <c r="AE217" s="62"/>
      <c r="AF217" s="62"/>
      <c r="AG217" s="62"/>
      <c r="AH217" s="62"/>
      <c r="AI217" s="62"/>
      <c r="AJ217" s="62"/>
      <c r="AK217" s="62"/>
      <c r="AL217" s="62"/>
      <c r="AM217" s="62"/>
      <c r="AN217" s="62"/>
      <c r="AO217" s="62"/>
      <c r="AP217" s="62"/>
      <c r="AQ217" s="62"/>
      <c r="AR217" s="62"/>
      <c r="AS217" s="62"/>
      <c r="AT217" s="62"/>
      <c r="AU217" s="62"/>
      <c r="AV217" s="62"/>
    </row>
    <row r="218" spans="24:48" x14ac:dyDescent="0.25">
      <c r="X218" s="62"/>
      <c r="Y218" s="62"/>
      <c r="Z218" s="62"/>
      <c r="AA218" s="62"/>
      <c r="AB218" s="62"/>
      <c r="AC218" s="62"/>
      <c r="AD218" s="62"/>
      <c r="AE218" s="62"/>
      <c r="AF218" s="62"/>
      <c r="AG218" s="62"/>
      <c r="AH218" s="62"/>
      <c r="AI218" s="62"/>
      <c r="AJ218" s="62"/>
      <c r="AK218" s="62"/>
      <c r="AL218" s="62"/>
      <c r="AM218" s="62"/>
      <c r="AN218" s="62"/>
      <c r="AO218" s="62"/>
      <c r="AP218" s="62"/>
      <c r="AQ218" s="62"/>
      <c r="AR218" s="62"/>
      <c r="AS218" s="62"/>
      <c r="AT218" s="62"/>
      <c r="AU218" s="62"/>
      <c r="AV218" s="62"/>
    </row>
    <row r="219" spans="24:48" x14ac:dyDescent="0.25">
      <c r="X219" s="62"/>
      <c r="Y219" s="62"/>
      <c r="Z219" s="62"/>
      <c r="AA219" s="62"/>
      <c r="AB219" s="62"/>
      <c r="AC219" s="62"/>
      <c r="AD219" s="62"/>
      <c r="AE219" s="62"/>
      <c r="AF219" s="62"/>
      <c r="AG219" s="62"/>
      <c r="AH219" s="62"/>
      <c r="AI219" s="62"/>
      <c r="AJ219" s="62"/>
      <c r="AK219" s="62"/>
      <c r="AL219" s="62"/>
      <c r="AM219" s="62"/>
      <c r="AN219" s="62"/>
      <c r="AO219" s="62"/>
      <c r="AP219" s="62"/>
      <c r="AQ219" s="62"/>
      <c r="AR219" s="62"/>
      <c r="AS219" s="62"/>
      <c r="AT219" s="62"/>
      <c r="AU219" s="62"/>
      <c r="AV219" s="62"/>
    </row>
    <row r="220" spans="24:48" x14ac:dyDescent="0.25">
      <c r="X220" s="62"/>
      <c r="Y220" s="62"/>
      <c r="Z220" s="62"/>
      <c r="AA220" s="62"/>
      <c r="AB220" s="62"/>
      <c r="AC220" s="62"/>
      <c r="AD220" s="62"/>
      <c r="AE220" s="62"/>
      <c r="AF220" s="62"/>
      <c r="AG220" s="62"/>
      <c r="AH220" s="62"/>
      <c r="AI220" s="62"/>
      <c r="AJ220" s="62"/>
      <c r="AK220" s="62"/>
      <c r="AL220" s="62"/>
      <c r="AM220" s="62"/>
      <c r="AN220" s="62"/>
      <c r="AO220" s="62"/>
      <c r="AP220" s="62"/>
      <c r="AQ220" s="62"/>
      <c r="AR220" s="62"/>
      <c r="AS220" s="62"/>
      <c r="AT220" s="62"/>
      <c r="AU220" s="62"/>
      <c r="AV220" s="62"/>
    </row>
    <row r="221" spans="24:48" x14ac:dyDescent="0.25">
      <c r="X221" s="62"/>
      <c r="Y221" s="62"/>
      <c r="Z221" s="62"/>
      <c r="AA221" s="62"/>
      <c r="AB221" s="62"/>
      <c r="AC221" s="62"/>
      <c r="AD221" s="62"/>
      <c r="AE221" s="62"/>
      <c r="AF221" s="62"/>
      <c r="AG221" s="62"/>
      <c r="AH221" s="62"/>
      <c r="AI221" s="62"/>
      <c r="AJ221" s="62"/>
      <c r="AK221" s="62"/>
      <c r="AL221" s="62"/>
      <c r="AM221" s="62"/>
      <c r="AN221" s="62"/>
      <c r="AO221" s="62"/>
      <c r="AP221" s="62"/>
      <c r="AQ221" s="62"/>
      <c r="AR221" s="62"/>
      <c r="AS221" s="62"/>
      <c r="AT221" s="62"/>
      <c r="AU221" s="62"/>
      <c r="AV221" s="62"/>
    </row>
    <row r="222" spans="24:48" x14ac:dyDescent="0.25">
      <c r="X222" s="62"/>
      <c r="Y222" s="62"/>
      <c r="Z222" s="62"/>
      <c r="AA222" s="62"/>
      <c r="AB222" s="62"/>
      <c r="AC222" s="62"/>
      <c r="AD222" s="62"/>
      <c r="AE222" s="62"/>
      <c r="AF222" s="62"/>
      <c r="AG222" s="62"/>
      <c r="AH222" s="62"/>
      <c r="AI222" s="62"/>
      <c r="AJ222" s="62"/>
      <c r="AK222" s="62"/>
      <c r="AL222" s="62"/>
      <c r="AM222" s="62"/>
      <c r="AN222" s="62"/>
      <c r="AO222" s="62"/>
      <c r="AP222" s="62"/>
      <c r="AQ222" s="62"/>
      <c r="AR222" s="62"/>
      <c r="AS222" s="62"/>
      <c r="AT222" s="62"/>
      <c r="AU222" s="62"/>
      <c r="AV222" s="62"/>
    </row>
    <row r="223" spans="24:48" x14ac:dyDescent="0.25">
      <c r="X223" s="62"/>
      <c r="Y223" s="62"/>
      <c r="Z223" s="62"/>
      <c r="AA223" s="62"/>
      <c r="AB223" s="62"/>
      <c r="AC223" s="62"/>
      <c r="AD223" s="62"/>
      <c r="AE223" s="62"/>
      <c r="AF223" s="62"/>
      <c r="AG223" s="62"/>
      <c r="AH223" s="62"/>
      <c r="AI223" s="62"/>
      <c r="AJ223" s="62"/>
      <c r="AK223" s="62"/>
      <c r="AL223" s="62"/>
      <c r="AM223" s="62"/>
      <c r="AN223" s="62"/>
      <c r="AO223" s="62"/>
      <c r="AP223" s="62"/>
      <c r="AQ223" s="62"/>
      <c r="AR223" s="62"/>
      <c r="AS223" s="62"/>
      <c r="AT223" s="62"/>
      <c r="AU223" s="62"/>
      <c r="AV223" s="62"/>
    </row>
    <row r="224" spans="24:48" x14ac:dyDescent="0.25">
      <c r="X224" s="62"/>
      <c r="Y224" s="62"/>
      <c r="Z224" s="62"/>
      <c r="AA224" s="62"/>
      <c r="AB224" s="62"/>
      <c r="AC224" s="62"/>
      <c r="AD224" s="62"/>
      <c r="AE224" s="62"/>
      <c r="AF224" s="62"/>
      <c r="AG224" s="62"/>
      <c r="AH224" s="62"/>
      <c r="AI224" s="62"/>
      <c r="AJ224" s="62"/>
      <c r="AK224" s="62"/>
      <c r="AL224" s="62"/>
      <c r="AM224" s="62"/>
      <c r="AN224" s="62"/>
      <c r="AO224" s="62"/>
      <c r="AP224" s="62"/>
      <c r="AQ224" s="62"/>
      <c r="AR224" s="62"/>
      <c r="AS224" s="62"/>
      <c r="AT224" s="62"/>
      <c r="AU224" s="62"/>
      <c r="AV224" s="62"/>
    </row>
    <row r="225" spans="24:48" x14ac:dyDescent="0.25">
      <c r="X225" s="62"/>
      <c r="Y225" s="62"/>
      <c r="Z225" s="62"/>
      <c r="AA225" s="62"/>
      <c r="AB225" s="62"/>
      <c r="AC225" s="62"/>
      <c r="AD225" s="62"/>
      <c r="AE225" s="62"/>
      <c r="AF225" s="62"/>
      <c r="AG225" s="62"/>
      <c r="AH225" s="62"/>
      <c r="AI225" s="62"/>
      <c r="AJ225" s="62"/>
      <c r="AK225" s="62"/>
      <c r="AL225" s="62"/>
      <c r="AM225" s="62"/>
      <c r="AN225" s="62"/>
      <c r="AO225" s="62"/>
      <c r="AP225" s="62"/>
      <c r="AQ225" s="62"/>
      <c r="AR225" s="62"/>
      <c r="AS225" s="62"/>
      <c r="AT225" s="62"/>
      <c r="AU225" s="62"/>
      <c r="AV225" s="62"/>
    </row>
    <row r="226" spans="24:48" x14ac:dyDescent="0.25">
      <c r="X226" s="62"/>
      <c r="Y226" s="62"/>
      <c r="Z226" s="62"/>
      <c r="AA226" s="62"/>
      <c r="AB226" s="62"/>
      <c r="AC226" s="62"/>
      <c r="AD226" s="62"/>
      <c r="AE226" s="62"/>
      <c r="AF226" s="62"/>
      <c r="AG226" s="62"/>
      <c r="AH226" s="62"/>
      <c r="AI226" s="62"/>
      <c r="AJ226" s="62"/>
      <c r="AK226" s="62"/>
      <c r="AL226" s="62"/>
      <c r="AM226" s="62"/>
      <c r="AN226" s="62"/>
      <c r="AO226" s="62"/>
      <c r="AP226" s="62"/>
      <c r="AQ226" s="62"/>
      <c r="AR226" s="62"/>
      <c r="AS226" s="62"/>
      <c r="AT226" s="62"/>
      <c r="AU226" s="62"/>
      <c r="AV226" s="62"/>
    </row>
    <row r="227" spans="24:48" x14ac:dyDescent="0.25">
      <c r="X227" s="62"/>
      <c r="Y227" s="62"/>
      <c r="Z227" s="62"/>
      <c r="AA227" s="62"/>
      <c r="AB227" s="62"/>
      <c r="AC227" s="62"/>
      <c r="AD227" s="62"/>
      <c r="AE227" s="62"/>
      <c r="AF227" s="62"/>
      <c r="AG227" s="62"/>
      <c r="AH227" s="62"/>
      <c r="AI227" s="62"/>
      <c r="AJ227" s="62"/>
      <c r="AK227" s="62"/>
      <c r="AL227" s="62"/>
      <c r="AM227" s="62"/>
      <c r="AN227" s="62"/>
      <c r="AO227" s="62"/>
      <c r="AP227" s="62"/>
      <c r="AQ227" s="62"/>
      <c r="AR227" s="62"/>
      <c r="AS227" s="62"/>
      <c r="AT227" s="62"/>
      <c r="AU227" s="62"/>
      <c r="AV227" s="62"/>
    </row>
    <row r="228" spans="24:48" x14ac:dyDescent="0.25">
      <c r="X228" s="62"/>
      <c r="Y228" s="62"/>
      <c r="Z228" s="62"/>
      <c r="AA228" s="62"/>
      <c r="AB228" s="62"/>
      <c r="AC228" s="62"/>
      <c r="AD228" s="62"/>
      <c r="AE228" s="62"/>
      <c r="AF228" s="62"/>
      <c r="AG228" s="62"/>
      <c r="AH228" s="62"/>
      <c r="AI228" s="62"/>
      <c r="AJ228" s="62"/>
      <c r="AK228" s="62"/>
      <c r="AL228" s="62"/>
      <c r="AM228" s="62"/>
      <c r="AN228" s="62"/>
      <c r="AO228" s="62"/>
      <c r="AP228" s="62"/>
      <c r="AQ228" s="62"/>
      <c r="AR228" s="62"/>
      <c r="AS228" s="62"/>
      <c r="AT228" s="62"/>
      <c r="AU228" s="62"/>
      <c r="AV228" s="62"/>
    </row>
    <row r="229" spans="24:48" x14ac:dyDescent="0.25">
      <c r="X229" s="62"/>
      <c r="Y229" s="62"/>
      <c r="Z229" s="62"/>
      <c r="AA229" s="62"/>
      <c r="AB229" s="62"/>
      <c r="AC229" s="62"/>
      <c r="AD229" s="62"/>
      <c r="AE229" s="62"/>
      <c r="AF229" s="62"/>
      <c r="AG229" s="62"/>
      <c r="AH229" s="62"/>
      <c r="AI229" s="62"/>
      <c r="AJ229" s="62"/>
      <c r="AK229" s="62"/>
      <c r="AL229" s="62"/>
      <c r="AM229" s="62"/>
      <c r="AN229" s="62"/>
      <c r="AO229" s="62"/>
      <c r="AP229" s="62"/>
      <c r="AQ229" s="62"/>
      <c r="AR229" s="62"/>
      <c r="AS229" s="62"/>
      <c r="AT229" s="62"/>
      <c r="AU229" s="62"/>
      <c r="AV229" s="62"/>
    </row>
    <row r="230" spans="24:48" x14ac:dyDescent="0.25">
      <c r="X230" s="62"/>
      <c r="Y230" s="62"/>
      <c r="Z230" s="62"/>
      <c r="AA230" s="62"/>
      <c r="AB230" s="62"/>
      <c r="AC230" s="62"/>
      <c r="AD230" s="62"/>
      <c r="AE230" s="62"/>
      <c r="AF230" s="62"/>
      <c r="AG230" s="62"/>
      <c r="AH230" s="62"/>
      <c r="AI230" s="62"/>
      <c r="AJ230" s="62"/>
      <c r="AK230" s="62"/>
      <c r="AL230" s="62"/>
      <c r="AM230" s="62"/>
      <c r="AN230" s="62"/>
      <c r="AO230" s="62"/>
      <c r="AP230" s="62"/>
      <c r="AQ230" s="62"/>
      <c r="AR230" s="62"/>
      <c r="AS230" s="62"/>
      <c r="AT230" s="62"/>
      <c r="AU230" s="62"/>
      <c r="AV230" s="62"/>
    </row>
    <row r="231" spans="24:48" x14ac:dyDescent="0.25">
      <c r="X231" s="62"/>
      <c r="Y231" s="62"/>
      <c r="Z231" s="62"/>
      <c r="AA231" s="62"/>
      <c r="AB231" s="62"/>
      <c r="AC231" s="62"/>
      <c r="AD231" s="62"/>
      <c r="AE231" s="62"/>
      <c r="AF231" s="62"/>
      <c r="AG231" s="62"/>
      <c r="AH231" s="62"/>
      <c r="AI231" s="62"/>
      <c r="AJ231" s="62"/>
      <c r="AK231" s="62"/>
      <c r="AL231" s="62"/>
      <c r="AM231" s="62"/>
      <c r="AN231" s="62"/>
      <c r="AO231" s="62"/>
      <c r="AP231" s="62"/>
      <c r="AQ231" s="62"/>
      <c r="AR231" s="62"/>
      <c r="AS231" s="62"/>
      <c r="AT231" s="62"/>
      <c r="AU231" s="62"/>
      <c r="AV231" s="62"/>
    </row>
    <row r="232" spans="24:48" x14ac:dyDescent="0.25">
      <c r="X232" s="62"/>
      <c r="Y232" s="62"/>
      <c r="Z232" s="62"/>
      <c r="AA232" s="62"/>
      <c r="AB232" s="62"/>
      <c r="AC232" s="62"/>
      <c r="AD232" s="62"/>
      <c r="AE232" s="62"/>
      <c r="AF232" s="62"/>
      <c r="AG232" s="62"/>
      <c r="AH232" s="62"/>
      <c r="AI232" s="62"/>
      <c r="AJ232" s="62"/>
      <c r="AK232" s="62"/>
      <c r="AL232" s="62"/>
      <c r="AM232" s="62"/>
      <c r="AN232" s="62"/>
      <c r="AO232" s="62"/>
      <c r="AP232" s="62"/>
      <c r="AQ232" s="62"/>
      <c r="AR232" s="62"/>
      <c r="AS232" s="62"/>
      <c r="AT232" s="62"/>
      <c r="AU232" s="62"/>
      <c r="AV232" s="62"/>
    </row>
    <row r="233" spans="24:48" x14ac:dyDescent="0.25">
      <c r="X233" s="62"/>
      <c r="Y233" s="62"/>
      <c r="Z233" s="62"/>
      <c r="AA233" s="62"/>
      <c r="AB233" s="62"/>
      <c r="AC233" s="62"/>
      <c r="AD233" s="62"/>
      <c r="AE233" s="62"/>
      <c r="AF233" s="62"/>
      <c r="AG233" s="62"/>
      <c r="AH233" s="62"/>
      <c r="AI233" s="62"/>
      <c r="AJ233" s="62"/>
      <c r="AK233" s="62"/>
      <c r="AL233" s="62"/>
      <c r="AM233" s="62"/>
      <c r="AN233" s="62"/>
      <c r="AO233" s="62"/>
      <c r="AP233" s="62"/>
      <c r="AQ233" s="62"/>
      <c r="AR233" s="62"/>
      <c r="AS233" s="62"/>
      <c r="AT233" s="62"/>
      <c r="AU233" s="62"/>
      <c r="AV233" s="62"/>
    </row>
    <row r="234" spans="24:48" x14ac:dyDescent="0.25">
      <c r="X234" s="62"/>
      <c r="Y234" s="62"/>
      <c r="Z234" s="62"/>
      <c r="AA234" s="62"/>
      <c r="AB234" s="62"/>
      <c r="AC234" s="62"/>
      <c r="AD234" s="62"/>
      <c r="AE234" s="62"/>
      <c r="AF234" s="62"/>
      <c r="AG234" s="62"/>
      <c r="AH234" s="62"/>
      <c r="AI234" s="62"/>
      <c r="AJ234" s="62"/>
      <c r="AK234" s="62"/>
      <c r="AL234" s="62"/>
      <c r="AM234" s="62"/>
      <c r="AN234" s="62"/>
      <c r="AO234" s="62"/>
      <c r="AP234" s="62"/>
      <c r="AQ234" s="62"/>
      <c r="AR234" s="62"/>
      <c r="AS234" s="62"/>
      <c r="AT234" s="62"/>
      <c r="AU234" s="62"/>
      <c r="AV234" s="62"/>
    </row>
    <row r="235" spans="24:48" x14ac:dyDescent="0.25">
      <c r="X235" s="62"/>
      <c r="Y235" s="62"/>
      <c r="Z235" s="62"/>
      <c r="AA235" s="62"/>
      <c r="AB235" s="62"/>
      <c r="AC235" s="62"/>
      <c r="AD235" s="62"/>
      <c r="AE235" s="62"/>
      <c r="AF235" s="62"/>
      <c r="AG235" s="62"/>
      <c r="AH235" s="62"/>
      <c r="AI235" s="62"/>
      <c r="AJ235" s="62"/>
      <c r="AK235" s="62"/>
      <c r="AL235" s="62"/>
      <c r="AM235" s="62"/>
      <c r="AN235" s="62"/>
      <c r="AO235" s="62"/>
      <c r="AP235" s="62"/>
      <c r="AQ235" s="62"/>
      <c r="AR235" s="62"/>
      <c r="AS235" s="62"/>
      <c r="AT235" s="62"/>
      <c r="AU235" s="62"/>
      <c r="AV235" s="62"/>
    </row>
    <row r="236" spans="24:48" x14ac:dyDescent="0.25">
      <c r="X236" s="62"/>
      <c r="Y236" s="62"/>
      <c r="Z236" s="62"/>
      <c r="AA236" s="62"/>
      <c r="AB236" s="62"/>
      <c r="AC236" s="62"/>
      <c r="AD236" s="62"/>
      <c r="AE236" s="62"/>
      <c r="AF236" s="62"/>
      <c r="AG236" s="62"/>
      <c r="AH236" s="62"/>
      <c r="AI236" s="62"/>
      <c r="AJ236" s="62"/>
      <c r="AK236" s="62"/>
      <c r="AL236" s="62"/>
      <c r="AM236" s="62"/>
      <c r="AN236" s="62"/>
      <c r="AO236" s="62"/>
      <c r="AP236" s="62"/>
      <c r="AQ236" s="62"/>
      <c r="AR236" s="62"/>
      <c r="AS236" s="62"/>
      <c r="AT236" s="62"/>
      <c r="AU236" s="62"/>
      <c r="AV236" s="62"/>
    </row>
    <row r="237" spans="24:48" x14ac:dyDescent="0.25">
      <c r="X237" s="62"/>
      <c r="Y237" s="62"/>
      <c r="Z237" s="62"/>
      <c r="AA237" s="62"/>
      <c r="AB237" s="62"/>
      <c r="AC237" s="62"/>
      <c r="AD237" s="62"/>
      <c r="AE237" s="62"/>
      <c r="AF237" s="62"/>
      <c r="AG237" s="62"/>
      <c r="AH237" s="62"/>
      <c r="AI237" s="62"/>
      <c r="AJ237" s="62"/>
      <c r="AK237" s="62"/>
      <c r="AL237" s="62"/>
      <c r="AM237" s="62"/>
      <c r="AN237" s="62"/>
      <c r="AO237" s="62"/>
      <c r="AP237" s="62"/>
      <c r="AQ237" s="62"/>
      <c r="AR237" s="62"/>
      <c r="AS237" s="62"/>
      <c r="AT237" s="62"/>
      <c r="AU237" s="62"/>
      <c r="AV237" s="62"/>
    </row>
    <row r="238" spans="24:48" x14ac:dyDescent="0.25">
      <c r="X238" s="62"/>
      <c r="Y238" s="62"/>
      <c r="Z238" s="62"/>
      <c r="AA238" s="62"/>
      <c r="AB238" s="62"/>
      <c r="AC238" s="62"/>
      <c r="AD238" s="62"/>
      <c r="AE238" s="62"/>
      <c r="AF238" s="62"/>
      <c r="AG238" s="62"/>
      <c r="AH238" s="62"/>
      <c r="AI238" s="62"/>
      <c r="AJ238" s="62"/>
      <c r="AK238" s="62"/>
      <c r="AL238" s="62"/>
      <c r="AM238" s="62"/>
      <c r="AN238" s="62"/>
      <c r="AO238" s="62"/>
      <c r="AP238" s="62"/>
      <c r="AQ238" s="62"/>
      <c r="AR238" s="62"/>
      <c r="AS238" s="62"/>
      <c r="AT238" s="62"/>
      <c r="AU238" s="62"/>
      <c r="AV238" s="62"/>
    </row>
    <row r="239" spans="24:48" x14ac:dyDescent="0.25">
      <c r="X239" s="62"/>
      <c r="Y239" s="62"/>
      <c r="Z239" s="62"/>
      <c r="AA239" s="62"/>
      <c r="AB239" s="62"/>
      <c r="AC239" s="62"/>
      <c r="AD239" s="62"/>
      <c r="AE239" s="62"/>
      <c r="AF239" s="62"/>
      <c r="AG239" s="62"/>
      <c r="AH239" s="62"/>
      <c r="AI239" s="62"/>
      <c r="AJ239" s="62"/>
      <c r="AK239" s="62"/>
      <c r="AL239" s="62"/>
      <c r="AM239" s="62"/>
      <c r="AN239" s="62"/>
      <c r="AO239" s="62"/>
      <c r="AP239" s="62"/>
      <c r="AQ239" s="62"/>
      <c r="AR239" s="62"/>
      <c r="AS239" s="62"/>
      <c r="AT239" s="62"/>
      <c r="AU239" s="62"/>
      <c r="AV239" s="62"/>
    </row>
    <row r="240" spans="24:48" x14ac:dyDescent="0.25">
      <c r="X240" s="62"/>
      <c r="Y240" s="62"/>
      <c r="Z240" s="62"/>
      <c r="AA240" s="62"/>
      <c r="AB240" s="62"/>
      <c r="AC240" s="62"/>
      <c r="AD240" s="62"/>
      <c r="AE240" s="62"/>
      <c r="AF240" s="62"/>
      <c r="AG240" s="62"/>
      <c r="AH240" s="62"/>
      <c r="AI240" s="62"/>
      <c r="AJ240" s="62"/>
      <c r="AK240" s="62"/>
      <c r="AL240" s="62"/>
      <c r="AM240" s="62"/>
      <c r="AN240" s="62"/>
      <c r="AO240" s="62"/>
      <c r="AP240" s="62"/>
      <c r="AQ240" s="62"/>
      <c r="AR240" s="62"/>
      <c r="AS240" s="62"/>
      <c r="AT240" s="62"/>
      <c r="AU240" s="62"/>
      <c r="AV240" s="62"/>
    </row>
    <row r="241" spans="24:48" x14ac:dyDescent="0.25">
      <c r="X241" s="62"/>
      <c r="Y241" s="62"/>
      <c r="Z241" s="62"/>
      <c r="AA241" s="62"/>
      <c r="AB241" s="62"/>
      <c r="AC241" s="62"/>
      <c r="AD241" s="62"/>
      <c r="AE241" s="62"/>
      <c r="AF241" s="62"/>
      <c r="AG241" s="62"/>
      <c r="AH241" s="62"/>
      <c r="AI241" s="62"/>
      <c r="AJ241" s="62"/>
      <c r="AK241" s="62"/>
      <c r="AL241" s="62"/>
      <c r="AM241" s="62"/>
      <c r="AN241" s="62"/>
      <c r="AO241" s="62"/>
      <c r="AP241" s="62"/>
      <c r="AQ241" s="62"/>
      <c r="AR241" s="62"/>
      <c r="AS241" s="62"/>
      <c r="AT241" s="62"/>
      <c r="AU241" s="62"/>
      <c r="AV241" s="62"/>
    </row>
    <row r="242" spans="24:48" x14ac:dyDescent="0.25">
      <c r="X242" s="62"/>
      <c r="Y242" s="62"/>
      <c r="Z242" s="62"/>
      <c r="AA242" s="62"/>
      <c r="AB242" s="62"/>
      <c r="AC242" s="62"/>
      <c r="AD242" s="62"/>
      <c r="AE242" s="62"/>
      <c r="AF242" s="62"/>
      <c r="AG242" s="62"/>
      <c r="AH242" s="62"/>
      <c r="AI242" s="62"/>
      <c r="AJ242" s="62"/>
      <c r="AK242" s="62"/>
      <c r="AL242" s="62"/>
      <c r="AM242" s="62"/>
      <c r="AN242" s="62"/>
      <c r="AO242" s="62"/>
      <c r="AP242" s="62"/>
      <c r="AQ242" s="62"/>
      <c r="AR242" s="62"/>
      <c r="AS242" s="62"/>
      <c r="AT242" s="62"/>
      <c r="AU242" s="62"/>
      <c r="AV242" s="62"/>
    </row>
    <row r="243" spans="24:48" x14ac:dyDescent="0.25">
      <c r="X243" s="62"/>
      <c r="Y243" s="62"/>
      <c r="Z243" s="62"/>
      <c r="AA243" s="62"/>
      <c r="AB243" s="62"/>
      <c r="AC243" s="62"/>
      <c r="AD243" s="62"/>
      <c r="AE243" s="62"/>
      <c r="AF243" s="62"/>
      <c r="AG243" s="62"/>
      <c r="AH243" s="62"/>
      <c r="AI243" s="62"/>
      <c r="AJ243" s="62"/>
      <c r="AK243" s="62"/>
      <c r="AL243" s="62"/>
      <c r="AM243" s="62"/>
      <c r="AN243" s="62"/>
      <c r="AO243" s="62"/>
      <c r="AP243" s="62"/>
      <c r="AQ243" s="62"/>
      <c r="AR243" s="62"/>
      <c r="AS243" s="62"/>
      <c r="AT243" s="62"/>
      <c r="AU243" s="62"/>
      <c r="AV243" s="62"/>
    </row>
    <row r="244" spans="24:48" x14ac:dyDescent="0.25">
      <c r="X244" s="62"/>
      <c r="Y244" s="62"/>
      <c r="Z244" s="62"/>
      <c r="AA244" s="62"/>
      <c r="AB244" s="62"/>
      <c r="AC244" s="62"/>
      <c r="AD244" s="62"/>
      <c r="AE244" s="62"/>
      <c r="AF244" s="62"/>
      <c r="AG244" s="62"/>
      <c r="AH244" s="62"/>
      <c r="AI244" s="62"/>
      <c r="AJ244" s="62"/>
      <c r="AK244" s="62"/>
      <c r="AL244" s="62"/>
      <c r="AM244" s="62"/>
      <c r="AN244" s="62"/>
      <c r="AO244" s="62"/>
      <c r="AP244" s="62"/>
      <c r="AQ244" s="62"/>
      <c r="AR244" s="62"/>
      <c r="AS244" s="62"/>
      <c r="AT244" s="62"/>
      <c r="AU244" s="62"/>
      <c r="AV244" s="62"/>
    </row>
    <row r="245" spans="24:48" x14ac:dyDescent="0.25">
      <c r="X245" s="62"/>
      <c r="Y245" s="62"/>
      <c r="Z245" s="62"/>
      <c r="AA245" s="62"/>
      <c r="AB245" s="62"/>
      <c r="AC245" s="62"/>
      <c r="AD245" s="62"/>
      <c r="AE245" s="62"/>
      <c r="AF245" s="62"/>
      <c r="AG245" s="62"/>
      <c r="AH245" s="62"/>
      <c r="AI245" s="62"/>
      <c r="AJ245" s="62"/>
      <c r="AK245" s="62"/>
      <c r="AL245" s="62"/>
      <c r="AM245" s="62"/>
      <c r="AN245" s="62"/>
      <c r="AO245" s="62"/>
      <c r="AP245" s="62"/>
      <c r="AQ245" s="62"/>
      <c r="AR245" s="62"/>
      <c r="AS245" s="62"/>
      <c r="AT245" s="62"/>
      <c r="AU245" s="62"/>
      <c r="AV245" s="62"/>
    </row>
    <row r="246" spans="24:48" x14ac:dyDescent="0.25">
      <c r="X246" s="62"/>
      <c r="Y246" s="62"/>
      <c r="Z246" s="62"/>
      <c r="AA246" s="62"/>
      <c r="AB246" s="62"/>
      <c r="AC246" s="62"/>
      <c r="AD246" s="62"/>
      <c r="AE246" s="62"/>
      <c r="AF246" s="62"/>
      <c r="AG246" s="62"/>
      <c r="AH246" s="62"/>
      <c r="AI246" s="62"/>
      <c r="AJ246" s="62"/>
      <c r="AK246" s="62"/>
      <c r="AL246" s="62"/>
      <c r="AM246" s="62"/>
      <c r="AN246" s="62"/>
      <c r="AO246" s="62"/>
      <c r="AP246" s="62"/>
      <c r="AQ246" s="62"/>
      <c r="AR246" s="62"/>
      <c r="AS246" s="62"/>
      <c r="AT246" s="62"/>
      <c r="AU246" s="62"/>
      <c r="AV246" s="62"/>
    </row>
    <row r="247" spans="24:48" x14ac:dyDescent="0.25">
      <c r="X247" s="62"/>
      <c r="Y247" s="62"/>
      <c r="Z247" s="62"/>
      <c r="AA247" s="62"/>
      <c r="AB247" s="62"/>
      <c r="AC247" s="62"/>
      <c r="AD247" s="62"/>
      <c r="AE247" s="62"/>
      <c r="AF247" s="62"/>
      <c r="AG247" s="62"/>
      <c r="AH247" s="62"/>
      <c r="AI247" s="62"/>
      <c r="AJ247" s="62"/>
      <c r="AK247" s="62"/>
      <c r="AL247" s="62"/>
      <c r="AM247" s="62"/>
      <c r="AN247" s="62"/>
      <c r="AO247" s="62"/>
      <c r="AP247" s="62"/>
      <c r="AQ247" s="62"/>
      <c r="AR247" s="62"/>
      <c r="AS247" s="62"/>
      <c r="AT247" s="62"/>
      <c r="AU247" s="62"/>
      <c r="AV247" s="62"/>
    </row>
    <row r="248" spans="24:48" x14ac:dyDescent="0.25">
      <c r="X248" s="62"/>
      <c r="Y248" s="62"/>
      <c r="Z248" s="62"/>
      <c r="AA248" s="62"/>
      <c r="AB248" s="62"/>
      <c r="AC248" s="62"/>
      <c r="AD248" s="62"/>
      <c r="AE248" s="62"/>
      <c r="AF248" s="62"/>
      <c r="AG248" s="62"/>
      <c r="AH248" s="62"/>
      <c r="AI248" s="62"/>
      <c r="AJ248" s="62"/>
      <c r="AK248" s="62"/>
      <c r="AL248" s="62"/>
      <c r="AM248" s="62"/>
      <c r="AN248" s="62"/>
      <c r="AO248" s="62"/>
      <c r="AP248" s="62"/>
      <c r="AQ248" s="62"/>
      <c r="AR248" s="62"/>
      <c r="AS248" s="62"/>
      <c r="AT248" s="62"/>
      <c r="AU248" s="62"/>
      <c r="AV248" s="62"/>
    </row>
    <row r="249" spans="24:48" x14ac:dyDescent="0.25">
      <c r="X249" s="62"/>
      <c r="Y249" s="62"/>
      <c r="Z249" s="62"/>
      <c r="AA249" s="62"/>
      <c r="AB249" s="62"/>
      <c r="AC249" s="62"/>
      <c r="AD249" s="62"/>
      <c r="AE249" s="62"/>
      <c r="AF249" s="62"/>
      <c r="AG249" s="62"/>
      <c r="AH249" s="62"/>
      <c r="AI249" s="62"/>
      <c r="AJ249" s="62"/>
      <c r="AK249" s="62"/>
      <c r="AL249" s="62"/>
      <c r="AM249" s="62"/>
      <c r="AN249" s="62"/>
      <c r="AO249" s="62"/>
      <c r="AP249" s="62"/>
      <c r="AQ249" s="62"/>
      <c r="AR249" s="62"/>
      <c r="AS249" s="62"/>
      <c r="AT249" s="62"/>
      <c r="AU249" s="62"/>
      <c r="AV249" s="62"/>
    </row>
    <row r="250" spans="24:48" x14ac:dyDescent="0.25">
      <c r="X250" s="62"/>
      <c r="Y250" s="62"/>
      <c r="Z250" s="62"/>
      <c r="AA250" s="62"/>
      <c r="AB250" s="62"/>
      <c r="AC250" s="62"/>
      <c r="AD250" s="62"/>
      <c r="AE250" s="62"/>
      <c r="AF250" s="62"/>
      <c r="AG250" s="62"/>
      <c r="AH250" s="62"/>
      <c r="AI250" s="62"/>
      <c r="AJ250" s="62"/>
      <c r="AK250" s="62"/>
      <c r="AL250" s="62"/>
      <c r="AM250" s="62"/>
      <c r="AN250" s="62"/>
      <c r="AO250" s="62"/>
      <c r="AP250" s="62"/>
      <c r="AQ250" s="62"/>
      <c r="AR250" s="62"/>
      <c r="AS250" s="62"/>
      <c r="AT250" s="62"/>
      <c r="AU250" s="62"/>
      <c r="AV250" s="62"/>
    </row>
    <row r="251" spans="24:48" x14ac:dyDescent="0.25">
      <c r="X251" s="62"/>
      <c r="Y251" s="62"/>
      <c r="Z251" s="62"/>
      <c r="AA251" s="62"/>
      <c r="AB251" s="62"/>
      <c r="AC251" s="62"/>
      <c r="AD251" s="62"/>
      <c r="AE251" s="62"/>
      <c r="AF251" s="62"/>
      <c r="AG251" s="62"/>
      <c r="AH251" s="62"/>
      <c r="AI251" s="62"/>
      <c r="AJ251" s="62"/>
      <c r="AK251" s="62"/>
      <c r="AL251" s="62"/>
      <c r="AM251" s="62"/>
      <c r="AN251" s="62"/>
      <c r="AO251" s="62"/>
      <c r="AP251" s="62"/>
      <c r="AQ251" s="62"/>
      <c r="AR251" s="62"/>
      <c r="AS251" s="62"/>
      <c r="AT251" s="62"/>
      <c r="AU251" s="62"/>
      <c r="AV251" s="62"/>
    </row>
    <row r="252" spans="24:48" x14ac:dyDescent="0.25">
      <c r="X252" s="62"/>
      <c r="Y252" s="62"/>
      <c r="Z252" s="62"/>
      <c r="AA252" s="62"/>
      <c r="AB252" s="62"/>
      <c r="AC252" s="62"/>
      <c r="AD252" s="62"/>
      <c r="AE252" s="62"/>
      <c r="AF252" s="62"/>
      <c r="AG252" s="62"/>
      <c r="AH252" s="62"/>
      <c r="AI252" s="62"/>
      <c r="AJ252" s="62"/>
      <c r="AK252" s="62"/>
      <c r="AL252" s="62"/>
      <c r="AM252" s="62"/>
      <c r="AN252" s="62"/>
      <c r="AO252" s="62"/>
      <c r="AP252" s="62"/>
      <c r="AQ252" s="62"/>
      <c r="AR252" s="62"/>
      <c r="AS252" s="62"/>
      <c r="AT252" s="62"/>
      <c r="AU252" s="62"/>
      <c r="AV252" s="62"/>
    </row>
    <row r="253" spans="24:48" x14ac:dyDescent="0.25">
      <c r="X253" s="62"/>
      <c r="Y253" s="62"/>
      <c r="Z253" s="62"/>
      <c r="AA253" s="62"/>
      <c r="AB253" s="62"/>
      <c r="AC253" s="62"/>
      <c r="AD253" s="62"/>
      <c r="AE253" s="62"/>
      <c r="AF253" s="62"/>
      <c r="AG253" s="62"/>
      <c r="AH253" s="62"/>
      <c r="AI253" s="62"/>
      <c r="AJ253" s="62"/>
      <c r="AK253" s="62"/>
      <c r="AL253" s="62"/>
      <c r="AM253" s="62"/>
      <c r="AN253" s="62"/>
      <c r="AO253" s="62"/>
      <c r="AP253" s="62"/>
      <c r="AQ253" s="62"/>
      <c r="AR253" s="62"/>
      <c r="AS253" s="62"/>
      <c r="AT253" s="62"/>
      <c r="AU253" s="62"/>
      <c r="AV253" s="62"/>
    </row>
    <row r="254" spans="24:48" x14ac:dyDescent="0.25">
      <c r="X254" s="62"/>
      <c r="Y254" s="62"/>
      <c r="Z254" s="62"/>
      <c r="AA254" s="62"/>
      <c r="AB254" s="62"/>
      <c r="AC254" s="62"/>
      <c r="AD254" s="62"/>
      <c r="AE254" s="62"/>
      <c r="AF254" s="62"/>
      <c r="AG254" s="62"/>
      <c r="AH254" s="62"/>
      <c r="AI254" s="62"/>
      <c r="AJ254" s="62"/>
      <c r="AK254" s="62"/>
      <c r="AL254" s="62"/>
      <c r="AM254" s="62"/>
      <c r="AN254" s="62"/>
      <c r="AO254" s="62"/>
      <c r="AP254" s="62"/>
      <c r="AQ254" s="62"/>
      <c r="AR254" s="62"/>
      <c r="AS254" s="62"/>
      <c r="AT254" s="62"/>
      <c r="AU254" s="62"/>
      <c r="AV254" s="62"/>
    </row>
    <row r="255" spans="24:48" x14ac:dyDescent="0.25">
      <c r="X255" s="62"/>
      <c r="Y255" s="62"/>
      <c r="Z255" s="62"/>
      <c r="AA255" s="62"/>
      <c r="AB255" s="62"/>
      <c r="AC255" s="62"/>
      <c r="AD255" s="62"/>
      <c r="AE255" s="62"/>
      <c r="AF255" s="62"/>
      <c r="AG255" s="62"/>
      <c r="AH255" s="62"/>
      <c r="AI255" s="62"/>
      <c r="AJ255" s="62"/>
      <c r="AK255" s="62"/>
      <c r="AL255" s="62"/>
      <c r="AM255" s="62"/>
      <c r="AN255" s="62"/>
      <c r="AO255" s="62"/>
      <c r="AP255" s="62"/>
      <c r="AQ255" s="62"/>
      <c r="AR255" s="62"/>
      <c r="AS255" s="62"/>
      <c r="AT255" s="62"/>
      <c r="AU255" s="62"/>
      <c r="AV255" s="62"/>
    </row>
    <row r="256" spans="24:48" x14ac:dyDescent="0.25">
      <c r="X256" s="62"/>
      <c r="Y256" s="62"/>
      <c r="Z256" s="62"/>
      <c r="AA256" s="62"/>
      <c r="AB256" s="62"/>
      <c r="AC256" s="62"/>
      <c r="AD256" s="62"/>
      <c r="AE256" s="62"/>
      <c r="AF256" s="62"/>
      <c r="AG256" s="62"/>
      <c r="AH256" s="62"/>
      <c r="AI256" s="62"/>
      <c r="AJ256" s="62"/>
      <c r="AK256" s="62"/>
      <c r="AL256" s="62"/>
      <c r="AM256" s="62"/>
      <c r="AN256" s="62"/>
      <c r="AO256" s="62"/>
      <c r="AP256" s="62"/>
      <c r="AQ256" s="62"/>
      <c r="AR256" s="62"/>
      <c r="AS256" s="62"/>
      <c r="AT256" s="62"/>
      <c r="AU256" s="62"/>
      <c r="AV256" s="62"/>
    </row>
    <row r="257" spans="24:48" x14ac:dyDescent="0.25">
      <c r="X257" s="62"/>
      <c r="Y257" s="62"/>
      <c r="Z257" s="62"/>
      <c r="AA257" s="62"/>
      <c r="AB257" s="62"/>
      <c r="AC257" s="62"/>
      <c r="AD257" s="62"/>
      <c r="AE257" s="62"/>
      <c r="AF257" s="62"/>
      <c r="AG257" s="62"/>
      <c r="AH257" s="62"/>
      <c r="AI257" s="62"/>
      <c r="AJ257" s="62"/>
      <c r="AK257" s="62"/>
      <c r="AL257" s="62"/>
      <c r="AM257" s="62"/>
      <c r="AN257" s="62"/>
      <c r="AO257" s="62"/>
      <c r="AP257" s="62"/>
      <c r="AQ257" s="62"/>
      <c r="AR257" s="62"/>
      <c r="AS257" s="62"/>
      <c r="AT257" s="62"/>
      <c r="AU257" s="62"/>
      <c r="AV257" s="62"/>
    </row>
    <row r="258" spans="24:48" x14ac:dyDescent="0.25">
      <c r="X258" s="62"/>
      <c r="Y258" s="62"/>
      <c r="Z258" s="62"/>
      <c r="AA258" s="62"/>
      <c r="AB258" s="62"/>
      <c r="AC258" s="62"/>
      <c r="AD258" s="62"/>
      <c r="AE258" s="62"/>
      <c r="AF258" s="62"/>
      <c r="AG258" s="62"/>
      <c r="AH258" s="62"/>
      <c r="AI258" s="62"/>
      <c r="AJ258" s="62"/>
      <c r="AK258" s="62"/>
      <c r="AL258" s="62"/>
      <c r="AM258" s="62"/>
      <c r="AN258" s="62"/>
      <c r="AO258" s="62"/>
      <c r="AP258" s="62"/>
      <c r="AQ258" s="62"/>
      <c r="AR258" s="62"/>
      <c r="AS258" s="62"/>
      <c r="AT258" s="62"/>
      <c r="AU258" s="62"/>
      <c r="AV258" s="62"/>
    </row>
    <row r="259" spans="24:48" x14ac:dyDescent="0.25">
      <c r="X259" s="62"/>
      <c r="Y259" s="62"/>
      <c r="Z259" s="62"/>
      <c r="AA259" s="62"/>
      <c r="AB259" s="62"/>
      <c r="AC259" s="62"/>
      <c r="AD259" s="62"/>
      <c r="AE259" s="62"/>
      <c r="AF259" s="62"/>
      <c r="AG259" s="62"/>
      <c r="AH259" s="62"/>
      <c r="AI259" s="62"/>
      <c r="AJ259" s="62"/>
      <c r="AK259" s="62"/>
      <c r="AL259" s="62"/>
      <c r="AM259" s="62"/>
      <c r="AN259" s="62"/>
      <c r="AO259" s="62"/>
      <c r="AP259" s="62"/>
      <c r="AQ259" s="62"/>
      <c r="AR259" s="62"/>
      <c r="AS259" s="62"/>
      <c r="AT259" s="62"/>
      <c r="AU259" s="62"/>
      <c r="AV259" s="62"/>
    </row>
    <row r="260" spans="24:48" x14ac:dyDescent="0.25">
      <c r="X260" s="62"/>
      <c r="Y260" s="62"/>
      <c r="Z260" s="62"/>
      <c r="AA260" s="62"/>
      <c r="AB260" s="62"/>
      <c r="AC260" s="62"/>
      <c r="AD260" s="62"/>
      <c r="AE260" s="62"/>
      <c r="AF260" s="62"/>
      <c r="AG260" s="62"/>
      <c r="AH260" s="62"/>
      <c r="AI260" s="62"/>
      <c r="AJ260" s="62"/>
      <c r="AK260" s="62"/>
      <c r="AL260" s="62"/>
      <c r="AM260" s="62"/>
      <c r="AN260" s="62"/>
      <c r="AO260" s="62"/>
      <c r="AP260" s="62"/>
      <c r="AQ260" s="62"/>
      <c r="AR260" s="62"/>
      <c r="AS260" s="62"/>
      <c r="AT260" s="62"/>
      <c r="AU260" s="62"/>
      <c r="AV260" s="62"/>
    </row>
    <row r="261" spans="24:48" x14ac:dyDescent="0.25">
      <c r="X261" s="62"/>
      <c r="Y261" s="62"/>
      <c r="Z261" s="62"/>
      <c r="AA261" s="62"/>
      <c r="AB261" s="62"/>
      <c r="AC261" s="62"/>
      <c r="AD261" s="62"/>
      <c r="AE261" s="62"/>
      <c r="AF261" s="62"/>
      <c r="AG261" s="62"/>
      <c r="AH261" s="62"/>
      <c r="AI261" s="62"/>
      <c r="AJ261" s="62"/>
      <c r="AK261" s="62"/>
      <c r="AL261" s="62"/>
      <c r="AM261" s="62"/>
      <c r="AN261" s="62"/>
      <c r="AO261" s="62"/>
      <c r="AP261" s="62"/>
      <c r="AQ261" s="62"/>
      <c r="AR261" s="62"/>
      <c r="AS261" s="62"/>
      <c r="AT261" s="62"/>
      <c r="AU261" s="62"/>
      <c r="AV261" s="62"/>
    </row>
    <row r="262" spans="24:48" x14ac:dyDescent="0.25">
      <c r="X262" s="62"/>
      <c r="Y262" s="62"/>
      <c r="Z262" s="62"/>
      <c r="AA262" s="62"/>
      <c r="AB262" s="62"/>
      <c r="AC262" s="62"/>
      <c r="AD262" s="62"/>
      <c r="AE262" s="62"/>
      <c r="AF262" s="62"/>
      <c r="AG262" s="62"/>
      <c r="AH262" s="62"/>
      <c r="AI262" s="62"/>
      <c r="AJ262" s="62"/>
      <c r="AK262" s="62"/>
      <c r="AL262" s="62"/>
      <c r="AM262" s="62"/>
      <c r="AN262" s="62"/>
      <c r="AO262" s="62"/>
      <c r="AP262" s="62"/>
      <c r="AQ262" s="62"/>
      <c r="AR262" s="62"/>
      <c r="AS262" s="62"/>
      <c r="AT262" s="62"/>
      <c r="AU262" s="62"/>
      <c r="AV262" s="62"/>
    </row>
    <row r="263" spans="24:48" x14ac:dyDescent="0.25">
      <c r="X263" s="62"/>
      <c r="Y263" s="62"/>
      <c r="Z263" s="62"/>
      <c r="AA263" s="62"/>
      <c r="AB263" s="62"/>
      <c r="AC263" s="62"/>
      <c r="AD263" s="62"/>
      <c r="AE263" s="62"/>
      <c r="AF263" s="62"/>
      <c r="AG263" s="62"/>
      <c r="AH263" s="62"/>
      <c r="AI263" s="62"/>
      <c r="AJ263" s="62"/>
      <c r="AK263" s="62"/>
      <c r="AL263" s="62"/>
      <c r="AM263" s="62"/>
      <c r="AN263" s="62"/>
      <c r="AO263" s="62"/>
      <c r="AP263" s="62"/>
      <c r="AQ263" s="62"/>
      <c r="AR263" s="62"/>
      <c r="AS263" s="62"/>
      <c r="AT263" s="62"/>
      <c r="AU263" s="62"/>
      <c r="AV263" s="62"/>
    </row>
    <row r="264" spans="24:48" x14ac:dyDescent="0.25">
      <c r="X264" s="62"/>
      <c r="Y264" s="62"/>
      <c r="Z264" s="62"/>
      <c r="AA264" s="62"/>
      <c r="AB264" s="62"/>
      <c r="AC264" s="62"/>
      <c r="AD264" s="62"/>
      <c r="AE264" s="62"/>
      <c r="AF264" s="62"/>
      <c r="AG264" s="62"/>
      <c r="AH264" s="62"/>
      <c r="AI264" s="62"/>
      <c r="AJ264" s="62"/>
      <c r="AK264" s="62"/>
      <c r="AL264" s="62"/>
      <c r="AM264" s="62"/>
      <c r="AN264" s="62"/>
      <c r="AO264" s="62"/>
      <c r="AP264" s="62"/>
      <c r="AQ264" s="62"/>
      <c r="AR264" s="62"/>
      <c r="AS264" s="62"/>
      <c r="AT264" s="62"/>
      <c r="AU264" s="62"/>
      <c r="AV264" s="62"/>
    </row>
    <row r="265" spans="24:48" x14ac:dyDescent="0.25">
      <c r="X265" s="62"/>
      <c r="Y265" s="62"/>
      <c r="Z265" s="62"/>
      <c r="AA265" s="62"/>
      <c r="AB265" s="62"/>
      <c r="AC265" s="62"/>
      <c r="AD265" s="62"/>
      <c r="AE265" s="62"/>
      <c r="AF265" s="62"/>
      <c r="AG265" s="62"/>
      <c r="AH265" s="62"/>
      <c r="AI265" s="62"/>
      <c r="AJ265" s="62"/>
      <c r="AK265" s="62"/>
      <c r="AL265" s="62"/>
      <c r="AM265" s="62"/>
      <c r="AN265" s="62"/>
      <c r="AO265" s="62"/>
      <c r="AP265" s="62"/>
      <c r="AQ265" s="62"/>
      <c r="AR265" s="62"/>
      <c r="AS265" s="62"/>
      <c r="AT265" s="62"/>
      <c r="AU265" s="62"/>
      <c r="AV265" s="62"/>
    </row>
    <row r="266" spans="24:48" x14ac:dyDescent="0.25">
      <c r="X266" s="62"/>
      <c r="Y266" s="62"/>
      <c r="Z266" s="62"/>
      <c r="AA266" s="62"/>
      <c r="AB266" s="62"/>
      <c r="AC266" s="62"/>
      <c r="AD266" s="62"/>
      <c r="AE266" s="62"/>
      <c r="AF266" s="62"/>
      <c r="AG266" s="62"/>
      <c r="AH266" s="62"/>
      <c r="AI266" s="62"/>
      <c r="AJ266" s="62"/>
      <c r="AK266" s="62"/>
      <c r="AL266" s="62"/>
      <c r="AM266" s="62"/>
      <c r="AN266" s="62"/>
      <c r="AO266" s="62"/>
      <c r="AP266" s="62"/>
      <c r="AQ266" s="62"/>
      <c r="AR266" s="62"/>
      <c r="AS266" s="62"/>
      <c r="AT266" s="62"/>
      <c r="AU266" s="62"/>
      <c r="AV266" s="62"/>
    </row>
    <row r="267" spans="24:48" x14ac:dyDescent="0.25">
      <c r="X267" s="62"/>
      <c r="Y267" s="62"/>
      <c r="Z267" s="62"/>
      <c r="AA267" s="62"/>
      <c r="AB267" s="62"/>
      <c r="AC267" s="62"/>
      <c r="AD267" s="62"/>
      <c r="AE267" s="62"/>
      <c r="AF267" s="62"/>
      <c r="AG267" s="62"/>
      <c r="AH267" s="62"/>
      <c r="AI267" s="62"/>
      <c r="AJ267" s="62"/>
      <c r="AK267" s="62"/>
      <c r="AL267" s="62"/>
      <c r="AM267" s="62"/>
      <c r="AN267" s="62"/>
      <c r="AO267" s="62"/>
      <c r="AP267" s="62"/>
      <c r="AQ267" s="62"/>
      <c r="AR267" s="62"/>
      <c r="AS267" s="62"/>
      <c r="AT267" s="62"/>
      <c r="AU267" s="62"/>
      <c r="AV267" s="62"/>
    </row>
    <row r="268" spans="24:48" x14ac:dyDescent="0.25">
      <c r="X268" s="62"/>
      <c r="Y268" s="62"/>
      <c r="Z268" s="62"/>
      <c r="AA268" s="62"/>
      <c r="AB268" s="62"/>
      <c r="AC268" s="62"/>
      <c r="AD268" s="62"/>
      <c r="AE268" s="62"/>
      <c r="AF268" s="62"/>
      <c r="AG268" s="62"/>
      <c r="AH268" s="62"/>
      <c r="AI268" s="62"/>
      <c r="AJ268" s="62"/>
      <c r="AK268" s="62"/>
      <c r="AL268" s="62"/>
      <c r="AM268" s="62"/>
      <c r="AN268" s="62"/>
      <c r="AO268" s="62"/>
      <c r="AP268" s="62"/>
      <c r="AQ268" s="62"/>
      <c r="AR268" s="62"/>
      <c r="AS268" s="62"/>
      <c r="AT268" s="62"/>
      <c r="AU268" s="62"/>
      <c r="AV268" s="62"/>
    </row>
    <row r="269" spans="24:48" x14ac:dyDescent="0.25">
      <c r="X269" s="62"/>
      <c r="Y269" s="62"/>
      <c r="Z269" s="62"/>
      <c r="AA269" s="62"/>
      <c r="AB269" s="62"/>
      <c r="AC269" s="62"/>
      <c r="AD269" s="62"/>
      <c r="AE269" s="62"/>
      <c r="AF269" s="62"/>
      <c r="AG269" s="62"/>
      <c r="AH269" s="62"/>
      <c r="AI269" s="62"/>
      <c r="AJ269" s="62"/>
      <c r="AK269" s="62"/>
      <c r="AL269" s="62"/>
      <c r="AM269" s="62"/>
      <c r="AN269" s="62"/>
      <c r="AO269" s="62"/>
      <c r="AP269" s="62"/>
      <c r="AQ269" s="62"/>
      <c r="AR269" s="62"/>
      <c r="AS269" s="62"/>
      <c r="AT269" s="62"/>
      <c r="AU269" s="62"/>
      <c r="AV269" s="62"/>
    </row>
    <row r="270" spans="24:48" x14ac:dyDescent="0.25">
      <c r="X270" s="62"/>
      <c r="Y270" s="62"/>
      <c r="Z270" s="62"/>
      <c r="AA270" s="62"/>
      <c r="AB270" s="62"/>
      <c r="AC270" s="62"/>
      <c r="AD270" s="62"/>
      <c r="AE270" s="62"/>
      <c r="AF270" s="62"/>
      <c r="AG270" s="62"/>
      <c r="AH270" s="62"/>
      <c r="AI270" s="62"/>
      <c r="AJ270" s="62"/>
      <c r="AK270" s="62"/>
      <c r="AL270" s="62"/>
      <c r="AM270" s="62"/>
      <c r="AN270" s="62"/>
      <c r="AO270" s="62"/>
      <c r="AP270" s="62"/>
      <c r="AQ270" s="62"/>
      <c r="AR270" s="62"/>
      <c r="AS270" s="62"/>
      <c r="AT270" s="62"/>
      <c r="AU270" s="62"/>
      <c r="AV270" s="62"/>
    </row>
    <row r="271" spans="24:48" x14ac:dyDescent="0.25">
      <c r="X271" s="62"/>
      <c r="Y271" s="62"/>
      <c r="Z271" s="62"/>
      <c r="AA271" s="62"/>
      <c r="AB271" s="62"/>
      <c r="AC271" s="62"/>
      <c r="AD271" s="62"/>
      <c r="AE271" s="62"/>
      <c r="AF271" s="62"/>
      <c r="AG271" s="62"/>
      <c r="AH271" s="62"/>
      <c r="AI271" s="62"/>
      <c r="AJ271" s="62"/>
      <c r="AK271" s="62"/>
      <c r="AL271" s="62"/>
      <c r="AM271" s="62"/>
      <c r="AN271" s="62"/>
      <c r="AO271" s="62"/>
      <c r="AP271" s="62"/>
      <c r="AQ271" s="62"/>
      <c r="AR271" s="62"/>
      <c r="AS271" s="62"/>
      <c r="AT271" s="62"/>
      <c r="AU271" s="62"/>
      <c r="AV271" s="62"/>
    </row>
    <row r="272" spans="24:48" x14ac:dyDescent="0.25">
      <c r="X272" s="62"/>
      <c r="Y272" s="62"/>
      <c r="Z272" s="62"/>
      <c r="AA272" s="62"/>
      <c r="AB272" s="62"/>
      <c r="AC272" s="62"/>
      <c r="AD272" s="62"/>
      <c r="AE272" s="62"/>
      <c r="AF272" s="62"/>
      <c r="AG272" s="62"/>
      <c r="AH272" s="62"/>
      <c r="AI272" s="62"/>
      <c r="AJ272" s="62"/>
      <c r="AK272" s="62"/>
      <c r="AL272" s="62"/>
      <c r="AM272" s="62"/>
      <c r="AN272" s="62"/>
      <c r="AO272" s="62"/>
      <c r="AP272" s="62"/>
      <c r="AQ272" s="62"/>
      <c r="AR272" s="62"/>
      <c r="AS272" s="62"/>
      <c r="AT272" s="62"/>
      <c r="AU272" s="62"/>
      <c r="AV272" s="62"/>
    </row>
    <row r="273" spans="24:48" x14ac:dyDescent="0.25">
      <c r="X273" s="62"/>
      <c r="Y273" s="62"/>
      <c r="Z273" s="62"/>
      <c r="AA273" s="62"/>
      <c r="AB273" s="62"/>
      <c r="AC273" s="62"/>
      <c r="AD273" s="62"/>
      <c r="AE273" s="62"/>
      <c r="AF273" s="62"/>
      <c r="AG273" s="62"/>
      <c r="AH273" s="62"/>
      <c r="AI273" s="62"/>
      <c r="AJ273" s="62"/>
      <c r="AK273" s="62"/>
      <c r="AL273" s="62"/>
      <c r="AM273" s="62"/>
      <c r="AN273" s="62"/>
      <c r="AO273" s="62"/>
      <c r="AP273" s="62"/>
      <c r="AQ273" s="62"/>
      <c r="AR273" s="62"/>
      <c r="AS273" s="62"/>
      <c r="AT273" s="62"/>
      <c r="AU273" s="62"/>
      <c r="AV273" s="62"/>
    </row>
    <row r="274" spans="24:48" x14ac:dyDescent="0.25">
      <c r="X274" s="62"/>
      <c r="Y274" s="62"/>
      <c r="Z274" s="62"/>
      <c r="AA274" s="62"/>
      <c r="AB274" s="62"/>
      <c r="AC274" s="62"/>
      <c r="AD274" s="62"/>
      <c r="AE274" s="62"/>
      <c r="AF274" s="62"/>
      <c r="AG274" s="62"/>
      <c r="AH274" s="62"/>
      <c r="AI274" s="62"/>
      <c r="AJ274" s="62"/>
      <c r="AK274" s="62"/>
      <c r="AL274" s="62"/>
      <c r="AM274" s="62"/>
      <c r="AN274" s="62"/>
      <c r="AO274" s="62"/>
      <c r="AP274" s="62"/>
      <c r="AQ274" s="62"/>
      <c r="AR274" s="62"/>
      <c r="AS274" s="62"/>
      <c r="AT274" s="62"/>
      <c r="AU274" s="62"/>
      <c r="AV274" s="62"/>
    </row>
    <row r="275" spans="24:48" x14ac:dyDescent="0.25">
      <c r="X275" s="62"/>
      <c r="Y275" s="62"/>
      <c r="Z275" s="62"/>
      <c r="AA275" s="62"/>
      <c r="AB275" s="62"/>
      <c r="AC275" s="62"/>
      <c r="AD275" s="62"/>
      <c r="AE275" s="62"/>
      <c r="AF275" s="62"/>
      <c r="AG275" s="62"/>
      <c r="AH275" s="62"/>
      <c r="AI275" s="62"/>
      <c r="AJ275" s="62"/>
      <c r="AK275" s="62"/>
      <c r="AL275" s="62"/>
      <c r="AM275" s="62"/>
      <c r="AN275" s="62"/>
      <c r="AO275" s="62"/>
      <c r="AP275" s="62"/>
      <c r="AQ275" s="62"/>
      <c r="AR275" s="62"/>
      <c r="AS275" s="62"/>
      <c r="AT275" s="62"/>
      <c r="AU275" s="62"/>
      <c r="AV275" s="62"/>
    </row>
    <row r="276" spans="24:48" x14ac:dyDescent="0.25">
      <c r="X276" s="62"/>
      <c r="Y276" s="62"/>
      <c r="Z276" s="62"/>
      <c r="AA276" s="62"/>
      <c r="AB276" s="62"/>
      <c r="AC276" s="62"/>
      <c r="AD276" s="62"/>
      <c r="AE276" s="62"/>
      <c r="AF276" s="62"/>
      <c r="AG276" s="62"/>
      <c r="AH276" s="62"/>
      <c r="AI276" s="62"/>
      <c r="AJ276" s="62"/>
      <c r="AK276" s="62"/>
      <c r="AL276" s="62"/>
      <c r="AM276" s="62"/>
      <c r="AN276" s="62"/>
      <c r="AO276" s="62"/>
      <c r="AP276" s="62"/>
      <c r="AQ276" s="62"/>
      <c r="AR276" s="62"/>
      <c r="AS276" s="62"/>
      <c r="AT276" s="62"/>
      <c r="AU276" s="62"/>
      <c r="AV276" s="62"/>
    </row>
    <row r="277" spans="24:48" x14ac:dyDescent="0.25">
      <c r="X277" s="62"/>
      <c r="Y277" s="62"/>
      <c r="Z277" s="62"/>
      <c r="AA277" s="62"/>
      <c r="AB277" s="62"/>
      <c r="AC277" s="62"/>
      <c r="AD277" s="62"/>
      <c r="AE277" s="62"/>
      <c r="AF277" s="62"/>
      <c r="AG277" s="62"/>
      <c r="AH277" s="62"/>
      <c r="AI277" s="62"/>
      <c r="AJ277" s="62"/>
      <c r="AK277" s="62"/>
      <c r="AL277" s="62"/>
      <c r="AM277" s="62"/>
      <c r="AN277" s="62"/>
      <c r="AO277" s="62"/>
      <c r="AP277" s="62"/>
      <c r="AQ277" s="62"/>
      <c r="AR277" s="62"/>
      <c r="AS277" s="62"/>
      <c r="AT277" s="62"/>
      <c r="AU277" s="62"/>
      <c r="AV277" s="62"/>
    </row>
    <row r="278" spans="24:48" x14ac:dyDescent="0.25">
      <c r="X278" s="62"/>
      <c r="Y278" s="62"/>
      <c r="Z278" s="62"/>
      <c r="AA278" s="62"/>
      <c r="AB278" s="62"/>
      <c r="AC278" s="62"/>
      <c r="AD278" s="62"/>
      <c r="AE278" s="62"/>
      <c r="AF278" s="62"/>
      <c r="AG278" s="62"/>
      <c r="AH278" s="62"/>
      <c r="AI278" s="62"/>
      <c r="AJ278" s="62"/>
      <c r="AK278" s="62"/>
      <c r="AL278" s="62"/>
      <c r="AM278" s="62"/>
      <c r="AN278" s="62"/>
      <c r="AO278" s="62"/>
      <c r="AP278" s="62"/>
      <c r="AQ278" s="62"/>
      <c r="AR278" s="62"/>
      <c r="AS278" s="62"/>
      <c r="AT278" s="62"/>
      <c r="AU278" s="62"/>
      <c r="AV278" s="62"/>
    </row>
    <row r="279" spans="24:48" x14ac:dyDescent="0.25">
      <c r="X279" s="62"/>
      <c r="Y279" s="62"/>
      <c r="Z279" s="62"/>
      <c r="AA279" s="62"/>
      <c r="AB279" s="62"/>
      <c r="AC279" s="62"/>
      <c r="AD279" s="62"/>
      <c r="AE279" s="62"/>
      <c r="AF279" s="62"/>
      <c r="AG279" s="62"/>
      <c r="AH279" s="62"/>
      <c r="AI279" s="62"/>
      <c r="AJ279" s="62"/>
      <c r="AK279" s="62"/>
      <c r="AL279" s="62"/>
      <c r="AM279" s="62"/>
      <c r="AN279" s="62"/>
      <c r="AO279" s="62"/>
      <c r="AP279" s="62"/>
      <c r="AQ279" s="62"/>
      <c r="AR279" s="62"/>
      <c r="AS279" s="62"/>
      <c r="AT279" s="62"/>
      <c r="AU279" s="62"/>
      <c r="AV279" s="62"/>
    </row>
    <row r="280" spans="24:48" x14ac:dyDescent="0.25">
      <c r="X280" s="62"/>
      <c r="Y280" s="62"/>
      <c r="Z280" s="62"/>
      <c r="AA280" s="62"/>
      <c r="AB280" s="62"/>
      <c r="AC280" s="62"/>
      <c r="AD280" s="62"/>
      <c r="AE280" s="62"/>
      <c r="AF280" s="62"/>
      <c r="AG280" s="62"/>
      <c r="AH280" s="62"/>
      <c r="AI280" s="62"/>
      <c r="AJ280" s="62"/>
      <c r="AK280" s="62"/>
      <c r="AL280" s="62"/>
      <c r="AM280" s="62"/>
      <c r="AN280" s="62"/>
      <c r="AO280" s="62"/>
      <c r="AP280" s="62"/>
      <c r="AQ280" s="62"/>
      <c r="AR280" s="62"/>
      <c r="AS280" s="62"/>
      <c r="AT280" s="62"/>
      <c r="AU280" s="62"/>
      <c r="AV280" s="62"/>
    </row>
    <row r="281" spans="24:48" x14ac:dyDescent="0.25">
      <c r="X281" s="62"/>
      <c r="Y281" s="62"/>
      <c r="Z281" s="62"/>
      <c r="AA281" s="62"/>
      <c r="AB281" s="62"/>
      <c r="AC281" s="62"/>
      <c r="AD281" s="62"/>
      <c r="AE281" s="62"/>
      <c r="AF281" s="62"/>
      <c r="AG281" s="62"/>
      <c r="AH281" s="62"/>
      <c r="AI281" s="62"/>
      <c r="AJ281" s="62"/>
      <c r="AK281" s="62"/>
      <c r="AL281" s="62"/>
      <c r="AM281" s="62"/>
      <c r="AN281" s="62"/>
      <c r="AO281" s="62"/>
      <c r="AP281" s="62"/>
      <c r="AQ281" s="62"/>
      <c r="AR281" s="62"/>
      <c r="AS281" s="62"/>
      <c r="AT281" s="62"/>
      <c r="AU281" s="62"/>
      <c r="AV281" s="62"/>
    </row>
    <row r="282" spans="24:48" x14ac:dyDescent="0.25">
      <c r="X282" s="62"/>
      <c r="Y282" s="62"/>
      <c r="Z282" s="62"/>
      <c r="AA282" s="62"/>
      <c r="AB282" s="62"/>
      <c r="AC282" s="62"/>
      <c r="AD282" s="62"/>
      <c r="AE282" s="62"/>
      <c r="AF282" s="62"/>
      <c r="AG282" s="62"/>
      <c r="AH282" s="62"/>
      <c r="AI282" s="62"/>
      <c r="AJ282" s="62"/>
      <c r="AK282" s="62"/>
      <c r="AL282" s="62"/>
      <c r="AM282" s="62"/>
      <c r="AN282" s="62"/>
      <c r="AO282" s="62"/>
      <c r="AP282" s="62"/>
      <c r="AQ282" s="62"/>
      <c r="AR282" s="62"/>
      <c r="AS282" s="62"/>
      <c r="AT282" s="62"/>
      <c r="AU282" s="62"/>
      <c r="AV282" s="62"/>
    </row>
    <row r="283" spans="24:48" x14ac:dyDescent="0.25">
      <c r="X283" s="62"/>
      <c r="Y283" s="62"/>
      <c r="Z283" s="62"/>
      <c r="AA283" s="62"/>
      <c r="AB283" s="62"/>
      <c r="AC283" s="62"/>
      <c r="AD283" s="62"/>
      <c r="AE283" s="62"/>
      <c r="AF283" s="62"/>
      <c r="AG283" s="62"/>
      <c r="AH283" s="62"/>
      <c r="AI283" s="62"/>
      <c r="AJ283" s="62"/>
      <c r="AK283" s="62"/>
      <c r="AL283" s="62"/>
      <c r="AM283" s="62"/>
      <c r="AN283" s="62"/>
      <c r="AO283" s="62"/>
      <c r="AP283" s="62"/>
      <c r="AQ283" s="62"/>
      <c r="AR283" s="62"/>
      <c r="AS283" s="62"/>
      <c r="AT283" s="62"/>
      <c r="AU283" s="62"/>
      <c r="AV283" s="62"/>
    </row>
    <row r="284" spans="24:48" x14ac:dyDescent="0.25">
      <c r="X284" s="62"/>
      <c r="Y284" s="62"/>
      <c r="Z284" s="62"/>
      <c r="AA284" s="62"/>
      <c r="AB284" s="62"/>
      <c r="AC284" s="62"/>
      <c r="AD284" s="62"/>
      <c r="AE284" s="62"/>
      <c r="AF284" s="62"/>
      <c r="AG284" s="62"/>
      <c r="AH284" s="62"/>
      <c r="AI284" s="62"/>
      <c r="AJ284" s="62"/>
      <c r="AK284" s="62"/>
      <c r="AL284" s="62"/>
      <c r="AM284" s="62"/>
      <c r="AN284" s="62"/>
      <c r="AO284" s="62"/>
      <c r="AP284" s="62"/>
      <c r="AQ284" s="62"/>
      <c r="AR284" s="62"/>
      <c r="AS284" s="62"/>
      <c r="AT284" s="62"/>
      <c r="AU284" s="62"/>
      <c r="AV284" s="62"/>
    </row>
    <row r="285" spans="24:48" x14ac:dyDescent="0.25">
      <c r="X285" s="62"/>
      <c r="Y285" s="62"/>
      <c r="Z285" s="62"/>
      <c r="AA285" s="62"/>
      <c r="AB285" s="62"/>
      <c r="AC285" s="62"/>
      <c r="AD285" s="62"/>
      <c r="AE285" s="62"/>
      <c r="AF285" s="62"/>
      <c r="AG285" s="62"/>
      <c r="AH285" s="62"/>
      <c r="AI285" s="62"/>
      <c r="AJ285" s="62"/>
      <c r="AK285" s="62"/>
      <c r="AL285" s="62"/>
      <c r="AM285" s="62"/>
      <c r="AN285" s="62"/>
      <c r="AO285" s="62"/>
      <c r="AP285" s="62"/>
      <c r="AQ285" s="62"/>
      <c r="AR285" s="62"/>
      <c r="AS285" s="62"/>
      <c r="AT285" s="62"/>
      <c r="AU285" s="62"/>
      <c r="AV285" s="62"/>
    </row>
    <row r="286" spans="24:48" x14ac:dyDescent="0.25">
      <c r="X286" s="62"/>
      <c r="Y286" s="62"/>
      <c r="Z286" s="62"/>
      <c r="AA286" s="62"/>
      <c r="AB286" s="62"/>
      <c r="AC286" s="62"/>
      <c r="AD286" s="62"/>
      <c r="AE286" s="62"/>
      <c r="AF286" s="62"/>
      <c r="AG286" s="62"/>
      <c r="AH286" s="62"/>
      <c r="AI286" s="62"/>
      <c r="AJ286" s="62"/>
      <c r="AK286" s="62"/>
      <c r="AL286" s="62"/>
      <c r="AM286" s="62"/>
      <c r="AN286" s="62"/>
      <c r="AO286" s="62"/>
      <c r="AP286" s="62"/>
      <c r="AQ286" s="62"/>
      <c r="AR286" s="62"/>
      <c r="AS286" s="62"/>
      <c r="AT286" s="62"/>
      <c r="AU286" s="62"/>
      <c r="AV286" s="62"/>
    </row>
    <row r="287" spans="24:48" x14ac:dyDescent="0.25">
      <c r="X287" s="62"/>
      <c r="Y287" s="62"/>
      <c r="Z287" s="62"/>
      <c r="AA287" s="62"/>
      <c r="AB287" s="62"/>
      <c r="AC287" s="62"/>
      <c r="AD287" s="62"/>
      <c r="AE287" s="62"/>
      <c r="AF287" s="62"/>
      <c r="AG287" s="62"/>
      <c r="AH287" s="62"/>
      <c r="AI287" s="62"/>
      <c r="AJ287" s="62"/>
      <c r="AK287" s="62"/>
      <c r="AL287" s="62"/>
      <c r="AM287" s="62"/>
      <c r="AN287" s="62"/>
      <c r="AO287" s="62"/>
      <c r="AP287" s="62"/>
      <c r="AQ287" s="62"/>
      <c r="AR287" s="62"/>
      <c r="AS287" s="62"/>
      <c r="AT287" s="62"/>
      <c r="AU287" s="62"/>
      <c r="AV287" s="62"/>
    </row>
    <row r="288" spans="24:48" x14ac:dyDescent="0.25">
      <c r="X288" s="62"/>
      <c r="Y288" s="62"/>
      <c r="Z288" s="62"/>
      <c r="AA288" s="62"/>
      <c r="AB288" s="62"/>
      <c r="AC288" s="62"/>
      <c r="AD288" s="62"/>
      <c r="AE288" s="62"/>
      <c r="AF288" s="62"/>
      <c r="AG288" s="62"/>
      <c r="AH288" s="62"/>
      <c r="AI288" s="62"/>
      <c r="AJ288" s="62"/>
      <c r="AK288" s="62"/>
      <c r="AL288" s="62"/>
      <c r="AM288" s="62"/>
      <c r="AN288" s="62"/>
      <c r="AO288" s="62"/>
      <c r="AP288" s="62"/>
      <c r="AQ288" s="62"/>
      <c r="AR288" s="62"/>
      <c r="AS288" s="62"/>
      <c r="AT288" s="62"/>
      <c r="AU288" s="62"/>
      <c r="AV288" s="62"/>
    </row>
    <row r="289" spans="24:48" x14ac:dyDescent="0.25">
      <c r="X289" s="62"/>
      <c r="Y289" s="62"/>
      <c r="Z289" s="62"/>
      <c r="AA289" s="62"/>
      <c r="AB289" s="62"/>
      <c r="AC289" s="62"/>
      <c r="AD289" s="62"/>
      <c r="AE289" s="62"/>
      <c r="AF289" s="62"/>
      <c r="AG289" s="62"/>
      <c r="AH289" s="62"/>
      <c r="AI289" s="62"/>
      <c r="AJ289" s="62"/>
      <c r="AK289" s="62"/>
      <c r="AL289" s="62"/>
      <c r="AM289" s="62"/>
      <c r="AN289" s="62"/>
      <c r="AO289" s="62"/>
      <c r="AP289" s="62"/>
      <c r="AQ289" s="62"/>
      <c r="AR289" s="62"/>
      <c r="AS289" s="62"/>
      <c r="AT289" s="62"/>
      <c r="AU289" s="62"/>
      <c r="AV289" s="62"/>
    </row>
    <row r="290" spans="24:48" x14ac:dyDescent="0.25">
      <c r="X290" s="62"/>
      <c r="Y290" s="62"/>
      <c r="Z290" s="62"/>
      <c r="AA290" s="62"/>
      <c r="AB290" s="62"/>
      <c r="AC290" s="62"/>
      <c r="AD290" s="62"/>
      <c r="AE290" s="62"/>
      <c r="AF290" s="62"/>
      <c r="AG290" s="62"/>
      <c r="AH290" s="62"/>
      <c r="AI290" s="62"/>
      <c r="AJ290" s="62"/>
      <c r="AK290" s="62"/>
      <c r="AL290" s="62"/>
      <c r="AM290" s="62"/>
      <c r="AN290" s="62"/>
      <c r="AO290" s="62"/>
      <c r="AP290" s="62"/>
      <c r="AQ290" s="62"/>
      <c r="AR290" s="62"/>
      <c r="AS290" s="62"/>
      <c r="AT290" s="62"/>
      <c r="AU290" s="62"/>
      <c r="AV290" s="62"/>
    </row>
    <row r="291" spans="24:48" x14ac:dyDescent="0.25">
      <c r="X291" s="62"/>
      <c r="Y291" s="62"/>
      <c r="Z291" s="62"/>
      <c r="AA291" s="62"/>
      <c r="AB291" s="62"/>
      <c r="AC291" s="62"/>
      <c r="AD291" s="62"/>
      <c r="AE291" s="62"/>
      <c r="AF291" s="62"/>
      <c r="AG291" s="62"/>
      <c r="AH291" s="62"/>
      <c r="AI291" s="62"/>
      <c r="AJ291" s="62"/>
      <c r="AK291" s="62"/>
      <c r="AL291" s="62"/>
      <c r="AM291" s="62"/>
      <c r="AN291" s="62"/>
      <c r="AO291" s="62"/>
      <c r="AP291" s="62"/>
      <c r="AQ291" s="62"/>
      <c r="AR291" s="62"/>
      <c r="AS291" s="62"/>
      <c r="AT291" s="62"/>
      <c r="AU291" s="62"/>
      <c r="AV291" s="62"/>
    </row>
    <row r="292" spans="24:48" x14ac:dyDescent="0.25">
      <c r="X292" s="62"/>
      <c r="Y292" s="62"/>
      <c r="Z292" s="62"/>
      <c r="AA292" s="62"/>
      <c r="AB292" s="62"/>
      <c r="AC292" s="62"/>
      <c r="AD292" s="62"/>
      <c r="AE292" s="62"/>
      <c r="AF292" s="62"/>
      <c r="AG292" s="62"/>
      <c r="AH292" s="62"/>
      <c r="AI292" s="62"/>
      <c r="AJ292" s="62"/>
      <c r="AK292" s="62"/>
      <c r="AL292" s="62"/>
      <c r="AM292" s="62"/>
      <c r="AN292" s="62"/>
      <c r="AO292" s="62"/>
      <c r="AP292" s="62"/>
      <c r="AQ292" s="62"/>
      <c r="AR292" s="62"/>
      <c r="AS292" s="62"/>
      <c r="AT292" s="62"/>
      <c r="AU292" s="62"/>
      <c r="AV292" s="62"/>
    </row>
    <row r="293" spans="24:48" x14ac:dyDescent="0.25">
      <c r="X293" s="62"/>
      <c r="Y293" s="62"/>
      <c r="Z293" s="62"/>
      <c r="AA293" s="62"/>
      <c r="AB293" s="62"/>
      <c r="AC293" s="62"/>
      <c r="AD293" s="62"/>
      <c r="AE293" s="62"/>
      <c r="AF293" s="62"/>
      <c r="AG293" s="62"/>
      <c r="AH293" s="62"/>
      <c r="AI293" s="62"/>
      <c r="AJ293" s="62"/>
      <c r="AK293" s="62"/>
      <c r="AL293" s="62"/>
      <c r="AM293" s="62"/>
      <c r="AN293" s="62"/>
      <c r="AO293" s="62"/>
      <c r="AP293" s="62"/>
      <c r="AQ293" s="62"/>
      <c r="AR293" s="62"/>
      <c r="AS293" s="62"/>
      <c r="AT293" s="62"/>
      <c r="AU293" s="62"/>
      <c r="AV293" s="62"/>
    </row>
    <row r="294" spans="24:48" x14ac:dyDescent="0.25">
      <c r="X294" s="62"/>
      <c r="Y294" s="62"/>
      <c r="Z294" s="62"/>
      <c r="AA294" s="62"/>
      <c r="AB294" s="62"/>
      <c r="AC294" s="62"/>
      <c r="AD294" s="62"/>
      <c r="AE294" s="62"/>
      <c r="AF294" s="62"/>
      <c r="AG294" s="62"/>
      <c r="AH294" s="62"/>
      <c r="AI294" s="62"/>
      <c r="AJ294" s="62"/>
      <c r="AK294" s="62"/>
      <c r="AL294" s="62"/>
      <c r="AM294" s="62"/>
      <c r="AN294" s="62"/>
      <c r="AO294" s="62"/>
      <c r="AP294" s="62"/>
      <c r="AQ294" s="62"/>
      <c r="AR294" s="62"/>
      <c r="AS294" s="62"/>
      <c r="AT294" s="62"/>
      <c r="AU294" s="62"/>
      <c r="AV294" s="62"/>
    </row>
    <row r="295" spans="24:48" x14ac:dyDescent="0.25">
      <c r="X295" s="62"/>
      <c r="Y295" s="62"/>
      <c r="Z295" s="62"/>
      <c r="AA295" s="62"/>
      <c r="AB295" s="62"/>
      <c r="AC295" s="62"/>
      <c r="AD295" s="62"/>
      <c r="AE295" s="62"/>
      <c r="AF295" s="62"/>
      <c r="AG295" s="62"/>
      <c r="AH295" s="62"/>
      <c r="AI295" s="62"/>
      <c r="AJ295" s="62"/>
      <c r="AK295" s="62"/>
      <c r="AL295" s="62"/>
      <c r="AM295" s="62"/>
      <c r="AN295" s="62"/>
      <c r="AO295" s="62"/>
      <c r="AP295" s="62"/>
      <c r="AQ295" s="62"/>
      <c r="AR295" s="62"/>
      <c r="AS295" s="62"/>
      <c r="AT295" s="62"/>
      <c r="AU295" s="62"/>
      <c r="AV295" s="62"/>
    </row>
    <row r="296" spans="24:48" x14ac:dyDescent="0.25">
      <c r="X296" s="62"/>
      <c r="Y296" s="62"/>
      <c r="Z296" s="62"/>
      <c r="AA296" s="62"/>
      <c r="AB296" s="62"/>
      <c r="AC296" s="62"/>
      <c r="AD296" s="62"/>
      <c r="AE296" s="62"/>
      <c r="AF296" s="62"/>
      <c r="AG296" s="62"/>
      <c r="AH296" s="62"/>
      <c r="AI296" s="62"/>
      <c r="AJ296" s="62"/>
      <c r="AK296" s="62"/>
      <c r="AL296" s="62"/>
      <c r="AM296" s="62"/>
      <c r="AN296" s="62"/>
      <c r="AO296" s="62"/>
      <c r="AP296" s="62"/>
      <c r="AQ296" s="62"/>
      <c r="AR296" s="62"/>
      <c r="AS296" s="62"/>
      <c r="AT296" s="62"/>
      <c r="AU296" s="62"/>
      <c r="AV296" s="62"/>
    </row>
    <row r="297" spans="24:48" x14ac:dyDescent="0.25">
      <c r="X297" s="62"/>
      <c r="Y297" s="62"/>
      <c r="Z297" s="62"/>
      <c r="AA297" s="62"/>
      <c r="AB297" s="62"/>
      <c r="AC297" s="62"/>
      <c r="AD297" s="62"/>
      <c r="AE297" s="62"/>
      <c r="AF297" s="62"/>
      <c r="AG297" s="62"/>
      <c r="AH297" s="62"/>
      <c r="AI297" s="62"/>
      <c r="AJ297" s="62"/>
      <c r="AK297" s="62"/>
      <c r="AL297" s="62"/>
      <c r="AM297" s="62"/>
      <c r="AN297" s="62"/>
      <c r="AO297" s="62"/>
      <c r="AP297" s="62"/>
      <c r="AQ297" s="62"/>
      <c r="AR297" s="62"/>
      <c r="AS297" s="62"/>
      <c r="AT297" s="62"/>
      <c r="AU297" s="62"/>
      <c r="AV297" s="62"/>
    </row>
    <row r="298" spans="24:48" x14ac:dyDescent="0.25">
      <c r="X298" s="62"/>
      <c r="Y298" s="62"/>
      <c r="Z298" s="62"/>
      <c r="AA298" s="62"/>
      <c r="AB298" s="62"/>
      <c r="AC298" s="62"/>
      <c r="AD298" s="62"/>
      <c r="AE298" s="62"/>
      <c r="AF298" s="62"/>
      <c r="AG298" s="62"/>
      <c r="AH298" s="62"/>
      <c r="AI298" s="62"/>
      <c r="AJ298" s="62"/>
      <c r="AK298" s="62"/>
      <c r="AL298" s="62"/>
      <c r="AM298" s="62"/>
      <c r="AN298" s="62"/>
      <c r="AO298" s="62"/>
      <c r="AP298" s="62"/>
      <c r="AQ298" s="62"/>
      <c r="AR298" s="62"/>
      <c r="AS298" s="62"/>
      <c r="AT298" s="62"/>
      <c r="AU298" s="62"/>
      <c r="AV298" s="62"/>
    </row>
    <row r="299" spans="24:48" x14ac:dyDescent="0.25">
      <c r="X299" s="62"/>
      <c r="Y299" s="62"/>
      <c r="Z299" s="62"/>
      <c r="AA299" s="62"/>
      <c r="AB299" s="62"/>
      <c r="AC299" s="62"/>
      <c r="AD299" s="62"/>
      <c r="AE299" s="62"/>
      <c r="AF299" s="62"/>
      <c r="AG299" s="62"/>
      <c r="AH299" s="62"/>
      <c r="AI299" s="62"/>
      <c r="AJ299" s="62"/>
      <c r="AK299" s="62"/>
      <c r="AL299" s="62"/>
      <c r="AM299" s="62"/>
      <c r="AN299" s="62"/>
      <c r="AO299" s="62"/>
      <c r="AP299" s="62"/>
      <c r="AQ299" s="62"/>
      <c r="AR299" s="62"/>
      <c r="AS299" s="62"/>
      <c r="AT299" s="62"/>
      <c r="AU299" s="62"/>
      <c r="AV299" s="62"/>
    </row>
    <row r="300" spans="24:48" x14ac:dyDescent="0.25">
      <c r="X300" s="62"/>
      <c r="Y300" s="62"/>
      <c r="Z300" s="62"/>
      <c r="AA300" s="62"/>
      <c r="AB300" s="62"/>
      <c r="AC300" s="62"/>
      <c r="AD300" s="62"/>
      <c r="AE300" s="62"/>
      <c r="AF300" s="62"/>
      <c r="AG300" s="62"/>
      <c r="AH300" s="62"/>
      <c r="AI300" s="62"/>
      <c r="AJ300" s="62"/>
      <c r="AK300" s="62"/>
      <c r="AL300" s="62"/>
      <c r="AM300" s="62"/>
      <c r="AN300" s="62"/>
      <c r="AO300" s="62"/>
      <c r="AP300" s="62"/>
      <c r="AQ300" s="62"/>
      <c r="AR300" s="62"/>
      <c r="AS300" s="62"/>
      <c r="AT300" s="62"/>
      <c r="AU300" s="62"/>
      <c r="AV300" s="62"/>
    </row>
    <row r="301" spans="24:48" x14ac:dyDescent="0.25">
      <c r="X301" s="62"/>
      <c r="Y301" s="62"/>
      <c r="Z301" s="62"/>
      <c r="AA301" s="62"/>
      <c r="AB301" s="62"/>
      <c r="AC301" s="62"/>
      <c r="AD301" s="62"/>
      <c r="AE301" s="62"/>
      <c r="AF301" s="62"/>
      <c r="AG301" s="62"/>
      <c r="AH301" s="62"/>
      <c r="AI301" s="62"/>
      <c r="AJ301" s="62"/>
      <c r="AK301" s="62"/>
      <c r="AL301" s="62"/>
      <c r="AM301" s="62"/>
      <c r="AN301" s="62"/>
      <c r="AO301" s="62"/>
      <c r="AP301" s="62"/>
      <c r="AQ301" s="62"/>
      <c r="AR301" s="62"/>
      <c r="AS301" s="62"/>
      <c r="AT301" s="62"/>
      <c r="AU301" s="62"/>
      <c r="AV301" s="62"/>
    </row>
    <row r="302" spans="24:48" x14ac:dyDescent="0.25">
      <c r="X302" s="62"/>
      <c r="Y302" s="62"/>
      <c r="Z302" s="62"/>
      <c r="AA302" s="62"/>
      <c r="AB302" s="62"/>
      <c r="AC302" s="62"/>
      <c r="AD302" s="62"/>
      <c r="AE302" s="62"/>
      <c r="AF302" s="62"/>
      <c r="AG302" s="62"/>
      <c r="AH302" s="62"/>
      <c r="AI302" s="62"/>
      <c r="AJ302" s="62"/>
      <c r="AK302" s="62"/>
      <c r="AL302" s="62"/>
      <c r="AM302" s="62"/>
      <c r="AN302" s="62"/>
      <c r="AO302" s="62"/>
      <c r="AP302" s="62"/>
      <c r="AQ302" s="62"/>
      <c r="AR302" s="62"/>
      <c r="AS302" s="62"/>
      <c r="AT302" s="62"/>
      <c r="AU302" s="62"/>
      <c r="AV302" s="62"/>
    </row>
    <row r="303" spans="24:48" x14ac:dyDescent="0.25">
      <c r="X303" s="62"/>
      <c r="Y303" s="62"/>
      <c r="Z303" s="62"/>
      <c r="AA303" s="62"/>
      <c r="AB303" s="62"/>
      <c r="AC303" s="62"/>
      <c r="AD303" s="62"/>
      <c r="AE303" s="62"/>
      <c r="AF303" s="62"/>
      <c r="AG303" s="62"/>
      <c r="AH303" s="62"/>
      <c r="AI303" s="62"/>
      <c r="AJ303" s="62"/>
      <c r="AK303" s="62"/>
      <c r="AL303" s="62"/>
      <c r="AM303" s="62"/>
      <c r="AN303" s="62"/>
      <c r="AO303" s="62"/>
      <c r="AP303" s="62"/>
      <c r="AQ303" s="62"/>
      <c r="AR303" s="62"/>
      <c r="AS303" s="62"/>
      <c r="AT303" s="62"/>
      <c r="AU303" s="62"/>
      <c r="AV303" s="62"/>
    </row>
    <row r="304" spans="24:48" x14ac:dyDescent="0.25">
      <c r="X304" s="62"/>
      <c r="Y304" s="62"/>
      <c r="Z304" s="62"/>
      <c r="AA304" s="62"/>
      <c r="AB304" s="62"/>
      <c r="AC304" s="62"/>
      <c r="AD304" s="62"/>
      <c r="AE304" s="62"/>
      <c r="AF304" s="62"/>
      <c r="AG304" s="62"/>
      <c r="AH304" s="62"/>
      <c r="AI304" s="62"/>
      <c r="AJ304" s="62"/>
      <c r="AK304" s="62"/>
      <c r="AL304" s="62"/>
      <c r="AM304" s="62"/>
      <c r="AN304" s="62"/>
      <c r="AO304" s="62"/>
      <c r="AP304" s="62"/>
      <c r="AQ304" s="62"/>
      <c r="AR304" s="62"/>
      <c r="AS304" s="62"/>
      <c r="AT304" s="62"/>
      <c r="AU304" s="62"/>
      <c r="AV304" s="62"/>
    </row>
    <row r="305" spans="24:48" x14ac:dyDescent="0.25">
      <c r="X305" s="62"/>
      <c r="Y305" s="62"/>
      <c r="Z305" s="62"/>
      <c r="AA305" s="62"/>
      <c r="AB305" s="62"/>
      <c r="AC305" s="62"/>
      <c r="AD305" s="62"/>
      <c r="AE305" s="62"/>
      <c r="AF305" s="62"/>
      <c r="AG305" s="62"/>
      <c r="AH305" s="62"/>
      <c r="AI305" s="62"/>
      <c r="AJ305" s="62"/>
      <c r="AK305" s="62"/>
      <c r="AL305" s="62"/>
      <c r="AM305" s="62"/>
      <c r="AN305" s="62"/>
      <c r="AO305" s="62"/>
      <c r="AP305" s="62"/>
      <c r="AQ305" s="62"/>
      <c r="AR305" s="62"/>
      <c r="AS305" s="62"/>
      <c r="AT305" s="62"/>
      <c r="AU305" s="62"/>
      <c r="AV305" s="62"/>
    </row>
    <row r="306" spans="24:48" x14ac:dyDescent="0.25">
      <c r="X306" s="62"/>
      <c r="Y306" s="62"/>
      <c r="Z306" s="62"/>
      <c r="AA306" s="62"/>
      <c r="AB306" s="62"/>
      <c r="AC306" s="62"/>
      <c r="AD306" s="62"/>
      <c r="AE306" s="62"/>
      <c r="AF306" s="62"/>
      <c r="AG306" s="62"/>
      <c r="AH306" s="62"/>
      <c r="AI306" s="62"/>
      <c r="AJ306" s="62"/>
      <c r="AK306" s="62"/>
      <c r="AL306" s="62"/>
      <c r="AM306" s="62"/>
      <c r="AN306" s="62"/>
      <c r="AO306" s="62"/>
      <c r="AP306" s="62"/>
      <c r="AQ306" s="62"/>
      <c r="AR306" s="62"/>
      <c r="AS306" s="62"/>
      <c r="AT306" s="62"/>
      <c r="AU306" s="62"/>
      <c r="AV306" s="62"/>
    </row>
    <row r="307" spans="24:48" x14ac:dyDescent="0.25">
      <c r="X307" s="62"/>
      <c r="Y307" s="62"/>
      <c r="Z307" s="62"/>
      <c r="AA307" s="62"/>
      <c r="AB307" s="62"/>
      <c r="AC307" s="62"/>
      <c r="AD307" s="62"/>
      <c r="AE307" s="62"/>
      <c r="AF307" s="62"/>
      <c r="AG307" s="62"/>
      <c r="AH307" s="62"/>
      <c r="AI307" s="62"/>
      <c r="AJ307" s="62"/>
      <c r="AK307" s="62"/>
      <c r="AL307" s="62"/>
      <c r="AM307" s="62"/>
      <c r="AN307" s="62"/>
      <c r="AO307" s="62"/>
      <c r="AP307" s="62"/>
      <c r="AQ307" s="62"/>
      <c r="AR307" s="62"/>
      <c r="AS307" s="62"/>
      <c r="AT307" s="62"/>
      <c r="AU307" s="62"/>
      <c r="AV307" s="62"/>
    </row>
    <row r="308" spans="24:48" x14ac:dyDescent="0.25">
      <c r="X308" s="62"/>
      <c r="Y308" s="62"/>
      <c r="Z308" s="62"/>
      <c r="AA308" s="62"/>
      <c r="AB308" s="62"/>
      <c r="AC308" s="62"/>
      <c r="AD308" s="62"/>
      <c r="AE308" s="62"/>
      <c r="AF308" s="62"/>
      <c r="AG308" s="62"/>
      <c r="AH308" s="62"/>
      <c r="AI308" s="62"/>
      <c r="AJ308" s="62"/>
      <c r="AK308" s="62"/>
      <c r="AL308" s="62"/>
      <c r="AM308" s="62"/>
      <c r="AN308" s="62"/>
      <c r="AO308" s="62"/>
      <c r="AP308" s="62"/>
      <c r="AQ308" s="62"/>
      <c r="AR308" s="62"/>
      <c r="AS308" s="62"/>
      <c r="AT308" s="62"/>
      <c r="AU308" s="62"/>
      <c r="AV308" s="62"/>
    </row>
    <row r="309" spans="24:48" x14ac:dyDescent="0.25">
      <c r="X309" s="62"/>
      <c r="Y309" s="62"/>
      <c r="Z309" s="62"/>
      <c r="AA309" s="62"/>
      <c r="AB309" s="62"/>
      <c r="AC309" s="62"/>
      <c r="AD309" s="62"/>
      <c r="AE309" s="62"/>
      <c r="AF309" s="62"/>
      <c r="AG309" s="62"/>
      <c r="AH309" s="62"/>
      <c r="AI309" s="62"/>
      <c r="AJ309" s="62"/>
      <c r="AK309" s="62"/>
      <c r="AL309" s="62"/>
      <c r="AM309" s="62"/>
      <c r="AN309" s="62"/>
      <c r="AO309" s="62"/>
      <c r="AP309" s="62"/>
      <c r="AQ309" s="62"/>
      <c r="AR309" s="62"/>
      <c r="AS309" s="62"/>
      <c r="AT309" s="62"/>
      <c r="AU309" s="62"/>
      <c r="AV309" s="62"/>
    </row>
    <row r="310" spans="24:48" x14ac:dyDescent="0.25">
      <c r="X310" s="62"/>
      <c r="Y310" s="62"/>
      <c r="Z310" s="62"/>
      <c r="AA310" s="62"/>
      <c r="AB310" s="62"/>
      <c r="AC310" s="62"/>
      <c r="AD310" s="62"/>
      <c r="AE310" s="62"/>
      <c r="AF310" s="62"/>
      <c r="AG310" s="62"/>
      <c r="AH310" s="62"/>
      <c r="AI310" s="62"/>
      <c r="AJ310" s="62"/>
      <c r="AK310" s="62"/>
      <c r="AL310" s="62"/>
      <c r="AM310" s="62"/>
      <c r="AN310" s="62"/>
      <c r="AO310" s="62"/>
      <c r="AP310" s="62"/>
      <c r="AQ310" s="62"/>
      <c r="AR310" s="62"/>
      <c r="AS310" s="62"/>
      <c r="AT310" s="62"/>
      <c r="AU310" s="62"/>
      <c r="AV310" s="62"/>
    </row>
    <row r="311" spans="24:48" x14ac:dyDescent="0.25">
      <c r="X311" s="62"/>
      <c r="Y311" s="62"/>
      <c r="Z311" s="62"/>
      <c r="AA311" s="62"/>
      <c r="AB311" s="62"/>
      <c r="AC311" s="62"/>
      <c r="AD311" s="62"/>
      <c r="AE311" s="62"/>
      <c r="AF311" s="62"/>
      <c r="AG311" s="62"/>
      <c r="AH311" s="62"/>
      <c r="AI311" s="62"/>
      <c r="AJ311" s="62"/>
      <c r="AK311" s="62"/>
      <c r="AL311" s="62"/>
      <c r="AM311" s="62"/>
      <c r="AN311" s="62"/>
      <c r="AO311" s="62"/>
      <c r="AP311" s="62"/>
      <c r="AQ311" s="62"/>
      <c r="AR311" s="62"/>
      <c r="AS311" s="62"/>
      <c r="AT311" s="62"/>
      <c r="AU311" s="62"/>
      <c r="AV311" s="62"/>
    </row>
    <row r="312" spans="24:48" x14ac:dyDescent="0.25">
      <c r="X312" s="62"/>
      <c r="Y312" s="62"/>
      <c r="Z312" s="62"/>
      <c r="AA312" s="62"/>
      <c r="AB312" s="62"/>
      <c r="AC312" s="62"/>
      <c r="AD312" s="62"/>
      <c r="AE312" s="62"/>
      <c r="AF312" s="62"/>
      <c r="AG312" s="62"/>
      <c r="AH312" s="62"/>
      <c r="AI312" s="62"/>
      <c r="AJ312" s="62"/>
      <c r="AK312" s="62"/>
      <c r="AL312" s="62"/>
      <c r="AM312" s="62"/>
      <c r="AN312" s="62"/>
      <c r="AO312" s="62"/>
      <c r="AP312" s="62"/>
      <c r="AQ312" s="62"/>
      <c r="AR312" s="62"/>
      <c r="AS312" s="62"/>
      <c r="AT312" s="62"/>
      <c r="AU312" s="62"/>
      <c r="AV312" s="62"/>
    </row>
    <row r="313" spans="24:48" x14ac:dyDescent="0.25">
      <c r="X313" s="62"/>
      <c r="Y313" s="62"/>
      <c r="Z313" s="62"/>
      <c r="AA313" s="62"/>
      <c r="AB313" s="62"/>
      <c r="AC313" s="62"/>
      <c r="AD313" s="62"/>
      <c r="AE313" s="62"/>
      <c r="AF313" s="62"/>
      <c r="AG313" s="62"/>
      <c r="AH313" s="62"/>
      <c r="AI313" s="62"/>
      <c r="AJ313" s="62"/>
      <c r="AK313" s="62"/>
      <c r="AL313" s="62"/>
      <c r="AM313" s="62"/>
      <c r="AN313" s="62"/>
      <c r="AO313" s="62"/>
      <c r="AP313" s="62"/>
      <c r="AQ313" s="62"/>
      <c r="AR313" s="62"/>
      <c r="AS313" s="62"/>
      <c r="AT313" s="62"/>
      <c r="AU313" s="62"/>
      <c r="AV313" s="62"/>
    </row>
    <row r="314" spans="24:48" x14ac:dyDescent="0.25">
      <c r="X314" s="62"/>
      <c r="Y314" s="62"/>
      <c r="Z314" s="62"/>
      <c r="AA314" s="62"/>
      <c r="AB314" s="62"/>
      <c r="AC314" s="62"/>
      <c r="AD314" s="62"/>
      <c r="AE314" s="62"/>
      <c r="AF314" s="62"/>
      <c r="AG314" s="62"/>
      <c r="AH314" s="62"/>
      <c r="AI314" s="62"/>
      <c r="AJ314" s="62"/>
      <c r="AK314" s="62"/>
      <c r="AL314" s="62"/>
      <c r="AM314" s="62"/>
      <c r="AN314" s="62"/>
      <c r="AO314" s="62"/>
      <c r="AP314" s="62"/>
      <c r="AQ314" s="62"/>
      <c r="AR314" s="62"/>
      <c r="AS314" s="62"/>
      <c r="AT314" s="62"/>
      <c r="AU314" s="62"/>
      <c r="AV314" s="62"/>
    </row>
    <row r="315" spans="24:48" x14ac:dyDescent="0.25">
      <c r="X315" s="62"/>
      <c r="Y315" s="62"/>
      <c r="Z315" s="62"/>
      <c r="AA315" s="62"/>
      <c r="AB315" s="62"/>
      <c r="AC315" s="62"/>
      <c r="AD315" s="62"/>
      <c r="AE315" s="62"/>
      <c r="AF315" s="62"/>
      <c r="AG315" s="62"/>
      <c r="AH315" s="62"/>
      <c r="AI315" s="62"/>
      <c r="AJ315" s="62"/>
      <c r="AK315" s="62"/>
      <c r="AL315" s="62"/>
      <c r="AM315" s="62"/>
      <c r="AN315" s="62"/>
      <c r="AO315" s="62"/>
      <c r="AP315" s="62"/>
      <c r="AQ315" s="62"/>
      <c r="AR315" s="62"/>
      <c r="AS315" s="62"/>
      <c r="AT315" s="62"/>
      <c r="AU315" s="62"/>
      <c r="AV315" s="62"/>
    </row>
    <row r="316" spans="24:48" x14ac:dyDescent="0.25">
      <c r="X316" s="62"/>
      <c r="Y316" s="62"/>
      <c r="Z316" s="62"/>
      <c r="AA316" s="62"/>
      <c r="AB316" s="62"/>
      <c r="AC316" s="62"/>
      <c r="AD316" s="62"/>
      <c r="AE316" s="62"/>
      <c r="AF316" s="62"/>
      <c r="AG316" s="62"/>
      <c r="AH316" s="62"/>
      <c r="AI316" s="62"/>
      <c r="AJ316" s="62"/>
      <c r="AK316" s="62"/>
      <c r="AL316" s="62"/>
      <c r="AM316" s="62"/>
      <c r="AN316" s="62"/>
      <c r="AO316" s="62"/>
      <c r="AP316" s="62"/>
      <c r="AQ316" s="62"/>
      <c r="AR316" s="62"/>
      <c r="AS316" s="62"/>
      <c r="AT316" s="62"/>
      <c r="AU316" s="62"/>
      <c r="AV316" s="62"/>
    </row>
    <row r="317" spans="24:48" x14ac:dyDescent="0.25">
      <c r="X317" s="62"/>
      <c r="Y317" s="62"/>
      <c r="Z317" s="62"/>
      <c r="AA317" s="62"/>
      <c r="AB317" s="62"/>
      <c r="AC317" s="62"/>
      <c r="AD317" s="62"/>
      <c r="AE317" s="62"/>
      <c r="AF317" s="62"/>
      <c r="AG317" s="62"/>
      <c r="AH317" s="62"/>
      <c r="AI317" s="62"/>
      <c r="AJ317" s="62"/>
      <c r="AK317" s="62"/>
      <c r="AL317" s="62"/>
      <c r="AM317" s="62"/>
      <c r="AN317" s="62"/>
      <c r="AO317" s="62"/>
      <c r="AP317" s="62"/>
      <c r="AQ317" s="62"/>
      <c r="AR317" s="62"/>
      <c r="AS317" s="62"/>
      <c r="AT317" s="62"/>
      <c r="AU317" s="62"/>
      <c r="AV317" s="62"/>
    </row>
    <row r="318" spans="24:48" x14ac:dyDescent="0.25">
      <c r="X318" s="62"/>
      <c r="Y318" s="62"/>
      <c r="Z318" s="62"/>
      <c r="AA318" s="62"/>
      <c r="AB318" s="62"/>
      <c r="AC318" s="62"/>
      <c r="AD318" s="62"/>
      <c r="AE318" s="62"/>
      <c r="AF318" s="62"/>
      <c r="AG318" s="62"/>
      <c r="AH318" s="62"/>
      <c r="AI318" s="62"/>
      <c r="AJ318" s="62"/>
      <c r="AK318" s="62"/>
      <c r="AL318" s="62"/>
      <c r="AM318" s="62"/>
      <c r="AN318" s="62"/>
      <c r="AO318" s="62"/>
      <c r="AP318" s="62"/>
      <c r="AQ318" s="62"/>
      <c r="AR318" s="62"/>
      <c r="AS318" s="62"/>
      <c r="AT318" s="62"/>
      <c r="AU318" s="62"/>
      <c r="AV318" s="62"/>
    </row>
    <row r="319" spans="24:48" x14ac:dyDescent="0.25">
      <c r="X319" s="62"/>
      <c r="Y319" s="62"/>
      <c r="Z319" s="62"/>
      <c r="AA319" s="62"/>
      <c r="AB319" s="62"/>
      <c r="AC319" s="62"/>
      <c r="AD319" s="62"/>
      <c r="AE319" s="62"/>
      <c r="AF319" s="62"/>
      <c r="AG319" s="62"/>
      <c r="AH319" s="62"/>
      <c r="AI319" s="62"/>
      <c r="AJ319" s="62"/>
      <c r="AK319" s="62"/>
      <c r="AL319" s="62"/>
      <c r="AM319" s="62"/>
      <c r="AN319" s="62"/>
      <c r="AO319" s="62"/>
      <c r="AP319" s="62"/>
      <c r="AQ319" s="62"/>
      <c r="AR319" s="62"/>
      <c r="AS319" s="62"/>
      <c r="AT319" s="62"/>
      <c r="AU319" s="62"/>
      <c r="AV319" s="62"/>
    </row>
    <row r="320" spans="24:48" x14ac:dyDescent="0.25">
      <c r="X320" s="62"/>
      <c r="Y320" s="62"/>
      <c r="Z320" s="62"/>
      <c r="AA320" s="62"/>
      <c r="AB320" s="62"/>
      <c r="AC320" s="62"/>
      <c r="AD320" s="62"/>
      <c r="AE320" s="62"/>
      <c r="AF320" s="62"/>
      <c r="AG320" s="62"/>
      <c r="AH320" s="62"/>
      <c r="AI320" s="62"/>
      <c r="AJ320" s="62"/>
      <c r="AK320" s="62"/>
      <c r="AL320" s="62"/>
      <c r="AM320" s="62"/>
      <c r="AN320" s="62"/>
      <c r="AO320" s="62"/>
      <c r="AP320" s="62"/>
      <c r="AQ320" s="62"/>
      <c r="AR320" s="62"/>
      <c r="AS320" s="62"/>
      <c r="AT320" s="62"/>
      <c r="AU320" s="62"/>
      <c r="AV320" s="62"/>
    </row>
    <row r="321" spans="24:48" x14ac:dyDescent="0.25">
      <c r="X321" s="62"/>
      <c r="Y321" s="62"/>
      <c r="Z321" s="62"/>
      <c r="AA321" s="62"/>
      <c r="AB321" s="62"/>
      <c r="AC321" s="62"/>
      <c r="AD321" s="62"/>
      <c r="AE321" s="62"/>
      <c r="AF321" s="62"/>
      <c r="AG321" s="62"/>
      <c r="AH321" s="62"/>
      <c r="AI321" s="62"/>
      <c r="AJ321" s="62"/>
      <c r="AK321" s="62"/>
      <c r="AL321" s="62"/>
      <c r="AM321" s="62"/>
      <c r="AN321" s="62"/>
      <c r="AO321" s="62"/>
      <c r="AP321" s="62"/>
      <c r="AQ321" s="62"/>
      <c r="AR321" s="62"/>
      <c r="AS321" s="62"/>
      <c r="AT321" s="62"/>
      <c r="AU321" s="62"/>
      <c r="AV321" s="62"/>
    </row>
    <row r="322" spans="24:48" x14ac:dyDescent="0.25">
      <c r="X322" s="62"/>
      <c r="Y322" s="62"/>
      <c r="Z322" s="62"/>
      <c r="AA322" s="62"/>
      <c r="AB322" s="62"/>
      <c r="AC322" s="62"/>
      <c r="AD322" s="62"/>
      <c r="AE322" s="62"/>
      <c r="AF322" s="62"/>
      <c r="AG322" s="62"/>
      <c r="AH322" s="62"/>
      <c r="AI322" s="62"/>
      <c r="AJ322" s="62"/>
      <c r="AK322" s="62"/>
      <c r="AL322" s="62"/>
      <c r="AM322" s="62"/>
      <c r="AN322" s="62"/>
      <c r="AO322" s="62"/>
      <c r="AP322" s="62"/>
      <c r="AQ322" s="62"/>
      <c r="AR322" s="62"/>
      <c r="AS322" s="62"/>
      <c r="AT322" s="62"/>
      <c r="AU322" s="62"/>
      <c r="AV322" s="62"/>
    </row>
    <row r="323" spans="24:48" x14ac:dyDescent="0.25">
      <c r="X323" s="62"/>
      <c r="Y323" s="62"/>
      <c r="Z323" s="62"/>
      <c r="AA323" s="62"/>
      <c r="AB323" s="62"/>
      <c r="AC323" s="62"/>
      <c r="AD323" s="62"/>
      <c r="AE323" s="62"/>
      <c r="AF323" s="62"/>
      <c r="AG323" s="62"/>
      <c r="AH323" s="62"/>
      <c r="AI323" s="62"/>
      <c r="AJ323" s="62"/>
      <c r="AK323" s="62"/>
      <c r="AL323" s="62"/>
      <c r="AM323" s="62"/>
      <c r="AN323" s="62"/>
      <c r="AO323" s="62"/>
      <c r="AP323" s="62"/>
      <c r="AQ323" s="62"/>
      <c r="AR323" s="62"/>
      <c r="AS323" s="62"/>
      <c r="AT323" s="62"/>
      <c r="AU323" s="62"/>
      <c r="AV323" s="62"/>
    </row>
    <row r="324" spans="24:48" x14ac:dyDescent="0.25">
      <c r="X324" s="62"/>
      <c r="Y324" s="62"/>
      <c r="Z324" s="62"/>
      <c r="AA324" s="62"/>
      <c r="AB324" s="62"/>
      <c r="AC324" s="62"/>
      <c r="AD324" s="62"/>
      <c r="AE324" s="62"/>
      <c r="AF324" s="62"/>
      <c r="AG324" s="62"/>
      <c r="AH324" s="62"/>
      <c r="AI324" s="62"/>
      <c r="AJ324" s="62"/>
      <c r="AK324" s="62"/>
      <c r="AL324" s="62"/>
      <c r="AM324" s="62"/>
      <c r="AN324" s="62"/>
      <c r="AO324" s="62"/>
      <c r="AP324" s="62"/>
      <c r="AQ324" s="62"/>
      <c r="AR324" s="62"/>
      <c r="AS324" s="62"/>
      <c r="AT324" s="62"/>
      <c r="AU324" s="62"/>
      <c r="AV324" s="62"/>
    </row>
    <row r="325" spans="24:48" x14ac:dyDescent="0.25">
      <c r="X325" s="62"/>
      <c r="Y325" s="62"/>
      <c r="Z325" s="62"/>
      <c r="AA325" s="62"/>
      <c r="AB325" s="62"/>
      <c r="AC325" s="62"/>
      <c r="AD325" s="62"/>
      <c r="AE325" s="62"/>
      <c r="AF325" s="62"/>
      <c r="AG325" s="62"/>
      <c r="AH325" s="62"/>
      <c r="AI325" s="62"/>
      <c r="AJ325" s="62"/>
      <c r="AK325" s="62"/>
      <c r="AL325" s="62"/>
      <c r="AM325" s="62"/>
      <c r="AN325" s="62"/>
      <c r="AO325" s="62"/>
      <c r="AP325" s="62"/>
      <c r="AQ325" s="62"/>
      <c r="AR325" s="62"/>
      <c r="AS325" s="62"/>
      <c r="AT325" s="62"/>
      <c r="AU325" s="62"/>
      <c r="AV325" s="62"/>
    </row>
    <row r="326" spans="24:48" x14ac:dyDescent="0.25">
      <c r="X326" s="62"/>
      <c r="Y326" s="62"/>
      <c r="Z326" s="62"/>
      <c r="AA326" s="62"/>
      <c r="AB326" s="62"/>
      <c r="AC326" s="62"/>
      <c r="AD326" s="62"/>
      <c r="AE326" s="62"/>
      <c r="AF326" s="62"/>
      <c r="AG326" s="62"/>
      <c r="AH326" s="62"/>
      <c r="AI326" s="62"/>
      <c r="AJ326" s="62"/>
      <c r="AK326" s="62"/>
      <c r="AL326" s="62"/>
      <c r="AM326" s="62"/>
      <c r="AN326" s="62"/>
      <c r="AO326" s="62"/>
      <c r="AP326" s="62"/>
      <c r="AQ326" s="62"/>
      <c r="AR326" s="62"/>
      <c r="AS326" s="62"/>
      <c r="AT326" s="62"/>
      <c r="AU326" s="62"/>
      <c r="AV326" s="62"/>
    </row>
    <row r="327" spans="24:48" x14ac:dyDescent="0.25">
      <c r="X327" s="62"/>
      <c r="Y327" s="62"/>
      <c r="Z327" s="62"/>
      <c r="AA327" s="62"/>
      <c r="AB327" s="62"/>
      <c r="AC327" s="62"/>
      <c r="AD327" s="62"/>
      <c r="AE327" s="62"/>
      <c r="AF327" s="62"/>
      <c r="AG327" s="62"/>
      <c r="AH327" s="62"/>
      <c r="AI327" s="62"/>
      <c r="AJ327" s="62"/>
      <c r="AK327" s="62"/>
      <c r="AL327" s="62"/>
      <c r="AM327" s="62"/>
      <c r="AN327" s="62"/>
      <c r="AO327" s="62"/>
      <c r="AP327" s="62"/>
      <c r="AQ327" s="62"/>
      <c r="AR327" s="62"/>
      <c r="AS327" s="62"/>
      <c r="AT327" s="62"/>
      <c r="AU327" s="62"/>
      <c r="AV327" s="62"/>
    </row>
    <row r="328" spans="24:48" x14ac:dyDescent="0.25">
      <c r="X328" s="62"/>
      <c r="Y328" s="62"/>
      <c r="Z328" s="62"/>
      <c r="AA328" s="62"/>
      <c r="AB328" s="62"/>
      <c r="AC328" s="62"/>
      <c r="AD328" s="62"/>
      <c r="AE328" s="62"/>
      <c r="AF328" s="62"/>
      <c r="AG328" s="62"/>
      <c r="AH328" s="62"/>
      <c r="AI328" s="62"/>
      <c r="AJ328" s="62"/>
      <c r="AK328" s="62"/>
      <c r="AL328" s="62"/>
      <c r="AM328" s="62"/>
      <c r="AN328" s="62"/>
      <c r="AO328" s="62"/>
      <c r="AP328" s="62"/>
      <c r="AQ328" s="62"/>
      <c r="AR328" s="62"/>
      <c r="AS328" s="62"/>
      <c r="AT328" s="62"/>
      <c r="AU328" s="62"/>
      <c r="AV328" s="62"/>
    </row>
    <row r="329" spans="24:48" x14ac:dyDescent="0.25">
      <c r="X329" s="62"/>
      <c r="Y329" s="62"/>
      <c r="Z329" s="62"/>
      <c r="AA329" s="62"/>
      <c r="AB329" s="62"/>
      <c r="AC329" s="62"/>
      <c r="AD329" s="62"/>
      <c r="AE329" s="62"/>
      <c r="AF329" s="62"/>
      <c r="AG329" s="62"/>
      <c r="AH329" s="62"/>
      <c r="AI329" s="62"/>
      <c r="AJ329" s="62"/>
      <c r="AK329" s="62"/>
      <c r="AL329" s="62"/>
      <c r="AM329" s="62"/>
      <c r="AN329" s="62"/>
      <c r="AO329" s="62"/>
      <c r="AP329" s="62"/>
      <c r="AQ329" s="62"/>
      <c r="AR329" s="62"/>
      <c r="AS329" s="62"/>
      <c r="AT329" s="62"/>
      <c r="AU329" s="62"/>
      <c r="AV329" s="62"/>
    </row>
    <row r="330" spans="24:48" x14ac:dyDescent="0.25">
      <c r="X330" s="62"/>
      <c r="Y330" s="62"/>
      <c r="Z330" s="62"/>
      <c r="AA330" s="62"/>
      <c r="AB330" s="62"/>
      <c r="AC330" s="62"/>
      <c r="AD330" s="62"/>
      <c r="AE330" s="62"/>
      <c r="AF330" s="62"/>
      <c r="AG330" s="62"/>
      <c r="AH330" s="62"/>
      <c r="AI330" s="62"/>
      <c r="AJ330" s="62"/>
      <c r="AK330" s="62"/>
      <c r="AL330" s="62"/>
      <c r="AM330" s="62"/>
      <c r="AN330" s="62"/>
      <c r="AO330" s="62"/>
      <c r="AP330" s="62"/>
      <c r="AQ330" s="62"/>
      <c r="AR330" s="62"/>
      <c r="AS330" s="62"/>
      <c r="AT330" s="62"/>
      <c r="AU330" s="62"/>
      <c r="AV330" s="62"/>
    </row>
    <row r="331" spans="24:48" x14ac:dyDescent="0.25">
      <c r="X331" s="62"/>
      <c r="Y331" s="62"/>
      <c r="Z331" s="62"/>
      <c r="AA331" s="62"/>
      <c r="AB331" s="62"/>
      <c r="AC331" s="62"/>
      <c r="AD331" s="62"/>
      <c r="AE331" s="62"/>
      <c r="AF331" s="62"/>
      <c r="AG331" s="62"/>
      <c r="AH331" s="62"/>
      <c r="AI331" s="62"/>
      <c r="AJ331" s="62"/>
      <c r="AK331" s="62"/>
      <c r="AL331" s="62"/>
      <c r="AM331" s="62"/>
      <c r="AN331" s="62"/>
      <c r="AO331" s="62"/>
      <c r="AP331" s="62"/>
      <c r="AQ331" s="62"/>
      <c r="AR331" s="62"/>
      <c r="AS331" s="62"/>
      <c r="AT331" s="62"/>
      <c r="AU331" s="62"/>
      <c r="AV331" s="62"/>
    </row>
    <row r="332" spans="24:48" x14ac:dyDescent="0.25">
      <c r="X332" s="62"/>
      <c r="Y332" s="62"/>
      <c r="Z332" s="62"/>
      <c r="AA332" s="62"/>
      <c r="AB332" s="62"/>
      <c r="AC332" s="62"/>
      <c r="AD332" s="62"/>
      <c r="AE332" s="62"/>
      <c r="AF332" s="62"/>
      <c r="AG332" s="62"/>
      <c r="AH332" s="62"/>
      <c r="AI332" s="62"/>
      <c r="AJ332" s="62"/>
      <c r="AK332" s="62"/>
      <c r="AL332" s="62"/>
      <c r="AM332" s="62"/>
      <c r="AN332" s="62"/>
      <c r="AO332" s="62"/>
      <c r="AP332" s="62"/>
      <c r="AQ332" s="62"/>
      <c r="AR332" s="62"/>
      <c r="AS332" s="62"/>
      <c r="AT332" s="62"/>
      <c r="AU332" s="62"/>
      <c r="AV332" s="62"/>
    </row>
    <row r="333" spans="24:48" x14ac:dyDescent="0.25">
      <c r="X333" s="62"/>
      <c r="Y333" s="62"/>
      <c r="Z333" s="62"/>
      <c r="AA333" s="62"/>
      <c r="AB333" s="62"/>
      <c r="AC333" s="62"/>
      <c r="AD333" s="62"/>
      <c r="AE333" s="62"/>
      <c r="AF333" s="62"/>
      <c r="AG333" s="62"/>
      <c r="AH333" s="62"/>
      <c r="AI333" s="62"/>
      <c r="AJ333" s="62"/>
      <c r="AK333" s="62"/>
      <c r="AL333" s="62"/>
      <c r="AM333" s="62"/>
      <c r="AN333" s="62"/>
      <c r="AO333" s="62"/>
      <c r="AP333" s="62"/>
      <c r="AQ333" s="62"/>
      <c r="AR333" s="62"/>
      <c r="AS333" s="62"/>
      <c r="AT333" s="62"/>
      <c r="AU333" s="62"/>
      <c r="AV333" s="62"/>
    </row>
    <row r="334" spans="24:48" x14ac:dyDescent="0.25">
      <c r="X334" s="62"/>
      <c r="Y334" s="62"/>
      <c r="Z334" s="62"/>
      <c r="AA334" s="62"/>
      <c r="AB334" s="62"/>
      <c r="AC334" s="62"/>
      <c r="AD334" s="62"/>
      <c r="AE334" s="62"/>
      <c r="AF334" s="62"/>
      <c r="AG334" s="62"/>
      <c r="AH334" s="62"/>
      <c r="AI334" s="62"/>
      <c r="AJ334" s="62"/>
      <c r="AK334" s="62"/>
      <c r="AL334" s="62"/>
      <c r="AM334" s="62"/>
      <c r="AN334" s="62"/>
      <c r="AO334" s="62"/>
      <c r="AP334" s="62"/>
      <c r="AQ334" s="62"/>
      <c r="AR334" s="62"/>
      <c r="AS334" s="62"/>
      <c r="AT334" s="62"/>
      <c r="AU334" s="62"/>
      <c r="AV334" s="62"/>
    </row>
    <row r="335" spans="24:48" x14ac:dyDescent="0.25">
      <c r="X335" s="62"/>
      <c r="Y335" s="62"/>
      <c r="Z335" s="62"/>
      <c r="AA335" s="62"/>
      <c r="AB335" s="62"/>
      <c r="AC335" s="62"/>
      <c r="AD335" s="62"/>
      <c r="AE335" s="62"/>
      <c r="AF335" s="62"/>
      <c r="AG335" s="62"/>
      <c r="AH335" s="62"/>
      <c r="AI335" s="62"/>
      <c r="AJ335" s="62"/>
      <c r="AK335" s="62"/>
      <c r="AL335" s="62"/>
      <c r="AM335" s="62"/>
      <c r="AN335" s="62"/>
      <c r="AO335" s="62"/>
      <c r="AP335" s="62"/>
      <c r="AQ335" s="62"/>
      <c r="AR335" s="62"/>
      <c r="AS335" s="62"/>
      <c r="AT335" s="62"/>
      <c r="AU335" s="62"/>
      <c r="AV335" s="62"/>
    </row>
    <row r="336" spans="24:48" x14ac:dyDescent="0.25">
      <c r="X336" s="62"/>
      <c r="Y336" s="62"/>
      <c r="Z336" s="62"/>
      <c r="AA336" s="62"/>
      <c r="AB336" s="62"/>
      <c r="AC336" s="62"/>
      <c r="AD336" s="62"/>
      <c r="AE336" s="62"/>
      <c r="AF336" s="62"/>
      <c r="AG336" s="62"/>
      <c r="AH336" s="62"/>
      <c r="AI336" s="62"/>
      <c r="AJ336" s="62"/>
      <c r="AK336" s="62"/>
      <c r="AL336" s="62"/>
      <c r="AM336" s="62"/>
      <c r="AN336" s="62"/>
      <c r="AO336" s="62"/>
      <c r="AP336" s="62"/>
      <c r="AQ336" s="62"/>
      <c r="AR336" s="62"/>
      <c r="AS336" s="62"/>
      <c r="AT336" s="62"/>
      <c r="AU336" s="62"/>
      <c r="AV336" s="62"/>
    </row>
    <row r="337" spans="24:48" x14ac:dyDescent="0.25">
      <c r="X337" s="62"/>
      <c r="Y337" s="62"/>
      <c r="Z337" s="62"/>
      <c r="AA337" s="62"/>
      <c r="AB337" s="62"/>
      <c r="AC337" s="62"/>
      <c r="AD337" s="62"/>
      <c r="AE337" s="62"/>
      <c r="AF337" s="62"/>
      <c r="AG337" s="62"/>
      <c r="AH337" s="62"/>
      <c r="AI337" s="62"/>
      <c r="AJ337" s="62"/>
      <c r="AK337" s="62"/>
      <c r="AL337" s="62"/>
      <c r="AM337" s="62"/>
      <c r="AN337" s="62"/>
      <c r="AO337" s="62"/>
      <c r="AP337" s="62"/>
      <c r="AQ337" s="62"/>
      <c r="AR337" s="62"/>
      <c r="AS337" s="62"/>
      <c r="AT337" s="62"/>
      <c r="AU337" s="62"/>
      <c r="AV337" s="62"/>
    </row>
    <row r="338" spans="24:48" x14ac:dyDescent="0.25">
      <c r="X338" s="62"/>
      <c r="Y338" s="62"/>
      <c r="Z338" s="62"/>
      <c r="AA338" s="62"/>
      <c r="AB338" s="62"/>
      <c r="AC338" s="62"/>
      <c r="AD338" s="62"/>
      <c r="AE338" s="62"/>
      <c r="AF338" s="62"/>
      <c r="AG338" s="62"/>
      <c r="AH338" s="62"/>
      <c r="AI338" s="62"/>
      <c r="AJ338" s="62"/>
      <c r="AK338" s="62"/>
      <c r="AL338" s="62"/>
      <c r="AM338" s="62"/>
      <c r="AN338" s="62"/>
      <c r="AO338" s="62"/>
      <c r="AP338" s="62"/>
      <c r="AQ338" s="62"/>
      <c r="AR338" s="62"/>
      <c r="AS338" s="62"/>
      <c r="AT338" s="62"/>
      <c r="AU338" s="62"/>
      <c r="AV338" s="62"/>
    </row>
    <row r="339" spans="24:48" x14ac:dyDescent="0.25">
      <c r="X339" s="62"/>
      <c r="Y339" s="62"/>
      <c r="Z339" s="62"/>
      <c r="AA339" s="62"/>
      <c r="AB339" s="62"/>
      <c r="AC339" s="62"/>
      <c r="AD339" s="62"/>
      <c r="AE339" s="62"/>
      <c r="AF339" s="62"/>
      <c r="AG339" s="62"/>
      <c r="AH339" s="62"/>
      <c r="AI339" s="62"/>
      <c r="AJ339" s="62"/>
      <c r="AK339" s="62"/>
      <c r="AL339" s="62"/>
      <c r="AM339" s="62"/>
      <c r="AN339" s="62"/>
      <c r="AO339" s="62"/>
      <c r="AP339" s="62"/>
      <c r="AQ339" s="62"/>
      <c r="AR339" s="62"/>
      <c r="AS339" s="62"/>
      <c r="AT339" s="62"/>
      <c r="AU339" s="62"/>
      <c r="AV339" s="62"/>
    </row>
    <row r="340" spans="24:48" x14ac:dyDescent="0.25">
      <c r="X340" s="62"/>
      <c r="Y340" s="62"/>
      <c r="Z340" s="62"/>
      <c r="AA340" s="62"/>
      <c r="AB340" s="62"/>
      <c r="AC340" s="62"/>
      <c r="AD340" s="62"/>
      <c r="AE340" s="62"/>
      <c r="AF340" s="62"/>
      <c r="AG340" s="62"/>
      <c r="AH340" s="62"/>
      <c r="AI340" s="62"/>
      <c r="AJ340" s="62"/>
      <c r="AK340" s="62"/>
      <c r="AL340" s="62"/>
      <c r="AM340" s="62"/>
      <c r="AN340" s="62"/>
      <c r="AO340" s="62"/>
      <c r="AP340" s="62"/>
      <c r="AQ340" s="62"/>
      <c r="AR340" s="62"/>
      <c r="AS340" s="62"/>
      <c r="AT340" s="62"/>
      <c r="AU340" s="62"/>
      <c r="AV340" s="62"/>
    </row>
    <row r="341" spans="24:48" x14ac:dyDescent="0.25">
      <c r="X341" s="62"/>
      <c r="Y341" s="62"/>
      <c r="Z341" s="62"/>
      <c r="AA341" s="62"/>
      <c r="AB341" s="62"/>
      <c r="AC341" s="62"/>
      <c r="AD341" s="62"/>
      <c r="AE341" s="62"/>
      <c r="AF341" s="62"/>
      <c r="AG341" s="62"/>
      <c r="AH341" s="62"/>
      <c r="AI341" s="62"/>
      <c r="AJ341" s="62"/>
      <c r="AK341" s="62"/>
      <c r="AL341" s="62"/>
      <c r="AM341" s="62"/>
      <c r="AN341" s="62"/>
      <c r="AO341" s="62"/>
      <c r="AP341" s="62"/>
      <c r="AQ341" s="62"/>
      <c r="AR341" s="62"/>
      <c r="AS341" s="62"/>
      <c r="AT341" s="62"/>
      <c r="AU341" s="62"/>
      <c r="AV341" s="62"/>
    </row>
    <row r="342" spans="24:48" x14ac:dyDescent="0.25">
      <c r="X342" s="62"/>
      <c r="Y342" s="62"/>
      <c r="Z342" s="62"/>
      <c r="AA342" s="62"/>
      <c r="AB342" s="62"/>
      <c r="AC342" s="62"/>
      <c r="AD342" s="62"/>
      <c r="AE342" s="62"/>
      <c r="AF342" s="62"/>
      <c r="AG342" s="62"/>
      <c r="AH342" s="62"/>
      <c r="AI342" s="62"/>
      <c r="AJ342" s="62"/>
      <c r="AK342" s="62"/>
      <c r="AL342" s="62"/>
      <c r="AM342" s="62"/>
      <c r="AN342" s="62"/>
      <c r="AO342" s="62"/>
      <c r="AP342" s="62"/>
      <c r="AQ342" s="62"/>
      <c r="AR342" s="62"/>
      <c r="AS342" s="62"/>
      <c r="AT342" s="62"/>
      <c r="AU342" s="62"/>
      <c r="AV342" s="62"/>
    </row>
    <row r="343" spans="24:48" x14ac:dyDescent="0.25">
      <c r="X343" s="62"/>
      <c r="Y343" s="62"/>
      <c r="Z343" s="62"/>
      <c r="AA343" s="62"/>
      <c r="AB343" s="62"/>
      <c r="AC343" s="62"/>
      <c r="AD343" s="62"/>
      <c r="AE343" s="62"/>
      <c r="AF343" s="62"/>
      <c r="AG343" s="62"/>
      <c r="AH343" s="62"/>
      <c r="AI343" s="62"/>
      <c r="AJ343" s="62"/>
      <c r="AK343" s="62"/>
      <c r="AL343" s="62"/>
      <c r="AM343" s="62"/>
      <c r="AN343" s="62"/>
      <c r="AO343" s="62"/>
      <c r="AP343" s="62"/>
      <c r="AQ343" s="62"/>
      <c r="AR343" s="62"/>
      <c r="AS343" s="62"/>
      <c r="AT343" s="62"/>
      <c r="AU343" s="62"/>
      <c r="AV343" s="62"/>
    </row>
    <row r="344" spans="24:48" x14ac:dyDescent="0.25">
      <c r="X344" s="62"/>
      <c r="Y344" s="62"/>
      <c r="Z344" s="62"/>
      <c r="AA344" s="62"/>
      <c r="AB344" s="62"/>
      <c r="AC344" s="62"/>
      <c r="AD344" s="62"/>
      <c r="AE344" s="62"/>
      <c r="AF344" s="62"/>
      <c r="AG344" s="62"/>
      <c r="AH344" s="62"/>
      <c r="AI344" s="62"/>
      <c r="AJ344" s="62"/>
      <c r="AK344" s="62"/>
      <c r="AL344" s="62"/>
      <c r="AM344" s="62"/>
      <c r="AN344" s="62"/>
      <c r="AO344" s="62"/>
      <c r="AP344" s="62"/>
      <c r="AQ344" s="62"/>
      <c r="AR344" s="62"/>
      <c r="AS344" s="62"/>
      <c r="AT344" s="62"/>
      <c r="AU344" s="62"/>
      <c r="AV344" s="62"/>
    </row>
    <row r="345" spans="24:48" x14ac:dyDescent="0.25">
      <c r="X345" s="62"/>
      <c r="Y345" s="62"/>
      <c r="Z345" s="62"/>
      <c r="AA345" s="62"/>
      <c r="AB345" s="62"/>
      <c r="AC345" s="62"/>
      <c r="AD345" s="62"/>
      <c r="AE345" s="62"/>
      <c r="AF345" s="62"/>
      <c r="AG345" s="62"/>
      <c r="AH345" s="62"/>
      <c r="AI345" s="62"/>
      <c r="AJ345" s="62"/>
      <c r="AK345" s="62"/>
      <c r="AL345" s="62"/>
      <c r="AM345" s="62"/>
      <c r="AN345" s="62"/>
      <c r="AO345" s="62"/>
      <c r="AP345" s="62"/>
      <c r="AQ345" s="62"/>
      <c r="AR345" s="62"/>
      <c r="AS345" s="62"/>
      <c r="AT345" s="62"/>
      <c r="AU345" s="62"/>
      <c r="AV345" s="62"/>
    </row>
    <row r="346" spans="24:48" x14ac:dyDescent="0.25">
      <c r="X346" s="62"/>
      <c r="Y346" s="62"/>
      <c r="Z346" s="62"/>
      <c r="AA346" s="62"/>
      <c r="AB346" s="62"/>
      <c r="AC346" s="62"/>
      <c r="AD346" s="62"/>
      <c r="AE346" s="62"/>
      <c r="AF346" s="62"/>
      <c r="AG346" s="62"/>
      <c r="AH346" s="62"/>
      <c r="AI346" s="62"/>
      <c r="AJ346" s="62"/>
      <c r="AK346" s="62"/>
      <c r="AL346" s="62"/>
      <c r="AM346" s="62"/>
      <c r="AN346" s="62"/>
      <c r="AO346" s="62"/>
      <c r="AP346" s="62"/>
      <c r="AQ346" s="62"/>
      <c r="AR346" s="62"/>
      <c r="AS346" s="62"/>
      <c r="AT346" s="62"/>
      <c r="AU346" s="62"/>
      <c r="AV346" s="62"/>
    </row>
    <row r="347" spans="24:48" x14ac:dyDescent="0.25">
      <c r="X347" s="62"/>
      <c r="Y347" s="62"/>
      <c r="Z347" s="62"/>
      <c r="AA347" s="62"/>
      <c r="AB347" s="62"/>
      <c r="AC347" s="62"/>
      <c r="AD347" s="62"/>
      <c r="AE347" s="62"/>
      <c r="AF347" s="62"/>
      <c r="AG347" s="62"/>
      <c r="AH347" s="62"/>
      <c r="AI347" s="62"/>
      <c r="AJ347" s="62"/>
      <c r="AK347" s="62"/>
      <c r="AL347" s="62"/>
      <c r="AM347" s="62"/>
      <c r="AN347" s="62"/>
      <c r="AO347" s="62"/>
      <c r="AP347" s="62"/>
      <c r="AQ347" s="62"/>
      <c r="AR347" s="62"/>
      <c r="AS347" s="62"/>
      <c r="AT347" s="62"/>
      <c r="AU347" s="62"/>
      <c r="AV347" s="62"/>
    </row>
    <row r="348" spans="24:48" x14ac:dyDescent="0.25">
      <c r="X348" s="62"/>
      <c r="Y348" s="62"/>
      <c r="Z348" s="62"/>
      <c r="AA348" s="62"/>
      <c r="AB348" s="62"/>
      <c r="AC348" s="62"/>
      <c r="AD348" s="62"/>
      <c r="AE348" s="62"/>
      <c r="AF348" s="62"/>
      <c r="AG348" s="62"/>
      <c r="AH348" s="62"/>
      <c r="AI348" s="62"/>
      <c r="AJ348" s="62"/>
      <c r="AK348" s="62"/>
      <c r="AL348" s="62"/>
      <c r="AM348" s="62"/>
      <c r="AN348" s="62"/>
      <c r="AO348" s="62"/>
      <c r="AP348" s="62"/>
      <c r="AQ348" s="62"/>
      <c r="AR348" s="62"/>
      <c r="AS348" s="62"/>
      <c r="AT348" s="62"/>
      <c r="AU348" s="62"/>
      <c r="AV348" s="62"/>
    </row>
    <row r="349" spans="24:48" x14ac:dyDescent="0.25">
      <c r="X349" s="62"/>
      <c r="Y349" s="62"/>
      <c r="Z349" s="62"/>
      <c r="AA349" s="62"/>
      <c r="AB349" s="62"/>
      <c r="AC349" s="62"/>
      <c r="AD349" s="62"/>
      <c r="AE349" s="62"/>
      <c r="AF349" s="62"/>
      <c r="AG349" s="62"/>
      <c r="AH349" s="62"/>
      <c r="AI349" s="62"/>
      <c r="AJ349" s="62"/>
      <c r="AK349" s="62"/>
      <c r="AL349" s="62"/>
      <c r="AM349" s="62"/>
      <c r="AN349" s="62"/>
      <c r="AO349" s="62"/>
      <c r="AP349" s="62"/>
      <c r="AQ349" s="62"/>
      <c r="AR349" s="62"/>
      <c r="AS349" s="62"/>
      <c r="AT349" s="62"/>
      <c r="AU349" s="62"/>
      <c r="AV349" s="62"/>
    </row>
    <row r="350" spans="24:48" x14ac:dyDescent="0.25">
      <c r="X350" s="62"/>
      <c r="Y350" s="62"/>
      <c r="Z350" s="62"/>
      <c r="AA350" s="62"/>
      <c r="AB350" s="62"/>
      <c r="AC350" s="62"/>
      <c r="AD350" s="62"/>
      <c r="AE350" s="62"/>
      <c r="AF350" s="62"/>
      <c r="AG350" s="62"/>
      <c r="AH350" s="62"/>
      <c r="AI350" s="62"/>
      <c r="AJ350" s="62"/>
      <c r="AK350" s="62"/>
      <c r="AL350" s="62"/>
      <c r="AM350" s="62"/>
      <c r="AN350" s="62"/>
      <c r="AO350" s="62"/>
      <c r="AP350" s="62"/>
      <c r="AQ350" s="62"/>
      <c r="AR350" s="62"/>
      <c r="AS350" s="62"/>
      <c r="AT350" s="62"/>
      <c r="AU350" s="62"/>
      <c r="AV350" s="62"/>
    </row>
    <row r="351" spans="24:48" x14ac:dyDescent="0.25">
      <c r="X351" s="62"/>
      <c r="Y351" s="62"/>
      <c r="Z351" s="62"/>
      <c r="AA351" s="62"/>
      <c r="AB351" s="62"/>
      <c r="AC351" s="62"/>
      <c r="AD351" s="62"/>
      <c r="AE351" s="62"/>
      <c r="AF351" s="62"/>
      <c r="AG351" s="62"/>
      <c r="AH351" s="62"/>
      <c r="AI351" s="62"/>
      <c r="AJ351" s="62"/>
      <c r="AK351" s="62"/>
      <c r="AL351" s="62"/>
      <c r="AM351" s="62"/>
      <c r="AN351" s="62"/>
      <c r="AO351" s="62"/>
      <c r="AP351" s="62"/>
      <c r="AQ351" s="62"/>
      <c r="AR351" s="62"/>
      <c r="AS351" s="62"/>
      <c r="AT351" s="62"/>
      <c r="AU351" s="62"/>
      <c r="AV351" s="62"/>
    </row>
    <row r="352" spans="24:48" x14ac:dyDescent="0.25">
      <c r="X352" s="62"/>
      <c r="Y352" s="62"/>
      <c r="Z352" s="62"/>
      <c r="AA352" s="62"/>
      <c r="AB352" s="62"/>
      <c r="AC352" s="62"/>
      <c r="AD352" s="62"/>
      <c r="AE352" s="62"/>
      <c r="AF352" s="62"/>
      <c r="AG352" s="62"/>
      <c r="AH352" s="62"/>
      <c r="AI352" s="62"/>
      <c r="AJ352" s="62"/>
      <c r="AK352" s="62"/>
      <c r="AL352" s="62"/>
      <c r="AM352" s="62"/>
      <c r="AN352" s="62"/>
      <c r="AO352" s="62"/>
      <c r="AP352" s="62"/>
      <c r="AQ352" s="62"/>
      <c r="AR352" s="62"/>
      <c r="AS352" s="62"/>
      <c r="AT352" s="62"/>
      <c r="AU352" s="62"/>
      <c r="AV352" s="62"/>
    </row>
    <row r="353" spans="24:48" x14ac:dyDescent="0.25">
      <c r="X353" s="62"/>
      <c r="Y353" s="62"/>
      <c r="Z353" s="62"/>
      <c r="AA353" s="62"/>
      <c r="AB353" s="62"/>
      <c r="AC353" s="62"/>
      <c r="AD353" s="62"/>
      <c r="AE353" s="62"/>
      <c r="AF353" s="62"/>
      <c r="AG353" s="62"/>
      <c r="AH353" s="62"/>
      <c r="AI353" s="62"/>
      <c r="AJ353" s="62"/>
      <c r="AK353" s="62"/>
      <c r="AL353" s="62"/>
      <c r="AM353" s="62"/>
      <c r="AN353" s="62"/>
      <c r="AO353" s="62"/>
      <c r="AP353" s="62"/>
      <c r="AQ353" s="62"/>
      <c r="AR353" s="62"/>
      <c r="AS353" s="62"/>
      <c r="AT353" s="62"/>
      <c r="AU353" s="62"/>
      <c r="AV353" s="62"/>
    </row>
    <row r="354" spans="24:48" x14ac:dyDescent="0.25">
      <c r="X354" s="62"/>
      <c r="Y354" s="62"/>
      <c r="Z354" s="62"/>
      <c r="AA354" s="62"/>
      <c r="AB354" s="62"/>
      <c r="AC354" s="62"/>
      <c r="AD354" s="62"/>
      <c r="AE354" s="62"/>
      <c r="AF354" s="62"/>
      <c r="AG354" s="62"/>
      <c r="AH354" s="62"/>
      <c r="AI354" s="62"/>
      <c r="AJ354" s="62"/>
      <c r="AK354" s="62"/>
      <c r="AL354" s="62"/>
      <c r="AM354" s="62"/>
      <c r="AN354" s="62"/>
      <c r="AO354" s="62"/>
      <c r="AP354" s="62"/>
      <c r="AQ354" s="62"/>
      <c r="AR354" s="62"/>
      <c r="AS354" s="62"/>
      <c r="AT354" s="62"/>
      <c r="AU354" s="62"/>
      <c r="AV354" s="62"/>
    </row>
    <row r="355" spans="24:48" x14ac:dyDescent="0.25">
      <c r="X355" s="62"/>
      <c r="Y355" s="62"/>
      <c r="Z355" s="62"/>
      <c r="AA355" s="62"/>
      <c r="AB355" s="62"/>
      <c r="AC355" s="62"/>
      <c r="AD355" s="62"/>
      <c r="AE355" s="62"/>
      <c r="AF355" s="62"/>
      <c r="AG355" s="62"/>
      <c r="AH355" s="62"/>
      <c r="AI355" s="62"/>
      <c r="AJ355" s="62"/>
      <c r="AK355" s="62"/>
      <c r="AL355" s="62"/>
      <c r="AM355" s="62"/>
      <c r="AN355" s="62"/>
      <c r="AO355" s="62"/>
      <c r="AP355" s="62"/>
      <c r="AQ355" s="62"/>
      <c r="AR355" s="62"/>
      <c r="AS355" s="62"/>
      <c r="AT355" s="62"/>
      <c r="AU355" s="62"/>
      <c r="AV355" s="62"/>
    </row>
    <row r="356" spans="24:48" x14ac:dyDescent="0.25">
      <c r="X356" s="62"/>
      <c r="Y356" s="62"/>
      <c r="Z356" s="62"/>
      <c r="AA356" s="62"/>
      <c r="AB356" s="62"/>
      <c r="AC356" s="62"/>
      <c r="AD356" s="62"/>
      <c r="AE356" s="62"/>
      <c r="AF356" s="62"/>
      <c r="AG356" s="62"/>
      <c r="AH356" s="62"/>
      <c r="AI356" s="62"/>
      <c r="AJ356" s="62"/>
      <c r="AK356" s="62"/>
      <c r="AL356" s="62"/>
      <c r="AM356" s="62"/>
      <c r="AN356" s="62"/>
      <c r="AO356" s="62"/>
      <c r="AP356" s="62"/>
      <c r="AQ356" s="62"/>
      <c r="AR356" s="62"/>
      <c r="AS356" s="62"/>
      <c r="AT356" s="62"/>
      <c r="AU356" s="62"/>
      <c r="AV356" s="62"/>
    </row>
    <row r="357" spans="24:48" x14ac:dyDescent="0.25">
      <c r="X357" s="62"/>
      <c r="Y357" s="62"/>
      <c r="Z357" s="62"/>
      <c r="AA357" s="62"/>
      <c r="AB357" s="62"/>
      <c r="AC357" s="62"/>
      <c r="AD357" s="62"/>
      <c r="AE357" s="62"/>
      <c r="AF357" s="62"/>
      <c r="AG357" s="62"/>
      <c r="AH357" s="62"/>
      <c r="AI357" s="62"/>
      <c r="AJ357" s="62"/>
      <c r="AK357" s="62"/>
      <c r="AL357" s="62"/>
      <c r="AM357" s="62"/>
      <c r="AN357" s="62"/>
      <c r="AO357" s="62"/>
      <c r="AP357" s="62"/>
      <c r="AQ357" s="62"/>
      <c r="AR357" s="62"/>
      <c r="AS357" s="62"/>
      <c r="AT357" s="62"/>
      <c r="AU357" s="62"/>
      <c r="AV357" s="62"/>
    </row>
    <row r="358" spans="24:48" x14ac:dyDescent="0.25">
      <c r="X358" s="62"/>
      <c r="Y358" s="62"/>
      <c r="Z358" s="62"/>
      <c r="AA358" s="62"/>
      <c r="AB358" s="62"/>
      <c r="AC358" s="62"/>
      <c r="AD358" s="62"/>
      <c r="AE358" s="62"/>
      <c r="AF358" s="62"/>
      <c r="AG358" s="62"/>
      <c r="AH358" s="62"/>
      <c r="AI358" s="62"/>
      <c r="AJ358" s="62"/>
      <c r="AK358" s="62"/>
      <c r="AL358" s="62"/>
      <c r="AM358" s="62"/>
      <c r="AN358" s="62"/>
      <c r="AO358" s="62"/>
      <c r="AP358" s="62"/>
      <c r="AQ358" s="62"/>
      <c r="AR358" s="62"/>
      <c r="AS358" s="62"/>
      <c r="AT358" s="62"/>
      <c r="AU358" s="62"/>
      <c r="AV358" s="62"/>
    </row>
    <row r="359" spans="24:48" x14ac:dyDescent="0.25">
      <c r="X359" s="62"/>
      <c r="Y359" s="62"/>
      <c r="Z359" s="62"/>
      <c r="AA359" s="62"/>
      <c r="AB359" s="62"/>
      <c r="AC359" s="62"/>
      <c r="AD359" s="62"/>
      <c r="AE359" s="62"/>
      <c r="AF359" s="62"/>
      <c r="AG359" s="62"/>
      <c r="AH359" s="62"/>
      <c r="AI359" s="62"/>
      <c r="AJ359" s="62"/>
      <c r="AK359" s="62"/>
      <c r="AL359" s="62"/>
      <c r="AM359" s="62"/>
      <c r="AN359" s="62"/>
      <c r="AO359" s="62"/>
      <c r="AP359" s="62"/>
      <c r="AQ359" s="62"/>
      <c r="AR359" s="62"/>
      <c r="AS359" s="62"/>
      <c r="AT359" s="62"/>
      <c r="AU359" s="62"/>
      <c r="AV359" s="62"/>
    </row>
    <row r="360" spans="24:48" x14ac:dyDescent="0.25">
      <c r="X360" s="62"/>
      <c r="Y360" s="62"/>
      <c r="Z360" s="62"/>
      <c r="AA360" s="62"/>
      <c r="AB360" s="62"/>
      <c r="AC360" s="62"/>
      <c r="AD360" s="62"/>
      <c r="AE360" s="62"/>
      <c r="AF360" s="62"/>
      <c r="AG360" s="62"/>
      <c r="AH360" s="62"/>
      <c r="AI360" s="62"/>
      <c r="AJ360" s="62"/>
      <c r="AK360" s="62"/>
      <c r="AL360" s="62"/>
      <c r="AM360" s="62"/>
      <c r="AN360" s="62"/>
      <c r="AO360" s="62"/>
      <c r="AP360" s="62"/>
      <c r="AQ360" s="62"/>
      <c r="AR360" s="62"/>
      <c r="AS360" s="62"/>
      <c r="AT360" s="62"/>
      <c r="AU360" s="62"/>
      <c r="AV360" s="62"/>
    </row>
    <row r="361" spans="24:48" x14ac:dyDescent="0.25">
      <c r="X361" s="62"/>
      <c r="Y361" s="62"/>
      <c r="Z361" s="62"/>
      <c r="AA361" s="62"/>
      <c r="AB361" s="62"/>
      <c r="AC361" s="62"/>
      <c r="AD361" s="62"/>
      <c r="AE361" s="62"/>
      <c r="AF361" s="62"/>
      <c r="AG361" s="62"/>
      <c r="AH361" s="62"/>
      <c r="AI361" s="62"/>
      <c r="AJ361" s="62"/>
      <c r="AK361" s="62"/>
      <c r="AL361" s="62"/>
      <c r="AM361" s="62"/>
      <c r="AN361" s="62"/>
      <c r="AO361" s="62"/>
      <c r="AP361" s="62"/>
      <c r="AQ361" s="62"/>
      <c r="AR361" s="62"/>
      <c r="AS361" s="62"/>
      <c r="AT361" s="62"/>
      <c r="AU361" s="62"/>
      <c r="AV361" s="62"/>
    </row>
    <row r="362" spans="24:48" x14ac:dyDescent="0.25">
      <c r="X362" s="62"/>
      <c r="Y362" s="62"/>
      <c r="Z362" s="62"/>
      <c r="AA362" s="62"/>
      <c r="AB362" s="62"/>
      <c r="AC362" s="62"/>
      <c r="AD362" s="62"/>
      <c r="AE362" s="62"/>
      <c r="AF362" s="62"/>
      <c r="AG362" s="62"/>
      <c r="AH362" s="62"/>
      <c r="AI362" s="62"/>
      <c r="AJ362" s="62"/>
      <c r="AK362" s="62"/>
      <c r="AL362" s="62"/>
      <c r="AM362" s="62"/>
      <c r="AN362" s="62"/>
      <c r="AO362" s="62"/>
      <c r="AP362" s="62"/>
      <c r="AQ362" s="62"/>
      <c r="AR362" s="62"/>
      <c r="AS362" s="62"/>
      <c r="AT362" s="62"/>
      <c r="AU362" s="62"/>
      <c r="AV362" s="62"/>
    </row>
    <row r="363" spans="24:48" x14ac:dyDescent="0.25">
      <c r="X363" s="62"/>
      <c r="Y363" s="62"/>
      <c r="Z363" s="62"/>
      <c r="AA363" s="62"/>
      <c r="AB363" s="62"/>
      <c r="AC363" s="62"/>
      <c r="AD363" s="62"/>
      <c r="AE363" s="62"/>
      <c r="AF363" s="62"/>
      <c r="AG363" s="62"/>
      <c r="AH363" s="62"/>
      <c r="AI363" s="62"/>
      <c r="AJ363" s="62"/>
      <c r="AK363" s="62"/>
      <c r="AL363" s="62"/>
      <c r="AM363" s="62"/>
      <c r="AN363" s="62"/>
      <c r="AO363" s="62"/>
      <c r="AP363" s="62"/>
      <c r="AQ363" s="62"/>
      <c r="AR363" s="62"/>
      <c r="AS363" s="62"/>
      <c r="AT363" s="62"/>
      <c r="AU363" s="62"/>
      <c r="AV363" s="62"/>
    </row>
    <row r="364" spans="24:48" x14ac:dyDescent="0.25">
      <c r="X364" s="62"/>
      <c r="Y364" s="62"/>
      <c r="Z364" s="62"/>
      <c r="AA364" s="62"/>
      <c r="AB364" s="62"/>
      <c r="AC364" s="62"/>
      <c r="AD364" s="62"/>
      <c r="AE364" s="62"/>
      <c r="AF364" s="62"/>
      <c r="AG364" s="62"/>
      <c r="AH364" s="62"/>
      <c r="AI364" s="62"/>
      <c r="AJ364" s="62"/>
      <c r="AK364" s="62"/>
      <c r="AL364" s="62"/>
      <c r="AM364" s="62"/>
      <c r="AN364" s="62"/>
      <c r="AO364" s="62"/>
      <c r="AP364" s="62"/>
      <c r="AQ364" s="62"/>
      <c r="AR364" s="62"/>
      <c r="AS364" s="62"/>
      <c r="AT364" s="62"/>
      <c r="AU364" s="62"/>
      <c r="AV364" s="62"/>
    </row>
    <row r="365" spans="24:48" x14ac:dyDescent="0.25">
      <c r="X365" s="62"/>
      <c r="Y365" s="62"/>
      <c r="Z365" s="62"/>
      <c r="AA365" s="62"/>
      <c r="AB365" s="62"/>
      <c r="AC365" s="62"/>
      <c r="AD365" s="62"/>
      <c r="AE365" s="62"/>
      <c r="AF365" s="62"/>
      <c r="AG365" s="62"/>
      <c r="AH365" s="62"/>
      <c r="AI365" s="62"/>
      <c r="AJ365" s="62"/>
      <c r="AK365" s="62"/>
      <c r="AL365" s="62"/>
      <c r="AM365" s="62"/>
      <c r="AN365" s="62"/>
      <c r="AO365" s="62"/>
      <c r="AP365" s="62"/>
      <c r="AQ365" s="62"/>
      <c r="AR365" s="62"/>
      <c r="AS365" s="62"/>
      <c r="AT365" s="62"/>
      <c r="AU365" s="62"/>
      <c r="AV365" s="62"/>
    </row>
    <row r="366" spans="24:48" x14ac:dyDescent="0.25">
      <c r="X366" s="62"/>
      <c r="Y366" s="62"/>
      <c r="Z366" s="62"/>
      <c r="AA366" s="62"/>
      <c r="AB366" s="62"/>
      <c r="AC366" s="62"/>
      <c r="AD366" s="62"/>
      <c r="AE366" s="62"/>
      <c r="AF366" s="62"/>
      <c r="AG366" s="62"/>
      <c r="AH366" s="62"/>
      <c r="AI366" s="62"/>
      <c r="AJ366" s="62"/>
      <c r="AK366" s="62"/>
      <c r="AL366" s="62"/>
      <c r="AM366" s="62"/>
      <c r="AN366" s="62"/>
      <c r="AO366" s="62"/>
      <c r="AP366" s="62"/>
      <c r="AQ366" s="62"/>
      <c r="AR366" s="62"/>
      <c r="AS366" s="62"/>
      <c r="AT366" s="62"/>
      <c r="AU366" s="62"/>
      <c r="AV366" s="62"/>
    </row>
    <row r="367" spans="24:48" x14ac:dyDescent="0.25">
      <c r="X367" s="62"/>
      <c r="Y367" s="62"/>
      <c r="Z367" s="62"/>
      <c r="AA367" s="62"/>
      <c r="AB367" s="62"/>
      <c r="AC367" s="62"/>
      <c r="AD367" s="62"/>
      <c r="AE367" s="62"/>
      <c r="AF367" s="62"/>
      <c r="AG367" s="62"/>
      <c r="AH367" s="62"/>
      <c r="AI367" s="62"/>
      <c r="AJ367" s="62"/>
      <c r="AK367" s="62"/>
      <c r="AL367" s="62"/>
      <c r="AM367" s="62"/>
      <c r="AN367" s="62"/>
      <c r="AO367" s="62"/>
      <c r="AP367" s="62"/>
      <c r="AQ367" s="62"/>
      <c r="AR367" s="62"/>
      <c r="AS367" s="62"/>
      <c r="AT367" s="62"/>
      <c r="AU367" s="62"/>
      <c r="AV367" s="62"/>
    </row>
    <row r="368" spans="24:48" x14ac:dyDescent="0.25">
      <c r="X368" s="62"/>
      <c r="Y368" s="62"/>
      <c r="Z368" s="62"/>
      <c r="AA368" s="62"/>
      <c r="AB368" s="62"/>
      <c r="AC368" s="62"/>
      <c r="AD368" s="62"/>
      <c r="AE368" s="62"/>
      <c r="AF368" s="62"/>
      <c r="AG368" s="62"/>
      <c r="AH368" s="62"/>
      <c r="AI368" s="62"/>
      <c r="AJ368" s="62"/>
      <c r="AK368" s="62"/>
      <c r="AL368" s="62"/>
      <c r="AM368" s="62"/>
      <c r="AN368" s="62"/>
      <c r="AO368" s="62"/>
      <c r="AP368" s="62"/>
      <c r="AQ368" s="62"/>
      <c r="AR368" s="62"/>
      <c r="AS368" s="62"/>
      <c r="AT368" s="62"/>
      <c r="AU368" s="62"/>
      <c r="AV368" s="62"/>
    </row>
    <row r="369" spans="24:48" x14ac:dyDescent="0.25">
      <c r="X369" s="62"/>
      <c r="Y369" s="62"/>
      <c r="Z369" s="62"/>
      <c r="AA369" s="62"/>
      <c r="AB369" s="62"/>
      <c r="AC369" s="62"/>
      <c r="AD369" s="62"/>
      <c r="AE369" s="62"/>
      <c r="AF369" s="62"/>
      <c r="AG369" s="62"/>
      <c r="AH369" s="62"/>
      <c r="AI369" s="62"/>
      <c r="AJ369" s="62"/>
      <c r="AK369" s="62"/>
      <c r="AL369" s="62"/>
      <c r="AM369" s="62"/>
      <c r="AN369" s="62"/>
      <c r="AO369" s="62"/>
      <c r="AP369" s="62"/>
      <c r="AQ369" s="62"/>
      <c r="AR369" s="62"/>
      <c r="AS369" s="62"/>
      <c r="AT369" s="62"/>
      <c r="AU369" s="62"/>
      <c r="AV369" s="62"/>
    </row>
    <row r="370" spans="24:48" x14ac:dyDescent="0.25">
      <c r="X370" s="62"/>
      <c r="Y370" s="62"/>
      <c r="Z370" s="62"/>
      <c r="AA370" s="62"/>
      <c r="AB370" s="62"/>
      <c r="AC370" s="62"/>
      <c r="AD370" s="62"/>
      <c r="AE370" s="62"/>
      <c r="AF370" s="62"/>
      <c r="AG370" s="62"/>
      <c r="AH370" s="62"/>
      <c r="AI370" s="62"/>
      <c r="AJ370" s="62"/>
      <c r="AK370" s="62"/>
      <c r="AL370" s="62"/>
      <c r="AM370" s="62"/>
      <c r="AN370" s="62"/>
      <c r="AO370" s="62"/>
      <c r="AP370" s="62"/>
      <c r="AQ370" s="62"/>
      <c r="AR370" s="62"/>
      <c r="AS370" s="62"/>
      <c r="AT370" s="62"/>
      <c r="AU370" s="62"/>
      <c r="AV370" s="62"/>
    </row>
    <row r="371" spans="24:48" x14ac:dyDescent="0.25">
      <c r="X371" s="62"/>
      <c r="Y371" s="62"/>
      <c r="Z371" s="62"/>
      <c r="AA371" s="62"/>
      <c r="AB371" s="62"/>
      <c r="AC371" s="62"/>
      <c r="AD371" s="62"/>
      <c r="AE371" s="62"/>
      <c r="AF371" s="62"/>
      <c r="AG371" s="62"/>
      <c r="AH371" s="62"/>
      <c r="AI371" s="62"/>
      <c r="AJ371" s="62"/>
      <c r="AK371" s="62"/>
      <c r="AL371" s="62"/>
      <c r="AM371" s="62"/>
      <c r="AN371" s="62"/>
      <c r="AO371" s="62"/>
      <c r="AP371" s="62"/>
      <c r="AQ371" s="62"/>
      <c r="AR371" s="62"/>
      <c r="AS371" s="62"/>
      <c r="AT371" s="62"/>
      <c r="AU371" s="62"/>
      <c r="AV371" s="62"/>
    </row>
    <row r="372" spans="24:48" x14ac:dyDescent="0.25">
      <c r="X372" s="62"/>
      <c r="Y372" s="62"/>
      <c r="Z372" s="62"/>
      <c r="AA372" s="62"/>
      <c r="AB372" s="62"/>
      <c r="AC372" s="62"/>
      <c r="AD372" s="62"/>
      <c r="AE372" s="62"/>
      <c r="AF372" s="62"/>
      <c r="AG372" s="62"/>
      <c r="AH372" s="62"/>
      <c r="AI372" s="62"/>
      <c r="AJ372" s="62"/>
      <c r="AK372" s="62"/>
      <c r="AL372" s="62"/>
      <c r="AM372" s="62"/>
      <c r="AN372" s="62"/>
      <c r="AO372" s="62"/>
      <c r="AP372" s="62"/>
      <c r="AQ372" s="62"/>
      <c r="AR372" s="62"/>
      <c r="AS372" s="62"/>
      <c r="AT372" s="62"/>
      <c r="AU372" s="62"/>
      <c r="AV372" s="62"/>
    </row>
    <row r="373" spans="24:48" x14ac:dyDescent="0.25">
      <c r="X373" s="62"/>
      <c r="Y373" s="62"/>
      <c r="Z373" s="62"/>
      <c r="AA373" s="62"/>
      <c r="AB373" s="62"/>
      <c r="AC373" s="62"/>
      <c r="AD373" s="62"/>
      <c r="AE373" s="62"/>
      <c r="AF373" s="62"/>
      <c r="AG373" s="62"/>
      <c r="AH373" s="62"/>
      <c r="AI373" s="62"/>
      <c r="AJ373" s="62"/>
      <c r="AK373" s="62"/>
      <c r="AL373" s="62"/>
      <c r="AM373" s="62"/>
      <c r="AN373" s="62"/>
      <c r="AO373" s="62"/>
      <c r="AP373" s="62"/>
      <c r="AQ373" s="62"/>
      <c r="AR373" s="62"/>
      <c r="AS373" s="62"/>
      <c r="AT373" s="62"/>
      <c r="AU373" s="62"/>
      <c r="AV373" s="62"/>
    </row>
    <row r="374" spans="24:48" x14ac:dyDescent="0.25">
      <c r="X374" s="62"/>
      <c r="Y374" s="62"/>
      <c r="Z374" s="62"/>
      <c r="AA374" s="62"/>
      <c r="AB374" s="62"/>
      <c r="AC374" s="62"/>
      <c r="AD374" s="62"/>
      <c r="AE374" s="62"/>
      <c r="AF374" s="62"/>
      <c r="AG374" s="62"/>
      <c r="AH374" s="62"/>
      <c r="AI374" s="62"/>
      <c r="AJ374" s="62"/>
      <c r="AK374" s="62"/>
      <c r="AL374" s="62"/>
      <c r="AM374" s="62"/>
      <c r="AN374" s="62"/>
      <c r="AO374" s="62"/>
      <c r="AP374" s="62"/>
      <c r="AQ374" s="62"/>
      <c r="AR374" s="62"/>
      <c r="AS374" s="62"/>
      <c r="AT374" s="62"/>
      <c r="AU374" s="62"/>
      <c r="AV374" s="62"/>
    </row>
    <row r="375" spans="24:48" x14ac:dyDescent="0.25">
      <c r="X375" s="62"/>
      <c r="Y375" s="62"/>
      <c r="Z375" s="62"/>
      <c r="AA375" s="62"/>
      <c r="AB375" s="62"/>
      <c r="AC375" s="62"/>
      <c r="AD375" s="62"/>
      <c r="AE375" s="62"/>
      <c r="AF375" s="62"/>
      <c r="AG375" s="62"/>
      <c r="AH375" s="62"/>
      <c r="AI375" s="62"/>
      <c r="AJ375" s="62"/>
      <c r="AK375" s="62"/>
      <c r="AL375" s="62"/>
      <c r="AM375" s="62"/>
      <c r="AN375" s="62"/>
      <c r="AO375" s="62"/>
      <c r="AP375" s="62"/>
      <c r="AQ375" s="62"/>
      <c r="AR375" s="62"/>
      <c r="AS375" s="62"/>
      <c r="AT375" s="62"/>
      <c r="AU375" s="62"/>
      <c r="AV375" s="62"/>
    </row>
    <row r="376" spans="24:48" x14ac:dyDescent="0.25">
      <c r="X376" s="62"/>
      <c r="Y376" s="62"/>
      <c r="Z376" s="62"/>
      <c r="AA376" s="62"/>
      <c r="AB376" s="62"/>
      <c r="AC376" s="62"/>
      <c r="AD376" s="62"/>
      <c r="AE376" s="62"/>
      <c r="AF376" s="62"/>
      <c r="AG376" s="62"/>
      <c r="AH376" s="62"/>
      <c r="AI376" s="62"/>
      <c r="AJ376" s="62"/>
      <c r="AK376" s="62"/>
      <c r="AL376" s="62"/>
      <c r="AM376" s="62"/>
      <c r="AN376" s="62"/>
      <c r="AO376" s="62"/>
      <c r="AP376" s="62"/>
      <c r="AQ376" s="62"/>
      <c r="AR376" s="62"/>
      <c r="AS376" s="62"/>
      <c r="AT376" s="62"/>
      <c r="AU376" s="62"/>
      <c r="AV376" s="62"/>
    </row>
    <row r="377" spans="24:48" x14ac:dyDescent="0.25">
      <c r="X377" s="62"/>
      <c r="Y377" s="62"/>
      <c r="Z377" s="62"/>
      <c r="AA377" s="62"/>
      <c r="AB377" s="62"/>
      <c r="AC377" s="62"/>
      <c r="AD377" s="62"/>
      <c r="AE377" s="62"/>
      <c r="AF377" s="62"/>
      <c r="AG377" s="62"/>
      <c r="AH377" s="62"/>
      <c r="AI377" s="62"/>
      <c r="AJ377" s="62"/>
      <c r="AK377" s="62"/>
      <c r="AL377" s="62"/>
      <c r="AM377" s="62"/>
      <c r="AN377" s="62"/>
      <c r="AO377" s="62"/>
      <c r="AP377" s="62"/>
      <c r="AQ377" s="62"/>
      <c r="AR377" s="62"/>
      <c r="AS377" s="62"/>
      <c r="AT377" s="62"/>
      <c r="AU377" s="62"/>
      <c r="AV377" s="62"/>
    </row>
    <row r="378" spans="24:48" x14ac:dyDescent="0.25">
      <c r="X378" s="62"/>
      <c r="Y378" s="62"/>
      <c r="Z378" s="62"/>
      <c r="AA378" s="62"/>
      <c r="AB378" s="62"/>
      <c r="AC378" s="62"/>
      <c r="AD378" s="62"/>
      <c r="AE378" s="62"/>
      <c r="AF378" s="62"/>
      <c r="AG378" s="62"/>
      <c r="AH378" s="62"/>
      <c r="AI378" s="62"/>
      <c r="AJ378" s="62"/>
      <c r="AK378" s="62"/>
      <c r="AL378" s="62"/>
      <c r="AM378" s="62"/>
      <c r="AN378" s="62"/>
      <c r="AO378" s="62"/>
      <c r="AP378" s="62"/>
      <c r="AQ378" s="62"/>
      <c r="AR378" s="62"/>
      <c r="AS378" s="62"/>
      <c r="AT378" s="62"/>
      <c r="AU378" s="62"/>
      <c r="AV378" s="62"/>
    </row>
    <row r="379" spans="24:48" x14ac:dyDescent="0.25">
      <c r="X379" s="62"/>
      <c r="Y379" s="62"/>
      <c r="Z379" s="62"/>
      <c r="AA379" s="62"/>
      <c r="AB379" s="62"/>
      <c r="AC379" s="62"/>
      <c r="AD379" s="62"/>
      <c r="AE379" s="62"/>
      <c r="AF379" s="62"/>
      <c r="AG379" s="62"/>
      <c r="AH379" s="62"/>
      <c r="AI379" s="62"/>
      <c r="AJ379" s="62"/>
      <c r="AK379" s="62"/>
      <c r="AL379" s="62"/>
      <c r="AM379" s="62"/>
      <c r="AN379" s="62"/>
      <c r="AO379" s="62"/>
      <c r="AP379" s="62"/>
      <c r="AQ379" s="62"/>
      <c r="AR379" s="62"/>
      <c r="AS379" s="62"/>
      <c r="AT379" s="62"/>
      <c r="AU379" s="62"/>
      <c r="AV379" s="62"/>
    </row>
    <row r="380" spans="24:48" x14ac:dyDescent="0.25">
      <c r="X380" s="62"/>
      <c r="Y380" s="62"/>
      <c r="Z380" s="62"/>
      <c r="AA380" s="62"/>
      <c r="AB380" s="62"/>
      <c r="AC380" s="62"/>
      <c r="AD380" s="62"/>
      <c r="AE380" s="62"/>
      <c r="AF380" s="62"/>
      <c r="AG380" s="62"/>
      <c r="AH380" s="62"/>
      <c r="AI380" s="62"/>
      <c r="AJ380" s="62"/>
      <c r="AK380" s="62"/>
      <c r="AL380" s="62"/>
      <c r="AM380" s="62"/>
      <c r="AN380" s="62"/>
      <c r="AO380" s="62"/>
      <c r="AP380" s="62"/>
      <c r="AQ380" s="62"/>
      <c r="AR380" s="62"/>
      <c r="AS380" s="62"/>
      <c r="AT380" s="62"/>
      <c r="AU380" s="62"/>
      <c r="AV380" s="62"/>
    </row>
    <row r="381" spans="24:48" x14ac:dyDescent="0.25">
      <c r="X381" s="62"/>
      <c r="Y381" s="62"/>
      <c r="Z381" s="62"/>
      <c r="AA381" s="62"/>
      <c r="AB381" s="62"/>
      <c r="AC381" s="62"/>
      <c r="AD381" s="62"/>
      <c r="AE381" s="62"/>
      <c r="AF381" s="62"/>
      <c r="AG381" s="62"/>
      <c r="AH381" s="62"/>
      <c r="AI381" s="62"/>
      <c r="AJ381" s="62"/>
      <c r="AK381" s="62"/>
      <c r="AL381" s="62"/>
      <c r="AM381" s="62"/>
      <c r="AN381" s="62"/>
      <c r="AO381" s="62"/>
      <c r="AP381" s="62"/>
      <c r="AQ381" s="62"/>
      <c r="AR381" s="62"/>
      <c r="AS381" s="62"/>
      <c r="AT381" s="62"/>
      <c r="AU381" s="62"/>
      <c r="AV381" s="62"/>
    </row>
    <row r="382" spans="24:48" x14ac:dyDescent="0.25">
      <c r="X382" s="62"/>
      <c r="Y382" s="62"/>
      <c r="Z382" s="62"/>
      <c r="AA382" s="62"/>
      <c r="AB382" s="62"/>
      <c r="AC382" s="62"/>
      <c r="AD382" s="62"/>
      <c r="AE382" s="62"/>
      <c r="AF382" s="62"/>
      <c r="AG382" s="62"/>
      <c r="AH382" s="62"/>
      <c r="AI382" s="62"/>
      <c r="AJ382" s="62"/>
      <c r="AK382" s="62"/>
      <c r="AL382" s="62"/>
      <c r="AM382" s="62"/>
      <c r="AN382" s="62"/>
      <c r="AO382" s="62"/>
      <c r="AP382" s="62"/>
      <c r="AQ382" s="62"/>
      <c r="AR382" s="62"/>
      <c r="AS382" s="62"/>
      <c r="AT382" s="62"/>
      <c r="AU382" s="62"/>
      <c r="AV382" s="62"/>
    </row>
    <row r="383" spans="24:48" x14ac:dyDescent="0.25">
      <c r="X383" s="62"/>
      <c r="Y383" s="62"/>
      <c r="Z383" s="62"/>
      <c r="AA383" s="62"/>
      <c r="AB383" s="62"/>
      <c r="AC383" s="62"/>
      <c r="AD383" s="62"/>
      <c r="AE383" s="62"/>
      <c r="AF383" s="62"/>
      <c r="AG383" s="62"/>
      <c r="AH383" s="62"/>
      <c r="AI383" s="62"/>
      <c r="AJ383" s="62"/>
      <c r="AK383" s="62"/>
      <c r="AL383" s="62"/>
      <c r="AM383" s="62"/>
      <c r="AN383" s="62"/>
      <c r="AO383" s="62"/>
      <c r="AP383" s="62"/>
      <c r="AQ383" s="62"/>
      <c r="AR383" s="62"/>
      <c r="AS383" s="62"/>
      <c r="AT383" s="62"/>
      <c r="AU383" s="62"/>
      <c r="AV383" s="62"/>
    </row>
    <row r="384" spans="24:48" x14ac:dyDescent="0.25">
      <c r="X384" s="62"/>
      <c r="Y384" s="62"/>
      <c r="Z384" s="62"/>
      <c r="AA384" s="62"/>
      <c r="AB384" s="62"/>
      <c r="AC384" s="62"/>
      <c r="AD384" s="62"/>
      <c r="AE384" s="62"/>
      <c r="AF384" s="62"/>
      <c r="AG384" s="62"/>
      <c r="AH384" s="62"/>
      <c r="AI384" s="62"/>
      <c r="AJ384" s="62"/>
      <c r="AK384" s="62"/>
      <c r="AL384" s="62"/>
      <c r="AM384" s="62"/>
      <c r="AN384" s="62"/>
      <c r="AO384" s="62"/>
      <c r="AP384" s="62"/>
      <c r="AQ384" s="62"/>
      <c r="AR384" s="62"/>
      <c r="AS384" s="62"/>
      <c r="AT384" s="62"/>
      <c r="AU384" s="62"/>
      <c r="AV384" s="62"/>
    </row>
    <row r="385" spans="24:48" x14ac:dyDescent="0.25">
      <c r="X385" s="62"/>
      <c r="Y385" s="62"/>
      <c r="Z385" s="62"/>
      <c r="AA385" s="62"/>
      <c r="AB385" s="62"/>
      <c r="AC385" s="62"/>
      <c r="AD385" s="62"/>
      <c r="AE385" s="62"/>
      <c r="AF385" s="62"/>
      <c r="AG385" s="62"/>
      <c r="AH385" s="62"/>
      <c r="AI385" s="62"/>
      <c r="AJ385" s="62"/>
      <c r="AK385" s="62"/>
      <c r="AL385" s="62"/>
      <c r="AM385" s="62"/>
      <c r="AN385" s="62"/>
      <c r="AO385" s="62"/>
      <c r="AP385" s="62"/>
      <c r="AQ385" s="62"/>
      <c r="AR385" s="62"/>
      <c r="AS385" s="62"/>
      <c r="AT385" s="62"/>
      <c r="AU385" s="62"/>
      <c r="AV385" s="62"/>
    </row>
    <row r="386" spans="24:48" x14ac:dyDescent="0.25">
      <c r="X386" s="62"/>
      <c r="Y386" s="62"/>
      <c r="Z386" s="62"/>
      <c r="AA386" s="62"/>
      <c r="AB386" s="62"/>
      <c r="AC386" s="62"/>
      <c r="AD386" s="62"/>
      <c r="AE386" s="62"/>
      <c r="AF386" s="62"/>
      <c r="AG386" s="62"/>
      <c r="AH386" s="62"/>
      <c r="AI386" s="62"/>
      <c r="AJ386" s="62"/>
      <c r="AK386" s="62"/>
      <c r="AL386" s="62"/>
      <c r="AM386" s="62"/>
      <c r="AN386" s="62"/>
      <c r="AO386" s="62"/>
      <c r="AP386" s="62"/>
      <c r="AQ386" s="62"/>
      <c r="AR386" s="62"/>
      <c r="AS386" s="62"/>
      <c r="AT386" s="62"/>
      <c r="AU386" s="62"/>
      <c r="AV386" s="62"/>
    </row>
    <row r="387" spans="24:48" x14ac:dyDescent="0.25">
      <c r="X387" s="62"/>
      <c r="Y387" s="62"/>
      <c r="Z387" s="62"/>
      <c r="AA387" s="62"/>
      <c r="AB387" s="62"/>
      <c r="AC387" s="62"/>
      <c r="AD387" s="62"/>
      <c r="AE387" s="62"/>
      <c r="AF387" s="62"/>
      <c r="AG387" s="62"/>
      <c r="AH387" s="62"/>
      <c r="AI387" s="62"/>
      <c r="AJ387" s="62"/>
      <c r="AK387" s="62"/>
      <c r="AL387" s="62"/>
      <c r="AM387" s="62"/>
      <c r="AN387" s="62"/>
      <c r="AO387" s="62"/>
      <c r="AP387" s="62"/>
      <c r="AQ387" s="62"/>
      <c r="AR387" s="62"/>
      <c r="AS387" s="62"/>
      <c r="AT387" s="62"/>
      <c r="AU387" s="62"/>
      <c r="AV387" s="62"/>
    </row>
    <row r="388" spans="24:48" x14ac:dyDescent="0.25">
      <c r="X388" s="62"/>
      <c r="Y388" s="62"/>
      <c r="Z388" s="62"/>
      <c r="AA388" s="62"/>
      <c r="AB388" s="62"/>
      <c r="AC388" s="62"/>
      <c r="AD388" s="62"/>
      <c r="AE388" s="62"/>
      <c r="AF388" s="62"/>
      <c r="AG388" s="62"/>
      <c r="AH388" s="62"/>
      <c r="AI388" s="62"/>
      <c r="AJ388" s="62"/>
      <c r="AK388" s="62"/>
      <c r="AL388" s="62"/>
      <c r="AM388" s="62"/>
      <c r="AN388" s="62"/>
      <c r="AO388" s="62"/>
      <c r="AP388" s="62"/>
      <c r="AQ388" s="62"/>
      <c r="AR388" s="62"/>
      <c r="AS388" s="62"/>
      <c r="AT388" s="62"/>
      <c r="AU388" s="62"/>
      <c r="AV388" s="62"/>
    </row>
    <row r="389" spans="24:48" x14ac:dyDescent="0.25">
      <c r="X389" s="62"/>
      <c r="Y389" s="62"/>
      <c r="Z389" s="62"/>
      <c r="AA389" s="62"/>
      <c r="AB389" s="62"/>
      <c r="AC389" s="62"/>
      <c r="AD389" s="62"/>
      <c r="AE389" s="62"/>
      <c r="AF389" s="62"/>
      <c r="AG389" s="62"/>
      <c r="AH389" s="62"/>
      <c r="AI389" s="62"/>
      <c r="AJ389" s="62"/>
      <c r="AK389" s="62"/>
      <c r="AL389" s="62"/>
      <c r="AM389" s="62"/>
      <c r="AN389" s="62"/>
      <c r="AO389" s="62"/>
      <c r="AP389" s="62"/>
      <c r="AQ389" s="62"/>
      <c r="AR389" s="62"/>
      <c r="AS389" s="62"/>
      <c r="AT389" s="62"/>
      <c r="AU389" s="62"/>
      <c r="AV389" s="62"/>
    </row>
    <row r="390" spans="24:48" x14ac:dyDescent="0.25">
      <c r="X390" s="62"/>
      <c r="Y390" s="62"/>
      <c r="Z390" s="62"/>
      <c r="AA390" s="62"/>
      <c r="AB390" s="62"/>
      <c r="AC390" s="62"/>
      <c r="AD390" s="62"/>
      <c r="AE390" s="62"/>
      <c r="AF390" s="62"/>
      <c r="AG390" s="62"/>
      <c r="AH390" s="62"/>
      <c r="AI390" s="62"/>
      <c r="AJ390" s="62"/>
      <c r="AK390" s="62"/>
      <c r="AL390" s="62"/>
      <c r="AM390" s="62"/>
      <c r="AN390" s="62"/>
      <c r="AO390" s="62"/>
      <c r="AP390" s="62"/>
      <c r="AQ390" s="62"/>
      <c r="AR390" s="62"/>
      <c r="AS390" s="62"/>
      <c r="AT390" s="62"/>
      <c r="AU390" s="62"/>
      <c r="AV390" s="62"/>
    </row>
    <row r="391" spans="24:48" x14ac:dyDescent="0.25">
      <c r="X391" s="62"/>
      <c r="Y391" s="62"/>
      <c r="Z391" s="62"/>
      <c r="AA391" s="62"/>
      <c r="AB391" s="62"/>
      <c r="AC391" s="62"/>
      <c r="AD391" s="62"/>
      <c r="AE391" s="62"/>
      <c r="AF391" s="62"/>
      <c r="AG391" s="62"/>
      <c r="AH391" s="62"/>
      <c r="AI391" s="62"/>
      <c r="AJ391" s="62"/>
      <c r="AK391" s="62"/>
      <c r="AL391" s="62"/>
      <c r="AM391" s="62"/>
      <c r="AN391" s="62"/>
      <c r="AO391" s="62"/>
      <c r="AP391" s="62"/>
      <c r="AQ391" s="62"/>
      <c r="AR391" s="62"/>
      <c r="AS391" s="62"/>
      <c r="AT391" s="62"/>
      <c r="AU391" s="62"/>
      <c r="AV391" s="62"/>
    </row>
    <row r="392" spans="24:48" x14ac:dyDescent="0.25">
      <c r="X392" s="62"/>
      <c r="Y392" s="62"/>
      <c r="Z392" s="62"/>
      <c r="AA392" s="62"/>
      <c r="AB392" s="62"/>
      <c r="AC392" s="62"/>
      <c r="AD392" s="62"/>
      <c r="AE392" s="62"/>
      <c r="AF392" s="62"/>
      <c r="AG392" s="62"/>
      <c r="AH392" s="62"/>
      <c r="AI392" s="62"/>
      <c r="AJ392" s="62"/>
      <c r="AK392" s="62"/>
      <c r="AL392" s="62"/>
      <c r="AM392" s="62"/>
      <c r="AN392" s="62"/>
      <c r="AO392" s="62"/>
      <c r="AP392" s="62"/>
      <c r="AQ392" s="62"/>
      <c r="AR392" s="62"/>
      <c r="AS392" s="62"/>
      <c r="AT392" s="62"/>
      <c r="AU392" s="62"/>
      <c r="AV392" s="62"/>
    </row>
    <row r="393" spans="24:48" x14ac:dyDescent="0.25">
      <c r="X393" s="62"/>
      <c r="Y393" s="62"/>
      <c r="Z393" s="62"/>
      <c r="AA393" s="62"/>
      <c r="AB393" s="62"/>
      <c r="AC393" s="62"/>
      <c r="AD393" s="62"/>
      <c r="AE393" s="62"/>
      <c r="AF393" s="62"/>
      <c r="AG393" s="62"/>
      <c r="AH393" s="62"/>
      <c r="AI393" s="62"/>
      <c r="AJ393" s="62"/>
      <c r="AK393" s="62"/>
      <c r="AL393" s="62"/>
      <c r="AM393" s="62"/>
      <c r="AN393" s="62"/>
      <c r="AO393" s="62"/>
      <c r="AP393" s="62"/>
      <c r="AQ393" s="62"/>
      <c r="AR393" s="62"/>
      <c r="AS393" s="62"/>
      <c r="AT393" s="62"/>
      <c r="AU393" s="62"/>
      <c r="AV393" s="62"/>
    </row>
    <row r="394" spans="24:48" x14ac:dyDescent="0.25">
      <c r="X394" s="62"/>
      <c r="Y394" s="62"/>
      <c r="Z394" s="62"/>
      <c r="AA394" s="62"/>
      <c r="AB394" s="62"/>
      <c r="AC394" s="62"/>
      <c r="AD394" s="62"/>
      <c r="AE394" s="62"/>
      <c r="AF394" s="62"/>
      <c r="AG394" s="62"/>
      <c r="AH394" s="62"/>
      <c r="AI394" s="62"/>
      <c r="AJ394" s="62"/>
      <c r="AK394" s="62"/>
      <c r="AL394" s="62"/>
      <c r="AM394" s="62"/>
      <c r="AN394" s="62"/>
      <c r="AO394" s="62"/>
      <c r="AP394" s="62"/>
      <c r="AQ394" s="62"/>
      <c r="AR394" s="62"/>
      <c r="AS394" s="62"/>
      <c r="AT394" s="62"/>
      <c r="AU394" s="62"/>
      <c r="AV394" s="62"/>
    </row>
    <row r="395" spans="24:48" x14ac:dyDescent="0.25">
      <c r="X395" s="62"/>
      <c r="Y395" s="62"/>
      <c r="Z395" s="62"/>
      <c r="AA395" s="62"/>
      <c r="AB395" s="62"/>
      <c r="AC395" s="62"/>
      <c r="AD395" s="62"/>
      <c r="AE395" s="62"/>
      <c r="AF395" s="62"/>
      <c r="AG395" s="62"/>
      <c r="AH395" s="62"/>
      <c r="AI395" s="62"/>
      <c r="AJ395" s="62"/>
      <c r="AK395" s="62"/>
      <c r="AL395" s="62"/>
      <c r="AM395" s="62"/>
      <c r="AN395" s="62"/>
      <c r="AO395" s="62"/>
      <c r="AP395" s="62"/>
      <c r="AQ395" s="62"/>
      <c r="AR395" s="62"/>
      <c r="AS395" s="62"/>
      <c r="AT395" s="62"/>
      <c r="AU395" s="62"/>
      <c r="AV395" s="62"/>
    </row>
    <row r="396" spans="24:48" x14ac:dyDescent="0.25">
      <c r="X396" s="62"/>
      <c r="Y396" s="62"/>
      <c r="Z396" s="62"/>
      <c r="AA396" s="62"/>
      <c r="AB396" s="62"/>
      <c r="AC396" s="62"/>
      <c r="AD396" s="62"/>
      <c r="AE396" s="62"/>
      <c r="AF396" s="62"/>
      <c r="AG396" s="62"/>
      <c r="AH396" s="62"/>
      <c r="AI396" s="62"/>
      <c r="AJ396" s="62"/>
      <c r="AK396" s="62"/>
      <c r="AL396" s="62"/>
      <c r="AM396" s="62"/>
      <c r="AN396" s="62"/>
      <c r="AO396" s="62"/>
      <c r="AP396" s="62"/>
      <c r="AQ396" s="62"/>
      <c r="AR396" s="62"/>
      <c r="AS396" s="62"/>
      <c r="AT396" s="62"/>
      <c r="AU396" s="62"/>
      <c r="AV396" s="62"/>
    </row>
    <row r="397" spans="24:48" x14ac:dyDescent="0.25">
      <c r="X397" s="62"/>
      <c r="Y397" s="62"/>
      <c r="Z397" s="62"/>
      <c r="AA397" s="62"/>
      <c r="AB397" s="62"/>
      <c r="AC397" s="62"/>
      <c r="AD397" s="62"/>
      <c r="AE397" s="62"/>
      <c r="AF397" s="62"/>
      <c r="AG397" s="62"/>
      <c r="AH397" s="62"/>
      <c r="AI397" s="62"/>
      <c r="AJ397" s="62"/>
      <c r="AK397" s="62"/>
      <c r="AL397" s="62"/>
      <c r="AM397" s="62"/>
      <c r="AN397" s="62"/>
      <c r="AO397" s="62"/>
      <c r="AP397" s="62"/>
      <c r="AQ397" s="62"/>
      <c r="AR397" s="62"/>
      <c r="AS397" s="62"/>
      <c r="AT397" s="62"/>
      <c r="AU397" s="62"/>
      <c r="AV397" s="62"/>
    </row>
    <row r="398" spans="24:48" x14ac:dyDescent="0.25">
      <c r="X398" s="62"/>
      <c r="Y398" s="62"/>
      <c r="Z398" s="62"/>
      <c r="AA398" s="62"/>
      <c r="AB398" s="62"/>
      <c r="AC398" s="62"/>
      <c r="AD398" s="62"/>
      <c r="AE398" s="62"/>
      <c r="AF398" s="62"/>
      <c r="AG398" s="62"/>
      <c r="AH398" s="62"/>
      <c r="AI398" s="62"/>
      <c r="AJ398" s="62"/>
      <c r="AK398" s="62"/>
      <c r="AL398" s="62"/>
      <c r="AM398" s="62"/>
      <c r="AN398" s="62"/>
      <c r="AO398" s="62"/>
      <c r="AP398" s="62"/>
      <c r="AQ398" s="62"/>
      <c r="AR398" s="62"/>
      <c r="AS398" s="62"/>
      <c r="AT398" s="62"/>
      <c r="AU398" s="62"/>
      <c r="AV398" s="62"/>
    </row>
    <row r="399" spans="24:48" x14ac:dyDescent="0.25">
      <c r="X399" s="62"/>
      <c r="Y399" s="62"/>
      <c r="Z399" s="62"/>
      <c r="AA399" s="62"/>
      <c r="AB399" s="62"/>
      <c r="AC399" s="62"/>
      <c r="AD399" s="62"/>
      <c r="AE399" s="62"/>
      <c r="AF399" s="62"/>
      <c r="AG399" s="62"/>
      <c r="AH399" s="62"/>
      <c r="AI399" s="62"/>
      <c r="AJ399" s="62"/>
      <c r="AK399" s="62"/>
      <c r="AL399" s="62"/>
      <c r="AM399" s="62"/>
      <c r="AN399" s="62"/>
      <c r="AO399" s="62"/>
      <c r="AP399" s="62"/>
      <c r="AQ399" s="62"/>
      <c r="AR399" s="62"/>
      <c r="AS399" s="62"/>
      <c r="AT399" s="62"/>
      <c r="AU399" s="62"/>
      <c r="AV399" s="62"/>
    </row>
    <row r="400" spans="24:48" x14ac:dyDescent="0.25">
      <c r="X400" s="62"/>
      <c r="Y400" s="62"/>
      <c r="Z400" s="62"/>
      <c r="AA400" s="62"/>
      <c r="AB400" s="62"/>
      <c r="AC400" s="62"/>
      <c r="AD400" s="62"/>
      <c r="AE400" s="62"/>
      <c r="AF400" s="62"/>
      <c r="AG400" s="62"/>
      <c r="AH400" s="62"/>
      <c r="AI400" s="62"/>
      <c r="AJ400" s="62"/>
      <c r="AK400" s="62"/>
      <c r="AL400" s="62"/>
      <c r="AM400" s="62"/>
      <c r="AN400" s="62"/>
      <c r="AO400" s="62"/>
      <c r="AP400" s="62"/>
      <c r="AQ400" s="62"/>
      <c r="AR400" s="62"/>
      <c r="AS400" s="62"/>
      <c r="AT400" s="62"/>
      <c r="AU400" s="62"/>
      <c r="AV400" s="62"/>
    </row>
    <row r="401" spans="24:48" x14ac:dyDescent="0.25">
      <c r="X401" s="62"/>
      <c r="Y401" s="62"/>
      <c r="Z401" s="62"/>
      <c r="AA401" s="62"/>
      <c r="AB401" s="62"/>
      <c r="AC401" s="62"/>
      <c r="AD401" s="62"/>
      <c r="AE401" s="62"/>
      <c r="AF401" s="62"/>
      <c r="AG401" s="62"/>
      <c r="AH401" s="62"/>
      <c r="AI401" s="62"/>
      <c r="AJ401" s="62"/>
      <c r="AK401" s="62"/>
      <c r="AL401" s="62"/>
      <c r="AM401" s="62"/>
      <c r="AN401" s="62"/>
      <c r="AO401" s="62"/>
      <c r="AP401" s="62"/>
      <c r="AQ401" s="62"/>
      <c r="AR401" s="62"/>
      <c r="AS401" s="62"/>
      <c r="AT401" s="62"/>
      <c r="AU401" s="62"/>
      <c r="AV401" s="62"/>
    </row>
    <row r="402" spans="24:48" x14ac:dyDescent="0.25">
      <c r="X402" s="62"/>
      <c r="Y402" s="62"/>
      <c r="Z402" s="62"/>
      <c r="AA402" s="62"/>
      <c r="AB402" s="62"/>
      <c r="AC402" s="62"/>
      <c r="AD402" s="62"/>
      <c r="AE402" s="62"/>
      <c r="AF402" s="62"/>
      <c r="AG402" s="62"/>
      <c r="AH402" s="62"/>
      <c r="AI402" s="62"/>
      <c r="AJ402" s="62"/>
      <c r="AK402" s="62"/>
      <c r="AL402" s="62"/>
      <c r="AM402" s="62"/>
      <c r="AN402" s="62"/>
      <c r="AO402" s="62"/>
      <c r="AP402" s="62"/>
      <c r="AQ402" s="62"/>
      <c r="AR402" s="62"/>
      <c r="AS402" s="62"/>
      <c r="AT402" s="62"/>
      <c r="AU402" s="62"/>
      <c r="AV402" s="62"/>
    </row>
    <row r="403" spans="24:48" x14ac:dyDescent="0.25">
      <c r="X403" s="62"/>
      <c r="Y403" s="62"/>
      <c r="Z403" s="62"/>
      <c r="AA403" s="62"/>
      <c r="AB403" s="62"/>
      <c r="AC403" s="62"/>
      <c r="AD403" s="62"/>
      <c r="AE403" s="62"/>
      <c r="AF403" s="62"/>
      <c r="AG403" s="62"/>
      <c r="AH403" s="62"/>
      <c r="AI403" s="62"/>
      <c r="AJ403" s="62"/>
      <c r="AK403" s="62"/>
      <c r="AL403" s="62"/>
      <c r="AM403" s="62"/>
      <c r="AN403" s="62"/>
      <c r="AO403" s="62"/>
      <c r="AP403" s="62"/>
      <c r="AQ403" s="62"/>
      <c r="AR403" s="62"/>
      <c r="AS403" s="62"/>
      <c r="AT403" s="62"/>
      <c r="AU403" s="62"/>
      <c r="AV403" s="62"/>
    </row>
    <row r="404" spans="24:48" x14ac:dyDescent="0.25">
      <c r="X404" s="62"/>
      <c r="Y404" s="62"/>
      <c r="Z404" s="62"/>
      <c r="AA404" s="62"/>
      <c r="AB404" s="62"/>
      <c r="AC404" s="62"/>
      <c r="AD404" s="62"/>
      <c r="AE404" s="62"/>
      <c r="AF404" s="62"/>
      <c r="AG404" s="62"/>
      <c r="AH404" s="62"/>
      <c r="AI404" s="62"/>
      <c r="AJ404" s="62"/>
      <c r="AK404" s="62"/>
      <c r="AL404" s="62"/>
      <c r="AM404" s="62"/>
      <c r="AN404" s="62"/>
      <c r="AO404" s="62"/>
      <c r="AP404" s="62"/>
      <c r="AQ404" s="62"/>
      <c r="AR404" s="62"/>
      <c r="AS404" s="62"/>
      <c r="AT404" s="62"/>
      <c r="AU404" s="62"/>
      <c r="AV404" s="62"/>
    </row>
    <row r="405" spans="24:48" x14ac:dyDescent="0.25">
      <c r="X405" s="62"/>
      <c r="Y405" s="62"/>
      <c r="Z405" s="62"/>
      <c r="AA405" s="62"/>
      <c r="AB405" s="62"/>
      <c r="AC405" s="62"/>
      <c r="AD405" s="62"/>
      <c r="AE405" s="62"/>
      <c r="AF405" s="62"/>
      <c r="AG405" s="62"/>
      <c r="AH405" s="62"/>
      <c r="AI405" s="62"/>
      <c r="AJ405" s="62"/>
      <c r="AK405" s="62"/>
      <c r="AL405" s="62"/>
      <c r="AM405" s="62"/>
      <c r="AN405" s="62"/>
      <c r="AO405" s="62"/>
      <c r="AP405" s="62"/>
      <c r="AQ405" s="62"/>
      <c r="AR405" s="62"/>
      <c r="AS405" s="62"/>
      <c r="AT405" s="62"/>
      <c r="AU405" s="62"/>
      <c r="AV405" s="62"/>
    </row>
    <row r="406" spans="24:48" x14ac:dyDescent="0.25">
      <c r="X406" s="62"/>
      <c r="Y406" s="62"/>
      <c r="Z406" s="62"/>
      <c r="AA406" s="62"/>
      <c r="AB406" s="62"/>
      <c r="AC406" s="62"/>
      <c r="AD406" s="62"/>
      <c r="AE406" s="62"/>
      <c r="AF406" s="62"/>
      <c r="AG406" s="62"/>
      <c r="AH406" s="62"/>
      <c r="AI406" s="62"/>
      <c r="AJ406" s="62"/>
      <c r="AK406" s="62"/>
      <c r="AL406" s="62"/>
      <c r="AM406" s="62"/>
      <c r="AN406" s="62"/>
      <c r="AO406" s="62"/>
      <c r="AP406" s="62"/>
      <c r="AQ406" s="62"/>
      <c r="AR406" s="62"/>
      <c r="AS406" s="62"/>
      <c r="AT406" s="62"/>
      <c r="AU406" s="62"/>
      <c r="AV406" s="62"/>
    </row>
    <row r="407" spans="24:48" x14ac:dyDescent="0.25">
      <c r="X407" s="62"/>
      <c r="Y407" s="62"/>
      <c r="Z407" s="62"/>
      <c r="AA407" s="62"/>
      <c r="AB407" s="62"/>
      <c r="AC407" s="62"/>
      <c r="AD407" s="62"/>
      <c r="AE407" s="62"/>
      <c r="AF407" s="62"/>
      <c r="AG407" s="62"/>
      <c r="AH407" s="62"/>
      <c r="AI407" s="62"/>
      <c r="AJ407" s="62"/>
      <c r="AK407" s="62"/>
      <c r="AL407" s="62"/>
      <c r="AM407" s="62"/>
      <c r="AN407" s="62"/>
      <c r="AO407" s="62"/>
      <c r="AP407" s="62"/>
      <c r="AQ407" s="62"/>
      <c r="AR407" s="62"/>
      <c r="AS407" s="62"/>
      <c r="AT407" s="62"/>
      <c r="AU407" s="62"/>
      <c r="AV407" s="62"/>
    </row>
    <row r="408" spans="24:48" x14ac:dyDescent="0.25">
      <c r="X408" s="62"/>
      <c r="Y408" s="62"/>
      <c r="Z408" s="62"/>
      <c r="AA408" s="62"/>
      <c r="AB408" s="62"/>
      <c r="AC408" s="62"/>
      <c r="AD408" s="62"/>
      <c r="AE408" s="62"/>
      <c r="AF408" s="62"/>
      <c r="AG408" s="62"/>
      <c r="AH408" s="62"/>
      <c r="AI408" s="62"/>
      <c r="AJ408" s="62"/>
      <c r="AK408" s="62"/>
      <c r="AL408" s="62"/>
      <c r="AM408" s="62"/>
      <c r="AN408" s="62"/>
      <c r="AO408" s="62"/>
      <c r="AP408" s="62"/>
      <c r="AQ408" s="62"/>
      <c r="AR408" s="62"/>
      <c r="AS408" s="62"/>
      <c r="AT408" s="62"/>
      <c r="AU408" s="62"/>
      <c r="AV408" s="62"/>
    </row>
    <row r="409" spans="24:48" x14ac:dyDescent="0.25">
      <c r="X409" s="62"/>
      <c r="Y409" s="62"/>
      <c r="Z409" s="62"/>
      <c r="AA409" s="62"/>
      <c r="AB409" s="62"/>
      <c r="AC409" s="62"/>
      <c r="AD409" s="62"/>
      <c r="AE409" s="62"/>
      <c r="AF409" s="62"/>
      <c r="AG409" s="62"/>
      <c r="AH409" s="62"/>
      <c r="AI409" s="62"/>
      <c r="AJ409" s="62"/>
      <c r="AK409" s="62"/>
      <c r="AL409" s="62"/>
      <c r="AM409" s="62"/>
      <c r="AN409" s="62"/>
      <c r="AO409" s="62"/>
      <c r="AP409" s="62"/>
      <c r="AQ409" s="62"/>
      <c r="AR409" s="62"/>
      <c r="AS409" s="62"/>
      <c r="AT409" s="62"/>
      <c r="AU409" s="62"/>
      <c r="AV409" s="62"/>
    </row>
    <row r="410" spans="24:48" x14ac:dyDescent="0.25">
      <c r="X410" s="62"/>
      <c r="Y410" s="62"/>
      <c r="Z410" s="62"/>
      <c r="AA410" s="62"/>
      <c r="AB410" s="62"/>
      <c r="AC410" s="62"/>
      <c r="AD410" s="62"/>
      <c r="AE410" s="62"/>
      <c r="AF410" s="62"/>
      <c r="AG410" s="62"/>
      <c r="AH410" s="62"/>
      <c r="AI410" s="62"/>
      <c r="AJ410" s="62"/>
      <c r="AK410" s="62"/>
      <c r="AL410" s="62"/>
      <c r="AM410" s="62"/>
      <c r="AN410" s="62"/>
      <c r="AO410" s="62"/>
      <c r="AP410" s="62"/>
      <c r="AQ410" s="62"/>
      <c r="AR410" s="62"/>
      <c r="AS410" s="62"/>
      <c r="AT410" s="62"/>
      <c r="AU410" s="62"/>
      <c r="AV410" s="62"/>
    </row>
    <row r="411" spans="24:48" x14ac:dyDescent="0.25">
      <c r="X411" s="62"/>
      <c r="Y411" s="62"/>
      <c r="Z411" s="62"/>
      <c r="AA411" s="62"/>
      <c r="AB411" s="62"/>
      <c r="AC411" s="62"/>
      <c r="AD411" s="62"/>
      <c r="AE411" s="62"/>
      <c r="AF411" s="62"/>
      <c r="AG411" s="62"/>
      <c r="AH411" s="62"/>
      <c r="AI411" s="62"/>
      <c r="AJ411" s="62"/>
      <c r="AK411" s="62"/>
      <c r="AL411" s="62"/>
      <c r="AM411" s="62"/>
      <c r="AN411" s="62"/>
      <c r="AO411" s="62"/>
      <c r="AP411" s="62"/>
      <c r="AQ411" s="62"/>
      <c r="AR411" s="62"/>
      <c r="AS411" s="62"/>
      <c r="AT411" s="62"/>
      <c r="AU411" s="62"/>
      <c r="AV411" s="62"/>
    </row>
    <row r="412" spans="24:48" x14ac:dyDescent="0.25">
      <c r="X412" s="62"/>
      <c r="Y412" s="62"/>
      <c r="Z412" s="62"/>
      <c r="AA412" s="62"/>
      <c r="AB412" s="62"/>
      <c r="AC412" s="62"/>
      <c r="AD412" s="62"/>
      <c r="AE412" s="62"/>
      <c r="AF412" s="62"/>
      <c r="AG412" s="62"/>
      <c r="AH412" s="62"/>
      <c r="AI412" s="62"/>
      <c r="AJ412" s="62"/>
      <c r="AK412" s="62"/>
      <c r="AL412" s="62"/>
      <c r="AM412" s="62"/>
      <c r="AN412" s="62"/>
      <c r="AO412" s="62"/>
      <c r="AP412" s="62"/>
      <c r="AQ412" s="62"/>
      <c r="AR412" s="62"/>
      <c r="AS412" s="62"/>
      <c r="AT412" s="62"/>
      <c r="AU412" s="62"/>
      <c r="AV412" s="62"/>
    </row>
    <row r="413" spans="24:48" x14ac:dyDescent="0.25">
      <c r="X413" s="62"/>
      <c r="Y413" s="62"/>
      <c r="Z413" s="62"/>
      <c r="AA413" s="62"/>
      <c r="AB413" s="62"/>
      <c r="AC413" s="62"/>
      <c r="AD413" s="62"/>
      <c r="AE413" s="62"/>
      <c r="AF413" s="62"/>
      <c r="AG413" s="62"/>
      <c r="AH413" s="62"/>
      <c r="AI413" s="62"/>
      <c r="AJ413" s="62"/>
      <c r="AK413" s="62"/>
      <c r="AL413" s="62"/>
      <c r="AM413" s="62"/>
      <c r="AN413" s="62"/>
      <c r="AO413" s="62"/>
      <c r="AP413" s="62"/>
      <c r="AQ413" s="62"/>
      <c r="AR413" s="62"/>
      <c r="AS413" s="62"/>
      <c r="AT413" s="62"/>
      <c r="AU413" s="62"/>
      <c r="AV413" s="62"/>
    </row>
    <row r="414" spans="24:48" x14ac:dyDescent="0.25">
      <c r="X414" s="62"/>
      <c r="Y414" s="62"/>
      <c r="Z414" s="62"/>
      <c r="AA414" s="62"/>
      <c r="AB414" s="62"/>
      <c r="AC414" s="62"/>
      <c r="AD414" s="62"/>
      <c r="AE414" s="62"/>
      <c r="AF414" s="62"/>
      <c r="AG414" s="62"/>
      <c r="AH414" s="62"/>
      <c r="AI414" s="62"/>
      <c r="AJ414" s="62"/>
      <c r="AK414" s="62"/>
      <c r="AL414" s="62"/>
      <c r="AM414" s="62"/>
      <c r="AN414" s="62"/>
      <c r="AO414" s="62"/>
      <c r="AP414" s="62"/>
      <c r="AQ414" s="62"/>
      <c r="AR414" s="62"/>
      <c r="AS414" s="62"/>
      <c r="AT414" s="62"/>
      <c r="AU414" s="62"/>
      <c r="AV414" s="62"/>
    </row>
    <row r="415" spans="24:48" x14ac:dyDescent="0.25">
      <c r="X415" s="62"/>
      <c r="Y415" s="62"/>
      <c r="Z415" s="62"/>
      <c r="AA415" s="62"/>
      <c r="AB415" s="62"/>
      <c r="AC415" s="62"/>
      <c r="AD415" s="62"/>
      <c r="AE415" s="62"/>
      <c r="AF415" s="62"/>
      <c r="AG415" s="62"/>
      <c r="AH415" s="62"/>
      <c r="AI415" s="62"/>
      <c r="AJ415" s="62"/>
      <c r="AK415" s="62"/>
      <c r="AL415" s="62"/>
      <c r="AM415" s="62"/>
      <c r="AN415" s="62"/>
      <c r="AO415" s="62"/>
      <c r="AP415" s="62"/>
      <c r="AQ415" s="62"/>
      <c r="AR415" s="62"/>
      <c r="AS415" s="62"/>
      <c r="AT415" s="62"/>
      <c r="AU415" s="62"/>
      <c r="AV415" s="62"/>
    </row>
    <row r="416" spans="24:48" x14ac:dyDescent="0.25">
      <c r="X416" s="62"/>
      <c r="Y416" s="62"/>
      <c r="Z416" s="62"/>
      <c r="AA416" s="62"/>
      <c r="AB416" s="62"/>
      <c r="AC416" s="62"/>
      <c r="AD416" s="62"/>
      <c r="AE416" s="62"/>
      <c r="AF416" s="62"/>
      <c r="AG416" s="62"/>
      <c r="AH416" s="62"/>
      <c r="AI416" s="62"/>
      <c r="AJ416" s="62"/>
      <c r="AK416" s="62"/>
      <c r="AL416" s="62"/>
      <c r="AM416" s="62"/>
      <c r="AN416" s="62"/>
      <c r="AO416" s="62"/>
      <c r="AP416" s="62"/>
      <c r="AQ416" s="62"/>
      <c r="AR416" s="62"/>
      <c r="AS416" s="62"/>
      <c r="AT416" s="62"/>
      <c r="AU416" s="62"/>
      <c r="AV416" s="62"/>
    </row>
    <row r="417" spans="24:48" x14ac:dyDescent="0.25">
      <c r="X417" s="62"/>
      <c r="Y417" s="62"/>
      <c r="Z417" s="62"/>
      <c r="AA417" s="62"/>
      <c r="AB417" s="62"/>
      <c r="AC417" s="62"/>
      <c r="AD417" s="62"/>
      <c r="AE417" s="62"/>
      <c r="AF417" s="62"/>
      <c r="AG417" s="62"/>
      <c r="AH417" s="62"/>
      <c r="AI417" s="62"/>
      <c r="AJ417" s="62"/>
      <c r="AK417" s="62"/>
      <c r="AL417" s="62"/>
      <c r="AM417" s="62"/>
      <c r="AN417" s="62"/>
      <c r="AO417" s="62"/>
      <c r="AP417" s="62"/>
      <c r="AQ417" s="62"/>
      <c r="AR417" s="62"/>
      <c r="AS417" s="62"/>
      <c r="AT417" s="62"/>
      <c r="AU417" s="62"/>
      <c r="AV417" s="62"/>
    </row>
    <row r="418" spans="24:48" x14ac:dyDescent="0.25">
      <c r="X418" s="62"/>
      <c r="Y418" s="62"/>
      <c r="Z418" s="62"/>
      <c r="AA418" s="62"/>
      <c r="AB418" s="62"/>
      <c r="AC418" s="62"/>
      <c r="AD418" s="62"/>
      <c r="AE418" s="62"/>
      <c r="AF418" s="62"/>
      <c r="AG418" s="62"/>
      <c r="AH418" s="62"/>
      <c r="AI418" s="62"/>
      <c r="AJ418" s="62"/>
      <c r="AK418" s="62"/>
      <c r="AL418" s="62"/>
      <c r="AM418" s="62"/>
      <c r="AN418" s="62"/>
      <c r="AO418" s="62"/>
      <c r="AP418" s="62"/>
      <c r="AQ418" s="62"/>
      <c r="AR418" s="62"/>
      <c r="AS418" s="62"/>
      <c r="AT418" s="62"/>
      <c r="AU418" s="62"/>
      <c r="AV418" s="62"/>
    </row>
    <row r="419" spans="24:48" x14ac:dyDescent="0.25">
      <c r="X419" s="62"/>
      <c r="Y419" s="62"/>
      <c r="Z419" s="62"/>
      <c r="AA419" s="62"/>
      <c r="AB419" s="62"/>
      <c r="AC419" s="62"/>
      <c r="AD419" s="62"/>
      <c r="AE419" s="62"/>
      <c r="AF419" s="62"/>
      <c r="AG419" s="62"/>
      <c r="AH419" s="62"/>
      <c r="AI419" s="62"/>
      <c r="AJ419" s="62"/>
      <c r="AK419" s="62"/>
      <c r="AL419" s="62"/>
      <c r="AM419" s="62"/>
      <c r="AN419" s="62"/>
      <c r="AO419" s="62"/>
      <c r="AP419" s="62"/>
      <c r="AQ419" s="62"/>
      <c r="AR419" s="62"/>
      <c r="AS419" s="62"/>
      <c r="AT419" s="62"/>
      <c r="AU419" s="62"/>
      <c r="AV419" s="62"/>
    </row>
    <row r="420" spans="24:48" x14ac:dyDescent="0.25">
      <c r="X420" s="62"/>
      <c r="Y420" s="62"/>
      <c r="Z420" s="62"/>
      <c r="AA420" s="62"/>
      <c r="AB420" s="62"/>
      <c r="AC420" s="62"/>
      <c r="AD420" s="62"/>
      <c r="AE420" s="62"/>
      <c r="AF420" s="62"/>
      <c r="AG420" s="62"/>
      <c r="AH420" s="62"/>
      <c r="AI420" s="62"/>
      <c r="AJ420" s="62"/>
      <c r="AK420" s="62"/>
      <c r="AL420" s="62"/>
      <c r="AM420" s="62"/>
      <c r="AN420" s="62"/>
      <c r="AO420" s="62"/>
      <c r="AP420" s="62"/>
      <c r="AQ420" s="62"/>
      <c r="AR420" s="62"/>
      <c r="AS420" s="62"/>
      <c r="AT420" s="62"/>
      <c r="AU420" s="62"/>
      <c r="AV420" s="62"/>
    </row>
    <row r="421" spans="24:48" x14ac:dyDescent="0.25">
      <c r="X421" s="62"/>
      <c r="Y421" s="62"/>
      <c r="Z421" s="62"/>
      <c r="AA421" s="62"/>
      <c r="AB421" s="62"/>
      <c r="AC421" s="62"/>
      <c r="AD421" s="62"/>
      <c r="AE421" s="62"/>
      <c r="AF421" s="62"/>
      <c r="AG421" s="62"/>
      <c r="AH421" s="62"/>
      <c r="AI421" s="62"/>
      <c r="AJ421" s="62"/>
      <c r="AK421" s="62"/>
      <c r="AL421" s="62"/>
      <c r="AM421" s="62"/>
      <c r="AN421" s="62"/>
      <c r="AO421" s="62"/>
      <c r="AP421" s="62"/>
      <c r="AQ421" s="62"/>
      <c r="AR421" s="62"/>
      <c r="AS421" s="62"/>
      <c r="AT421" s="62"/>
      <c r="AU421" s="62"/>
      <c r="AV421" s="62"/>
    </row>
    <row r="422" spans="24:48" x14ac:dyDescent="0.25">
      <c r="X422" s="62"/>
      <c r="Y422" s="62"/>
      <c r="Z422" s="62"/>
      <c r="AA422" s="62"/>
      <c r="AB422" s="62"/>
      <c r="AC422" s="62"/>
      <c r="AD422" s="62"/>
      <c r="AE422" s="62"/>
      <c r="AF422" s="62"/>
      <c r="AG422" s="62"/>
      <c r="AH422" s="62"/>
      <c r="AI422" s="62"/>
      <c r="AJ422" s="62"/>
      <c r="AK422" s="62"/>
      <c r="AL422" s="62"/>
      <c r="AM422" s="62"/>
      <c r="AN422" s="62"/>
      <c r="AO422" s="62"/>
      <c r="AP422" s="62"/>
      <c r="AQ422" s="62"/>
      <c r="AR422" s="62"/>
      <c r="AS422" s="62"/>
      <c r="AT422" s="62"/>
      <c r="AU422" s="62"/>
      <c r="AV422" s="62"/>
    </row>
    <row r="423" spans="24:48" x14ac:dyDescent="0.25">
      <c r="X423" s="62"/>
      <c r="Y423" s="62"/>
      <c r="Z423" s="62"/>
      <c r="AA423" s="62"/>
      <c r="AB423" s="62"/>
      <c r="AC423" s="62"/>
      <c r="AD423" s="62"/>
      <c r="AE423" s="62"/>
      <c r="AF423" s="62"/>
      <c r="AG423" s="62"/>
      <c r="AH423" s="62"/>
      <c r="AI423" s="62"/>
      <c r="AJ423" s="62"/>
      <c r="AK423" s="62"/>
      <c r="AL423" s="62"/>
      <c r="AM423" s="62"/>
      <c r="AN423" s="62"/>
      <c r="AO423" s="62"/>
      <c r="AP423" s="62"/>
      <c r="AQ423" s="62"/>
      <c r="AR423" s="62"/>
      <c r="AS423" s="62"/>
      <c r="AT423" s="62"/>
      <c r="AU423" s="62"/>
      <c r="AV423" s="62"/>
    </row>
    <row r="424" spans="24:48" x14ac:dyDescent="0.25">
      <c r="X424" s="62"/>
      <c r="Y424" s="62"/>
      <c r="Z424" s="62"/>
      <c r="AA424" s="62"/>
      <c r="AB424" s="62"/>
      <c r="AC424" s="62"/>
      <c r="AD424" s="62"/>
      <c r="AE424" s="62"/>
      <c r="AF424" s="62"/>
      <c r="AG424" s="62"/>
      <c r="AH424" s="62"/>
      <c r="AI424" s="62"/>
      <c r="AJ424" s="62"/>
      <c r="AK424" s="62"/>
      <c r="AL424" s="62"/>
      <c r="AM424" s="62"/>
      <c r="AN424" s="62"/>
      <c r="AO424" s="62"/>
      <c r="AP424" s="62"/>
      <c r="AQ424" s="62"/>
      <c r="AR424" s="62"/>
      <c r="AS424" s="62"/>
      <c r="AT424" s="62"/>
      <c r="AU424" s="62"/>
      <c r="AV424" s="62"/>
    </row>
    <row r="425" spans="24:48" x14ac:dyDescent="0.25">
      <c r="X425" s="62"/>
      <c r="Y425" s="62"/>
      <c r="Z425" s="62"/>
      <c r="AA425" s="62"/>
      <c r="AB425" s="62"/>
      <c r="AC425" s="62"/>
      <c r="AD425" s="62"/>
      <c r="AE425" s="62"/>
      <c r="AF425" s="62"/>
      <c r="AG425" s="62"/>
      <c r="AH425" s="62"/>
      <c r="AI425" s="62"/>
      <c r="AJ425" s="62"/>
      <c r="AK425" s="62"/>
      <c r="AL425" s="62"/>
      <c r="AM425" s="62"/>
      <c r="AN425" s="62"/>
      <c r="AO425" s="62"/>
      <c r="AP425" s="62"/>
      <c r="AQ425" s="62"/>
      <c r="AR425" s="62"/>
      <c r="AS425" s="62"/>
      <c r="AT425" s="62"/>
      <c r="AU425" s="62"/>
      <c r="AV425" s="62"/>
    </row>
    <row r="426" spans="24:48" x14ac:dyDescent="0.25">
      <c r="X426" s="62"/>
      <c r="Y426" s="62"/>
      <c r="Z426" s="62"/>
      <c r="AA426" s="62"/>
      <c r="AB426" s="62"/>
      <c r="AC426" s="62"/>
      <c r="AD426" s="62"/>
      <c r="AE426" s="62"/>
      <c r="AF426" s="62"/>
      <c r="AG426" s="62"/>
      <c r="AH426" s="62"/>
      <c r="AI426" s="62"/>
      <c r="AJ426" s="62"/>
      <c r="AK426" s="62"/>
      <c r="AL426" s="62"/>
      <c r="AM426" s="62"/>
      <c r="AN426" s="62"/>
      <c r="AO426" s="62"/>
      <c r="AP426" s="62"/>
      <c r="AQ426" s="62"/>
      <c r="AR426" s="62"/>
      <c r="AS426" s="62"/>
      <c r="AT426" s="62"/>
      <c r="AU426" s="62"/>
      <c r="AV426" s="62"/>
    </row>
    <row r="427" spans="24:48" x14ac:dyDescent="0.25">
      <c r="X427" s="62"/>
      <c r="Y427" s="62"/>
      <c r="Z427" s="62"/>
      <c r="AA427" s="62"/>
      <c r="AB427" s="62"/>
      <c r="AC427" s="62"/>
      <c r="AD427" s="62"/>
      <c r="AE427" s="62"/>
      <c r="AF427" s="62"/>
      <c r="AG427" s="62"/>
      <c r="AH427" s="62"/>
      <c r="AI427" s="62"/>
      <c r="AJ427" s="62"/>
      <c r="AK427" s="62"/>
      <c r="AL427" s="62"/>
      <c r="AM427" s="62"/>
      <c r="AN427" s="62"/>
      <c r="AO427" s="62"/>
      <c r="AP427" s="62"/>
      <c r="AQ427" s="62"/>
      <c r="AR427" s="62"/>
      <c r="AS427" s="62"/>
      <c r="AT427" s="62"/>
      <c r="AU427" s="62"/>
      <c r="AV427" s="62"/>
    </row>
    <row r="428" spans="24:48" x14ac:dyDescent="0.25">
      <c r="X428" s="62"/>
      <c r="Y428" s="62"/>
      <c r="Z428" s="62"/>
      <c r="AA428" s="62"/>
      <c r="AB428" s="62"/>
      <c r="AC428" s="62"/>
      <c r="AD428" s="62"/>
      <c r="AE428" s="62"/>
      <c r="AF428" s="62"/>
      <c r="AG428" s="62"/>
      <c r="AH428" s="62"/>
      <c r="AI428" s="62"/>
      <c r="AJ428" s="62"/>
      <c r="AK428" s="62"/>
      <c r="AL428" s="62"/>
      <c r="AM428" s="62"/>
      <c r="AN428" s="62"/>
      <c r="AO428" s="62"/>
      <c r="AP428" s="62"/>
      <c r="AQ428" s="62"/>
      <c r="AR428" s="62"/>
      <c r="AS428" s="62"/>
      <c r="AT428" s="62"/>
      <c r="AU428" s="62"/>
      <c r="AV428" s="62"/>
    </row>
    <row r="429" spans="24:48" x14ac:dyDescent="0.25">
      <c r="X429" s="62"/>
      <c r="Y429" s="62"/>
      <c r="Z429" s="62"/>
      <c r="AA429" s="62"/>
      <c r="AB429" s="62"/>
      <c r="AC429" s="62"/>
      <c r="AD429" s="62"/>
      <c r="AE429" s="62"/>
      <c r="AF429" s="62"/>
      <c r="AG429" s="62"/>
      <c r="AH429" s="62"/>
      <c r="AI429" s="62"/>
      <c r="AJ429" s="62"/>
      <c r="AK429" s="62"/>
      <c r="AL429" s="62"/>
      <c r="AM429" s="62"/>
      <c r="AN429" s="62"/>
      <c r="AO429" s="62"/>
      <c r="AP429" s="62"/>
      <c r="AQ429" s="62"/>
      <c r="AR429" s="62"/>
      <c r="AS429" s="62"/>
      <c r="AT429" s="62"/>
      <c r="AU429" s="62"/>
      <c r="AV429" s="62"/>
    </row>
  </sheetData>
  <autoFilter ref="W3:AV3" xr:uid="{73434E67-7CED-42BF-AC5E-1C6B8531985E}"/>
  <mergeCells count="9">
    <mergeCell ref="AE2:AJ2"/>
    <mergeCell ref="AK2:AP2"/>
    <mergeCell ref="AQ2:AV2"/>
    <mergeCell ref="F1:AV1"/>
    <mergeCell ref="B2:E2"/>
    <mergeCell ref="F2:K2"/>
    <mergeCell ref="L2:Q2"/>
    <mergeCell ref="R2:W2"/>
    <mergeCell ref="X2:AC2"/>
  </mergeCells>
  <phoneticPr fontId="9" type="noConversion"/>
  <pageMargins left="0.7" right="0.7" top="0.75" bottom="0.75" header="0.3" footer="0.3"/>
  <pageSetup paperSize="9" orientation="portrait" r:id="rId1"/>
  <tableParts count="1">
    <tablePart r:id="rId2"/>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F3EFE2-2F28-47F2-A42B-D4D9BB05AC3A}">
  <dimension ref="A1:L80"/>
  <sheetViews>
    <sheetView topLeftCell="A31" zoomScale="90" zoomScaleNormal="90" workbookViewId="0">
      <selection activeCell="F43" sqref="F43"/>
    </sheetView>
  </sheetViews>
  <sheetFormatPr defaultRowHeight="15" x14ac:dyDescent="0.25"/>
  <cols>
    <col min="1" max="1" width="18" customWidth="1"/>
    <col min="2" max="3" width="19" bestFit="1" customWidth="1"/>
    <col min="4" max="4" width="23.140625" bestFit="1" customWidth="1"/>
    <col min="5" max="5" width="14.85546875" bestFit="1" customWidth="1"/>
    <col min="6" max="6" width="11" bestFit="1" customWidth="1"/>
    <col min="7" max="7" width="18.85546875" bestFit="1" customWidth="1"/>
    <col min="8" max="9" width="19" bestFit="1" customWidth="1"/>
    <col min="10" max="10" width="19.5703125" bestFit="1" customWidth="1"/>
    <col min="11" max="11" width="14.85546875" bestFit="1" customWidth="1"/>
    <col min="12" max="12" width="4" bestFit="1" customWidth="1"/>
    <col min="13" max="13" width="18.28515625" bestFit="1" customWidth="1"/>
    <col min="14" max="14" width="23.42578125" bestFit="1" customWidth="1"/>
    <col min="15" max="16" width="23" bestFit="1" customWidth="1"/>
  </cols>
  <sheetData>
    <row r="1" spans="1:12" x14ac:dyDescent="0.25">
      <c r="H1" s="453" t="s">
        <v>682</v>
      </c>
      <c r="I1" s="453"/>
      <c r="J1" s="453"/>
      <c r="K1" s="453"/>
      <c r="L1" s="148"/>
    </row>
    <row r="2" spans="1:12" x14ac:dyDescent="0.25">
      <c r="A2" s="453" t="s">
        <v>683</v>
      </c>
      <c r="B2" s="453"/>
      <c r="C2" s="453"/>
      <c r="D2" s="453"/>
      <c r="E2" s="453"/>
      <c r="H2" t="s">
        <v>116</v>
      </c>
      <c r="I2" t="s">
        <v>115</v>
      </c>
      <c r="J2" t="s">
        <v>114</v>
      </c>
      <c r="K2" t="s">
        <v>92</v>
      </c>
    </row>
    <row r="3" spans="1:12" x14ac:dyDescent="0.25">
      <c r="B3" s="147" t="s">
        <v>86</v>
      </c>
      <c r="H3" s="148">
        <v>1493274.5</v>
      </c>
      <c r="I3" s="148">
        <v>12746240.5</v>
      </c>
      <c r="J3" s="148">
        <v>10546855</v>
      </c>
      <c r="K3" s="148">
        <v>24786370</v>
      </c>
    </row>
    <row r="4" spans="1:12" x14ac:dyDescent="0.25">
      <c r="B4" t="s">
        <v>87</v>
      </c>
      <c r="C4" t="s">
        <v>88</v>
      </c>
      <c r="D4" t="s">
        <v>89</v>
      </c>
      <c r="E4" t="s">
        <v>90</v>
      </c>
      <c r="F4" t="s">
        <v>91</v>
      </c>
    </row>
    <row r="5" spans="1:12" x14ac:dyDescent="0.25">
      <c r="A5" t="s">
        <v>92</v>
      </c>
      <c r="B5" s="148">
        <v>6534461</v>
      </c>
      <c r="C5" s="148">
        <v>7071676</v>
      </c>
      <c r="D5" s="148">
        <v>10216823</v>
      </c>
      <c r="E5" s="148">
        <v>963410</v>
      </c>
      <c r="F5" s="148">
        <v>24786370</v>
      </c>
      <c r="H5" s="147" t="s">
        <v>137</v>
      </c>
      <c r="I5" t="s">
        <v>88</v>
      </c>
    </row>
    <row r="6" spans="1:12" x14ac:dyDescent="0.25">
      <c r="B6" s="148"/>
      <c r="C6" s="148"/>
      <c r="D6" s="148"/>
      <c r="E6" s="148"/>
      <c r="F6" s="148"/>
      <c r="H6" s="453" t="s">
        <v>684</v>
      </c>
      <c r="I6" s="453"/>
      <c r="J6" s="453"/>
      <c r="K6" s="453"/>
    </row>
    <row r="7" spans="1:12" x14ac:dyDescent="0.25">
      <c r="B7" s="148"/>
      <c r="C7" s="148"/>
      <c r="D7" s="148"/>
      <c r="E7" s="148"/>
      <c r="F7" s="148"/>
      <c r="H7" s="147" t="s">
        <v>685</v>
      </c>
      <c r="I7" s="147" t="s">
        <v>86</v>
      </c>
    </row>
    <row r="8" spans="1:12" x14ac:dyDescent="0.25">
      <c r="C8" s="148"/>
      <c r="D8" s="148"/>
      <c r="E8" s="148"/>
      <c r="F8" s="148"/>
      <c r="H8" s="147" t="s">
        <v>117</v>
      </c>
      <c r="I8" s="151">
        <v>1</v>
      </c>
      <c r="J8" s="151">
        <v>3</v>
      </c>
      <c r="K8" s="151">
        <v>4</v>
      </c>
      <c r="L8" s="151">
        <v>5</v>
      </c>
    </row>
    <row r="9" spans="1:12" x14ac:dyDescent="0.25">
      <c r="A9" s="147" t="s">
        <v>137</v>
      </c>
      <c r="B9" t="s">
        <v>138</v>
      </c>
      <c r="H9" s="77" t="s">
        <v>144</v>
      </c>
      <c r="I9" s="148"/>
      <c r="J9" s="148">
        <v>1</v>
      </c>
      <c r="K9" s="148"/>
      <c r="L9" s="148"/>
    </row>
    <row r="10" spans="1:12" x14ac:dyDescent="0.25">
      <c r="A10" s="453" t="s">
        <v>686</v>
      </c>
      <c r="B10" s="453"/>
      <c r="C10" s="453"/>
      <c r="D10" s="453"/>
      <c r="H10" s="77" t="s">
        <v>147</v>
      </c>
      <c r="I10" s="148"/>
      <c r="J10" s="148">
        <v>7</v>
      </c>
      <c r="K10" s="148">
        <v>1</v>
      </c>
      <c r="L10" s="148"/>
    </row>
    <row r="11" spans="1:12" x14ac:dyDescent="0.25">
      <c r="A11" s="147" t="s">
        <v>117</v>
      </c>
      <c r="B11" t="s">
        <v>116</v>
      </c>
      <c r="C11" t="s">
        <v>115</v>
      </c>
      <c r="D11" t="s">
        <v>114</v>
      </c>
      <c r="E11" t="s">
        <v>92</v>
      </c>
      <c r="H11" s="77" t="s">
        <v>150</v>
      </c>
      <c r="I11" s="148"/>
      <c r="J11" s="148">
        <v>4</v>
      </c>
      <c r="K11" s="148">
        <v>2</v>
      </c>
      <c r="L11" s="148">
        <v>1</v>
      </c>
    </row>
    <row r="12" spans="1:12" x14ac:dyDescent="0.25">
      <c r="A12" s="77" t="s">
        <v>687</v>
      </c>
      <c r="B12" s="148">
        <v>99209.400000000009</v>
      </c>
      <c r="C12" s="148">
        <v>1737489.6</v>
      </c>
      <c r="D12" s="148">
        <v>7510296</v>
      </c>
      <c r="E12" s="148">
        <v>9346995</v>
      </c>
      <c r="H12" s="77" t="s">
        <v>141</v>
      </c>
      <c r="I12" s="148"/>
      <c r="J12" s="148">
        <v>1</v>
      </c>
      <c r="K12" s="148">
        <v>7</v>
      </c>
      <c r="L12" s="148">
        <v>1</v>
      </c>
    </row>
    <row r="13" spans="1:12" x14ac:dyDescent="0.25">
      <c r="A13" s="77" t="s">
        <v>688</v>
      </c>
      <c r="B13" s="148">
        <v>10650.8</v>
      </c>
      <c r="C13" s="148">
        <v>6198312.2000000002</v>
      </c>
      <c r="D13" s="148">
        <v>1656772</v>
      </c>
      <c r="E13" s="148">
        <v>7865735</v>
      </c>
      <c r="H13" s="77" t="s">
        <v>155</v>
      </c>
      <c r="I13" s="148"/>
      <c r="J13" s="148">
        <v>2</v>
      </c>
      <c r="K13" s="148">
        <v>7</v>
      </c>
      <c r="L13" s="148"/>
    </row>
    <row r="14" spans="1:12" x14ac:dyDescent="0.25">
      <c r="A14" s="77" t="s">
        <v>689</v>
      </c>
      <c r="B14" s="148">
        <v>1383414.2999999998</v>
      </c>
      <c r="C14" s="148">
        <v>4810438.7</v>
      </c>
      <c r="D14" s="148">
        <v>1379787</v>
      </c>
      <c r="E14" s="148">
        <v>7573640</v>
      </c>
      <c r="H14" s="77" t="s">
        <v>158</v>
      </c>
      <c r="I14" s="148"/>
      <c r="J14" s="148">
        <v>12</v>
      </c>
      <c r="K14" s="148"/>
      <c r="L14" s="148"/>
    </row>
    <row r="15" spans="1:12" x14ac:dyDescent="0.25">
      <c r="A15" s="77" t="s">
        <v>91</v>
      </c>
      <c r="B15" s="148">
        <v>1493274.4999999998</v>
      </c>
      <c r="C15" s="148">
        <v>12746240.5</v>
      </c>
      <c r="D15" s="148">
        <v>10546855</v>
      </c>
      <c r="E15" s="148">
        <v>24786370</v>
      </c>
      <c r="H15" s="77" t="s">
        <v>161</v>
      </c>
      <c r="I15" s="148"/>
      <c r="J15" s="148">
        <v>9</v>
      </c>
      <c r="K15" s="148">
        <v>2</v>
      </c>
      <c r="L15" s="148"/>
    </row>
    <row r="16" spans="1:12" x14ac:dyDescent="0.25">
      <c r="A16" s="77"/>
      <c r="B16" s="148"/>
      <c r="C16" s="148"/>
      <c r="D16" s="148"/>
      <c r="E16" s="148"/>
      <c r="H16" s="77" t="s">
        <v>164</v>
      </c>
      <c r="I16" s="148"/>
      <c r="J16" s="148"/>
      <c r="K16" s="148">
        <v>4</v>
      </c>
      <c r="L16" s="148">
        <v>3</v>
      </c>
    </row>
    <row r="17" spans="1:12" x14ac:dyDescent="0.25">
      <c r="C17" s="148"/>
      <c r="D17" s="148"/>
      <c r="E17" s="148"/>
      <c r="H17" s="77" t="s">
        <v>167</v>
      </c>
      <c r="I17" s="148">
        <v>1</v>
      </c>
      <c r="J17" s="148">
        <v>8</v>
      </c>
      <c r="K17" s="148">
        <v>6</v>
      </c>
      <c r="L17" s="148">
        <v>3</v>
      </c>
    </row>
    <row r="18" spans="1:12" x14ac:dyDescent="0.25">
      <c r="A18" s="453"/>
      <c r="B18" s="453"/>
      <c r="C18" s="453"/>
      <c r="D18" s="453"/>
      <c r="E18" s="148"/>
      <c r="H18" s="77" t="s">
        <v>170</v>
      </c>
      <c r="I18" s="148"/>
      <c r="J18" s="148">
        <v>5</v>
      </c>
      <c r="K18" s="148">
        <v>1</v>
      </c>
      <c r="L18" s="148">
        <v>2</v>
      </c>
    </row>
    <row r="19" spans="1:12" x14ac:dyDescent="0.25">
      <c r="H19" s="77" t="s">
        <v>173</v>
      </c>
      <c r="I19" s="148"/>
      <c r="J19" s="148">
        <v>7</v>
      </c>
      <c r="K19" s="148"/>
      <c r="L19" s="148"/>
    </row>
    <row r="20" spans="1:12" x14ac:dyDescent="0.25">
      <c r="H20" s="77" t="s">
        <v>176</v>
      </c>
      <c r="I20" s="148"/>
      <c r="J20" s="148">
        <v>10</v>
      </c>
      <c r="K20" s="148"/>
      <c r="L20" s="148"/>
    </row>
    <row r="21" spans="1:12" x14ac:dyDescent="0.25">
      <c r="H21" s="77" t="s">
        <v>179</v>
      </c>
      <c r="I21" s="148"/>
      <c r="J21" s="148">
        <v>6</v>
      </c>
      <c r="K21" s="148">
        <v>1</v>
      </c>
      <c r="L21" s="148"/>
    </row>
    <row r="22" spans="1:12" x14ac:dyDescent="0.25">
      <c r="H22" s="77" t="s">
        <v>182</v>
      </c>
      <c r="I22" s="148"/>
      <c r="J22" s="148">
        <v>6</v>
      </c>
      <c r="K22" s="148">
        <v>1</v>
      </c>
      <c r="L22" s="148"/>
    </row>
    <row r="23" spans="1:12" x14ac:dyDescent="0.25">
      <c r="H23" s="77" t="s">
        <v>185</v>
      </c>
      <c r="I23" s="148"/>
      <c r="J23" s="148">
        <v>7</v>
      </c>
      <c r="K23" s="148">
        <v>11</v>
      </c>
      <c r="L23" s="148">
        <v>3</v>
      </c>
    </row>
    <row r="24" spans="1:12" x14ac:dyDescent="0.25">
      <c r="D24" s="148"/>
      <c r="E24" s="148"/>
      <c r="H24" s="77" t="s">
        <v>188</v>
      </c>
      <c r="I24" s="148"/>
      <c r="J24" s="148">
        <v>9</v>
      </c>
      <c r="K24" s="148">
        <v>5</v>
      </c>
      <c r="L24" s="148">
        <v>3</v>
      </c>
    </row>
    <row r="25" spans="1:12" x14ac:dyDescent="0.25">
      <c r="D25" s="148"/>
      <c r="E25" s="148"/>
      <c r="H25" s="77" t="s">
        <v>191</v>
      </c>
      <c r="I25" s="148"/>
      <c r="J25" s="148"/>
      <c r="K25" s="148">
        <v>7</v>
      </c>
      <c r="L25" s="148">
        <v>1</v>
      </c>
    </row>
    <row r="26" spans="1:12" x14ac:dyDescent="0.25">
      <c r="H26" s="77" t="s">
        <v>194</v>
      </c>
      <c r="I26" s="148"/>
      <c r="J26" s="148">
        <v>9</v>
      </c>
      <c r="K26" s="148">
        <v>5</v>
      </c>
      <c r="L26" s="148"/>
    </row>
    <row r="27" spans="1:12" x14ac:dyDescent="0.25">
      <c r="H27" s="77" t="s">
        <v>197</v>
      </c>
      <c r="I27" s="148"/>
      <c r="J27" s="148">
        <v>6</v>
      </c>
      <c r="K27" s="148">
        <v>3</v>
      </c>
      <c r="L27" s="148"/>
    </row>
    <row r="28" spans="1:12" x14ac:dyDescent="0.25">
      <c r="C28" s="148"/>
      <c r="D28" s="148"/>
      <c r="E28" s="148"/>
      <c r="H28" s="77" t="s">
        <v>91</v>
      </c>
      <c r="I28" s="148">
        <v>1</v>
      </c>
      <c r="J28" s="148">
        <v>109</v>
      </c>
      <c r="K28" s="148">
        <v>63</v>
      </c>
      <c r="L28" s="148">
        <v>17</v>
      </c>
    </row>
    <row r="29" spans="1:12" x14ac:dyDescent="0.25">
      <c r="A29" s="453" t="s">
        <v>686</v>
      </c>
      <c r="B29" s="453"/>
      <c r="C29" s="453"/>
      <c r="D29" s="453"/>
      <c r="E29" s="148"/>
    </row>
    <row r="30" spans="1:12" x14ac:dyDescent="0.25">
      <c r="B30" s="147" t="s">
        <v>86</v>
      </c>
    </row>
    <row r="31" spans="1:12" x14ac:dyDescent="0.25">
      <c r="A31" s="147" t="s">
        <v>93</v>
      </c>
      <c r="B31" t="s">
        <v>87</v>
      </c>
      <c r="C31" t="s">
        <v>88</v>
      </c>
      <c r="D31" t="s">
        <v>89</v>
      </c>
      <c r="E31" t="s">
        <v>90</v>
      </c>
      <c r="F31" t="s">
        <v>91</v>
      </c>
    </row>
    <row r="32" spans="1:12" x14ac:dyDescent="0.25">
      <c r="A32" s="77" t="s">
        <v>111</v>
      </c>
      <c r="B32" s="148">
        <v>0</v>
      </c>
      <c r="C32" s="148">
        <v>3177463</v>
      </c>
      <c r="D32" s="148">
        <v>0</v>
      </c>
      <c r="E32" s="148">
        <v>0</v>
      </c>
      <c r="F32" s="148">
        <v>3177463</v>
      </c>
    </row>
    <row r="33" spans="1:6" x14ac:dyDescent="0.25">
      <c r="A33" s="77" t="s">
        <v>94</v>
      </c>
      <c r="B33" s="148">
        <v>2119626.4962929999</v>
      </c>
      <c r="C33" s="148">
        <v>2525949.5494829989</v>
      </c>
      <c r="D33" s="148">
        <v>4497160.6204069965</v>
      </c>
      <c r="E33" s="148">
        <v>383535</v>
      </c>
      <c r="F33" s="148">
        <v>9526271.6661829948</v>
      </c>
    </row>
    <row r="34" spans="1:6" x14ac:dyDescent="0.25">
      <c r="A34" s="77" t="s">
        <v>95</v>
      </c>
      <c r="B34" s="148">
        <v>5273507.0399999991</v>
      </c>
      <c r="C34" s="148">
        <v>7071673.54</v>
      </c>
      <c r="D34" s="148">
        <v>6980037.9295000015</v>
      </c>
      <c r="E34" s="148">
        <v>963410</v>
      </c>
      <c r="F34" s="148">
        <v>20288628.509500001</v>
      </c>
    </row>
    <row r="35" spans="1:6" x14ac:dyDescent="0.25">
      <c r="A35" s="77" t="s">
        <v>97</v>
      </c>
      <c r="B35" s="148">
        <v>6534458.3900000006</v>
      </c>
      <c r="C35" s="148">
        <v>7071673.6400000006</v>
      </c>
      <c r="D35" s="148">
        <v>1129027</v>
      </c>
      <c r="E35" s="148">
        <v>796917</v>
      </c>
      <c r="F35" s="148">
        <v>15532076.030000001</v>
      </c>
    </row>
    <row r="36" spans="1:6" x14ac:dyDescent="0.25">
      <c r="A36" s="77" t="s">
        <v>99</v>
      </c>
      <c r="B36" s="148">
        <v>683350</v>
      </c>
      <c r="C36" s="148">
        <v>758710</v>
      </c>
      <c r="D36" s="148">
        <v>3259922</v>
      </c>
      <c r="E36" s="148">
        <v>87935</v>
      </c>
      <c r="F36" s="148">
        <v>4789917</v>
      </c>
    </row>
    <row r="37" spans="1:6" x14ac:dyDescent="0.25">
      <c r="A37" s="77" t="s">
        <v>110</v>
      </c>
      <c r="B37" s="148">
        <v>1434007</v>
      </c>
      <c r="C37" s="148">
        <v>4084358</v>
      </c>
      <c r="D37" s="148">
        <v>3035730</v>
      </c>
      <c r="E37" s="148">
        <v>604175</v>
      </c>
      <c r="F37" s="148">
        <v>9158270</v>
      </c>
    </row>
    <row r="38" spans="1:6" x14ac:dyDescent="0.25">
      <c r="A38" s="77" t="s">
        <v>113</v>
      </c>
      <c r="B38" s="148">
        <v>4292895.8763610031</v>
      </c>
      <c r="C38" s="148">
        <v>5308162.7542631989</v>
      </c>
      <c r="D38" s="148">
        <v>9381655.1109790001</v>
      </c>
      <c r="E38" s="148">
        <v>693584</v>
      </c>
      <c r="F38" s="148">
        <v>19676297.741603203</v>
      </c>
    </row>
    <row r="39" spans="1:6" x14ac:dyDescent="0.25">
      <c r="A39" s="77" t="s">
        <v>103</v>
      </c>
      <c r="B39" s="148">
        <v>718791</v>
      </c>
      <c r="C39" s="148">
        <v>3889436</v>
      </c>
      <c r="D39" s="148">
        <v>1579524</v>
      </c>
      <c r="E39" s="148">
        <v>57873.323999999986</v>
      </c>
      <c r="F39" s="148">
        <v>6245624.324</v>
      </c>
    </row>
    <row r="40" spans="1:6" x14ac:dyDescent="0.25">
      <c r="A40" s="77" t="s">
        <v>105</v>
      </c>
      <c r="B40" s="148">
        <v>2026869</v>
      </c>
      <c r="C40" s="148">
        <v>2889542</v>
      </c>
      <c r="D40" s="148">
        <v>1783839</v>
      </c>
      <c r="E40" s="148">
        <v>237906.91199999998</v>
      </c>
      <c r="F40" s="148">
        <v>6938156.9119999995</v>
      </c>
    </row>
    <row r="41" spans="1:6" x14ac:dyDescent="0.25">
      <c r="A41" s="77" t="s">
        <v>108</v>
      </c>
      <c r="B41" s="148">
        <v>790356.80800000043</v>
      </c>
      <c r="C41" s="148">
        <v>2082051.9959999998</v>
      </c>
      <c r="D41" s="148">
        <v>3082617.8420000002</v>
      </c>
      <c r="E41" s="148">
        <v>65921.600000000006</v>
      </c>
      <c r="F41" s="148">
        <v>6020948.2460000003</v>
      </c>
    </row>
    <row r="42" spans="1:6" x14ac:dyDescent="0.25">
      <c r="A42" s="77" t="s">
        <v>106</v>
      </c>
      <c r="B42" s="148">
        <v>540205</v>
      </c>
      <c r="C42" s="148">
        <v>6068725</v>
      </c>
      <c r="D42" s="148">
        <v>1131418</v>
      </c>
      <c r="E42" s="148">
        <v>963410</v>
      </c>
      <c r="F42" s="148">
        <v>8703758</v>
      </c>
    </row>
    <row r="43" spans="1:6" x14ac:dyDescent="0.25">
      <c r="A43" s="152" t="s">
        <v>92</v>
      </c>
      <c r="B43" s="153">
        <v>6534461</v>
      </c>
      <c r="C43" s="153">
        <v>7071676</v>
      </c>
      <c r="D43" s="153">
        <v>10216823</v>
      </c>
      <c r="E43" s="153">
        <v>963410</v>
      </c>
      <c r="F43" s="153">
        <v>24786370</v>
      </c>
    </row>
    <row r="48" spans="1:6" x14ac:dyDescent="0.25">
      <c r="A48" s="453" t="s">
        <v>690</v>
      </c>
      <c r="B48" s="453"/>
      <c r="C48" s="453"/>
      <c r="D48" s="453"/>
      <c r="E48" s="453"/>
    </row>
    <row r="49" spans="1:2" x14ac:dyDescent="0.25">
      <c r="A49" s="147" t="s">
        <v>117</v>
      </c>
      <c r="B49" t="s">
        <v>92</v>
      </c>
    </row>
    <row r="50" spans="1:2" x14ac:dyDescent="0.25">
      <c r="A50" s="77" t="s">
        <v>185</v>
      </c>
      <c r="B50" s="148">
        <v>3155352</v>
      </c>
    </row>
    <row r="51" spans="1:2" x14ac:dyDescent="0.25">
      <c r="A51" s="77" t="s">
        <v>164</v>
      </c>
      <c r="B51" s="148">
        <v>2665244</v>
      </c>
    </row>
    <row r="52" spans="1:2" x14ac:dyDescent="0.25">
      <c r="A52" s="77" t="s">
        <v>167</v>
      </c>
      <c r="B52" s="148">
        <v>2050359</v>
      </c>
    </row>
    <row r="53" spans="1:2" x14ac:dyDescent="0.25">
      <c r="A53" s="77" t="s">
        <v>197</v>
      </c>
      <c r="B53" s="148">
        <v>1758876</v>
      </c>
    </row>
    <row r="54" spans="1:2" x14ac:dyDescent="0.25">
      <c r="A54" s="77" t="s">
        <v>141</v>
      </c>
      <c r="B54" s="148">
        <v>1646497</v>
      </c>
    </row>
    <row r="55" spans="1:2" x14ac:dyDescent="0.25">
      <c r="A55" s="77" t="s">
        <v>147</v>
      </c>
      <c r="B55" s="148">
        <v>1471740</v>
      </c>
    </row>
    <row r="56" spans="1:2" x14ac:dyDescent="0.25">
      <c r="A56" s="77" t="s">
        <v>161</v>
      </c>
      <c r="B56" s="148">
        <v>1429332</v>
      </c>
    </row>
    <row r="57" spans="1:2" x14ac:dyDescent="0.25">
      <c r="A57" s="77" t="s">
        <v>188</v>
      </c>
      <c r="B57" s="148">
        <v>1372793</v>
      </c>
    </row>
    <row r="58" spans="1:2" x14ac:dyDescent="0.25">
      <c r="A58" s="77" t="s">
        <v>155</v>
      </c>
      <c r="B58" s="148">
        <v>1189425</v>
      </c>
    </row>
    <row r="59" spans="1:2" x14ac:dyDescent="0.25">
      <c r="A59" s="77" t="s">
        <v>191</v>
      </c>
      <c r="B59" s="148">
        <v>1100019</v>
      </c>
    </row>
    <row r="60" spans="1:2" x14ac:dyDescent="0.25">
      <c r="A60" s="77" t="s">
        <v>158</v>
      </c>
      <c r="B60" s="148">
        <v>1043638</v>
      </c>
    </row>
    <row r="61" spans="1:2" x14ac:dyDescent="0.25">
      <c r="A61" s="77" t="s">
        <v>179</v>
      </c>
      <c r="B61" s="148">
        <v>1039016</v>
      </c>
    </row>
    <row r="62" spans="1:2" x14ac:dyDescent="0.25">
      <c r="A62" s="77" t="s">
        <v>182</v>
      </c>
      <c r="B62" s="148">
        <v>983410</v>
      </c>
    </row>
    <row r="63" spans="1:2" x14ac:dyDescent="0.25">
      <c r="A63" s="77" t="s">
        <v>170</v>
      </c>
      <c r="B63" s="148">
        <v>923535</v>
      </c>
    </row>
    <row r="64" spans="1:2" x14ac:dyDescent="0.25">
      <c r="A64" s="77" t="s">
        <v>194</v>
      </c>
      <c r="B64" s="148">
        <v>888133</v>
      </c>
    </row>
    <row r="65" spans="1:5" x14ac:dyDescent="0.25">
      <c r="A65" s="77" t="s">
        <v>173</v>
      </c>
      <c r="B65" s="148">
        <v>746500</v>
      </c>
    </row>
    <row r="66" spans="1:5" x14ac:dyDescent="0.25">
      <c r="A66" s="77" t="s">
        <v>176</v>
      </c>
      <c r="B66" s="148">
        <v>710069</v>
      </c>
    </row>
    <row r="67" spans="1:5" x14ac:dyDescent="0.25">
      <c r="A67" s="77" t="s">
        <v>150</v>
      </c>
      <c r="B67" s="148">
        <v>583187</v>
      </c>
    </row>
    <row r="68" spans="1:5" x14ac:dyDescent="0.25">
      <c r="A68" s="77" t="s">
        <v>144</v>
      </c>
      <c r="B68" s="148">
        <v>29245</v>
      </c>
    </row>
    <row r="76" spans="1:5" x14ac:dyDescent="0.25">
      <c r="A76" s="160" t="s">
        <v>691</v>
      </c>
      <c r="B76" s="160" t="s">
        <v>692</v>
      </c>
      <c r="C76" s="160" t="s">
        <v>693</v>
      </c>
      <c r="D76" s="160" t="s">
        <v>694</v>
      </c>
      <c r="E76" s="160" t="s">
        <v>695</v>
      </c>
    </row>
    <row r="77" spans="1:5" x14ac:dyDescent="0.25">
      <c r="A77" s="77" t="s">
        <v>687</v>
      </c>
      <c r="B77" s="148">
        <v>99209.400000000009</v>
      </c>
      <c r="C77" s="148">
        <v>1737489.6</v>
      </c>
      <c r="D77" s="148">
        <v>7510296</v>
      </c>
      <c r="E77" s="148">
        <v>9346995</v>
      </c>
    </row>
    <row r="78" spans="1:5" x14ac:dyDescent="0.25">
      <c r="A78" s="77" t="s">
        <v>688</v>
      </c>
      <c r="B78" s="148">
        <v>10650.8</v>
      </c>
      <c r="C78" s="148">
        <v>6198312.2000000002</v>
      </c>
      <c r="D78" s="148">
        <v>1656772</v>
      </c>
      <c r="E78" s="148">
        <v>7865735</v>
      </c>
    </row>
    <row r="79" spans="1:5" x14ac:dyDescent="0.25">
      <c r="A79" s="77" t="s">
        <v>689</v>
      </c>
      <c r="B79" s="148">
        <v>1383414.2999999998</v>
      </c>
      <c r="C79" s="148">
        <v>4810438.7</v>
      </c>
      <c r="D79" s="148">
        <v>1379787</v>
      </c>
      <c r="E79" s="148">
        <v>7573640</v>
      </c>
    </row>
    <row r="80" spans="1:5" x14ac:dyDescent="0.25">
      <c r="A80" s="162" t="s">
        <v>695</v>
      </c>
      <c r="B80" s="164">
        <v>1493274.4999999998</v>
      </c>
      <c r="C80" s="164">
        <v>12746240.5</v>
      </c>
      <c r="D80" s="164">
        <v>10546855</v>
      </c>
      <c r="E80" s="163">
        <v>24786370</v>
      </c>
    </row>
  </sheetData>
  <mergeCells count="7">
    <mergeCell ref="A29:D29"/>
    <mergeCell ref="A48:E48"/>
    <mergeCell ref="H1:K1"/>
    <mergeCell ref="H6:K6"/>
    <mergeCell ref="A2:E2"/>
    <mergeCell ref="A10:D10"/>
    <mergeCell ref="A18:D18"/>
  </mergeCells>
  <conditionalFormatting sqref="B77:E80">
    <cfRule type="colorScale" priority="1">
      <colorScale>
        <cfvo type="min"/>
        <cfvo type="max"/>
        <color theme="8" tint="0.79998168889431442"/>
        <color theme="8" tint="-0.499984740745262"/>
      </colorScale>
    </cfRule>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6C712E-D2DA-4A04-A9BC-DA0154A40943}">
  <sheetPr codeName="Sheet2">
    <tabColor theme="5" tint="0.79998168889431442"/>
  </sheetPr>
  <dimension ref="A1:Z38"/>
  <sheetViews>
    <sheetView workbookViewId="0">
      <selection activeCell="D19" sqref="D19"/>
    </sheetView>
  </sheetViews>
  <sheetFormatPr defaultRowHeight="15" x14ac:dyDescent="0.25"/>
  <cols>
    <col min="1" max="1" width="17.28515625" customWidth="1"/>
    <col min="2" max="3" width="16.7109375" customWidth="1"/>
    <col min="4" max="4" width="14.85546875" customWidth="1"/>
    <col min="5" max="5" width="15.28515625" customWidth="1"/>
    <col min="6" max="8" width="9" customWidth="1"/>
    <col min="9" max="9" width="10.7109375" customWidth="1"/>
    <col min="10" max="18" width="9" customWidth="1"/>
    <col min="19" max="19" width="10" customWidth="1"/>
    <col min="20" max="20" width="9" customWidth="1"/>
    <col min="26" max="26" width="10" customWidth="1"/>
  </cols>
  <sheetData>
    <row r="1" spans="1:26" x14ac:dyDescent="0.25">
      <c r="A1" s="70"/>
      <c r="B1" s="70"/>
      <c r="C1" s="70"/>
      <c r="D1" s="394" t="s">
        <v>52</v>
      </c>
      <c r="E1" s="394"/>
      <c r="F1" s="394"/>
      <c r="G1" s="394"/>
      <c r="H1" s="394"/>
      <c r="I1" s="394"/>
      <c r="J1" s="394"/>
      <c r="K1" s="394"/>
      <c r="L1" s="394"/>
      <c r="M1" s="394" t="s">
        <v>53</v>
      </c>
      <c r="N1" s="394"/>
      <c r="O1" s="394"/>
      <c r="P1" s="394"/>
      <c r="Q1" s="394"/>
      <c r="R1" s="394"/>
      <c r="S1" s="394"/>
      <c r="T1" s="394"/>
      <c r="U1" s="394" t="s">
        <v>54</v>
      </c>
      <c r="V1" s="394"/>
      <c r="W1" s="394"/>
      <c r="X1" s="394"/>
      <c r="Y1" s="394"/>
      <c r="Z1" s="394"/>
    </row>
    <row r="2" spans="1:26" ht="49.5" customHeight="1" x14ac:dyDescent="0.25">
      <c r="A2" s="391" t="s">
        <v>55</v>
      </c>
      <c r="B2" s="392"/>
      <c r="C2" s="393"/>
      <c r="D2" s="69" t="s">
        <v>56</v>
      </c>
      <c r="E2" s="69" t="s">
        <v>57</v>
      </c>
      <c r="F2" s="69" t="s">
        <v>58</v>
      </c>
      <c r="G2" s="69" t="s">
        <v>59</v>
      </c>
      <c r="H2" s="69" t="s">
        <v>60</v>
      </c>
      <c r="I2" s="69" t="s">
        <v>61</v>
      </c>
      <c r="J2" s="69" t="s">
        <v>62</v>
      </c>
      <c r="K2" s="69" t="s">
        <v>63</v>
      </c>
      <c r="L2" s="69" t="s">
        <v>64</v>
      </c>
      <c r="M2" s="395" t="s">
        <v>65</v>
      </c>
      <c r="N2" s="396"/>
      <c r="O2" s="395" t="s">
        <v>66</v>
      </c>
      <c r="P2" s="397"/>
      <c r="Q2" s="397"/>
      <c r="R2" s="396"/>
      <c r="S2" s="395" t="s">
        <v>67</v>
      </c>
      <c r="T2" s="396"/>
      <c r="U2" s="395" t="s">
        <v>68</v>
      </c>
      <c r="V2" s="397"/>
      <c r="W2" s="397"/>
      <c r="X2" s="397"/>
      <c r="Y2" s="397"/>
      <c r="Z2" s="396"/>
    </row>
    <row r="3" spans="1:26" ht="81" customHeight="1" x14ac:dyDescent="0.25">
      <c r="A3" s="68" t="s">
        <v>69</v>
      </c>
      <c r="B3" s="68" t="s">
        <v>70</v>
      </c>
      <c r="C3" s="68" t="s">
        <v>71</v>
      </c>
      <c r="D3" s="71" t="s">
        <v>56</v>
      </c>
      <c r="E3" s="72" t="s">
        <v>57</v>
      </c>
      <c r="F3" s="72" t="s">
        <v>58</v>
      </c>
      <c r="G3" s="72" t="s">
        <v>59</v>
      </c>
      <c r="H3" s="72" t="s">
        <v>60</v>
      </c>
      <c r="I3" s="72" t="s">
        <v>61</v>
      </c>
      <c r="J3" s="72" t="s">
        <v>62</v>
      </c>
      <c r="K3" s="72" t="s">
        <v>63</v>
      </c>
      <c r="L3" s="72" t="s">
        <v>64</v>
      </c>
      <c r="M3" s="72" t="s">
        <v>72</v>
      </c>
      <c r="N3" s="72" t="s">
        <v>73</v>
      </c>
      <c r="O3" s="72" t="s">
        <v>74</v>
      </c>
      <c r="P3" s="72" t="s">
        <v>75</v>
      </c>
      <c r="Q3" s="72" t="s">
        <v>76</v>
      </c>
      <c r="R3" s="72" t="s">
        <v>77</v>
      </c>
      <c r="S3" s="72" t="s">
        <v>78</v>
      </c>
      <c r="T3" s="72" t="s">
        <v>79</v>
      </c>
      <c r="U3" s="72" t="s">
        <v>80</v>
      </c>
      <c r="V3" s="72" t="s">
        <v>81</v>
      </c>
      <c r="W3" s="72" t="s">
        <v>82</v>
      </c>
      <c r="X3" s="72" t="s">
        <v>83</v>
      </c>
      <c r="Y3" s="72" t="s">
        <v>84</v>
      </c>
      <c r="Z3" s="72" t="s">
        <v>85</v>
      </c>
    </row>
    <row r="4" spans="1:26" x14ac:dyDescent="0.25">
      <c r="A4" s="29"/>
      <c r="B4" s="29"/>
      <c r="C4" s="29"/>
      <c r="D4" s="73"/>
      <c r="E4" s="73"/>
      <c r="F4" s="73"/>
      <c r="G4" s="73"/>
      <c r="H4" s="73"/>
      <c r="I4" s="73"/>
      <c r="J4" s="73"/>
      <c r="K4" s="73"/>
      <c r="L4" s="73"/>
      <c r="M4" s="73"/>
      <c r="N4" s="73"/>
      <c r="O4" s="73"/>
      <c r="P4" s="73"/>
      <c r="Q4" s="73"/>
      <c r="R4" s="73"/>
      <c r="S4" s="73"/>
      <c r="T4" s="73"/>
      <c r="U4" s="73"/>
      <c r="V4" s="73"/>
      <c r="W4" s="73"/>
      <c r="X4" s="73"/>
      <c r="Y4" s="73"/>
      <c r="Z4" s="73"/>
    </row>
    <row r="5" spans="1:26" x14ac:dyDescent="0.25">
      <c r="A5" s="29"/>
      <c r="B5" s="29"/>
      <c r="C5" s="29"/>
      <c r="D5" s="73"/>
      <c r="E5" s="73"/>
      <c r="F5" s="73"/>
      <c r="G5" s="73"/>
      <c r="H5" s="73"/>
      <c r="I5" s="73"/>
      <c r="J5" s="73"/>
      <c r="K5" s="73"/>
      <c r="L5" s="73"/>
      <c r="M5" s="73"/>
      <c r="N5" s="73"/>
      <c r="O5" s="73"/>
      <c r="P5" s="73"/>
      <c r="Q5" s="73"/>
      <c r="R5" s="73"/>
      <c r="S5" s="73"/>
      <c r="T5" s="73"/>
      <c r="U5" s="73"/>
      <c r="V5" s="73"/>
      <c r="W5" s="73"/>
      <c r="X5" s="73"/>
      <c r="Y5" s="73"/>
      <c r="Z5" s="73"/>
    </row>
    <row r="6" spans="1:26" x14ac:dyDescent="0.25">
      <c r="A6" s="29"/>
      <c r="B6" s="29"/>
      <c r="C6" s="29"/>
      <c r="D6" s="73"/>
      <c r="E6" s="73"/>
      <c r="F6" s="73"/>
      <c r="G6" s="73"/>
      <c r="H6" s="73"/>
      <c r="I6" s="73"/>
      <c r="J6" s="73"/>
      <c r="K6" s="73"/>
      <c r="L6" s="73"/>
      <c r="M6" s="73"/>
      <c r="N6" s="73"/>
      <c r="O6" s="73"/>
      <c r="P6" s="73"/>
      <c r="Q6" s="73"/>
      <c r="R6" s="73"/>
      <c r="S6" s="73"/>
      <c r="T6" s="73"/>
      <c r="U6" s="73"/>
      <c r="V6" s="73"/>
      <c r="W6" s="73"/>
      <c r="X6" s="73"/>
      <c r="Y6" s="73"/>
      <c r="Z6" s="73"/>
    </row>
    <row r="7" spans="1:26" x14ac:dyDescent="0.25">
      <c r="A7" s="29"/>
      <c r="B7" s="29"/>
      <c r="C7" s="29"/>
      <c r="D7" s="73"/>
      <c r="E7" s="73"/>
      <c r="F7" s="73"/>
      <c r="G7" s="73"/>
      <c r="H7" s="73"/>
      <c r="I7" s="73"/>
      <c r="J7" s="73"/>
      <c r="K7" s="73"/>
      <c r="L7" s="73"/>
      <c r="M7" s="73"/>
      <c r="N7" s="73"/>
      <c r="O7" s="73"/>
      <c r="P7" s="73"/>
      <c r="Q7" s="73"/>
      <c r="R7" s="73"/>
      <c r="S7" s="73"/>
      <c r="T7" s="73"/>
      <c r="U7" s="73"/>
      <c r="V7" s="73"/>
      <c r="W7" s="73"/>
      <c r="X7" s="73"/>
      <c r="Y7" s="73"/>
      <c r="Z7" s="73"/>
    </row>
    <row r="8" spans="1:26" x14ac:dyDescent="0.25">
      <c r="A8" s="30"/>
      <c r="B8" s="30"/>
      <c r="C8" s="30"/>
      <c r="D8" s="73"/>
      <c r="E8" s="73"/>
      <c r="F8" s="73"/>
      <c r="G8" s="73"/>
      <c r="H8" s="73"/>
      <c r="I8" s="73"/>
      <c r="J8" s="73"/>
      <c r="K8" s="73"/>
      <c r="L8" s="73"/>
      <c r="M8" s="73"/>
      <c r="N8" s="73"/>
      <c r="O8" s="73"/>
      <c r="P8" s="73"/>
      <c r="Q8" s="73"/>
      <c r="R8" s="73"/>
      <c r="S8" s="73"/>
      <c r="T8" s="73"/>
      <c r="U8" s="73"/>
      <c r="V8" s="73"/>
      <c r="W8" s="73"/>
      <c r="X8" s="73"/>
      <c r="Y8" s="73"/>
      <c r="Z8" s="73"/>
    </row>
    <row r="9" spans="1:26" x14ac:dyDescent="0.25">
      <c r="A9" s="30"/>
      <c r="B9" s="30"/>
      <c r="C9" s="30"/>
      <c r="D9" s="73"/>
      <c r="E9" s="73"/>
      <c r="F9" s="73"/>
      <c r="G9" s="73"/>
      <c r="H9" s="73"/>
      <c r="I9" s="73"/>
      <c r="J9" s="73"/>
      <c r="K9" s="73"/>
      <c r="L9" s="73"/>
      <c r="M9" s="73"/>
      <c r="N9" s="73"/>
      <c r="O9" s="73"/>
      <c r="P9" s="73"/>
      <c r="Q9" s="73"/>
      <c r="R9" s="73"/>
      <c r="S9" s="73"/>
      <c r="T9" s="73"/>
      <c r="U9" s="73"/>
      <c r="V9" s="73"/>
      <c r="W9" s="73"/>
      <c r="X9" s="73"/>
      <c r="Y9" s="73"/>
      <c r="Z9" s="73"/>
    </row>
    <row r="10" spans="1:26" ht="24.75" customHeight="1" x14ac:dyDescent="0.25">
      <c r="A10" s="30"/>
      <c r="B10" s="30"/>
      <c r="C10" s="30"/>
      <c r="D10" s="73"/>
      <c r="E10" s="73"/>
      <c r="F10" s="73"/>
      <c r="G10" s="73"/>
      <c r="H10" s="73"/>
      <c r="I10" s="73"/>
      <c r="J10" s="73"/>
      <c r="K10" s="73"/>
      <c r="L10" s="73"/>
      <c r="M10" s="73"/>
      <c r="N10" s="73"/>
      <c r="O10" s="73"/>
      <c r="P10" s="73"/>
      <c r="Q10" s="73"/>
      <c r="R10" s="73"/>
      <c r="S10" s="73"/>
      <c r="T10" s="73"/>
      <c r="U10" s="73"/>
      <c r="V10" s="73"/>
      <c r="W10" s="73"/>
      <c r="X10" s="73"/>
      <c r="Y10" s="73"/>
      <c r="Z10" s="73"/>
    </row>
    <row r="11" spans="1:26" x14ac:dyDescent="0.25">
      <c r="A11" s="77"/>
      <c r="B11" s="77"/>
      <c r="C11" s="77"/>
    </row>
    <row r="12" spans="1:26" x14ac:dyDescent="0.25">
      <c r="A12" s="77"/>
      <c r="B12" s="77"/>
      <c r="C12" s="77"/>
    </row>
    <row r="13" spans="1:26" x14ac:dyDescent="0.25">
      <c r="A13" s="77"/>
      <c r="B13" s="77"/>
      <c r="C13" s="77"/>
    </row>
    <row r="14" spans="1:26" x14ac:dyDescent="0.25">
      <c r="A14" s="77"/>
      <c r="B14" s="77"/>
      <c r="C14" s="77"/>
    </row>
    <row r="15" spans="1:26" x14ac:dyDescent="0.25">
      <c r="A15" s="77"/>
      <c r="B15" s="77"/>
      <c r="C15" s="77"/>
    </row>
    <row r="16" spans="1:26" x14ac:dyDescent="0.25">
      <c r="A16" s="77"/>
      <c r="B16" s="77"/>
      <c r="C16" s="77"/>
    </row>
    <row r="17" spans="1:3" x14ac:dyDescent="0.25">
      <c r="A17" s="77"/>
      <c r="B17" s="77"/>
      <c r="C17" s="77"/>
    </row>
    <row r="18" spans="1:3" x14ac:dyDescent="0.25">
      <c r="A18" s="77"/>
      <c r="B18" s="77"/>
      <c r="C18" s="77"/>
    </row>
    <row r="19" spans="1:3" x14ac:dyDescent="0.25">
      <c r="A19" s="77"/>
      <c r="B19" s="77"/>
      <c r="C19" s="77"/>
    </row>
    <row r="20" spans="1:3" x14ac:dyDescent="0.25">
      <c r="A20" s="77"/>
      <c r="B20" s="77"/>
      <c r="C20" s="77"/>
    </row>
    <row r="21" spans="1:3" x14ac:dyDescent="0.25">
      <c r="A21" s="77"/>
      <c r="B21" s="77"/>
      <c r="C21" s="77"/>
    </row>
    <row r="22" spans="1:3" x14ac:dyDescent="0.25">
      <c r="A22" s="77"/>
      <c r="B22" s="77"/>
      <c r="C22" s="77"/>
    </row>
    <row r="23" spans="1:3" x14ac:dyDescent="0.25">
      <c r="A23" s="77"/>
      <c r="B23" s="77"/>
      <c r="C23" s="77"/>
    </row>
    <row r="24" spans="1:3" x14ac:dyDescent="0.25">
      <c r="A24" s="77"/>
      <c r="B24" s="77"/>
      <c r="C24" s="77"/>
    </row>
    <row r="25" spans="1:3" x14ac:dyDescent="0.25">
      <c r="A25" s="77"/>
      <c r="B25" s="77"/>
      <c r="C25" s="77"/>
    </row>
    <row r="26" spans="1:3" x14ac:dyDescent="0.25">
      <c r="A26" s="77"/>
      <c r="B26" s="77"/>
      <c r="C26" s="77"/>
    </row>
    <row r="27" spans="1:3" x14ac:dyDescent="0.25">
      <c r="A27" s="77"/>
      <c r="B27" s="77"/>
      <c r="C27" s="77"/>
    </row>
    <row r="28" spans="1:3" x14ac:dyDescent="0.25">
      <c r="A28" s="77"/>
      <c r="B28" s="77"/>
      <c r="C28" s="77"/>
    </row>
    <row r="29" spans="1:3" x14ac:dyDescent="0.25">
      <c r="A29" s="77"/>
      <c r="B29" s="77"/>
      <c r="C29" s="77"/>
    </row>
    <row r="30" spans="1:3" x14ac:dyDescent="0.25">
      <c r="A30" s="77"/>
      <c r="B30" s="77"/>
      <c r="C30" s="77"/>
    </row>
    <row r="31" spans="1:3" x14ac:dyDescent="0.25">
      <c r="A31" s="77"/>
      <c r="B31" s="77"/>
      <c r="C31" s="77"/>
    </row>
    <row r="32" spans="1:3" x14ac:dyDescent="0.25">
      <c r="A32" s="77"/>
      <c r="B32" s="77"/>
      <c r="C32" s="77"/>
    </row>
    <row r="33" spans="1:3" x14ac:dyDescent="0.25">
      <c r="A33" s="77"/>
      <c r="B33" s="77"/>
      <c r="C33" s="77"/>
    </row>
    <row r="34" spans="1:3" x14ac:dyDescent="0.25">
      <c r="A34" s="77"/>
      <c r="B34" s="77"/>
      <c r="C34" s="77"/>
    </row>
    <row r="35" spans="1:3" x14ac:dyDescent="0.25">
      <c r="A35" s="77"/>
      <c r="B35" s="77"/>
      <c r="C35" s="77"/>
    </row>
    <row r="36" spans="1:3" x14ac:dyDescent="0.25">
      <c r="A36" s="77"/>
      <c r="B36" s="77"/>
      <c r="C36" s="77"/>
    </row>
    <row r="37" spans="1:3" x14ac:dyDescent="0.25">
      <c r="A37" s="77"/>
      <c r="B37" s="77"/>
      <c r="C37" s="77"/>
    </row>
    <row r="38" spans="1:3" x14ac:dyDescent="0.25">
      <c r="A38" s="77"/>
      <c r="B38" s="77"/>
      <c r="C38" s="77"/>
    </row>
  </sheetData>
  <mergeCells count="8">
    <mergeCell ref="A2:C2"/>
    <mergeCell ref="D1:L1"/>
    <mergeCell ref="M1:T1"/>
    <mergeCell ref="U1:Z1"/>
    <mergeCell ref="M2:N2"/>
    <mergeCell ref="O2:R2"/>
    <mergeCell ref="S2:T2"/>
    <mergeCell ref="U2:Z2"/>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F83C36-922D-4DB9-A1A3-B8226D289419}">
  <dimension ref="A3:F5"/>
  <sheetViews>
    <sheetView workbookViewId="0">
      <selection activeCell="B4" sqref="B4:E5"/>
    </sheetView>
  </sheetViews>
  <sheetFormatPr defaultRowHeight="15" x14ac:dyDescent="0.25"/>
  <cols>
    <col min="1" max="1" width="14.28515625" bestFit="1" customWidth="1"/>
    <col min="2" max="2" width="15.28515625" bestFit="1" customWidth="1"/>
    <col min="3" max="3" width="7.85546875" bestFit="1" customWidth="1"/>
    <col min="4" max="4" width="22.5703125" bestFit="1" customWidth="1"/>
    <col min="5" max="5" width="8.28515625" bestFit="1" customWidth="1"/>
    <col min="6" max="6" width="10.7109375" bestFit="1" customWidth="1"/>
  </cols>
  <sheetData>
    <row r="3" spans="1:6" x14ac:dyDescent="0.25">
      <c r="B3" s="147" t="s">
        <v>86</v>
      </c>
    </row>
    <row r="4" spans="1:6" x14ac:dyDescent="0.25">
      <c r="B4" t="s">
        <v>87</v>
      </c>
      <c r="C4" t="s">
        <v>88</v>
      </c>
      <c r="D4" t="s">
        <v>89</v>
      </c>
      <c r="E4" t="s">
        <v>90</v>
      </c>
      <c r="F4" t="s">
        <v>91</v>
      </c>
    </row>
    <row r="5" spans="1:6" x14ac:dyDescent="0.25">
      <c r="A5" t="s">
        <v>92</v>
      </c>
      <c r="B5">
        <v>6534461</v>
      </c>
      <c r="C5">
        <v>7071676</v>
      </c>
      <c r="D5">
        <v>10216823</v>
      </c>
      <c r="E5">
        <v>963410</v>
      </c>
      <c r="F5">
        <v>24786370</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4BCBD1-C3D5-4D15-9673-120F59A7D145}">
  <dimension ref="A1:R221"/>
  <sheetViews>
    <sheetView zoomScale="80" zoomScaleNormal="80" workbookViewId="0">
      <selection activeCell="D22" sqref="D22"/>
    </sheetView>
  </sheetViews>
  <sheetFormatPr defaultRowHeight="15" x14ac:dyDescent="0.25"/>
  <cols>
    <col min="1" max="1" width="20.5703125" customWidth="1"/>
    <col min="2" max="2" width="14.5703125" style="154" bestFit="1" customWidth="1"/>
    <col min="3" max="3" width="9" style="154" bestFit="1" customWidth="1"/>
    <col min="4" max="4" width="22" style="154" bestFit="1" customWidth="1"/>
    <col min="5" max="5" width="10.42578125" style="154" bestFit="1" customWidth="1"/>
    <col min="6" max="6" width="10.7109375" style="154" bestFit="1" customWidth="1"/>
    <col min="7" max="7" width="2.7109375" style="154" bestFit="1" customWidth="1"/>
    <col min="8" max="10" width="3.7109375" style="154" bestFit="1" customWidth="1"/>
    <col min="11" max="11" width="15.85546875" style="154" bestFit="1" customWidth="1"/>
    <col min="12" max="12" width="14.7109375" style="154" bestFit="1" customWidth="1"/>
    <col min="13" max="13" width="8.5703125" style="154" bestFit="1" customWidth="1"/>
    <col min="14" max="14" width="22" bestFit="1" customWidth="1"/>
    <col min="15" max="15" width="8.140625" bestFit="1" customWidth="1"/>
    <col min="16" max="16" width="10.140625" bestFit="1" customWidth="1"/>
    <col min="17" max="28" width="4.7109375" bestFit="1" customWidth="1"/>
    <col min="29" max="29" width="5.28515625" bestFit="1" customWidth="1"/>
    <col min="30" max="30" width="4.7109375" bestFit="1" customWidth="1"/>
    <col min="31" max="31" width="5.28515625" bestFit="1" customWidth="1"/>
    <col min="32" max="32" width="4.7109375" bestFit="1" customWidth="1"/>
    <col min="33" max="33" width="5.28515625" bestFit="1" customWidth="1"/>
    <col min="34" max="36" width="4.7109375" bestFit="1" customWidth="1"/>
    <col min="37" max="148" width="6.28515625" bestFit="1" customWidth="1"/>
    <col min="149" max="470" width="7.28515625" bestFit="1" customWidth="1"/>
    <col min="471" max="533" width="8.28515625" bestFit="1" customWidth="1"/>
    <col min="534" max="534" width="11.5703125" bestFit="1" customWidth="1"/>
  </cols>
  <sheetData>
    <row r="1" spans="1:18" x14ac:dyDescent="0.25">
      <c r="M1"/>
      <c r="N1" s="147" t="s">
        <v>86</v>
      </c>
      <c r="R1" s="154"/>
    </row>
    <row r="2" spans="1:18" x14ac:dyDescent="0.25">
      <c r="M2" s="147" t="s">
        <v>93</v>
      </c>
      <c r="N2" t="s">
        <v>90</v>
      </c>
      <c r="O2" t="s">
        <v>91</v>
      </c>
      <c r="R2" s="154"/>
    </row>
    <row r="3" spans="1:18" x14ac:dyDescent="0.25">
      <c r="B3" s="147" t="s">
        <v>86</v>
      </c>
      <c r="C3"/>
      <c r="D3"/>
      <c r="E3"/>
      <c r="F3"/>
      <c r="G3"/>
      <c r="H3"/>
      <c r="I3"/>
      <c r="J3"/>
      <c r="K3"/>
      <c r="L3"/>
      <c r="M3" s="77" t="s">
        <v>94</v>
      </c>
      <c r="N3" s="154">
        <v>383535</v>
      </c>
      <c r="O3" s="154">
        <v>383535</v>
      </c>
    </row>
    <row r="4" spans="1:18" x14ac:dyDescent="0.25">
      <c r="A4" s="147" t="s">
        <v>93</v>
      </c>
      <c r="B4" t="s">
        <v>87</v>
      </c>
      <c r="C4" t="s">
        <v>88</v>
      </c>
      <c r="D4" t="s">
        <v>89</v>
      </c>
      <c r="E4" t="s">
        <v>91</v>
      </c>
      <c r="F4" s="161">
        <v>2023</v>
      </c>
      <c r="G4"/>
      <c r="H4"/>
      <c r="I4"/>
      <c r="J4"/>
      <c r="K4"/>
      <c r="L4"/>
      <c r="M4" s="77" t="s">
        <v>95</v>
      </c>
      <c r="N4" s="154">
        <v>963410</v>
      </c>
      <c r="O4" s="154">
        <v>963410</v>
      </c>
    </row>
    <row r="5" spans="1:18" x14ac:dyDescent="0.25">
      <c r="A5" s="77" t="s">
        <v>94</v>
      </c>
      <c r="B5" s="154">
        <v>2119626.4962929999</v>
      </c>
      <c r="C5" s="154">
        <v>2525949.5494829989</v>
      </c>
      <c r="D5" s="154">
        <v>4497160.6204069965</v>
      </c>
      <c r="E5" s="154">
        <v>9142736.6661829948</v>
      </c>
      <c r="F5" s="154">
        <v>8598758.3016837649</v>
      </c>
      <c r="G5"/>
      <c r="H5"/>
      <c r="I5"/>
      <c r="J5"/>
      <c r="L5" t="s">
        <v>96</v>
      </c>
      <c r="M5" s="77" t="s">
        <v>97</v>
      </c>
      <c r="N5" s="154">
        <v>796917</v>
      </c>
      <c r="O5" s="154">
        <v>796917</v>
      </c>
    </row>
    <row r="6" spans="1:18" x14ac:dyDescent="0.25">
      <c r="A6" s="77" t="s">
        <v>95</v>
      </c>
      <c r="B6" s="154">
        <v>5273507.0399999991</v>
      </c>
      <c r="C6" s="154">
        <v>7071673.54</v>
      </c>
      <c r="D6" s="154">
        <v>6980037.9295000015</v>
      </c>
      <c r="E6" s="154">
        <v>19325218.509500001</v>
      </c>
      <c r="F6" s="154">
        <v>19113633.239999987</v>
      </c>
      <c r="G6"/>
      <c r="H6"/>
      <c r="I6"/>
      <c r="J6"/>
      <c r="L6" t="s">
        <v>98</v>
      </c>
      <c r="M6" s="77" t="s">
        <v>99</v>
      </c>
      <c r="N6" s="154">
        <v>87935</v>
      </c>
      <c r="O6" s="154">
        <v>87935</v>
      </c>
    </row>
    <row r="7" spans="1:18" x14ac:dyDescent="0.25">
      <c r="A7" s="77" t="s">
        <v>97</v>
      </c>
      <c r="B7" s="154">
        <v>6534458.3900000006</v>
      </c>
      <c r="C7" s="154">
        <v>7071673.6400000006</v>
      </c>
      <c r="D7" s="154">
        <v>1129027</v>
      </c>
      <c r="E7" s="154">
        <v>14735159.030000001</v>
      </c>
      <c r="F7" s="154">
        <v>10091057.238182893</v>
      </c>
      <c r="G7"/>
      <c r="H7"/>
      <c r="I7"/>
      <c r="J7"/>
      <c r="L7" t="s">
        <v>100</v>
      </c>
      <c r="M7" s="77" t="s">
        <v>101</v>
      </c>
      <c r="N7" s="154">
        <v>963410</v>
      </c>
      <c r="O7" s="154">
        <v>963410</v>
      </c>
    </row>
    <row r="8" spans="1:18" x14ac:dyDescent="0.25">
      <c r="A8" s="77" t="s">
        <v>99</v>
      </c>
      <c r="B8" s="154">
        <v>683350</v>
      </c>
      <c r="C8" s="154">
        <v>758710</v>
      </c>
      <c r="D8" s="154">
        <v>3259922</v>
      </c>
      <c r="E8" s="154">
        <v>4701982</v>
      </c>
      <c r="F8" s="154">
        <v>4600000</v>
      </c>
      <c r="G8"/>
      <c r="H8"/>
      <c r="I8"/>
      <c r="J8"/>
      <c r="L8" t="s">
        <v>102</v>
      </c>
      <c r="M8" s="77" t="s">
        <v>103</v>
      </c>
      <c r="N8" s="154">
        <v>57873.324000000001</v>
      </c>
      <c r="O8" s="154">
        <v>57873.324000000001</v>
      </c>
    </row>
    <row r="9" spans="1:18" x14ac:dyDescent="0.25">
      <c r="A9" s="77" t="s">
        <v>101</v>
      </c>
      <c r="B9" s="154">
        <v>2225196.6879999996</v>
      </c>
      <c r="C9" s="154">
        <v>6620347.7750000004</v>
      </c>
      <c r="D9" s="154">
        <v>3799237.8159999996</v>
      </c>
      <c r="E9" s="154">
        <v>12644782.278999999</v>
      </c>
      <c r="G9"/>
      <c r="H9"/>
      <c r="I9"/>
      <c r="J9"/>
      <c r="L9" t="s">
        <v>104</v>
      </c>
      <c r="M9" s="77" t="s">
        <v>105</v>
      </c>
      <c r="N9" s="154">
        <v>237906.91200000001</v>
      </c>
      <c r="O9" s="154">
        <v>237906.91200000001</v>
      </c>
    </row>
    <row r="10" spans="1:18" x14ac:dyDescent="0.25">
      <c r="A10" s="77" t="s">
        <v>103</v>
      </c>
      <c r="B10" s="154">
        <v>718791</v>
      </c>
      <c r="C10" s="154">
        <v>3889436</v>
      </c>
      <c r="D10" s="154">
        <v>1579524</v>
      </c>
      <c r="E10" s="154">
        <v>6187751</v>
      </c>
      <c r="F10" s="154">
        <v>3979064.5526444484</v>
      </c>
      <c r="G10"/>
      <c r="H10"/>
      <c r="I10"/>
      <c r="J10"/>
      <c r="L10" t="s">
        <v>44</v>
      </c>
      <c r="M10" s="77" t="s">
        <v>106</v>
      </c>
      <c r="N10" s="154">
        <v>963410</v>
      </c>
      <c r="O10" s="154">
        <v>963410</v>
      </c>
    </row>
    <row r="11" spans="1:18" x14ac:dyDescent="0.25">
      <c r="A11" s="77" t="s">
        <v>105</v>
      </c>
      <c r="B11" s="154">
        <v>2026869</v>
      </c>
      <c r="C11" s="154">
        <v>2889542</v>
      </c>
      <c r="D11" s="154">
        <v>1783839</v>
      </c>
      <c r="E11" s="154">
        <v>6700250</v>
      </c>
      <c r="F11" s="154">
        <v>4008739</v>
      </c>
      <c r="G11"/>
      <c r="H11"/>
      <c r="I11"/>
      <c r="J11"/>
      <c r="L11" t="s">
        <v>107</v>
      </c>
      <c r="M11" s="77" t="s">
        <v>108</v>
      </c>
      <c r="N11" s="154">
        <v>65921.600000000006</v>
      </c>
      <c r="O11" s="154">
        <v>65921.600000000006</v>
      </c>
    </row>
    <row r="12" spans="1:18" x14ac:dyDescent="0.25">
      <c r="A12" s="77" t="s">
        <v>106</v>
      </c>
      <c r="B12" s="154">
        <v>540205</v>
      </c>
      <c r="C12" s="154">
        <v>6068725</v>
      </c>
      <c r="D12" s="154">
        <v>1131418</v>
      </c>
      <c r="E12" s="154">
        <v>7740348</v>
      </c>
      <c r="F12" s="154">
        <v>5725113.077019088</v>
      </c>
      <c r="G12"/>
      <c r="H12"/>
      <c r="I12"/>
      <c r="J12"/>
      <c r="L12" t="s">
        <v>109</v>
      </c>
      <c r="M12" s="77" t="s">
        <v>110</v>
      </c>
      <c r="N12" s="154">
        <v>604175</v>
      </c>
      <c r="O12" s="154">
        <v>604175</v>
      </c>
    </row>
    <row r="13" spans="1:18" x14ac:dyDescent="0.25">
      <c r="A13" s="77" t="s">
        <v>108</v>
      </c>
      <c r="B13" s="154">
        <v>790356.80800000043</v>
      </c>
      <c r="C13" s="154">
        <v>2082051.9959999998</v>
      </c>
      <c r="D13" s="154">
        <v>3082617.8420000002</v>
      </c>
      <c r="E13" s="154">
        <v>5955026.6460000006</v>
      </c>
      <c r="F13" s="154">
        <v>10000000</v>
      </c>
      <c r="G13"/>
      <c r="H13"/>
      <c r="I13"/>
      <c r="J13"/>
      <c r="L13" t="s">
        <v>46</v>
      </c>
      <c r="M13" s="77" t="s">
        <v>111</v>
      </c>
      <c r="N13" s="154">
        <v>0</v>
      </c>
      <c r="O13" s="154">
        <v>0</v>
      </c>
    </row>
    <row r="14" spans="1:18" x14ac:dyDescent="0.25">
      <c r="A14" s="77" t="s">
        <v>110</v>
      </c>
      <c r="B14" s="154">
        <v>1434007</v>
      </c>
      <c r="C14" s="154">
        <v>4084358</v>
      </c>
      <c r="D14" s="154">
        <v>3035730</v>
      </c>
      <c r="E14" s="154">
        <v>8554095</v>
      </c>
      <c r="F14" s="154">
        <v>5712773</v>
      </c>
      <c r="G14"/>
      <c r="H14"/>
      <c r="I14"/>
      <c r="J14"/>
      <c r="L14" t="s">
        <v>112</v>
      </c>
      <c r="M14" s="77" t="s">
        <v>113</v>
      </c>
      <c r="N14" s="154">
        <v>693584</v>
      </c>
      <c r="O14" s="154">
        <v>693584</v>
      </c>
    </row>
    <row r="15" spans="1:18" x14ac:dyDescent="0.25">
      <c r="A15" s="77" t="s">
        <v>111</v>
      </c>
      <c r="B15" s="154">
        <v>0</v>
      </c>
      <c r="C15" s="154">
        <v>3177463</v>
      </c>
      <c r="D15" s="154">
        <v>0</v>
      </c>
      <c r="E15" s="154">
        <v>3177463</v>
      </c>
      <c r="G15"/>
      <c r="H15"/>
      <c r="I15"/>
      <c r="J15"/>
      <c r="K15"/>
      <c r="L15"/>
      <c r="M15" s="77" t="s">
        <v>92</v>
      </c>
      <c r="N15" s="154">
        <v>963410</v>
      </c>
      <c r="O15" s="154">
        <v>963410</v>
      </c>
    </row>
    <row r="16" spans="1:18" x14ac:dyDescent="0.25">
      <c r="A16" s="77" t="s">
        <v>113</v>
      </c>
      <c r="B16" s="154">
        <v>4292895.8763610031</v>
      </c>
      <c r="C16" s="154">
        <v>5308162.7542631989</v>
      </c>
      <c r="D16" s="154">
        <v>9381655.1109790001</v>
      </c>
      <c r="E16" s="154">
        <v>18982713.741603203</v>
      </c>
      <c r="F16" s="154">
        <v>15196588.087583102</v>
      </c>
      <c r="G16"/>
      <c r="H16"/>
      <c r="I16"/>
      <c r="J16"/>
      <c r="K16"/>
      <c r="L16"/>
      <c r="M16"/>
    </row>
    <row r="17" spans="1:13" x14ac:dyDescent="0.25">
      <c r="A17" s="77" t="s">
        <v>92</v>
      </c>
      <c r="B17" s="154">
        <v>6534461</v>
      </c>
      <c r="C17" s="154">
        <v>7071676</v>
      </c>
      <c r="D17" s="154">
        <v>10216823</v>
      </c>
      <c r="E17" s="154">
        <v>23822960</v>
      </c>
      <c r="G17"/>
      <c r="H17"/>
      <c r="I17"/>
      <c r="J17"/>
      <c r="K17"/>
      <c r="L17"/>
      <c r="M17"/>
    </row>
    <row r="18" spans="1:13" x14ac:dyDescent="0.25">
      <c r="B18"/>
      <c r="C18"/>
      <c r="D18"/>
      <c r="E18"/>
      <c r="F18"/>
      <c r="G18"/>
      <c r="H18"/>
      <c r="I18"/>
      <c r="J18"/>
      <c r="K18"/>
      <c r="L18"/>
      <c r="M18"/>
    </row>
    <row r="19" spans="1:13" x14ac:dyDescent="0.25">
      <c r="B19"/>
      <c r="C19"/>
      <c r="D19"/>
      <c r="E19"/>
      <c r="F19"/>
      <c r="G19"/>
      <c r="H19"/>
      <c r="I19"/>
      <c r="J19"/>
      <c r="K19"/>
      <c r="L19"/>
      <c r="M19"/>
    </row>
    <row r="20" spans="1:13" x14ac:dyDescent="0.25">
      <c r="B20"/>
      <c r="C20"/>
      <c r="D20"/>
      <c r="E20"/>
      <c r="F20"/>
      <c r="G20"/>
      <c r="H20"/>
      <c r="I20"/>
      <c r="J20"/>
      <c r="K20"/>
      <c r="L20"/>
      <c r="M20"/>
    </row>
    <row r="21" spans="1:13" ht="21" x14ac:dyDescent="0.35">
      <c r="B21"/>
      <c r="C21"/>
      <c r="D21"/>
      <c r="E21"/>
      <c r="F21"/>
      <c r="G21"/>
      <c r="H21"/>
      <c r="I21"/>
      <c r="J21" s="155"/>
      <c r="K21" s="155"/>
      <c r="L21" s="18"/>
      <c r="M21"/>
    </row>
    <row r="22" spans="1:13" ht="21" x14ac:dyDescent="0.35">
      <c r="B22"/>
      <c r="C22"/>
      <c r="D22"/>
      <c r="E22"/>
      <c r="F22"/>
      <c r="G22"/>
      <c r="H22"/>
      <c r="I22"/>
      <c r="J22" s="155"/>
      <c r="K22" s="155"/>
      <c r="L22" s="18"/>
      <c r="M22"/>
    </row>
    <row r="23" spans="1:13" ht="21" x14ac:dyDescent="0.35">
      <c r="B23"/>
      <c r="C23"/>
      <c r="D23"/>
      <c r="E23"/>
      <c r="F23"/>
      <c r="G23"/>
      <c r="H23"/>
      <c r="I23"/>
      <c r="J23" s="155"/>
      <c r="K23" s="155"/>
      <c r="L23" s="18"/>
      <c r="M23"/>
    </row>
    <row r="24" spans="1:13" ht="21" x14ac:dyDescent="0.35">
      <c r="A24" s="147" t="s">
        <v>93</v>
      </c>
      <c r="B24"/>
      <c r="C24"/>
      <c r="D24"/>
      <c r="E24"/>
      <c r="F24"/>
      <c r="G24"/>
      <c r="H24"/>
      <c r="I24"/>
      <c r="J24" s="155"/>
      <c r="K24" s="155"/>
      <c r="L24" s="18"/>
      <c r="M24"/>
    </row>
    <row r="25" spans="1:13" ht="21" x14ac:dyDescent="0.35">
      <c r="A25" s="77" t="s">
        <v>114</v>
      </c>
      <c r="B25" s="154">
        <v>10546855</v>
      </c>
      <c r="C25"/>
      <c r="D25"/>
      <c r="E25"/>
      <c r="F25"/>
      <c r="G25"/>
      <c r="H25"/>
      <c r="I25"/>
      <c r="J25" s="156"/>
      <c r="K25" s="155"/>
      <c r="L25" s="18"/>
      <c r="M25"/>
    </row>
    <row r="26" spans="1:13" ht="21" x14ac:dyDescent="0.35">
      <c r="A26" s="77" t="s">
        <v>115</v>
      </c>
      <c r="B26" s="154">
        <v>12746240.5</v>
      </c>
      <c r="C26"/>
      <c r="D26"/>
      <c r="E26"/>
      <c r="F26"/>
      <c r="G26"/>
      <c r="H26"/>
      <c r="I26"/>
      <c r="J26" s="157"/>
      <c r="K26" s="157"/>
      <c r="L26" s="18"/>
      <c r="M26"/>
    </row>
    <row r="27" spans="1:13" ht="21" x14ac:dyDescent="0.35">
      <c r="A27" s="77" t="s">
        <v>116</v>
      </c>
      <c r="B27" s="154">
        <v>1493274.5</v>
      </c>
      <c r="C27"/>
      <c r="D27"/>
      <c r="E27"/>
      <c r="F27"/>
      <c r="G27"/>
      <c r="H27"/>
      <c r="I27"/>
      <c r="J27" s="157"/>
      <c r="K27" s="157"/>
      <c r="L27" s="18"/>
      <c r="M27"/>
    </row>
    <row r="28" spans="1:13" ht="21" x14ac:dyDescent="0.35">
      <c r="B28"/>
      <c r="C28"/>
      <c r="D28"/>
      <c r="E28"/>
      <c r="F28"/>
      <c r="G28"/>
      <c r="H28"/>
      <c r="I28"/>
      <c r="J28" s="157"/>
      <c r="K28" s="157"/>
      <c r="L28" s="18"/>
      <c r="M28"/>
    </row>
    <row r="29" spans="1:13" ht="21" x14ac:dyDescent="0.35">
      <c r="A29" s="147" t="s">
        <v>117</v>
      </c>
      <c r="B29" t="s">
        <v>92</v>
      </c>
      <c r="C29"/>
      <c r="D29"/>
      <c r="E29"/>
      <c r="F29"/>
      <c r="G29"/>
      <c r="H29"/>
      <c r="I29"/>
      <c r="J29" s="157"/>
      <c r="K29"/>
      <c r="L29"/>
      <c r="M29"/>
    </row>
    <row r="30" spans="1:13" ht="21" x14ac:dyDescent="0.35">
      <c r="A30" s="77" t="s">
        <v>118</v>
      </c>
      <c r="B30" s="154">
        <v>2665244</v>
      </c>
      <c r="C30"/>
      <c r="D30"/>
      <c r="E30"/>
      <c r="F30"/>
      <c r="G30"/>
      <c r="H30"/>
      <c r="I30"/>
      <c r="J30" s="155"/>
      <c r="K30"/>
      <c r="L30"/>
      <c r="M30"/>
    </row>
    <row r="31" spans="1:13" ht="21" x14ac:dyDescent="0.35">
      <c r="A31" s="77" t="s">
        <v>119</v>
      </c>
      <c r="B31" s="154">
        <v>2050359</v>
      </c>
      <c r="C31"/>
      <c r="D31"/>
      <c r="E31"/>
      <c r="F31"/>
      <c r="G31"/>
      <c r="H31"/>
      <c r="I31"/>
      <c r="J31" s="155"/>
      <c r="K31"/>
      <c r="L31"/>
      <c r="M31"/>
    </row>
    <row r="32" spans="1:13" ht="21" x14ac:dyDescent="0.35">
      <c r="A32" s="77" t="s">
        <v>120</v>
      </c>
      <c r="B32" s="154">
        <v>3155352</v>
      </c>
      <c r="C32"/>
      <c r="D32"/>
      <c r="E32"/>
      <c r="F32"/>
      <c r="G32"/>
      <c r="H32"/>
      <c r="I32"/>
      <c r="J32" s="156"/>
      <c r="K32"/>
      <c r="L32"/>
      <c r="M32"/>
    </row>
    <row r="33" spans="1:13" ht="21" x14ac:dyDescent="0.35">
      <c r="A33" s="77" t="s">
        <v>121</v>
      </c>
      <c r="B33" s="154">
        <v>1100019</v>
      </c>
      <c r="C33"/>
      <c r="D33"/>
      <c r="E33"/>
      <c r="F33"/>
      <c r="G33"/>
      <c r="H33"/>
      <c r="I33"/>
      <c r="J33" s="155"/>
      <c r="K33"/>
      <c r="L33"/>
      <c r="M33"/>
    </row>
    <row r="34" spans="1:13" ht="21" x14ac:dyDescent="0.35">
      <c r="A34" s="77" t="s">
        <v>122</v>
      </c>
      <c r="B34" s="154">
        <v>1189425</v>
      </c>
      <c r="C34"/>
      <c r="D34"/>
      <c r="E34"/>
      <c r="F34"/>
      <c r="G34"/>
      <c r="H34"/>
      <c r="I34"/>
      <c r="J34" s="158"/>
      <c r="K34"/>
      <c r="L34"/>
      <c r="M34"/>
    </row>
    <row r="35" spans="1:13" x14ac:dyDescent="0.25">
      <c r="A35" s="77" t="s">
        <v>123</v>
      </c>
      <c r="B35" s="154">
        <v>1646497</v>
      </c>
      <c r="C35"/>
      <c r="D35"/>
      <c r="E35"/>
      <c r="F35"/>
      <c r="G35"/>
      <c r="H35"/>
      <c r="I35"/>
      <c r="J35"/>
      <c r="K35"/>
      <c r="L35"/>
      <c r="M35"/>
    </row>
    <row r="36" spans="1:13" x14ac:dyDescent="0.25">
      <c r="A36" s="77" t="s">
        <v>124</v>
      </c>
      <c r="B36" s="154">
        <v>1372793</v>
      </c>
      <c r="C36"/>
      <c r="D36"/>
      <c r="E36"/>
      <c r="F36"/>
      <c r="G36"/>
      <c r="H36"/>
      <c r="I36"/>
      <c r="J36"/>
      <c r="K36"/>
      <c r="L36"/>
      <c r="M36"/>
    </row>
    <row r="37" spans="1:13" x14ac:dyDescent="0.25">
      <c r="A37" s="77" t="s">
        <v>125</v>
      </c>
      <c r="B37" s="154">
        <v>583187</v>
      </c>
      <c r="C37"/>
      <c r="D37"/>
      <c r="E37"/>
      <c r="F37"/>
      <c r="G37"/>
      <c r="H37"/>
      <c r="I37"/>
      <c r="J37"/>
      <c r="K37"/>
      <c r="L37"/>
      <c r="M37"/>
    </row>
    <row r="38" spans="1:13" x14ac:dyDescent="0.25">
      <c r="A38" s="77" t="s">
        <v>126</v>
      </c>
      <c r="B38" s="154">
        <v>1758876</v>
      </c>
      <c r="C38"/>
      <c r="D38"/>
      <c r="E38"/>
      <c r="F38"/>
      <c r="G38"/>
      <c r="H38"/>
      <c r="I38"/>
      <c r="J38"/>
      <c r="K38"/>
      <c r="L38"/>
      <c r="M38"/>
    </row>
    <row r="39" spans="1:13" x14ac:dyDescent="0.25">
      <c r="A39" s="77" t="s">
        <v>127</v>
      </c>
      <c r="B39" s="154">
        <v>710069</v>
      </c>
      <c r="C39"/>
      <c r="D39"/>
      <c r="E39"/>
      <c r="F39"/>
      <c r="G39"/>
      <c r="H39"/>
      <c r="I39"/>
      <c r="J39"/>
      <c r="K39"/>
      <c r="L39"/>
      <c r="M39"/>
    </row>
    <row r="40" spans="1:13" x14ac:dyDescent="0.25">
      <c r="A40" s="77" t="s">
        <v>128</v>
      </c>
      <c r="B40" s="154">
        <v>1429332</v>
      </c>
      <c r="C40"/>
      <c r="D40"/>
      <c r="E40"/>
      <c r="F40"/>
      <c r="G40"/>
      <c r="H40"/>
      <c r="I40"/>
      <c r="J40"/>
      <c r="K40"/>
      <c r="L40"/>
      <c r="M40"/>
    </row>
    <row r="41" spans="1:13" x14ac:dyDescent="0.25">
      <c r="A41" s="77" t="s">
        <v>129</v>
      </c>
      <c r="B41" s="154">
        <v>1043638</v>
      </c>
      <c r="C41"/>
      <c r="D41"/>
      <c r="E41"/>
      <c r="F41"/>
      <c r="G41"/>
      <c r="H41"/>
      <c r="I41"/>
      <c r="J41"/>
      <c r="K41"/>
      <c r="L41"/>
      <c r="M41"/>
    </row>
    <row r="42" spans="1:13" x14ac:dyDescent="0.25">
      <c r="A42" s="77" t="s">
        <v>130</v>
      </c>
      <c r="B42" s="154">
        <v>923535</v>
      </c>
      <c r="C42"/>
      <c r="D42"/>
      <c r="E42"/>
      <c r="F42"/>
      <c r="G42"/>
      <c r="H42"/>
      <c r="I42"/>
      <c r="J42"/>
      <c r="K42"/>
      <c r="L42"/>
      <c r="M42"/>
    </row>
    <row r="43" spans="1:13" x14ac:dyDescent="0.25">
      <c r="A43" s="77" t="s">
        <v>131</v>
      </c>
      <c r="B43" s="154">
        <v>983410</v>
      </c>
      <c r="C43"/>
      <c r="D43"/>
      <c r="E43"/>
      <c r="F43"/>
      <c r="G43"/>
      <c r="H43"/>
      <c r="I43"/>
      <c r="J43"/>
      <c r="K43"/>
      <c r="L43"/>
      <c r="M43"/>
    </row>
    <row r="44" spans="1:13" x14ac:dyDescent="0.25">
      <c r="A44" s="77" t="s">
        <v>132</v>
      </c>
      <c r="B44" s="154">
        <v>1471740</v>
      </c>
      <c r="C44"/>
      <c r="D44"/>
      <c r="E44"/>
      <c r="F44"/>
      <c r="G44"/>
      <c r="H44"/>
      <c r="I44"/>
      <c r="J44"/>
      <c r="K44"/>
      <c r="L44"/>
      <c r="M44"/>
    </row>
    <row r="45" spans="1:13" x14ac:dyDescent="0.25">
      <c r="A45" s="77" t="s">
        <v>133</v>
      </c>
      <c r="B45" s="154">
        <v>1039016</v>
      </c>
      <c r="C45"/>
      <c r="D45"/>
      <c r="E45"/>
      <c r="F45"/>
      <c r="G45"/>
      <c r="H45"/>
      <c r="I45"/>
      <c r="J45"/>
      <c r="K45"/>
      <c r="L45"/>
      <c r="M45"/>
    </row>
    <row r="46" spans="1:13" x14ac:dyDescent="0.25">
      <c r="A46" s="77" t="s">
        <v>134</v>
      </c>
      <c r="B46" s="154">
        <v>746500</v>
      </c>
      <c r="C46"/>
      <c r="D46"/>
      <c r="E46"/>
      <c r="F46"/>
      <c r="G46"/>
      <c r="H46"/>
      <c r="I46"/>
      <c r="J46"/>
      <c r="K46"/>
      <c r="L46"/>
      <c r="M46"/>
    </row>
    <row r="47" spans="1:13" x14ac:dyDescent="0.25">
      <c r="A47" s="77" t="s">
        <v>135</v>
      </c>
      <c r="B47" s="154">
        <v>888133</v>
      </c>
      <c r="C47"/>
      <c r="D47"/>
      <c r="E47"/>
      <c r="F47"/>
      <c r="G47"/>
      <c r="H47"/>
      <c r="I47"/>
      <c r="J47"/>
      <c r="K47"/>
      <c r="L47"/>
      <c r="M47"/>
    </row>
    <row r="48" spans="1:13" x14ac:dyDescent="0.25">
      <c r="A48" s="77" t="s">
        <v>136</v>
      </c>
      <c r="B48" s="154">
        <v>29245</v>
      </c>
      <c r="C48"/>
      <c r="D48"/>
      <c r="E48"/>
      <c r="F48"/>
      <c r="G48"/>
      <c r="H48"/>
      <c r="I48"/>
      <c r="J48"/>
      <c r="K48"/>
      <c r="L48"/>
      <c r="M48"/>
    </row>
    <row r="49" spans="1:13" x14ac:dyDescent="0.25">
      <c r="A49" s="77" t="s">
        <v>91</v>
      </c>
      <c r="B49" s="154">
        <v>24786370</v>
      </c>
      <c r="C49"/>
      <c r="D49"/>
      <c r="E49"/>
      <c r="F49"/>
      <c r="G49"/>
      <c r="H49"/>
      <c r="I49"/>
      <c r="J49"/>
      <c r="K49"/>
      <c r="L49"/>
      <c r="M49"/>
    </row>
    <row r="50" spans="1:13" x14ac:dyDescent="0.25">
      <c r="B50"/>
      <c r="C50"/>
      <c r="D50"/>
      <c r="E50"/>
      <c r="F50"/>
      <c r="G50"/>
      <c r="H50"/>
      <c r="I50"/>
      <c r="J50"/>
      <c r="K50"/>
      <c r="L50"/>
      <c r="M50"/>
    </row>
    <row r="51" spans="1:13" x14ac:dyDescent="0.25">
      <c r="B51"/>
      <c r="C51"/>
      <c r="D51"/>
      <c r="E51"/>
      <c r="F51"/>
      <c r="G51"/>
      <c r="H51"/>
      <c r="I51"/>
      <c r="J51"/>
      <c r="K51"/>
      <c r="L51"/>
      <c r="M51"/>
    </row>
    <row r="52" spans="1:13" x14ac:dyDescent="0.25">
      <c r="B52"/>
      <c r="C52"/>
      <c r="D52"/>
      <c r="E52"/>
      <c r="F52"/>
      <c r="G52"/>
      <c r="H52"/>
      <c r="I52"/>
      <c r="J52"/>
      <c r="K52"/>
      <c r="L52"/>
      <c r="M52"/>
    </row>
    <row r="53" spans="1:13" x14ac:dyDescent="0.25">
      <c r="B53"/>
      <c r="C53"/>
      <c r="D53"/>
      <c r="E53"/>
      <c r="F53"/>
      <c r="G53"/>
      <c r="H53"/>
      <c r="I53"/>
      <c r="J53"/>
      <c r="K53"/>
      <c r="L53"/>
      <c r="M53"/>
    </row>
    <row r="54" spans="1:13" x14ac:dyDescent="0.25">
      <c r="B54"/>
      <c r="C54"/>
      <c r="D54"/>
      <c r="E54"/>
      <c r="F54"/>
      <c r="G54"/>
      <c r="H54"/>
      <c r="I54"/>
      <c r="J54"/>
      <c r="K54"/>
      <c r="L54"/>
      <c r="M54"/>
    </row>
    <row r="55" spans="1:13" x14ac:dyDescent="0.25">
      <c r="B55"/>
      <c r="C55"/>
      <c r="D55"/>
      <c r="E55"/>
      <c r="F55"/>
      <c r="G55"/>
      <c r="H55"/>
      <c r="I55"/>
      <c r="J55"/>
      <c r="K55"/>
      <c r="L55"/>
      <c r="M55"/>
    </row>
    <row r="56" spans="1:13" x14ac:dyDescent="0.25">
      <c r="B56"/>
      <c r="C56"/>
      <c r="D56"/>
      <c r="E56"/>
      <c r="F56"/>
      <c r="G56"/>
      <c r="H56"/>
      <c r="I56"/>
      <c r="J56"/>
      <c r="K56"/>
      <c r="L56"/>
      <c r="M56"/>
    </row>
    <row r="57" spans="1:13" x14ac:dyDescent="0.25">
      <c r="B57"/>
      <c r="C57"/>
      <c r="D57"/>
      <c r="E57"/>
      <c r="F57"/>
      <c r="G57"/>
      <c r="H57"/>
      <c r="I57"/>
      <c r="J57"/>
      <c r="K57"/>
      <c r="L57"/>
      <c r="M57"/>
    </row>
    <row r="58" spans="1:13" x14ac:dyDescent="0.25">
      <c r="B58"/>
      <c r="C58"/>
      <c r="D58"/>
      <c r="E58"/>
      <c r="F58"/>
      <c r="G58"/>
      <c r="H58"/>
      <c r="I58"/>
      <c r="J58"/>
      <c r="K58"/>
      <c r="L58"/>
      <c r="M58"/>
    </row>
    <row r="59" spans="1:13" x14ac:dyDescent="0.25">
      <c r="B59"/>
      <c r="C59"/>
      <c r="D59"/>
      <c r="E59"/>
      <c r="F59"/>
      <c r="G59"/>
      <c r="H59"/>
      <c r="I59"/>
      <c r="J59"/>
      <c r="K59"/>
      <c r="L59"/>
      <c r="M59"/>
    </row>
    <row r="60" spans="1:13" x14ac:dyDescent="0.25">
      <c r="B60"/>
      <c r="C60"/>
      <c r="D60"/>
      <c r="E60"/>
      <c r="F60"/>
      <c r="G60"/>
      <c r="H60"/>
      <c r="I60"/>
      <c r="J60"/>
      <c r="K60"/>
      <c r="L60"/>
      <c r="M60"/>
    </row>
    <row r="61" spans="1:13" x14ac:dyDescent="0.25">
      <c r="B61"/>
      <c r="C61"/>
      <c r="D61"/>
      <c r="E61"/>
      <c r="F61"/>
      <c r="G61"/>
      <c r="H61"/>
      <c r="I61"/>
      <c r="J61"/>
      <c r="K61"/>
      <c r="L61"/>
      <c r="M61"/>
    </row>
    <row r="62" spans="1:13" x14ac:dyDescent="0.25">
      <c r="B62"/>
      <c r="C62"/>
      <c r="D62"/>
      <c r="E62"/>
      <c r="F62"/>
      <c r="G62"/>
      <c r="H62"/>
      <c r="I62"/>
      <c r="J62"/>
      <c r="K62"/>
      <c r="L62"/>
      <c r="M62"/>
    </row>
    <row r="63" spans="1:13" x14ac:dyDescent="0.25">
      <c r="B63"/>
      <c r="C63"/>
      <c r="D63"/>
      <c r="E63"/>
      <c r="F63"/>
      <c r="G63"/>
      <c r="H63"/>
      <c r="I63"/>
      <c r="J63"/>
      <c r="K63"/>
      <c r="L63"/>
      <c r="M63"/>
    </row>
    <row r="64" spans="1:13" x14ac:dyDescent="0.25">
      <c r="B64"/>
      <c r="C64"/>
      <c r="D64"/>
      <c r="E64"/>
      <c r="F64"/>
      <c r="G64"/>
      <c r="H64"/>
      <c r="I64"/>
      <c r="J64"/>
      <c r="K64"/>
      <c r="L64"/>
      <c r="M64"/>
    </row>
    <row r="65" customFormat="1" x14ac:dyDescent="0.25"/>
    <row r="66" customFormat="1" x14ac:dyDescent="0.25"/>
    <row r="67" customFormat="1" x14ac:dyDescent="0.25"/>
    <row r="68" customFormat="1" x14ac:dyDescent="0.25"/>
    <row r="69" customFormat="1" x14ac:dyDescent="0.25"/>
    <row r="70" customFormat="1" x14ac:dyDescent="0.25"/>
    <row r="71" customFormat="1" x14ac:dyDescent="0.25"/>
    <row r="72" customFormat="1" x14ac:dyDescent="0.25"/>
    <row r="73" customFormat="1" x14ac:dyDescent="0.25"/>
    <row r="74" customFormat="1" x14ac:dyDescent="0.25"/>
    <row r="75" customFormat="1" x14ac:dyDescent="0.25"/>
    <row r="76" customFormat="1" x14ac:dyDescent="0.25"/>
    <row r="77" customFormat="1" x14ac:dyDescent="0.25"/>
    <row r="78" customFormat="1" x14ac:dyDescent="0.25"/>
    <row r="79" customFormat="1" x14ac:dyDescent="0.25"/>
    <row r="80" customFormat="1" x14ac:dyDescent="0.25"/>
    <row r="81" customFormat="1" x14ac:dyDescent="0.25"/>
    <row r="82" customFormat="1" x14ac:dyDescent="0.25"/>
    <row r="83" customFormat="1" x14ac:dyDescent="0.25"/>
    <row r="84" customFormat="1" x14ac:dyDescent="0.25"/>
    <row r="85" customFormat="1" x14ac:dyDescent="0.25"/>
    <row r="86" customFormat="1" x14ac:dyDescent="0.25"/>
    <row r="87" customFormat="1" x14ac:dyDescent="0.25"/>
    <row r="88" customFormat="1" x14ac:dyDescent="0.25"/>
    <row r="89" customFormat="1" x14ac:dyDescent="0.25"/>
    <row r="90" customFormat="1" x14ac:dyDescent="0.25"/>
    <row r="91" customFormat="1" x14ac:dyDescent="0.25"/>
    <row r="92" customFormat="1" x14ac:dyDescent="0.25"/>
    <row r="93" customFormat="1" x14ac:dyDescent="0.25"/>
    <row r="94" customFormat="1" x14ac:dyDescent="0.25"/>
    <row r="95" customFormat="1" x14ac:dyDescent="0.25"/>
    <row r="96" customFormat="1" x14ac:dyDescent="0.25"/>
    <row r="97" customFormat="1" x14ac:dyDescent="0.25"/>
    <row r="98" customFormat="1" x14ac:dyDescent="0.25"/>
    <row r="99" customFormat="1" x14ac:dyDescent="0.25"/>
    <row r="100" customFormat="1" x14ac:dyDescent="0.25"/>
    <row r="101" customFormat="1" x14ac:dyDescent="0.25"/>
    <row r="102" customFormat="1" x14ac:dyDescent="0.25"/>
    <row r="103" customFormat="1" x14ac:dyDescent="0.25"/>
    <row r="104" customFormat="1" x14ac:dyDescent="0.25"/>
    <row r="105" customFormat="1" x14ac:dyDescent="0.25"/>
    <row r="106" customFormat="1" x14ac:dyDescent="0.25"/>
    <row r="107" customFormat="1" x14ac:dyDescent="0.25"/>
    <row r="108" customFormat="1" x14ac:dyDescent="0.25"/>
    <row r="109" customFormat="1" x14ac:dyDescent="0.25"/>
    <row r="110" customFormat="1" x14ac:dyDescent="0.25"/>
    <row r="111" customFormat="1" x14ac:dyDescent="0.25"/>
    <row r="112" customFormat="1" x14ac:dyDescent="0.25"/>
    <row r="113" customFormat="1" x14ac:dyDescent="0.25"/>
    <row r="114" customFormat="1" x14ac:dyDescent="0.25"/>
    <row r="115" customFormat="1" x14ac:dyDescent="0.25"/>
    <row r="116" customFormat="1" x14ac:dyDescent="0.25"/>
    <row r="117" customFormat="1" x14ac:dyDescent="0.25"/>
    <row r="118" customFormat="1" x14ac:dyDescent="0.25"/>
    <row r="119" customFormat="1" x14ac:dyDescent="0.25"/>
    <row r="120" customFormat="1" x14ac:dyDescent="0.25"/>
    <row r="121" customFormat="1" x14ac:dyDescent="0.25"/>
    <row r="122" customFormat="1" x14ac:dyDescent="0.25"/>
    <row r="123" customFormat="1" x14ac:dyDescent="0.25"/>
    <row r="124" customFormat="1" x14ac:dyDescent="0.25"/>
    <row r="125" customFormat="1" x14ac:dyDescent="0.25"/>
    <row r="126" customFormat="1" x14ac:dyDescent="0.25"/>
    <row r="127" customFormat="1" x14ac:dyDescent="0.25"/>
    <row r="128" customFormat="1" x14ac:dyDescent="0.25"/>
    <row r="129" customFormat="1" x14ac:dyDescent="0.25"/>
    <row r="130" customFormat="1" x14ac:dyDescent="0.25"/>
    <row r="131" customFormat="1" x14ac:dyDescent="0.25"/>
    <row r="132" customFormat="1" x14ac:dyDescent="0.25"/>
    <row r="133" customFormat="1" x14ac:dyDescent="0.25"/>
    <row r="134" customFormat="1" x14ac:dyDescent="0.25"/>
    <row r="135" customFormat="1" x14ac:dyDescent="0.25"/>
    <row r="136" customFormat="1" x14ac:dyDescent="0.25"/>
    <row r="137" customFormat="1" x14ac:dyDescent="0.25"/>
    <row r="138" customFormat="1" x14ac:dyDescent="0.25"/>
    <row r="139" customFormat="1" x14ac:dyDescent="0.25"/>
    <row r="140" customFormat="1" x14ac:dyDescent="0.25"/>
    <row r="141" customFormat="1" x14ac:dyDescent="0.25"/>
    <row r="142" customFormat="1" x14ac:dyDescent="0.25"/>
    <row r="143" customFormat="1" x14ac:dyDescent="0.25"/>
    <row r="144" customFormat="1" x14ac:dyDescent="0.25"/>
    <row r="145" customFormat="1" x14ac:dyDescent="0.25"/>
    <row r="146" customFormat="1" x14ac:dyDescent="0.25"/>
    <row r="147" customFormat="1" x14ac:dyDescent="0.25"/>
    <row r="148" customFormat="1" x14ac:dyDescent="0.25"/>
    <row r="149" customFormat="1" x14ac:dyDescent="0.25"/>
    <row r="150" customFormat="1" x14ac:dyDescent="0.25"/>
    <row r="151" customFormat="1" x14ac:dyDescent="0.25"/>
    <row r="152" customFormat="1" x14ac:dyDescent="0.25"/>
    <row r="153" customFormat="1" x14ac:dyDescent="0.25"/>
    <row r="154" customFormat="1" x14ac:dyDescent="0.25"/>
    <row r="155" customFormat="1" x14ac:dyDescent="0.25"/>
    <row r="156" customFormat="1" x14ac:dyDescent="0.25"/>
    <row r="157" customFormat="1" x14ac:dyDescent="0.25"/>
    <row r="158" customFormat="1" x14ac:dyDescent="0.25"/>
    <row r="159" customFormat="1" x14ac:dyDescent="0.25"/>
    <row r="160" customFormat="1" x14ac:dyDescent="0.25"/>
    <row r="161" customFormat="1" x14ac:dyDescent="0.25"/>
    <row r="162" customFormat="1" x14ac:dyDescent="0.25"/>
    <row r="163" customFormat="1" x14ac:dyDescent="0.25"/>
    <row r="164" customFormat="1" x14ac:dyDescent="0.25"/>
    <row r="165" customFormat="1" x14ac:dyDescent="0.25"/>
    <row r="166" customFormat="1" x14ac:dyDescent="0.25"/>
    <row r="167" customFormat="1" x14ac:dyDescent="0.25"/>
    <row r="168" customFormat="1" x14ac:dyDescent="0.25"/>
    <row r="169" customFormat="1" x14ac:dyDescent="0.25"/>
    <row r="170" customFormat="1" x14ac:dyDescent="0.25"/>
    <row r="171" customFormat="1" x14ac:dyDescent="0.25"/>
    <row r="172" customFormat="1" x14ac:dyDescent="0.25"/>
    <row r="173" customFormat="1" x14ac:dyDescent="0.25"/>
    <row r="174" customFormat="1" x14ac:dyDescent="0.25"/>
    <row r="175" customFormat="1" x14ac:dyDescent="0.25"/>
    <row r="176" customFormat="1" x14ac:dyDescent="0.25"/>
    <row r="177" customFormat="1" x14ac:dyDescent="0.25"/>
    <row r="178" customFormat="1" x14ac:dyDescent="0.25"/>
    <row r="179" customFormat="1" x14ac:dyDescent="0.25"/>
    <row r="180" customFormat="1" x14ac:dyDescent="0.25"/>
    <row r="181" customFormat="1" x14ac:dyDescent="0.25"/>
    <row r="182" customFormat="1" x14ac:dyDescent="0.25"/>
    <row r="183" customFormat="1" x14ac:dyDescent="0.25"/>
    <row r="184" customFormat="1" x14ac:dyDescent="0.25"/>
    <row r="185" customFormat="1" x14ac:dyDescent="0.25"/>
    <row r="186" customFormat="1" x14ac:dyDescent="0.25"/>
    <row r="187" customFormat="1" x14ac:dyDescent="0.25"/>
    <row r="188" customFormat="1" x14ac:dyDescent="0.25"/>
    <row r="189" customFormat="1" x14ac:dyDescent="0.25"/>
    <row r="190" customFormat="1" x14ac:dyDescent="0.25"/>
    <row r="191" customFormat="1" x14ac:dyDescent="0.25"/>
    <row r="192" customFormat="1" x14ac:dyDescent="0.25"/>
    <row r="193" spans="2:6" customFormat="1" x14ac:dyDescent="0.25"/>
    <row r="194" spans="2:6" customFormat="1" x14ac:dyDescent="0.25"/>
    <row r="195" spans="2:6" customFormat="1" x14ac:dyDescent="0.25"/>
    <row r="196" spans="2:6" customFormat="1" x14ac:dyDescent="0.25"/>
    <row r="197" spans="2:6" x14ac:dyDescent="0.25">
      <c r="B197"/>
      <c r="C197"/>
      <c r="D197"/>
      <c r="E197"/>
      <c r="F197"/>
    </row>
    <row r="198" spans="2:6" x14ac:dyDescent="0.25">
      <c r="B198"/>
      <c r="C198"/>
      <c r="D198"/>
      <c r="E198"/>
      <c r="F198"/>
    </row>
    <row r="199" spans="2:6" x14ac:dyDescent="0.25">
      <c r="B199"/>
      <c r="C199"/>
      <c r="D199"/>
      <c r="E199"/>
      <c r="F199"/>
    </row>
    <row r="200" spans="2:6" x14ac:dyDescent="0.25">
      <c r="B200"/>
      <c r="C200"/>
      <c r="D200"/>
      <c r="E200"/>
      <c r="F200"/>
    </row>
    <row r="201" spans="2:6" x14ac:dyDescent="0.25">
      <c r="B201"/>
      <c r="C201"/>
      <c r="D201"/>
      <c r="E201"/>
      <c r="F201"/>
    </row>
    <row r="202" spans="2:6" x14ac:dyDescent="0.25">
      <c r="B202"/>
      <c r="C202"/>
      <c r="D202"/>
      <c r="E202"/>
      <c r="F202"/>
    </row>
    <row r="203" spans="2:6" x14ac:dyDescent="0.25">
      <c r="B203"/>
      <c r="C203"/>
      <c r="D203"/>
      <c r="E203"/>
      <c r="F203"/>
    </row>
    <row r="204" spans="2:6" x14ac:dyDescent="0.25">
      <c r="B204"/>
      <c r="C204"/>
      <c r="D204"/>
      <c r="E204"/>
      <c r="F204"/>
    </row>
    <row r="205" spans="2:6" x14ac:dyDescent="0.25">
      <c r="B205"/>
      <c r="C205"/>
      <c r="D205"/>
      <c r="E205"/>
      <c r="F205"/>
    </row>
    <row r="206" spans="2:6" x14ac:dyDescent="0.25">
      <c r="B206"/>
      <c r="C206"/>
      <c r="D206"/>
      <c r="E206"/>
      <c r="F206"/>
    </row>
    <row r="207" spans="2:6" x14ac:dyDescent="0.25">
      <c r="B207"/>
      <c r="C207"/>
      <c r="D207"/>
      <c r="E207"/>
      <c r="F207"/>
    </row>
    <row r="208" spans="2:6" x14ac:dyDescent="0.25">
      <c r="B208"/>
      <c r="C208"/>
      <c r="D208"/>
      <c r="E208"/>
      <c r="F208"/>
    </row>
    <row r="209" spans="2:6" x14ac:dyDescent="0.25">
      <c r="B209"/>
      <c r="C209"/>
      <c r="D209"/>
      <c r="E209"/>
      <c r="F209"/>
    </row>
    <row r="210" spans="2:6" x14ac:dyDescent="0.25">
      <c r="B210"/>
      <c r="C210"/>
      <c r="D210"/>
      <c r="E210"/>
      <c r="F210"/>
    </row>
    <row r="211" spans="2:6" x14ac:dyDescent="0.25">
      <c r="B211"/>
      <c r="C211"/>
      <c r="D211"/>
      <c r="E211"/>
      <c r="F211"/>
    </row>
    <row r="212" spans="2:6" x14ac:dyDescent="0.25">
      <c r="B212"/>
      <c r="C212"/>
      <c r="D212"/>
      <c r="E212"/>
      <c r="F212"/>
    </row>
    <row r="213" spans="2:6" x14ac:dyDescent="0.25">
      <c r="B213"/>
      <c r="C213"/>
      <c r="D213"/>
      <c r="E213"/>
      <c r="F213"/>
    </row>
    <row r="214" spans="2:6" x14ac:dyDescent="0.25">
      <c r="B214"/>
      <c r="C214"/>
      <c r="D214"/>
      <c r="E214"/>
      <c r="F214"/>
    </row>
    <row r="215" spans="2:6" x14ac:dyDescent="0.25">
      <c r="B215"/>
      <c r="C215"/>
      <c r="D215"/>
      <c r="E215"/>
      <c r="F215"/>
    </row>
    <row r="216" spans="2:6" x14ac:dyDescent="0.25">
      <c r="B216"/>
      <c r="C216"/>
      <c r="D216"/>
      <c r="E216"/>
      <c r="F216"/>
    </row>
    <row r="217" spans="2:6" x14ac:dyDescent="0.25">
      <c r="B217"/>
      <c r="C217"/>
      <c r="D217"/>
      <c r="E217"/>
      <c r="F217"/>
    </row>
    <row r="218" spans="2:6" x14ac:dyDescent="0.25">
      <c r="B218"/>
      <c r="C218"/>
      <c r="D218"/>
      <c r="E218"/>
      <c r="F218"/>
    </row>
    <row r="219" spans="2:6" x14ac:dyDescent="0.25">
      <c r="B219"/>
      <c r="C219"/>
      <c r="D219"/>
      <c r="E219"/>
      <c r="F219"/>
    </row>
    <row r="220" spans="2:6" x14ac:dyDescent="0.25">
      <c r="B220"/>
      <c r="C220"/>
      <c r="D220"/>
      <c r="E220"/>
      <c r="F220"/>
    </row>
    <row r="221" spans="2:6" x14ac:dyDescent="0.25">
      <c r="B221"/>
      <c r="C221"/>
      <c r="D221"/>
      <c r="E221"/>
      <c r="F221"/>
    </row>
  </sheetData>
  <pageMargins left="0.7" right="0.7" top="0.75" bottom="0.75" header="0.3" footer="0.3"/>
  <pageSetup orientation="portrait"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80A0E4-8DA2-40A8-AA0D-FC166D05A9B8}">
  <dimension ref="A1:J68"/>
  <sheetViews>
    <sheetView workbookViewId="0">
      <selection activeCell="A4" sqref="A4:D68"/>
    </sheetView>
  </sheetViews>
  <sheetFormatPr defaultRowHeight="15" x14ac:dyDescent="0.25"/>
  <cols>
    <col min="1" max="1" width="21" bestFit="1" customWidth="1"/>
    <col min="2" max="3" width="17.28515625" bestFit="1" customWidth="1"/>
    <col min="4" max="4" width="14" bestFit="1" customWidth="1"/>
    <col min="5" max="5" width="8.28515625" bestFit="1" customWidth="1"/>
    <col min="6" max="6" width="10.7109375" bestFit="1" customWidth="1"/>
    <col min="8" max="8" width="14" bestFit="1" customWidth="1"/>
  </cols>
  <sheetData>
    <row r="1" spans="1:10" x14ac:dyDescent="0.25">
      <c r="A1" s="147" t="s">
        <v>137</v>
      </c>
      <c r="B1" t="s">
        <v>138</v>
      </c>
    </row>
    <row r="3" spans="1:10" x14ac:dyDescent="0.25">
      <c r="A3" s="147" t="s">
        <v>69</v>
      </c>
      <c r="B3" s="147" t="s">
        <v>139</v>
      </c>
      <c r="C3" s="147" t="s">
        <v>70</v>
      </c>
      <c r="D3" t="s">
        <v>92</v>
      </c>
      <c r="I3" s="161" t="s">
        <v>140</v>
      </c>
      <c r="J3">
        <v>2024</v>
      </c>
    </row>
    <row r="4" spans="1:10" x14ac:dyDescent="0.25">
      <c r="A4" t="s">
        <v>141</v>
      </c>
      <c r="B4" t="s">
        <v>142</v>
      </c>
      <c r="C4" t="s">
        <v>143</v>
      </c>
      <c r="D4">
        <v>149402</v>
      </c>
      <c r="G4" t="b">
        <f>A4=H4</f>
        <v>0</v>
      </c>
      <c r="H4" t="s">
        <v>144</v>
      </c>
      <c r="I4">
        <v>200750</v>
      </c>
      <c r="J4">
        <v>29245</v>
      </c>
    </row>
    <row r="5" spans="1:10" x14ac:dyDescent="0.25">
      <c r="A5" t="s">
        <v>141</v>
      </c>
      <c r="B5" t="s">
        <v>145</v>
      </c>
      <c r="C5" t="s">
        <v>146</v>
      </c>
      <c r="D5">
        <v>74990</v>
      </c>
      <c r="G5" t="b">
        <f t="shared" ref="G5:G22" si="0">A5=H5</f>
        <v>0</v>
      </c>
      <c r="H5" t="s">
        <v>147</v>
      </c>
      <c r="I5">
        <v>1997779.2397799999</v>
      </c>
      <c r="J5">
        <v>1451884</v>
      </c>
    </row>
    <row r="6" spans="1:10" x14ac:dyDescent="0.25">
      <c r="A6" t="s">
        <v>141</v>
      </c>
      <c r="B6" t="s">
        <v>148</v>
      </c>
      <c r="C6" t="s">
        <v>149</v>
      </c>
      <c r="D6">
        <v>99844</v>
      </c>
      <c r="G6" t="b">
        <f t="shared" si="0"/>
        <v>0</v>
      </c>
      <c r="H6" t="s">
        <v>150</v>
      </c>
      <c r="I6">
        <v>717210.88649999991</v>
      </c>
      <c r="J6">
        <v>570088</v>
      </c>
    </row>
    <row r="7" spans="1:10" x14ac:dyDescent="0.25">
      <c r="A7" t="s">
        <v>141</v>
      </c>
      <c r="B7" t="s">
        <v>151</v>
      </c>
      <c r="C7" t="s">
        <v>152</v>
      </c>
      <c r="D7">
        <v>172054</v>
      </c>
      <c r="G7" t="b">
        <f t="shared" si="0"/>
        <v>1</v>
      </c>
      <c r="H7" t="s">
        <v>141</v>
      </c>
      <c r="I7">
        <v>1266021.9534</v>
      </c>
      <c r="J7">
        <v>1642218</v>
      </c>
    </row>
    <row r="8" spans="1:10" x14ac:dyDescent="0.25">
      <c r="A8" t="s">
        <v>141</v>
      </c>
      <c r="B8" t="s">
        <v>153</v>
      </c>
      <c r="C8" t="s">
        <v>154</v>
      </c>
      <c r="D8">
        <v>229943</v>
      </c>
      <c r="G8" t="b">
        <f t="shared" si="0"/>
        <v>0</v>
      </c>
      <c r="H8" t="s">
        <v>155</v>
      </c>
      <c r="I8">
        <v>731298.87609999999</v>
      </c>
      <c r="J8">
        <v>1120027</v>
      </c>
    </row>
    <row r="9" spans="1:10" x14ac:dyDescent="0.25">
      <c r="A9" t="s">
        <v>141</v>
      </c>
      <c r="B9" t="s">
        <v>156</v>
      </c>
      <c r="C9" t="s">
        <v>157</v>
      </c>
      <c r="D9">
        <v>120296</v>
      </c>
      <c r="G9" t="b">
        <f t="shared" si="0"/>
        <v>0</v>
      </c>
      <c r="H9" t="s">
        <v>158</v>
      </c>
      <c r="I9">
        <v>1153660.9080350001</v>
      </c>
      <c r="J9">
        <v>978492</v>
      </c>
    </row>
    <row r="10" spans="1:10" x14ac:dyDescent="0.25">
      <c r="A10" t="s">
        <v>141</v>
      </c>
      <c r="B10" t="s">
        <v>159</v>
      </c>
      <c r="C10" t="s">
        <v>160</v>
      </c>
      <c r="D10">
        <v>175788</v>
      </c>
      <c r="G10" t="b">
        <f t="shared" si="0"/>
        <v>0</v>
      </c>
      <c r="H10" t="s">
        <v>161</v>
      </c>
      <c r="I10">
        <v>1315002.77624</v>
      </c>
      <c r="J10">
        <v>1307568</v>
      </c>
    </row>
    <row r="11" spans="1:10" x14ac:dyDescent="0.25">
      <c r="A11" t="s">
        <v>141</v>
      </c>
      <c r="B11" t="s">
        <v>162</v>
      </c>
      <c r="C11" t="s">
        <v>163</v>
      </c>
      <c r="D11">
        <v>452985</v>
      </c>
      <c r="G11" t="b">
        <f t="shared" si="0"/>
        <v>0</v>
      </c>
      <c r="H11" t="s">
        <v>164</v>
      </c>
      <c r="I11">
        <v>2807835.9247649997</v>
      </c>
      <c r="J11">
        <v>2597161</v>
      </c>
    </row>
    <row r="12" spans="1:10" x14ac:dyDescent="0.25">
      <c r="A12" t="s">
        <v>141</v>
      </c>
      <c r="B12" t="s">
        <v>165</v>
      </c>
      <c r="C12" t="s">
        <v>166</v>
      </c>
      <c r="D12">
        <v>171195</v>
      </c>
      <c r="G12" t="b">
        <f t="shared" si="0"/>
        <v>0</v>
      </c>
      <c r="H12" t="s">
        <v>167</v>
      </c>
      <c r="I12">
        <v>2623039.6277531083</v>
      </c>
      <c r="J12">
        <v>2026406</v>
      </c>
    </row>
    <row r="13" spans="1:10" x14ac:dyDescent="0.25">
      <c r="A13" t="s">
        <v>155</v>
      </c>
      <c r="B13" t="s">
        <v>168</v>
      </c>
      <c r="C13" t="s">
        <v>169</v>
      </c>
      <c r="D13">
        <v>116402</v>
      </c>
      <c r="G13" t="b">
        <f t="shared" si="0"/>
        <v>0</v>
      </c>
      <c r="H13" t="s">
        <v>170</v>
      </c>
      <c r="I13">
        <v>1029655.6056</v>
      </c>
      <c r="J13">
        <v>911946</v>
      </c>
    </row>
    <row r="14" spans="1:10" x14ac:dyDescent="0.25">
      <c r="A14" t="s">
        <v>155</v>
      </c>
      <c r="B14" t="s">
        <v>171</v>
      </c>
      <c r="C14" t="s">
        <v>172</v>
      </c>
      <c r="D14">
        <v>102846</v>
      </c>
      <c r="G14" t="b">
        <f t="shared" si="0"/>
        <v>0</v>
      </c>
      <c r="H14" t="s">
        <v>173</v>
      </c>
      <c r="I14">
        <v>380277.11463999999</v>
      </c>
      <c r="J14">
        <v>745392</v>
      </c>
    </row>
    <row r="15" spans="1:10" x14ac:dyDescent="0.25">
      <c r="A15" t="s">
        <v>155</v>
      </c>
      <c r="B15" t="s">
        <v>174</v>
      </c>
      <c r="C15" t="s">
        <v>175</v>
      </c>
      <c r="D15">
        <v>244018</v>
      </c>
      <c r="G15" t="b">
        <f t="shared" si="0"/>
        <v>0</v>
      </c>
      <c r="H15" t="s">
        <v>176</v>
      </c>
      <c r="I15">
        <v>741774.74611499999</v>
      </c>
      <c r="J15">
        <v>687640</v>
      </c>
    </row>
    <row r="16" spans="1:10" x14ac:dyDescent="0.25">
      <c r="A16" t="s">
        <v>155</v>
      </c>
      <c r="B16" t="s">
        <v>177</v>
      </c>
      <c r="C16" t="s">
        <v>178</v>
      </c>
      <c r="D16">
        <v>121268</v>
      </c>
      <c r="G16" t="b">
        <f t="shared" si="0"/>
        <v>0</v>
      </c>
      <c r="H16" t="s">
        <v>179</v>
      </c>
      <c r="I16">
        <v>632011.04098499997</v>
      </c>
      <c r="J16">
        <v>1035250</v>
      </c>
    </row>
    <row r="17" spans="1:10" x14ac:dyDescent="0.25">
      <c r="A17" t="s">
        <v>155</v>
      </c>
      <c r="B17" t="s">
        <v>180</v>
      </c>
      <c r="C17" t="s">
        <v>181</v>
      </c>
      <c r="D17">
        <v>106752</v>
      </c>
      <c r="G17" t="b">
        <f t="shared" si="0"/>
        <v>0</v>
      </c>
      <c r="H17" t="s">
        <v>182</v>
      </c>
      <c r="I17">
        <v>850150.8078999999</v>
      </c>
      <c r="J17">
        <v>973565</v>
      </c>
    </row>
    <row r="18" spans="1:10" x14ac:dyDescent="0.25">
      <c r="A18" t="s">
        <v>155</v>
      </c>
      <c r="B18" t="s">
        <v>183</v>
      </c>
      <c r="C18" t="s">
        <v>184</v>
      </c>
      <c r="D18">
        <v>113270</v>
      </c>
      <c r="G18" t="b">
        <f t="shared" si="0"/>
        <v>0</v>
      </c>
      <c r="H18" t="s">
        <v>185</v>
      </c>
      <c r="I18">
        <v>2290710.7513800003</v>
      </c>
      <c r="J18">
        <v>3119290</v>
      </c>
    </row>
    <row r="19" spans="1:10" x14ac:dyDescent="0.25">
      <c r="A19" t="s">
        <v>155</v>
      </c>
      <c r="B19" t="s">
        <v>186</v>
      </c>
      <c r="C19" t="s">
        <v>187</v>
      </c>
      <c r="D19">
        <v>189966</v>
      </c>
      <c r="G19" t="b">
        <f t="shared" si="0"/>
        <v>0</v>
      </c>
      <c r="H19" t="s">
        <v>188</v>
      </c>
      <c r="I19">
        <v>1065858.3795749999</v>
      </c>
      <c r="J19">
        <v>1340305</v>
      </c>
    </row>
    <row r="20" spans="1:10" x14ac:dyDescent="0.25">
      <c r="A20" t="s">
        <v>155</v>
      </c>
      <c r="B20" t="s">
        <v>189</v>
      </c>
      <c r="C20" t="s">
        <v>190</v>
      </c>
      <c r="D20">
        <v>86002</v>
      </c>
      <c r="G20" t="b">
        <f t="shared" si="0"/>
        <v>0</v>
      </c>
      <c r="H20" t="s">
        <v>191</v>
      </c>
      <c r="I20">
        <v>1539657.843845</v>
      </c>
      <c r="J20">
        <v>1099589</v>
      </c>
    </row>
    <row r="21" spans="1:10" x14ac:dyDescent="0.25">
      <c r="A21" t="s">
        <v>155</v>
      </c>
      <c r="B21" t="s">
        <v>192</v>
      </c>
      <c r="C21" t="s">
        <v>193</v>
      </c>
      <c r="D21">
        <v>108901</v>
      </c>
      <c r="G21" t="b">
        <f t="shared" si="0"/>
        <v>0</v>
      </c>
      <c r="H21" t="s">
        <v>194</v>
      </c>
      <c r="I21">
        <v>677766.23180239135</v>
      </c>
      <c r="J21">
        <v>843553</v>
      </c>
    </row>
    <row r="22" spans="1:10" x14ac:dyDescent="0.25">
      <c r="A22" t="s">
        <v>167</v>
      </c>
      <c r="B22" t="s">
        <v>195</v>
      </c>
      <c r="C22" t="s">
        <v>196</v>
      </c>
      <c r="D22">
        <v>110332</v>
      </c>
      <c r="G22" t="b">
        <f t="shared" si="0"/>
        <v>0</v>
      </c>
      <c r="H22" t="s">
        <v>197</v>
      </c>
      <c r="I22">
        <v>1566014.92937</v>
      </c>
      <c r="J22">
        <v>1343341</v>
      </c>
    </row>
    <row r="23" spans="1:10" x14ac:dyDescent="0.25">
      <c r="A23" t="s">
        <v>167</v>
      </c>
      <c r="B23" t="s">
        <v>198</v>
      </c>
      <c r="C23" t="s">
        <v>199</v>
      </c>
      <c r="D23">
        <v>861786</v>
      </c>
    </row>
    <row r="24" spans="1:10" x14ac:dyDescent="0.25">
      <c r="A24" t="s">
        <v>167</v>
      </c>
      <c r="B24" t="s">
        <v>200</v>
      </c>
      <c r="C24" t="s">
        <v>201</v>
      </c>
      <c r="D24">
        <v>12500</v>
      </c>
    </row>
    <row r="25" spans="1:10" x14ac:dyDescent="0.25">
      <c r="A25" t="s">
        <v>167</v>
      </c>
      <c r="B25" t="s">
        <v>202</v>
      </c>
      <c r="C25" t="s">
        <v>203</v>
      </c>
      <c r="D25">
        <v>22062</v>
      </c>
    </row>
    <row r="26" spans="1:10" x14ac:dyDescent="0.25">
      <c r="A26" t="s">
        <v>167</v>
      </c>
      <c r="B26" t="s">
        <v>204</v>
      </c>
      <c r="C26" t="s">
        <v>205</v>
      </c>
      <c r="D26">
        <v>33818</v>
      </c>
    </row>
    <row r="27" spans="1:10" x14ac:dyDescent="0.25">
      <c r="A27" t="s">
        <v>167</v>
      </c>
      <c r="B27" t="s">
        <v>206</v>
      </c>
      <c r="C27" t="s">
        <v>207</v>
      </c>
      <c r="D27">
        <v>15857</v>
      </c>
    </row>
    <row r="28" spans="1:10" x14ac:dyDescent="0.25">
      <c r="A28" t="s">
        <v>167</v>
      </c>
      <c r="B28" t="s">
        <v>208</v>
      </c>
      <c r="C28" t="s">
        <v>209</v>
      </c>
      <c r="D28">
        <v>41937</v>
      </c>
    </row>
    <row r="29" spans="1:10" x14ac:dyDescent="0.25">
      <c r="A29" t="s">
        <v>167</v>
      </c>
      <c r="B29" t="s">
        <v>210</v>
      </c>
      <c r="C29" t="s">
        <v>211</v>
      </c>
      <c r="D29">
        <v>177091</v>
      </c>
    </row>
    <row r="30" spans="1:10" x14ac:dyDescent="0.25">
      <c r="A30" t="s">
        <v>167</v>
      </c>
      <c r="B30" t="s">
        <v>212</v>
      </c>
      <c r="C30" t="s">
        <v>213</v>
      </c>
      <c r="D30">
        <v>28243</v>
      </c>
    </row>
    <row r="31" spans="1:10" x14ac:dyDescent="0.25">
      <c r="A31" t="s">
        <v>167</v>
      </c>
      <c r="B31" t="s">
        <v>214</v>
      </c>
      <c r="C31" t="s">
        <v>215</v>
      </c>
      <c r="D31">
        <v>184694</v>
      </c>
    </row>
    <row r="32" spans="1:10" x14ac:dyDescent="0.25">
      <c r="A32" t="s">
        <v>167</v>
      </c>
      <c r="B32" t="s">
        <v>216</v>
      </c>
      <c r="C32" t="s">
        <v>217</v>
      </c>
      <c r="D32">
        <v>79239</v>
      </c>
    </row>
    <row r="33" spans="1:4" x14ac:dyDescent="0.25">
      <c r="A33" t="s">
        <v>167</v>
      </c>
      <c r="B33" t="s">
        <v>218</v>
      </c>
      <c r="C33" t="s">
        <v>219</v>
      </c>
      <c r="D33">
        <v>157288</v>
      </c>
    </row>
    <row r="34" spans="1:4" x14ac:dyDescent="0.25">
      <c r="A34" t="s">
        <v>167</v>
      </c>
      <c r="B34" t="s">
        <v>220</v>
      </c>
      <c r="C34" t="s">
        <v>221</v>
      </c>
      <c r="D34">
        <v>44665</v>
      </c>
    </row>
    <row r="35" spans="1:4" x14ac:dyDescent="0.25">
      <c r="A35" t="s">
        <v>167</v>
      </c>
      <c r="B35" t="s">
        <v>222</v>
      </c>
      <c r="C35" t="s">
        <v>223</v>
      </c>
      <c r="D35">
        <v>43782</v>
      </c>
    </row>
    <row r="36" spans="1:4" x14ac:dyDescent="0.25">
      <c r="A36" t="s">
        <v>167</v>
      </c>
      <c r="B36" t="s">
        <v>224</v>
      </c>
      <c r="C36" t="s">
        <v>225</v>
      </c>
      <c r="D36">
        <v>76612</v>
      </c>
    </row>
    <row r="37" spans="1:4" x14ac:dyDescent="0.25">
      <c r="A37" t="s">
        <v>167</v>
      </c>
      <c r="B37" t="s">
        <v>226</v>
      </c>
      <c r="C37" t="s">
        <v>227</v>
      </c>
      <c r="D37">
        <v>140819</v>
      </c>
    </row>
    <row r="38" spans="1:4" x14ac:dyDescent="0.25">
      <c r="A38" t="s">
        <v>167</v>
      </c>
      <c r="B38" t="s">
        <v>228</v>
      </c>
      <c r="C38" t="s">
        <v>229</v>
      </c>
      <c r="D38">
        <v>19634</v>
      </c>
    </row>
    <row r="39" spans="1:4" x14ac:dyDescent="0.25">
      <c r="A39" t="s">
        <v>167</v>
      </c>
      <c r="B39" t="s">
        <v>230</v>
      </c>
      <c r="C39" t="s">
        <v>231</v>
      </c>
      <c r="D39">
        <v>0</v>
      </c>
    </row>
    <row r="40" spans="1:4" x14ac:dyDescent="0.25">
      <c r="A40" t="s">
        <v>185</v>
      </c>
      <c r="B40" t="s">
        <v>232</v>
      </c>
      <c r="C40" t="s">
        <v>233</v>
      </c>
      <c r="D40">
        <v>115305</v>
      </c>
    </row>
    <row r="41" spans="1:4" x14ac:dyDescent="0.25">
      <c r="A41" t="s">
        <v>185</v>
      </c>
      <c r="B41" t="s">
        <v>234</v>
      </c>
      <c r="C41" t="s">
        <v>235</v>
      </c>
      <c r="D41">
        <v>93455</v>
      </c>
    </row>
    <row r="42" spans="1:4" x14ac:dyDescent="0.25">
      <c r="A42" t="s">
        <v>185</v>
      </c>
      <c r="B42" t="s">
        <v>236</v>
      </c>
      <c r="C42" t="s">
        <v>237</v>
      </c>
      <c r="D42">
        <v>252194</v>
      </c>
    </row>
    <row r="43" spans="1:4" x14ac:dyDescent="0.25">
      <c r="A43" t="s">
        <v>185</v>
      </c>
      <c r="B43" t="s">
        <v>238</v>
      </c>
      <c r="C43" t="s">
        <v>239</v>
      </c>
      <c r="D43">
        <v>102793</v>
      </c>
    </row>
    <row r="44" spans="1:4" x14ac:dyDescent="0.25">
      <c r="A44" t="s">
        <v>185</v>
      </c>
      <c r="B44" t="s">
        <v>240</v>
      </c>
      <c r="C44" t="s">
        <v>241</v>
      </c>
      <c r="D44">
        <v>39806</v>
      </c>
    </row>
    <row r="45" spans="1:4" x14ac:dyDescent="0.25">
      <c r="A45" t="s">
        <v>185</v>
      </c>
      <c r="B45" t="s">
        <v>242</v>
      </c>
      <c r="C45" t="s">
        <v>243</v>
      </c>
      <c r="D45">
        <v>12236</v>
      </c>
    </row>
    <row r="46" spans="1:4" x14ac:dyDescent="0.25">
      <c r="A46" t="s">
        <v>185</v>
      </c>
      <c r="B46" t="s">
        <v>244</v>
      </c>
      <c r="C46" t="s">
        <v>245</v>
      </c>
      <c r="D46">
        <v>83946</v>
      </c>
    </row>
    <row r="47" spans="1:4" x14ac:dyDescent="0.25">
      <c r="A47" t="s">
        <v>185</v>
      </c>
      <c r="B47" t="s">
        <v>246</v>
      </c>
      <c r="C47" t="s">
        <v>247</v>
      </c>
      <c r="D47">
        <v>36990</v>
      </c>
    </row>
    <row r="48" spans="1:4" x14ac:dyDescent="0.25">
      <c r="A48" t="s">
        <v>185</v>
      </c>
      <c r="B48" t="s">
        <v>248</v>
      </c>
      <c r="C48" t="s">
        <v>249</v>
      </c>
      <c r="D48">
        <v>81263</v>
      </c>
    </row>
    <row r="49" spans="1:4" x14ac:dyDescent="0.25">
      <c r="A49" t="s">
        <v>185</v>
      </c>
      <c r="B49" t="s">
        <v>250</v>
      </c>
      <c r="C49" t="s">
        <v>251</v>
      </c>
      <c r="D49">
        <v>216584</v>
      </c>
    </row>
    <row r="50" spans="1:4" x14ac:dyDescent="0.25">
      <c r="A50" t="s">
        <v>185</v>
      </c>
      <c r="B50" t="s">
        <v>252</v>
      </c>
      <c r="C50" t="s">
        <v>253</v>
      </c>
      <c r="D50">
        <v>26785</v>
      </c>
    </row>
    <row r="51" spans="1:4" x14ac:dyDescent="0.25">
      <c r="A51" t="s">
        <v>185</v>
      </c>
      <c r="B51" t="s">
        <v>254</v>
      </c>
      <c r="C51" t="s">
        <v>255</v>
      </c>
      <c r="D51">
        <v>81594</v>
      </c>
    </row>
    <row r="52" spans="1:4" x14ac:dyDescent="0.25">
      <c r="A52" t="s">
        <v>185</v>
      </c>
      <c r="B52" t="s">
        <v>256</v>
      </c>
      <c r="C52" t="s">
        <v>257</v>
      </c>
      <c r="D52">
        <v>72920</v>
      </c>
    </row>
    <row r="53" spans="1:4" x14ac:dyDescent="0.25">
      <c r="A53" t="s">
        <v>185</v>
      </c>
      <c r="B53" t="s">
        <v>258</v>
      </c>
      <c r="C53" t="s">
        <v>259</v>
      </c>
      <c r="D53">
        <v>109010</v>
      </c>
    </row>
    <row r="54" spans="1:4" x14ac:dyDescent="0.25">
      <c r="A54" t="s">
        <v>185</v>
      </c>
      <c r="B54" t="s">
        <v>260</v>
      </c>
      <c r="C54" t="s">
        <v>261</v>
      </c>
      <c r="D54">
        <v>66555</v>
      </c>
    </row>
    <row r="55" spans="1:4" x14ac:dyDescent="0.25">
      <c r="A55" t="s">
        <v>185</v>
      </c>
      <c r="B55" t="s">
        <v>262</v>
      </c>
      <c r="C55" t="s">
        <v>263</v>
      </c>
      <c r="D55">
        <v>132477</v>
      </c>
    </row>
    <row r="56" spans="1:4" x14ac:dyDescent="0.25">
      <c r="A56" t="s">
        <v>185</v>
      </c>
      <c r="B56" t="s">
        <v>264</v>
      </c>
      <c r="C56" t="s">
        <v>265</v>
      </c>
      <c r="D56">
        <v>575819</v>
      </c>
    </row>
    <row r="57" spans="1:4" x14ac:dyDescent="0.25">
      <c r="A57" t="s">
        <v>185</v>
      </c>
      <c r="B57" t="s">
        <v>266</v>
      </c>
      <c r="C57" t="s">
        <v>267</v>
      </c>
      <c r="D57">
        <v>607594</v>
      </c>
    </row>
    <row r="58" spans="1:4" x14ac:dyDescent="0.25">
      <c r="A58" t="s">
        <v>185</v>
      </c>
      <c r="B58" t="s">
        <v>268</v>
      </c>
      <c r="C58" t="s">
        <v>269</v>
      </c>
      <c r="D58">
        <v>65008</v>
      </c>
    </row>
    <row r="59" spans="1:4" x14ac:dyDescent="0.25">
      <c r="A59" t="s">
        <v>185</v>
      </c>
      <c r="B59" t="s">
        <v>270</v>
      </c>
      <c r="C59" t="s">
        <v>271</v>
      </c>
      <c r="D59">
        <v>314897</v>
      </c>
    </row>
    <row r="60" spans="1:4" x14ac:dyDescent="0.25">
      <c r="A60" t="s">
        <v>185</v>
      </c>
      <c r="B60" t="s">
        <v>272</v>
      </c>
      <c r="C60" t="s">
        <v>273</v>
      </c>
      <c r="D60">
        <v>68121</v>
      </c>
    </row>
    <row r="61" spans="1:4" x14ac:dyDescent="0.25">
      <c r="A61" t="s">
        <v>191</v>
      </c>
      <c r="B61" t="s">
        <v>274</v>
      </c>
      <c r="C61" t="s">
        <v>275</v>
      </c>
      <c r="D61">
        <v>126055</v>
      </c>
    </row>
    <row r="62" spans="1:4" x14ac:dyDescent="0.25">
      <c r="A62" t="s">
        <v>191</v>
      </c>
      <c r="B62" t="s">
        <v>276</v>
      </c>
      <c r="C62" t="s">
        <v>277</v>
      </c>
      <c r="D62">
        <v>354234</v>
      </c>
    </row>
    <row r="63" spans="1:4" x14ac:dyDescent="0.25">
      <c r="A63" t="s">
        <v>191</v>
      </c>
      <c r="B63" t="s">
        <v>278</v>
      </c>
      <c r="C63" t="s">
        <v>279</v>
      </c>
      <c r="D63">
        <v>65099</v>
      </c>
    </row>
    <row r="64" spans="1:4" x14ac:dyDescent="0.25">
      <c r="A64" t="s">
        <v>191</v>
      </c>
      <c r="B64" t="s">
        <v>280</v>
      </c>
      <c r="C64" t="s">
        <v>281</v>
      </c>
      <c r="D64">
        <v>114439</v>
      </c>
    </row>
    <row r="65" spans="1:4" x14ac:dyDescent="0.25">
      <c r="A65" t="s">
        <v>191</v>
      </c>
      <c r="B65" t="s">
        <v>282</v>
      </c>
      <c r="C65" t="s">
        <v>283</v>
      </c>
      <c r="D65">
        <v>92933</v>
      </c>
    </row>
    <row r="66" spans="1:4" x14ac:dyDescent="0.25">
      <c r="A66" t="s">
        <v>191</v>
      </c>
      <c r="B66" t="s">
        <v>284</v>
      </c>
      <c r="C66" t="s">
        <v>285</v>
      </c>
      <c r="D66">
        <v>202784</v>
      </c>
    </row>
    <row r="67" spans="1:4" x14ac:dyDescent="0.25">
      <c r="A67" t="s">
        <v>191</v>
      </c>
      <c r="B67" t="s">
        <v>286</v>
      </c>
      <c r="C67" t="s">
        <v>287</v>
      </c>
      <c r="D67">
        <v>67415</v>
      </c>
    </row>
    <row r="68" spans="1:4" x14ac:dyDescent="0.25">
      <c r="A68" t="s">
        <v>191</v>
      </c>
      <c r="B68" t="s">
        <v>288</v>
      </c>
      <c r="C68" t="s">
        <v>289</v>
      </c>
      <c r="D68">
        <v>77060</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E9E69F-9856-4D47-A31A-7469FA8D9F17}">
  <sheetPr codeName="Sheet6"/>
  <dimension ref="A1:AL567"/>
  <sheetViews>
    <sheetView showGridLines="0" tabSelected="1" topLeftCell="B1" zoomScale="66" zoomScaleNormal="66" workbookViewId="0">
      <selection activeCell="I45" sqref="I45"/>
    </sheetView>
  </sheetViews>
  <sheetFormatPr defaultColWidth="5.5703125" defaultRowHeight="12.75" x14ac:dyDescent="0.2"/>
  <cols>
    <col min="1" max="1" width="29.28515625" style="285" hidden="1" customWidth="1"/>
    <col min="2" max="2" width="29.28515625" style="236" customWidth="1"/>
    <col min="3" max="5" width="29.28515625" style="237" customWidth="1"/>
    <col min="6" max="7" width="29.28515625" style="238" customWidth="1"/>
    <col min="8" max="8" width="29.28515625" style="284" customWidth="1"/>
    <col min="9" max="25" width="29.28515625" style="238" customWidth="1"/>
    <col min="26" max="27" width="29.28515625" style="274" customWidth="1"/>
    <col min="28" max="28" width="29.28515625" style="334" customWidth="1"/>
    <col min="29" max="34" width="29.28515625" style="238" customWidth="1"/>
    <col min="35" max="36" width="29.28515625" style="274" customWidth="1"/>
    <col min="37" max="37" width="29.28515625" style="284" customWidth="1"/>
    <col min="38" max="38" width="29.28515625" style="288" customWidth="1"/>
    <col min="39" max="16384" width="5.5703125" style="274"/>
  </cols>
  <sheetData>
    <row r="1" spans="1:38" ht="30" customHeight="1" thickBot="1" x14ac:dyDescent="0.25">
      <c r="F1" s="238">
        <f>SUM(tblPiNAnalysis[Total Population])</f>
        <v>46756386</v>
      </c>
      <c r="G1" s="238">
        <f>SUM(tblPiNAnalysis[Population Group])</f>
        <v>0</v>
      </c>
      <c r="H1" s="238">
        <f>SUM(tblPiNAnalysis[[Site Management ]])</f>
        <v>0</v>
      </c>
      <c r="I1" s="238">
        <f>SUM(tblPiNAnalysis[Education])</f>
        <v>0</v>
      </c>
      <c r="J1" s="238">
        <f>SUM(tblPiNAnalysis[Food Security and Livlihoods])</f>
        <v>0</v>
      </c>
      <c r="K1" s="238">
        <f>SUM(tblPiNAnalysis[[Health ]])</f>
        <v>0</v>
      </c>
      <c r="L1" s="238">
        <f>SUM(tblPiNAnalysis[Nutrition])</f>
        <v>0</v>
      </c>
      <c r="M1" s="238">
        <f>SUM(tblPiNAnalysis[Protection])</f>
        <v>0</v>
      </c>
      <c r="N1" s="238">
        <f>SUM(tblPiNAnalysis[[Shelter NFI ]])</f>
        <v>11614764</v>
      </c>
      <c r="O1" s="238">
        <f>SUM(tblPiNAnalysis[WASH])</f>
        <v>0</v>
      </c>
      <c r="P1" s="238">
        <f>SUM(tblPiNAnalysis[CP])</f>
        <v>0</v>
      </c>
      <c r="Q1" s="238">
        <f>SUM(tblPiNAnalysis[GBV])</f>
        <v>0</v>
      </c>
      <c r="R1" s="238">
        <f>SUM(tblPiNAnalysis[Mine Action])</f>
        <v>0</v>
      </c>
      <c r="S1" s="238">
        <f>SUM(tblPiNAnalysis[General Protection])</f>
        <v>0</v>
      </c>
      <c r="Z1" s="238"/>
      <c r="AA1" s="286"/>
      <c r="AB1" s="287"/>
      <c r="AF1" s="288"/>
      <c r="AG1" s="288"/>
      <c r="AH1" s="289" t="str">
        <f>_xlfn.CONCAT(COUNTIF(tblPiNAnalysis[Highest PiN greater than 90% of total affected population],"Flagged"), "/", COUNTA(tblPiNAnalysis[Highest PiN greater than 90% of total affected population]), " (", ROUND((COUNTIF(tblPiNAnalysis[Highest PiN greater than 90% of total affected population],"Flagged")/(COUNTA(tblPiNAnalysis[Highest PiN greater than 90% of total affected population]) + COUNTBLANK(tblPiNAnalysis[Highest PiN greater than 90% of total affected population])))*100, 0), "%) flagged")</f>
        <v>6/564 (1%) flagged</v>
      </c>
      <c r="AI1" s="289" t="str">
        <f>_xlfn.CONCAT(COUNTIF(tblPiNAnalysis[Manual Flag],"Flagged"), "/", COUNTA(tblPiNAnalysis[ID]), " (", ROUND((COUNTIF(tblPiNAnalysis[Manual Flag],"Flagged")/(COUNTA(tblPiNAnalysis[Manual Flag]) + COUNTBLANK(tblPiNAnalysis[Manual Flag])))*100, 0), "%) flagged")</f>
        <v>0/564 (0%) flagged</v>
      </c>
      <c r="AJ1" s="290"/>
      <c r="AK1" s="398" t="str">
        <f>_xlfn.CONCAT(COUNTIF(tblPiNAnalysis[Flagged],"Flagged"), "/", COUNTA(tblPiNAnalysis[Flagged]), " (", ROUND((COUNTIF(tblPiNAnalysis[Flagged],"Flagged")/(COUNTA(tblPiNAnalysis[Flagged]) + COUNTBLANK(tblPiNAnalysis[Flagged])))*100, 0), "%) flagged")</f>
        <v>6/564 (1%) flagged</v>
      </c>
      <c r="AL1" s="399" t="e">
        <f>_xlfn.CONCAT(COUNTIF(#REF!,"Flagged"), "/", COUNTA(#REF!), " (", ROUND((COUNTIF(#REF!,"Flagged")/(COUNTA(#REF!) + COUNTBLANK(#REF!)))*100, 0), "%) flagged")</f>
        <v>#REF!</v>
      </c>
    </row>
    <row r="2" spans="1:38" ht="14.25" thickTop="1" thickBot="1" x14ac:dyDescent="0.25">
      <c r="A2" s="291"/>
      <c r="B2" s="400" t="s">
        <v>55</v>
      </c>
      <c r="C2" s="400"/>
      <c r="D2" s="400"/>
      <c r="E2" s="400"/>
      <c r="F2" s="239" t="s">
        <v>290</v>
      </c>
      <c r="G2" s="240"/>
      <c r="H2" s="292" t="s">
        <v>291</v>
      </c>
      <c r="I2" s="292"/>
      <c r="J2" s="292"/>
      <c r="K2" s="292"/>
      <c r="L2" s="292"/>
      <c r="M2" s="292"/>
      <c r="N2" s="292"/>
      <c r="O2" s="292"/>
      <c r="P2" s="407"/>
      <c r="Q2" s="407"/>
      <c r="R2" s="407"/>
      <c r="S2" s="408"/>
      <c r="T2" s="409" t="s">
        <v>704</v>
      </c>
      <c r="U2" s="410"/>
      <c r="V2" s="410"/>
      <c r="W2" s="410"/>
      <c r="X2" s="410"/>
      <c r="Y2" s="410"/>
      <c r="Z2" s="410"/>
      <c r="AA2" s="411"/>
      <c r="AB2" s="410"/>
      <c r="AC2" s="410"/>
      <c r="AD2" s="410"/>
      <c r="AE2" s="411"/>
      <c r="AF2" s="404" t="s">
        <v>292</v>
      </c>
      <c r="AG2" s="405"/>
      <c r="AH2" s="406"/>
      <c r="AI2" s="401" t="s">
        <v>35</v>
      </c>
      <c r="AJ2" s="401"/>
      <c r="AK2" s="402" t="s">
        <v>293</v>
      </c>
      <c r="AL2" s="403"/>
    </row>
    <row r="3" spans="1:38" ht="76.150000000000006" customHeight="1" thickTop="1" thickBot="1" x14ac:dyDescent="0.25">
      <c r="A3" s="293" t="s">
        <v>294</v>
      </c>
      <c r="B3" s="241" t="s">
        <v>69</v>
      </c>
      <c r="C3" s="242" t="s">
        <v>295</v>
      </c>
      <c r="D3" s="242" t="s">
        <v>70</v>
      </c>
      <c r="E3" s="242" t="s">
        <v>139</v>
      </c>
      <c r="F3" s="243" t="s">
        <v>297</v>
      </c>
      <c r="G3" s="244" t="s">
        <v>137</v>
      </c>
      <c r="H3" s="294" t="s">
        <v>298</v>
      </c>
      <c r="I3" s="295" t="s">
        <v>44</v>
      </c>
      <c r="J3" s="295" t="s">
        <v>299</v>
      </c>
      <c r="K3" s="295" t="s">
        <v>300</v>
      </c>
      <c r="L3" s="295" t="s">
        <v>46</v>
      </c>
      <c r="M3" s="295" t="s">
        <v>301</v>
      </c>
      <c r="N3" s="295" t="s">
        <v>302</v>
      </c>
      <c r="O3" s="296" t="s">
        <v>107</v>
      </c>
      <c r="P3" s="297" t="s">
        <v>303</v>
      </c>
      <c r="Q3" s="297" t="s">
        <v>102</v>
      </c>
      <c r="R3" s="297" t="s">
        <v>112</v>
      </c>
      <c r="S3" s="297" t="s">
        <v>100</v>
      </c>
      <c r="T3" s="298" t="s">
        <v>304</v>
      </c>
      <c r="U3" s="299" t="s">
        <v>305</v>
      </c>
      <c r="V3" s="299" t="s">
        <v>306</v>
      </c>
      <c r="W3" s="299" t="s">
        <v>307</v>
      </c>
      <c r="X3" s="299" t="s">
        <v>308</v>
      </c>
      <c r="Y3" s="299" t="s">
        <v>309</v>
      </c>
      <c r="Z3" s="299" t="s">
        <v>310</v>
      </c>
      <c r="AA3" s="300" t="s">
        <v>311</v>
      </c>
      <c r="AB3" s="301" t="s">
        <v>312</v>
      </c>
      <c r="AC3" s="297" t="s">
        <v>313</v>
      </c>
      <c r="AD3" s="297" t="s">
        <v>314</v>
      </c>
      <c r="AE3" s="302" t="s">
        <v>315</v>
      </c>
      <c r="AF3" s="303" t="s">
        <v>316</v>
      </c>
      <c r="AG3" s="304" t="s">
        <v>317</v>
      </c>
      <c r="AH3" s="305" t="s">
        <v>318</v>
      </c>
      <c r="AI3" s="306" t="s">
        <v>35</v>
      </c>
      <c r="AJ3" s="307" t="s">
        <v>319</v>
      </c>
      <c r="AK3" s="308" t="s">
        <v>320</v>
      </c>
      <c r="AL3" s="307" t="s">
        <v>321</v>
      </c>
    </row>
    <row r="4" spans="1:38" s="325" customFormat="1" ht="23.1" hidden="1" customHeight="1" thickTop="1" x14ac:dyDescent="0.2">
      <c r="A4" s="309" t="str">
        <f>_xlfn.CONCAT(IF(tblPiNAnalysis[[#This Row],[Population Group]]="", "",tblPiNAnalysis[[#This Row],[Population Group]] ), _xlfn.IFS(tblPiNAnalysis[[#This Row],[Admin 2 P-Code]]&lt;&gt;"", tblPiNAnalysis[[#This Row],[Admin 2 P-Code]], tblPiNAnalysis[[#This Row],[Admin 1 P-Code]]&lt;&gt;"", tblPiNAnalysis[[#This Row],[Admin 1 P-Code]]))</f>
        <v>Host CommunitySD01001</v>
      </c>
      <c r="B4" s="245" t="s">
        <v>164</v>
      </c>
      <c r="C4" s="246" t="s">
        <v>118</v>
      </c>
      <c r="D4" s="247" t="s">
        <v>323</v>
      </c>
      <c r="E4" s="246" t="s">
        <v>324</v>
      </c>
      <c r="F4" s="248">
        <v>15904</v>
      </c>
      <c r="G4" s="248" t="s">
        <v>87</v>
      </c>
      <c r="H4" s="310"/>
      <c r="I4" s="311"/>
      <c r="J4" s="312"/>
      <c r="K4" s="311"/>
      <c r="L4" s="311"/>
      <c r="M4" s="312"/>
      <c r="N4" s="312">
        <f>_xlfn.XLOOKUP(CONCATENATE(tblPiNAnalysis[[#This Row],[Admin 2 P-Code]],tblPiNAnalysis[[#This Row],[Population Group]]),'Overall severity &amp; PIN Analysis'!A:A,'Overall severity &amp; PIN Analysis'!P:P,0,0)</f>
        <v>1448</v>
      </c>
      <c r="O4" s="311"/>
      <c r="P4" s="312"/>
      <c r="Q4" s="312"/>
      <c r="R4" s="312"/>
      <c r="S4" s="312"/>
      <c r="T4" s="313"/>
      <c r="U4" s="314" t="str">
        <f>IF(tblPiNAnalysis[[#This Row],[Education]]="", "", tblPiNAnalysis[[#This Row],[Education]]/tblPiNAnalysis[[#This Row],[Total Population]])</f>
        <v/>
      </c>
      <c r="V4" s="314" t="str">
        <f>IF(tblPiNAnalysis[[#This Row],[Food Security and Livlihoods]]="", "", tblPiNAnalysis[[#This Row],[Food Security and Livlihoods]]/tblPiNAnalysis[[#This Row],[Total Population]])</f>
        <v/>
      </c>
      <c r="W4" s="315" t="str">
        <f>IF(tblPiNAnalysis[[#This Row],[Health ]]="", "", tblPiNAnalysis[[#This Row],[Health ]]/tblPiNAnalysis[[#This Row],[Total Population]])</f>
        <v/>
      </c>
      <c r="X4" s="314" t="str">
        <f>IF(tblPiNAnalysis[[#This Row],[Nutrition]]="", "", tblPiNAnalysis[[#This Row],[Nutrition]]/tblPiNAnalysis[[#This Row],[Total Population]])</f>
        <v/>
      </c>
      <c r="Y4" s="314" t="str">
        <f>IF(tblPiNAnalysis[[#This Row],[Protection]]="", "", tblPiNAnalysis[[#This Row],[Protection]]/tblPiNAnalysis[[#This Row],[Total Population]])</f>
        <v/>
      </c>
      <c r="Z4" s="316">
        <f>IF(tblPiNAnalysis[[#This Row],[Shelter NFI ]]="", "", tblPiNAnalysis[[#This Row],[Shelter NFI ]]/tblPiNAnalysis[[#This Row],[Total Population]])</f>
        <v>9.1046277665995975E-2</v>
      </c>
      <c r="AA4" s="317" t="str">
        <f>IF(tblPiNAnalysis[[#This Row],[WASH]]="", "", tblPiNAnalysis[[#This Row],[WASH]]/tblPiNAnalysis[[#This Row],[Total Population]])</f>
        <v/>
      </c>
      <c r="AB4" s="318" t="str">
        <f>IFERROR(IF(tblPiNAnalysis[[#This Row],[CP]]="", "", MROUND(tblPiNAnalysis[[#This Row],[CP]]/tblPiNAnalysis[[#This Row],[Total Population]], 0.05)), "")</f>
        <v/>
      </c>
      <c r="AC4" s="314" t="str">
        <f>IFERROR(IF(tblPiNAnalysis[[#This Row],[GBV]]="", "", MROUND(tblPiNAnalysis[[#This Row],[GBV]]/tblPiNAnalysis[[#This Row],[Total Population]], 0.05)), "")</f>
        <v/>
      </c>
      <c r="AD4" s="314" t="str">
        <f>IFERROR(IF(tblPiNAnalysis[[#This Row],[Mine Action]]="", "", MROUND(tblPiNAnalysis[[#This Row],[Mine Action]]/tblPiNAnalysis[[#This Row],[Total Population]], 0.05)), "")</f>
        <v/>
      </c>
      <c r="AE4" s="314" t="str">
        <f>IFERROR(IF(tblPiNAnalysis[[#This Row],[General Protection]]="", "", MROUND(tblPiNAnalysis[[#This Row],[General Protection]]/tblPiNAnalysis[[#This Row],[Total Population]], 0.05)), "")</f>
        <v/>
      </c>
      <c r="AF4" s="319">
        <f>IFERROR(LARGE(tblPiNAnalysis[[#This Row],[Site Management ]:[General Protection]], 1), "")</f>
        <v>1448</v>
      </c>
      <c r="AG4" s="320">
        <f>IF(tblPiNAnalysis[[#This Row],[Highest PiN]]="", "",tblPiNAnalysis[[#This Row],[Highest PiN]]/ tblPiNAnalysis[[#This Row],[Total Population]])</f>
        <v>9.1046277665995975E-2</v>
      </c>
      <c r="AH4" s="320" t="str">
        <f>IFERROR(IF(tblPiNAnalysis[[#This Row],[Highest PiN]]="", "", IF(tblPiNAnalysis[[#This Row],[Highest sector(s'') PiN %]]&gt;=flag_pin_perc, "Flagged", "")), "")</f>
        <v/>
      </c>
      <c r="AI4" s="321"/>
      <c r="AJ4" s="322"/>
      <c r="AK4" s="323">
        <f>COUNTIFS(tblPiNAnalysis[[#This Row],[Highest PiN greater than 90% of total affected population]:[Manual Flag]],"Flagged")</f>
        <v>0</v>
      </c>
      <c r="AL4" s="324" t="str">
        <f>IF(tblPiNAnalysis[[#This Row],['# Flags]]&gt;0, "Flagged", "")</f>
        <v/>
      </c>
    </row>
    <row r="5" spans="1:38" s="325" customFormat="1" ht="23.1" hidden="1" customHeight="1" thickTop="1" x14ac:dyDescent="0.2">
      <c r="A5" s="309" t="str">
        <f>_xlfn.CONCAT(IF(tblPiNAnalysis[[#This Row],[Population Group]]="", "",tblPiNAnalysis[[#This Row],[Population Group]] ), _xlfn.IFS(tblPiNAnalysis[[#This Row],[Admin 2 P-Code]]&lt;&gt;"", tblPiNAnalysis[[#This Row],[Admin 2 P-Code]], tblPiNAnalysis[[#This Row],[Admin 1 P-Code]]&lt;&gt;"", tblPiNAnalysis[[#This Row],[Admin 1 P-Code]]))</f>
        <v>IDPsSD01001</v>
      </c>
      <c r="B5" s="245" t="s">
        <v>164</v>
      </c>
      <c r="C5" s="246" t="s">
        <v>118</v>
      </c>
      <c r="D5" s="247" t="s">
        <v>323</v>
      </c>
      <c r="E5" s="246" t="s">
        <v>324</v>
      </c>
      <c r="F5" s="248">
        <v>10542</v>
      </c>
      <c r="G5" s="248" t="s">
        <v>88</v>
      </c>
      <c r="H5" s="310"/>
      <c r="I5" s="311"/>
      <c r="J5" s="311"/>
      <c r="K5" s="311"/>
      <c r="L5" s="311"/>
      <c r="M5" s="311"/>
      <c r="N5" s="311">
        <f>_xlfn.XLOOKUP(CONCATENATE(tblPiNAnalysis[[#This Row],[Admin 2 P-Code]],tblPiNAnalysis[[#This Row],[Population Group]]),'Overall severity &amp; PIN Analysis'!A:A,'Overall severity &amp; PIN Analysis'!P:P,0,0)</f>
        <v>960</v>
      </c>
      <c r="O5" s="311"/>
      <c r="P5" s="311"/>
      <c r="Q5" s="311"/>
      <c r="R5" s="311"/>
      <c r="S5" s="311"/>
      <c r="T5" s="326" t="str">
        <f>IF(tblPiNAnalysis[[#This Row],[Site Management ]]="", "", tblPiNAnalysis[[#This Row],[Site Management ]]/tblPiNAnalysis[[#This Row],[Total Population]])</f>
        <v/>
      </c>
      <c r="U5" s="315" t="str">
        <f>IF(tblPiNAnalysis[[#This Row],[Education]]="", "", tblPiNAnalysis[[#This Row],[Education]]/tblPiNAnalysis[[#This Row],[Total Population]])</f>
        <v/>
      </c>
      <c r="V5" s="315" t="str">
        <f>IF(tblPiNAnalysis[[#This Row],[Food Security and Livlihoods]]="", "", tblPiNAnalysis[[#This Row],[Food Security and Livlihoods]]/tblPiNAnalysis[[#This Row],[Total Population]])</f>
        <v/>
      </c>
      <c r="W5" s="315" t="str">
        <f>IF(tblPiNAnalysis[[#This Row],[Health ]]="", "", tblPiNAnalysis[[#This Row],[Health ]]/tblPiNAnalysis[[#This Row],[Total Population]])</f>
        <v/>
      </c>
      <c r="X5" s="315" t="str">
        <f>IF(tblPiNAnalysis[[#This Row],[Nutrition]]="", "", tblPiNAnalysis[[#This Row],[Nutrition]]/tblPiNAnalysis[[#This Row],[Total Population]])</f>
        <v/>
      </c>
      <c r="Y5" s="315" t="str">
        <f>IF(tblPiNAnalysis[[#This Row],[Protection]]="", "", tblPiNAnalysis[[#This Row],[Protection]]/tblPiNAnalysis[[#This Row],[Total Population]])</f>
        <v/>
      </c>
      <c r="Z5" s="327">
        <f>IF(tblPiNAnalysis[[#This Row],[Shelter NFI ]]="", "", tblPiNAnalysis[[#This Row],[Shelter NFI ]]/tblPiNAnalysis[[#This Row],[Total Population]])</f>
        <v>9.1064314171883889E-2</v>
      </c>
      <c r="AA5" s="328" t="str">
        <f>IF(tblPiNAnalysis[[#This Row],[WASH]]="", "", tblPiNAnalysis[[#This Row],[WASH]]/tblPiNAnalysis[[#This Row],[Total Population]])</f>
        <v/>
      </c>
      <c r="AB5" s="329" t="str">
        <f>IFERROR(IF(tblPiNAnalysis[[#This Row],[CP]]="", "", MROUND(tblPiNAnalysis[[#This Row],[CP]]/tblPiNAnalysis[[#This Row],[Total Population]], 0.05)), "")</f>
        <v/>
      </c>
      <c r="AC5" s="315" t="str">
        <f>IFERROR(IF(tblPiNAnalysis[[#This Row],[GBV]]="", "", MROUND(tblPiNAnalysis[[#This Row],[GBV]]/tblPiNAnalysis[[#This Row],[Total Population]], 0.05)), "")</f>
        <v/>
      </c>
      <c r="AD5" s="315" t="str">
        <f>IFERROR(IF(tblPiNAnalysis[[#This Row],[Mine Action]]="", "", MROUND(tblPiNAnalysis[[#This Row],[Mine Action]]/tblPiNAnalysis[[#This Row],[Total Population]], 0.05)), "")</f>
        <v/>
      </c>
      <c r="AE5" s="315" t="str">
        <f>IFERROR(IF(tblPiNAnalysis[[#This Row],[General Protection]]="", "", MROUND(tblPiNAnalysis[[#This Row],[General Protection]]/tblPiNAnalysis[[#This Row],[Total Population]], 0.05)), "")</f>
        <v/>
      </c>
      <c r="AF5" s="319">
        <f>IFERROR(LARGE(tblPiNAnalysis[[#This Row],[Site Management ]:[General Protection]], 1), "")</f>
        <v>960</v>
      </c>
      <c r="AG5" s="330">
        <f>IF(tblPiNAnalysis[[#This Row],[Highest PiN]]="", "",tblPiNAnalysis[[#This Row],[Highest PiN]]/ tblPiNAnalysis[[#This Row],[Total Population]])</f>
        <v>9.1064314171883889E-2</v>
      </c>
      <c r="AH5" s="330" t="str">
        <f>IFERROR(IF(tblPiNAnalysis[[#This Row],[Highest PiN]]="", "", IF(tblPiNAnalysis[[#This Row],[Highest sector(s'') PiN %]]&gt;=flag_pin_perc, "Flagged", "")), "")</f>
        <v/>
      </c>
      <c r="AI5" s="321"/>
      <c r="AJ5" s="322"/>
      <c r="AK5" s="323">
        <f>COUNTIFS(tblPiNAnalysis[[#This Row],[Highest PiN greater than 90% of total affected population]:[Manual Flag]],"Flagged")</f>
        <v>0</v>
      </c>
      <c r="AL5" s="331" t="str">
        <f>IF(tblPiNAnalysis[[#This Row],['# Flags]]&gt;0, "Flagged", "")</f>
        <v/>
      </c>
    </row>
    <row r="6" spans="1:38" s="325" customFormat="1" ht="23.1" customHeight="1" thickTop="1" x14ac:dyDescent="0.2">
      <c r="A6" s="309" t="str">
        <f>_xlfn.CONCAT(IF(tblPiNAnalysis[[#This Row],[Population Group]]="", "",tblPiNAnalysis[[#This Row],[Population Group]] ), _xlfn.IFS(tblPiNAnalysis[[#This Row],[Admin 2 P-Code]]&lt;&gt;"", tblPiNAnalysis[[#This Row],[Admin 2 P-Code]], tblPiNAnalysis[[#This Row],[Admin 1 P-Code]]&lt;&gt;"", tblPiNAnalysis[[#This Row],[Admin 1 P-Code]]))</f>
        <v>Non-hosting PopulationSD01001</v>
      </c>
      <c r="B6" s="245" t="s">
        <v>164</v>
      </c>
      <c r="C6" s="246" t="s">
        <v>118</v>
      </c>
      <c r="D6" s="247" t="s">
        <v>323</v>
      </c>
      <c r="E6" s="246" t="s">
        <v>324</v>
      </c>
      <c r="F6" s="248">
        <v>1228200</v>
      </c>
      <c r="G6" s="248" t="s">
        <v>568</v>
      </c>
      <c r="H6" s="310"/>
      <c r="I6" s="311"/>
      <c r="J6" s="312"/>
      <c r="K6" s="311"/>
      <c r="L6" s="311"/>
      <c r="M6" s="312"/>
      <c r="N6" s="312">
        <f>_xlfn.XLOOKUP(CONCATENATE(tblPiNAnalysis[[#This Row],[Admin 2 P-Code]],tblPiNAnalysis[[#This Row],[Population Group]]),'Overall severity &amp; PIN Analysis'!A:A,'Overall severity &amp; PIN Analysis'!P:P,0,0)</f>
        <v>111846</v>
      </c>
      <c r="O6" s="311"/>
      <c r="P6" s="312"/>
      <c r="Q6" s="312"/>
      <c r="R6" s="312"/>
      <c r="S6" s="312"/>
      <c r="T6" s="313" t="str">
        <f>IF(tblPiNAnalysis[[#This Row],[Site Management ]]="", "", tblPiNAnalysis[[#This Row],[Site Management ]]/tblPiNAnalysis[[#This Row],[Total Population]])</f>
        <v/>
      </c>
      <c r="U6" s="314" t="str">
        <f>IF(tblPiNAnalysis[[#This Row],[Education]]="", "", tblPiNAnalysis[[#This Row],[Education]]/tblPiNAnalysis[[#This Row],[Total Population]])</f>
        <v/>
      </c>
      <c r="V6" s="314" t="str">
        <f>IF(tblPiNAnalysis[[#This Row],[Food Security and Livlihoods]]="", "", tblPiNAnalysis[[#This Row],[Food Security and Livlihoods]]/tblPiNAnalysis[[#This Row],[Total Population]])</f>
        <v/>
      </c>
      <c r="W6" s="315" t="str">
        <f>IF(tblPiNAnalysis[[#This Row],[Health ]]="", "", tblPiNAnalysis[[#This Row],[Health ]]/tblPiNAnalysis[[#This Row],[Total Population]])</f>
        <v/>
      </c>
      <c r="X6" s="314" t="str">
        <f>IF(tblPiNAnalysis[[#This Row],[Nutrition]]="", "", tblPiNAnalysis[[#This Row],[Nutrition]]/tblPiNAnalysis[[#This Row],[Total Population]])</f>
        <v/>
      </c>
      <c r="Y6" s="314" t="str">
        <f>IF(tblPiNAnalysis[[#This Row],[Protection]]="", "", tblPiNAnalysis[[#This Row],[Protection]]/tblPiNAnalysis[[#This Row],[Total Population]])</f>
        <v/>
      </c>
      <c r="Z6" s="316">
        <f>IF(tblPiNAnalysis[[#This Row],[Shelter NFI ]]="", "", tblPiNAnalysis[[#This Row],[Shelter NFI ]]/tblPiNAnalysis[[#This Row],[Total Population]])</f>
        <v>9.1064973131411819E-2</v>
      </c>
      <c r="AA6" s="317" t="str">
        <f>IF(tblPiNAnalysis[[#This Row],[WASH]]="", "", tblPiNAnalysis[[#This Row],[WASH]]/tblPiNAnalysis[[#This Row],[Total Population]])</f>
        <v/>
      </c>
      <c r="AB6" s="318" t="str">
        <f>IFERROR(IF(tblPiNAnalysis[[#This Row],[CP]]="", "", MROUND(tblPiNAnalysis[[#This Row],[CP]]/tblPiNAnalysis[[#This Row],[Total Population]], 0.05)), "")</f>
        <v/>
      </c>
      <c r="AC6" s="314" t="str">
        <f>IFERROR(IF(tblPiNAnalysis[[#This Row],[GBV]]="", "", MROUND(tblPiNAnalysis[[#This Row],[GBV]]/tblPiNAnalysis[[#This Row],[Total Population]], 0.05)), "")</f>
        <v/>
      </c>
      <c r="AD6" s="314" t="str">
        <f>IFERROR(IF(tblPiNAnalysis[[#This Row],[Mine Action]]="", "", MROUND(tblPiNAnalysis[[#This Row],[Mine Action]]/tblPiNAnalysis[[#This Row],[Total Population]], 0.05)), "")</f>
        <v/>
      </c>
      <c r="AE6" s="314" t="str">
        <f>IFERROR(IF(tblPiNAnalysis[[#This Row],[General Protection]]="", "", MROUND(tblPiNAnalysis[[#This Row],[General Protection]]/tblPiNAnalysis[[#This Row],[Total Population]], 0.05)), "")</f>
        <v/>
      </c>
      <c r="AF6" s="319">
        <f>IFERROR(LARGE(tblPiNAnalysis[[#This Row],[Site Management ]:[General Protection]], 1), "")</f>
        <v>111846</v>
      </c>
      <c r="AG6" s="320">
        <f>IF(tblPiNAnalysis[[#This Row],[Highest PiN]]="", "",tblPiNAnalysis[[#This Row],[Highest PiN]]/ tblPiNAnalysis[[#This Row],[Total Population]])</f>
        <v>9.1064973131411819E-2</v>
      </c>
      <c r="AH6" s="320" t="str">
        <f>IFERROR(IF(tblPiNAnalysis[[#This Row],[Highest PiN]]="", "", IF(tblPiNAnalysis[[#This Row],[Highest sector(s'') PiN %]]&gt;=flag_pin_perc, "Flagged", "")), "")</f>
        <v/>
      </c>
      <c r="AI6" s="321"/>
      <c r="AJ6" s="322"/>
      <c r="AK6" s="323">
        <f>COUNTIFS(tblPiNAnalysis[[#This Row],[Highest PiN greater than 90% of total affected population]:[Manual Flag]],"Flagged")</f>
        <v>0</v>
      </c>
      <c r="AL6" s="324" t="str">
        <f>IF(tblPiNAnalysis[[#This Row],['# Flags]]&gt;0, "Flagged", "")</f>
        <v/>
      </c>
    </row>
    <row r="7" spans="1:38" s="325" customFormat="1" ht="23.1" hidden="1" customHeight="1" x14ac:dyDescent="0.2">
      <c r="A7" s="309" t="str">
        <f>_xlfn.CONCAT(IF(tblPiNAnalysis[[#This Row],[Population Group]]="", "",tblPiNAnalysis[[#This Row],[Population Group]] ), _xlfn.IFS(tblPiNAnalysis[[#This Row],[Admin 2 P-Code]]&lt;&gt;"", tblPiNAnalysis[[#This Row],[Admin 2 P-Code]], tblPiNAnalysis[[#This Row],[Admin 1 P-Code]]&lt;&gt;"", tblPiNAnalysis[[#This Row],[Admin 1 P-Code]]))</f>
        <v>Host CommunitySD01002</v>
      </c>
      <c r="B7" s="245" t="s">
        <v>164</v>
      </c>
      <c r="C7" s="246" t="s">
        <v>118</v>
      </c>
      <c r="D7" s="247" t="s">
        <v>325</v>
      </c>
      <c r="E7" s="246" t="s">
        <v>326</v>
      </c>
      <c r="F7" s="248">
        <v>13283</v>
      </c>
      <c r="G7" s="248" t="s">
        <v>87</v>
      </c>
      <c r="H7" s="310"/>
      <c r="I7" s="311"/>
      <c r="J7" s="312"/>
      <c r="K7" s="311"/>
      <c r="L7" s="311"/>
      <c r="M7" s="312"/>
      <c r="N7" s="312">
        <f>_xlfn.XLOOKUP(CONCATENATE(tblPiNAnalysis[[#This Row],[Admin 2 P-Code]],tblPiNAnalysis[[#This Row],[Population Group]]),'Overall severity &amp; PIN Analysis'!A:A,'Overall severity &amp; PIN Analysis'!P:P,0,0)</f>
        <v>3024</v>
      </c>
      <c r="O7" s="311"/>
      <c r="P7" s="312"/>
      <c r="Q7" s="312"/>
      <c r="R7" s="312"/>
      <c r="S7" s="312"/>
      <c r="T7" s="313" t="str">
        <f>IF(tblPiNAnalysis[[#This Row],[Site Management ]]="", "", tblPiNAnalysis[[#This Row],[Site Management ]]/tblPiNAnalysis[[#This Row],[Total Population]])</f>
        <v/>
      </c>
      <c r="U7" s="314" t="str">
        <f>IF(tblPiNAnalysis[[#This Row],[Education]]="", "", tblPiNAnalysis[[#This Row],[Education]]/tblPiNAnalysis[[#This Row],[Total Population]])</f>
        <v/>
      </c>
      <c r="V7" s="314" t="str">
        <f>IF(tblPiNAnalysis[[#This Row],[Food Security and Livlihoods]]="", "", tblPiNAnalysis[[#This Row],[Food Security and Livlihoods]]/tblPiNAnalysis[[#This Row],[Total Population]])</f>
        <v/>
      </c>
      <c r="W7" s="315" t="str">
        <f>IF(tblPiNAnalysis[[#This Row],[Health ]]="", "", tblPiNAnalysis[[#This Row],[Health ]]/tblPiNAnalysis[[#This Row],[Total Population]])</f>
        <v/>
      </c>
      <c r="X7" s="314" t="str">
        <f>IF(tblPiNAnalysis[[#This Row],[Nutrition]]="", "", tblPiNAnalysis[[#This Row],[Nutrition]]/tblPiNAnalysis[[#This Row],[Total Population]])</f>
        <v/>
      </c>
      <c r="Y7" s="314" t="str">
        <f>IF(tblPiNAnalysis[[#This Row],[Protection]]="", "", tblPiNAnalysis[[#This Row],[Protection]]/tblPiNAnalysis[[#This Row],[Total Population]])</f>
        <v/>
      </c>
      <c r="Z7" s="316">
        <f>IF(tblPiNAnalysis[[#This Row],[Shelter NFI ]]="", "", tblPiNAnalysis[[#This Row],[Shelter NFI ]]/tblPiNAnalysis[[#This Row],[Total Population]])</f>
        <v>0.22765941428894076</v>
      </c>
      <c r="AA7" s="317" t="str">
        <f>IF(tblPiNAnalysis[[#This Row],[WASH]]="", "", tblPiNAnalysis[[#This Row],[WASH]]/tblPiNAnalysis[[#This Row],[Total Population]])</f>
        <v/>
      </c>
      <c r="AB7" s="318" t="str">
        <f>IFERROR(IF(tblPiNAnalysis[[#This Row],[CP]]="", "", MROUND(tblPiNAnalysis[[#This Row],[CP]]/tblPiNAnalysis[[#This Row],[Total Population]], 0.05)), "")</f>
        <v/>
      </c>
      <c r="AC7" s="314" t="str">
        <f>IFERROR(IF(tblPiNAnalysis[[#This Row],[GBV]]="", "", MROUND(tblPiNAnalysis[[#This Row],[GBV]]/tblPiNAnalysis[[#This Row],[Total Population]], 0.05)), "")</f>
        <v/>
      </c>
      <c r="AD7" s="314" t="str">
        <f>IFERROR(IF(tblPiNAnalysis[[#This Row],[Mine Action]]="", "", MROUND(tblPiNAnalysis[[#This Row],[Mine Action]]/tblPiNAnalysis[[#This Row],[Total Population]], 0.05)), "")</f>
        <v/>
      </c>
      <c r="AE7" s="314" t="str">
        <f>IFERROR(IF(tblPiNAnalysis[[#This Row],[General Protection]]="", "", MROUND(tblPiNAnalysis[[#This Row],[General Protection]]/tblPiNAnalysis[[#This Row],[Total Population]], 0.05)), "")</f>
        <v/>
      </c>
      <c r="AF7" s="319">
        <f>IFERROR(LARGE(tblPiNAnalysis[[#This Row],[Site Management ]:[General Protection]], 1), "")</f>
        <v>3024</v>
      </c>
      <c r="AG7" s="320">
        <f>IF(tblPiNAnalysis[[#This Row],[Highest PiN]]="", "",tblPiNAnalysis[[#This Row],[Highest PiN]]/ tblPiNAnalysis[[#This Row],[Total Population]])</f>
        <v>0.22765941428894076</v>
      </c>
      <c r="AH7" s="320" t="str">
        <f>IFERROR(IF(tblPiNAnalysis[[#This Row],[Highest PiN]]="", "", IF(tblPiNAnalysis[[#This Row],[Highest sector(s'') PiN %]]&gt;=flag_pin_perc, "Flagged", "")), "")</f>
        <v/>
      </c>
      <c r="AI7" s="332"/>
      <c r="AJ7" s="322"/>
      <c r="AK7" s="323">
        <f>COUNTIFS(tblPiNAnalysis[[#This Row],[Highest PiN greater than 90% of total affected population]:[Manual Flag]],"Flagged")</f>
        <v>0</v>
      </c>
      <c r="AL7" s="324" t="str">
        <f>IF(tblPiNAnalysis[[#This Row],['# Flags]]&gt;0, "Flagged", "")</f>
        <v/>
      </c>
    </row>
    <row r="8" spans="1:38" s="325" customFormat="1" ht="23.1" hidden="1" customHeight="1" x14ac:dyDescent="0.2">
      <c r="A8" s="309" t="str">
        <f>_xlfn.CONCAT(IF(tblPiNAnalysis[[#This Row],[Population Group]]="", "",tblPiNAnalysis[[#This Row],[Population Group]] ), _xlfn.IFS(tblPiNAnalysis[[#This Row],[Admin 2 P-Code]]&lt;&gt;"", tblPiNAnalysis[[#This Row],[Admin 2 P-Code]], tblPiNAnalysis[[#This Row],[Admin 1 P-Code]]&lt;&gt;"", tblPiNAnalysis[[#This Row],[Admin 1 P-Code]]))</f>
        <v>IDPsSD01002</v>
      </c>
      <c r="B8" s="245" t="s">
        <v>164</v>
      </c>
      <c r="C8" s="246" t="s">
        <v>118</v>
      </c>
      <c r="D8" s="247" t="s">
        <v>325</v>
      </c>
      <c r="E8" s="246" t="s">
        <v>326</v>
      </c>
      <c r="F8" s="248">
        <v>10043</v>
      </c>
      <c r="G8" s="248" t="s">
        <v>88</v>
      </c>
      <c r="H8" s="310"/>
      <c r="I8" s="311"/>
      <c r="J8" s="311"/>
      <c r="K8" s="311"/>
      <c r="L8" s="311"/>
      <c r="M8" s="311"/>
      <c r="N8" s="311">
        <f>_xlfn.XLOOKUP(CONCATENATE(tblPiNAnalysis[[#This Row],[Admin 2 P-Code]],tblPiNAnalysis[[#This Row],[Population Group]]),'Overall severity &amp; PIN Analysis'!A:A,'Overall severity &amp; PIN Analysis'!P:P,0,0)</f>
        <v>2287</v>
      </c>
      <c r="O8" s="311"/>
      <c r="P8" s="311"/>
      <c r="Q8" s="311"/>
      <c r="R8" s="311"/>
      <c r="S8" s="311"/>
      <c r="T8" s="326" t="str">
        <f>IF(tblPiNAnalysis[[#This Row],[Site Management ]]="", "", tblPiNAnalysis[[#This Row],[Site Management ]]/tblPiNAnalysis[[#This Row],[Total Population]])</f>
        <v/>
      </c>
      <c r="U8" s="315" t="str">
        <f>IF(tblPiNAnalysis[[#This Row],[Education]]="", "", tblPiNAnalysis[[#This Row],[Education]]/tblPiNAnalysis[[#This Row],[Total Population]])</f>
        <v/>
      </c>
      <c r="V8" s="315" t="str">
        <f>IF(tblPiNAnalysis[[#This Row],[Food Security and Livlihoods]]="", "", tblPiNAnalysis[[#This Row],[Food Security and Livlihoods]]/tblPiNAnalysis[[#This Row],[Total Population]])</f>
        <v/>
      </c>
      <c r="W8" s="315" t="str">
        <f>IF(tblPiNAnalysis[[#This Row],[Health ]]="", "", tblPiNAnalysis[[#This Row],[Health ]]/tblPiNAnalysis[[#This Row],[Total Population]])</f>
        <v/>
      </c>
      <c r="X8" s="315" t="str">
        <f>IF(tblPiNAnalysis[[#This Row],[Nutrition]]="", "", tblPiNAnalysis[[#This Row],[Nutrition]]/tblPiNAnalysis[[#This Row],[Total Population]])</f>
        <v/>
      </c>
      <c r="Y8" s="315" t="str">
        <f>IF(tblPiNAnalysis[[#This Row],[Protection]]="", "", tblPiNAnalysis[[#This Row],[Protection]]/tblPiNAnalysis[[#This Row],[Total Population]])</f>
        <v/>
      </c>
      <c r="Z8" s="327">
        <f>IF(tblPiNAnalysis[[#This Row],[Shelter NFI ]]="", "", tblPiNAnalysis[[#This Row],[Shelter NFI ]]/tblPiNAnalysis[[#This Row],[Total Population]])</f>
        <v>0.2277208005576023</v>
      </c>
      <c r="AA8" s="328" t="str">
        <f>IF(tblPiNAnalysis[[#This Row],[WASH]]="", "", tblPiNAnalysis[[#This Row],[WASH]]/tblPiNAnalysis[[#This Row],[Total Population]])</f>
        <v/>
      </c>
      <c r="AB8" s="329" t="str">
        <f>IFERROR(IF(tblPiNAnalysis[[#This Row],[CP]]="", "", MROUND(tblPiNAnalysis[[#This Row],[CP]]/tblPiNAnalysis[[#This Row],[Total Population]], 0.05)), "")</f>
        <v/>
      </c>
      <c r="AC8" s="315" t="str">
        <f>IFERROR(IF(tblPiNAnalysis[[#This Row],[GBV]]="", "", MROUND(tblPiNAnalysis[[#This Row],[GBV]]/tblPiNAnalysis[[#This Row],[Total Population]], 0.05)), "")</f>
        <v/>
      </c>
      <c r="AD8" s="315" t="str">
        <f>IFERROR(IF(tblPiNAnalysis[[#This Row],[Mine Action]]="", "", MROUND(tblPiNAnalysis[[#This Row],[Mine Action]]/tblPiNAnalysis[[#This Row],[Total Population]], 0.05)), "")</f>
        <v/>
      </c>
      <c r="AE8" s="315" t="str">
        <f>IFERROR(IF(tblPiNAnalysis[[#This Row],[General Protection]]="", "", MROUND(tblPiNAnalysis[[#This Row],[General Protection]]/tblPiNAnalysis[[#This Row],[Total Population]], 0.05)), "")</f>
        <v/>
      </c>
      <c r="AF8" s="319">
        <f>IFERROR(LARGE(tblPiNAnalysis[[#This Row],[Site Management ]:[General Protection]], 1), "")</f>
        <v>2287</v>
      </c>
      <c r="AG8" s="330">
        <f>IF(tblPiNAnalysis[[#This Row],[Highest PiN]]="", "",tblPiNAnalysis[[#This Row],[Highest PiN]]/ tblPiNAnalysis[[#This Row],[Total Population]])</f>
        <v>0.2277208005576023</v>
      </c>
      <c r="AH8" s="330" t="str">
        <f>IFERROR(IF(tblPiNAnalysis[[#This Row],[Highest PiN]]="", "", IF(tblPiNAnalysis[[#This Row],[Highest sector(s'') PiN %]]&gt;=flag_pin_perc, "Flagged", "")), "")</f>
        <v/>
      </c>
      <c r="AI8" s="321"/>
      <c r="AJ8" s="322"/>
      <c r="AK8" s="323">
        <f>COUNTIFS(tblPiNAnalysis[[#This Row],[Highest PiN greater than 90% of total affected population]:[Manual Flag]],"Flagged")</f>
        <v>0</v>
      </c>
      <c r="AL8" s="331" t="str">
        <f>IF(tblPiNAnalysis[[#This Row],['# Flags]]&gt;0, "Flagged", "")</f>
        <v/>
      </c>
    </row>
    <row r="9" spans="1:38" ht="23.1" customHeight="1" x14ac:dyDescent="0.2">
      <c r="A9" s="309" t="str">
        <f>_xlfn.CONCAT(IF(tblPiNAnalysis[[#This Row],[Population Group]]="", "",tblPiNAnalysis[[#This Row],[Population Group]] ), _xlfn.IFS(tblPiNAnalysis[[#This Row],[Admin 2 P-Code]]&lt;&gt;"", tblPiNAnalysis[[#This Row],[Admin 2 P-Code]], tblPiNAnalysis[[#This Row],[Admin 1 P-Code]]&lt;&gt;"", tblPiNAnalysis[[#This Row],[Admin 1 P-Code]]))</f>
        <v>Non-hosting PopulationSD01002</v>
      </c>
      <c r="B9" s="245" t="s">
        <v>164</v>
      </c>
      <c r="C9" s="246" t="s">
        <v>118</v>
      </c>
      <c r="D9" s="247" t="s">
        <v>325</v>
      </c>
      <c r="E9" s="246" t="s">
        <v>326</v>
      </c>
      <c r="F9" s="248">
        <v>1539537</v>
      </c>
      <c r="G9" s="248" t="s">
        <v>568</v>
      </c>
      <c r="H9" s="310"/>
      <c r="I9" s="311"/>
      <c r="J9" s="312"/>
      <c r="K9" s="311"/>
      <c r="L9" s="311"/>
      <c r="M9" s="312"/>
      <c r="N9" s="312">
        <f>_xlfn.XLOOKUP(CONCATENATE(tblPiNAnalysis[[#This Row],[Admin 2 P-Code]],tblPiNAnalysis[[#This Row],[Population Group]]),'Overall severity &amp; PIN Analysis'!A:A,'Overall severity &amp; PIN Analysis'!P:P,0,0)</f>
        <v>344494</v>
      </c>
      <c r="O9" s="311"/>
      <c r="P9" s="312"/>
      <c r="Q9" s="312"/>
      <c r="R9" s="312"/>
      <c r="S9" s="312"/>
      <c r="T9" s="313" t="str">
        <f>IF(tblPiNAnalysis[[#This Row],[Site Management ]]="", "", tblPiNAnalysis[[#This Row],[Site Management ]]/tblPiNAnalysis[[#This Row],[Total Population]])</f>
        <v/>
      </c>
      <c r="U9" s="314" t="str">
        <f>IF(tblPiNAnalysis[[#This Row],[Education]]="", "", tblPiNAnalysis[[#This Row],[Education]]/tblPiNAnalysis[[#This Row],[Total Population]])</f>
        <v/>
      </c>
      <c r="V9" s="314" t="str">
        <f>IF(tblPiNAnalysis[[#This Row],[Food Security and Livlihoods]]="", "", tblPiNAnalysis[[#This Row],[Food Security and Livlihoods]]/tblPiNAnalysis[[#This Row],[Total Population]])</f>
        <v/>
      </c>
      <c r="W9" s="315" t="str">
        <f>IF(tblPiNAnalysis[[#This Row],[Health ]]="", "", tblPiNAnalysis[[#This Row],[Health ]]/tblPiNAnalysis[[#This Row],[Total Population]])</f>
        <v/>
      </c>
      <c r="X9" s="314" t="str">
        <f>IF(tblPiNAnalysis[[#This Row],[Nutrition]]="", "", tblPiNAnalysis[[#This Row],[Nutrition]]/tblPiNAnalysis[[#This Row],[Total Population]])</f>
        <v/>
      </c>
      <c r="Y9" s="314" t="str">
        <f>IF(tblPiNAnalysis[[#This Row],[Protection]]="", "", tblPiNAnalysis[[#This Row],[Protection]]/tblPiNAnalysis[[#This Row],[Total Population]])</f>
        <v/>
      </c>
      <c r="Z9" s="316">
        <f>IF(tblPiNAnalysis[[#This Row],[Shelter NFI ]]="", "", tblPiNAnalysis[[#This Row],[Shelter NFI ]]/tblPiNAnalysis[[#This Row],[Total Population]])</f>
        <v>0.22376467730233179</v>
      </c>
      <c r="AA9" s="317" t="str">
        <f>IF(tblPiNAnalysis[[#This Row],[WASH]]="", "", tblPiNAnalysis[[#This Row],[WASH]]/tblPiNAnalysis[[#This Row],[Total Population]])</f>
        <v/>
      </c>
      <c r="AB9" s="318" t="str">
        <f>IFERROR(IF(tblPiNAnalysis[[#This Row],[CP]]="", "", MROUND(tblPiNAnalysis[[#This Row],[CP]]/tblPiNAnalysis[[#This Row],[Total Population]], 0.05)), "")</f>
        <v/>
      </c>
      <c r="AC9" s="314" t="str">
        <f>IFERROR(IF(tblPiNAnalysis[[#This Row],[GBV]]="", "", MROUND(tblPiNAnalysis[[#This Row],[GBV]]/tblPiNAnalysis[[#This Row],[Total Population]], 0.05)), "")</f>
        <v/>
      </c>
      <c r="AD9" s="314" t="str">
        <f>IFERROR(IF(tblPiNAnalysis[[#This Row],[Mine Action]]="", "", MROUND(tblPiNAnalysis[[#This Row],[Mine Action]]/tblPiNAnalysis[[#This Row],[Total Population]], 0.05)), "")</f>
        <v/>
      </c>
      <c r="AE9" s="314" t="str">
        <f>IFERROR(IF(tblPiNAnalysis[[#This Row],[General Protection]]="", "", MROUND(tblPiNAnalysis[[#This Row],[General Protection]]/tblPiNAnalysis[[#This Row],[Total Population]], 0.05)), "")</f>
        <v/>
      </c>
      <c r="AF9" s="319">
        <f>IFERROR(LARGE(tblPiNAnalysis[[#This Row],[Site Management ]:[General Protection]], 1), "")</f>
        <v>344494</v>
      </c>
      <c r="AG9" s="320">
        <f>IF(tblPiNAnalysis[[#This Row],[Highest PiN]]="", "",tblPiNAnalysis[[#This Row],[Highest PiN]]/ tblPiNAnalysis[[#This Row],[Total Population]])</f>
        <v>0.22376467730233179</v>
      </c>
      <c r="AH9" s="320" t="str">
        <f>IFERROR(IF(tblPiNAnalysis[[#This Row],[Highest PiN]]="", "", IF(tblPiNAnalysis[[#This Row],[Highest sector(s'') PiN %]]&gt;=flag_pin_perc, "Flagged", "")), "")</f>
        <v/>
      </c>
      <c r="AI9" s="321"/>
      <c r="AJ9" s="322"/>
      <c r="AK9" s="323">
        <f>COUNTIFS(tblPiNAnalysis[[#This Row],[Highest PiN greater than 90% of total affected population]:[Manual Flag]],"Flagged")</f>
        <v>0</v>
      </c>
      <c r="AL9" s="324" t="str">
        <f>IF(tblPiNAnalysis[[#This Row],['# Flags]]&gt;0, "Flagged", "")</f>
        <v/>
      </c>
    </row>
    <row r="10" spans="1:38" ht="23.1" hidden="1" customHeight="1" x14ac:dyDescent="0.2">
      <c r="A10" s="309" t="str">
        <f>_xlfn.CONCAT(IF(tblPiNAnalysis[[#This Row],[Population Group]]="", "",tblPiNAnalysis[[#This Row],[Population Group]] ), _xlfn.IFS(tblPiNAnalysis[[#This Row],[Admin 2 P-Code]]&lt;&gt;"", tblPiNAnalysis[[#This Row],[Admin 2 P-Code]], tblPiNAnalysis[[#This Row],[Admin 1 P-Code]]&lt;&gt;"", tblPiNAnalysis[[#This Row],[Admin 1 P-Code]]))</f>
        <v>Host CommunitySD01003</v>
      </c>
      <c r="B10" s="245" t="s">
        <v>164</v>
      </c>
      <c r="C10" s="246" t="s">
        <v>118</v>
      </c>
      <c r="D10" s="247" t="s">
        <v>327</v>
      </c>
      <c r="E10" s="246" t="s">
        <v>328</v>
      </c>
      <c r="F10" s="248">
        <v>30236</v>
      </c>
      <c r="G10" s="248" t="s">
        <v>87</v>
      </c>
      <c r="H10" s="310"/>
      <c r="I10" s="311"/>
      <c r="J10" s="312"/>
      <c r="K10" s="311"/>
      <c r="L10" s="311"/>
      <c r="M10" s="312"/>
      <c r="N10" s="312">
        <f>_xlfn.XLOOKUP(CONCATENATE(tblPiNAnalysis[[#This Row],[Admin 2 P-Code]],tblPiNAnalysis[[#This Row],[Population Group]]),'Overall severity &amp; PIN Analysis'!A:A,'Overall severity &amp; PIN Analysis'!P:P,0,0)</f>
        <v>5507</v>
      </c>
      <c r="O10" s="311"/>
      <c r="P10" s="312"/>
      <c r="Q10" s="312"/>
      <c r="R10" s="312"/>
      <c r="S10" s="312"/>
      <c r="T10" s="313" t="str">
        <f>IF(tblPiNAnalysis[[#This Row],[Site Management ]]="", "", tblPiNAnalysis[[#This Row],[Site Management ]]/tblPiNAnalysis[[#This Row],[Total Population]])</f>
        <v/>
      </c>
      <c r="U10" s="314" t="str">
        <f>IF(tblPiNAnalysis[[#This Row],[Education]]="", "", tblPiNAnalysis[[#This Row],[Education]]/tblPiNAnalysis[[#This Row],[Total Population]])</f>
        <v/>
      </c>
      <c r="V10" s="314" t="str">
        <f>IF(tblPiNAnalysis[[#This Row],[Food Security and Livlihoods]]="", "", tblPiNAnalysis[[#This Row],[Food Security and Livlihoods]]/tblPiNAnalysis[[#This Row],[Total Population]])</f>
        <v/>
      </c>
      <c r="W10" s="315" t="str">
        <f>IF(tblPiNAnalysis[[#This Row],[Health ]]="", "", tblPiNAnalysis[[#This Row],[Health ]]/tblPiNAnalysis[[#This Row],[Total Population]])</f>
        <v/>
      </c>
      <c r="X10" s="314" t="str">
        <f>IF(tblPiNAnalysis[[#This Row],[Nutrition]]="", "", tblPiNAnalysis[[#This Row],[Nutrition]]/tblPiNAnalysis[[#This Row],[Total Population]])</f>
        <v/>
      </c>
      <c r="Y10" s="314" t="str">
        <f>IF(tblPiNAnalysis[[#This Row],[Protection]]="", "", tblPiNAnalysis[[#This Row],[Protection]]/tblPiNAnalysis[[#This Row],[Total Population]])</f>
        <v/>
      </c>
      <c r="Z10" s="316">
        <f>IF(tblPiNAnalysis[[#This Row],[Shelter NFI ]]="", "", tblPiNAnalysis[[#This Row],[Shelter NFI ]]/tblPiNAnalysis[[#This Row],[Total Population]])</f>
        <v>0.18213388014287604</v>
      </c>
      <c r="AA10" s="317" t="str">
        <f>IF(tblPiNAnalysis[[#This Row],[WASH]]="", "", tblPiNAnalysis[[#This Row],[WASH]]/tblPiNAnalysis[[#This Row],[Total Population]])</f>
        <v/>
      </c>
      <c r="AB10" s="318" t="str">
        <f>IFERROR(IF(tblPiNAnalysis[[#This Row],[CP]]="", "", MROUND(tblPiNAnalysis[[#This Row],[CP]]/tblPiNAnalysis[[#This Row],[Total Population]], 0.05)), "")</f>
        <v/>
      </c>
      <c r="AC10" s="314" t="str">
        <f>IFERROR(IF(tblPiNAnalysis[[#This Row],[GBV]]="", "", MROUND(tblPiNAnalysis[[#This Row],[GBV]]/tblPiNAnalysis[[#This Row],[Total Population]], 0.05)), "")</f>
        <v/>
      </c>
      <c r="AD10" s="314" t="str">
        <f>IFERROR(IF(tblPiNAnalysis[[#This Row],[Mine Action]]="", "", MROUND(tblPiNAnalysis[[#This Row],[Mine Action]]/tblPiNAnalysis[[#This Row],[Total Population]], 0.05)), "")</f>
        <v/>
      </c>
      <c r="AE10" s="314" t="str">
        <f>IFERROR(IF(tblPiNAnalysis[[#This Row],[General Protection]]="", "", MROUND(tblPiNAnalysis[[#This Row],[General Protection]]/tblPiNAnalysis[[#This Row],[Total Population]], 0.05)), "")</f>
        <v/>
      </c>
      <c r="AF10" s="319">
        <f>IFERROR(LARGE(tblPiNAnalysis[[#This Row],[Site Management ]:[General Protection]], 1), "")</f>
        <v>5507</v>
      </c>
      <c r="AG10" s="320">
        <f>IF(tblPiNAnalysis[[#This Row],[Highest PiN]]="", "",tblPiNAnalysis[[#This Row],[Highest PiN]]/ tblPiNAnalysis[[#This Row],[Total Population]])</f>
        <v>0.18213388014287604</v>
      </c>
      <c r="AH10" s="320" t="str">
        <f>IFERROR(IF(tblPiNAnalysis[[#This Row],[Highest PiN]]="", "", IF(tblPiNAnalysis[[#This Row],[Highest sector(s'') PiN %]]&gt;=flag_pin_perc, "Flagged", "")), "")</f>
        <v/>
      </c>
      <c r="AI10" s="321"/>
      <c r="AJ10" s="322"/>
      <c r="AK10" s="323">
        <f>COUNTIFS(tblPiNAnalysis[[#This Row],[Highest PiN greater than 90% of total affected population]:[Manual Flag]],"Flagged")</f>
        <v>0</v>
      </c>
      <c r="AL10" s="324" t="str">
        <f>IF(tblPiNAnalysis[[#This Row],['# Flags]]&gt;0, "Flagged", "")</f>
        <v/>
      </c>
    </row>
    <row r="11" spans="1:38" ht="23.1" hidden="1" customHeight="1" x14ac:dyDescent="0.2">
      <c r="A11" s="309" t="str">
        <f>_xlfn.CONCAT(IF(tblPiNAnalysis[[#This Row],[Population Group]]="", "",tblPiNAnalysis[[#This Row],[Population Group]] ), _xlfn.IFS(tblPiNAnalysis[[#This Row],[Admin 2 P-Code]]&lt;&gt;"", tblPiNAnalysis[[#This Row],[Admin 2 P-Code]], tblPiNAnalysis[[#This Row],[Admin 1 P-Code]]&lt;&gt;"", tblPiNAnalysis[[#This Row],[Admin 1 P-Code]]))</f>
        <v>IDPsSD01003</v>
      </c>
      <c r="B11" s="245" t="s">
        <v>164</v>
      </c>
      <c r="C11" s="246" t="s">
        <v>118</v>
      </c>
      <c r="D11" s="247" t="s">
        <v>327</v>
      </c>
      <c r="E11" s="246" t="s">
        <v>328</v>
      </c>
      <c r="F11" s="248">
        <v>33400</v>
      </c>
      <c r="G11" s="248" t="s">
        <v>88</v>
      </c>
      <c r="H11" s="310"/>
      <c r="I11" s="311"/>
      <c r="J11" s="311"/>
      <c r="K11" s="311"/>
      <c r="L11" s="311"/>
      <c r="M11" s="311"/>
      <c r="N11" s="311">
        <f>_xlfn.XLOOKUP(CONCATENATE(tblPiNAnalysis[[#This Row],[Admin 2 P-Code]],tblPiNAnalysis[[#This Row],[Population Group]]),'Overall severity &amp; PIN Analysis'!A:A,'Overall severity &amp; PIN Analysis'!P:P,0,0)</f>
        <v>6083</v>
      </c>
      <c r="O11" s="311"/>
      <c r="P11" s="311"/>
      <c r="Q11" s="311"/>
      <c r="R11" s="311"/>
      <c r="S11" s="311"/>
      <c r="T11" s="326" t="str">
        <f>IF(tblPiNAnalysis[[#This Row],[Site Management ]]="", "", tblPiNAnalysis[[#This Row],[Site Management ]]/tblPiNAnalysis[[#This Row],[Total Population]])</f>
        <v/>
      </c>
      <c r="U11" s="315" t="str">
        <f>IF(tblPiNAnalysis[[#This Row],[Education]]="", "", tblPiNAnalysis[[#This Row],[Education]]/tblPiNAnalysis[[#This Row],[Total Population]])</f>
        <v/>
      </c>
      <c r="V11" s="315" t="str">
        <f>IF(tblPiNAnalysis[[#This Row],[Food Security and Livlihoods]]="", "", tblPiNAnalysis[[#This Row],[Food Security and Livlihoods]]/tblPiNAnalysis[[#This Row],[Total Population]])</f>
        <v/>
      </c>
      <c r="W11" s="315" t="str">
        <f>IF(tblPiNAnalysis[[#This Row],[Health ]]="", "", tblPiNAnalysis[[#This Row],[Health ]]/tblPiNAnalysis[[#This Row],[Total Population]])</f>
        <v/>
      </c>
      <c r="X11" s="315" t="str">
        <f>IF(tblPiNAnalysis[[#This Row],[Nutrition]]="", "", tblPiNAnalysis[[#This Row],[Nutrition]]/tblPiNAnalysis[[#This Row],[Total Population]])</f>
        <v/>
      </c>
      <c r="Y11" s="315" t="str">
        <f>IF(tblPiNAnalysis[[#This Row],[Protection]]="", "", tblPiNAnalysis[[#This Row],[Protection]]/tblPiNAnalysis[[#This Row],[Total Population]])</f>
        <v/>
      </c>
      <c r="Z11" s="327">
        <f>IF(tblPiNAnalysis[[#This Row],[Shelter NFI ]]="", "", tblPiNAnalysis[[#This Row],[Shelter NFI ]]/tblPiNAnalysis[[#This Row],[Total Population]])</f>
        <v>0.18212574850299401</v>
      </c>
      <c r="AA11" s="328" t="str">
        <f>IF(tblPiNAnalysis[[#This Row],[WASH]]="", "", tblPiNAnalysis[[#This Row],[WASH]]/tblPiNAnalysis[[#This Row],[Total Population]])</f>
        <v/>
      </c>
      <c r="AB11" s="329" t="str">
        <f>IFERROR(IF(tblPiNAnalysis[[#This Row],[CP]]="", "", MROUND(tblPiNAnalysis[[#This Row],[CP]]/tblPiNAnalysis[[#This Row],[Total Population]], 0.05)), "")</f>
        <v/>
      </c>
      <c r="AC11" s="315" t="str">
        <f>IFERROR(IF(tblPiNAnalysis[[#This Row],[GBV]]="", "", MROUND(tblPiNAnalysis[[#This Row],[GBV]]/tblPiNAnalysis[[#This Row],[Total Population]], 0.05)), "")</f>
        <v/>
      </c>
      <c r="AD11" s="315" t="str">
        <f>IFERROR(IF(tblPiNAnalysis[[#This Row],[Mine Action]]="", "", MROUND(tblPiNAnalysis[[#This Row],[Mine Action]]/tblPiNAnalysis[[#This Row],[Total Population]], 0.05)), "")</f>
        <v/>
      </c>
      <c r="AE11" s="315" t="str">
        <f>IFERROR(IF(tblPiNAnalysis[[#This Row],[General Protection]]="", "", MROUND(tblPiNAnalysis[[#This Row],[General Protection]]/tblPiNAnalysis[[#This Row],[Total Population]], 0.05)), "")</f>
        <v/>
      </c>
      <c r="AF11" s="319">
        <f>IFERROR(LARGE(tblPiNAnalysis[[#This Row],[Site Management ]:[General Protection]], 1), "")</f>
        <v>6083</v>
      </c>
      <c r="AG11" s="330">
        <f>IF(tblPiNAnalysis[[#This Row],[Highest PiN]]="", "",tblPiNAnalysis[[#This Row],[Highest PiN]]/ tblPiNAnalysis[[#This Row],[Total Population]])</f>
        <v>0.18212574850299401</v>
      </c>
      <c r="AH11" s="330" t="str">
        <f>IFERROR(IF(tblPiNAnalysis[[#This Row],[Highest PiN]]="", "", IF(tblPiNAnalysis[[#This Row],[Highest sector(s'') PiN %]]&gt;=flag_pin_perc, "Flagged", "")), "")</f>
        <v/>
      </c>
      <c r="AI11" s="321"/>
      <c r="AJ11" s="322"/>
      <c r="AK11" s="323">
        <f>COUNTIFS(tblPiNAnalysis[[#This Row],[Highest PiN greater than 90% of total affected population]:[Manual Flag]],"Flagged")</f>
        <v>0</v>
      </c>
      <c r="AL11" s="331" t="str">
        <f>IF(tblPiNAnalysis[[#This Row],['# Flags]]&gt;0, "Flagged", "")</f>
        <v/>
      </c>
    </row>
    <row r="12" spans="1:38" ht="23.1" customHeight="1" x14ac:dyDescent="0.2">
      <c r="A12" s="309" t="str">
        <f>_xlfn.CONCAT(IF(tblPiNAnalysis[[#This Row],[Population Group]]="", "",tblPiNAnalysis[[#This Row],[Population Group]] ), _xlfn.IFS(tblPiNAnalysis[[#This Row],[Admin 2 P-Code]]&lt;&gt;"", tblPiNAnalysis[[#This Row],[Admin 2 P-Code]], tblPiNAnalysis[[#This Row],[Admin 1 P-Code]]&lt;&gt;"", tblPiNAnalysis[[#This Row],[Admin 1 P-Code]]))</f>
        <v>Non-hosting PopulationSD01003</v>
      </c>
      <c r="B12" s="245" t="s">
        <v>164</v>
      </c>
      <c r="C12" s="246" t="s">
        <v>118</v>
      </c>
      <c r="D12" s="247" t="s">
        <v>327</v>
      </c>
      <c r="E12" s="246" t="s">
        <v>328</v>
      </c>
      <c r="F12" s="248">
        <v>397537</v>
      </c>
      <c r="G12" s="248" t="s">
        <v>568</v>
      </c>
      <c r="H12" s="310"/>
      <c r="I12" s="311"/>
      <c r="J12" s="312"/>
      <c r="K12" s="311"/>
      <c r="L12" s="311"/>
      <c r="M12" s="312"/>
      <c r="N12" s="312">
        <f>_xlfn.XLOOKUP(CONCATENATE(tblPiNAnalysis[[#This Row],[Admin 2 P-Code]],tblPiNAnalysis[[#This Row],[Population Group]]),'Overall severity &amp; PIN Analysis'!A:A,'Overall severity &amp; PIN Analysis'!P:P,0,0)</f>
        <v>72403</v>
      </c>
      <c r="O12" s="311"/>
      <c r="P12" s="312"/>
      <c r="Q12" s="312"/>
      <c r="R12" s="312"/>
      <c r="S12" s="312"/>
      <c r="T12" s="313" t="str">
        <f>IF(tblPiNAnalysis[[#This Row],[Site Management ]]="", "", tblPiNAnalysis[[#This Row],[Site Management ]]/tblPiNAnalysis[[#This Row],[Total Population]])</f>
        <v/>
      </c>
      <c r="U12" s="314" t="str">
        <f>IF(tblPiNAnalysis[[#This Row],[Education]]="", "", tblPiNAnalysis[[#This Row],[Education]]/tblPiNAnalysis[[#This Row],[Total Population]])</f>
        <v/>
      </c>
      <c r="V12" s="314" t="str">
        <f>IF(tblPiNAnalysis[[#This Row],[Food Security and Livlihoods]]="", "", tblPiNAnalysis[[#This Row],[Food Security and Livlihoods]]/tblPiNAnalysis[[#This Row],[Total Population]])</f>
        <v/>
      </c>
      <c r="W12" s="315" t="str">
        <f>IF(tblPiNAnalysis[[#This Row],[Health ]]="", "", tblPiNAnalysis[[#This Row],[Health ]]/tblPiNAnalysis[[#This Row],[Total Population]])</f>
        <v/>
      </c>
      <c r="X12" s="314" t="str">
        <f>IF(tblPiNAnalysis[[#This Row],[Nutrition]]="", "", tblPiNAnalysis[[#This Row],[Nutrition]]/tblPiNAnalysis[[#This Row],[Total Population]])</f>
        <v/>
      </c>
      <c r="Y12" s="314" t="str">
        <f>IF(tblPiNAnalysis[[#This Row],[Protection]]="", "", tblPiNAnalysis[[#This Row],[Protection]]/tblPiNAnalysis[[#This Row],[Total Population]])</f>
        <v/>
      </c>
      <c r="Z12" s="316">
        <f>IF(tblPiNAnalysis[[#This Row],[Shelter NFI ]]="", "", tblPiNAnalysis[[#This Row],[Shelter NFI ]]/tblPiNAnalysis[[#This Row],[Total Population]])</f>
        <v>0.18212895906544549</v>
      </c>
      <c r="AA12" s="317" t="str">
        <f>IF(tblPiNAnalysis[[#This Row],[WASH]]="", "", tblPiNAnalysis[[#This Row],[WASH]]/tblPiNAnalysis[[#This Row],[Total Population]])</f>
        <v/>
      </c>
      <c r="AB12" s="318" t="str">
        <f>IFERROR(IF(tblPiNAnalysis[[#This Row],[CP]]="", "", MROUND(tblPiNAnalysis[[#This Row],[CP]]/tblPiNAnalysis[[#This Row],[Total Population]], 0.05)), "")</f>
        <v/>
      </c>
      <c r="AC12" s="314" t="str">
        <f>IFERROR(IF(tblPiNAnalysis[[#This Row],[GBV]]="", "", MROUND(tblPiNAnalysis[[#This Row],[GBV]]/tblPiNAnalysis[[#This Row],[Total Population]], 0.05)), "")</f>
        <v/>
      </c>
      <c r="AD12" s="314" t="str">
        <f>IFERROR(IF(tblPiNAnalysis[[#This Row],[Mine Action]]="", "", MROUND(tblPiNAnalysis[[#This Row],[Mine Action]]/tblPiNAnalysis[[#This Row],[Total Population]], 0.05)), "")</f>
        <v/>
      </c>
      <c r="AE12" s="314" t="str">
        <f>IFERROR(IF(tblPiNAnalysis[[#This Row],[General Protection]]="", "", MROUND(tblPiNAnalysis[[#This Row],[General Protection]]/tblPiNAnalysis[[#This Row],[Total Population]], 0.05)), "")</f>
        <v/>
      </c>
      <c r="AF12" s="319">
        <f>IFERROR(LARGE(tblPiNAnalysis[[#This Row],[Site Management ]:[General Protection]], 1), "")</f>
        <v>72403</v>
      </c>
      <c r="AG12" s="320">
        <f>IF(tblPiNAnalysis[[#This Row],[Highest PiN]]="", "",tblPiNAnalysis[[#This Row],[Highest PiN]]/ tblPiNAnalysis[[#This Row],[Total Population]])</f>
        <v>0.18212895906544549</v>
      </c>
      <c r="AH12" s="320" t="str">
        <f>IFERROR(IF(tblPiNAnalysis[[#This Row],[Highest PiN]]="", "", IF(tblPiNAnalysis[[#This Row],[Highest sector(s'') PiN %]]&gt;=flag_pin_perc, "Flagged", "")), "")</f>
        <v/>
      </c>
      <c r="AI12" s="321"/>
      <c r="AJ12" s="322"/>
      <c r="AK12" s="323">
        <f>COUNTIFS(tblPiNAnalysis[[#This Row],[Highest PiN greater than 90% of total affected population]:[Manual Flag]],"Flagged")</f>
        <v>0</v>
      </c>
      <c r="AL12" s="324" t="str">
        <f>IF(tblPiNAnalysis[[#This Row],['# Flags]]&gt;0, "Flagged", "")</f>
        <v/>
      </c>
    </row>
    <row r="13" spans="1:38" ht="23.1" hidden="1" customHeight="1" x14ac:dyDescent="0.2">
      <c r="A13" s="309" t="str">
        <f>_xlfn.CONCAT(IF(tblPiNAnalysis[[#This Row],[Population Group]]="", "",tblPiNAnalysis[[#This Row],[Population Group]] ), _xlfn.IFS(tblPiNAnalysis[[#This Row],[Admin 2 P-Code]]&lt;&gt;"", tblPiNAnalysis[[#This Row],[Admin 2 P-Code]], tblPiNAnalysis[[#This Row],[Admin 1 P-Code]]&lt;&gt;"", tblPiNAnalysis[[#This Row],[Admin 1 P-Code]]))</f>
        <v>Host CommunitySD01004</v>
      </c>
      <c r="B13" s="245" t="s">
        <v>164</v>
      </c>
      <c r="C13" s="246" t="s">
        <v>118</v>
      </c>
      <c r="D13" s="247" t="s">
        <v>329</v>
      </c>
      <c r="E13" s="246" t="s">
        <v>330</v>
      </c>
      <c r="F13" s="248">
        <v>29719</v>
      </c>
      <c r="G13" s="248" t="s">
        <v>87</v>
      </c>
      <c r="H13" s="310"/>
      <c r="I13" s="311"/>
      <c r="J13" s="312"/>
      <c r="K13" s="311"/>
      <c r="L13" s="311"/>
      <c r="M13" s="312"/>
      <c r="N13" s="312">
        <f>_xlfn.XLOOKUP(CONCATENATE(tblPiNAnalysis[[#This Row],[Admin 2 P-Code]],tblPiNAnalysis[[#This Row],[Population Group]]),'Overall severity &amp; PIN Analysis'!A:A,'Overall severity &amp; PIN Analysis'!P:P,0,0)</f>
        <v>5413</v>
      </c>
      <c r="O13" s="311"/>
      <c r="P13" s="312"/>
      <c r="Q13" s="312"/>
      <c r="R13" s="312"/>
      <c r="S13" s="312"/>
      <c r="T13" s="313" t="str">
        <f>IF(tblPiNAnalysis[[#This Row],[Site Management ]]="", "", tblPiNAnalysis[[#This Row],[Site Management ]]/tblPiNAnalysis[[#This Row],[Total Population]])</f>
        <v/>
      </c>
      <c r="U13" s="314" t="str">
        <f>IF(tblPiNAnalysis[[#This Row],[Education]]="", "", tblPiNAnalysis[[#This Row],[Education]]/tblPiNAnalysis[[#This Row],[Total Population]])</f>
        <v/>
      </c>
      <c r="V13" s="314" t="str">
        <f>IF(tblPiNAnalysis[[#This Row],[Food Security and Livlihoods]]="", "", tblPiNAnalysis[[#This Row],[Food Security and Livlihoods]]/tblPiNAnalysis[[#This Row],[Total Population]])</f>
        <v/>
      </c>
      <c r="W13" s="315" t="str">
        <f>IF(tblPiNAnalysis[[#This Row],[Health ]]="", "", tblPiNAnalysis[[#This Row],[Health ]]/tblPiNAnalysis[[#This Row],[Total Population]])</f>
        <v/>
      </c>
      <c r="X13" s="314" t="str">
        <f>IF(tblPiNAnalysis[[#This Row],[Nutrition]]="", "", tblPiNAnalysis[[#This Row],[Nutrition]]/tblPiNAnalysis[[#This Row],[Total Population]])</f>
        <v/>
      </c>
      <c r="Y13" s="314" t="str">
        <f>IF(tblPiNAnalysis[[#This Row],[Protection]]="", "", tblPiNAnalysis[[#This Row],[Protection]]/tblPiNAnalysis[[#This Row],[Total Population]])</f>
        <v/>
      </c>
      <c r="Z13" s="316">
        <f>IF(tblPiNAnalysis[[#This Row],[Shelter NFI ]]="", "", tblPiNAnalysis[[#This Row],[Shelter NFI ]]/tblPiNAnalysis[[#This Row],[Total Population]])</f>
        <v>0.18213937211884654</v>
      </c>
      <c r="AA13" s="317" t="str">
        <f>IF(tblPiNAnalysis[[#This Row],[WASH]]="", "", tblPiNAnalysis[[#This Row],[WASH]]/tblPiNAnalysis[[#This Row],[Total Population]])</f>
        <v/>
      </c>
      <c r="AB13" s="318" t="str">
        <f>IFERROR(IF(tblPiNAnalysis[[#This Row],[CP]]="", "", MROUND(tblPiNAnalysis[[#This Row],[CP]]/tblPiNAnalysis[[#This Row],[Total Population]], 0.05)), "")</f>
        <v/>
      </c>
      <c r="AC13" s="314" t="str">
        <f>IFERROR(IF(tblPiNAnalysis[[#This Row],[GBV]]="", "", MROUND(tblPiNAnalysis[[#This Row],[GBV]]/tblPiNAnalysis[[#This Row],[Total Population]], 0.05)), "")</f>
        <v/>
      </c>
      <c r="AD13" s="314" t="str">
        <f>IFERROR(IF(tblPiNAnalysis[[#This Row],[Mine Action]]="", "", MROUND(tblPiNAnalysis[[#This Row],[Mine Action]]/tblPiNAnalysis[[#This Row],[Total Population]], 0.05)), "")</f>
        <v/>
      </c>
      <c r="AE13" s="314" t="str">
        <f>IFERROR(IF(tblPiNAnalysis[[#This Row],[General Protection]]="", "", MROUND(tblPiNAnalysis[[#This Row],[General Protection]]/tblPiNAnalysis[[#This Row],[Total Population]], 0.05)), "")</f>
        <v/>
      </c>
      <c r="AF13" s="319">
        <f>IFERROR(LARGE(tblPiNAnalysis[[#This Row],[Site Management ]:[General Protection]], 1), "")</f>
        <v>5413</v>
      </c>
      <c r="AG13" s="320">
        <f>IF(tblPiNAnalysis[[#This Row],[Highest PiN]]="", "",tblPiNAnalysis[[#This Row],[Highest PiN]]/ tblPiNAnalysis[[#This Row],[Total Population]])</f>
        <v>0.18213937211884654</v>
      </c>
      <c r="AH13" s="320" t="str">
        <f>IFERROR(IF(tblPiNAnalysis[[#This Row],[Highest PiN]]="", "", IF(tblPiNAnalysis[[#This Row],[Highest sector(s'') PiN %]]&gt;=flag_pin_perc, "Flagged", "")), "")</f>
        <v/>
      </c>
      <c r="AI13" s="321"/>
      <c r="AJ13" s="322"/>
      <c r="AK13" s="323">
        <f>COUNTIFS(tblPiNAnalysis[[#This Row],[Highest PiN greater than 90% of total affected population]:[Manual Flag]],"Flagged")</f>
        <v>0</v>
      </c>
      <c r="AL13" s="324" t="str">
        <f>IF(tblPiNAnalysis[[#This Row],['# Flags]]&gt;0, "Flagged", "")</f>
        <v/>
      </c>
    </row>
    <row r="14" spans="1:38" ht="23.1" hidden="1" customHeight="1" x14ac:dyDescent="0.2">
      <c r="A14" s="309" t="str">
        <f>_xlfn.CONCAT(IF(tblPiNAnalysis[[#This Row],[Population Group]]="", "",tblPiNAnalysis[[#This Row],[Population Group]] ), _xlfn.IFS(tblPiNAnalysis[[#This Row],[Admin 2 P-Code]]&lt;&gt;"", tblPiNAnalysis[[#This Row],[Admin 2 P-Code]], tblPiNAnalysis[[#This Row],[Admin 1 P-Code]]&lt;&gt;"", tblPiNAnalysis[[#This Row],[Admin 1 P-Code]]))</f>
        <v>IDPsSD01004</v>
      </c>
      <c r="B14" s="245" t="s">
        <v>164</v>
      </c>
      <c r="C14" s="246" t="s">
        <v>118</v>
      </c>
      <c r="D14" s="247" t="s">
        <v>329</v>
      </c>
      <c r="E14" s="246" t="s">
        <v>330</v>
      </c>
      <c r="F14" s="248">
        <v>25215</v>
      </c>
      <c r="G14" s="248" t="s">
        <v>88</v>
      </c>
      <c r="H14" s="310"/>
      <c r="I14" s="311"/>
      <c r="J14" s="311"/>
      <c r="K14" s="311"/>
      <c r="L14" s="311"/>
      <c r="M14" s="311"/>
      <c r="N14" s="311">
        <f>_xlfn.XLOOKUP(CONCATENATE(tblPiNAnalysis[[#This Row],[Admin 2 P-Code]],tblPiNAnalysis[[#This Row],[Population Group]]),'Overall severity &amp; PIN Analysis'!A:A,'Overall severity &amp; PIN Analysis'!P:P,0,0)</f>
        <v>4592</v>
      </c>
      <c r="O14" s="311"/>
      <c r="P14" s="311"/>
      <c r="Q14" s="311"/>
      <c r="R14" s="311"/>
      <c r="S14" s="311"/>
      <c r="T14" s="326" t="str">
        <f>IF(tblPiNAnalysis[[#This Row],[Site Management ]]="", "", tblPiNAnalysis[[#This Row],[Site Management ]]/tblPiNAnalysis[[#This Row],[Total Population]])</f>
        <v/>
      </c>
      <c r="U14" s="315" t="str">
        <f>IF(tblPiNAnalysis[[#This Row],[Education]]="", "", tblPiNAnalysis[[#This Row],[Education]]/tblPiNAnalysis[[#This Row],[Total Population]])</f>
        <v/>
      </c>
      <c r="V14" s="315" t="str">
        <f>IF(tblPiNAnalysis[[#This Row],[Food Security and Livlihoods]]="", "", tblPiNAnalysis[[#This Row],[Food Security and Livlihoods]]/tblPiNAnalysis[[#This Row],[Total Population]])</f>
        <v/>
      </c>
      <c r="W14" s="315" t="str">
        <f>IF(tblPiNAnalysis[[#This Row],[Health ]]="", "", tblPiNAnalysis[[#This Row],[Health ]]/tblPiNAnalysis[[#This Row],[Total Population]])</f>
        <v/>
      </c>
      <c r="X14" s="315" t="str">
        <f>IF(tblPiNAnalysis[[#This Row],[Nutrition]]="", "", tblPiNAnalysis[[#This Row],[Nutrition]]/tblPiNAnalysis[[#This Row],[Total Population]])</f>
        <v/>
      </c>
      <c r="Y14" s="315" t="str">
        <f>IF(tblPiNAnalysis[[#This Row],[Protection]]="", "", tblPiNAnalysis[[#This Row],[Protection]]/tblPiNAnalysis[[#This Row],[Total Population]])</f>
        <v/>
      </c>
      <c r="Z14" s="327">
        <f>IF(tblPiNAnalysis[[#This Row],[Shelter NFI ]]="", "", tblPiNAnalysis[[#This Row],[Shelter NFI ]]/tblPiNAnalysis[[#This Row],[Total Population]])</f>
        <v>0.1821138211382114</v>
      </c>
      <c r="AA14" s="328" t="str">
        <f>IF(tblPiNAnalysis[[#This Row],[WASH]]="", "", tblPiNAnalysis[[#This Row],[WASH]]/tblPiNAnalysis[[#This Row],[Total Population]])</f>
        <v/>
      </c>
      <c r="AB14" s="329" t="str">
        <f>IFERROR(IF(tblPiNAnalysis[[#This Row],[CP]]="", "", MROUND(tblPiNAnalysis[[#This Row],[CP]]/tblPiNAnalysis[[#This Row],[Total Population]], 0.05)), "")</f>
        <v/>
      </c>
      <c r="AC14" s="315" t="str">
        <f>IFERROR(IF(tblPiNAnalysis[[#This Row],[GBV]]="", "", MROUND(tblPiNAnalysis[[#This Row],[GBV]]/tblPiNAnalysis[[#This Row],[Total Population]], 0.05)), "")</f>
        <v/>
      </c>
      <c r="AD14" s="315" t="str">
        <f>IFERROR(IF(tblPiNAnalysis[[#This Row],[Mine Action]]="", "", MROUND(tblPiNAnalysis[[#This Row],[Mine Action]]/tblPiNAnalysis[[#This Row],[Total Population]], 0.05)), "")</f>
        <v/>
      </c>
      <c r="AE14" s="315" t="str">
        <f>IFERROR(IF(tblPiNAnalysis[[#This Row],[General Protection]]="", "", MROUND(tblPiNAnalysis[[#This Row],[General Protection]]/tblPiNAnalysis[[#This Row],[Total Population]], 0.05)), "")</f>
        <v/>
      </c>
      <c r="AF14" s="319">
        <f>IFERROR(LARGE(tblPiNAnalysis[[#This Row],[Site Management ]:[General Protection]], 1), "")</f>
        <v>4592</v>
      </c>
      <c r="AG14" s="330">
        <f>IF(tblPiNAnalysis[[#This Row],[Highest PiN]]="", "",tblPiNAnalysis[[#This Row],[Highest PiN]]/ tblPiNAnalysis[[#This Row],[Total Population]])</f>
        <v>0.1821138211382114</v>
      </c>
      <c r="AH14" s="330" t="str">
        <f>IFERROR(IF(tblPiNAnalysis[[#This Row],[Highest PiN]]="", "", IF(tblPiNAnalysis[[#This Row],[Highest sector(s'') PiN %]]&gt;=flag_pin_perc, "Flagged", "")), "")</f>
        <v/>
      </c>
      <c r="AI14" s="321"/>
      <c r="AJ14" s="322"/>
      <c r="AK14" s="323">
        <f>COUNTIFS(tblPiNAnalysis[[#This Row],[Highest PiN greater than 90% of total affected population]:[Manual Flag]],"Flagged")</f>
        <v>0</v>
      </c>
      <c r="AL14" s="331" t="str">
        <f>IF(tblPiNAnalysis[[#This Row],['# Flags]]&gt;0, "Flagged", "")</f>
        <v/>
      </c>
    </row>
    <row r="15" spans="1:38" ht="23.1" customHeight="1" x14ac:dyDescent="0.2">
      <c r="A15" s="309" t="str">
        <f>_xlfn.CONCAT(IF(tblPiNAnalysis[[#This Row],[Population Group]]="", "",tblPiNAnalysis[[#This Row],[Population Group]] ), _xlfn.IFS(tblPiNAnalysis[[#This Row],[Admin 2 P-Code]]&lt;&gt;"", tblPiNAnalysis[[#This Row],[Admin 2 P-Code]], tblPiNAnalysis[[#This Row],[Admin 1 P-Code]]&lt;&gt;"", tblPiNAnalysis[[#This Row],[Admin 1 P-Code]]))</f>
        <v>Non-hosting PopulationSD01004</v>
      </c>
      <c r="B15" s="245" t="s">
        <v>164</v>
      </c>
      <c r="C15" s="246" t="s">
        <v>118</v>
      </c>
      <c r="D15" s="247" t="s">
        <v>329</v>
      </c>
      <c r="E15" s="246" t="s">
        <v>330</v>
      </c>
      <c r="F15" s="248">
        <v>936418</v>
      </c>
      <c r="G15" s="248" t="s">
        <v>568</v>
      </c>
      <c r="H15" s="310"/>
      <c r="I15" s="311"/>
      <c r="J15" s="312"/>
      <c r="K15" s="311"/>
      <c r="L15" s="311"/>
      <c r="M15" s="312"/>
      <c r="N15" s="312">
        <f>_xlfn.XLOOKUP(CONCATENATE(tblPiNAnalysis[[#This Row],[Admin 2 P-Code]],tblPiNAnalysis[[#This Row],[Population Group]]),'Overall severity &amp; PIN Analysis'!A:A,'Overall severity &amp; PIN Analysis'!P:P,0,0)</f>
        <v>170550</v>
      </c>
      <c r="O15" s="311"/>
      <c r="P15" s="312"/>
      <c r="Q15" s="312"/>
      <c r="R15" s="312"/>
      <c r="S15" s="312"/>
      <c r="T15" s="313" t="str">
        <f>IF(tblPiNAnalysis[[#This Row],[Site Management ]]="", "", tblPiNAnalysis[[#This Row],[Site Management ]]/tblPiNAnalysis[[#This Row],[Total Population]])</f>
        <v/>
      </c>
      <c r="U15" s="314" t="str">
        <f>IF(tblPiNAnalysis[[#This Row],[Education]]="", "", tblPiNAnalysis[[#This Row],[Education]]/tblPiNAnalysis[[#This Row],[Total Population]])</f>
        <v/>
      </c>
      <c r="V15" s="314" t="str">
        <f>IF(tblPiNAnalysis[[#This Row],[Food Security and Livlihoods]]="", "", tblPiNAnalysis[[#This Row],[Food Security and Livlihoods]]/tblPiNAnalysis[[#This Row],[Total Population]])</f>
        <v/>
      </c>
      <c r="W15" s="315" t="str">
        <f>IF(tblPiNAnalysis[[#This Row],[Health ]]="", "", tblPiNAnalysis[[#This Row],[Health ]]/tblPiNAnalysis[[#This Row],[Total Population]])</f>
        <v/>
      </c>
      <c r="X15" s="314" t="str">
        <f>IF(tblPiNAnalysis[[#This Row],[Nutrition]]="", "", tblPiNAnalysis[[#This Row],[Nutrition]]/tblPiNAnalysis[[#This Row],[Total Population]])</f>
        <v/>
      </c>
      <c r="Y15" s="314" t="str">
        <f>IF(tblPiNAnalysis[[#This Row],[Protection]]="", "", tblPiNAnalysis[[#This Row],[Protection]]/tblPiNAnalysis[[#This Row],[Total Population]])</f>
        <v/>
      </c>
      <c r="Z15" s="316">
        <f>IF(tblPiNAnalysis[[#This Row],[Shelter NFI ]]="", "", tblPiNAnalysis[[#This Row],[Shelter NFI ]]/tblPiNAnalysis[[#This Row],[Total Population]])</f>
        <v>0.18213020253775558</v>
      </c>
      <c r="AA15" s="317" t="str">
        <f>IF(tblPiNAnalysis[[#This Row],[WASH]]="", "", tblPiNAnalysis[[#This Row],[WASH]]/tblPiNAnalysis[[#This Row],[Total Population]])</f>
        <v/>
      </c>
      <c r="AB15" s="318" t="str">
        <f>IFERROR(IF(tblPiNAnalysis[[#This Row],[CP]]="", "", MROUND(tblPiNAnalysis[[#This Row],[CP]]/tblPiNAnalysis[[#This Row],[Total Population]], 0.05)), "")</f>
        <v/>
      </c>
      <c r="AC15" s="314" t="str">
        <f>IFERROR(IF(tblPiNAnalysis[[#This Row],[GBV]]="", "", MROUND(tblPiNAnalysis[[#This Row],[GBV]]/tblPiNAnalysis[[#This Row],[Total Population]], 0.05)), "")</f>
        <v/>
      </c>
      <c r="AD15" s="314" t="str">
        <f>IFERROR(IF(tblPiNAnalysis[[#This Row],[Mine Action]]="", "", MROUND(tblPiNAnalysis[[#This Row],[Mine Action]]/tblPiNAnalysis[[#This Row],[Total Population]], 0.05)), "")</f>
        <v/>
      </c>
      <c r="AE15" s="314" t="str">
        <f>IFERROR(IF(tblPiNAnalysis[[#This Row],[General Protection]]="", "", MROUND(tblPiNAnalysis[[#This Row],[General Protection]]/tblPiNAnalysis[[#This Row],[Total Population]], 0.05)), "")</f>
        <v/>
      </c>
      <c r="AF15" s="319">
        <f>IFERROR(LARGE(tblPiNAnalysis[[#This Row],[Site Management ]:[General Protection]], 1), "")</f>
        <v>170550</v>
      </c>
      <c r="AG15" s="320">
        <f>IF(tblPiNAnalysis[[#This Row],[Highest PiN]]="", "",tblPiNAnalysis[[#This Row],[Highest PiN]]/ tblPiNAnalysis[[#This Row],[Total Population]])</f>
        <v>0.18213020253775558</v>
      </c>
      <c r="AH15" s="320" t="str">
        <f>IFERROR(IF(tblPiNAnalysis[[#This Row],[Highest PiN]]="", "", IF(tblPiNAnalysis[[#This Row],[Highest sector(s'') PiN %]]&gt;=flag_pin_perc, "Flagged", "")), "")</f>
        <v/>
      </c>
      <c r="AI15" s="321"/>
      <c r="AJ15" s="322"/>
      <c r="AK15" s="323">
        <f>COUNTIFS(tblPiNAnalysis[[#This Row],[Highest PiN greater than 90% of total affected population]:[Manual Flag]],"Flagged")</f>
        <v>0</v>
      </c>
      <c r="AL15" s="324" t="str">
        <f>IF(tblPiNAnalysis[[#This Row],['# Flags]]&gt;0, "Flagged", "")</f>
        <v/>
      </c>
    </row>
    <row r="16" spans="1:38" ht="23.1" hidden="1" customHeight="1" x14ac:dyDescent="0.2">
      <c r="A16" s="309" t="str">
        <f>_xlfn.CONCAT(IF(tblPiNAnalysis[[#This Row],[Population Group]]="", "",tblPiNAnalysis[[#This Row],[Population Group]] ), _xlfn.IFS(tblPiNAnalysis[[#This Row],[Admin 2 P-Code]]&lt;&gt;"", tblPiNAnalysis[[#This Row],[Admin 2 P-Code]], tblPiNAnalysis[[#This Row],[Admin 1 P-Code]]&lt;&gt;"", tblPiNAnalysis[[#This Row],[Admin 1 P-Code]]))</f>
        <v>Host CommunitySD01005</v>
      </c>
      <c r="B16" s="245" t="s">
        <v>164</v>
      </c>
      <c r="C16" s="246" t="s">
        <v>118</v>
      </c>
      <c r="D16" s="247" t="s">
        <v>331</v>
      </c>
      <c r="E16" s="246" t="s">
        <v>332</v>
      </c>
      <c r="F16" s="248">
        <v>32287</v>
      </c>
      <c r="G16" s="248" t="s">
        <v>87</v>
      </c>
      <c r="H16" s="310"/>
      <c r="I16" s="311"/>
      <c r="J16" s="312"/>
      <c r="K16" s="311"/>
      <c r="L16" s="311"/>
      <c r="M16" s="312"/>
      <c r="N16" s="312">
        <f>_xlfn.XLOOKUP(CONCATENATE(tblPiNAnalysis[[#This Row],[Admin 2 P-Code]],tblPiNAnalysis[[#This Row],[Population Group]]),'Overall severity &amp; PIN Analysis'!A:A,'Overall severity &amp; PIN Analysis'!P:P,0,0)</f>
        <v>2940</v>
      </c>
      <c r="O16" s="311"/>
      <c r="P16" s="312"/>
      <c r="Q16" s="312"/>
      <c r="R16" s="312"/>
      <c r="S16" s="312"/>
      <c r="T16" s="313" t="str">
        <f>IF(tblPiNAnalysis[[#This Row],[Site Management ]]="", "", tblPiNAnalysis[[#This Row],[Site Management ]]/tblPiNAnalysis[[#This Row],[Total Population]])</f>
        <v/>
      </c>
      <c r="U16" s="314" t="str">
        <f>IF(tblPiNAnalysis[[#This Row],[Education]]="", "", tblPiNAnalysis[[#This Row],[Education]]/tblPiNAnalysis[[#This Row],[Total Population]])</f>
        <v/>
      </c>
      <c r="V16" s="314" t="str">
        <f>IF(tblPiNAnalysis[[#This Row],[Food Security and Livlihoods]]="", "", tblPiNAnalysis[[#This Row],[Food Security and Livlihoods]]/tblPiNAnalysis[[#This Row],[Total Population]])</f>
        <v/>
      </c>
      <c r="W16" s="315" t="str">
        <f>IF(tblPiNAnalysis[[#This Row],[Health ]]="", "", tblPiNAnalysis[[#This Row],[Health ]]/tblPiNAnalysis[[#This Row],[Total Population]])</f>
        <v/>
      </c>
      <c r="X16" s="314" t="str">
        <f>IF(tblPiNAnalysis[[#This Row],[Nutrition]]="", "", tblPiNAnalysis[[#This Row],[Nutrition]]/tblPiNAnalysis[[#This Row],[Total Population]])</f>
        <v/>
      </c>
      <c r="Y16" s="314" t="str">
        <f>IF(tblPiNAnalysis[[#This Row],[Protection]]="", "", tblPiNAnalysis[[#This Row],[Protection]]/tblPiNAnalysis[[#This Row],[Total Population]])</f>
        <v/>
      </c>
      <c r="Z16" s="316">
        <f>IF(tblPiNAnalysis[[#This Row],[Shelter NFI ]]="", "", tblPiNAnalysis[[#This Row],[Shelter NFI ]]/tblPiNAnalysis[[#This Row],[Total Population]])</f>
        <v>9.1058320686344354E-2</v>
      </c>
      <c r="AA16" s="317" t="str">
        <f>IF(tblPiNAnalysis[[#This Row],[WASH]]="", "", tblPiNAnalysis[[#This Row],[WASH]]/tblPiNAnalysis[[#This Row],[Total Population]])</f>
        <v/>
      </c>
      <c r="AB16" s="318" t="str">
        <f>IFERROR(IF(tblPiNAnalysis[[#This Row],[CP]]="", "", MROUND(tblPiNAnalysis[[#This Row],[CP]]/tblPiNAnalysis[[#This Row],[Total Population]], 0.05)), "")</f>
        <v/>
      </c>
      <c r="AC16" s="314" t="str">
        <f>IFERROR(IF(tblPiNAnalysis[[#This Row],[GBV]]="", "", MROUND(tblPiNAnalysis[[#This Row],[GBV]]/tblPiNAnalysis[[#This Row],[Total Population]], 0.05)), "")</f>
        <v/>
      </c>
      <c r="AD16" s="314" t="str">
        <f>IFERROR(IF(tblPiNAnalysis[[#This Row],[Mine Action]]="", "", MROUND(tblPiNAnalysis[[#This Row],[Mine Action]]/tblPiNAnalysis[[#This Row],[Total Population]], 0.05)), "")</f>
        <v/>
      </c>
      <c r="AE16" s="314" t="str">
        <f>IFERROR(IF(tblPiNAnalysis[[#This Row],[General Protection]]="", "", MROUND(tblPiNAnalysis[[#This Row],[General Protection]]/tblPiNAnalysis[[#This Row],[Total Population]], 0.05)), "")</f>
        <v/>
      </c>
      <c r="AF16" s="319">
        <f>IFERROR(LARGE(tblPiNAnalysis[[#This Row],[Site Management ]:[General Protection]], 1), "")</f>
        <v>2940</v>
      </c>
      <c r="AG16" s="320">
        <f>IF(tblPiNAnalysis[[#This Row],[Highest PiN]]="", "",tblPiNAnalysis[[#This Row],[Highest PiN]]/ tblPiNAnalysis[[#This Row],[Total Population]])</f>
        <v>9.1058320686344354E-2</v>
      </c>
      <c r="AH16" s="320" t="str">
        <f>IFERROR(IF(tblPiNAnalysis[[#This Row],[Highest PiN]]="", "", IF(tblPiNAnalysis[[#This Row],[Highest sector(s'') PiN %]]&gt;=flag_pin_perc, "Flagged", "")), "")</f>
        <v/>
      </c>
      <c r="AI16" s="321"/>
      <c r="AJ16" s="322"/>
      <c r="AK16" s="323">
        <f>COUNTIFS(tblPiNAnalysis[[#This Row],[Highest PiN greater than 90% of total affected population]:[Manual Flag]],"Flagged")</f>
        <v>0</v>
      </c>
      <c r="AL16" s="324" t="str">
        <f>IF(tblPiNAnalysis[[#This Row],['# Flags]]&gt;0, "Flagged", "")</f>
        <v/>
      </c>
    </row>
    <row r="17" spans="1:38" ht="23.1" hidden="1" customHeight="1" x14ac:dyDescent="0.2">
      <c r="A17" s="309" t="str">
        <f>_xlfn.CONCAT(IF(tblPiNAnalysis[[#This Row],[Population Group]]="", "",tblPiNAnalysis[[#This Row],[Population Group]] ), _xlfn.IFS(tblPiNAnalysis[[#This Row],[Admin 2 P-Code]]&lt;&gt;"", tblPiNAnalysis[[#This Row],[Admin 2 P-Code]], tblPiNAnalysis[[#This Row],[Admin 1 P-Code]]&lt;&gt;"", tblPiNAnalysis[[#This Row],[Admin 1 P-Code]]))</f>
        <v>IDPsSD01005</v>
      </c>
      <c r="B17" s="245" t="s">
        <v>164</v>
      </c>
      <c r="C17" s="246" t="s">
        <v>118</v>
      </c>
      <c r="D17" s="247" t="s">
        <v>331</v>
      </c>
      <c r="E17" s="246" t="s">
        <v>332</v>
      </c>
      <c r="F17" s="248">
        <v>18823</v>
      </c>
      <c r="G17" s="248" t="s">
        <v>88</v>
      </c>
      <c r="H17" s="310"/>
      <c r="I17" s="311"/>
      <c r="J17" s="311"/>
      <c r="K17" s="311"/>
      <c r="L17" s="311"/>
      <c r="M17" s="311"/>
      <c r="N17" s="311">
        <f>_xlfn.XLOOKUP(CONCATENATE(tblPiNAnalysis[[#This Row],[Admin 2 P-Code]],tblPiNAnalysis[[#This Row],[Population Group]]),'Overall severity &amp; PIN Analysis'!A:A,'Overall severity &amp; PIN Analysis'!P:P,0,0)</f>
        <v>1714</v>
      </c>
      <c r="O17" s="311"/>
      <c r="P17" s="311"/>
      <c r="Q17" s="311"/>
      <c r="R17" s="311"/>
      <c r="S17" s="311"/>
      <c r="T17" s="326" t="str">
        <f>IF(tblPiNAnalysis[[#This Row],[Site Management ]]="", "", tblPiNAnalysis[[#This Row],[Site Management ]]/tblPiNAnalysis[[#This Row],[Total Population]])</f>
        <v/>
      </c>
      <c r="U17" s="315" t="str">
        <f>IF(tblPiNAnalysis[[#This Row],[Education]]="", "", tblPiNAnalysis[[#This Row],[Education]]/tblPiNAnalysis[[#This Row],[Total Population]])</f>
        <v/>
      </c>
      <c r="V17" s="315" t="str">
        <f>IF(tblPiNAnalysis[[#This Row],[Food Security and Livlihoods]]="", "", tblPiNAnalysis[[#This Row],[Food Security and Livlihoods]]/tblPiNAnalysis[[#This Row],[Total Population]])</f>
        <v/>
      </c>
      <c r="W17" s="315" t="str">
        <f>IF(tblPiNAnalysis[[#This Row],[Health ]]="", "", tblPiNAnalysis[[#This Row],[Health ]]/tblPiNAnalysis[[#This Row],[Total Population]])</f>
        <v/>
      </c>
      <c r="X17" s="315" t="str">
        <f>IF(tblPiNAnalysis[[#This Row],[Nutrition]]="", "", tblPiNAnalysis[[#This Row],[Nutrition]]/tblPiNAnalysis[[#This Row],[Total Population]])</f>
        <v/>
      </c>
      <c r="Y17" s="315" t="str">
        <f>IF(tblPiNAnalysis[[#This Row],[Protection]]="", "", tblPiNAnalysis[[#This Row],[Protection]]/tblPiNAnalysis[[#This Row],[Total Population]])</f>
        <v/>
      </c>
      <c r="Z17" s="327">
        <f>IF(tblPiNAnalysis[[#This Row],[Shelter NFI ]]="", "", tblPiNAnalysis[[#This Row],[Shelter NFI ]]/tblPiNAnalysis[[#This Row],[Total Population]])</f>
        <v>9.1058811029060188E-2</v>
      </c>
      <c r="AA17" s="328" t="str">
        <f>IF(tblPiNAnalysis[[#This Row],[WASH]]="", "", tblPiNAnalysis[[#This Row],[WASH]]/tblPiNAnalysis[[#This Row],[Total Population]])</f>
        <v/>
      </c>
      <c r="AB17" s="329" t="str">
        <f>IFERROR(IF(tblPiNAnalysis[[#This Row],[CP]]="", "", MROUND(tblPiNAnalysis[[#This Row],[CP]]/tblPiNAnalysis[[#This Row],[Total Population]], 0.05)), "")</f>
        <v/>
      </c>
      <c r="AC17" s="315" t="str">
        <f>IFERROR(IF(tblPiNAnalysis[[#This Row],[GBV]]="", "", MROUND(tblPiNAnalysis[[#This Row],[GBV]]/tblPiNAnalysis[[#This Row],[Total Population]], 0.05)), "")</f>
        <v/>
      </c>
      <c r="AD17" s="315" t="str">
        <f>IFERROR(IF(tblPiNAnalysis[[#This Row],[Mine Action]]="", "", MROUND(tblPiNAnalysis[[#This Row],[Mine Action]]/tblPiNAnalysis[[#This Row],[Total Population]], 0.05)), "")</f>
        <v/>
      </c>
      <c r="AE17" s="315" t="str">
        <f>IFERROR(IF(tblPiNAnalysis[[#This Row],[General Protection]]="", "", MROUND(tblPiNAnalysis[[#This Row],[General Protection]]/tblPiNAnalysis[[#This Row],[Total Population]], 0.05)), "")</f>
        <v/>
      </c>
      <c r="AF17" s="319">
        <f>IFERROR(LARGE(tblPiNAnalysis[[#This Row],[Site Management ]:[General Protection]], 1), "")</f>
        <v>1714</v>
      </c>
      <c r="AG17" s="330">
        <f>IF(tblPiNAnalysis[[#This Row],[Highest PiN]]="", "",tblPiNAnalysis[[#This Row],[Highest PiN]]/ tblPiNAnalysis[[#This Row],[Total Population]])</f>
        <v>9.1058811029060188E-2</v>
      </c>
      <c r="AH17" s="330" t="str">
        <f>IFERROR(IF(tblPiNAnalysis[[#This Row],[Highest PiN]]="", "", IF(tblPiNAnalysis[[#This Row],[Highest sector(s'') PiN %]]&gt;=flag_pin_perc, "Flagged", "")), "")</f>
        <v/>
      </c>
      <c r="AI17" s="321"/>
      <c r="AJ17" s="322"/>
      <c r="AK17" s="323">
        <f>COUNTIFS(tblPiNAnalysis[[#This Row],[Highest PiN greater than 90% of total affected population]:[Manual Flag]],"Flagged")</f>
        <v>0</v>
      </c>
      <c r="AL17" s="331" t="str">
        <f>IF(tblPiNAnalysis[[#This Row],['# Flags]]&gt;0, "Flagged", "")</f>
        <v/>
      </c>
    </row>
    <row r="18" spans="1:38" ht="23.1" customHeight="1" x14ac:dyDescent="0.2">
      <c r="A18" s="309" t="str">
        <f>_xlfn.CONCAT(IF(tblPiNAnalysis[[#This Row],[Population Group]]="", "",tblPiNAnalysis[[#This Row],[Population Group]] ), _xlfn.IFS(tblPiNAnalysis[[#This Row],[Admin 2 P-Code]]&lt;&gt;"", tblPiNAnalysis[[#This Row],[Admin 2 P-Code]], tblPiNAnalysis[[#This Row],[Admin 1 P-Code]]&lt;&gt;"", tblPiNAnalysis[[#This Row],[Admin 1 P-Code]]))</f>
        <v>Non-hosting PopulationSD01005</v>
      </c>
      <c r="B18" s="245" t="s">
        <v>164</v>
      </c>
      <c r="C18" s="246" t="s">
        <v>118</v>
      </c>
      <c r="D18" s="247" t="s">
        <v>331</v>
      </c>
      <c r="E18" s="246" t="s">
        <v>332</v>
      </c>
      <c r="F18" s="248">
        <v>1123499</v>
      </c>
      <c r="G18" s="248" t="s">
        <v>568</v>
      </c>
      <c r="H18" s="310"/>
      <c r="I18" s="311"/>
      <c r="J18" s="312"/>
      <c r="K18" s="311"/>
      <c r="L18" s="311"/>
      <c r="M18" s="312"/>
      <c r="N18" s="312">
        <f>_xlfn.XLOOKUP(CONCATENATE(tblPiNAnalysis[[#This Row],[Admin 2 P-Code]],tblPiNAnalysis[[#This Row],[Population Group]]),'Overall severity &amp; PIN Analysis'!A:A,'Overall severity &amp; PIN Analysis'!P:P,0,0)</f>
        <v>102311</v>
      </c>
      <c r="O18" s="311"/>
      <c r="P18" s="312"/>
      <c r="Q18" s="312"/>
      <c r="R18" s="312"/>
      <c r="S18" s="312"/>
      <c r="T18" s="313" t="str">
        <f>IF(tblPiNAnalysis[[#This Row],[Site Management ]]="", "", tblPiNAnalysis[[#This Row],[Site Management ]]/tblPiNAnalysis[[#This Row],[Total Population]])</f>
        <v/>
      </c>
      <c r="U18" s="314" t="str">
        <f>IF(tblPiNAnalysis[[#This Row],[Education]]="", "", tblPiNAnalysis[[#This Row],[Education]]/tblPiNAnalysis[[#This Row],[Total Population]])</f>
        <v/>
      </c>
      <c r="V18" s="314" t="str">
        <f>IF(tblPiNAnalysis[[#This Row],[Food Security and Livlihoods]]="", "", tblPiNAnalysis[[#This Row],[Food Security and Livlihoods]]/tblPiNAnalysis[[#This Row],[Total Population]])</f>
        <v/>
      </c>
      <c r="W18" s="315" t="str">
        <f>IF(tblPiNAnalysis[[#This Row],[Health ]]="", "", tblPiNAnalysis[[#This Row],[Health ]]/tblPiNAnalysis[[#This Row],[Total Population]])</f>
        <v/>
      </c>
      <c r="X18" s="314" t="str">
        <f>IF(tblPiNAnalysis[[#This Row],[Nutrition]]="", "", tblPiNAnalysis[[#This Row],[Nutrition]]/tblPiNAnalysis[[#This Row],[Total Population]])</f>
        <v/>
      </c>
      <c r="Y18" s="314" t="str">
        <f>IF(tblPiNAnalysis[[#This Row],[Protection]]="", "", tblPiNAnalysis[[#This Row],[Protection]]/tblPiNAnalysis[[#This Row],[Total Population]])</f>
        <v/>
      </c>
      <c r="Z18" s="316">
        <f>IF(tblPiNAnalysis[[#This Row],[Shelter NFI ]]="", "", tblPiNAnalysis[[#This Row],[Shelter NFI ]]/tblPiNAnalysis[[#This Row],[Total Population]])</f>
        <v>9.1064611539485127E-2</v>
      </c>
      <c r="AA18" s="317" t="str">
        <f>IF(tblPiNAnalysis[[#This Row],[WASH]]="", "", tblPiNAnalysis[[#This Row],[WASH]]/tblPiNAnalysis[[#This Row],[Total Population]])</f>
        <v/>
      </c>
      <c r="AB18" s="318" t="str">
        <f>IFERROR(IF(tblPiNAnalysis[[#This Row],[CP]]="", "", MROUND(tblPiNAnalysis[[#This Row],[CP]]/tblPiNAnalysis[[#This Row],[Total Population]], 0.05)), "")</f>
        <v/>
      </c>
      <c r="AC18" s="314" t="str">
        <f>IFERROR(IF(tblPiNAnalysis[[#This Row],[GBV]]="", "", MROUND(tblPiNAnalysis[[#This Row],[GBV]]/tblPiNAnalysis[[#This Row],[Total Population]], 0.05)), "")</f>
        <v/>
      </c>
      <c r="AD18" s="314" t="str">
        <f>IFERROR(IF(tblPiNAnalysis[[#This Row],[Mine Action]]="", "", MROUND(tblPiNAnalysis[[#This Row],[Mine Action]]/tblPiNAnalysis[[#This Row],[Total Population]], 0.05)), "")</f>
        <v/>
      </c>
      <c r="AE18" s="314" t="str">
        <f>IFERROR(IF(tblPiNAnalysis[[#This Row],[General Protection]]="", "", MROUND(tblPiNAnalysis[[#This Row],[General Protection]]/tblPiNAnalysis[[#This Row],[Total Population]], 0.05)), "")</f>
        <v/>
      </c>
      <c r="AF18" s="319">
        <f>IFERROR(LARGE(tblPiNAnalysis[[#This Row],[Site Management ]:[General Protection]], 1), "")</f>
        <v>102311</v>
      </c>
      <c r="AG18" s="320">
        <f>IF(tblPiNAnalysis[[#This Row],[Highest PiN]]="", "",tblPiNAnalysis[[#This Row],[Highest PiN]]/ tblPiNAnalysis[[#This Row],[Total Population]])</f>
        <v>9.1064611539485127E-2</v>
      </c>
      <c r="AH18" s="320" t="str">
        <f>IFERROR(IF(tblPiNAnalysis[[#This Row],[Highest PiN]]="", "", IF(tblPiNAnalysis[[#This Row],[Highest sector(s'') PiN %]]&gt;=flag_pin_perc, "Flagged", "")), "")</f>
        <v/>
      </c>
      <c r="AI18" s="321"/>
      <c r="AJ18" s="322"/>
      <c r="AK18" s="323">
        <f>COUNTIFS(tblPiNAnalysis[[#This Row],[Highest PiN greater than 90% of total affected population]:[Manual Flag]],"Flagged")</f>
        <v>0</v>
      </c>
      <c r="AL18" s="324" t="str">
        <f>IF(tblPiNAnalysis[[#This Row],['# Flags]]&gt;0, "Flagged", "")</f>
        <v/>
      </c>
    </row>
    <row r="19" spans="1:38" ht="23.1" hidden="1" customHeight="1" x14ac:dyDescent="0.2">
      <c r="A19" s="309" t="str">
        <f>_xlfn.CONCAT(IF(tblPiNAnalysis[[#This Row],[Population Group]]="", "",tblPiNAnalysis[[#This Row],[Population Group]] ), _xlfn.IFS(tblPiNAnalysis[[#This Row],[Admin 2 P-Code]]&lt;&gt;"", tblPiNAnalysis[[#This Row],[Admin 2 P-Code]], tblPiNAnalysis[[#This Row],[Admin 1 P-Code]]&lt;&gt;"", tblPiNAnalysis[[#This Row],[Admin 1 P-Code]]))</f>
        <v>Host CommunitySD01006</v>
      </c>
      <c r="B19" s="245" t="s">
        <v>164</v>
      </c>
      <c r="C19" s="246" t="s">
        <v>118</v>
      </c>
      <c r="D19" s="247" t="s">
        <v>333</v>
      </c>
      <c r="E19" s="246" t="s">
        <v>334</v>
      </c>
      <c r="F19" s="248">
        <v>14263</v>
      </c>
      <c r="G19" s="248" t="s">
        <v>87</v>
      </c>
      <c r="H19" s="310"/>
      <c r="I19" s="311"/>
      <c r="J19" s="312"/>
      <c r="K19" s="311"/>
      <c r="L19" s="311"/>
      <c r="M19" s="312"/>
      <c r="N19" s="312">
        <f>_xlfn.XLOOKUP(CONCATENATE(tblPiNAnalysis[[#This Row],[Admin 2 P-Code]],tblPiNAnalysis[[#This Row],[Population Group]]),'Overall severity &amp; PIN Analysis'!A:A,'Overall severity &amp; PIN Analysis'!P:P,0,0)</f>
        <v>3247</v>
      </c>
      <c r="O19" s="311"/>
      <c r="P19" s="312"/>
      <c r="Q19" s="312"/>
      <c r="R19" s="312"/>
      <c r="S19" s="312"/>
      <c r="T19" s="313" t="str">
        <f>IF(tblPiNAnalysis[[#This Row],[Site Management ]]="", "", tblPiNAnalysis[[#This Row],[Site Management ]]/tblPiNAnalysis[[#This Row],[Total Population]])</f>
        <v/>
      </c>
      <c r="U19" s="314" t="str">
        <f>IF(tblPiNAnalysis[[#This Row],[Education]]="", "", tblPiNAnalysis[[#This Row],[Education]]/tblPiNAnalysis[[#This Row],[Total Population]])</f>
        <v/>
      </c>
      <c r="V19" s="314" t="str">
        <f>IF(tblPiNAnalysis[[#This Row],[Food Security and Livlihoods]]="", "", tblPiNAnalysis[[#This Row],[Food Security and Livlihoods]]/tblPiNAnalysis[[#This Row],[Total Population]])</f>
        <v/>
      </c>
      <c r="W19" s="315" t="str">
        <f>IF(tblPiNAnalysis[[#This Row],[Health ]]="", "", tblPiNAnalysis[[#This Row],[Health ]]/tblPiNAnalysis[[#This Row],[Total Population]])</f>
        <v/>
      </c>
      <c r="X19" s="314" t="str">
        <f>IF(tblPiNAnalysis[[#This Row],[Nutrition]]="", "", tblPiNAnalysis[[#This Row],[Nutrition]]/tblPiNAnalysis[[#This Row],[Total Population]])</f>
        <v/>
      </c>
      <c r="Y19" s="314" t="str">
        <f>IF(tblPiNAnalysis[[#This Row],[Protection]]="", "", tblPiNAnalysis[[#This Row],[Protection]]/tblPiNAnalysis[[#This Row],[Total Population]])</f>
        <v/>
      </c>
      <c r="Z19" s="316">
        <f>IF(tblPiNAnalysis[[#This Row],[Shelter NFI ]]="", "", tblPiNAnalysis[[#This Row],[Shelter NFI ]]/tblPiNAnalysis[[#This Row],[Total Population]])</f>
        <v>0.22765196662693682</v>
      </c>
      <c r="AA19" s="317" t="str">
        <f>IF(tblPiNAnalysis[[#This Row],[WASH]]="", "", tblPiNAnalysis[[#This Row],[WASH]]/tblPiNAnalysis[[#This Row],[Total Population]])</f>
        <v/>
      </c>
      <c r="AB19" s="318" t="str">
        <f>IFERROR(IF(tblPiNAnalysis[[#This Row],[CP]]="", "", MROUND(tblPiNAnalysis[[#This Row],[CP]]/tblPiNAnalysis[[#This Row],[Total Population]], 0.05)), "")</f>
        <v/>
      </c>
      <c r="AC19" s="314" t="str">
        <f>IFERROR(IF(tblPiNAnalysis[[#This Row],[GBV]]="", "", MROUND(tblPiNAnalysis[[#This Row],[GBV]]/tblPiNAnalysis[[#This Row],[Total Population]], 0.05)), "")</f>
        <v/>
      </c>
      <c r="AD19" s="314" t="str">
        <f>IFERROR(IF(tblPiNAnalysis[[#This Row],[Mine Action]]="", "", MROUND(tblPiNAnalysis[[#This Row],[Mine Action]]/tblPiNAnalysis[[#This Row],[Total Population]], 0.05)), "")</f>
        <v/>
      </c>
      <c r="AE19" s="314" t="str">
        <f>IFERROR(IF(tblPiNAnalysis[[#This Row],[General Protection]]="", "", MROUND(tblPiNAnalysis[[#This Row],[General Protection]]/tblPiNAnalysis[[#This Row],[Total Population]], 0.05)), "")</f>
        <v/>
      </c>
      <c r="AF19" s="319">
        <f>IFERROR(LARGE(tblPiNAnalysis[[#This Row],[Site Management ]:[General Protection]], 1), "")</f>
        <v>3247</v>
      </c>
      <c r="AG19" s="320">
        <f>IF(tblPiNAnalysis[[#This Row],[Highest PiN]]="", "",tblPiNAnalysis[[#This Row],[Highest PiN]]/ tblPiNAnalysis[[#This Row],[Total Population]])</f>
        <v>0.22765196662693682</v>
      </c>
      <c r="AH19" s="320" t="str">
        <f>IFERROR(IF(tblPiNAnalysis[[#This Row],[Highest PiN]]="", "", IF(tblPiNAnalysis[[#This Row],[Highest sector(s'') PiN %]]&gt;=flag_pin_perc, "Flagged", "")), "")</f>
        <v/>
      </c>
      <c r="AI19" s="321"/>
      <c r="AJ19" s="322"/>
      <c r="AK19" s="323">
        <f>COUNTIFS(tblPiNAnalysis[[#This Row],[Highest PiN greater than 90% of total affected population]:[Manual Flag]],"Flagged")</f>
        <v>0</v>
      </c>
      <c r="AL19" s="324" t="str">
        <f>IF(tblPiNAnalysis[[#This Row],['# Flags]]&gt;0, "Flagged", "")</f>
        <v/>
      </c>
    </row>
    <row r="20" spans="1:38" ht="23.1" hidden="1" customHeight="1" x14ac:dyDescent="0.2">
      <c r="A20" s="309" t="str">
        <f>_xlfn.CONCAT(IF(tblPiNAnalysis[[#This Row],[Population Group]]="", "",tblPiNAnalysis[[#This Row],[Population Group]] ), _xlfn.IFS(tblPiNAnalysis[[#This Row],[Admin 2 P-Code]]&lt;&gt;"", tblPiNAnalysis[[#This Row],[Admin 2 P-Code]], tblPiNAnalysis[[#This Row],[Admin 1 P-Code]]&lt;&gt;"", tblPiNAnalysis[[#This Row],[Admin 1 P-Code]]))</f>
        <v>IDPsSD01006</v>
      </c>
      <c r="B20" s="245" t="s">
        <v>164</v>
      </c>
      <c r="C20" s="246" t="s">
        <v>118</v>
      </c>
      <c r="D20" s="247" t="s">
        <v>333</v>
      </c>
      <c r="E20" s="246" t="s">
        <v>334</v>
      </c>
      <c r="F20" s="248">
        <v>12871</v>
      </c>
      <c r="G20" s="248" t="s">
        <v>88</v>
      </c>
      <c r="H20" s="310"/>
      <c r="I20" s="311"/>
      <c r="J20" s="311"/>
      <c r="K20" s="311"/>
      <c r="L20" s="311"/>
      <c r="M20" s="311"/>
      <c r="N20" s="311">
        <f>_xlfn.XLOOKUP(CONCATENATE(tblPiNAnalysis[[#This Row],[Admin 2 P-Code]],tblPiNAnalysis[[#This Row],[Population Group]]),'Overall severity &amp; PIN Analysis'!A:A,'Overall severity &amp; PIN Analysis'!P:P,0,0)</f>
        <v>2930</v>
      </c>
      <c r="O20" s="311"/>
      <c r="P20" s="311"/>
      <c r="Q20" s="311"/>
      <c r="R20" s="311"/>
      <c r="S20" s="311"/>
      <c r="T20" s="326" t="str">
        <f>IF(tblPiNAnalysis[[#This Row],[Site Management ]]="", "", tblPiNAnalysis[[#This Row],[Site Management ]]/tblPiNAnalysis[[#This Row],[Total Population]])</f>
        <v/>
      </c>
      <c r="U20" s="315" t="str">
        <f>IF(tblPiNAnalysis[[#This Row],[Education]]="", "", tblPiNAnalysis[[#This Row],[Education]]/tblPiNAnalysis[[#This Row],[Total Population]])</f>
        <v/>
      </c>
      <c r="V20" s="315" t="str">
        <f>IF(tblPiNAnalysis[[#This Row],[Food Security and Livlihoods]]="", "", tblPiNAnalysis[[#This Row],[Food Security and Livlihoods]]/tblPiNAnalysis[[#This Row],[Total Population]])</f>
        <v/>
      </c>
      <c r="W20" s="315" t="str">
        <f>IF(tblPiNAnalysis[[#This Row],[Health ]]="", "", tblPiNAnalysis[[#This Row],[Health ]]/tblPiNAnalysis[[#This Row],[Total Population]])</f>
        <v/>
      </c>
      <c r="X20" s="315" t="str">
        <f>IF(tblPiNAnalysis[[#This Row],[Nutrition]]="", "", tblPiNAnalysis[[#This Row],[Nutrition]]/tblPiNAnalysis[[#This Row],[Total Population]])</f>
        <v/>
      </c>
      <c r="Y20" s="315" t="str">
        <f>IF(tblPiNAnalysis[[#This Row],[Protection]]="", "", tblPiNAnalysis[[#This Row],[Protection]]/tblPiNAnalysis[[#This Row],[Total Population]])</f>
        <v/>
      </c>
      <c r="Z20" s="327">
        <f>IF(tblPiNAnalysis[[#This Row],[Shelter NFI ]]="", "", tblPiNAnalysis[[#This Row],[Shelter NFI ]]/tblPiNAnalysis[[#This Row],[Total Population]])</f>
        <v>0.22764353974050192</v>
      </c>
      <c r="AA20" s="328" t="str">
        <f>IF(tblPiNAnalysis[[#This Row],[WASH]]="", "", tblPiNAnalysis[[#This Row],[WASH]]/tblPiNAnalysis[[#This Row],[Total Population]])</f>
        <v/>
      </c>
      <c r="AB20" s="329" t="str">
        <f>IFERROR(IF(tblPiNAnalysis[[#This Row],[CP]]="", "", MROUND(tblPiNAnalysis[[#This Row],[CP]]/tblPiNAnalysis[[#This Row],[Total Population]], 0.05)), "")</f>
        <v/>
      </c>
      <c r="AC20" s="315" t="str">
        <f>IFERROR(IF(tblPiNAnalysis[[#This Row],[GBV]]="", "", MROUND(tblPiNAnalysis[[#This Row],[GBV]]/tblPiNAnalysis[[#This Row],[Total Population]], 0.05)), "")</f>
        <v/>
      </c>
      <c r="AD20" s="315" t="str">
        <f>IFERROR(IF(tblPiNAnalysis[[#This Row],[Mine Action]]="", "", MROUND(tblPiNAnalysis[[#This Row],[Mine Action]]/tblPiNAnalysis[[#This Row],[Total Population]], 0.05)), "")</f>
        <v/>
      </c>
      <c r="AE20" s="315" t="str">
        <f>IFERROR(IF(tblPiNAnalysis[[#This Row],[General Protection]]="", "", MROUND(tblPiNAnalysis[[#This Row],[General Protection]]/tblPiNAnalysis[[#This Row],[Total Population]], 0.05)), "")</f>
        <v/>
      </c>
      <c r="AF20" s="319">
        <f>IFERROR(LARGE(tblPiNAnalysis[[#This Row],[Site Management ]:[General Protection]], 1), "")</f>
        <v>2930</v>
      </c>
      <c r="AG20" s="330">
        <f>IF(tblPiNAnalysis[[#This Row],[Highest PiN]]="", "",tblPiNAnalysis[[#This Row],[Highest PiN]]/ tblPiNAnalysis[[#This Row],[Total Population]])</f>
        <v>0.22764353974050192</v>
      </c>
      <c r="AH20" s="330" t="str">
        <f>IFERROR(IF(tblPiNAnalysis[[#This Row],[Highest PiN]]="", "", IF(tblPiNAnalysis[[#This Row],[Highest sector(s'') PiN %]]&gt;=flag_pin_perc, "Flagged", "")), "")</f>
        <v/>
      </c>
      <c r="AI20" s="321"/>
      <c r="AJ20" s="322"/>
      <c r="AK20" s="323">
        <f>COUNTIFS(tblPiNAnalysis[[#This Row],[Highest PiN greater than 90% of total affected population]:[Manual Flag]],"Flagged")</f>
        <v>0</v>
      </c>
      <c r="AL20" s="331" t="str">
        <f>IF(tblPiNAnalysis[[#This Row],['# Flags]]&gt;0, "Flagged", "")</f>
        <v/>
      </c>
    </row>
    <row r="21" spans="1:38" ht="23.1" customHeight="1" x14ac:dyDescent="0.2">
      <c r="A21" s="309" t="str">
        <f>_xlfn.CONCAT(IF(tblPiNAnalysis[[#This Row],[Population Group]]="", "",tblPiNAnalysis[[#This Row],[Population Group]] ), _xlfn.IFS(tblPiNAnalysis[[#This Row],[Admin 2 P-Code]]&lt;&gt;"", tblPiNAnalysis[[#This Row],[Admin 2 P-Code]], tblPiNAnalysis[[#This Row],[Admin 1 P-Code]]&lt;&gt;"", tblPiNAnalysis[[#This Row],[Admin 1 P-Code]]))</f>
        <v>Non-hosting PopulationSD01006</v>
      </c>
      <c r="B21" s="245" t="s">
        <v>164</v>
      </c>
      <c r="C21" s="246" t="s">
        <v>118</v>
      </c>
      <c r="D21" s="247" t="s">
        <v>333</v>
      </c>
      <c r="E21" s="246" t="s">
        <v>334</v>
      </c>
      <c r="F21" s="248">
        <v>326576</v>
      </c>
      <c r="G21" s="248" t="s">
        <v>568</v>
      </c>
      <c r="H21" s="310"/>
      <c r="I21" s="311"/>
      <c r="J21" s="312"/>
      <c r="K21" s="311"/>
      <c r="L21" s="311"/>
      <c r="M21" s="312"/>
      <c r="N21" s="312">
        <f>_xlfn.XLOOKUP(CONCATENATE(tblPiNAnalysis[[#This Row],[Admin 2 P-Code]],tblPiNAnalysis[[#This Row],[Population Group]]),'Overall severity &amp; PIN Analysis'!A:A,'Overall severity &amp; PIN Analysis'!P:P,0,0)</f>
        <v>74349</v>
      </c>
      <c r="O21" s="311"/>
      <c r="P21" s="312"/>
      <c r="Q21" s="312"/>
      <c r="R21" s="312"/>
      <c r="S21" s="312"/>
      <c r="T21" s="313" t="str">
        <f>IF(tblPiNAnalysis[[#This Row],[Site Management ]]="", "", tblPiNAnalysis[[#This Row],[Site Management ]]/tblPiNAnalysis[[#This Row],[Total Population]])</f>
        <v/>
      </c>
      <c r="U21" s="314" t="str">
        <f>IF(tblPiNAnalysis[[#This Row],[Education]]="", "", tblPiNAnalysis[[#This Row],[Education]]/tblPiNAnalysis[[#This Row],[Total Population]])</f>
        <v/>
      </c>
      <c r="V21" s="314" t="str">
        <f>IF(tblPiNAnalysis[[#This Row],[Food Security and Livlihoods]]="", "", tblPiNAnalysis[[#This Row],[Food Security and Livlihoods]]/tblPiNAnalysis[[#This Row],[Total Population]])</f>
        <v/>
      </c>
      <c r="W21" s="315" t="str">
        <f>IF(tblPiNAnalysis[[#This Row],[Health ]]="", "", tblPiNAnalysis[[#This Row],[Health ]]/tblPiNAnalysis[[#This Row],[Total Population]])</f>
        <v/>
      </c>
      <c r="X21" s="314" t="str">
        <f>IF(tblPiNAnalysis[[#This Row],[Nutrition]]="", "", tblPiNAnalysis[[#This Row],[Nutrition]]/tblPiNAnalysis[[#This Row],[Total Population]])</f>
        <v/>
      </c>
      <c r="Y21" s="314" t="str">
        <f>IF(tblPiNAnalysis[[#This Row],[Protection]]="", "", tblPiNAnalysis[[#This Row],[Protection]]/tblPiNAnalysis[[#This Row],[Total Population]])</f>
        <v/>
      </c>
      <c r="Z21" s="316">
        <f>IF(tblPiNAnalysis[[#This Row],[Shelter NFI ]]="", "", tblPiNAnalysis[[#This Row],[Shelter NFI ]]/tblPiNAnalysis[[#This Row],[Total Population]])</f>
        <v>0.22766216745872322</v>
      </c>
      <c r="AA21" s="317" t="str">
        <f>IF(tblPiNAnalysis[[#This Row],[WASH]]="", "", tblPiNAnalysis[[#This Row],[WASH]]/tblPiNAnalysis[[#This Row],[Total Population]])</f>
        <v/>
      </c>
      <c r="AB21" s="318" t="str">
        <f>IFERROR(IF(tblPiNAnalysis[[#This Row],[CP]]="", "", MROUND(tblPiNAnalysis[[#This Row],[CP]]/tblPiNAnalysis[[#This Row],[Total Population]], 0.05)), "")</f>
        <v/>
      </c>
      <c r="AC21" s="314" t="str">
        <f>IFERROR(IF(tblPiNAnalysis[[#This Row],[GBV]]="", "", MROUND(tblPiNAnalysis[[#This Row],[GBV]]/tblPiNAnalysis[[#This Row],[Total Population]], 0.05)), "")</f>
        <v/>
      </c>
      <c r="AD21" s="314" t="str">
        <f>IFERROR(IF(tblPiNAnalysis[[#This Row],[Mine Action]]="", "", MROUND(tblPiNAnalysis[[#This Row],[Mine Action]]/tblPiNAnalysis[[#This Row],[Total Population]], 0.05)), "")</f>
        <v/>
      </c>
      <c r="AE21" s="314" t="str">
        <f>IFERROR(IF(tblPiNAnalysis[[#This Row],[General Protection]]="", "", MROUND(tblPiNAnalysis[[#This Row],[General Protection]]/tblPiNAnalysis[[#This Row],[Total Population]], 0.05)), "")</f>
        <v/>
      </c>
      <c r="AF21" s="319">
        <f>IFERROR(LARGE(tblPiNAnalysis[[#This Row],[Site Management ]:[General Protection]], 1), "")</f>
        <v>74349</v>
      </c>
      <c r="AG21" s="320">
        <f>IF(tblPiNAnalysis[[#This Row],[Highest PiN]]="", "",tblPiNAnalysis[[#This Row],[Highest PiN]]/ tblPiNAnalysis[[#This Row],[Total Population]])</f>
        <v>0.22766216745872322</v>
      </c>
      <c r="AH21" s="320" t="str">
        <f>IFERROR(IF(tblPiNAnalysis[[#This Row],[Highest PiN]]="", "", IF(tblPiNAnalysis[[#This Row],[Highest sector(s'') PiN %]]&gt;=flag_pin_perc, "Flagged", "")), "")</f>
        <v/>
      </c>
      <c r="AI21" s="321"/>
      <c r="AJ21" s="322"/>
      <c r="AK21" s="323">
        <f>COUNTIFS(tblPiNAnalysis[[#This Row],[Highest PiN greater than 90% of total affected population]:[Manual Flag]],"Flagged")</f>
        <v>0</v>
      </c>
      <c r="AL21" s="324" t="str">
        <f>IF(tblPiNAnalysis[[#This Row],['# Flags]]&gt;0, "Flagged", "")</f>
        <v/>
      </c>
    </row>
    <row r="22" spans="1:38" ht="23.1" hidden="1" customHeight="1" x14ac:dyDescent="0.2">
      <c r="A22" s="309" t="str">
        <f>_xlfn.CONCAT(IF(tblPiNAnalysis[[#This Row],[Population Group]]="", "",tblPiNAnalysis[[#This Row],[Population Group]] ), _xlfn.IFS(tblPiNAnalysis[[#This Row],[Admin 2 P-Code]]&lt;&gt;"", tblPiNAnalysis[[#This Row],[Admin 2 P-Code]], tblPiNAnalysis[[#This Row],[Admin 1 P-Code]]&lt;&gt;"", tblPiNAnalysis[[#This Row],[Admin 1 P-Code]]))</f>
        <v>Host CommunitySD01007</v>
      </c>
      <c r="B22" s="245" t="s">
        <v>164</v>
      </c>
      <c r="C22" s="246" t="s">
        <v>118</v>
      </c>
      <c r="D22" s="247" t="s">
        <v>164</v>
      </c>
      <c r="E22" s="246" t="s">
        <v>335</v>
      </c>
      <c r="F22" s="248">
        <v>13880</v>
      </c>
      <c r="G22" s="248" t="s">
        <v>87</v>
      </c>
      <c r="H22" s="310"/>
      <c r="I22" s="311"/>
      <c r="J22" s="312"/>
      <c r="K22" s="311"/>
      <c r="L22" s="311"/>
      <c r="M22" s="312"/>
      <c r="N22" s="312">
        <f>_xlfn.XLOOKUP(CONCATENATE(tblPiNAnalysis[[#This Row],[Admin 2 P-Code]],tblPiNAnalysis[[#This Row],[Population Group]]),'Overall severity &amp; PIN Analysis'!A:A,'Overall severity &amp; PIN Analysis'!P:P,0,0)</f>
        <v>3160</v>
      </c>
      <c r="O22" s="311"/>
      <c r="P22" s="312"/>
      <c r="Q22" s="312"/>
      <c r="R22" s="312"/>
      <c r="S22" s="312"/>
      <c r="T22" s="313" t="str">
        <f>IF(tblPiNAnalysis[[#This Row],[Site Management ]]="", "", tblPiNAnalysis[[#This Row],[Site Management ]]/tblPiNAnalysis[[#This Row],[Total Population]])</f>
        <v/>
      </c>
      <c r="U22" s="314" t="str">
        <f>IF(tblPiNAnalysis[[#This Row],[Education]]="", "", tblPiNAnalysis[[#This Row],[Education]]/tblPiNAnalysis[[#This Row],[Total Population]])</f>
        <v/>
      </c>
      <c r="V22" s="314" t="str">
        <f>IF(tblPiNAnalysis[[#This Row],[Food Security and Livlihoods]]="", "", tblPiNAnalysis[[#This Row],[Food Security and Livlihoods]]/tblPiNAnalysis[[#This Row],[Total Population]])</f>
        <v/>
      </c>
      <c r="W22" s="315" t="str">
        <f>IF(tblPiNAnalysis[[#This Row],[Health ]]="", "", tblPiNAnalysis[[#This Row],[Health ]]/tblPiNAnalysis[[#This Row],[Total Population]])</f>
        <v/>
      </c>
      <c r="X22" s="314" t="str">
        <f>IF(tblPiNAnalysis[[#This Row],[Nutrition]]="", "", tblPiNAnalysis[[#This Row],[Nutrition]]/tblPiNAnalysis[[#This Row],[Total Population]])</f>
        <v/>
      </c>
      <c r="Y22" s="314" t="str">
        <f>IF(tblPiNAnalysis[[#This Row],[Protection]]="", "", tblPiNAnalysis[[#This Row],[Protection]]/tblPiNAnalysis[[#This Row],[Total Population]])</f>
        <v/>
      </c>
      <c r="Z22" s="316">
        <f>IF(tblPiNAnalysis[[#This Row],[Shelter NFI ]]="", "", tblPiNAnalysis[[#This Row],[Shelter NFI ]]/tblPiNAnalysis[[#This Row],[Total Population]])</f>
        <v>0.2276657060518732</v>
      </c>
      <c r="AA22" s="317" t="str">
        <f>IF(tblPiNAnalysis[[#This Row],[WASH]]="", "", tblPiNAnalysis[[#This Row],[WASH]]/tblPiNAnalysis[[#This Row],[Total Population]])</f>
        <v/>
      </c>
      <c r="AB22" s="318" t="str">
        <f>IFERROR(IF(tblPiNAnalysis[[#This Row],[CP]]="", "", MROUND(tblPiNAnalysis[[#This Row],[CP]]/tblPiNAnalysis[[#This Row],[Total Population]], 0.05)), "")</f>
        <v/>
      </c>
      <c r="AC22" s="314" t="str">
        <f>IFERROR(IF(tblPiNAnalysis[[#This Row],[GBV]]="", "", MROUND(tblPiNAnalysis[[#This Row],[GBV]]/tblPiNAnalysis[[#This Row],[Total Population]], 0.05)), "")</f>
        <v/>
      </c>
      <c r="AD22" s="314" t="str">
        <f>IFERROR(IF(tblPiNAnalysis[[#This Row],[Mine Action]]="", "", MROUND(tblPiNAnalysis[[#This Row],[Mine Action]]/tblPiNAnalysis[[#This Row],[Total Population]], 0.05)), "")</f>
        <v/>
      </c>
      <c r="AE22" s="314" t="str">
        <f>IFERROR(IF(tblPiNAnalysis[[#This Row],[General Protection]]="", "", MROUND(tblPiNAnalysis[[#This Row],[General Protection]]/tblPiNAnalysis[[#This Row],[Total Population]], 0.05)), "")</f>
        <v/>
      </c>
      <c r="AF22" s="319">
        <f>IFERROR(LARGE(tblPiNAnalysis[[#This Row],[Site Management ]:[General Protection]], 1), "")</f>
        <v>3160</v>
      </c>
      <c r="AG22" s="320">
        <f>IF(tblPiNAnalysis[[#This Row],[Highest PiN]]="", "",tblPiNAnalysis[[#This Row],[Highest PiN]]/ tblPiNAnalysis[[#This Row],[Total Population]])</f>
        <v>0.2276657060518732</v>
      </c>
      <c r="AH22" s="320" t="str">
        <f>IFERROR(IF(tblPiNAnalysis[[#This Row],[Highest PiN]]="", "", IF(tblPiNAnalysis[[#This Row],[Highest sector(s'') PiN %]]&gt;=flag_pin_perc, "Flagged", "")), "")</f>
        <v/>
      </c>
      <c r="AI22" s="321"/>
      <c r="AJ22" s="322"/>
      <c r="AK22" s="323">
        <f>COUNTIFS(tblPiNAnalysis[[#This Row],[Highest PiN greater than 90% of total affected population]:[Manual Flag]],"Flagged")</f>
        <v>0</v>
      </c>
      <c r="AL22" s="324" t="str">
        <f>IF(tblPiNAnalysis[[#This Row],['# Flags]]&gt;0, "Flagged", "")</f>
        <v/>
      </c>
    </row>
    <row r="23" spans="1:38" ht="23.1" hidden="1" customHeight="1" x14ac:dyDescent="0.2">
      <c r="A23" s="309" t="str">
        <f>_xlfn.CONCAT(IF(tblPiNAnalysis[[#This Row],[Population Group]]="", "",tblPiNAnalysis[[#This Row],[Population Group]] ), _xlfn.IFS(tblPiNAnalysis[[#This Row],[Admin 2 P-Code]]&lt;&gt;"", tblPiNAnalysis[[#This Row],[Admin 2 P-Code]], tblPiNAnalysis[[#This Row],[Admin 1 P-Code]]&lt;&gt;"", tblPiNAnalysis[[#This Row],[Admin 1 P-Code]]))</f>
        <v>IDPsSD01007</v>
      </c>
      <c r="B23" s="245" t="s">
        <v>164</v>
      </c>
      <c r="C23" s="246" t="s">
        <v>118</v>
      </c>
      <c r="D23" s="247" t="s">
        <v>164</v>
      </c>
      <c r="E23" s="246" t="s">
        <v>335</v>
      </c>
      <c r="F23" s="248">
        <v>6805</v>
      </c>
      <c r="G23" s="248" t="s">
        <v>88</v>
      </c>
      <c r="H23" s="310"/>
      <c r="I23" s="311"/>
      <c r="J23" s="311"/>
      <c r="K23" s="311"/>
      <c r="L23" s="311"/>
      <c r="M23" s="311"/>
      <c r="N23" s="311">
        <f>_xlfn.XLOOKUP(CONCATENATE(tblPiNAnalysis[[#This Row],[Admin 2 P-Code]],tblPiNAnalysis[[#This Row],[Population Group]]),'Overall severity &amp; PIN Analysis'!A:A,'Overall severity &amp; PIN Analysis'!P:P,0,0)</f>
        <v>1549</v>
      </c>
      <c r="O23" s="311"/>
      <c r="P23" s="311"/>
      <c r="Q23" s="311"/>
      <c r="R23" s="311"/>
      <c r="S23" s="311"/>
      <c r="T23" s="326" t="str">
        <f>IF(tblPiNAnalysis[[#This Row],[Site Management ]]="", "", tblPiNAnalysis[[#This Row],[Site Management ]]/tblPiNAnalysis[[#This Row],[Total Population]])</f>
        <v/>
      </c>
      <c r="U23" s="315" t="str">
        <f>IF(tblPiNAnalysis[[#This Row],[Education]]="", "", tblPiNAnalysis[[#This Row],[Education]]/tblPiNAnalysis[[#This Row],[Total Population]])</f>
        <v/>
      </c>
      <c r="V23" s="315" t="str">
        <f>IF(tblPiNAnalysis[[#This Row],[Food Security and Livlihoods]]="", "", tblPiNAnalysis[[#This Row],[Food Security and Livlihoods]]/tblPiNAnalysis[[#This Row],[Total Population]])</f>
        <v/>
      </c>
      <c r="W23" s="315" t="str">
        <f>IF(tblPiNAnalysis[[#This Row],[Health ]]="", "", tblPiNAnalysis[[#This Row],[Health ]]/tblPiNAnalysis[[#This Row],[Total Population]])</f>
        <v/>
      </c>
      <c r="X23" s="315" t="str">
        <f>IF(tblPiNAnalysis[[#This Row],[Nutrition]]="", "", tblPiNAnalysis[[#This Row],[Nutrition]]/tblPiNAnalysis[[#This Row],[Total Population]])</f>
        <v/>
      </c>
      <c r="Y23" s="315" t="str">
        <f>IF(tblPiNAnalysis[[#This Row],[Protection]]="", "", tblPiNAnalysis[[#This Row],[Protection]]/tblPiNAnalysis[[#This Row],[Total Population]])</f>
        <v/>
      </c>
      <c r="Z23" s="327">
        <f>IF(tblPiNAnalysis[[#This Row],[Shelter NFI ]]="", "", tblPiNAnalysis[[#This Row],[Shelter NFI ]]/tblPiNAnalysis[[#This Row],[Total Population]])</f>
        <v>0.22762674504041147</v>
      </c>
      <c r="AA23" s="328" t="str">
        <f>IF(tblPiNAnalysis[[#This Row],[WASH]]="", "", tblPiNAnalysis[[#This Row],[WASH]]/tblPiNAnalysis[[#This Row],[Total Population]])</f>
        <v/>
      </c>
      <c r="AB23" s="329" t="str">
        <f>IFERROR(IF(tblPiNAnalysis[[#This Row],[CP]]="", "", MROUND(tblPiNAnalysis[[#This Row],[CP]]/tblPiNAnalysis[[#This Row],[Total Population]], 0.05)), "")</f>
        <v/>
      </c>
      <c r="AC23" s="315" t="str">
        <f>IFERROR(IF(tblPiNAnalysis[[#This Row],[GBV]]="", "", MROUND(tblPiNAnalysis[[#This Row],[GBV]]/tblPiNAnalysis[[#This Row],[Total Population]], 0.05)), "")</f>
        <v/>
      </c>
      <c r="AD23" s="315" t="str">
        <f>IFERROR(IF(tblPiNAnalysis[[#This Row],[Mine Action]]="", "", MROUND(tblPiNAnalysis[[#This Row],[Mine Action]]/tblPiNAnalysis[[#This Row],[Total Population]], 0.05)), "")</f>
        <v/>
      </c>
      <c r="AE23" s="315" t="str">
        <f>IFERROR(IF(tblPiNAnalysis[[#This Row],[General Protection]]="", "", MROUND(tblPiNAnalysis[[#This Row],[General Protection]]/tblPiNAnalysis[[#This Row],[Total Population]], 0.05)), "")</f>
        <v/>
      </c>
      <c r="AF23" s="319">
        <f>IFERROR(LARGE(tblPiNAnalysis[[#This Row],[Site Management ]:[General Protection]], 1), "")</f>
        <v>1549</v>
      </c>
      <c r="AG23" s="330">
        <f>IF(tblPiNAnalysis[[#This Row],[Highest PiN]]="", "",tblPiNAnalysis[[#This Row],[Highest PiN]]/ tblPiNAnalysis[[#This Row],[Total Population]])</f>
        <v>0.22762674504041147</v>
      </c>
      <c r="AH23" s="330" t="str">
        <f>IFERROR(IF(tblPiNAnalysis[[#This Row],[Highest PiN]]="", "", IF(tblPiNAnalysis[[#This Row],[Highest sector(s'') PiN %]]&gt;=flag_pin_perc, "Flagged", "")), "")</f>
        <v/>
      </c>
      <c r="AI23" s="321"/>
      <c r="AJ23" s="322"/>
      <c r="AK23" s="323">
        <f>COUNTIFS(tblPiNAnalysis[[#This Row],[Highest PiN greater than 90% of total affected population]:[Manual Flag]],"Flagged")</f>
        <v>0</v>
      </c>
      <c r="AL23" s="331" t="str">
        <f>IF(tblPiNAnalysis[[#This Row],['# Flags]]&gt;0, "Flagged", "")</f>
        <v/>
      </c>
    </row>
    <row r="24" spans="1:38" ht="23.1" customHeight="1" x14ac:dyDescent="0.2">
      <c r="A24" s="309" t="str">
        <f>_xlfn.CONCAT(IF(tblPiNAnalysis[[#This Row],[Population Group]]="", "",tblPiNAnalysis[[#This Row],[Population Group]] ), _xlfn.IFS(tblPiNAnalysis[[#This Row],[Admin 2 P-Code]]&lt;&gt;"", tblPiNAnalysis[[#This Row],[Admin 2 P-Code]], tblPiNAnalysis[[#This Row],[Admin 1 P-Code]]&lt;&gt;"", tblPiNAnalysis[[#This Row],[Admin 1 P-Code]]))</f>
        <v>Non-hosting PopulationSD01007</v>
      </c>
      <c r="B24" s="245" t="s">
        <v>164</v>
      </c>
      <c r="C24" s="246" t="s">
        <v>118</v>
      </c>
      <c r="D24" s="247" t="s">
        <v>164</v>
      </c>
      <c r="E24" s="246" t="s">
        <v>335</v>
      </c>
      <c r="F24" s="248">
        <v>79748</v>
      </c>
      <c r="G24" s="248" t="s">
        <v>568</v>
      </c>
      <c r="H24" s="310"/>
      <c r="I24" s="311"/>
      <c r="J24" s="312"/>
      <c r="K24" s="311"/>
      <c r="L24" s="311"/>
      <c r="M24" s="312"/>
      <c r="N24" s="312">
        <f>_xlfn.XLOOKUP(CONCATENATE(tblPiNAnalysis[[#This Row],[Admin 2 P-Code]],tblPiNAnalysis[[#This Row],[Population Group]]),'Overall severity &amp; PIN Analysis'!A:A,'Overall severity &amp; PIN Analysis'!P:P,0,0)</f>
        <v>18156</v>
      </c>
      <c r="O24" s="311"/>
      <c r="P24" s="312"/>
      <c r="Q24" s="312"/>
      <c r="R24" s="312"/>
      <c r="S24" s="312"/>
      <c r="T24" s="313" t="str">
        <f>IF(tblPiNAnalysis[[#This Row],[Site Management ]]="", "", tblPiNAnalysis[[#This Row],[Site Management ]]/tblPiNAnalysis[[#This Row],[Total Population]])</f>
        <v/>
      </c>
      <c r="U24" s="314" t="str">
        <f>IF(tblPiNAnalysis[[#This Row],[Education]]="", "", tblPiNAnalysis[[#This Row],[Education]]/tblPiNAnalysis[[#This Row],[Total Population]])</f>
        <v/>
      </c>
      <c r="V24" s="314" t="str">
        <f>IF(tblPiNAnalysis[[#This Row],[Food Security and Livlihoods]]="", "", tblPiNAnalysis[[#This Row],[Food Security and Livlihoods]]/tblPiNAnalysis[[#This Row],[Total Population]])</f>
        <v/>
      </c>
      <c r="W24" s="315" t="str">
        <f>IF(tblPiNAnalysis[[#This Row],[Health ]]="", "", tblPiNAnalysis[[#This Row],[Health ]]/tblPiNAnalysis[[#This Row],[Total Population]])</f>
        <v/>
      </c>
      <c r="X24" s="314" t="str">
        <f>IF(tblPiNAnalysis[[#This Row],[Nutrition]]="", "", tblPiNAnalysis[[#This Row],[Nutrition]]/tblPiNAnalysis[[#This Row],[Total Population]])</f>
        <v/>
      </c>
      <c r="Y24" s="314" t="str">
        <f>IF(tblPiNAnalysis[[#This Row],[Protection]]="", "", tblPiNAnalysis[[#This Row],[Protection]]/tblPiNAnalysis[[#This Row],[Total Population]])</f>
        <v/>
      </c>
      <c r="Z24" s="316">
        <f>IF(tblPiNAnalysis[[#This Row],[Shelter NFI ]]="", "", tblPiNAnalysis[[#This Row],[Shelter NFI ]]/tblPiNAnalysis[[#This Row],[Total Population]])</f>
        <v>0.22766715152731104</v>
      </c>
      <c r="AA24" s="317" t="str">
        <f>IF(tblPiNAnalysis[[#This Row],[WASH]]="", "", tblPiNAnalysis[[#This Row],[WASH]]/tblPiNAnalysis[[#This Row],[Total Population]])</f>
        <v/>
      </c>
      <c r="AB24" s="318" t="str">
        <f>IFERROR(IF(tblPiNAnalysis[[#This Row],[CP]]="", "", MROUND(tblPiNAnalysis[[#This Row],[CP]]/tblPiNAnalysis[[#This Row],[Total Population]], 0.05)), "")</f>
        <v/>
      </c>
      <c r="AC24" s="314" t="str">
        <f>IFERROR(IF(tblPiNAnalysis[[#This Row],[GBV]]="", "", MROUND(tblPiNAnalysis[[#This Row],[GBV]]/tblPiNAnalysis[[#This Row],[Total Population]], 0.05)), "")</f>
        <v/>
      </c>
      <c r="AD24" s="314" t="str">
        <f>IFERROR(IF(tblPiNAnalysis[[#This Row],[Mine Action]]="", "", MROUND(tblPiNAnalysis[[#This Row],[Mine Action]]/tblPiNAnalysis[[#This Row],[Total Population]], 0.05)), "")</f>
        <v/>
      </c>
      <c r="AE24" s="314" t="str">
        <f>IFERROR(IF(tblPiNAnalysis[[#This Row],[General Protection]]="", "", MROUND(tblPiNAnalysis[[#This Row],[General Protection]]/tblPiNAnalysis[[#This Row],[Total Population]], 0.05)), "")</f>
        <v/>
      </c>
      <c r="AF24" s="319">
        <f>IFERROR(LARGE(tblPiNAnalysis[[#This Row],[Site Management ]:[General Protection]], 1), "")</f>
        <v>18156</v>
      </c>
      <c r="AG24" s="320">
        <f>IF(tblPiNAnalysis[[#This Row],[Highest PiN]]="", "",tblPiNAnalysis[[#This Row],[Highest PiN]]/ tblPiNAnalysis[[#This Row],[Total Population]])</f>
        <v>0.22766715152731104</v>
      </c>
      <c r="AH24" s="320" t="str">
        <f>IFERROR(IF(tblPiNAnalysis[[#This Row],[Highest PiN]]="", "", IF(tblPiNAnalysis[[#This Row],[Highest sector(s'') PiN %]]&gt;=flag_pin_perc, "Flagged", "")), "")</f>
        <v/>
      </c>
      <c r="AI24" s="321"/>
      <c r="AJ24" s="322"/>
      <c r="AK24" s="323">
        <f>COUNTIFS(tblPiNAnalysis[[#This Row],[Highest PiN greater than 90% of total affected population]:[Manual Flag]],"Flagged")</f>
        <v>0</v>
      </c>
      <c r="AL24" s="324" t="str">
        <f>IF(tblPiNAnalysis[[#This Row],['# Flags]]&gt;0, "Flagged", "")</f>
        <v/>
      </c>
    </row>
    <row r="25" spans="1:38" ht="23.1" hidden="1" customHeight="1" x14ac:dyDescent="0.2">
      <c r="A25" s="309" t="str">
        <f>_xlfn.CONCAT(IF(tblPiNAnalysis[[#This Row],[Population Group]]="", "",tblPiNAnalysis[[#This Row],[Population Group]] ), _xlfn.IFS(tblPiNAnalysis[[#This Row],[Admin 2 P-Code]]&lt;&gt;"", tblPiNAnalysis[[#This Row],[Admin 2 P-Code]], tblPiNAnalysis[[#This Row],[Admin 1 P-Code]]&lt;&gt;"", tblPiNAnalysis[[#This Row],[Admin 1 P-Code]]))</f>
        <v>Host CommunitySD02113</v>
      </c>
      <c r="B25" s="245" t="s">
        <v>167</v>
      </c>
      <c r="C25" s="246" t="s">
        <v>119</v>
      </c>
      <c r="D25" s="247" t="s">
        <v>196</v>
      </c>
      <c r="E25" s="246" t="s">
        <v>195</v>
      </c>
      <c r="F25" s="248">
        <v>30263</v>
      </c>
      <c r="G25" s="248" t="s">
        <v>87</v>
      </c>
      <c r="H25" s="310"/>
      <c r="I25" s="311"/>
      <c r="J25" s="312"/>
      <c r="K25" s="311"/>
      <c r="L25" s="311"/>
      <c r="M25" s="312"/>
      <c r="N25" s="312">
        <f>_xlfn.XLOOKUP(CONCATENATE(tblPiNAnalysis[[#This Row],[Admin 2 P-Code]],tblPiNAnalysis[[#This Row],[Population Group]]),'Overall severity &amp; PIN Analysis'!A:A,'Overall severity &amp; PIN Analysis'!P:P,0,0)</f>
        <v>19904</v>
      </c>
      <c r="O25" s="311"/>
      <c r="P25" s="312"/>
      <c r="Q25" s="312"/>
      <c r="R25" s="312"/>
      <c r="S25" s="312"/>
      <c r="T25" s="313" t="str">
        <f>IF(tblPiNAnalysis[[#This Row],[Site Management ]]="", "", tblPiNAnalysis[[#This Row],[Site Management ]]/tblPiNAnalysis[[#This Row],[Total Population]])</f>
        <v/>
      </c>
      <c r="U25" s="314" t="str">
        <f>IF(tblPiNAnalysis[[#This Row],[Education]]="", "", tblPiNAnalysis[[#This Row],[Education]]/tblPiNAnalysis[[#This Row],[Total Population]])</f>
        <v/>
      </c>
      <c r="V25" s="314" t="str">
        <f>IF(tblPiNAnalysis[[#This Row],[Food Security and Livlihoods]]="", "", tblPiNAnalysis[[#This Row],[Food Security and Livlihoods]]/tblPiNAnalysis[[#This Row],[Total Population]])</f>
        <v/>
      </c>
      <c r="W25" s="315" t="str">
        <f>IF(tblPiNAnalysis[[#This Row],[Health ]]="", "", tblPiNAnalysis[[#This Row],[Health ]]/tblPiNAnalysis[[#This Row],[Total Population]])</f>
        <v/>
      </c>
      <c r="X25" s="314" t="str">
        <f>IF(tblPiNAnalysis[[#This Row],[Nutrition]]="", "", tblPiNAnalysis[[#This Row],[Nutrition]]/tblPiNAnalysis[[#This Row],[Total Population]])</f>
        <v/>
      </c>
      <c r="Y25" s="314" t="str">
        <f>IF(tblPiNAnalysis[[#This Row],[Protection]]="", "", tblPiNAnalysis[[#This Row],[Protection]]/tblPiNAnalysis[[#This Row],[Total Population]])</f>
        <v/>
      </c>
      <c r="Z25" s="316">
        <f>IF(tblPiNAnalysis[[#This Row],[Shelter NFI ]]="", "", tblPiNAnalysis[[#This Row],[Shelter NFI ]]/tblPiNAnalysis[[#This Row],[Total Population]])</f>
        <v>0.65770082278690145</v>
      </c>
      <c r="AA25" s="317" t="str">
        <f>IF(tblPiNAnalysis[[#This Row],[WASH]]="", "", tblPiNAnalysis[[#This Row],[WASH]]/tblPiNAnalysis[[#This Row],[Total Population]])</f>
        <v/>
      </c>
      <c r="AB25" s="318" t="str">
        <f>IFERROR(IF(tblPiNAnalysis[[#This Row],[CP]]="", "", MROUND(tblPiNAnalysis[[#This Row],[CP]]/tblPiNAnalysis[[#This Row],[Total Population]], 0.05)), "")</f>
        <v/>
      </c>
      <c r="AC25" s="314" t="str">
        <f>IFERROR(IF(tblPiNAnalysis[[#This Row],[GBV]]="", "", MROUND(tblPiNAnalysis[[#This Row],[GBV]]/tblPiNAnalysis[[#This Row],[Total Population]], 0.05)), "")</f>
        <v/>
      </c>
      <c r="AD25" s="314" t="str">
        <f>IFERROR(IF(tblPiNAnalysis[[#This Row],[Mine Action]]="", "", MROUND(tblPiNAnalysis[[#This Row],[Mine Action]]/tblPiNAnalysis[[#This Row],[Total Population]], 0.05)), "")</f>
        <v/>
      </c>
      <c r="AE25" s="314" t="str">
        <f>IFERROR(IF(tblPiNAnalysis[[#This Row],[General Protection]]="", "", MROUND(tblPiNAnalysis[[#This Row],[General Protection]]/tblPiNAnalysis[[#This Row],[Total Population]], 0.05)), "")</f>
        <v/>
      </c>
      <c r="AF25" s="319">
        <f>IFERROR(LARGE(tblPiNAnalysis[[#This Row],[Site Management ]:[General Protection]], 1), "")</f>
        <v>19904</v>
      </c>
      <c r="AG25" s="320">
        <f>IF(tblPiNAnalysis[[#This Row],[Highest PiN]]="", "",tblPiNAnalysis[[#This Row],[Highest PiN]]/ tblPiNAnalysis[[#This Row],[Total Population]])</f>
        <v>0.65770082278690145</v>
      </c>
      <c r="AH25" s="320" t="str">
        <f>IFERROR(IF(tblPiNAnalysis[[#This Row],[Highest PiN]]="", "", IF(tblPiNAnalysis[[#This Row],[Highest sector(s'') PiN %]]&gt;=flag_pin_perc, "Flagged", "")), "")</f>
        <v/>
      </c>
      <c r="AI25" s="321"/>
      <c r="AJ25" s="322"/>
      <c r="AK25" s="323">
        <f>COUNTIFS(tblPiNAnalysis[[#This Row],[Highest PiN greater than 90% of total affected population]:[Manual Flag]],"Flagged")</f>
        <v>0</v>
      </c>
      <c r="AL25" s="324" t="str">
        <f>IF(tblPiNAnalysis[[#This Row],['# Flags]]&gt;0, "Flagged", "")</f>
        <v/>
      </c>
    </row>
    <row r="26" spans="1:38" ht="23.1" hidden="1" customHeight="1" x14ac:dyDescent="0.2">
      <c r="A26" s="309" t="str">
        <f>_xlfn.CONCAT(IF(tblPiNAnalysis[[#This Row],[Population Group]]="", "",tblPiNAnalysis[[#This Row],[Population Group]] ), _xlfn.IFS(tblPiNAnalysis[[#This Row],[Admin 2 P-Code]]&lt;&gt;"", tblPiNAnalysis[[#This Row],[Admin 2 P-Code]], tblPiNAnalysis[[#This Row],[Admin 1 P-Code]]&lt;&gt;"", tblPiNAnalysis[[#This Row],[Admin 1 P-Code]]))</f>
        <v>IDPsSD02113</v>
      </c>
      <c r="B26" s="245" t="s">
        <v>167</v>
      </c>
      <c r="C26" s="246" t="s">
        <v>119</v>
      </c>
      <c r="D26" s="247" t="s">
        <v>196</v>
      </c>
      <c r="E26" s="246" t="s">
        <v>195</v>
      </c>
      <c r="F26" s="248">
        <v>124035</v>
      </c>
      <c r="G26" s="248" t="s">
        <v>88</v>
      </c>
      <c r="H26" s="310"/>
      <c r="I26" s="311"/>
      <c r="J26" s="312"/>
      <c r="K26" s="311"/>
      <c r="L26" s="311"/>
      <c r="M26" s="312"/>
      <c r="N26" s="312">
        <f>_xlfn.XLOOKUP(CONCATENATE(tblPiNAnalysis[[#This Row],[Admin 2 P-Code]],tblPiNAnalysis[[#This Row],[Population Group]]),'Overall severity &amp; PIN Analysis'!A:A,'Overall severity &amp; PIN Analysis'!P:P,0,0)</f>
        <v>81577</v>
      </c>
      <c r="O26" s="311"/>
      <c r="P26" s="312"/>
      <c r="Q26" s="312"/>
      <c r="R26" s="312"/>
      <c r="S26" s="312"/>
      <c r="T26" s="313" t="str">
        <f>IF(tblPiNAnalysis[[#This Row],[Site Management ]]="", "", tblPiNAnalysis[[#This Row],[Site Management ]]/tblPiNAnalysis[[#This Row],[Total Population]])</f>
        <v/>
      </c>
      <c r="U26" s="314" t="str">
        <f>IF(tblPiNAnalysis[[#This Row],[Education]]="", "", tblPiNAnalysis[[#This Row],[Education]]/tblPiNAnalysis[[#This Row],[Total Population]])</f>
        <v/>
      </c>
      <c r="V26" s="314" t="str">
        <f>IF(tblPiNAnalysis[[#This Row],[Food Security and Livlihoods]]="", "", tblPiNAnalysis[[#This Row],[Food Security and Livlihoods]]/tblPiNAnalysis[[#This Row],[Total Population]])</f>
        <v/>
      </c>
      <c r="W26" s="315" t="str">
        <f>IF(tblPiNAnalysis[[#This Row],[Health ]]="", "", tblPiNAnalysis[[#This Row],[Health ]]/tblPiNAnalysis[[#This Row],[Total Population]])</f>
        <v/>
      </c>
      <c r="X26" s="314" t="str">
        <f>IF(tblPiNAnalysis[[#This Row],[Nutrition]]="", "", tblPiNAnalysis[[#This Row],[Nutrition]]/tblPiNAnalysis[[#This Row],[Total Population]])</f>
        <v/>
      </c>
      <c r="Y26" s="314" t="str">
        <f>IF(tblPiNAnalysis[[#This Row],[Protection]]="", "", tblPiNAnalysis[[#This Row],[Protection]]/tblPiNAnalysis[[#This Row],[Total Population]])</f>
        <v/>
      </c>
      <c r="Z26" s="316">
        <f>IF(tblPiNAnalysis[[#This Row],[Shelter NFI ]]="", "", tblPiNAnalysis[[#This Row],[Shelter NFI ]]/tblPiNAnalysis[[#This Row],[Total Population]])</f>
        <v>0.65769339299391305</v>
      </c>
      <c r="AA26" s="317" t="str">
        <f>IF(tblPiNAnalysis[[#This Row],[WASH]]="", "", tblPiNAnalysis[[#This Row],[WASH]]/tblPiNAnalysis[[#This Row],[Total Population]])</f>
        <v/>
      </c>
      <c r="AB26" s="318" t="str">
        <f>IFERROR(IF(tblPiNAnalysis[[#This Row],[CP]]="", "", MROUND(tblPiNAnalysis[[#This Row],[CP]]/tblPiNAnalysis[[#This Row],[Total Population]], 0.05)), "")</f>
        <v/>
      </c>
      <c r="AC26" s="314" t="str">
        <f>IFERROR(IF(tblPiNAnalysis[[#This Row],[GBV]]="", "", MROUND(tblPiNAnalysis[[#This Row],[GBV]]/tblPiNAnalysis[[#This Row],[Total Population]], 0.05)), "")</f>
        <v/>
      </c>
      <c r="AD26" s="314" t="str">
        <f>IFERROR(IF(tblPiNAnalysis[[#This Row],[Mine Action]]="", "", MROUND(tblPiNAnalysis[[#This Row],[Mine Action]]/tblPiNAnalysis[[#This Row],[Total Population]], 0.05)), "")</f>
        <v/>
      </c>
      <c r="AE26" s="314" t="str">
        <f>IFERROR(IF(tblPiNAnalysis[[#This Row],[General Protection]]="", "", MROUND(tblPiNAnalysis[[#This Row],[General Protection]]/tblPiNAnalysis[[#This Row],[Total Population]], 0.05)), "")</f>
        <v/>
      </c>
      <c r="AF26" s="319">
        <f>IFERROR(LARGE(tblPiNAnalysis[[#This Row],[Site Management ]:[General Protection]], 1), "")</f>
        <v>81577</v>
      </c>
      <c r="AG26" s="320">
        <f>IF(tblPiNAnalysis[[#This Row],[Highest PiN]]="", "",tblPiNAnalysis[[#This Row],[Highest PiN]]/ tblPiNAnalysis[[#This Row],[Total Population]])</f>
        <v>0.65769339299391305</v>
      </c>
      <c r="AH26" s="320" t="str">
        <f>IFERROR(IF(tblPiNAnalysis[[#This Row],[Highest PiN]]="", "", IF(tblPiNAnalysis[[#This Row],[Highest sector(s'') PiN %]]&gt;=flag_pin_perc, "Flagged", "")), "")</f>
        <v/>
      </c>
      <c r="AI26" s="321"/>
      <c r="AJ26" s="322"/>
      <c r="AK26" s="323">
        <f>COUNTIFS(tblPiNAnalysis[[#This Row],[Highest PiN greater than 90% of total affected population]:[Manual Flag]],"Flagged")</f>
        <v>0</v>
      </c>
      <c r="AL26" s="324" t="str">
        <f>IF(tblPiNAnalysis[[#This Row],['# Flags]]&gt;0, "Flagged", "")</f>
        <v/>
      </c>
    </row>
    <row r="27" spans="1:38" ht="23.1" customHeight="1" x14ac:dyDescent="0.2">
      <c r="A27" s="309" t="str">
        <f>_xlfn.CONCAT(IF(tblPiNAnalysis[[#This Row],[Population Group]]="", "",tblPiNAnalysis[[#This Row],[Population Group]] ), _xlfn.IFS(tblPiNAnalysis[[#This Row],[Admin 2 P-Code]]&lt;&gt;"", tblPiNAnalysis[[#This Row],[Admin 2 P-Code]], tblPiNAnalysis[[#This Row],[Admin 1 P-Code]]&lt;&gt;"", tblPiNAnalysis[[#This Row],[Admin 1 P-Code]]))</f>
        <v>Non-hosting PopulationSD02113</v>
      </c>
      <c r="B27" s="245" t="s">
        <v>167</v>
      </c>
      <c r="C27" s="246" t="s">
        <v>119</v>
      </c>
      <c r="D27" s="247" t="s">
        <v>196</v>
      </c>
      <c r="E27" s="246" t="s">
        <v>195</v>
      </c>
      <c r="F27" s="248">
        <v>0</v>
      </c>
      <c r="G27" s="248" t="s">
        <v>568</v>
      </c>
      <c r="H27" s="310"/>
      <c r="I27" s="311"/>
      <c r="J27" s="312"/>
      <c r="K27" s="311"/>
      <c r="L27" s="311"/>
      <c r="M27" s="312"/>
      <c r="N27" s="312">
        <f>_xlfn.XLOOKUP(CONCATENATE(tblPiNAnalysis[[#This Row],[Admin 2 P-Code]],tblPiNAnalysis[[#This Row],[Population Group]]),'Overall severity &amp; PIN Analysis'!A:A,'Overall severity &amp; PIN Analysis'!P:P,0,0)</f>
        <v>0</v>
      </c>
      <c r="O27" s="311"/>
      <c r="P27" s="312"/>
      <c r="Q27" s="312"/>
      <c r="R27" s="312"/>
      <c r="S27" s="312"/>
      <c r="T27" s="313" t="str">
        <f>IF(tblPiNAnalysis[[#This Row],[Site Management ]]="", "", tblPiNAnalysis[[#This Row],[Site Management ]]/tblPiNAnalysis[[#This Row],[Total Population]])</f>
        <v/>
      </c>
      <c r="U27" s="314" t="str">
        <f>IF(tblPiNAnalysis[[#This Row],[Education]]="", "", tblPiNAnalysis[[#This Row],[Education]]/tblPiNAnalysis[[#This Row],[Total Population]])</f>
        <v/>
      </c>
      <c r="V27" s="314" t="str">
        <f>IF(tblPiNAnalysis[[#This Row],[Food Security and Livlihoods]]="", "", tblPiNAnalysis[[#This Row],[Food Security and Livlihoods]]/tblPiNAnalysis[[#This Row],[Total Population]])</f>
        <v/>
      </c>
      <c r="W27" s="315" t="str">
        <f>IF(tblPiNAnalysis[[#This Row],[Health ]]="", "", tblPiNAnalysis[[#This Row],[Health ]]/tblPiNAnalysis[[#This Row],[Total Population]])</f>
        <v/>
      </c>
      <c r="X27" s="314" t="str">
        <f>IF(tblPiNAnalysis[[#This Row],[Nutrition]]="", "", tblPiNAnalysis[[#This Row],[Nutrition]]/tblPiNAnalysis[[#This Row],[Total Population]])</f>
        <v/>
      </c>
      <c r="Y27" s="314" t="str">
        <f>IF(tblPiNAnalysis[[#This Row],[Protection]]="", "", tblPiNAnalysis[[#This Row],[Protection]]/tblPiNAnalysis[[#This Row],[Total Population]])</f>
        <v/>
      </c>
      <c r="Z27" s="316" t="e">
        <f>IF(tblPiNAnalysis[[#This Row],[Shelter NFI ]]="", "", tblPiNAnalysis[[#This Row],[Shelter NFI ]]/tblPiNAnalysis[[#This Row],[Total Population]])</f>
        <v>#DIV/0!</v>
      </c>
      <c r="AA27" s="317" t="str">
        <f>IF(tblPiNAnalysis[[#This Row],[WASH]]="", "", tblPiNAnalysis[[#This Row],[WASH]]/tblPiNAnalysis[[#This Row],[Total Population]])</f>
        <v/>
      </c>
      <c r="AB27" s="318" t="str">
        <f>IFERROR(IF(tblPiNAnalysis[[#This Row],[CP]]="", "", MROUND(tblPiNAnalysis[[#This Row],[CP]]/tblPiNAnalysis[[#This Row],[Total Population]], 0.05)), "")</f>
        <v/>
      </c>
      <c r="AC27" s="314" t="str">
        <f>IFERROR(IF(tblPiNAnalysis[[#This Row],[GBV]]="", "", MROUND(tblPiNAnalysis[[#This Row],[GBV]]/tblPiNAnalysis[[#This Row],[Total Population]], 0.05)), "")</f>
        <v/>
      </c>
      <c r="AD27" s="314" t="str">
        <f>IFERROR(IF(tblPiNAnalysis[[#This Row],[Mine Action]]="", "", MROUND(tblPiNAnalysis[[#This Row],[Mine Action]]/tblPiNAnalysis[[#This Row],[Total Population]], 0.05)), "")</f>
        <v/>
      </c>
      <c r="AE27" s="314" t="str">
        <f>IFERROR(IF(tblPiNAnalysis[[#This Row],[General Protection]]="", "", MROUND(tblPiNAnalysis[[#This Row],[General Protection]]/tblPiNAnalysis[[#This Row],[Total Population]], 0.05)), "")</f>
        <v/>
      </c>
      <c r="AF27" s="319">
        <f>IFERROR(LARGE(tblPiNAnalysis[[#This Row],[Site Management ]:[General Protection]], 1), "")</f>
        <v>0</v>
      </c>
      <c r="AG27" s="320" t="e">
        <f>IF(tblPiNAnalysis[[#This Row],[Highest PiN]]="", "",tblPiNAnalysis[[#This Row],[Highest PiN]]/ tblPiNAnalysis[[#This Row],[Total Population]])</f>
        <v>#DIV/0!</v>
      </c>
      <c r="AH27" s="320" t="str">
        <f>IFERROR(IF(tblPiNAnalysis[[#This Row],[Highest PiN]]="", "", IF(tblPiNAnalysis[[#This Row],[Highest sector(s'') PiN %]]&gt;=flag_pin_perc, "Flagged", "")), "")</f>
        <v/>
      </c>
      <c r="AI27" s="321"/>
      <c r="AJ27" s="322"/>
      <c r="AK27" s="323">
        <f>COUNTIFS(tblPiNAnalysis[[#This Row],[Highest PiN greater than 90% of total affected population]:[Manual Flag]],"Flagged")</f>
        <v>0</v>
      </c>
      <c r="AL27" s="324" t="str">
        <f>IF(tblPiNAnalysis[[#This Row],['# Flags]]&gt;0, "Flagged", "")</f>
        <v/>
      </c>
    </row>
    <row r="28" spans="1:38" ht="23.1" hidden="1" customHeight="1" x14ac:dyDescent="0.2">
      <c r="A28" s="309" t="str">
        <f>_xlfn.CONCAT(IF(tblPiNAnalysis[[#This Row],[Population Group]]="", "",tblPiNAnalysis[[#This Row],[Population Group]] ), _xlfn.IFS(tblPiNAnalysis[[#This Row],[Admin 2 P-Code]]&lt;&gt;"", tblPiNAnalysis[[#This Row],[Admin 2 P-Code]], tblPiNAnalysis[[#This Row],[Admin 1 P-Code]]&lt;&gt;"", tblPiNAnalysis[[#This Row],[Admin 1 P-Code]]))</f>
        <v>Host CommunitySD02114</v>
      </c>
      <c r="B28" s="245" t="s">
        <v>167</v>
      </c>
      <c r="C28" s="246" t="s">
        <v>119</v>
      </c>
      <c r="D28" s="247" t="s">
        <v>199</v>
      </c>
      <c r="E28" s="246" t="s">
        <v>198</v>
      </c>
      <c r="F28" s="248">
        <v>171329</v>
      </c>
      <c r="G28" s="248" t="s">
        <v>87</v>
      </c>
      <c r="H28" s="310"/>
      <c r="I28" s="311"/>
      <c r="J28" s="312"/>
      <c r="K28" s="311"/>
      <c r="L28" s="311"/>
      <c r="M28" s="312"/>
      <c r="N28" s="312">
        <f>_xlfn.XLOOKUP(CONCATENATE(tblPiNAnalysis[[#This Row],[Admin 2 P-Code]],tblPiNAnalysis[[#This Row],[Population Group]]),'Overall severity &amp; PIN Analysis'!A:A,'Overall severity &amp; PIN Analysis'!P:P,0,0)</f>
        <v>79157</v>
      </c>
      <c r="O28" s="311"/>
      <c r="P28" s="312"/>
      <c r="Q28" s="312"/>
      <c r="R28" s="312"/>
      <c r="S28" s="312"/>
      <c r="T28" s="313" t="str">
        <f>IF(tblPiNAnalysis[[#This Row],[Site Management ]]="", "", tblPiNAnalysis[[#This Row],[Site Management ]]/tblPiNAnalysis[[#This Row],[Total Population]])</f>
        <v/>
      </c>
      <c r="U28" s="314" t="str">
        <f>IF(tblPiNAnalysis[[#This Row],[Education]]="", "", tblPiNAnalysis[[#This Row],[Education]]/tblPiNAnalysis[[#This Row],[Total Population]])</f>
        <v/>
      </c>
      <c r="V28" s="314" t="str">
        <f>IF(tblPiNAnalysis[[#This Row],[Food Security and Livlihoods]]="", "", tblPiNAnalysis[[#This Row],[Food Security and Livlihoods]]/tblPiNAnalysis[[#This Row],[Total Population]])</f>
        <v/>
      </c>
      <c r="W28" s="315" t="str">
        <f>IF(tblPiNAnalysis[[#This Row],[Health ]]="", "", tblPiNAnalysis[[#This Row],[Health ]]/tblPiNAnalysis[[#This Row],[Total Population]])</f>
        <v/>
      </c>
      <c r="X28" s="314" t="str">
        <f>IF(tblPiNAnalysis[[#This Row],[Nutrition]]="", "", tblPiNAnalysis[[#This Row],[Nutrition]]/tblPiNAnalysis[[#This Row],[Total Population]])</f>
        <v/>
      </c>
      <c r="Y28" s="314" t="str">
        <f>IF(tblPiNAnalysis[[#This Row],[Protection]]="", "", tblPiNAnalysis[[#This Row],[Protection]]/tblPiNAnalysis[[#This Row],[Total Population]])</f>
        <v/>
      </c>
      <c r="Z28" s="316">
        <f>IF(tblPiNAnalysis[[#This Row],[Shelter NFI ]]="", "", tblPiNAnalysis[[#This Row],[Shelter NFI ]]/tblPiNAnalysis[[#This Row],[Total Population]])</f>
        <v>0.46201752184393768</v>
      </c>
      <c r="AA28" s="317" t="str">
        <f>IF(tblPiNAnalysis[[#This Row],[WASH]]="", "", tblPiNAnalysis[[#This Row],[WASH]]/tblPiNAnalysis[[#This Row],[Total Population]])</f>
        <v/>
      </c>
      <c r="AB28" s="318" t="str">
        <f>IFERROR(IF(tblPiNAnalysis[[#This Row],[CP]]="", "", MROUND(tblPiNAnalysis[[#This Row],[CP]]/tblPiNAnalysis[[#This Row],[Total Population]], 0.05)), "")</f>
        <v/>
      </c>
      <c r="AC28" s="314" t="str">
        <f>IFERROR(IF(tblPiNAnalysis[[#This Row],[GBV]]="", "", MROUND(tblPiNAnalysis[[#This Row],[GBV]]/tblPiNAnalysis[[#This Row],[Total Population]], 0.05)), "")</f>
        <v/>
      </c>
      <c r="AD28" s="314" t="str">
        <f>IFERROR(IF(tblPiNAnalysis[[#This Row],[Mine Action]]="", "", MROUND(tblPiNAnalysis[[#This Row],[Mine Action]]/tblPiNAnalysis[[#This Row],[Total Population]], 0.05)), "")</f>
        <v/>
      </c>
      <c r="AE28" s="314" t="str">
        <f>IFERROR(IF(tblPiNAnalysis[[#This Row],[General Protection]]="", "", MROUND(tblPiNAnalysis[[#This Row],[General Protection]]/tblPiNAnalysis[[#This Row],[Total Population]], 0.05)), "")</f>
        <v/>
      </c>
      <c r="AF28" s="319">
        <f>IFERROR(LARGE(tblPiNAnalysis[[#This Row],[Site Management ]:[General Protection]], 1), "")</f>
        <v>79157</v>
      </c>
      <c r="AG28" s="320">
        <f>IF(tblPiNAnalysis[[#This Row],[Highest PiN]]="", "",tblPiNAnalysis[[#This Row],[Highest PiN]]/ tblPiNAnalysis[[#This Row],[Total Population]])</f>
        <v>0.46201752184393768</v>
      </c>
      <c r="AH28" s="320" t="str">
        <f>IFERROR(IF(tblPiNAnalysis[[#This Row],[Highest PiN]]="", "", IF(tblPiNAnalysis[[#This Row],[Highest sector(s'') PiN %]]&gt;=flag_pin_perc, "Flagged", "")), "")</f>
        <v/>
      </c>
      <c r="AI28" s="321"/>
      <c r="AJ28" s="322"/>
      <c r="AK28" s="323">
        <f>COUNTIFS(tblPiNAnalysis[[#This Row],[Highest PiN greater than 90% of total affected population]:[Manual Flag]],"Flagged")</f>
        <v>0</v>
      </c>
      <c r="AL28" s="324" t="str">
        <f>IF(tblPiNAnalysis[[#This Row],['# Flags]]&gt;0, "Flagged", "")</f>
        <v/>
      </c>
    </row>
    <row r="29" spans="1:38" ht="23.1" hidden="1" customHeight="1" x14ac:dyDescent="0.2">
      <c r="A29" s="309" t="str">
        <f>_xlfn.CONCAT(IF(tblPiNAnalysis[[#This Row],[Population Group]]="", "",tblPiNAnalysis[[#This Row],[Population Group]] ), _xlfn.IFS(tblPiNAnalysis[[#This Row],[Admin 2 P-Code]]&lt;&gt;"", tblPiNAnalysis[[#This Row],[Admin 2 P-Code]], tblPiNAnalysis[[#This Row],[Admin 1 P-Code]]&lt;&gt;"", tblPiNAnalysis[[#This Row],[Admin 1 P-Code]]))</f>
        <v>IDPsSD02114</v>
      </c>
      <c r="B29" s="245" t="s">
        <v>167</v>
      </c>
      <c r="C29" s="246" t="s">
        <v>119</v>
      </c>
      <c r="D29" s="247" t="s">
        <v>199</v>
      </c>
      <c r="E29" s="246" t="s">
        <v>198</v>
      </c>
      <c r="F29" s="248">
        <v>702481</v>
      </c>
      <c r="G29" s="248" t="s">
        <v>88</v>
      </c>
      <c r="H29" s="310"/>
      <c r="I29" s="311"/>
      <c r="J29" s="311"/>
      <c r="K29" s="311"/>
      <c r="L29" s="311"/>
      <c r="M29" s="311"/>
      <c r="N29" s="311">
        <f>_xlfn.XLOOKUP(CONCATENATE(tblPiNAnalysis[[#This Row],[Admin 2 P-Code]],tblPiNAnalysis[[#This Row],[Population Group]]),'Overall severity &amp; PIN Analysis'!A:A,'Overall severity &amp; PIN Analysis'!P:P,0,0)</f>
        <v>324560</v>
      </c>
      <c r="O29" s="311"/>
      <c r="P29" s="311"/>
      <c r="Q29" s="311"/>
      <c r="R29" s="311"/>
      <c r="S29" s="311"/>
      <c r="T29" s="326" t="str">
        <f>IF(tblPiNAnalysis[[#This Row],[Site Management ]]="", "", tblPiNAnalysis[[#This Row],[Site Management ]]/tblPiNAnalysis[[#This Row],[Total Population]])</f>
        <v/>
      </c>
      <c r="U29" s="315" t="str">
        <f>IF(tblPiNAnalysis[[#This Row],[Education]]="", "", tblPiNAnalysis[[#This Row],[Education]]/tblPiNAnalysis[[#This Row],[Total Population]])</f>
        <v/>
      </c>
      <c r="V29" s="315" t="str">
        <f>IF(tblPiNAnalysis[[#This Row],[Food Security and Livlihoods]]="", "", tblPiNAnalysis[[#This Row],[Food Security and Livlihoods]]/tblPiNAnalysis[[#This Row],[Total Population]])</f>
        <v/>
      </c>
      <c r="W29" s="315" t="str">
        <f>IF(tblPiNAnalysis[[#This Row],[Health ]]="", "", tblPiNAnalysis[[#This Row],[Health ]]/tblPiNAnalysis[[#This Row],[Total Population]])</f>
        <v/>
      </c>
      <c r="X29" s="315" t="str">
        <f>IF(tblPiNAnalysis[[#This Row],[Nutrition]]="", "", tblPiNAnalysis[[#This Row],[Nutrition]]/tblPiNAnalysis[[#This Row],[Total Population]])</f>
        <v/>
      </c>
      <c r="Y29" s="315" t="str">
        <f>IF(tblPiNAnalysis[[#This Row],[Protection]]="", "", tblPiNAnalysis[[#This Row],[Protection]]/tblPiNAnalysis[[#This Row],[Total Population]])</f>
        <v/>
      </c>
      <c r="Z29" s="327">
        <f>IF(tblPiNAnalysis[[#This Row],[Shelter NFI ]]="", "", tblPiNAnalysis[[#This Row],[Shelter NFI ]]/tblPiNAnalysis[[#This Row],[Total Population]])</f>
        <v>0.46201961334185548</v>
      </c>
      <c r="AA29" s="328" t="str">
        <f>IF(tblPiNAnalysis[[#This Row],[WASH]]="", "", tblPiNAnalysis[[#This Row],[WASH]]/tblPiNAnalysis[[#This Row],[Total Population]])</f>
        <v/>
      </c>
      <c r="AB29" s="329" t="str">
        <f>IFERROR(IF(tblPiNAnalysis[[#This Row],[CP]]="", "", MROUND(tblPiNAnalysis[[#This Row],[CP]]/tblPiNAnalysis[[#This Row],[Total Population]], 0.05)), "")</f>
        <v/>
      </c>
      <c r="AC29" s="315" t="str">
        <f>IFERROR(IF(tblPiNAnalysis[[#This Row],[GBV]]="", "", MROUND(tblPiNAnalysis[[#This Row],[GBV]]/tblPiNAnalysis[[#This Row],[Total Population]], 0.05)), "")</f>
        <v/>
      </c>
      <c r="AD29" s="315" t="str">
        <f>IFERROR(IF(tblPiNAnalysis[[#This Row],[Mine Action]]="", "", MROUND(tblPiNAnalysis[[#This Row],[Mine Action]]/tblPiNAnalysis[[#This Row],[Total Population]], 0.05)), "")</f>
        <v/>
      </c>
      <c r="AE29" s="315" t="str">
        <f>IFERROR(IF(tblPiNAnalysis[[#This Row],[General Protection]]="", "", MROUND(tblPiNAnalysis[[#This Row],[General Protection]]/tblPiNAnalysis[[#This Row],[Total Population]], 0.05)), "")</f>
        <v/>
      </c>
      <c r="AF29" s="319">
        <f>IFERROR(LARGE(tblPiNAnalysis[[#This Row],[Site Management ]:[General Protection]], 1), "")</f>
        <v>324560</v>
      </c>
      <c r="AG29" s="330">
        <f>IF(tblPiNAnalysis[[#This Row],[Highest PiN]]="", "",tblPiNAnalysis[[#This Row],[Highest PiN]]/ tblPiNAnalysis[[#This Row],[Total Population]])</f>
        <v>0.46201961334185548</v>
      </c>
      <c r="AH29" s="330" t="str">
        <f>IFERROR(IF(tblPiNAnalysis[[#This Row],[Highest PiN]]="", "", IF(tblPiNAnalysis[[#This Row],[Highest sector(s'') PiN %]]&gt;=flag_pin_perc, "Flagged", "")), "")</f>
        <v/>
      </c>
      <c r="AI29" s="321"/>
      <c r="AJ29" s="322"/>
      <c r="AK29" s="323">
        <f>COUNTIFS(tblPiNAnalysis[[#This Row],[Highest PiN greater than 90% of total affected population]:[Manual Flag]],"Flagged")</f>
        <v>0</v>
      </c>
      <c r="AL29" s="331" t="str">
        <f>IF(tblPiNAnalysis[[#This Row],['# Flags]]&gt;0, "Flagged", "")</f>
        <v/>
      </c>
    </row>
    <row r="30" spans="1:38" ht="23.1" customHeight="1" x14ac:dyDescent="0.2">
      <c r="A30" s="309" t="str">
        <f>_xlfn.CONCAT(IF(tblPiNAnalysis[[#This Row],[Population Group]]="", "",tblPiNAnalysis[[#This Row],[Population Group]] ), _xlfn.IFS(tblPiNAnalysis[[#This Row],[Admin 2 P-Code]]&lt;&gt;"", tblPiNAnalysis[[#This Row],[Admin 2 P-Code]], tblPiNAnalysis[[#This Row],[Admin 1 P-Code]]&lt;&gt;"", tblPiNAnalysis[[#This Row],[Admin 1 P-Code]]))</f>
        <v>Non-hosting PopulationSD02114</v>
      </c>
      <c r="B30" s="245" t="s">
        <v>167</v>
      </c>
      <c r="C30" s="246" t="s">
        <v>119</v>
      </c>
      <c r="D30" s="247" t="s">
        <v>199</v>
      </c>
      <c r="E30" s="246" t="s">
        <v>198</v>
      </c>
      <c r="F30" s="248">
        <v>35415</v>
      </c>
      <c r="G30" s="248" t="s">
        <v>568</v>
      </c>
      <c r="H30" s="310"/>
      <c r="I30" s="311"/>
      <c r="J30" s="312"/>
      <c r="K30" s="311"/>
      <c r="L30" s="311"/>
      <c r="M30" s="312"/>
      <c r="N30" s="312">
        <f>_xlfn.XLOOKUP(CONCATENATE(tblPiNAnalysis[[#This Row],[Admin 2 P-Code]],tblPiNAnalysis[[#This Row],[Population Group]]),'Overall severity &amp; PIN Analysis'!A:A,'Overall severity &amp; PIN Analysis'!P:P,0,0)</f>
        <v>4979</v>
      </c>
      <c r="O30" s="311"/>
      <c r="P30" s="312"/>
      <c r="Q30" s="312"/>
      <c r="R30" s="312"/>
      <c r="S30" s="312"/>
      <c r="T30" s="313" t="str">
        <f>IF(tblPiNAnalysis[[#This Row],[Site Management ]]="", "", tblPiNAnalysis[[#This Row],[Site Management ]]/tblPiNAnalysis[[#This Row],[Total Population]])</f>
        <v/>
      </c>
      <c r="U30" s="314" t="str">
        <f>IF(tblPiNAnalysis[[#This Row],[Education]]="", "", tblPiNAnalysis[[#This Row],[Education]]/tblPiNAnalysis[[#This Row],[Total Population]])</f>
        <v/>
      </c>
      <c r="V30" s="314" t="str">
        <f>IF(tblPiNAnalysis[[#This Row],[Food Security and Livlihoods]]="", "", tblPiNAnalysis[[#This Row],[Food Security and Livlihoods]]/tblPiNAnalysis[[#This Row],[Total Population]])</f>
        <v/>
      </c>
      <c r="W30" s="315" t="str">
        <f>IF(tblPiNAnalysis[[#This Row],[Health ]]="", "", tblPiNAnalysis[[#This Row],[Health ]]/tblPiNAnalysis[[#This Row],[Total Population]])</f>
        <v/>
      </c>
      <c r="X30" s="314" t="str">
        <f>IF(tblPiNAnalysis[[#This Row],[Nutrition]]="", "", tblPiNAnalysis[[#This Row],[Nutrition]]/tblPiNAnalysis[[#This Row],[Total Population]])</f>
        <v/>
      </c>
      <c r="Y30" s="314" t="str">
        <f>IF(tblPiNAnalysis[[#This Row],[Protection]]="", "", tblPiNAnalysis[[#This Row],[Protection]]/tblPiNAnalysis[[#This Row],[Total Population]])</f>
        <v/>
      </c>
      <c r="Z30" s="316">
        <f>IF(tblPiNAnalysis[[#This Row],[Shelter NFI ]]="", "", tblPiNAnalysis[[#This Row],[Shelter NFI ]]/tblPiNAnalysis[[#This Row],[Total Population]])</f>
        <v>0.14059014541860793</v>
      </c>
      <c r="AA30" s="317" t="str">
        <f>IF(tblPiNAnalysis[[#This Row],[WASH]]="", "", tblPiNAnalysis[[#This Row],[WASH]]/tblPiNAnalysis[[#This Row],[Total Population]])</f>
        <v/>
      </c>
      <c r="AB30" s="318" t="str">
        <f>IFERROR(IF(tblPiNAnalysis[[#This Row],[CP]]="", "", MROUND(tblPiNAnalysis[[#This Row],[CP]]/tblPiNAnalysis[[#This Row],[Total Population]], 0.05)), "")</f>
        <v/>
      </c>
      <c r="AC30" s="314" t="str">
        <f>IFERROR(IF(tblPiNAnalysis[[#This Row],[GBV]]="", "", MROUND(tblPiNAnalysis[[#This Row],[GBV]]/tblPiNAnalysis[[#This Row],[Total Population]], 0.05)), "")</f>
        <v/>
      </c>
      <c r="AD30" s="314" t="str">
        <f>IFERROR(IF(tblPiNAnalysis[[#This Row],[Mine Action]]="", "", MROUND(tblPiNAnalysis[[#This Row],[Mine Action]]/tblPiNAnalysis[[#This Row],[Total Population]], 0.05)), "")</f>
        <v/>
      </c>
      <c r="AE30" s="314" t="str">
        <f>IFERROR(IF(tblPiNAnalysis[[#This Row],[General Protection]]="", "", MROUND(tblPiNAnalysis[[#This Row],[General Protection]]/tblPiNAnalysis[[#This Row],[Total Population]], 0.05)), "")</f>
        <v/>
      </c>
      <c r="AF30" s="319">
        <f>IFERROR(LARGE(tblPiNAnalysis[[#This Row],[Site Management ]:[General Protection]], 1), "")</f>
        <v>4979</v>
      </c>
      <c r="AG30" s="320">
        <f>IF(tblPiNAnalysis[[#This Row],[Highest PiN]]="", "",tblPiNAnalysis[[#This Row],[Highest PiN]]/ tblPiNAnalysis[[#This Row],[Total Population]])</f>
        <v>0.14059014541860793</v>
      </c>
      <c r="AH30" s="320" t="str">
        <f>IFERROR(IF(tblPiNAnalysis[[#This Row],[Highest PiN]]="", "", IF(tblPiNAnalysis[[#This Row],[Highest sector(s'') PiN %]]&gt;=flag_pin_perc, "Flagged", "")), "")</f>
        <v/>
      </c>
      <c r="AI30" s="321"/>
      <c r="AJ30" s="322"/>
      <c r="AK30" s="323">
        <f>COUNTIFS(tblPiNAnalysis[[#This Row],[Highest PiN greater than 90% of total affected population]:[Manual Flag]],"Flagged")</f>
        <v>0</v>
      </c>
      <c r="AL30" s="324" t="str">
        <f>IF(tblPiNAnalysis[[#This Row],['# Flags]]&gt;0, "Flagged", "")</f>
        <v/>
      </c>
    </row>
    <row r="31" spans="1:38" ht="23.1" hidden="1" customHeight="1" x14ac:dyDescent="0.2">
      <c r="A31" s="309" t="str">
        <f>_xlfn.CONCAT(IF(tblPiNAnalysis[[#This Row],[Population Group]]="", "",tblPiNAnalysis[[#This Row],[Population Group]] ), _xlfn.IFS(tblPiNAnalysis[[#This Row],[Admin 2 P-Code]]&lt;&gt;"", tblPiNAnalysis[[#This Row],[Admin 2 P-Code]], tblPiNAnalysis[[#This Row],[Admin 1 P-Code]]&lt;&gt;"", tblPiNAnalysis[[#This Row],[Admin 1 P-Code]]))</f>
        <v>Host CommunitySD02116</v>
      </c>
      <c r="B31" s="245" t="s">
        <v>167</v>
      </c>
      <c r="C31" s="246" t="s">
        <v>119</v>
      </c>
      <c r="D31" s="247" t="s">
        <v>201</v>
      </c>
      <c r="E31" s="246" t="s">
        <v>200</v>
      </c>
      <c r="F31" s="248">
        <v>10045</v>
      </c>
      <c r="G31" s="248" t="s">
        <v>87</v>
      </c>
      <c r="H31" s="310"/>
      <c r="I31" s="311"/>
      <c r="J31" s="312"/>
      <c r="K31" s="311"/>
      <c r="L31" s="311"/>
      <c r="M31" s="312"/>
      <c r="N31" s="312">
        <f>_xlfn.XLOOKUP(CONCATENATE(tblPiNAnalysis[[#This Row],[Admin 2 P-Code]],tblPiNAnalysis[[#This Row],[Population Group]]),'Overall severity &amp; PIN Analysis'!A:A,'Overall severity &amp; PIN Analysis'!P:P,0,0)</f>
        <v>9077</v>
      </c>
      <c r="O31" s="311"/>
      <c r="P31" s="312"/>
      <c r="Q31" s="312"/>
      <c r="R31" s="312"/>
      <c r="S31" s="312"/>
      <c r="T31" s="313" t="str">
        <f>IF(tblPiNAnalysis[[#This Row],[Site Management ]]="", "", tblPiNAnalysis[[#This Row],[Site Management ]]/tblPiNAnalysis[[#This Row],[Total Population]])</f>
        <v/>
      </c>
      <c r="U31" s="314" t="str">
        <f>IF(tblPiNAnalysis[[#This Row],[Education]]="", "", tblPiNAnalysis[[#This Row],[Education]]/tblPiNAnalysis[[#This Row],[Total Population]])</f>
        <v/>
      </c>
      <c r="V31" s="314" t="str">
        <f>IF(tblPiNAnalysis[[#This Row],[Food Security and Livlihoods]]="", "", tblPiNAnalysis[[#This Row],[Food Security and Livlihoods]]/tblPiNAnalysis[[#This Row],[Total Population]])</f>
        <v/>
      </c>
      <c r="W31" s="315" t="str">
        <f>IF(tblPiNAnalysis[[#This Row],[Health ]]="", "", tblPiNAnalysis[[#This Row],[Health ]]/tblPiNAnalysis[[#This Row],[Total Population]])</f>
        <v/>
      </c>
      <c r="X31" s="314" t="str">
        <f>IF(tblPiNAnalysis[[#This Row],[Nutrition]]="", "", tblPiNAnalysis[[#This Row],[Nutrition]]/tblPiNAnalysis[[#This Row],[Total Population]])</f>
        <v/>
      </c>
      <c r="Y31" s="314" t="str">
        <f>IF(tblPiNAnalysis[[#This Row],[Protection]]="", "", tblPiNAnalysis[[#This Row],[Protection]]/tblPiNAnalysis[[#This Row],[Total Population]])</f>
        <v/>
      </c>
      <c r="Z31" s="316">
        <f>IF(tblPiNAnalysis[[#This Row],[Shelter NFI ]]="", "", tblPiNAnalysis[[#This Row],[Shelter NFI ]]/tblPiNAnalysis[[#This Row],[Total Population]])</f>
        <v>0.90363364858138373</v>
      </c>
      <c r="AA31" s="317" t="str">
        <f>IF(tblPiNAnalysis[[#This Row],[WASH]]="", "", tblPiNAnalysis[[#This Row],[WASH]]/tblPiNAnalysis[[#This Row],[Total Population]])</f>
        <v/>
      </c>
      <c r="AB31" s="318" t="str">
        <f>IFERROR(IF(tblPiNAnalysis[[#This Row],[CP]]="", "", MROUND(tblPiNAnalysis[[#This Row],[CP]]/tblPiNAnalysis[[#This Row],[Total Population]], 0.05)), "")</f>
        <v/>
      </c>
      <c r="AC31" s="314" t="str">
        <f>IFERROR(IF(tblPiNAnalysis[[#This Row],[GBV]]="", "", MROUND(tblPiNAnalysis[[#This Row],[GBV]]/tblPiNAnalysis[[#This Row],[Total Population]], 0.05)), "")</f>
        <v/>
      </c>
      <c r="AD31" s="314" t="str">
        <f>IFERROR(IF(tblPiNAnalysis[[#This Row],[Mine Action]]="", "", MROUND(tblPiNAnalysis[[#This Row],[Mine Action]]/tblPiNAnalysis[[#This Row],[Total Population]], 0.05)), "")</f>
        <v/>
      </c>
      <c r="AE31" s="314" t="str">
        <f>IFERROR(IF(tblPiNAnalysis[[#This Row],[General Protection]]="", "", MROUND(tblPiNAnalysis[[#This Row],[General Protection]]/tblPiNAnalysis[[#This Row],[Total Population]], 0.05)), "")</f>
        <v/>
      </c>
      <c r="AF31" s="319">
        <f>IFERROR(LARGE(tblPiNAnalysis[[#This Row],[Site Management ]:[General Protection]], 1), "")</f>
        <v>9077</v>
      </c>
      <c r="AG31" s="320">
        <f>IF(tblPiNAnalysis[[#This Row],[Highest PiN]]="", "",tblPiNAnalysis[[#This Row],[Highest PiN]]/ tblPiNAnalysis[[#This Row],[Total Population]])</f>
        <v>0.90363364858138373</v>
      </c>
      <c r="AH31" s="320" t="str">
        <f>IFERROR(IF(tblPiNAnalysis[[#This Row],[Highest PiN]]="", "", IF(tblPiNAnalysis[[#This Row],[Highest sector(s'') PiN %]]&gt;=flag_pin_perc, "Flagged", "")), "")</f>
        <v>Flagged</v>
      </c>
      <c r="AI31" s="321"/>
      <c r="AJ31" s="322"/>
      <c r="AK31" s="323">
        <f>COUNTIFS(tblPiNAnalysis[[#This Row],[Highest PiN greater than 90% of total affected population]:[Manual Flag]],"Flagged")</f>
        <v>1</v>
      </c>
      <c r="AL31" s="324" t="str">
        <f>IF(tblPiNAnalysis[[#This Row],['# Flags]]&gt;0, "Flagged", "")</f>
        <v>Flagged</v>
      </c>
    </row>
    <row r="32" spans="1:38" ht="23.1" hidden="1" customHeight="1" x14ac:dyDescent="0.2">
      <c r="A32" s="309" t="str">
        <f>_xlfn.CONCAT(IF(tblPiNAnalysis[[#This Row],[Population Group]]="", "",tblPiNAnalysis[[#This Row],[Population Group]] ), _xlfn.IFS(tblPiNAnalysis[[#This Row],[Admin 2 P-Code]]&lt;&gt;"", tblPiNAnalysis[[#This Row],[Admin 2 P-Code]], tblPiNAnalysis[[#This Row],[Admin 1 P-Code]]&lt;&gt;"", tblPiNAnalysis[[#This Row],[Admin 1 P-Code]]))</f>
        <v>IDPsSD02116</v>
      </c>
      <c r="B32" s="245" t="s">
        <v>167</v>
      </c>
      <c r="C32" s="246" t="s">
        <v>119</v>
      </c>
      <c r="D32" s="247" t="s">
        <v>201</v>
      </c>
      <c r="E32" s="246" t="s">
        <v>200</v>
      </c>
      <c r="F32" s="248">
        <v>10045</v>
      </c>
      <c r="G32" s="248" t="s">
        <v>88</v>
      </c>
      <c r="H32" s="310"/>
      <c r="I32" s="311"/>
      <c r="J32" s="312"/>
      <c r="K32" s="311"/>
      <c r="L32" s="311"/>
      <c r="M32" s="312"/>
      <c r="N32" s="312">
        <f>_xlfn.XLOOKUP(CONCATENATE(tblPiNAnalysis[[#This Row],[Admin 2 P-Code]],tblPiNAnalysis[[#This Row],[Population Group]]),'Overall severity &amp; PIN Analysis'!A:A,'Overall severity &amp; PIN Analysis'!P:P,0,0)</f>
        <v>9077</v>
      </c>
      <c r="O32" s="311"/>
      <c r="P32" s="312"/>
      <c r="Q32" s="312"/>
      <c r="R32" s="312"/>
      <c r="S32" s="312"/>
      <c r="T32" s="313" t="str">
        <f>IF(tblPiNAnalysis[[#This Row],[Site Management ]]="", "", tblPiNAnalysis[[#This Row],[Site Management ]]/tblPiNAnalysis[[#This Row],[Total Population]])</f>
        <v/>
      </c>
      <c r="U32" s="314" t="str">
        <f>IF(tblPiNAnalysis[[#This Row],[Education]]="", "", tblPiNAnalysis[[#This Row],[Education]]/tblPiNAnalysis[[#This Row],[Total Population]])</f>
        <v/>
      </c>
      <c r="V32" s="314" t="str">
        <f>IF(tblPiNAnalysis[[#This Row],[Food Security and Livlihoods]]="", "", tblPiNAnalysis[[#This Row],[Food Security and Livlihoods]]/tblPiNAnalysis[[#This Row],[Total Population]])</f>
        <v/>
      </c>
      <c r="W32" s="315" t="str">
        <f>IF(tblPiNAnalysis[[#This Row],[Health ]]="", "", tblPiNAnalysis[[#This Row],[Health ]]/tblPiNAnalysis[[#This Row],[Total Population]])</f>
        <v/>
      </c>
      <c r="X32" s="314" t="str">
        <f>IF(tblPiNAnalysis[[#This Row],[Nutrition]]="", "", tblPiNAnalysis[[#This Row],[Nutrition]]/tblPiNAnalysis[[#This Row],[Total Population]])</f>
        <v/>
      </c>
      <c r="Y32" s="314" t="str">
        <f>IF(tblPiNAnalysis[[#This Row],[Protection]]="", "", tblPiNAnalysis[[#This Row],[Protection]]/tblPiNAnalysis[[#This Row],[Total Population]])</f>
        <v/>
      </c>
      <c r="Z32" s="316">
        <f>IF(tblPiNAnalysis[[#This Row],[Shelter NFI ]]="", "", tblPiNAnalysis[[#This Row],[Shelter NFI ]]/tblPiNAnalysis[[#This Row],[Total Population]])</f>
        <v>0.90363364858138373</v>
      </c>
      <c r="AA32" s="317" t="str">
        <f>IF(tblPiNAnalysis[[#This Row],[WASH]]="", "", tblPiNAnalysis[[#This Row],[WASH]]/tblPiNAnalysis[[#This Row],[Total Population]])</f>
        <v/>
      </c>
      <c r="AB32" s="318" t="str">
        <f>IFERROR(IF(tblPiNAnalysis[[#This Row],[CP]]="", "", MROUND(tblPiNAnalysis[[#This Row],[CP]]/tblPiNAnalysis[[#This Row],[Total Population]], 0.05)), "")</f>
        <v/>
      </c>
      <c r="AC32" s="314" t="str">
        <f>IFERROR(IF(tblPiNAnalysis[[#This Row],[GBV]]="", "", MROUND(tblPiNAnalysis[[#This Row],[GBV]]/tblPiNAnalysis[[#This Row],[Total Population]], 0.05)), "")</f>
        <v/>
      </c>
      <c r="AD32" s="314" t="str">
        <f>IFERROR(IF(tblPiNAnalysis[[#This Row],[Mine Action]]="", "", MROUND(tblPiNAnalysis[[#This Row],[Mine Action]]/tblPiNAnalysis[[#This Row],[Total Population]], 0.05)), "")</f>
        <v/>
      </c>
      <c r="AE32" s="314" t="str">
        <f>IFERROR(IF(tblPiNAnalysis[[#This Row],[General Protection]]="", "", MROUND(tblPiNAnalysis[[#This Row],[General Protection]]/tblPiNAnalysis[[#This Row],[Total Population]], 0.05)), "")</f>
        <v/>
      </c>
      <c r="AF32" s="319">
        <f>IFERROR(LARGE(tblPiNAnalysis[[#This Row],[Site Management ]:[General Protection]], 1), "")</f>
        <v>9077</v>
      </c>
      <c r="AG32" s="320">
        <f>IF(tblPiNAnalysis[[#This Row],[Highest PiN]]="", "",tblPiNAnalysis[[#This Row],[Highest PiN]]/ tblPiNAnalysis[[#This Row],[Total Population]])</f>
        <v>0.90363364858138373</v>
      </c>
      <c r="AH32" s="320" t="str">
        <f>IFERROR(IF(tblPiNAnalysis[[#This Row],[Highest PiN]]="", "", IF(tblPiNAnalysis[[#This Row],[Highest sector(s'') PiN %]]&gt;=flag_pin_perc, "Flagged", "")), "")</f>
        <v>Flagged</v>
      </c>
      <c r="AI32" s="321"/>
      <c r="AJ32" s="322"/>
      <c r="AK32" s="323">
        <f>COUNTIFS(tblPiNAnalysis[[#This Row],[Highest PiN greater than 90% of total affected population]:[Manual Flag]],"Flagged")</f>
        <v>1</v>
      </c>
      <c r="AL32" s="324" t="str">
        <f>IF(tblPiNAnalysis[[#This Row],['# Flags]]&gt;0, "Flagged", "")</f>
        <v>Flagged</v>
      </c>
    </row>
    <row r="33" spans="1:38" ht="23.1" customHeight="1" x14ac:dyDescent="0.2">
      <c r="A33" s="309" t="str">
        <f>_xlfn.CONCAT(IF(tblPiNAnalysis[[#This Row],[Population Group]]="", "",tblPiNAnalysis[[#This Row],[Population Group]] ), _xlfn.IFS(tblPiNAnalysis[[#This Row],[Admin 2 P-Code]]&lt;&gt;"", tblPiNAnalysis[[#This Row],[Admin 2 P-Code]], tblPiNAnalysis[[#This Row],[Admin 1 P-Code]]&lt;&gt;"", tblPiNAnalysis[[#This Row],[Admin 1 P-Code]]))</f>
        <v>Non-hosting PopulationSD02116</v>
      </c>
      <c r="B33" s="245" t="s">
        <v>167</v>
      </c>
      <c r="C33" s="246" t="s">
        <v>119</v>
      </c>
      <c r="D33" s="247" t="s">
        <v>201</v>
      </c>
      <c r="E33" s="246" t="s">
        <v>200</v>
      </c>
      <c r="F33" s="248">
        <v>23429</v>
      </c>
      <c r="G33" s="248" t="s">
        <v>568</v>
      </c>
      <c r="H33" s="310"/>
      <c r="I33" s="311"/>
      <c r="J33" s="312"/>
      <c r="K33" s="311"/>
      <c r="L33" s="311"/>
      <c r="M33" s="312"/>
      <c r="N33" s="312">
        <f>_xlfn.XLOOKUP(CONCATENATE(tblPiNAnalysis[[#This Row],[Admin 2 P-Code]],tblPiNAnalysis[[#This Row],[Population Group]]),'Overall severity &amp; PIN Analysis'!A:A,'Overall severity &amp; PIN Analysis'!P:P,0,0)</f>
        <v>164</v>
      </c>
      <c r="O33" s="311"/>
      <c r="P33" s="312"/>
      <c r="Q33" s="312"/>
      <c r="R33" s="312"/>
      <c r="S33" s="312"/>
      <c r="T33" s="313" t="str">
        <f>IF(tblPiNAnalysis[[#This Row],[Site Management ]]="", "", tblPiNAnalysis[[#This Row],[Site Management ]]/tblPiNAnalysis[[#This Row],[Total Population]])</f>
        <v/>
      </c>
      <c r="U33" s="314" t="str">
        <f>IF(tblPiNAnalysis[[#This Row],[Education]]="", "", tblPiNAnalysis[[#This Row],[Education]]/tblPiNAnalysis[[#This Row],[Total Population]])</f>
        <v/>
      </c>
      <c r="V33" s="314" t="str">
        <f>IF(tblPiNAnalysis[[#This Row],[Food Security and Livlihoods]]="", "", tblPiNAnalysis[[#This Row],[Food Security and Livlihoods]]/tblPiNAnalysis[[#This Row],[Total Population]])</f>
        <v/>
      </c>
      <c r="W33" s="315" t="str">
        <f>IF(tblPiNAnalysis[[#This Row],[Health ]]="", "", tblPiNAnalysis[[#This Row],[Health ]]/tblPiNAnalysis[[#This Row],[Total Population]])</f>
        <v/>
      </c>
      <c r="X33" s="314" t="str">
        <f>IF(tblPiNAnalysis[[#This Row],[Nutrition]]="", "", tblPiNAnalysis[[#This Row],[Nutrition]]/tblPiNAnalysis[[#This Row],[Total Population]])</f>
        <v/>
      </c>
      <c r="Y33" s="314" t="str">
        <f>IF(tblPiNAnalysis[[#This Row],[Protection]]="", "", tblPiNAnalysis[[#This Row],[Protection]]/tblPiNAnalysis[[#This Row],[Total Population]])</f>
        <v/>
      </c>
      <c r="Z33" s="316">
        <f>IF(tblPiNAnalysis[[#This Row],[Shelter NFI ]]="", "", tblPiNAnalysis[[#This Row],[Shelter NFI ]]/tblPiNAnalysis[[#This Row],[Total Population]])</f>
        <v>6.9998719535618254E-3</v>
      </c>
      <c r="AA33" s="317" t="str">
        <f>IF(tblPiNAnalysis[[#This Row],[WASH]]="", "", tblPiNAnalysis[[#This Row],[WASH]]/tblPiNAnalysis[[#This Row],[Total Population]])</f>
        <v/>
      </c>
      <c r="AB33" s="318" t="str">
        <f>IFERROR(IF(tblPiNAnalysis[[#This Row],[CP]]="", "", MROUND(tblPiNAnalysis[[#This Row],[CP]]/tblPiNAnalysis[[#This Row],[Total Population]], 0.05)), "")</f>
        <v/>
      </c>
      <c r="AC33" s="314" t="str">
        <f>IFERROR(IF(tblPiNAnalysis[[#This Row],[GBV]]="", "", MROUND(tblPiNAnalysis[[#This Row],[GBV]]/tblPiNAnalysis[[#This Row],[Total Population]], 0.05)), "")</f>
        <v/>
      </c>
      <c r="AD33" s="314" t="str">
        <f>IFERROR(IF(tblPiNAnalysis[[#This Row],[Mine Action]]="", "", MROUND(tblPiNAnalysis[[#This Row],[Mine Action]]/tblPiNAnalysis[[#This Row],[Total Population]], 0.05)), "")</f>
        <v/>
      </c>
      <c r="AE33" s="314" t="str">
        <f>IFERROR(IF(tblPiNAnalysis[[#This Row],[General Protection]]="", "", MROUND(tblPiNAnalysis[[#This Row],[General Protection]]/tblPiNAnalysis[[#This Row],[Total Population]], 0.05)), "")</f>
        <v/>
      </c>
      <c r="AF33" s="319">
        <f>IFERROR(LARGE(tblPiNAnalysis[[#This Row],[Site Management ]:[General Protection]], 1), "")</f>
        <v>164</v>
      </c>
      <c r="AG33" s="320">
        <f>IF(tblPiNAnalysis[[#This Row],[Highest PiN]]="", "",tblPiNAnalysis[[#This Row],[Highest PiN]]/ tblPiNAnalysis[[#This Row],[Total Population]])</f>
        <v>6.9998719535618254E-3</v>
      </c>
      <c r="AH33" s="320" t="str">
        <f>IFERROR(IF(tblPiNAnalysis[[#This Row],[Highest PiN]]="", "", IF(tblPiNAnalysis[[#This Row],[Highest sector(s'') PiN %]]&gt;=flag_pin_perc, "Flagged", "")), "")</f>
        <v/>
      </c>
      <c r="AI33" s="321"/>
      <c r="AJ33" s="322"/>
      <c r="AK33" s="323">
        <f>COUNTIFS(tblPiNAnalysis[[#This Row],[Highest PiN greater than 90% of total affected population]:[Manual Flag]],"Flagged")</f>
        <v>0</v>
      </c>
      <c r="AL33" s="324" t="str">
        <f>IF(tblPiNAnalysis[[#This Row],['# Flags]]&gt;0, "Flagged", "")</f>
        <v/>
      </c>
    </row>
    <row r="34" spans="1:38" ht="23.1" hidden="1" customHeight="1" x14ac:dyDescent="0.2">
      <c r="A34" s="309" t="str">
        <f>_xlfn.CONCAT(IF(tblPiNAnalysis[[#This Row],[Population Group]]="", "",tblPiNAnalysis[[#This Row],[Population Group]] ), _xlfn.IFS(tblPiNAnalysis[[#This Row],[Admin 2 P-Code]]&lt;&gt;"", tblPiNAnalysis[[#This Row],[Admin 2 P-Code]], tblPiNAnalysis[[#This Row],[Admin 1 P-Code]]&lt;&gt;"", tblPiNAnalysis[[#This Row],[Admin 1 P-Code]]))</f>
        <v>Host CommunitySD02117</v>
      </c>
      <c r="B34" s="245" t="s">
        <v>167</v>
      </c>
      <c r="C34" s="246" t="s">
        <v>119</v>
      </c>
      <c r="D34" s="247" t="s">
        <v>203</v>
      </c>
      <c r="E34" s="246" t="s">
        <v>202</v>
      </c>
      <c r="F34" s="248">
        <v>6255</v>
      </c>
      <c r="G34" s="248" t="s">
        <v>87</v>
      </c>
      <c r="H34" s="310"/>
      <c r="I34" s="311"/>
      <c r="J34" s="312"/>
      <c r="K34" s="311"/>
      <c r="L34" s="311"/>
      <c r="M34" s="312"/>
      <c r="N34" s="312">
        <f>_xlfn.XLOOKUP(CONCATENATE(tblPiNAnalysis[[#This Row],[Admin 2 P-Code]],tblPiNAnalysis[[#This Row],[Population Group]]),'Overall severity &amp; PIN Analysis'!A:A,'Overall severity &amp; PIN Analysis'!P:P,0,0)</f>
        <v>1246</v>
      </c>
      <c r="O34" s="311"/>
      <c r="P34" s="312"/>
      <c r="Q34" s="312"/>
      <c r="R34" s="312"/>
      <c r="S34" s="312"/>
      <c r="T34" s="313" t="str">
        <f>IF(tblPiNAnalysis[[#This Row],[Site Management ]]="", "", tblPiNAnalysis[[#This Row],[Site Management ]]/tblPiNAnalysis[[#This Row],[Total Population]])</f>
        <v/>
      </c>
      <c r="U34" s="314" t="str">
        <f>IF(tblPiNAnalysis[[#This Row],[Education]]="", "", tblPiNAnalysis[[#This Row],[Education]]/tblPiNAnalysis[[#This Row],[Total Population]])</f>
        <v/>
      </c>
      <c r="V34" s="314" t="str">
        <f>IF(tblPiNAnalysis[[#This Row],[Food Security and Livlihoods]]="", "", tblPiNAnalysis[[#This Row],[Food Security and Livlihoods]]/tblPiNAnalysis[[#This Row],[Total Population]])</f>
        <v/>
      </c>
      <c r="W34" s="315" t="str">
        <f>IF(tblPiNAnalysis[[#This Row],[Health ]]="", "", tblPiNAnalysis[[#This Row],[Health ]]/tblPiNAnalysis[[#This Row],[Total Population]])</f>
        <v/>
      </c>
      <c r="X34" s="314" t="str">
        <f>IF(tblPiNAnalysis[[#This Row],[Nutrition]]="", "", tblPiNAnalysis[[#This Row],[Nutrition]]/tblPiNAnalysis[[#This Row],[Total Population]])</f>
        <v/>
      </c>
      <c r="Y34" s="314" t="str">
        <f>IF(tblPiNAnalysis[[#This Row],[Protection]]="", "", tblPiNAnalysis[[#This Row],[Protection]]/tblPiNAnalysis[[#This Row],[Total Population]])</f>
        <v/>
      </c>
      <c r="Z34" s="316">
        <f>IF(tblPiNAnalysis[[#This Row],[Shelter NFI ]]="", "", tblPiNAnalysis[[#This Row],[Shelter NFI ]]/tblPiNAnalysis[[#This Row],[Total Population]])</f>
        <v>0.19920063948840927</v>
      </c>
      <c r="AA34" s="317" t="str">
        <f>IF(tblPiNAnalysis[[#This Row],[WASH]]="", "", tblPiNAnalysis[[#This Row],[WASH]]/tblPiNAnalysis[[#This Row],[Total Population]])</f>
        <v/>
      </c>
      <c r="AB34" s="318" t="str">
        <f>IFERROR(IF(tblPiNAnalysis[[#This Row],[CP]]="", "", MROUND(tblPiNAnalysis[[#This Row],[CP]]/tblPiNAnalysis[[#This Row],[Total Population]], 0.05)), "")</f>
        <v/>
      </c>
      <c r="AC34" s="314" t="str">
        <f>IFERROR(IF(tblPiNAnalysis[[#This Row],[GBV]]="", "", MROUND(tblPiNAnalysis[[#This Row],[GBV]]/tblPiNAnalysis[[#This Row],[Total Population]], 0.05)), "")</f>
        <v/>
      </c>
      <c r="AD34" s="314" t="str">
        <f>IFERROR(IF(tblPiNAnalysis[[#This Row],[Mine Action]]="", "", MROUND(tblPiNAnalysis[[#This Row],[Mine Action]]/tblPiNAnalysis[[#This Row],[Total Population]], 0.05)), "")</f>
        <v/>
      </c>
      <c r="AE34" s="314" t="str">
        <f>IFERROR(IF(tblPiNAnalysis[[#This Row],[General Protection]]="", "", MROUND(tblPiNAnalysis[[#This Row],[General Protection]]/tblPiNAnalysis[[#This Row],[Total Population]], 0.05)), "")</f>
        <v/>
      </c>
      <c r="AF34" s="319">
        <f>IFERROR(LARGE(tblPiNAnalysis[[#This Row],[Site Management ]:[General Protection]], 1), "")</f>
        <v>1246</v>
      </c>
      <c r="AG34" s="320">
        <f>IF(tblPiNAnalysis[[#This Row],[Highest PiN]]="", "",tblPiNAnalysis[[#This Row],[Highest PiN]]/ tblPiNAnalysis[[#This Row],[Total Population]])</f>
        <v>0.19920063948840927</v>
      </c>
      <c r="AH34" s="320" t="str">
        <f>IFERROR(IF(tblPiNAnalysis[[#This Row],[Highest PiN]]="", "", IF(tblPiNAnalysis[[#This Row],[Highest sector(s'') PiN %]]&gt;=flag_pin_perc, "Flagged", "")), "")</f>
        <v/>
      </c>
      <c r="AI34" s="321"/>
      <c r="AJ34" s="322"/>
      <c r="AK34" s="323">
        <f>COUNTIFS(tblPiNAnalysis[[#This Row],[Highest PiN greater than 90% of total affected population]:[Manual Flag]],"Flagged")</f>
        <v>0</v>
      </c>
      <c r="AL34" s="324" t="str">
        <f>IF(tblPiNAnalysis[[#This Row],['# Flags]]&gt;0, "Flagged", "")</f>
        <v/>
      </c>
    </row>
    <row r="35" spans="1:38" ht="23.1" hidden="1" customHeight="1" x14ac:dyDescent="0.2">
      <c r="A35" s="309" t="str">
        <f>_xlfn.CONCAT(IF(tblPiNAnalysis[[#This Row],[Population Group]]="", "",tblPiNAnalysis[[#This Row],[Population Group]] ), _xlfn.IFS(tblPiNAnalysis[[#This Row],[Admin 2 P-Code]]&lt;&gt;"", tblPiNAnalysis[[#This Row],[Admin 2 P-Code]], tblPiNAnalysis[[#This Row],[Admin 1 P-Code]]&lt;&gt;"", tblPiNAnalysis[[#This Row],[Admin 1 P-Code]]))</f>
        <v>IDPsSD02117</v>
      </c>
      <c r="B35" s="245" t="s">
        <v>167</v>
      </c>
      <c r="C35" s="246" t="s">
        <v>119</v>
      </c>
      <c r="D35" s="247" t="s">
        <v>203</v>
      </c>
      <c r="E35" s="246" t="s">
        <v>202</v>
      </c>
      <c r="F35" s="248">
        <v>6255</v>
      </c>
      <c r="G35" s="248" t="s">
        <v>88</v>
      </c>
      <c r="H35" s="310"/>
      <c r="I35" s="311"/>
      <c r="J35" s="312"/>
      <c r="K35" s="311"/>
      <c r="L35" s="311"/>
      <c r="M35" s="312"/>
      <c r="N35" s="312">
        <f>_xlfn.XLOOKUP(CONCATENATE(tblPiNAnalysis[[#This Row],[Admin 2 P-Code]],tblPiNAnalysis[[#This Row],[Population Group]]),'Overall severity &amp; PIN Analysis'!A:A,'Overall severity &amp; PIN Analysis'!P:P,0,0)</f>
        <v>1246</v>
      </c>
      <c r="O35" s="311"/>
      <c r="P35" s="312"/>
      <c r="Q35" s="312"/>
      <c r="R35" s="312"/>
      <c r="S35" s="312"/>
      <c r="T35" s="313" t="str">
        <f>IF(tblPiNAnalysis[[#This Row],[Site Management ]]="", "", tblPiNAnalysis[[#This Row],[Site Management ]]/tblPiNAnalysis[[#This Row],[Total Population]])</f>
        <v/>
      </c>
      <c r="U35" s="314" t="str">
        <f>IF(tblPiNAnalysis[[#This Row],[Education]]="", "", tblPiNAnalysis[[#This Row],[Education]]/tblPiNAnalysis[[#This Row],[Total Population]])</f>
        <v/>
      </c>
      <c r="V35" s="314" t="str">
        <f>IF(tblPiNAnalysis[[#This Row],[Food Security and Livlihoods]]="", "", tblPiNAnalysis[[#This Row],[Food Security and Livlihoods]]/tblPiNAnalysis[[#This Row],[Total Population]])</f>
        <v/>
      </c>
      <c r="W35" s="315" t="str">
        <f>IF(tblPiNAnalysis[[#This Row],[Health ]]="", "", tblPiNAnalysis[[#This Row],[Health ]]/tblPiNAnalysis[[#This Row],[Total Population]])</f>
        <v/>
      </c>
      <c r="X35" s="314" t="str">
        <f>IF(tblPiNAnalysis[[#This Row],[Nutrition]]="", "", tblPiNAnalysis[[#This Row],[Nutrition]]/tblPiNAnalysis[[#This Row],[Total Population]])</f>
        <v/>
      </c>
      <c r="Y35" s="314" t="str">
        <f>IF(tblPiNAnalysis[[#This Row],[Protection]]="", "", tblPiNAnalysis[[#This Row],[Protection]]/tblPiNAnalysis[[#This Row],[Total Population]])</f>
        <v/>
      </c>
      <c r="Z35" s="316">
        <f>IF(tblPiNAnalysis[[#This Row],[Shelter NFI ]]="", "", tblPiNAnalysis[[#This Row],[Shelter NFI ]]/tblPiNAnalysis[[#This Row],[Total Population]])</f>
        <v>0.19920063948840927</v>
      </c>
      <c r="AA35" s="317" t="str">
        <f>IF(tblPiNAnalysis[[#This Row],[WASH]]="", "", tblPiNAnalysis[[#This Row],[WASH]]/tblPiNAnalysis[[#This Row],[Total Population]])</f>
        <v/>
      </c>
      <c r="AB35" s="318" t="str">
        <f>IFERROR(IF(tblPiNAnalysis[[#This Row],[CP]]="", "", MROUND(tblPiNAnalysis[[#This Row],[CP]]/tblPiNAnalysis[[#This Row],[Total Population]], 0.05)), "")</f>
        <v/>
      </c>
      <c r="AC35" s="314" t="str">
        <f>IFERROR(IF(tblPiNAnalysis[[#This Row],[GBV]]="", "", MROUND(tblPiNAnalysis[[#This Row],[GBV]]/tblPiNAnalysis[[#This Row],[Total Population]], 0.05)), "")</f>
        <v/>
      </c>
      <c r="AD35" s="314" t="str">
        <f>IFERROR(IF(tblPiNAnalysis[[#This Row],[Mine Action]]="", "", MROUND(tblPiNAnalysis[[#This Row],[Mine Action]]/tblPiNAnalysis[[#This Row],[Total Population]], 0.05)), "")</f>
        <v/>
      </c>
      <c r="AE35" s="314" t="str">
        <f>IFERROR(IF(tblPiNAnalysis[[#This Row],[General Protection]]="", "", MROUND(tblPiNAnalysis[[#This Row],[General Protection]]/tblPiNAnalysis[[#This Row],[Total Population]], 0.05)), "")</f>
        <v/>
      </c>
      <c r="AF35" s="319">
        <f>IFERROR(LARGE(tblPiNAnalysis[[#This Row],[Site Management ]:[General Protection]], 1), "")</f>
        <v>1246</v>
      </c>
      <c r="AG35" s="320">
        <f>IF(tblPiNAnalysis[[#This Row],[Highest PiN]]="", "",tblPiNAnalysis[[#This Row],[Highest PiN]]/ tblPiNAnalysis[[#This Row],[Total Population]])</f>
        <v>0.19920063948840927</v>
      </c>
      <c r="AH35" s="320" t="str">
        <f>IFERROR(IF(tblPiNAnalysis[[#This Row],[Highest PiN]]="", "", IF(tblPiNAnalysis[[#This Row],[Highest sector(s'') PiN %]]&gt;=flag_pin_perc, "Flagged", "")), "")</f>
        <v/>
      </c>
      <c r="AI35" s="321"/>
      <c r="AJ35" s="322"/>
      <c r="AK35" s="323">
        <f>COUNTIFS(tblPiNAnalysis[[#This Row],[Highest PiN greater than 90% of total affected population]:[Manual Flag]],"Flagged")</f>
        <v>0</v>
      </c>
      <c r="AL35" s="324" t="str">
        <f>IF(tblPiNAnalysis[[#This Row],['# Flags]]&gt;0, "Flagged", "")</f>
        <v/>
      </c>
    </row>
    <row r="36" spans="1:38" ht="23.1" customHeight="1" x14ac:dyDescent="0.2">
      <c r="A36" s="309" t="str">
        <f>_xlfn.CONCAT(IF(tblPiNAnalysis[[#This Row],[Population Group]]="", "",tblPiNAnalysis[[#This Row],[Population Group]] ), _xlfn.IFS(tblPiNAnalysis[[#This Row],[Admin 2 P-Code]]&lt;&gt;"", tblPiNAnalysis[[#This Row],[Admin 2 P-Code]], tblPiNAnalysis[[#This Row],[Admin 1 P-Code]]&lt;&gt;"", tblPiNAnalysis[[#This Row],[Admin 1 P-Code]]))</f>
        <v>Non-hosting PopulationSD02117</v>
      </c>
      <c r="B36" s="245" t="s">
        <v>167</v>
      </c>
      <c r="C36" s="246" t="s">
        <v>119</v>
      </c>
      <c r="D36" s="247" t="s">
        <v>203</v>
      </c>
      <c r="E36" s="246" t="s">
        <v>202</v>
      </c>
      <c r="F36" s="248">
        <v>121250</v>
      </c>
      <c r="G36" s="248" t="s">
        <v>568</v>
      </c>
      <c r="H36" s="310"/>
      <c r="I36" s="311"/>
      <c r="J36" s="312"/>
      <c r="K36" s="311"/>
      <c r="L36" s="311"/>
      <c r="M36" s="312"/>
      <c r="N36" s="312">
        <f>_xlfn.XLOOKUP(CONCATENATE(tblPiNAnalysis[[#This Row],[Admin 2 P-Code]],tblPiNAnalysis[[#This Row],[Population Group]]),'Overall severity &amp; PIN Analysis'!A:A,'Overall severity &amp; PIN Analysis'!P:P,0,0)</f>
        <v>0</v>
      </c>
      <c r="O36" s="311"/>
      <c r="P36" s="312"/>
      <c r="Q36" s="312"/>
      <c r="R36" s="312"/>
      <c r="S36" s="312"/>
      <c r="T36" s="313" t="str">
        <f>IF(tblPiNAnalysis[[#This Row],[Site Management ]]="", "", tblPiNAnalysis[[#This Row],[Site Management ]]/tblPiNAnalysis[[#This Row],[Total Population]])</f>
        <v/>
      </c>
      <c r="U36" s="314" t="str">
        <f>IF(tblPiNAnalysis[[#This Row],[Education]]="", "", tblPiNAnalysis[[#This Row],[Education]]/tblPiNAnalysis[[#This Row],[Total Population]])</f>
        <v/>
      </c>
      <c r="V36" s="314" t="str">
        <f>IF(tblPiNAnalysis[[#This Row],[Food Security and Livlihoods]]="", "", tblPiNAnalysis[[#This Row],[Food Security and Livlihoods]]/tblPiNAnalysis[[#This Row],[Total Population]])</f>
        <v/>
      </c>
      <c r="W36" s="315" t="str">
        <f>IF(tblPiNAnalysis[[#This Row],[Health ]]="", "", tblPiNAnalysis[[#This Row],[Health ]]/tblPiNAnalysis[[#This Row],[Total Population]])</f>
        <v/>
      </c>
      <c r="X36" s="314" t="str">
        <f>IF(tblPiNAnalysis[[#This Row],[Nutrition]]="", "", tblPiNAnalysis[[#This Row],[Nutrition]]/tblPiNAnalysis[[#This Row],[Total Population]])</f>
        <v/>
      </c>
      <c r="Y36" s="314" t="str">
        <f>IF(tblPiNAnalysis[[#This Row],[Protection]]="", "", tblPiNAnalysis[[#This Row],[Protection]]/tblPiNAnalysis[[#This Row],[Total Population]])</f>
        <v/>
      </c>
      <c r="Z36" s="316">
        <f>IF(tblPiNAnalysis[[#This Row],[Shelter NFI ]]="", "", tblPiNAnalysis[[#This Row],[Shelter NFI ]]/tblPiNAnalysis[[#This Row],[Total Population]])</f>
        <v>0</v>
      </c>
      <c r="AA36" s="317" t="str">
        <f>IF(tblPiNAnalysis[[#This Row],[WASH]]="", "", tblPiNAnalysis[[#This Row],[WASH]]/tblPiNAnalysis[[#This Row],[Total Population]])</f>
        <v/>
      </c>
      <c r="AB36" s="318" t="str">
        <f>IFERROR(IF(tblPiNAnalysis[[#This Row],[CP]]="", "", MROUND(tblPiNAnalysis[[#This Row],[CP]]/tblPiNAnalysis[[#This Row],[Total Population]], 0.05)), "")</f>
        <v/>
      </c>
      <c r="AC36" s="314" t="str">
        <f>IFERROR(IF(tblPiNAnalysis[[#This Row],[GBV]]="", "", MROUND(tblPiNAnalysis[[#This Row],[GBV]]/tblPiNAnalysis[[#This Row],[Total Population]], 0.05)), "")</f>
        <v/>
      </c>
      <c r="AD36" s="314" t="str">
        <f>IFERROR(IF(tblPiNAnalysis[[#This Row],[Mine Action]]="", "", MROUND(tblPiNAnalysis[[#This Row],[Mine Action]]/tblPiNAnalysis[[#This Row],[Total Population]], 0.05)), "")</f>
        <v/>
      </c>
      <c r="AE36" s="314" t="str">
        <f>IFERROR(IF(tblPiNAnalysis[[#This Row],[General Protection]]="", "", MROUND(tblPiNAnalysis[[#This Row],[General Protection]]/tblPiNAnalysis[[#This Row],[Total Population]], 0.05)), "")</f>
        <v/>
      </c>
      <c r="AF36" s="319">
        <f>IFERROR(LARGE(tblPiNAnalysis[[#This Row],[Site Management ]:[General Protection]], 1), "")</f>
        <v>0</v>
      </c>
      <c r="AG36" s="320">
        <f>IF(tblPiNAnalysis[[#This Row],[Highest PiN]]="", "",tblPiNAnalysis[[#This Row],[Highest PiN]]/ tblPiNAnalysis[[#This Row],[Total Population]])</f>
        <v>0</v>
      </c>
      <c r="AH36" s="320" t="str">
        <f>IFERROR(IF(tblPiNAnalysis[[#This Row],[Highest PiN]]="", "", IF(tblPiNAnalysis[[#This Row],[Highest sector(s'') PiN %]]&gt;=flag_pin_perc, "Flagged", "")), "")</f>
        <v/>
      </c>
      <c r="AI36" s="321"/>
      <c r="AJ36" s="322"/>
      <c r="AK36" s="323">
        <f>COUNTIFS(tblPiNAnalysis[[#This Row],[Highest PiN greater than 90% of total affected population]:[Manual Flag]],"Flagged")</f>
        <v>0</v>
      </c>
      <c r="AL36" s="324" t="str">
        <f>IF(tblPiNAnalysis[[#This Row],['# Flags]]&gt;0, "Flagged", "")</f>
        <v/>
      </c>
    </row>
    <row r="37" spans="1:38" ht="23.1" hidden="1" customHeight="1" x14ac:dyDescent="0.2">
      <c r="A37" s="309" t="str">
        <f>_xlfn.CONCAT(IF(tblPiNAnalysis[[#This Row],[Population Group]]="", "",tblPiNAnalysis[[#This Row],[Population Group]] ), _xlfn.IFS(tblPiNAnalysis[[#This Row],[Admin 2 P-Code]]&lt;&gt;"", tblPiNAnalysis[[#This Row],[Admin 2 P-Code]], tblPiNAnalysis[[#This Row],[Admin 1 P-Code]]&lt;&gt;"", tblPiNAnalysis[[#This Row],[Admin 1 P-Code]]))</f>
        <v>Host CommunitySD02118</v>
      </c>
      <c r="B37" s="245" t="s">
        <v>167</v>
      </c>
      <c r="C37" s="246" t="s">
        <v>119</v>
      </c>
      <c r="D37" s="247" t="s">
        <v>205</v>
      </c>
      <c r="E37" s="246" t="s">
        <v>204</v>
      </c>
      <c r="F37" s="248">
        <v>13075</v>
      </c>
      <c r="G37" s="248" t="s">
        <v>87</v>
      </c>
      <c r="H37" s="310"/>
      <c r="I37" s="311"/>
      <c r="J37" s="312"/>
      <c r="K37" s="311"/>
      <c r="L37" s="311"/>
      <c r="M37" s="312"/>
      <c r="N37" s="312">
        <f>_xlfn.XLOOKUP(CONCATENATE(tblPiNAnalysis[[#This Row],[Admin 2 P-Code]],tblPiNAnalysis[[#This Row],[Population Group]]),'Overall severity &amp; PIN Analysis'!A:A,'Overall severity &amp; PIN Analysis'!P:P,0,0)</f>
        <v>9042</v>
      </c>
      <c r="O37" s="311"/>
      <c r="P37" s="312"/>
      <c r="Q37" s="312"/>
      <c r="R37" s="312"/>
      <c r="S37" s="312"/>
      <c r="T37" s="313" t="str">
        <f>IF(tblPiNAnalysis[[#This Row],[Site Management ]]="", "", tblPiNAnalysis[[#This Row],[Site Management ]]/tblPiNAnalysis[[#This Row],[Total Population]])</f>
        <v/>
      </c>
      <c r="U37" s="314" t="str">
        <f>IF(tblPiNAnalysis[[#This Row],[Education]]="", "", tblPiNAnalysis[[#This Row],[Education]]/tblPiNAnalysis[[#This Row],[Total Population]])</f>
        <v/>
      </c>
      <c r="V37" s="314" t="str">
        <f>IF(tblPiNAnalysis[[#This Row],[Food Security and Livlihoods]]="", "", tblPiNAnalysis[[#This Row],[Food Security and Livlihoods]]/tblPiNAnalysis[[#This Row],[Total Population]])</f>
        <v/>
      </c>
      <c r="W37" s="315" t="str">
        <f>IF(tblPiNAnalysis[[#This Row],[Health ]]="", "", tblPiNAnalysis[[#This Row],[Health ]]/tblPiNAnalysis[[#This Row],[Total Population]])</f>
        <v/>
      </c>
      <c r="X37" s="314" t="str">
        <f>IF(tblPiNAnalysis[[#This Row],[Nutrition]]="", "", tblPiNAnalysis[[#This Row],[Nutrition]]/tblPiNAnalysis[[#This Row],[Total Population]])</f>
        <v/>
      </c>
      <c r="Y37" s="314" t="str">
        <f>IF(tblPiNAnalysis[[#This Row],[Protection]]="", "", tblPiNAnalysis[[#This Row],[Protection]]/tblPiNAnalysis[[#This Row],[Total Population]])</f>
        <v/>
      </c>
      <c r="Z37" s="316">
        <f>IF(tblPiNAnalysis[[#This Row],[Shelter NFI ]]="", "", tblPiNAnalysis[[#This Row],[Shelter NFI ]]/tblPiNAnalysis[[#This Row],[Total Population]])</f>
        <v>0.69154875717017206</v>
      </c>
      <c r="AA37" s="317" t="str">
        <f>IF(tblPiNAnalysis[[#This Row],[WASH]]="", "", tblPiNAnalysis[[#This Row],[WASH]]/tblPiNAnalysis[[#This Row],[Total Population]])</f>
        <v/>
      </c>
      <c r="AB37" s="318" t="str">
        <f>IFERROR(IF(tblPiNAnalysis[[#This Row],[CP]]="", "", MROUND(tblPiNAnalysis[[#This Row],[CP]]/tblPiNAnalysis[[#This Row],[Total Population]], 0.05)), "")</f>
        <v/>
      </c>
      <c r="AC37" s="314" t="str">
        <f>IFERROR(IF(tblPiNAnalysis[[#This Row],[GBV]]="", "", MROUND(tblPiNAnalysis[[#This Row],[GBV]]/tblPiNAnalysis[[#This Row],[Total Population]], 0.05)), "")</f>
        <v/>
      </c>
      <c r="AD37" s="314" t="str">
        <f>IFERROR(IF(tblPiNAnalysis[[#This Row],[Mine Action]]="", "", MROUND(tblPiNAnalysis[[#This Row],[Mine Action]]/tblPiNAnalysis[[#This Row],[Total Population]], 0.05)), "")</f>
        <v/>
      </c>
      <c r="AE37" s="314" t="str">
        <f>IFERROR(IF(tblPiNAnalysis[[#This Row],[General Protection]]="", "", MROUND(tblPiNAnalysis[[#This Row],[General Protection]]/tblPiNAnalysis[[#This Row],[Total Population]], 0.05)), "")</f>
        <v/>
      </c>
      <c r="AF37" s="319">
        <f>IFERROR(LARGE(tblPiNAnalysis[[#This Row],[Site Management ]:[General Protection]], 1), "")</f>
        <v>9042</v>
      </c>
      <c r="AG37" s="320">
        <f>IF(tblPiNAnalysis[[#This Row],[Highest PiN]]="", "",tblPiNAnalysis[[#This Row],[Highest PiN]]/ tblPiNAnalysis[[#This Row],[Total Population]])</f>
        <v>0.69154875717017206</v>
      </c>
      <c r="AH37" s="320" t="str">
        <f>IFERROR(IF(tblPiNAnalysis[[#This Row],[Highest PiN]]="", "", IF(tblPiNAnalysis[[#This Row],[Highest sector(s'') PiN %]]&gt;=flag_pin_perc, "Flagged", "")), "")</f>
        <v/>
      </c>
      <c r="AI37" s="321"/>
      <c r="AJ37" s="322"/>
      <c r="AK37" s="323">
        <f>COUNTIFS(tblPiNAnalysis[[#This Row],[Highest PiN greater than 90% of total affected population]:[Manual Flag]],"Flagged")</f>
        <v>0</v>
      </c>
      <c r="AL37" s="324" t="str">
        <f>IF(tblPiNAnalysis[[#This Row],['# Flags]]&gt;0, "Flagged", "")</f>
        <v/>
      </c>
    </row>
    <row r="38" spans="1:38" ht="23.1" hidden="1" customHeight="1" x14ac:dyDescent="0.2">
      <c r="A38" s="309" t="str">
        <f>_xlfn.CONCAT(IF(tblPiNAnalysis[[#This Row],[Population Group]]="", "",tblPiNAnalysis[[#This Row],[Population Group]] ), _xlfn.IFS(tblPiNAnalysis[[#This Row],[Admin 2 P-Code]]&lt;&gt;"", tblPiNAnalysis[[#This Row],[Admin 2 P-Code]], tblPiNAnalysis[[#This Row],[Admin 1 P-Code]]&lt;&gt;"", tblPiNAnalysis[[#This Row],[Admin 1 P-Code]]))</f>
        <v>IDPsSD02118</v>
      </c>
      <c r="B38" s="245" t="s">
        <v>167</v>
      </c>
      <c r="C38" s="246" t="s">
        <v>119</v>
      </c>
      <c r="D38" s="247" t="s">
        <v>205</v>
      </c>
      <c r="E38" s="246" t="s">
        <v>204</v>
      </c>
      <c r="F38" s="248">
        <v>13075</v>
      </c>
      <c r="G38" s="248" t="s">
        <v>88</v>
      </c>
      <c r="H38" s="310"/>
      <c r="I38" s="311"/>
      <c r="J38" s="312"/>
      <c r="K38" s="311"/>
      <c r="L38" s="311"/>
      <c r="M38" s="312"/>
      <c r="N38" s="312">
        <f>_xlfn.XLOOKUP(CONCATENATE(tblPiNAnalysis[[#This Row],[Admin 2 P-Code]],tblPiNAnalysis[[#This Row],[Population Group]]),'Overall severity &amp; PIN Analysis'!A:A,'Overall severity &amp; PIN Analysis'!P:P,0,0)</f>
        <v>9042</v>
      </c>
      <c r="O38" s="311"/>
      <c r="P38" s="312"/>
      <c r="Q38" s="312"/>
      <c r="R38" s="312"/>
      <c r="S38" s="312"/>
      <c r="T38" s="313" t="str">
        <f>IF(tblPiNAnalysis[[#This Row],[Site Management ]]="", "", tblPiNAnalysis[[#This Row],[Site Management ]]/tblPiNAnalysis[[#This Row],[Total Population]])</f>
        <v/>
      </c>
      <c r="U38" s="314" t="str">
        <f>IF(tblPiNAnalysis[[#This Row],[Education]]="", "", tblPiNAnalysis[[#This Row],[Education]]/tblPiNAnalysis[[#This Row],[Total Population]])</f>
        <v/>
      </c>
      <c r="V38" s="314" t="str">
        <f>IF(tblPiNAnalysis[[#This Row],[Food Security and Livlihoods]]="", "", tblPiNAnalysis[[#This Row],[Food Security and Livlihoods]]/tblPiNAnalysis[[#This Row],[Total Population]])</f>
        <v/>
      </c>
      <c r="W38" s="315" t="str">
        <f>IF(tblPiNAnalysis[[#This Row],[Health ]]="", "", tblPiNAnalysis[[#This Row],[Health ]]/tblPiNAnalysis[[#This Row],[Total Population]])</f>
        <v/>
      </c>
      <c r="X38" s="314" t="str">
        <f>IF(tblPiNAnalysis[[#This Row],[Nutrition]]="", "", tblPiNAnalysis[[#This Row],[Nutrition]]/tblPiNAnalysis[[#This Row],[Total Population]])</f>
        <v/>
      </c>
      <c r="Y38" s="314" t="str">
        <f>IF(tblPiNAnalysis[[#This Row],[Protection]]="", "", tblPiNAnalysis[[#This Row],[Protection]]/tblPiNAnalysis[[#This Row],[Total Population]])</f>
        <v/>
      </c>
      <c r="Z38" s="316">
        <f>IF(tblPiNAnalysis[[#This Row],[Shelter NFI ]]="", "", tblPiNAnalysis[[#This Row],[Shelter NFI ]]/tblPiNAnalysis[[#This Row],[Total Population]])</f>
        <v>0.69154875717017206</v>
      </c>
      <c r="AA38" s="317" t="str">
        <f>IF(tblPiNAnalysis[[#This Row],[WASH]]="", "", tblPiNAnalysis[[#This Row],[WASH]]/tblPiNAnalysis[[#This Row],[Total Population]])</f>
        <v/>
      </c>
      <c r="AB38" s="318" t="str">
        <f>IFERROR(IF(tblPiNAnalysis[[#This Row],[CP]]="", "", MROUND(tblPiNAnalysis[[#This Row],[CP]]/tblPiNAnalysis[[#This Row],[Total Population]], 0.05)), "")</f>
        <v/>
      </c>
      <c r="AC38" s="314" t="str">
        <f>IFERROR(IF(tblPiNAnalysis[[#This Row],[GBV]]="", "", MROUND(tblPiNAnalysis[[#This Row],[GBV]]/tblPiNAnalysis[[#This Row],[Total Population]], 0.05)), "")</f>
        <v/>
      </c>
      <c r="AD38" s="314" t="str">
        <f>IFERROR(IF(tblPiNAnalysis[[#This Row],[Mine Action]]="", "", MROUND(tblPiNAnalysis[[#This Row],[Mine Action]]/tblPiNAnalysis[[#This Row],[Total Population]], 0.05)), "")</f>
        <v/>
      </c>
      <c r="AE38" s="314" t="str">
        <f>IFERROR(IF(tblPiNAnalysis[[#This Row],[General Protection]]="", "", MROUND(tblPiNAnalysis[[#This Row],[General Protection]]/tblPiNAnalysis[[#This Row],[Total Population]], 0.05)), "")</f>
        <v/>
      </c>
      <c r="AF38" s="319">
        <f>IFERROR(LARGE(tblPiNAnalysis[[#This Row],[Site Management ]:[General Protection]], 1), "")</f>
        <v>9042</v>
      </c>
      <c r="AG38" s="320">
        <f>IF(tblPiNAnalysis[[#This Row],[Highest PiN]]="", "",tblPiNAnalysis[[#This Row],[Highest PiN]]/ tblPiNAnalysis[[#This Row],[Total Population]])</f>
        <v>0.69154875717017206</v>
      </c>
      <c r="AH38" s="320" t="str">
        <f>IFERROR(IF(tblPiNAnalysis[[#This Row],[Highest PiN]]="", "", IF(tblPiNAnalysis[[#This Row],[Highest sector(s'') PiN %]]&gt;=flag_pin_perc, "Flagged", "")), "")</f>
        <v/>
      </c>
      <c r="AI38" s="321"/>
      <c r="AJ38" s="322"/>
      <c r="AK38" s="323">
        <f>COUNTIFS(tblPiNAnalysis[[#This Row],[Highest PiN greater than 90% of total affected population]:[Manual Flag]],"Flagged")</f>
        <v>0</v>
      </c>
      <c r="AL38" s="324" t="str">
        <f>IF(tblPiNAnalysis[[#This Row],['# Flags]]&gt;0, "Flagged", "")</f>
        <v/>
      </c>
    </row>
    <row r="39" spans="1:38" ht="23.1" customHeight="1" x14ac:dyDescent="0.2">
      <c r="A39" s="309" t="str">
        <f>_xlfn.CONCAT(IF(tblPiNAnalysis[[#This Row],[Population Group]]="", "",tblPiNAnalysis[[#This Row],[Population Group]] ), _xlfn.IFS(tblPiNAnalysis[[#This Row],[Admin 2 P-Code]]&lt;&gt;"", tblPiNAnalysis[[#This Row],[Admin 2 P-Code]], tblPiNAnalysis[[#This Row],[Admin 1 P-Code]]&lt;&gt;"", tblPiNAnalysis[[#This Row],[Admin 1 P-Code]]))</f>
        <v>Non-hosting PopulationSD02118</v>
      </c>
      <c r="B39" s="245" t="s">
        <v>167</v>
      </c>
      <c r="C39" s="246" t="s">
        <v>119</v>
      </c>
      <c r="D39" s="247" t="s">
        <v>205</v>
      </c>
      <c r="E39" s="246" t="s">
        <v>204</v>
      </c>
      <c r="F39" s="248">
        <v>67234</v>
      </c>
      <c r="G39" s="248" t="s">
        <v>568</v>
      </c>
      <c r="H39" s="310"/>
      <c r="I39" s="311"/>
      <c r="J39" s="312"/>
      <c r="K39" s="311"/>
      <c r="L39" s="311"/>
      <c r="M39" s="312"/>
      <c r="N39" s="312">
        <f>_xlfn.XLOOKUP(CONCATENATE(tblPiNAnalysis[[#This Row],[Admin 2 P-Code]],tblPiNAnalysis[[#This Row],[Population Group]]),'Overall severity &amp; PIN Analysis'!A:A,'Overall severity &amp; PIN Analysis'!P:P,0,0)</f>
        <v>0</v>
      </c>
      <c r="O39" s="311"/>
      <c r="P39" s="312"/>
      <c r="Q39" s="312"/>
      <c r="R39" s="312"/>
      <c r="S39" s="312"/>
      <c r="T39" s="313" t="str">
        <f>IF(tblPiNAnalysis[[#This Row],[Site Management ]]="", "", tblPiNAnalysis[[#This Row],[Site Management ]]/tblPiNAnalysis[[#This Row],[Total Population]])</f>
        <v/>
      </c>
      <c r="U39" s="314" t="str">
        <f>IF(tblPiNAnalysis[[#This Row],[Education]]="", "", tblPiNAnalysis[[#This Row],[Education]]/tblPiNAnalysis[[#This Row],[Total Population]])</f>
        <v/>
      </c>
      <c r="V39" s="314" t="str">
        <f>IF(tblPiNAnalysis[[#This Row],[Food Security and Livlihoods]]="", "", tblPiNAnalysis[[#This Row],[Food Security and Livlihoods]]/tblPiNAnalysis[[#This Row],[Total Population]])</f>
        <v/>
      </c>
      <c r="W39" s="315" t="str">
        <f>IF(tblPiNAnalysis[[#This Row],[Health ]]="", "", tblPiNAnalysis[[#This Row],[Health ]]/tblPiNAnalysis[[#This Row],[Total Population]])</f>
        <v/>
      </c>
      <c r="X39" s="314" t="str">
        <f>IF(tblPiNAnalysis[[#This Row],[Nutrition]]="", "", tblPiNAnalysis[[#This Row],[Nutrition]]/tblPiNAnalysis[[#This Row],[Total Population]])</f>
        <v/>
      </c>
      <c r="Y39" s="314" t="str">
        <f>IF(tblPiNAnalysis[[#This Row],[Protection]]="", "", tblPiNAnalysis[[#This Row],[Protection]]/tblPiNAnalysis[[#This Row],[Total Population]])</f>
        <v/>
      </c>
      <c r="Z39" s="316">
        <f>IF(tblPiNAnalysis[[#This Row],[Shelter NFI ]]="", "", tblPiNAnalysis[[#This Row],[Shelter NFI ]]/tblPiNAnalysis[[#This Row],[Total Population]])</f>
        <v>0</v>
      </c>
      <c r="AA39" s="317" t="str">
        <f>IF(tblPiNAnalysis[[#This Row],[WASH]]="", "", tblPiNAnalysis[[#This Row],[WASH]]/tblPiNAnalysis[[#This Row],[Total Population]])</f>
        <v/>
      </c>
      <c r="AB39" s="318" t="str">
        <f>IFERROR(IF(tblPiNAnalysis[[#This Row],[CP]]="", "", MROUND(tblPiNAnalysis[[#This Row],[CP]]/tblPiNAnalysis[[#This Row],[Total Population]], 0.05)), "")</f>
        <v/>
      </c>
      <c r="AC39" s="314" t="str">
        <f>IFERROR(IF(tblPiNAnalysis[[#This Row],[GBV]]="", "", MROUND(tblPiNAnalysis[[#This Row],[GBV]]/tblPiNAnalysis[[#This Row],[Total Population]], 0.05)), "")</f>
        <v/>
      </c>
      <c r="AD39" s="314" t="str">
        <f>IFERROR(IF(tblPiNAnalysis[[#This Row],[Mine Action]]="", "", MROUND(tblPiNAnalysis[[#This Row],[Mine Action]]/tblPiNAnalysis[[#This Row],[Total Population]], 0.05)), "")</f>
        <v/>
      </c>
      <c r="AE39" s="314" t="str">
        <f>IFERROR(IF(tblPiNAnalysis[[#This Row],[General Protection]]="", "", MROUND(tblPiNAnalysis[[#This Row],[General Protection]]/tblPiNAnalysis[[#This Row],[Total Population]], 0.05)), "")</f>
        <v/>
      </c>
      <c r="AF39" s="319">
        <f>IFERROR(LARGE(tblPiNAnalysis[[#This Row],[Site Management ]:[General Protection]], 1), "")</f>
        <v>0</v>
      </c>
      <c r="AG39" s="320">
        <f>IF(tblPiNAnalysis[[#This Row],[Highest PiN]]="", "",tblPiNAnalysis[[#This Row],[Highest PiN]]/ tblPiNAnalysis[[#This Row],[Total Population]])</f>
        <v>0</v>
      </c>
      <c r="AH39" s="320" t="str">
        <f>IFERROR(IF(tblPiNAnalysis[[#This Row],[Highest PiN]]="", "", IF(tblPiNAnalysis[[#This Row],[Highest sector(s'') PiN %]]&gt;=flag_pin_perc, "Flagged", "")), "")</f>
        <v/>
      </c>
      <c r="AI39" s="321"/>
      <c r="AJ39" s="322"/>
      <c r="AK39" s="323">
        <f>COUNTIFS(tblPiNAnalysis[[#This Row],[Highest PiN greater than 90% of total affected population]:[Manual Flag]],"Flagged")</f>
        <v>0</v>
      </c>
      <c r="AL39" s="324" t="str">
        <f>IF(tblPiNAnalysis[[#This Row],['# Flags]]&gt;0, "Flagged", "")</f>
        <v/>
      </c>
    </row>
    <row r="40" spans="1:38" ht="23.1" hidden="1" customHeight="1" x14ac:dyDescent="0.2">
      <c r="A40" s="309" t="str">
        <f>_xlfn.CONCAT(IF(tblPiNAnalysis[[#This Row],[Population Group]]="", "",tblPiNAnalysis[[#This Row],[Population Group]] ), _xlfn.IFS(tblPiNAnalysis[[#This Row],[Admin 2 P-Code]]&lt;&gt;"", tblPiNAnalysis[[#This Row],[Admin 2 P-Code]], tblPiNAnalysis[[#This Row],[Admin 1 P-Code]]&lt;&gt;"", tblPiNAnalysis[[#This Row],[Admin 1 P-Code]]))</f>
        <v>Host CommunitySD02119</v>
      </c>
      <c r="B40" s="245" t="s">
        <v>167</v>
      </c>
      <c r="C40" s="246" t="s">
        <v>119</v>
      </c>
      <c r="D40" s="247" t="s">
        <v>207</v>
      </c>
      <c r="E40" s="246" t="s">
        <v>206</v>
      </c>
      <c r="F40" s="248">
        <v>1946</v>
      </c>
      <c r="G40" s="248" t="s">
        <v>87</v>
      </c>
      <c r="H40" s="310"/>
      <c r="I40" s="311"/>
      <c r="J40" s="312"/>
      <c r="K40" s="311"/>
      <c r="L40" s="311"/>
      <c r="M40" s="312"/>
      <c r="N40" s="312">
        <f>_xlfn.XLOOKUP(CONCATENATE(tblPiNAnalysis[[#This Row],[Admin 2 P-Code]],tblPiNAnalysis[[#This Row],[Population Group]]),'Overall severity &amp; PIN Analysis'!A:A,'Overall severity &amp; PIN Analysis'!P:P,0,0)</f>
        <v>700</v>
      </c>
      <c r="O40" s="311"/>
      <c r="P40" s="312"/>
      <c r="Q40" s="312"/>
      <c r="R40" s="312"/>
      <c r="S40" s="312"/>
      <c r="T40" s="313" t="str">
        <f>IF(tblPiNAnalysis[[#This Row],[Site Management ]]="", "", tblPiNAnalysis[[#This Row],[Site Management ]]/tblPiNAnalysis[[#This Row],[Total Population]])</f>
        <v/>
      </c>
      <c r="U40" s="314" t="str">
        <f>IF(tblPiNAnalysis[[#This Row],[Education]]="", "", tblPiNAnalysis[[#This Row],[Education]]/tblPiNAnalysis[[#This Row],[Total Population]])</f>
        <v/>
      </c>
      <c r="V40" s="314" t="str">
        <f>IF(tblPiNAnalysis[[#This Row],[Food Security and Livlihoods]]="", "", tblPiNAnalysis[[#This Row],[Food Security and Livlihoods]]/tblPiNAnalysis[[#This Row],[Total Population]])</f>
        <v/>
      </c>
      <c r="W40" s="315" t="str">
        <f>IF(tblPiNAnalysis[[#This Row],[Health ]]="", "", tblPiNAnalysis[[#This Row],[Health ]]/tblPiNAnalysis[[#This Row],[Total Population]])</f>
        <v/>
      </c>
      <c r="X40" s="314" t="str">
        <f>IF(tblPiNAnalysis[[#This Row],[Nutrition]]="", "", tblPiNAnalysis[[#This Row],[Nutrition]]/tblPiNAnalysis[[#This Row],[Total Population]])</f>
        <v/>
      </c>
      <c r="Y40" s="314" t="str">
        <f>IF(tblPiNAnalysis[[#This Row],[Protection]]="", "", tblPiNAnalysis[[#This Row],[Protection]]/tblPiNAnalysis[[#This Row],[Total Population]])</f>
        <v/>
      </c>
      <c r="Z40" s="316">
        <f>IF(tblPiNAnalysis[[#This Row],[Shelter NFI ]]="", "", tblPiNAnalysis[[#This Row],[Shelter NFI ]]/tblPiNAnalysis[[#This Row],[Total Population]])</f>
        <v>0.35971223021582732</v>
      </c>
      <c r="AA40" s="317" t="str">
        <f>IF(tblPiNAnalysis[[#This Row],[WASH]]="", "", tblPiNAnalysis[[#This Row],[WASH]]/tblPiNAnalysis[[#This Row],[Total Population]])</f>
        <v/>
      </c>
      <c r="AB40" s="318" t="str">
        <f>IFERROR(IF(tblPiNAnalysis[[#This Row],[CP]]="", "", MROUND(tblPiNAnalysis[[#This Row],[CP]]/tblPiNAnalysis[[#This Row],[Total Population]], 0.05)), "")</f>
        <v/>
      </c>
      <c r="AC40" s="314" t="str">
        <f>IFERROR(IF(tblPiNAnalysis[[#This Row],[GBV]]="", "", MROUND(tblPiNAnalysis[[#This Row],[GBV]]/tblPiNAnalysis[[#This Row],[Total Population]], 0.05)), "")</f>
        <v/>
      </c>
      <c r="AD40" s="314" t="str">
        <f>IFERROR(IF(tblPiNAnalysis[[#This Row],[Mine Action]]="", "", MROUND(tblPiNAnalysis[[#This Row],[Mine Action]]/tblPiNAnalysis[[#This Row],[Total Population]], 0.05)), "")</f>
        <v/>
      </c>
      <c r="AE40" s="314" t="str">
        <f>IFERROR(IF(tblPiNAnalysis[[#This Row],[General Protection]]="", "", MROUND(tblPiNAnalysis[[#This Row],[General Protection]]/tblPiNAnalysis[[#This Row],[Total Population]], 0.05)), "")</f>
        <v/>
      </c>
      <c r="AF40" s="319">
        <f>IFERROR(LARGE(tblPiNAnalysis[[#This Row],[Site Management ]:[General Protection]], 1), "")</f>
        <v>700</v>
      </c>
      <c r="AG40" s="320">
        <f>IF(tblPiNAnalysis[[#This Row],[Highest PiN]]="", "",tblPiNAnalysis[[#This Row],[Highest PiN]]/ tblPiNAnalysis[[#This Row],[Total Population]])</f>
        <v>0.35971223021582732</v>
      </c>
      <c r="AH40" s="320" t="str">
        <f>IFERROR(IF(tblPiNAnalysis[[#This Row],[Highest PiN]]="", "", IF(tblPiNAnalysis[[#This Row],[Highest sector(s'') PiN %]]&gt;=flag_pin_perc, "Flagged", "")), "")</f>
        <v/>
      </c>
      <c r="AI40" s="321"/>
      <c r="AJ40" s="322"/>
      <c r="AK40" s="323">
        <f>COUNTIFS(tblPiNAnalysis[[#This Row],[Highest PiN greater than 90% of total affected population]:[Manual Flag]],"Flagged")</f>
        <v>0</v>
      </c>
      <c r="AL40" s="324" t="str">
        <f>IF(tblPiNAnalysis[[#This Row],['# Flags]]&gt;0, "Flagged", "")</f>
        <v/>
      </c>
    </row>
    <row r="41" spans="1:38" ht="23.1" hidden="1" customHeight="1" x14ac:dyDescent="0.2">
      <c r="A41" s="309" t="str">
        <f>_xlfn.CONCAT(IF(tblPiNAnalysis[[#This Row],[Population Group]]="", "",tblPiNAnalysis[[#This Row],[Population Group]] ), _xlfn.IFS(tblPiNAnalysis[[#This Row],[Admin 2 P-Code]]&lt;&gt;"", tblPiNAnalysis[[#This Row],[Admin 2 P-Code]], tblPiNAnalysis[[#This Row],[Admin 1 P-Code]]&lt;&gt;"", tblPiNAnalysis[[#This Row],[Admin 1 P-Code]]))</f>
        <v>IDPsSD02119</v>
      </c>
      <c r="B41" s="245" t="s">
        <v>167</v>
      </c>
      <c r="C41" s="246" t="s">
        <v>119</v>
      </c>
      <c r="D41" s="247" t="s">
        <v>207</v>
      </c>
      <c r="E41" s="246" t="s">
        <v>206</v>
      </c>
      <c r="F41" s="248">
        <v>1945</v>
      </c>
      <c r="G41" s="248" t="s">
        <v>88</v>
      </c>
      <c r="H41" s="310"/>
      <c r="I41" s="311"/>
      <c r="J41" s="312"/>
      <c r="K41" s="311"/>
      <c r="L41" s="311"/>
      <c r="M41" s="312"/>
      <c r="N41" s="312">
        <f>_xlfn.XLOOKUP(CONCATENATE(tblPiNAnalysis[[#This Row],[Admin 2 P-Code]],tblPiNAnalysis[[#This Row],[Population Group]]),'Overall severity &amp; PIN Analysis'!A:A,'Overall severity &amp; PIN Analysis'!P:P,0,0)</f>
        <v>700</v>
      </c>
      <c r="O41" s="311"/>
      <c r="P41" s="312"/>
      <c r="Q41" s="312"/>
      <c r="R41" s="312"/>
      <c r="S41" s="312"/>
      <c r="T41" s="313" t="str">
        <f>IF(tblPiNAnalysis[[#This Row],[Site Management ]]="", "", tblPiNAnalysis[[#This Row],[Site Management ]]/tblPiNAnalysis[[#This Row],[Total Population]])</f>
        <v/>
      </c>
      <c r="U41" s="314" t="str">
        <f>IF(tblPiNAnalysis[[#This Row],[Education]]="", "", tblPiNAnalysis[[#This Row],[Education]]/tblPiNAnalysis[[#This Row],[Total Population]])</f>
        <v/>
      </c>
      <c r="V41" s="314" t="str">
        <f>IF(tblPiNAnalysis[[#This Row],[Food Security and Livlihoods]]="", "", tblPiNAnalysis[[#This Row],[Food Security and Livlihoods]]/tblPiNAnalysis[[#This Row],[Total Population]])</f>
        <v/>
      </c>
      <c r="W41" s="315" t="str">
        <f>IF(tblPiNAnalysis[[#This Row],[Health ]]="", "", tblPiNAnalysis[[#This Row],[Health ]]/tblPiNAnalysis[[#This Row],[Total Population]])</f>
        <v/>
      </c>
      <c r="X41" s="314" t="str">
        <f>IF(tblPiNAnalysis[[#This Row],[Nutrition]]="", "", tblPiNAnalysis[[#This Row],[Nutrition]]/tblPiNAnalysis[[#This Row],[Total Population]])</f>
        <v/>
      </c>
      <c r="Y41" s="314" t="str">
        <f>IF(tblPiNAnalysis[[#This Row],[Protection]]="", "", tblPiNAnalysis[[#This Row],[Protection]]/tblPiNAnalysis[[#This Row],[Total Population]])</f>
        <v/>
      </c>
      <c r="Z41" s="316">
        <f>IF(tblPiNAnalysis[[#This Row],[Shelter NFI ]]="", "", tblPiNAnalysis[[#This Row],[Shelter NFI ]]/tblPiNAnalysis[[#This Row],[Total Population]])</f>
        <v>0.35989717223650386</v>
      </c>
      <c r="AA41" s="317" t="str">
        <f>IF(tblPiNAnalysis[[#This Row],[WASH]]="", "", tblPiNAnalysis[[#This Row],[WASH]]/tblPiNAnalysis[[#This Row],[Total Population]])</f>
        <v/>
      </c>
      <c r="AB41" s="318" t="str">
        <f>IFERROR(IF(tblPiNAnalysis[[#This Row],[CP]]="", "", MROUND(tblPiNAnalysis[[#This Row],[CP]]/tblPiNAnalysis[[#This Row],[Total Population]], 0.05)), "")</f>
        <v/>
      </c>
      <c r="AC41" s="314" t="str">
        <f>IFERROR(IF(tblPiNAnalysis[[#This Row],[GBV]]="", "", MROUND(tblPiNAnalysis[[#This Row],[GBV]]/tblPiNAnalysis[[#This Row],[Total Population]], 0.05)), "")</f>
        <v/>
      </c>
      <c r="AD41" s="314" t="str">
        <f>IFERROR(IF(tblPiNAnalysis[[#This Row],[Mine Action]]="", "", MROUND(tblPiNAnalysis[[#This Row],[Mine Action]]/tblPiNAnalysis[[#This Row],[Total Population]], 0.05)), "")</f>
        <v/>
      </c>
      <c r="AE41" s="314" t="str">
        <f>IFERROR(IF(tblPiNAnalysis[[#This Row],[General Protection]]="", "", MROUND(tblPiNAnalysis[[#This Row],[General Protection]]/tblPiNAnalysis[[#This Row],[Total Population]], 0.05)), "")</f>
        <v/>
      </c>
      <c r="AF41" s="319">
        <f>IFERROR(LARGE(tblPiNAnalysis[[#This Row],[Site Management ]:[General Protection]], 1), "")</f>
        <v>700</v>
      </c>
      <c r="AG41" s="320">
        <f>IF(tblPiNAnalysis[[#This Row],[Highest PiN]]="", "",tblPiNAnalysis[[#This Row],[Highest PiN]]/ tblPiNAnalysis[[#This Row],[Total Population]])</f>
        <v>0.35989717223650386</v>
      </c>
      <c r="AH41" s="320" t="str">
        <f>IFERROR(IF(tblPiNAnalysis[[#This Row],[Highest PiN]]="", "", IF(tblPiNAnalysis[[#This Row],[Highest sector(s'') PiN %]]&gt;=flag_pin_perc, "Flagged", "")), "")</f>
        <v/>
      </c>
      <c r="AI41" s="321"/>
      <c r="AJ41" s="322"/>
      <c r="AK41" s="323">
        <f>COUNTIFS(tblPiNAnalysis[[#This Row],[Highest PiN greater than 90% of total affected population]:[Manual Flag]],"Flagged")</f>
        <v>0</v>
      </c>
      <c r="AL41" s="324" t="str">
        <f>IF(tblPiNAnalysis[[#This Row],['# Flags]]&gt;0, "Flagged", "")</f>
        <v/>
      </c>
    </row>
    <row r="42" spans="1:38" ht="23.1" customHeight="1" x14ac:dyDescent="0.2">
      <c r="A42" s="309" t="str">
        <f>_xlfn.CONCAT(IF(tblPiNAnalysis[[#This Row],[Population Group]]="", "",tblPiNAnalysis[[#This Row],[Population Group]] ), _xlfn.IFS(tblPiNAnalysis[[#This Row],[Admin 2 P-Code]]&lt;&gt;"", tblPiNAnalysis[[#This Row],[Admin 2 P-Code]], tblPiNAnalysis[[#This Row],[Admin 1 P-Code]]&lt;&gt;"", tblPiNAnalysis[[#This Row],[Admin 1 P-Code]]))</f>
        <v>Non-hosting PopulationSD02119</v>
      </c>
      <c r="B42" s="245" t="s">
        <v>167</v>
      </c>
      <c r="C42" s="246" t="s">
        <v>119</v>
      </c>
      <c r="D42" s="247" t="s">
        <v>207</v>
      </c>
      <c r="E42" s="246" t="s">
        <v>206</v>
      </c>
      <c r="F42" s="248">
        <v>145284</v>
      </c>
      <c r="G42" s="248" t="s">
        <v>568</v>
      </c>
      <c r="H42" s="310"/>
      <c r="I42" s="311"/>
      <c r="J42" s="312"/>
      <c r="K42" s="311"/>
      <c r="L42" s="311"/>
      <c r="M42" s="312"/>
      <c r="N42" s="312">
        <f>_xlfn.XLOOKUP(CONCATENATE(tblPiNAnalysis[[#This Row],[Admin 2 P-Code]],tblPiNAnalysis[[#This Row],[Population Group]]),'Overall severity &amp; PIN Analysis'!A:A,'Overall severity &amp; PIN Analysis'!P:P,0,0)</f>
        <v>1025</v>
      </c>
      <c r="O42" s="311"/>
      <c r="P42" s="312"/>
      <c r="Q42" s="312"/>
      <c r="R42" s="312"/>
      <c r="S42" s="312"/>
      <c r="T42" s="313" t="str">
        <f>IF(tblPiNAnalysis[[#This Row],[Site Management ]]="", "", tblPiNAnalysis[[#This Row],[Site Management ]]/tblPiNAnalysis[[#This Row],[Total Population]])</f>
        <v/>
      </c>
      <c r="U42" s="314" t="str">
        <f>IF(tblPiNAnalysis[[#This Row],[Education]]="", "", tblPiNAnalysis[[#This Row],[Education]]/tblPiNAnalysis[[#This Row],[Total Population]])</f>
        <v/>
      </c>
      <c r="V42" s="314" t="str">
        <f>IF(tblPiNAnalysis[[#This Row],[Food Security and Livlihoods]]="", "", tblPiNAnalysis[[#This Row],[Food Security and Livlihoods]]/tblPiNAnalysis[[#This Row],[Total Population]])</f>
        <v/>
      </c>
      <c r="W42" s="315" t="str">
        <f>IF(tblPiNAnalysis[[#This Row],[Health ]]="", "", tblPiNAnalysis[[#This Row],[Health ]]/tblPiNAnalysis[[#This Row],[Total Population]])</f>
        <v/>
      </c>
      <c r="X42" s="314" t="str">
        <f>IF(tblPiNAnalysis[[#This Row],[Nutrition]]="", "", tblPiNAnalysis[[#This Row],[Nutrition]]/tblPiNAnalysis[[#This Row],[Total Population]])</f>
        <v/>
      </c>
      <c r="Y42" s="314" t="str">
        <f>IF(tblPiNAnalysis[[#This Row],[Protection]]="", "", tblPiNAnalysis[[#This Row],[Protection]]/tblPiNAnalysis[[#This Row],[Total Population]])</f>
        <v/>
      </c>
      <c r="Z42" s="316">
        <f>IF(tblPiNAnalysis[[#This Row],[Shelter NFI ]]="", "", tblPiNAnalysis[[#This Row],[Shelter NFI ]]/tblPiNAnalysis[[#This Row],[Total Population]])</f>
        <v>7.0551471600451528E-3</v>
      </c>
      <c r="AA42" s="317" t="str">
        <f>IF(tblPiNAnalysis[[#This Row],[WASH]]="", "", tblPiNAnalysis[[#This Row],[WASH]]/tblPiNAnalysis[[#This Row],[Total Population]])</f>
        <v/>
      </c>
      <c r="AB42" s="318" t="str">
        <f>IFERROR(IF(tblPiNAnalysis[[#This Row],[CP]]="", "", MROUND(tblPiNAnalysis[[#This Row],[CP]]/tblPiNAnalysis[[#This Row],[Total Population]], 0.05)), "")</f>
        <v/>
      </c>
      <c r="AC42" s="314" t="str">
        <f>IFERROR(IF(tblPiNAnalysis[[#This Row],[GBV]]="", "", MROUND(tblPiNAnalysis[[#This Row],[GBV]]/tblPiNAnalysis[[#This Row],[Total Population]], 0.05)), "")</f>
        <v/>
      </c>
      <c r="AD42" s="314" t="str">
        <f>IFERROR(IF(tblPiNAnalysis[[#This Row],[Mine Action]]="", "", MROUND(tblPiNAnalysis[[#This Row],[Mine Action]]/tblPiNAnalysis[[#This Row],[Total Population]], 0.05)), "")</f>
        <v/>
      </c>
      <c r="AE42" s="314" t="str">
        <f>IFERROR(IF(tblPiNAnalysis[[#This Row],[General Protection]]="", "", MROUND(tblPiNAnalysis[[#This Row],[General Protection]]/tblPiNAnalysis[[#This Row],[Total Population]], 0.05)), "")</f>
        <v/>
      </c>
      <c r="AF42" s="319">
        <f>IFERROR(LARGE(tblPiNAnalysis[[#This Row],[Site Management ]:[General Protection]], 1), "")</f>
        <v>1025</v>
      </c>
      <c r="AG42" s="320">
        <f>IF(tblPiNAnalysis[[#This Row],[Highest PiN]]="", "",tblPiNAnalysis[[#This Row],[Highest PiN]]/ tblPiNAnalysis[[#This Row],[Total Population]])</f>
        <v>7.0551471600451528E-3</v>
      </c>
      <c r="AH42" s="320" t="str">
        <f>IFERROR(IF(tblPiNAnalysis[[#This Row],[Highest PiN]]="", "", IF(tblPiNAnalysis[[#This Row],[Highest sector(s'') PiN %]]&gt;=flag_pin_perc, "Flagged", "")), "")</f>
        <v/>
      </c>
      <c r="AI42" s="321"/>
      <c r="AJ42" s="322"/>
      <c r="AK42" s="323">
        <f>COUNTIFS(tblPiNAnalysis[[#This Row],[Highest PiN greater than 90% of total affected population]:[Manual Flag]],"Flagged")</f>
        <v>0</v>
      </c>
      <c r="AL42" s="324" t="str">
        <f>IF(tblPiNAnalysis[[#This Row],['# Flags]]&gt;0, "Flagged", "")</f>
        <v/>
      </c>
    </row>
    <row r="43" spans="1:38" ht="23.1" hidden="1" customHeight="1" x14ac:dyDescent="0.2">
      <c r="A43" s="309" t="str">
        <f>_xlfn.CONCAT(IF(tblPiNAnalysis[[#This Row],[Population Group]]="", "",tblPiNAnalysis[[#This Row],[Population Group]] ), _xlfn.IFS(tblPiNAnalysis[[#This Row],[Admin 2 P-Code]]&lt;&gt;"", tblPiNAnalysis[[#This Row],[Admin 2 P-Code]], tblPiNAnalysis[[#This Row],[Admin 1 P-Code]]&lt;&gt;"", tblPiNAnalysis[[#This Row],[Admin 1 P-Code]]))</f>
        <v>Host CommunitySD02120</v>
      </c>
      <c r="B43" s="245" t="s">
        <v>167</v>
      </c>
      <c r="C43" s="246" t="s">
        <v>119</v>
      </c>
      <c r="D43" s="247" t="s">
        <v>209</v>
      </c>
      <c r="E43" s="246" t="s">
        <v>208</v>
      </c>
      <c r="F43" s="248">
        <v>1360</v>
      </c>
      <c r="G43" s="248" t="s">
        <v>87</v>
      </c>
      <c r="H43" s="310"/>
      <c r="I43" s="311"/>
      <c r="J43" s="312"/>
      <c r="K43" s="311"/>
      <c r="L43" s="311"/>
      <c r="M43" s="312"/>
      <c r="N43" s="312">
        <f>_xlfn.XLOOKUP(CONCATENATE(tblPiNAnalysis[[#This Row],[Admin 2 P-Code]],tblPiNAnalysis[[#This Row],[Population Group]]),'Overall severity &amp; PIN Analysis'!A:A,'Overall severity &amp; PIN Analysis'!P:P,0,0)</f>
        <v>231</v>
      </c>
      <c r="O43" s="311"/>
      <c r="P43" s="312"/>
      <c r="Q43" s="312"/>
      <c r="R43" s="312"/>
      <c r="S43" s="312"/>
      <c r="T43" s="313" t="str">
        <f>IF(tblPiNAnalysis[[#This Row],[Site Management ]]="", "", tblPiNAnalysis[[#This Row],[Site Management ]]/tblPiNAnalysis[[#This Row],[Total Population]])</f>
        <v/>
      </c>
      <c r="U43" s="314" t="str">
        <f>IF(tblPiNAnalysis[[#This Row],[Education]]="", "", tblPiNAnalysis[[#This Row],[Education]]/tblPiNAnalysis[[#This Row],[Total Population]])</f>
        <v/>
      </c>
      <c r="V43" s="314" t="str">
        <f>IF(tblPiNAnalysis[[#This Row],[Food Security and Livlihoods]]="", "", tblPiNAnalysis[[#This Row],[Food Security and Livlihoods]]/tblPiNAnalysis[[#This Row],[Total Population]])</f>
        <v/>
      </c>
      <c r="W43" s="315" t="str">
        <f>IF(tblPiNAnalysis[[#This Row],[Health ]]="", "", tblPiNAnalysis[[#This Row],[Health ]]/tblPiNAnalysis[[#This Row],[Total Population]])</f>
        <v/>
      </c>
      <c r="X43" s="314" t="str">
        <f>IF(tblPiNAnalysis[[#This Row],[Nutrition]]="", "", tblPiNAnalysis[[#This Row],[Nutrition]]/tblPiNAnalysis[[#This Row],[Total Population]])</f>
        <v/>
      </c>
      <c r="Y43" s="314" t="str">
        <f>IF(tblPiNAnalysis[[#This Row],[Protection]]="", "", tblPiNAnalysis[[#This Row],[Protection]]/tblPiNAnalysis[[#This Row],[Total Population]])</f>
        <v/>
      </c>
      <c r="Z43" s="316">
        <f>IF(tblPiNAnalysis[[#This Row],[Shelter NFI ]]="", "", tblPiNAnalysis[[#This Row],[Shelter NFI ]]/tblPiNAnalysis[[#This Row],[Total Population]])</f>
        <v>0.1698529411764706</v>
      </c>
      <c r="AA43" s="317" t="str">
        <f>IF(tblPiNAnalysis[[#This Row],[WASH]]="", "", tblPiNAnalysis[[#This Row],[WASH]]/tblPiNAnalysis[[#This Row],[Total Population]])</f>
        <v/>
      </c>
      <c r="AB43" s="318" t="str">
        <f>IFERROR(IF(tblPiNAnalysis[[#This Row],[CP]]="", "", MROUND(tblPiNAnalysis[[#This Row],[CP]]/tblPiNAnalysis[[#This Row],[Total Population]], 0.05)), "")</f>
        <v/>
      </c>
      <c r="AC43" s="314" t="str">
        <f>IFERROR(IF(tblPiNAnalysis[[#This Row],[GBV]]="", "", MROUND(tblPiNAnalysis[[#This Row],[GBV]]/tblPiNAnalysis[[#This Row],[Total Population]], 0.05)), "")</f>
        <v/>
      </c>
      <c r="AD43" s="314" t="str">
        <f>IFERROR(IF(tblPiNAnalysis[[#This Row],[Mine Action]]="", "", MROUND(tblPiNAnalysis[[#This Row],[Mine Action]]/tblPiNAnalysis[[#This Row],[Total Population]], 0.05)), "")</f>
        <v/>
      </c>
      <c r="AE43" s="314" t="str">
        <f>IFERROR(IF(tblPiNAnalysis[[#This Row],[General Protection]]="", "", MROUND(tblPiNAnalysis[[#This Row],[General Protection]]/tblPiNAnalysis[[#This Row],[Total Population]], 0.05)), "")</f>
        <v/>
      </c>
      <c r="AF43" s="319">
        <f>IFERROR(LARGE(tblPiNAnalysis[[#This Row],[Site Management ]:[General Protection]], 1), "")</f>
        <v>231</v>
      </c>
      <c r="AG43" s="320">
        <f>IF(tblPiNAnalysis[[#This Row],[Highest PiN]]="", "",tblPiNAnalysis[[#This Row],[Highest PiN]]/ tblPiNAnalysis[[#This Row],[Total Population]])</f>
        <v>0.1698529411764706</v>
      </c>
      <c r="AH43" s="320" t="str">
        <f>IFERROR(IF(tblPiNAnalysis[[#This Row],[Highest PiN]]="", "", IF(tblPiNAnalysis[[#This Row],[Highest sector(s'') PiN %]]&gt;=flag_pin_perc, "Flagged", "")), "")</f>
        <v/>
      </c>
      <c r="AI43" s="321"/>
      <c r="AJ43" s="322"/>
      <c r="AK43" s="323">
        <f>COUNTIFS(tblPiNAnalysis[[#This Row],[Highest PiN greater than 90% of total affected population]:[Manual Flag]],"Flagged")</f>
        <v>0</v>
      </c>
      <c r="AL43" s="324" t="str">
        <f>IF(tblPiNAnalysis[[#This Row],['# Flags]]&gt;0, "Flagged", "")</f>
        <v/>
      </c>
    </row>
    <row r="44" spans="1:38" ht="23.1" hidden="1" customHeight="1" x14ac:dyDescent="0.2">
      <c r="A44" s="309" t="str">
        <f>_xlfn.CONCAT(IF(tblPiNAnalysis[[#This Row],[Population Group]]="", "",tblPiNAnalysis[[#This Row],[Population Group]] ), _xlfn.IFS(tblPiNAnalysis[[#This Row],[Admin 2 P-Code]]&lt;&gt;"", tblPiNAnalysis[[#This Row],[Admin 2 P-Code]], tblPiNAnalysis[[#This Row],[Admin 1 P-Code]]&lt;&gt;"", tblPiNAnalysis[[#This Row],[Admin 1 P-Code]]))</f>
        <v>IDPsSD02120</v>
      </c>
      <c r="B44" s="245" t="s">
        <v>167</v>
      </c>
      <c r="C44" s="246" t="s">
        <v>119</v>
      </c>
      <c r="D44" s="247" t="s">
        <v>209</v>
      </c>
      <c r="E44" s="246" t="s">
        <v>208</v>
      </c>
      <c r="F44" s="248">
        <v>1360</v>
      </c>
      <c r="G44" s="248" t="s">
        <v>88</v>
      </c>
      <c r="H44" s="310"/>
      <c r="I44" s="311"/>
      <c r="J44" s="312"/>
      <c r="K44" s="311"/>
      <c r="L44" s="311"/>
      <c r="M44" s="312"/>
      <c r="N44" s="312">
        <f>_xlfn.XLOOKUP(CONCATENATE(tblPiNAnalysis[[#This Row],[Admin 2 P-Code]],tblPiNAnalysis[[#This Row],[Population Group]]),'Overall severity &amp; PIN Analysis'!A:A,'Overall severity &amp; PIN Analysis'!P:P,0,0)</f>
        <v>231</v>
      </c>
      <c r="O44" s="311"/>
      <c r="P44" s="312"/>
      <c r="Q44" s="312"/>
      <c r="R44" s="312"/>
      <c r="S44" s="312"/>
      <c r="T44" s="313" t="str">
        <f>IF(tblPiNAnalysis[[#This Row],[Site Management ]]="", "", tblPiNAnalysis[[#This Row],[Site Management ]]/tblPiNAnalysis[[#This Row],[Total Population]])</f>
        <v/>
      </c>
      <c r="U44" s="314" t="str">
        <f>IF(tblPiNAnalysis[[#This Row],[Education]]="", "", tblPiNAnalysis[[#This Row],[Education]]/tblPiNAnalysis[[#This Row],[Total Population]])</f>
        <v/>
      </c>
      <c r="V44" s="314" t="str">
        <f>IF(tblPiNAnalysis[[#This Row],[Food Security and Livlihoods]]="", "", tblPiNAnalysis[[#This Row],[Food Security and Livlihoods]]/tblPiNAnalysis[[#This Row],[Total Population]])</f>
        <v/>
      </c>
      <c r="W44" s="315" t="str">
        <f>IF(tblPiNAnalysis[[#This Row],[Health ]]="", "", tblPiNAnalysis[[#This Row],[Health ]]/tblPiNAnalysis[[#This Row],[Total Population]])</f>
        <v/>
      </c>
      <c r="X44" s="314" t="str">
        <f>IF(tblPiNAnalysis[[#This Row],[Nutrition]]="", "", tblPiNAnalysis[[#This Row],[Nutrition]]/tblPiNAnalysis[[#This Row],[Total Population]])</f>
        <v/>
      </c>
      <c r="Y44" s="314" t="str">
        <f>IF(tblPiNAnalysis[[#This Row],[Protection]]="", "", tblPiNAnalysis[[#This Row],[Protection]]/tblPiNAnalysis[[#This Row],[Total Population]])</f>
        <v/>
      </c>
      <c r="Z44" s="316">
        <f>IF(tblPiNAnalysis[[#This Row],[Shelter NFI ]]="", "", tblPiNAnalysis[[#This Row],[Shelter NFI ]]/tblPiNAnalysis[[#This Row],[Total Population]])</f>
        <v>0.1698529411764706</v>
      </c>
      <c r="AA44" s="317" t="str">
        <f>IF(tblPiNAnalysis[[#This Row],[WASH]]="", "", tblPiNAnalysis[[#This Row],[WASH]]/tblPiNAnalysis[[#This Row],[Total Population]])</f>
        <v/>
      </c>
      <c r="AB44" s="318" t="str">
        <f>IFERROR(IF(tblPiNAnalysis[[#This Row],[CP]]="", "", MROUND(tblPiNAnalysis[[#This Row],[CP]]/tblPiNAnalysis[[#This Row],[Total Population]], 0.05)), "")</f>
        <v/>
      </c>
      <c r="AC44" s="314" t="str">
        <f>IFERROR(IF(tblPiNAnalysis[[#This Row],[GBV]]="", "", MROUND(tblPiNAnalysis[[#This Row],[GBV]]/tblPiNAnalysis[[#This Row],[Total Population]], 0.05)), "")</f>
        <v/>
      </c>
      <c r="AD44" s="314" t="str">
        <f>IFERROR(IF(tblPiNAnalysis[[#This Row],[Mine Action]]="", "", MROUND(tblPiNAnalysis[[#This Row],[Mine Action]]/tblPiNAnalysis[[#This Row],[Total Population]], 0.05)), "")</f>
        <v/>
      </c>
      <c r="AE44" s="314" t="str">
        <f>IFERROR(IF(tblPiNAnalysis[[#This Row],[General Protection]]="", "", MROUND(tblPiNAnalysis[[#This Row],[General Protection]]/tblPiNAnalysis[[#This Row],[Total Population]], 0.05)), "")</f>
        <v/>
      </c>
      <c r="AF44" s="319">
        <f>IFERROR(LARGE(tblPiNAnalysis[[#This Row],[Site Management ]:[General Protection]], 1), "")</f>
        <v>231</v>
      </c>
      <c r="AG44" s="320">
        <f>IF(tblPiNAnalysis[[#This Row],[Highest PiN]]="", "",tblPiNAnalysis[[#This Row],[Highest PiN]]/ tblPiNAnalysis[[#This Row],[Total Population]])</f>
        <v>0.1698529411764706</v>
      </c>
      <c r="AH44" s="320" t="str">
        <f>IFERROR(IF(tblPiNAnalysis[[#This Row],[Highest PiN]]="", "", IF(tblPiNAnalysis[[#This Row],[Highest sector(s'') PiN %]]&gt;=flag_pin_perc, "Flagged", "")), "")</f>
        <v/>
      </c>
      <c r="AI44" s="321"/>
      <c r="AJ44" s="322"/>
      <c r="AK44" s="323">
        <f>COUNTIFS(tblPiNAnalysis[[#This Row],[Highest PiN greater than 90% of total affected population]:[Manual Flag]],"Flagged")</f>
        <v>0</v>
      </c>
      <c r="AL44" s="324" t="str">
        <f>IF(tblPiNAnalysis[[#This Row],['# Flags]]&gt;0, "Flagged", "")</f>
        <v/>
      </c>
    </row>
    <row r="45" spans="1:38" ht="23.1" customHeight="1" x14ac:dyDescent="0.2">
      <c r="A45" s="309" t="str">
        <f>_xlfn.CONCAT(IF(tblPiNAnalysis[[#This Row],[Population Group]]="", "",tblPiNAnalysis[[#This Row],[Population Group]] ), _xlfn.IFS(tblPiNAnalysis[[#This Row],[Admin 2 P-Code]]&lt;&gt;"", tblPiNAnalysis[[#This Row],[Admin 2 P-Code]], tblPiNAnalysis[[#This Row],[Admin 1 P-Code]]&lt;&gt;"", tblPiNAnalysis[[#This Row],[Admin 1 P-Code]]))</f>
        <v>Non-hosting PopulationSD02120</v>
      </c>
      <c r="B45" s="245" t="s">
        <v>167</v>
      </c>
      <c r="C45" s="246" t="s">
        <v>119</v>
      </c>
      <c r="D45" s="247" t="s">
        <v>209</v>
      </c>
      <c r="E45" s="246" t="s">
        <v>208</v>
      </c>
      <c r="F45" s="248">
        <v>161349</v>
      </c>
      <c r="G45" s="248" t="s">
        <v>568</v>
      </c>
      <c r="H45" s="310"/>
      <c r="I45" s="311"/>
      <c r="J45" s="312"/>
      <c r="K45" s="311"/>
      <c r="L45" s="311"/>
      <c r="M45" s="312"/>
      <c r="N45" s="312">
        <f>_xlfn.XLOOKUP(CONCATENATE(tblPiNAnalysis[[#This Row],[Admin 2 P-Code]],tblPiNAnalysis[[#This Row],[Population Group]]),'Overall severity &amp; PIN Analysis'!A:A,'Overall severity &amp; PIN Analysis'!P:P,0,0)</f>
        <v>0</v>
      </c>
      <c r="O45" s="311"/>
      <c r="P45" s="312"/>
      <c r="Q45" s="312"/>
      <c r="R45" s="312"/>
      <c r="S45" s="312"/>
      <c r="T45" s="313" t="str">
        <f>IF(tblPiNAnalysis[[#This Row],[Site Management ]]="", "", tblPiNAnalysis[[#This Row],[Site Management ]]/tblPiNAnalysis[[#This Row],[Total Population]])</f>
        <v/>
      </c>
      <c r="U45" s="314" t="str">
        <f>IF(tblPiNAnalysis[[#This Row],[Education]]="", "", tblPiNAnalysis[[#This Row],[Education]]/tblPiNAnalysis[[#This Row],[Total Population]])</f>
        <v/>
      </c>
      <c r="V45" s="314" t="str">
        <f>IF(tblPiNAnalysis[[#This Row],[Food Security and Livlihoods]]="", "", tblPiNAnalysis[[#This Row],[Food Security and Livlihoods]]/tblPiNAnalysis[[#This Row],[Total Population]])</f>
        <v/>
      </c>
      <c r="W45" s="315" t="str">
        <f>IF(tblPiNAnalysis[[#This Row],[Health ]]="", "", tblPiNAnalysis[[#This Row],[Health ]]/tblPiNAnalysis[[#This Row],[Total Population]])</f>
        <v/>
      </c>
      <c r="X45" s="314" t="str">
        <f>IF(tblPiNAnalysis[[#This Row],[Nutrition]]="", "", tblPiNAnalysis[[#This Row],[Nutrition]]/tblPiNAnalysis[[#This Row],[Total Population]])</f>
        <v/>
      </c>
      <c r="Y45" s="314" t="str">
        <f>IF(tblPiNAnalysis[[#This Row],[Protection]]="", "", tblPiNAnalysis[[#This Row],[Protection]]/tblPiNAnalysis[[#This Row],[Total Population]])</f>
        <v/>
      </c>
      <c r="Z45" s="316">
        <f>IF(tblPiNAnalysis[[#This Row],[Shelter NFI ]]="", "", tblPiNAnalysis[[#This Row],[Shelter NFI ]]/tblPiNAnalysis[[#This Row],[Total Population]])</f>
        <v>0</v>
      </c>
      <c r="AA45" s="317" t="str">
        <f>IF(tblPiNAnalysis[[#This Row],[WASH]]="", "", tblPiNAnalysis[[#This Row],[WASH]]/tblPiNAnalysis[[#This Row],[Total Population]])</f>
        <v/>
      </c>
      <c r="AB45" s="318" t="str">
        <f>IFERROR(IF(tblPiNAnalysis[[#This Row],[CP]]="", "", MROUND(tblPiNAnalysis[[#This Row],[CP]]/tblPiNAnalysis[[#This Row],[Total Population]], 0.05)), "")</f>
        <v/>
      </c>
      <c r="AC45" s="314" t="str">
        <f>IFERROR(IF(tblPiNAnalysis[[#This Row],[GBV]]="", "", MROUND(tblPiNAnalysis[[#This Row],[GBV]]/tblPiNAnalysis[[#This Row],[Total Population]], 0.05)), "")</f>
        <v/>
      </c>
      <c r="AD45" s="314" t="str">
        <f>IFERROR(IF(tblPiNAnalysis[[#This Row],[Mine Action]]="", "", MROUND(tblPiNAnalysis[[#This Row],[Mine Action]]/tblPiNAnalysis[[#This Row],[Total Population]], 0.05)), "")</f>
        <v/>
      </c>
      <c r="AE45" s="314" t="str">
        <f>IFERROR(IF(tblPiNAnalysis[[#This Row],[General Protection]]="", "", MROUND(tblPiNAnalysis[[#This Row],[General Protection]]/tblPiNAnalysis[[#This Row],[Total Population]], 0.05)), "")</f>
        <v/>
      </c>
      <c r="AF45" s="319">
        <f>IFERROR(LARGE(tblPiNAnalysis[[#This Row],[Site Management ]:[General Protection]], 1), "")</f>
        <v>0</v>
      </c>
      <c r="AG45" s="320">
        <f>IF(tblPiNAnalysis[[#This Row],[Highest PiN]]="", "",tblPiNAnalysis[[#This Row],[Highest PiN]]/ tblPiNAnalysis[[#This Row],[Total Population]])</f>
        <v>0</v>
      </c>
      <c r="AH45" s="320" t="str">
        <f>IFERROR(IF(tblPiNAnalysis[[#This Row],[Highest PiN]]="", "", IF(tblPiNAnalysis[[#This Row],[Highest sector(s'') PiN %]]&gt;=flag_pin_perc, "Flagged", "")), "")</f>
        <v/>
      </c>
      <c r="AI45" s="321"/>
      <c r="AJ45" s="322"/>
      <c r="AK45" s="323">
        <f>COUNTIFS(tblPiNAnalysis[[#This Row],[Highest PiN greater than 90% of total affected population]:[Manual Flag]],"Flagged")</f>
        <v>0</v>
      </c>
      <c r="AL45" s="324" t="str">
        <f>IF(tblPiNAnalysis[[#This Row],['# Flags]]&gt;0, "Flagged", "")</f>
        <v/>
      </c>
    </row>
    <row r="46" spans="1:38" ht="23.1" hidden="1" customHeight="1" x14ac:dyDescent="0.2">
      <c r="A46" s="309" t="str">
        <f>_xlfn.CONCAT(IF(tblPiNAnalysis[[#This Row],[Population Group]]="", "",tblPiNAnalysis[[#This Row],[Population Group]] ), _xlfn.IFS(tblPiNAnalysis[[#This Row],[Admin 2 P-Code]]&lt;&gt;"", tblPiNAnalysis[[#This Row],[Admin 2 P-Code]], tblPiNAnalysis[[#This Row],[Admin 1 P-Code]]&lt;&gt;"", tblPiNAnalysis[[#This Row],[Admin 1 P-Code]]))</f>
        <v>Host CommunitySD02124</v>
      </c>
      <c r="B46" s="245" t="s">
        <v>167</v>
      </c>
      <c r="C46" s="246" t="s">
        <v>119</v>
      </c>
      <c r="D46" s="247" t="s">
        <v>211</v>
      </c>
      <c r="E46" s="246" t="s">
        <v>210</v>
      </c>
      <c r="F46" s="248">
        <v>82555</v>
      </c>
      <c r="G46" s="248" t="s">
        <v>87</v>
      </c>
      <c r="H46" s="310"/>
      <c r="I46" s="311"/>
      <c r="J46" s="312"/>
      <c r="K46" s="311"/>
      <c r="L46" s="311"/>
      <c r="M46" s="312"/>
      <c r="N46" s="312">
        <f>_xlfn.XLOOKUP(CONCATENATE(tblPiNAnalysis[[#This Row],[Admin 2 P-Code]],tblPiNAnalysis[[#This Row],[Population Group]]),'Overall severity &amp; PIN Analysis'!A:A,'Overall severity &amp; PIN Analysis'!P:P,0,0)</f>
        <v>61047</v>
      </c>
      <c r="O46" s="311"/>
      <c r="P46" s="312"/>
      <c r="Q46" s="312"/>
      <c r="R46" s="312"/>
      <c r="S46" s="312"/>
      <c r="T46" s="313" t="str">
        <f>IF(tblPiNAnalysis[[#This Row],[Site Management ]]="", "", tblPiNAnalysis[[#This Row],[Site Management ]]/tblPiNAnalysis[[#This Row],[Total Population]])</f>
        <v/>
      </c>
      <c r="U46" s="314" t="str">
        <f>IF(tblPiNAnalysis[[#This Row],[Education]]="", "", tblPiNAnalysis[[#This Row],[Education]]/tblPiNAnalysis[[#This Row],[Total Population]])</f>
        <v/>
      </c>
      <c r="V46" s="314" t="str">
        <f>IF(tblPiNAnalysis[[#This Row],[Food Security and Livlihoods]]="", "", tblPiNAnalysis[[#This Row],[Food Security and Livlihoods]]/tblPiNAnalysis[[#This Row],[Total Population]])</f>
        <v/>
      </c>
      <c r="W46" s="315" t="str">
        <f>IF(tblPiNAnalysis[[#This Row],[Health ]]="", "", tblPiNAnalysis[[#This Row],[Health ]]/tblPiNAnalysis[[#This Row],[Total Population]])</f>
        <v/>
      </c>
      <c r="X46" s="314" t="str">
        <f>IF(tblPiNAnalysis[[#This Row],[Nutrition]]="", "", tblPiNAnalysis[[#This Row],[Nutrition]]/tblPiNAnalysis[[#This Row],[Total Population]])</f>
        <v/>
      </c>
      <c r="Y46" s="314" t="str">
        <f>IF(tblPiNAnalysis[[#This Row],[Protection]]="", "", tblPiNAnalysis[[#This Row],[Protection]]/tblPiNAnalysis[[#This Row],[Total Population]])</f>
        <v/>
      </c>
      <c r="Z46" s="316">
        <f>IF(tblPiNAnalysis[[#This Row],[Shelter NFI ]]="", "", tblPiNAnalysis[[#This Row],[Shelter NFI ]]/tblPiNAnalysis[[#This Row],[Total Population]])</f>
        <v>0.73947065592635208</v>
      </c>
      <c r="AA46" s="317" t="str">
        <f>IF(tblPiNAnalysis[[#This Row],[WASH]]="", "", tblPiNAnalysis[[#This Row],[WASH]]/tblPiNAnalysis[[#This Row],[Total Population]])</f>
        <v/>
      </c>
      <c r="AB46" s="318" t="str">
        <f>IFERROR(IF(tblPiNAnalysis[[#This Row],[CP]]="", "", MROUND(tblPiNAnalysis[[#This Row],[CP]]/tblPiNAnalysis[[#This Row],[Total Population]], 0.05)), "")</f>
        <v/>
      </c>
      <c r="AC46" s="314" t="str">
        <f>IFERROR(IF(tblPiNAnalysis[[#This Row],[GBV]]="", "", MROUND(tblPiNAnalysis[[#This Row],[GBV]]/tblPiNAnalysis[[#This Row],[Total Population]], 0.05)), "")</f>
        <v/>
      </c>
      <c r="AD46" s="314" t="str">
        <f>IFERROR(IF(tblPiNAnalysis[[#This Row],[Mine Action]]="", "", MROUND(tblPiNAnalysis[[#This Row],[Mine Action]]/tblPiNAnalysis[[#This Row],[Total Population]], 0.05)), "")</f>
        <v/>
      </c>
      <c r="AE46" s="314" t="str">
        <f>IFERROR(IF(tblPiNAnalysis[[#This Row],[General Protection]]="", "", MROUND(tblPiNAnalysis[[#This Row],[General Protection]]/tblPiNAnalysis[[#This Row],[Total Population]], 0.05)), "")</f>
        <v/>
      </c>
      <c r="AF46" s="319">
        <f>IFERROR(LARGE(tblPiNAnalysis[[#This Row],[Site Management ]:[General Protection]], 1), "")</f>
        <v>61047</v>
      </c>
      <c r="AG46" s="320">
        <f>IF(tblPiNAnalysis[[#This Row],[Highest PiN]]="", "",tblPiNAnalysis[[#This Row],[Highest PiN]]/ tblPiNAnalysis[[#This Row],[Total Population]])</f>
        <v>0.73947065592635208</v>
      </c>
      <c r="AH46" s="320" t="str">
        <f>IFERROR(IF(tblPiNAnalysis[[#This Row],[Highest PiN]]="", "", IF(tblPiNAnalysis[[#This Row],[Highest sector(s'') PiN %]]&gt;=flag_pin_perc, "Flagged", "")), "")</f>
        <v/>
      </c>
      <c r="AI46" s="321"/>
      <c r="AJ46" s="322"/>
      <c r="AK46" s="323">
        <f>COUNTIFS(tblPiNAnalysis[[#This Row],[Highest PiN greater than 90% of total affected population]:[Manual Flag]],"Flagged")</f>
        <v>0</v>
      </c>
      <c r="AL46" s="324" t="str">
        <f>IF(tblPiNAnalysis[[#This Row],['# Flags]]&gt;0, "Flagged", "")</f>
        <v/>
      </c>
    </row>
    <row r="47" spans="1:38" ht="23.1" hidden="1" customHeight="1" x14ac:dyDescent="0.2">
      <c r="A47" s="309" t="str">
        <f>_xlfn.CONCAT(IF(tblPiNAnalysis[[#This Row],[Population Group]]="", "",tblPiNAnalysis[[#This Row],[Population Group]] ), _xlfn.IFS(tblPiNAnalysis[[#This Row],[Admin 2 P-Code]]&lt;&gt;"", tblPiNAnalysis[[#This Row],[Admin 2 P-Code]], tblPiNAnalysis[[#This Row],[Admin 1 P-Code]]&lt;&gt;"", tblPiNAnalysis[[#This Row],[Admin 1 P-Code]]))</f>
        <v>IDPsSD02124</v>
      </c>
      <c r="B47" s="245" t="s">
        <v>167</v>
      </c>
      <c r="C47" s="246" t="s">
        <v>119</v>
      </c>
      <c r="D47" s="247" t="s">
        <v>211</v>
      </c>
      <c r="E47" s="246" t="s">
        <v>210</v>
      </c>
      <c r="F47" s="248">
        <v>82555</v>
      </c>
      <c r="G47" s="248" t="s">
        <v>88</v>
      </c>
      <c r="H47" s="310"/>
      <c r="I47" s="311"/>
      <c r="J47" s="312"/>
      <c r="K47" s="311"/>
      <c r="L47" s="311"/>
      <c r="M47" s="312"/>
      <c r="N47" s="312">
        <f>_xlfn.XLOOKUP(CONCATENATE(tblPiNAnalysis[[#This Row],[Admin 2 P-Code]],tblPiNAnalysis[[#This Row],[Population Group]]),'Overall severity &amp; PIN Analysis'!A:A,'Overall severity &amp; PIN Analysis'!P:P,0,0)</f>
        <v>61047</v>
      </c>
      <c r="O47" s="311"/>
      <c r="P47" s="312"/>
      <c r="Q47" s="312"/>
      <c r="R47" s="312"/>
      <c r="S47" s="312"/>
      <c r="T47" s="313" t="str">
        <f>IF(tblPiNAnalysis[[#This Row],[Site Management ]]="", "", tblPiNAnalysis[[#This Row],[Site Management ]]/tblPiNAnalysis[[#This Row],[Total Population]])</f>
        <v/>
      </c>
      <c r="U47" s="314" t="str">
        <f>IF(tblPiNAnalysis[[#This Row],[Education]]="", "", tblPiNAnalysis[[#This Row],[Education]]/tblPiNAnalysis[[#This Row],[Total Population]])</f>
        <v/>
      </c>
      <c r="V47" s="314" t="str">
        <f>IF(tblPiNAnalysis[[#This Row],[Food Security and Livlihoods]]="", "", tblPiNAnalysis[[#This Row],[Food Security and Livlihoods]]/tblPiNAnalysis[[#This Row],[Total Population]])</f>
        <v/>
      </c>
      <c r="W47" s="315" t="str">
        <f>IF(tblPiNAnalysis[[#This Row],[Health ]]="", "", tblPiNAnalysis[[#This Row],[Health ]]/tblPiNAnalysis[[#This Row],[Total Population]])</f>
        <v/>
      </c>
      <c r="X47" s="314" t="str">
        <f>IF(tblPiNAnalysis[[#This Row],[Nutrition]]="", "", tblPiNAnalysis[[#This Row],[Nutrition]]/tblPiNAnalysis[[#This Row],[Total Population]])</f>
        <v/>
      </c>
      <c r="Y47" s="314" t="str">
        <f>IF(tblPiNAnalysis[[#This Row],[Protection]]="", "", tblPiNAnalysis[[#This Row],[Protection]]/tblPiNAnalysis[[#This Row],[Total Population]])</f>
        <v/>
      </c>
      <c r="Z47" s="316">
        <f>IF(tblPiNAnalysis[[#This Row],[Shelter NFI ]]="", "", tblPiNAnalysis[[#This Row],[Shelter NFI ]]/tblPiNAnalysis[[#This Row],[Total Population]])</f>
        <v>0.73947065592635208</v>
      </c>
      <c r="AA47" s="317" t="str">
        <f>IF(tblPiNAnalysis[[#This Row],[WASH]]="", "", tblPiNAnalysis[[#This Row],[WASH]]/tblPiNAnalysis[[#This Row],[Total Population]])</f>
        <v/>
      </c>
      <c r="AB47" s="318" t="str">
        <f>IFERROR(IF(tblPiNAnalysis[[#This Row],[CP]]="", "", MROUND(tblPiNAnalysis[[#This Row],[CP]]/tblPiNAnalysis[[#This Row],[Total Population]], 0.05)), "")</f>
        <v/>
      </c>
      <c r="AC47" s="314" t="str">
        <f>IFERROR(IF(tblPiNAnalysis[[#This Row],[GBV]]="", "", MROUND(tblPiNAnalysis[[#This Row],[GBV]]/tblPiNAnalysis[[#This Row],[Total Population]], 0.05)), "")</f>
        <v/>
      </c>
      <c r="AD47" s="314" t="str">
        <f>IFERROR(IF(tblPiNAnalysis[[#This Row],[Mine Action]]="", "", MROUND(tblPiNAnalysis[[#This Row],[Mine Action]]/tblPiNAnalysis[[#This Row],[Total Population]], 0.05)), "")</f>
        <v/>
      </c>
      <c r="AE47" s="314" t="str">
        <f>IFERROR(IF(tblPiNAnalysis[[#This Row],[General Protection]]="", "", MROUND(tblPiNAnalysis[[#This Row],[General Protection]]/tblPiNAnalysis[[#This Row],[Total Population]], 0.05)), "")</f>
        <v/>
      </c>
      <c r="AF47" s="319">
        <f>IFERROR(LARGE(tblPiNAnalysis[[#This Row],[Site Management ]:[General Protection]], 1), "")</f>
        <v>61047</v>
      </c>
      <c r="AG47" s="320">
        <f>IF(tblPiNAnalysis[[#This Row],[Highest PiN]]="", "",tblPiNAnalysis[[#This Row],[Highest PiN]]/ tblPiNAnalysis[[#This Row],[Total Population]])</f>
        <v>0.73947065592635208</v>
      </c>
      <c r="AH47" s="320" t="str">
        <f>IFERROR(IF(tblPiNAnalysis[[#This Row],[Highest PiN]]="", "", IF(tblPiNAnalysis[[#This Row],[Highest sector(s'') PiN %]]&gt;=flag_pin_perc, "Flagged", "")), "")</f>
        <v/>
      </c>
      <c r="AI47" s="321"/>
      <c r="AJ47" s="322"/>
      <c r="AK47" s="323">
        <f>COUNTIFS(tblPiNAnalysis[[#This Row],[Highest PiN greater than 90% of total affected population]:[Manual Flag]],"Flagged")</f>
        <v>0</v>
      </c>
      <c r="AL47" s="324" t="str">
        <f>IF(tblPiNAnalysis[[#This Row],['# Flags]]&gt;0, "Flagged", "")</f>
        <v/>
      </c>
    </row>
    <row r="48" spans="1:38" ht="23.1" customHeight="1" x14ac:dyDescent="0.2">
      <c r="A48" s="309" t="str">
        <f>_xlfn.CONCAT(IF(tblPiNAnalysis[[#This Row],[Population Group]]="", "",tblPiNAnalysis[[#This Row],[Population Group]] ), _xlfn.IFS(tblPiNAnalysis[[#This Row],[Admin 2 P-Code]]&lt;&gt;"", tblPiNAnalysis[[#This Row],[Admin 2 P-Code]], tblPiNAnalysis[[#This Row],[Admin 1 P-Code]]&lt;&gt;"", tblPiNAnalysis[[#This Row],[Admin 1 P-Code]]))</f>
        <v>Non-hosting PopulationSD02124</v>
      </c>
      <c r="B48" s="245" t="s">
        <v>167</v>
      </c>
      <c r="C48" s="246" t="s">
        <v>119</v>
      </c>
      <c r="D48" s="247" t="s">
        <v>211</v>
      </c>
      <c r="E48" s="246" t="s">
        <v>210</v>
      </c>
      <c r="F48" s="248">
        <v>80175</v>
      </c>
      <c r="G48" s="248" t="s">
        <v>568</v>
      </c>
      <c r="H48" s="310"/>
      <c r="I48" s="311"/>
      <c r="J48" s="312"/>
      <c r="K48" s="311"/>
      <c r="L48" s="311"/>
      <c r="M48" s="312"/>
      <c r="N48" s="312">
        <f>_xlfn.XLOOKUP(CONCATENATE(tblPiNAnalysis[[#This Row],[Admin 2 P-Code]],tblPiNAnalysis[[#This Row],[Population Group]]),'Overall severity &amp; PIN Analysis'!A:A,'Overall severity &amp; PIN Analysis'!P:P,0,0)</f>
        <v>17566</v>
      </c>
      <c r="O48" s="311"/>
      <c r="P48" s="312"/>
      <c r="Q48" s="312"/>
      <c r="R48" s="312"/>
      <c r="S48" s="312"/>
      <c r="T48" s="313" t="str">
        <f>IF(tblPiNAnalysis[[#This Row],[Site Management ]]="", "", tblPiNAnalysis[[#This Row],[Site Management ]]/tblPiNAnalysis[[#This Row],[Total Population]])</f>
        <v/>
      </c>
      <c r="U48" s="314" t="str">
        <f>IF(tblPiNAnalysis[[#This Row],[Education]]="", "", tblPiNAnalysis[[#This Row],[Education]]/tblPiNAnalysis[[#This Row],[Total Population]])</f>
        <v/>
      </c>
      <c r="V48" s="314" t="str">
        <f>IF(tblPiNAnalysis[[#This Row],[Food Security and Livlihoods]]="", "", tblPiNAnalysis[[#This Row],[Food Security and Livlihoods]]/tblPiNAnalysis[[#This Row],[Total Population]])</f>
        <v/>
      </c>
      <c r="W48" s="315" t="str">
        <f>IF(tblPiNAnalysis[[#This Row],[Health ]]="", "", tblPiNAnalysis[[#This Row],[Health ]]/tblPiNAnalysis[[#This Row],[Total Population]])</f>
        <v/>
      </c>
      <c r="X48" s="314" t="str">
        <f>IF(tblPiNAnalysis[[#This Row],[Nutrition]]="", "", tblPiNAnalysis[[#This Row],[Nutrition]]/tblPiNAnalysis[[#This Row],[Total Population]])</f>
        <v/>
      </c>
      <c r="Y48" s="314" t="str">
        <f>IF(tblPiNAnalysis[[#This Row],[Protection]]="", "", tblPiNAnalysis[[#This Row],[Protection]]/tblPiNAnalysis[[#This Row],[Total Population]])</f>
        <v/>
      </c>
      <c r="Z48" s="316">
        <f>IF(tblPiNAnalysis[[#This Row],[Shelter NFI ]]="", "", tblPiNAnalysis[[#This Row],[Shelter NFI ]]/tblPiNAnalysis[[#This Row],[Total Population]])</f>
        <v>0.21909572809479264</v>
      </c>
      <c r="AA48" s="317" t="str">
        <f>IF(tblPiNAnalysis[[#This Row],[WASH]]="", "", tblPiNAnalysis[[#This Row],[WASH]]/tblPiNAnalysis[[#This Row],[Total Population]])</f>
        <v/>
      </c>
      <c r="AB48" s="318" t="str">
        <f>IFERROR(IF(tblPiNAnalysis[[#This Row],[CP]]="", "", MROUND(tblPiNAnalysis[[#This Row],[CP]]/tblPiNAnalysis[[#This Row],[Total Population]], 0.05)), "")</f>
        <v/>
      </c>
      <c r="AC48" s="314" t="str">
        <f>IFERROR(IF(tblPiNAnalysis[[#This Row],[GBV]]="", "", MROUND(tblPiNAnalysis[[#This Row],[GBV]]/tblPiNAnalysis[[#This Row],[Total Population]], 0.05)), "")</f>
        <v/>
      </c>
      <c r="AD48" s="314" t="str">
        <f>IFERROR(IF(tblPiNAnalysis[[#This Row],[Mine Action]]="", "", MROUND(tblPiNAnalysis[[#This Row],[Mine Action]]/tblPiNAnalysis[[#This Row],[Total Population]], 0.05)), "")</f>
        <v/>
      </c>
      <c r="AE48" s="314" t="str">
        <f>IFERROR(IF(tblPiNAnalysis[[#This Row],[General Protection]]="", "", MROUND(tblPiNAnalysis[[#This Row],[General Protection]]/tblPiNAnalysis[[#This Row],[Total Population]], 0.05)), "")</f>
        <v/>
      </c>
      <c r="AF48" s="319">
        <f>IFERROR(LARGE(tblPiNAnalysis[[#This Row],[Site Management ]:[General Protection]], 1), "")</f>
        <v>17566</v>
      </c>
      <c r="AG48" s="320">
        <f>IF(tblPiNAnalysis[[#This Row],[Highest PiN]]="", "",tblPiNAnalysis[[#This Row],[Highest PiN]]/ tblPiNAnalysis[[#This Row],[Total Population]])</f>
        <v>0.21909572809479264</v>
      </c>
      <c r="AH48" s="320" t="str">
        <f>IFERROR(IF(tblPiNAnalysis[[#This Row],[Highest PiN]]="", "", IF(tblPiNAnalysis[[#This Row],[Highest sector(s'') PiN %]]&gt;=flag_pin_perc, "Flagged", "")), "")</f>
        <v/>
      </c>
      <c r="AI48" s="321"/>
      <c r="AJ48" s="322"/>
      <c r="AK48" s="323">
        <f>COUNTIFS(tblPiNAnalysis[[#This Row],[Highest PiN greater than 90% of total affected population]:[Manual Flag]],"Flagged")</f>
        <v>0</v>
      </c>
      <c r="AL48" s="324" t="str">
        <f>IF(tblPiNAnalysis[[#This Row],['# Flags]]&gt;0, "Flagged", "")</f>
        <v/>
      </c>
    </row>
    <row r="49" spans="1:38" ht="23.1" hidden="1" customHeight="1" x14ac:dyDescent="0.2">
      <c r="A49" s="309" t="str">
        <f>_xlfn.CONCAT(IF(tblPiNAnalysis[[#This Row],[Population Group]]="", "",tblPiNAnalysis[[#This Row],[Population Group]] ), _xlfn.IFS(tblPiNAnalysis[[#This Row],[Admin 2 P-Code]]&lt;&gt;"", tblPiNAnalysis[[#This Row],[Admin 2 P-Code]], tblPiNAnalysis[[#This Row],[Admin 1 P-Code]]&lt;&gt;"", tblPiNAnalysis[[#This Row],[Admin 1 P-Code]]))</f>
        <v>Host CommunitySD02126</v>
      </c>
      <c r="B49" s="245" t="s">
        <v>167</v>
      </c>
      <c r="C49" s="246" t="s">
        <v>119</v>
      </c>
      <c r="D49" s="247" t="s">
        <v>213</v>
      </c>
      <c r="E49" s="246" t="s">
        <v>212</v>
      </c>
      <c r="F49" s="248">
        <v>13232</v>
      </c>
      <c r="G49" s="248" t="s">
        <v>87</v>
      </c>
      <c r="H49" s="310"/>
      <c r="I49" s="311"/>
      <c r="J49" s="312"/>
      <c r="K49" s="311"/>
      <c r="L49" s="311"/>
      <c r="M49" s="312"/>
      <c r="N49" s="312">
        <f>_xlfn.XLOOKUP(CONCATENATE(tblPiNAnalysis[[#This Row],[Admin 2 P-Code]],tblPiNAnalysis[[#This Row],[Population Group]]),'Overall severity &amp; PIN Analysis'!A:A,'Overall severity &amp; PIN Analysis'!P:P,0,0)</f>
        <v>3734</v>
      </c>
      <c r="O49" s="311"/>
      <c r="P49" s="312"/>
      <c r="Q49" s="312"/>
      <c r="R49" s="312"/>
      <c r="S49" s="312"/>
      <c r="T49" s="313" t="str">
        <f>IF(tblPiNAnalysis[[#This Row],[Site Management ]]="", "", tblPiNAnalysis[[#This Row],[Site Management ]]/tblPiNAnalysis[[#This Row],[Total Population]])</f>
        <v/>
      </c>
      <c r="U49" s="314" t="str">
        <f>IF(tblPiNAnalysis[[#This Row],[Education]]="", "", tblPiNAnalysis[[#This Row],[Education]]/tblPiNAnalysis[[#This Row],[Total Population]])</f>
        <v/>
      </c>
      <c r="V49" s="314" t="str">
        <f>IF(tblPiNAnalysis[[#This Row],[Food Security and Livlihoods]]="", "", tblPiNAnalysis[[#This Row],[Food Security and Livlihoods]]/tblPiNAnalysis[[#This Row],[Total Population]])</f>
        <v/>
      </c>
      <c r="W49" s="315" t="str">
        <f>IF(tblPiNAnalysis[[#This Row],[Health ]]="", "", tblPiNAnalysis[[#This Row],[Health ]]/tblPiNAnalysis[[#This Row],[Total Population]])</f>
        <v/>
      </c>
      <c r="X49" s="314" t="str">
        <f>IF(tblPiNAnalysis[[#This Row],[Nutrition]]="", "", tblPiNAnalysis[[#This Row],[Nutrition]]/tblPiNAnalysis[[#This Row],[Total Population]])</f>
        <v/>
      </c>
      <c r="Y49" s="314" t="str">
        <f>IF(tblPiNAnalysis[[#This Row],[Protection]]="", "", tblPiNAnalysis[[#This Row],[Protection]]/tblPiNAnalysis[[#This Row],[Total Population]])</f>
        <v/>
      </c>
      <c r="Z49" s="316">
        <f>IF(tblPiNAnalysis[[#This Row],[Shelter NFI ]]="", "", tblPiNAnalysis[[#This Row],[Shelter NFI ]]/tblPiNAnalysis[[#This Row],[Total Population]])</f>
        <v>0.28219467956469163</v>
      </c>
      <c r="AA49" s="317" t="str">
        <f>IF(tblPiNAnalysis[[#This Row],[WASH]]="", "", tblPiNAnalysis[[#This Row],[WASH]]/tblPiNAnalysis[[#This Row],[Total Population]])</f>
        <v/>
      </c>
      <c r="AB49" s="318" t="str">
        <f>IFERROR(IF(tblPiNAnalysis[[#This Row],[CP]]="", "", MROUND(tblPiNAnalysis[[#This Row],[CP]]/tblPiNAnalysis[[#This Row],[Total Population]], 0.05)), "")</f>
        <v/>
      </c>
      <c r="AC49" s="314" t="str">
        <f>IFERROR(IF(tblPiNAnalysis[[#This Row],[GBV]]="", "", MROUND(tblPiNAnalysis[[#This Row],[GBV]]/tblPiNAnalysis[[#This Row],[Total Population]], 0.05)), "")</f>
        <v/>
      </c>
      <c r="AD49" s="314" t="str">
        <f>IFERROR(IF(tblPiNAnalysis[[#This Row],[Mine Action]]="", "", MROUND(tblPiNAnalysis[[#This Row],[Mine Action]]/tblPiNAnalysis[[#This Row],[Total Population]], 0.05)), "")</f>
        <v/>
      </c>
      <c r="AE49" s="314" t="str">
        <f>IFERROR(IF(tblPiNAnalysis[[#This Row],[General Protection]]="", "", MROUND(tblPiNAnalysis[[#This Row],[General Protection]]/tblPiNAnalysis[[#This Row],[Total Population]], 0.05)), "")</f>
        <v/>
      </c>
      <c r="AF49" s="319">
        <f>IFERROR(LARGE(tblPiNAnalysis[[#This Row],[Site Management ]:[General Protection]], 1), "")</f>
        <v>3734</v>
      </c>
      <c r="AG49" s="320">
        <f>IF(tblPiNAnalysis[[#This Row],[Highest PiN]]="", "",tblPiNAnalysis[[#This Row],[Highest PiN]]/ tblPiNAnalysis[[#This Row],[Total Population]])</f>
        <v>0.28219467956469163</v>
      </c>
      <c r="AH49" s="320" t="str">
        <f>IFERROR(IF(tblPiNAnalysis[[#This Row],[Highest PiN]]="", "", IF(tblPiNAnalysis[[#This Row],[Highest sector(s'') PiN %]]&gt;=flag_pin_perc, "Flagged", "")), "")</f>
        <v/>
      </c>
      <c r="AI49" s="321"/>
      <c r="AJ49" s="322"/>
      <c r="AK49" s="323">
        <f>COUNTIFS(tblPiNAnalysis[[#This Row],[Highest PiN greater than 90% of total affected population]:[Manual Flag]],"Flagged")</f>
        <v>0</v>
      </c>
      <c r="AL49" s="324" t="str">
        <f>IF(tblPiNAnalysis[[#This Row],['# Flags]]&gt;0, "Flagged", "")</f>
        <v/>
      </c>
    </row>
    <row r="50" spans="1:38" ht="23.1" hidden="1" customHeight="1" x14ac:dyDescent="0.2">
      <c r="A50" s="309" t="str">
        <f>_xlfn.CONCAT(IF(tblPiNAnalysis[[#This Row],[Population Group]]="", "",tblPiNAnalysis[[#This Row],[Population Group]] ), _xlfn.IFS(tblPiNAnalysis[[#This Row],[Admin 2 P-Code]]&lt;&gt;"", tblPiNAnalysis[[#This Row],[Admin 2 P-Code]], tblPiNAnalysis[[#This Row],[Admin 1 P-Code]]&lt;&gt;"", tblPiNAnalysis[[#This Row],[Admin 1 P-Code]]))</f>
        <v>IDPsSD02126</v>
      </c>
      <c r="B50" s="245" t="s">
        <v>167</v>
      </c>
      <c r="C50" s="246" t="s">
        <v>119</v>
      </c>
      <c r="D50" s="247" t="s">
        <v>213</v>
      </c>
      <c r="E50" s="246" t="s">
        <v>212</v>
      </c>
      <c r="F50" s="248">
        <v>13232</v>
      </c>
      <c r="G50" s="248" t="s">
        <v>88</v>
      </c>
      <c r="H50" s="310"/>
      <c r="I50" s="311"/>
      <c r="J50" s="312"/>
      <c r="K50" s="311"/>
      <c r="L50" s="311"/>
      <c r="M50" s="312"/>
      <c r="N50" s="312">
        <f>_xlfn.XLOOKUP(CONCATENATE(tblPiNAnalysis[[#This Row],[Admin 2 P-Code]],tblPiNAnalysis[[#This Row],[Population Group]]),'Overall severity &amp; PIN Analysis'!A:A,'Overall severity &amp; PIN Analysis'!P:P,0,0)</f>
        <v>3734</v>
      </c>
      <c r="O50" s="311"/>
      <c r="P50" s="312"/>
      <c r="Q50" s="312"/>
      <c r="R50" s="312"/>
      <c r="S50" s="312"/>
      <c r="T50" s="313" t="str">
        <f>IF(tblPiNAnalysis[[#This Row],[Site Management ]]="", "", tblPiNAnalysis[[#This Row],[Site Management ]]/tblPiNAnalysis[[#This Row],[Total Population]])</f>
        <v/>
      </c>
      <c r="U50" s="314" t="str">
        <f>IF(tblPiNAnalysis[[#This Row],[Education]]="", "", tblPiNAnalysis[[#This Row],[Education]]/tblPiNAnalysis[[#This Row],[Total Population]])</f>
        <v/>
      </c>
      <c r="V50" s="314" t="str">
        <f>IF(tblPiNAnalysis[[#This Row],[Food Security and Livlihoods]]="", "", tblPiNAnalysis[[#This Row],[Food Security and Livlihoods]]/tblPiNAnalysis[[#This Row],[Total Population]])</f>
        <v/>
      </c>
      <c r="W50" s="315" t="str">
        <f>IF(tblPiNAnalysis[[#This Row],[Health ]]="", "", tblPiNAnalysis[[#This Row],[Health ]]/tblPiNAnalysis[[#This Row],[Total Population]])</f>
        <v/>
      </c>
      <c r="X50" s="314" t="str">
        <f>IF(tblPiNAnalysis[[#This Row],[Nutrition]]="", "", tblPiNAnalysis[[#This Row],[Nutrition]]/tblPiNAnalysis[[#This Row],[Total Population]])</f>
        <v/>
      </c>
      <c r="Y50" s="314" t="str">
        <f>IF(tblPiNAnalysis[[#This Row],[Protection]]="", "", tblPiNAnalysis[[#This Row],[Protection]]/tblPiNAnalysis[[#This Row],[Total Population]])</f>
        <v/>
      </c>
      <c r="Z50" s="316">
        <f>IF(tblPiNAnalysis[[#This Row],[Shelter NFI ]]="", "", tblPiNAnalysis[[#This Row],[Shelter NFI ]]/tblPiNAnalysis[[#This Row],[Total Population]])</f>
        <v>0.28219467956469163</v>
      </c>
      <c r="AA50" s="317" t="str">
        <f>IF(tblPiNAnalysis[[#This Row],[WASH]]="", "", tblPiNAnalysis[[#This Row],[WASH]]/tblPiNAnalysis[[#This Row],[Total Population]])</f>
        <v/>
      </c>
      <c r="AB50" s="318" t="str">
        <f>IFERROR(IF(tblPiNAnalysis[[#This Row],[CP]]="", "", MROUND(tblPiNAnalysis[[#This Row],[CP]]/tblPiNAnalysis[[#This Row],[Total Population]], 0.05)), "")</f>
        <v/>
      </c>
      <c r="AC50" s="314" t="str">
        <f>IFERROR(IF(tblPiNAnalysis[[#This Row],[GBV]]="", "", MROUND(tblPiNAnalysis[[#This Row],[GBV]]/tblPiNAnalysis[[#This Row],[Total Population]], 0.05)), "")</f>
        <v/>
      </c>
      <c r="AD50" s="314" t="str">
        <f>IFERROR(IF(tblPiNAnalysis[[#This Row],[Mine Action]]="", "", MROUND(tblPiNAnalysis[[#This Row],[Mine Action]]/tblPiNAnalysis[[#This Row],[Total Population]], 0.05)), "")</f>
        <v/>
      </c>
      <c r="AE50" s="314" t="str">
        <f>IFERROR(IF(tblPiNAnalysis[[#This Row],[General Protection]]="", "", MROUND(tblPiNAnalysis[[#This Row],[General Protection]]/tblPiNAnalysis[[#This Row],[Total Population]], 0.05)), "")</f>
        <v/>
      </c>
      <c r="AF50" s="319">
        <f>IFERROR(LARGE(tblPiNAnalysis[[#This Row],[Site Management ]:[General Protection]], 1), "")</f>
        <v>3734</v>
      </c>
      <c r="AG50" s="320">
        <f>IF(tblPiNAnalysis[[#This Row],[Highest PiN]]="", "",tblPiNAnalysis[[#This Row],[Highest PiN]]/ tblPiNAnalysis[[#This Row],[Total Population]])</f>
        <v>0.28219467956469163</v>
      </c>
      <c r="AH50" s="320" t="str">
        <f>IFERROR(IF(tblPiNAnalysis[[#This Row],[Highest PiN]]="", "", IF(tblPiNAnalysis[[#This Row],[Highest sector(s'') PiN %]]&gt;=flag_pin_perc, "Flagged", "")), "")</f>
        <v/>
      </c>
      <c r="AI50" s="321"/>
      <c r="AJ50" s="322"/>
      <c r="AK50" s="323">
        <f>COUNTIFS(tblPiNAnalysis[[#This Row],[Highest PiN greater than 90% of total affected population]:[Manual Flag]],"Flagged")</f>
        <v>0</v>
      </c>
      <c r="AL50" s="324" t="str">
        <f>IF(tblPiNAnalysis[[#This Row],['# Flags]]&gt;0, "Flagged", "")</f>
        <v/>
      </c>
    </row>
    <row r="51" spans="1:38" ht="23.1" customHeight="1" x14ac:dyDescent="0.2">
      <c r="A51" s="309" t="str">
        <f>_xlfn.CONCAT(IF(tblPiNAnalysis[[#This Row],[Population Group]]="", "",tblPiNAnalysis[[#This Row],[Population Group]] ), _xlfn.IFS(tblPiNAnalysis[[#This Row],[Admin 2 P-Code]]&lt;&gt;"", tblPiNAnalysis[[#This Row],[Admin 2 P-Code]], tblPiNAnalysis[[#This Row],[Admin 1 P-Code]]&lt;&gt;"", tblPiNAnalysis[[#This Row],[Admin 1 P-Code]]))</f>
        <v>Non-hosting PopulationSD02126</v>
      </c>
      <c r="B51" s="245" t="s">
        <v>167</v>
      </c>
      <c r="C51" s="246" t="s">
        <v>119</v>
      </c>
      <c r="D51" s="247" t="s">
        <v>213</v>
      </c>
      <c r="E51" s="246" t="s">
        <v>212</v>
      </c>
      <c r="F51" s="248">
        <v>9014</v>
      </c>
      <c r="G51" s="248" t="s">
        <v>568</v>
      </c>
      <c r="H51" s="310"/>
      <c r="I51" s="311"/>
      <c r="J51" s="312"/>
      <c r="K51" s="311"/>
      <c r="L51" s="311"/>
      <c r="M51" s="312"/>
      <c r="N51" s="312">
        <f>_xlfn.XLOOKUP(CONCATENATE(tblPiNAnalysis[[#This Row],[Admin 2 P-Code]],tblPiNAnalysis[[#This Row],[Population Group]]),'Overall severity &amp; PIN Analysis'!A:A,'Overall severity &amp; PIN Analysis'!P:P,0,0)</f>
        <v>57</v>
      </c>
      <c r="O51" s="311"/>
      <c r="P51" s="312"/>
      <c r="Q51" s="312"/>
      <c r="R51" s="312"/>
      <c r="S51" s="312"/>
      <c r="T51" s="313" t="str">
        <f>IF(tblPiNAnalysis[[#This Row],[Site Management ]]="", "", tblPiNAnalysis[[#This Row],[Site Management ]]/tblPiNAnalysis[[#This Row],[Total Population]])</f>
        <v/>
      </c>
      <c r="U51" s="314" t="str">
        <f>IF(tblPiNAnalysis[[#This Row],[Education]]="", "", tblPiNAnalysis[[#This Row],[Education]]/tblPiNAnalysis[[#This Row],[Total Population]])</f>
        <v/>
      </c>
      <c r="V51" s="314" t="str">
        <f>IF(tblPiNAnalysis[[#This Row],[Food Security and Livlihoods]]="", "", tblPiNAnalysis[[#This Row],[Food Security and Livlihoods]]/tblPiNAnalysis[[#This Row],[Total Population]])</f>
        <v/>
      </c>
      <c r="W51" s="315" t="str">
        <f>IF(tblPiNAnalysis[[#This Row],[Health ]]="", "", tblPiNAnalysis[[#This Row],[Health ]]/tblPiNAnalysis[[#This Row],[Total Population]])</f>
        <v/>
      </c>
      <c r="X51" s="314" t="str">
        <f>IF(tblPiNAnalysis[[#This Row],[Nutrition]]="", "", tblPiNAnalysis[[#This Row],[Nutrition]]/tblPiNAnalysis[[#This Row],[Total Population]])</f>
        <v/>
      </c>
      <c r="Y51" s="314" t="str">
        <f>IF(tblPiNAnalysis[[#This Row],[Protection]]="", "", tblPiNAnalysis[[#This Row],[Protection]]/tblPiNAnalysis[[#This Row],[Total Population]])</f>
        <v/>
      </c>
      <c r="Z51" s="316">
        <f>IF(tblPiNAnalysis[[#This Row],[Shelter NFI ]]="", "", tblPiNAnalysis[[#This Row],[Shelter NFI ]]/tblPiNAnalysis[[#This Row],[Total Population]])</f>
        <v>6.3234967827823386E-3</v>
      </c>
      <c r="AA51" s="317" t="str">
        <f>IF(tblPiNAnalysis[[#This Row],[WASH]]="", "", tblPiNAnalysis[[#This Row],[WASH]]/tblPiNAnalysis[[#This Row],[Total Population]])</f>
        <v/>
      </c>
      <c r="AB51" s="318" t="str">
        <f>IFERROR(IF(tblPiNAnalysis[[#This Row],[CP]]="", "", MROUND(tblPiNAnalysis[[#This Row],[CP]]/tblPiNAnalysis[[#This Row],[Total Population]], 0.05)), "")</f>
        <v/>
      </c>
      <c r="AC51" s="314" t="str">
        <f>IFERROR(IF(tblPiNAnalysis[[#This Row],[GBV]]="", "", MROUND(tblPiNAnalysis[[#This Row],[GBV]]/tblPiNAnalysis[[#This Row],[Total Population]], 0.05)), "")</f>
        <v/>
      </c>
      <c r="AD51" s="314" t="str">
        <f>IFERROR(IF(tblPiNAnalysis[[#This Row],[Mine Action]]="", "", MROUND(tblPiNAnalysis[[#This Row],[Mine Action]]/tblPiNAnalysis[[#This Row],[Total Population]], 0.05)), "")</f>
        <v/>
      </c>
      <c r="AE51" s="314" t="str">
        <f>IFERROR(IF(tblPiNAnalysis[[#This Row],[General Protection]]="", "", MROUND(tblPiNAnalysis[[#This Row],[General Protection]]/tblPiNAnalysis[[#This Row],[Total Population]], 0.05)), "")</f>
        <v/>
      </c>
      <c r="AF51" s="319">
        <f>IFERROR(LARGE(tblPiNAnalysis[[#This Row],[Site Management ]:[General Protection]], 1), "")</f>
        <v>57</v>
      </c>
      <c r="AG51" s="320">
        <f>IF(tblPiNAnalysis[[#This Row],[Highest PiN]]="", "",tblPiNAnalysis[[#This Row],[Highest PiN]]/ tblPiNAnalysis[[#This Row],[Total Population]])</f>
        <v>6.3234967827823386E-3</v>
      </c>
      <c r="AH51" s="320" t="str">
        <f>IFERROR(IF(tblPiNAnalysis[[#This Row],[Highest PiN]]="", "", IF(tblPiNAnalysis[[#This Row],[Highest sector(s'') PiN %]]&gt;=flag_pin_perc, "Flagged", "")), "")</f>
        <v/>
      </c>
      <c r="AI51" s="321"/>
      <c r="AJ51" s="322"/>
      <c r="AK51" s="323">
        <f>COUNTIFS(tblPiNAnalysis[[#This Row],[Highest PiN greater than 90% of total affected population]:[Manual Flag]],"Flagged")</f>
        <v>0</v>
      </c>
      <c r="AL51" s="324" t="str">
        <f>IF(tblPiNAnalysis[[#This Row],['# Flags]]&gt;0, "Flagged", "")</f>
        <v/>
      </c>
    </row>
    <row r="52" spans="1:38" ht="23.1" hidden="1" customHeight="1" x14ac:dyDescent="0.2">
      <c r="A52" s="309" t="str">
        <f>_xlfn.CONCAT(IF(tblPiNAnalysis[[#This Row],[Population Group]]="", "",tblPiNAnalysis[[#This Row],[Population Group]] ), _xlfn.IFS(tblPiNAnalysis[[#This Row],[Admin 2 P-Code]]&lt;&gt;"", tblPiNAnalysis[[#This Row],[Admin 2 P-Code]], tblPiNAnalysis[[#This Row],[Admin 1 P-Code]]&lt;&gt;"", tblPiNAnalysis[[#This Row],[Admin 1 P-Code]]))</f>
        <v>Host CommunitySD02128</v>
      </c>
      <c r="B52" s="245" t="s">
        <v>167</v>
      </c>
      <c r="C52" s="246" t="s">
        <v>119</v>
      </c>
      <c r="D52" s="247" t="s">
        <v>215</v>
      </c>
      <c r="E52" s="246" t="s">
        <v>214</v>
      </c>
      <c r="F52" s="248">
        <v>122856</v>
      </c>
      <c r="G52" s="248" t="s">
        <v>87</v>
      </c>
      <c r="H52" s="310"/>
      <c r="I52" s="311"/>
      <c r="J52" s="312"/>
      <c r="K52" s="311"/>
      <c r="L52" s="311"/>
      <c r="M52" s="312"/>
      <c r="N52" s="312">
        <f>_xlfn.XLOOKUP(CONCATENATE(tblPiNAnalysis[[#This Row],[Admin 2 P-Code]],tblPiNAnalysis[[#This Row],[Population Group]]),'Overall severity &amp; PIN Analysis'!A:A,'Overall severity &amp; PIN Analysis'!P:P,0,0)</f>
        <v>109172</v>
      </c>
      <c r="O52" s="311"/>
      <c r="P52" s="312"/>
      <c r="Q52" s="312"/>
      <c r="R52" s="312"/>
      <c r="S52" s="312"/>
      <c r="T52" s="313" t="str">
        <f>IF(tblPiNAnalysis[[#This Row],[Site Management ]]="", "", tblPiNAnalysis[[#This Row],[Site Management ]]/tblPiNAnalysis[[#This Row],[Total Population]])</f>
        <v/>
      </c>
      <c r="U52" s="314" t="str">
        <f>IF(tblPiNAnalysis[[#This Row],[Education]]="", "", tblPiNAnalysis[[#This Row],[Education]]/tblPiNAnalysis[[#This Row],[Total Population]])</f>
        <v/>
      </c>
      <c r="V52" s="314" t="str">
        <f>IF(tblPiNAnalysis[[#This Row],[Food Security and Livlihoods]]="", "", tblPiNAnalysis[[#This Row],[Food Security and Livlihoods]]/tblPiNAnalysis[[#This Row],[Total Population]])</f>
        <v/>
      </c>
      <c r="W52" s="315" t="str">
        <f>IF(tblPiNAnalysis[[#This Row],[Health ]]="", "", tblPiNAnalysis[[#This Row],[Health ]]/tblPiNAnalysis[[#This Row],[Total Population]])</f>
        <v/>
      </c>
      <c r="X52" s="314" t="str">
        <f>IF(tblPiNAnalysis[[#This Row],[Nutrition]]="", "", tblPiNAnalysis[[#This Row],[Nutrition]]/tblPiNAnalysis[[#This Row],[Total Population]])</f>
        <v/>
      </c>
      <c r="Y52" s="314" t="str">
        <f>IF(tblPiNAnalysis[[#This Row],[Protection]]="", "", tblPiNAnalysis[[#This Row],[Protection]]/tblPiNAnalysis[[#This Row],[Total Population]])</f>
        <v/>
      </c>
      <c r="Z52" s="316">
        <f>IF(tblPiNAnalysis[[#This Row],[Shelter NFI ]]="", "", tblPiNAnalysis[[#This Row],[Shelter NFI ]]/tblPiNAnalysis[[#This Row],[Total Population]])</f>
        <v>0.88861756853552121</v>
      </c>
      <c r="AA52" s="317" t="str">
        <f>IF(tblPiNAnalysis[[#This Row],[WASH]]="", "", tblPiNAnalysis[[#This Row],[WASH]]/tblPiNAnalysis[[#This Row],[Total Population]])</f>
        <v/>
      </c>
      <c r="AB52" s="318" t="str">
        <f>IFERROR(IF(tblPiNAnalysis[[#This Row],[CP]]="", "", MROUND(tblPiNAnalysis[[#This Row],[CP]]/tblPiNAnalysis[[#This Row],[Total Population]], 0.05)), "")</f>
        <v/>
      </c>
      <c r="AC52" s="314" t="str">
        <f>IFERROR(IF(tblPiNAnalysis[[#This Row],[GBV]]="", "", MROUND(tblPiNAnalysis[[#This Row],[GBV]]/tblPiNAnalysis[[#This Row],[Total Population]], 0.05)), "")</f>
        <v/>
      </c>
      <c r="AD52" s="314" t="str">
        <f>IFERROR(IF(tblPiNAnalysis[[#This Row],[Mine Action]]="", "", MROUND(tblPiNAnalysis[[#This Row],[Mine Action]]/tblPiNAnalysis[[#This Row],[Total Population]], 0.05)), "")</f>
        <v/>
      </c>
      <c r="AE52" s="314" t="str">
        <f>IFERROR(IF(tblPiNAnalysis[[#This Row],[General Protection]]="", "", MROUND(tblPiNAnalysis[[#This Row],[General Protection]]/tblPiNAnalysis[[#This Row],[Total Population]], 0.05)), "")</f>
        <v/>
      </c>
      <c r="AF52" s="319">
        <f>IFERROR(LARGE(tblPiNAnalysis[[#This Row],[Site Management ]:[General Protection]], 1), "")</f>
        <v>109172</v>
      </c>
      <c r="AG52" s="320">
        <f>IF(tblPiNAnalysis[[#This Row],[Highest PiN]]="", "",tblPiNAnalysis[[#This Row],[Highest PiN]]/ tblPiNAnalysis[[#This Row],[Total Population]])</f>
        <v>0.88861756853552121</v>
      </c>
      <c r="AH52" s="320" t="str">
        <f>IFERROR(IF(tblPiNAnalysis[[#This Row],[Highest PiN]]="", "", IF(tblPiNAnalysis[[#This Row],[Highest sector(s'') PiN %]]&gt;=flag_pin_perc, "Flagged", "")), "")</f>
        <v/>
      </c>
      <c r="AI52" s="321"/>
      <c r="AJ52" s="322"/>
      <c r="AK52" s="323">
        <f>COUNTIFS(tblPiNAnalysis[[#This Row],[Highest PiN greater than 90% of total affected population]:[Manual Flag]],"Flagged")</f>
        <v>0</v>
      </c>
      <c r="AL52" s="324" t="str">
        <f>IF(tblPiNAnalysis[[#This Row],['# Flags]]&gt;0, "Flagged", "")</f>
        <v/>
      </c>
    </row>
    <row r="53" spans="1:38" ht="23.1" hidden="1" customHeight="1" x14ac:dyDescent="0.2">
      <c r="A53" s="309" t="str">
        <f>_xlfn.CONCAT(IF(tblPiNAnalysis[[#This Row],[Population Group]]="", "",tblPiNAnalysis[[#This Row],[Population Group]] ), _xlfn.IFS(tblPiNAnalysis[[#This Row],[Admin 2 P-Code]]&lt;&gt;"", tblPiNAnalysis[[#This Row],[Admin 2 P-Code]], tblPiNAnalysis[[#This Row],[Admin 1 P-Code]]&lt;&gt;"", tblPiNAnalysis[[#This Row],[Admin 1 P-Code]]))</f>
        <v>IDPsSD02128</v>
      </c>
      <c r="B53" s="245" t="s">
        <v>167</v>
      </c>
      <c r="C53" s="246" t="s">
        <v>119</v>
      </c>
      <c r="D53" s="247" t="s">
        <v>215</v>
      </c>
      <c r="E53" s="246" t="s">
        <v>214</v>
      </c>
      <c r="F53" s="248">
        <v>155003</v>
      </c>
      <c r="G53" s="248" t="s">
        <v>88</v>
      </c>
      <c r="H53" s="310"/>
      <c r="I53" s="311"/>
      <c r="J53" s="248"/>
      <c r="K53" s="248"/>
      <c r="L53" s="311"/>
      <c r="M53" s="312"/>
      <c r="N53" s="312">
        <f>_xlfn.XLOOKUP(CONCATENATE(tblPiNAnalysis[[#This Row],[Admin 2 P-Code]],tblPiNAnalysis[[#This Row],[Population Group]]),'Overall severity &amp; PIN Analysis'!A:A,'Overall severity &amp; PIN Analysis'!P:P,0,0)</f>
        <v>137738</v>
      </c>
      <c r="O53" s="311"/>
      <c r="P53" s="312"/>
      <c r="Q53" s="312"/>
      <c r="R53" s="312"/>
      <c r="S53" s="312"/>
      <c r="T53" s="313" t="str">
        <f>IF(tblPiNAnalysis[[#This Row],[Site Management ]]="", "", tblPiNAnalysis[[#This Row],[Site Management ]]/tblPiNAnalysis[[#This Row],[Total Population]])</f>
        <v/>
      </c>
      <c r="U53" s="314" t="str">
        <f>IF(tblPiNAnalysis[[#This Row],[Education]]="", "", tblPiNAnalysis[[#This Row],[Education]]/tblPiNAnalysis[[#This Row],[Total Population]])</f>
        <v/>
      </c>
      <c r="V53" s="314" t="str">
        <f>IF(tblPiNAnalysis[[#This Row],[Food Security and Livlihoods]]="", "", tblPiNAnalysis[[#This Row],[Food Security and Livlihoods]]/tblPiNAnalysis[[#This Row],[Total Population]])</f>
        <v/>
      </c>
      <c r="W53" s="315" t="str">
        <f>IF(tblPiNAnalysis[[#This Row],[Health ]]="", "", tblPiNAnalysis[[#This Row],[Health ]]/tblPiNAnalysis[[#This Row],[Total Population]])</f>
        <v/>
      </c>
      <c r="X53" s="314" t="str">
        <f>IF(tblPiNAnalysis[[#This Row],[Nutrition]]="", "", tblPiNAnalysis[[#This Row],[Nutrition]]/tblPiNAnalysis[[#This Row],[Total Population]])</f>
        <v/>
      </c>
      <c r="Y53" s="314" t="str">
        <f>IF(tblPiNAnalysis[[#This Row],[Protection]]="", "", tblPiNAnalysis[[#This Row],[Protection]]/tblPiNAnalysis[[#This Row],[Total Population]])</f>
        <v/>
      </c>
      <c r="Z53" s="316">
        <f>IF(tblPiNAnalysis[[#This Row],[Shelter NFI ]]="", "", tblPiNAnalysis[[#This Row],[Shelter NFI ]]/tblPiNAnalysis[[#This Row],[Total Population]])</f>
        <v>0.88861505906337301</v>
      </c>
      <c r="AA53" s="317" t="str">
        <f>IF(tblPiNAnalysis[[#This Row],[WASH]]="", "", tblPiNAnalysis[[#This Row],[WASH]]/tblPiNAnalysis[[#This Row],[Total Population]])</f>
        <v/>
      </c>
      <c r="AB53" s="318" t="str">
        <f>IFERROR(IF(tblPiNAnalysis[[#This Row],[CP]]="", "", MROUND(tblPiNAnalysis[[#This Row],[CP]]/tblPiNAnalysis[[#This Row],[Total Population]], 0.05)), "")</f>
        <v/>
      </c>
      <c r="AC53" s="314" t="str">
        <f>IFERROR(IF(tblPiNAnalysis[[#This Row],[GBV]]="", "", MROUND(tblPiNAnalysis[[#This Row],[GBV]]/tblPiNAnalysis[[#This Row],[Total Population]], 0.05)), "")</f>
        <v/>
      </c>
      <c r="AD53" s="314" t="str">
        <f>IFERROR(IF(tblPiNAnalysis[[#This Row],[Mine Action]]="", "", MROUND(tblPiNAnalysis[[#This Row],[Mine Action]]/tblPiNAnalysis[[#This Row],[Total Population]], 0.05)), "")</f>
        <v/>
      </c>
      <c r="AE53" s="314" t="str">
        <f>IFERROR(IF(tblPiNAnalysis[[#This Row],[General Protection]]="", "", MROUND(tblPiNAnalysis[[#This Row],[General Protection]]/tblPiNAnalysis[[#This Row],[Total Population]], 0.05)), "")</f>
        <v/>
      </c>
      <c r="AF53" s="319">
        <f>IFERROR(LARGE(tblPiNAnalysis[[#This Row],[Site Management ]:[General Protection]], 1), "")</f>
        <v>137738</v>
      </c>
      <c r="AG53" s="320">
        <f>IF(tblPiNAnalysis[[#This Row],[Highest PiN]]="", "",tblPiNAnalysis[[#This Row],[Highest PiN]]/ tblPiNAnalysis[[#This Row],[Total Population]])</f>
        <v>0.88861505906337301</v>
      </c>
      <c r="AH53" s="320" t="str">
        <f>IFERROR(IF(tblPiNAnalysis[[#This Row],[Highest PiN]]="", "", IF(tblPiNAnalysis[[#This Row],[Highest sector(s'') PiN %]]&gt;=flag_pin_perc, "Flagged", "")), "")</f>
        <v/>
      </c>
      <c r="AI53" s="321"/>
      <c r="AJ53" s="322"/>
      <c r="AK53" s="323">
        <f>COUNTIFS(tblPiNAnalysis[[#This Row],[Highest PiN greater than 90% of total affected population]:[Manual Flag]],"Flagged")</f>
        <v>0</v>
      </c>
      <c r="AL53" s="324" t="str">
        <f>IF(tblPiNAnalysis[[#This Row],['# Flags]]&gt;0, "Flagged", "")</f>
        <v/>
      </c>
    </row>
    <row r="54" spans="1:38" ht="23.1" customHeight="1" x14ac:dyDescent="0.2">
      <c r="A54" s="309" t="str">
        <f>_xlfn.CONCAT(IF(tblPiNAnalysis[[#This Row],[Population Group]]="", "",tblPiNAnalysis[[#This Row],[Population Group]] ), _xlfn.IFS(tblPiNAnalysis[[#This Row],[Admin 2 P-Code]]&lt;&gt;"", tblPiNAnalysis[[#This Row],[Admin 2 P-Code]], tblPiNAnalysis[[#This Row],[Admin 1 P-Code]]&lt;&gt;"", tblPiNAnalysis[[#This Row],[Admin 1 P-Code]]))</f>
        <v>Non-hosting PopulationSD02128</v>
      </c>
      <c r="B54" s="245" t="s">
        <v>167</v>
      </c>
      <c r="C54" s="246" t="s">
        <v>119</v>
      </c>
      <c r="D54" s="247" t="s">
        <v>215</v>
      </c>
      <c r="E54" s="246" t="s">
        <v>214</v>
      </c>
      <c r="F54" s="248">
        <v>0</v>
      </c>
      <c r="G54" s="248" t="s">
        <v>568</v>
      </c>
      <c r="H54" s="310"/>
      <c r="I54" s="311"/>
      <c r="J54" s="312"/>
      <c r="K54" s="311"/>
      <c r="L54" s="311"/>
      <c r="M54" s="312"/>
      <c r="N54" s="312">
        <f>_xlfn.XLOOKUP(CONCATENATE(tblPiNAnalysis[[#This Row],[Admin 2 P-Code]],tblPiNAnalysis[[#This Row],[Population Group]]),'Overall severity &amp; PIN Analysis'!A:A,'Overall severity &amp; PIN Analysis'!P:P,0,0)</f>
        <v>0</v>
      </c>
      <c r="O54" s="311"/>
      <c r="P54" s="312"/>
      <c r="Q54" s="312"/>
      <c r="R54" s="312"/>
      <c r="S54" s="312"/>
      <c r="T54" s="313" t="str">
        <f>IF(tblPiNAnalysis[[#This Row],[Site Management ]]="", "", tblPiNAnalysis[[#This Row],[Site Management ]]/tblPiNAnalysis[[#This Row],[Total Population]])</f>
        <v/>
      </c>
      <c r="U54" s="314" t="str">
        <f>IF(tblPiNAnalysis[[#This Row],[Education]]="", "", tblPiNAnalysis[[#This Row],[Education]]/tblPiNAnalysis[[#This Row],[Total Population]])</f>
        <v/>
      </c>
      <c r="V54" s="314" t="str">
        <f>IF(tblPiNAnalysis[[#This Row],[Food Security and Livlihoods]]="", "", tblPiNAnalysis[[#This Row],[Food Security and Livlihoods]]/tblPiNAnalysis[[#This Row],[Total Population]])</f>
        <v/>
      </c>
      <c r="W54" s="315" t="str">
        <f>IF(tblPiNAnalysis[[#This Row],[Health ]]="", "", tblPiNAnalysis[[#This Row],[Health ]]/tblPiNAnalysis[[#This Row],[Total Population]])</f>
        <v/>
      </c>
      <c r="X54" s="314" t="str">
        <f>IF(tblPiNAnalysis[[#This Row],[Nutrition]]="", "", tblPiNAnalysis[[#This Row],[Nutrition]]/tblPiNAnalysis[[#This Row],[Total Population]])</f>
        <v/>
      </c>
      <c r="Y54" s="314" t="str">
        <f>IF(tblPiNAnalysis[[#This Row],[Protection]]="", "", tblPiNAnalysis[[#This Row],[Protection]]/tblPiNAnalysis[[#This Row],[Total Population]])</f>
        <v/>
      </c>
      <c r="Z54" s="316" t="e">
        <f>IF(tblPiNAnalysis[[#This Row],[Shelter NFI ]]="", "", tblPiNAnalysis[[#This Row],[Shelter NFI ]]/tblPiNAnalysis[[#This Row],[Total Population]])</f>
        <v>#DIV/0!</v>
      </c>
      <c r="AA54" s="317" t="str">
        <f>IF(tblPiNAnalysis[[#This Row],[WASH]]="", "", tblPiNAnalysis[[#This Row],[WASH]]/tblPiNAnalysis[[#This Row],[Total Population]])</f>
        <v/>
      </c>
      <c r="AB54" s="318" t="str">
        <f>IFERROR(IF(tblPiNAnalysis[[#This Row],[CP]]="", "", MROUND(tblPiNAnalysis[[#This Row],[CP]]/tblPiNAnalysis[[#This Row],[Total Population]], 0.05)), "")</f>
        <v/>
      </c>
      <c r="AC54" s="314" t="str">
        <f>IFERROR(IF(tblPiNAnalysis[[#This Row],[GBV]]="", "", MROUND(tblPiNAnalysis[[#This Row],[GBV]]/tblPiNAnalysis[[#This Row],[Total Population]], 0.05)), "")</f>
        <v/>
      </c>
      <c r="AD54" s="314" t="str">
        <f>IFERROR(IF(tblPiNAnalysis[[#This Row],[Mine Action]]="", "", MROUND(tblPiNAnalysis[[#This Row],[Mine Action]]/tblPiNAnalysis[[#This Row],[Total Population]], 0.05)), "")</f>
        <v/>
      </c>
      <c r="AE54" s="314" t="str">
        <f>IFERROR(IF(tblPiNAnalysis[[#This Row],[General Protection]]="", "", MROUND(tblPiNAnalysis[[#This Row],[General Protection]]/tblPiNAnalysis[[#This Row],[Total Population]], 0.05)), "")</f>
        <v/>
      </c>
      <c r="AF54" s="319">
        <f>IFERROR(LARGE(tblPiNAnalysis[[#This Row],[Site Management ]:[General Protection]], 1), "")</f>
        <v>0</v>
      </c>
      <c r="AG54" s="320" t="e">
        <f>IF(tblPiNAnalysis[[#This Row],[Highest PiN]]="", "",tblPiNAnalysis[[#This Row],[Highest PiN]]/ tblPiNAnalysis[[#This Row],[Total Population]])</f>
        <v>#DIV/0!</v>
      </c>
      <c r="AH54" s="320" t="str">
        <f>IFERROR(IF(tblPiNAnalysis[[#This Row],[Highest PiN]]="", "", IF(tblPiNAnalysis[[#This Row],[Highest sector(s'') PiN %]]&gt;=flag_pin_perc, "Flagged", "")), "")</f>
        <v/>
      </c>
      <c r="AI54" s="321"/>
      <c r="AJ54" s="322"/>
      <c r="AK54" s="323">
        <f>COUNTIFS(tblPiNAnalysis[[#This Row],[Highest PiN greater than 90% of total affected population]:[Manual Flag]],"Flagged")</f>
        <v>0</v>
      </c>
      <c r="AL54" s="324" t="str">
        <f>IF(tblPiNAnalysis[[#This Row],['# Flags]]&gt;0, "Flagged", "")</f>
        <v/>
      </c>
    </row>
    <row r="55" spans="1:38" ht="23.1" hidden="1" customHeight="1" x14ac:dyDescent="0.2">
      <c r="A55" s="309" t="str">
        <f>_xlfn.CONCAT(IF(tblPiNAnalysis[[#This Row],[Population Group]]="", "",tblPiNAnalysis[[#This Row],[Population Group]] ), _xlfn.IFS(tblPiNAnalysis[[#This Row],[Admin 2 P-Code]]&lt;&gt;"", tblPiNAnalysis[[#This Row],[Admin 2 P-Code]], tblPiNAnalysis[[#This Row],[Admin 1 P-Code]]&lt;&gt;"", tblPiNAnalysis[[#This Row],[Admin 1 P-Code]]))</f>
        <v>Host CommunitySD02129</v>
      </c>
      <c r="B55" s="245" t="s">
        <v>167</v>
      </c>
      <c r="C55" s="246" t="s">
        <v>119</v>
      </c>
      <c r="D55" s="247" t="s">
        <v>217</v>
      </c>
      <c r="E55" s="246" t="s">
        <v>216</v>
      </c>
      <c r="F55" s="248">
        <v>46779</v>
      </c>
      <c r="G55" s="248" t="s">
        <v>87</v>
      </c>
      <c r="H55" s="310"/>
      <c r="I55" s="311"/>
      <c r="J55" s="312"/>
      <c r="K55" s="311"/>
      <c r="L55" s="311"/>
      <c r="M55" s="312"/>
      <c r="N55" s="312">
        <f>_xlfn.XLOOKUP(CONCATENATE(tblPiNAnalysis[[#This Row],[Admin 2 P-Code]],tblPiNAnalysis[[#This Row],[Population Group]]),'Overall severity &amp; PIN Analysis'!A:A,'Overall severity &amp; PIN Analysis'!P:P,0,0)</f>
        <v>23827</v>
      </c>
      <c r="O55" s="311"/>
      <c r="P55" s="312"/>
      <c r="Q55" s="312"/>
      <c r="R55" s="312"/>
      <c r="S55" s="312"/>
      <c r="T55" s="313" t="str">
        <f>IF(tblPiNAnalysis[[#This Row],[Site Management ]]="", "", tblPiNAnalysis[[#This Row],[Site Management ]]/tblPiNAnalysis[[#This Row],[Total Population]])</f>
        <v/>
      </c>
      <c r="U55" s="314" t="str">
        <f>IF(tblPiNAnalysis[[#This Row],[Education]]="", "", tblPiNAnalysis[[#This Row],[Education]]/tblPiNAnalysis[[#This Row],[Total Population]])</f>
        <v/>
      </c>
      <c r="V55" s="314" t="str">
        <f>IF(tblPiNAnalysis[[#This Row],[Food Security and Livlihoods]]="", "", tblPiNAnalysis[[#This Row],[Food Security and Livlihoods]]/tblPiNAnalysis[[#This Row],[Total Population]])</f>
        <v/>
      </c>
      <c r="W55" s="315" t="str">
        <f>IF(tblPiNAnalysis[[#This Row],[Health ]]="", "", tblPiNAnalysis[[#This Row],[Health ]]/tblPiNAnalysis[[#This Row],[Total Population]])</f>
        <v/>
      </c>
      <c r="X55" s="314" t="str">
        <f>IF(tblPiNAnalysis[[#This Row],[Nutrition]]="", "", tblPiNAnalysis[[#This Row],[Nutrition]]/tblPiNAnalysis[[#This Row],[Total Population]])</f>
        <v/>
      </c>
      <c r="Y55" s="314" t="str">
        <f>IF(tblPiNAnalysis[[#This Row],[Protection]]="", "", tblPiNAnalysis[[#This Row],[Protection]]/tblPiNAnalysis[[#This Row],[Total Population]])</f>
        <v/>
      </c>
      <c r="Z55" s="316">
        <f>IF(tblPiNAnalysis[[#This Row],[Shelter NFI ]]="", "", tblPiNAnalysis[[#This Row],[Shelter NFI ]]/tblPiNAnalysis[[#This Row],[Total Population]])</f>
        <v>0.50935248722717463</v>
      </c>
      <c r="AA55" s="317" t="str">
        <f>IF(tblPiNAnalysis[[#This Row],[WASH]]="", "", tblPiNAnalysis[[#This Row],[WASH]]/tblPiNAnalysis[[#This Row],[Total Population]])</f>
        <v/>
      </c>
      <c r="AB55" s="318" t="str">
        <f>IFERROR(IF(tblPiNAnalysis[[#This Row],[CP]]="", "", MROUND(tblPiNAnalysis[[#This Row],[CP]]/tblPiNAnalysis[[#This Row],[Total Population]], 0.05)), "")</f>
        <v/>
      </c>
      <c r="AC55" s="314" t="str">
        <f>IFERROR(IF(tblPiNAnalysis[[#This Row],[GBV]]="", "", MROUND(tblPiNAnalysis[[#This Row],[GBV]]/tblPiNAnalysis[[#This Row],[Total Population]], 0.05)), "")</f>
        <v/>
      </c>
      <c r="AD55" s="314" t="str">
        <f>IFERROR(IF(tblPiNAnalysis[[#This Row],[Mine Action]]="", "", MROUND(tblPiNAnalysis[[#This Row],[Mine Action]]/tblPiNAnalysis[[#This Row],[Total Population]], 0.05)), "")</f>
        <v/>
      </c>
      <c r="AE55" s="314" t="str">
        <f>IFERROR(IF(tblPiNAnalysis[[#This Row],[General Protection]]="", "", MROUND(tblPiNAnalysis[[#This Row],[General Protection]]/tblPiNAnalysis[[#This Row],[Total Population]], 0.05)), "")</f>
        <v/>
      </c>
      <c r="AF55" s="319">
        <f>IFERROR(LARGE(tblPiNAnalysis[[#This Row],[Site Management ]:[General Protection]], 1), "")</f>
        <v>23827</v>
      </c>
      <c r="AG55" s="320">
        <f>IF(tblPiNAnalysis[[#This Row],[Highest PiN]]="", "",tblPiNAnalysis[[#This Row],[Highest PiN]]/ tblPiNAnalysis[[#This Row],[Total Population]])</f>
        <v>0.50935248722717463</v>
      </c>
      <c r="AH55" s="320" t="str">
        <f>IFERROR(IF(tblPiNAnalysis[[#This Row],[Highest PiN]]="", "", IF(tblPiNAnalysis[[#This Row],[Highest sector(s'') PiN %]]&gt;=flag_pin_perc, "Flagged", "")), "")</f>
        <v/>
      </c>
      <c r="AI55" s="321"/>
      <c r="AJ55" s="322"/>
      <c r="AK55" s="323">
        <f>COUNTIFS(tblPiNAnalysis[[#This Row],[Highest PiN greater than 90% of total affected population]:[Manual Flag]],"Flagged")</f>
        <v>0</v>
      </c>
      <c r="AL55" s="324" t="str">
        <f>IF(tblPiNAnalysis[[#This Row],['# Flags]]&gt;0, "Flagged", "")</f>
        <v/>
      </c>
    </row>
    <row r="56" spans="1:38" ht="23.1" hidden="1" customHeight="1" x14ac:dyDescent="0.2">
      <c r="A56" s="309" t="str">
        <f>_xlfn.CONCAT(IF(tblPiNAnalysis[[#This Row],[Population Group]]="", "",tblPiNAnalysis[[#This Row],[Population Group]] ), _xlfn.IFS(tblPiNAnalysis[[#This Row],[Admin 2 P-Code]]&lt;&gt;"", tblPiNAnalysis[[#This Row],[Admin 2 P-Code]], tblPiNAnalysis[[#This Row],[Admin 1 P-Code]]&lt;&gt;"", tblPiNAnalysis[[#This Row],[Admin 1 P-Code]]))</f>
        <v>IDPsSD02129</v>
      </c>
      <c r="B56" s="245" t="s">
        <v>167</v>
      </c>
      <c r="C56" s="246" t="s">
        <v>119</v>
      </c>
      <c r="D56" s="247" t="s">
        <v>217</v>
      </c>
      <c r="E56" s="246" t="s">
        <v>216</v>
      </c>
      <c r="F56" s="248">
        <v>46779</v>
      </c>
      <c r="G56" s="248" t="s">
        <v>88</v>
      </c>
      <c r="H56" s="310"/>
      <c r="I56" s="311"/>
      <c r="J56" s="312"/>
      <c r="K56" s="311"/>
      <c r="L56" s="311"/>
      <c r="M56" s="312"/>
      <c r="N56" s="312">
        <f>_xlfn.XLOOKUP(CONCATENATE(tblPiNAnalysis[[#This Row],[Admin 2 P-Code]],tblPiNAnalysis[[#This Row],[Population Group]]),'Overall severity &amp; PIN Analysis'!A:A,'Overall severity &amp; PIN Analysis'!P:P,0,0)</f>
        <v>23827</v>
      </c>
      <c r="O56" s="311"/>
      <c r="P56" s="312"/>
      <c r="Q56" s="312"/>
      <c r="R56" s="312"/>
      <c r="S56" s="312"/>
      <c r="T56" s="313" t="str">
        <f>IF(tblPiNAnalysis[[#This Row],[Site Management ]]="", "", tblPiNAnalysis[[#This Row],[Site Management ]]/tblPiNAnalysis[[#This Row],[Total Population]])</f>
        <v/>
      </c>
      <c r="U56" s="314" t="str">
        <f>IF(tblPiNAnalysis[[#This Row],[Education]]="", "", tblPiNAnalysis[[#This Row],[Education]]/tblPiNAnalysis[[#This Row],[Total Population]])</f>
        <v/>
      </c>
      <c r="V56" s="314" t="str">
        <f>IF(tblPiNAnalysis[[#This Row],[Food Security and Livlihoods]]="", "", tblPiNAnalysis[[#This Row],[Food Security and Livlihoods]]/tblPiNAnalysis[[#This Row],[Total Population]])</f>
        <v/>
      </c>
      <c r="W56" s="315" t="str">
        <f>IF(tblPiNAnalysis[[#This Row],[Health ]]="", "", tblPiNAnalysis[[#This Row],[Health ]]/tblPiNAnalysis[[#This Row],[Total Population]])</f>
        <v/>
      </c>
      <c r="X56" s="314" t="str">
        <f>IF(tblPiNAnalysis[[#This Row],[Nutrition]]="", "", tblPiNAnalysis[[#This Row],[Nutrition]]/tblPiNAnalysis[[#This Row],[Total Population]])</f>
        <v/>
      </c>
      <c r="Y56" s="314" t="str">
        <f>IF(tblPiNAnalysis[[#This Row],[Protection]]="", "", tblPiNAnalysis[[#This Row],[Protection]]/tblPiNAnalysis[[#This Row],[Total Population]])</f>
        <v/>
      </c>
      <c r="Z56" s="316">
        <f>IF(tblPiNAnalysis[[#This Row],[Shelter NFI ]]="", "", tblPiNAnalysis[[#This Row],[Shelter NFI ]]/tblPiNAnalysis[[#This Row],[Total Population]])</f>
        <v>0.50935248722717463</v>
      </c>
      <c r="AA56" s="317" t="str">
        <f>IF(tblPiNAnalysis[[#This Row],[WASH]]="", "", tblPiNAnalysis[[#This Row],[WASH]]/tblPiNAnalysis[[#This Row],[Total Population]])</f>
        <v/>
      </c>
      <c r="AB56" s="318" t="str">
        <f>IFERROR(IF(tblPiNAnalysis[[#This Row],[CP]]="", "", MROUND(tblPiNAnalysis[[#This Row],[CP]]/tblPiNAnalysis[[#This Row],[Total Population]], 0.05)), "")</f>
        <v/>
      </c>
      <c r="AC56" s="314" t="str">
        <f>IFERROR(IF(tblPiNAnalysis[[#This Row],[GBV]]="", "", MROUND(tblPiNAnalysis[[#This Row],[GBV]]/tblPiNAnalysis[[#This Row],[Total Population]], 0.05)), "")</f>
        <v/>
      </c>
      <c r="AD56" s="314" t="str">
        <f>IFERROR(IF(tblPiNAnalysis[[#This Row],[Mine Action]]="", "", MROUND(tblPiNAnalysis[[#This Row],[Mine Action]]/tblPiNAnalysis[[#This Row],[Total Population]], 0.05)), "")</f>
        <v/>
      </c>
      <c r="AE56" s="314" t="str">
        <f>IFERROR(IF(tblPiNAnalysis[[#This Row],[General Protection]]="", "", MROUND(tblPiNAnalysis[[#This Row],[General Protection]]/tblPiNAnalysis[[#This Row],[Total Population]], 0.05)), "")</f>
        <v/>
      </c>
      <c r="AF56" s="319">
        <f>IFERROR(LARGE(tblPiNAnalysis[[#This Row],[Site Management ]:[General Protection]], 1), "")</f>
        <v>23827</v>
      </c>
      <c r="AG56" s="320">
        <f>IF(tblPiNAnalysis[[#This Row],[Highest PiN]]="", "",tblPiNAnalysis[[#This Row],[Highest PiN]]/ tblPiNAnalysis[[#This Row],[Total Population]])</f>
        <v>0.50935248722717463</v>
      </c>
      <c r="AH56" s="320" t="str">
        <f>IFERROR(IF(tblPiNAnalysis[[#This Row],[Highest PiN]]="", "", IF(tblPiNAnalysis[[#This Row],[Highest sector(s'') PiN %]]&gt;=flag_pin_perc, "Flagged", "")), "")</f>
        <v/>
      </c>
      <c r="AI56" s="321"/>
      <c r="AJ56" s="322"/>
      <c r="AK56" s="323">
        <f>COUNTIFS(tblPiNAnalysis[[#This Row],[Highest PiN greater than 90% of total affected population]:[Manual Flag]],"Flagged")</f>
        <v>0</v>
      </c>
      <c r="AL56" s="324" t="str">
        <f>IF(tblPiNAnalysis[[#This Row],['# Flags]]&gt;0, "Flagged", "")</f>
        <v/>
      </c>
    </row>
    <row r="57" spans="1:38" ht="23.1" customHeight="1" x14ac:dyDescent="0.2">
      <c r="A57" s="309" t="str">
        <f>_xlfn.CONCAT(IF(tblPiNAnalysis[[#This Row],[Population Group]]="", "",tblPiNAnalysis[[#This Row],[Population Group]] ), _xlfn.IFS(tblPiNAnalysis[[#This Row],[Admin 2 P-Code]]&lt;&gt;"", tblPiNAnalysis[[#This Row],[Admin 2 P-Code]], tblPiNAnalysis[[#This Row],[Admin 1 P-Code]]&lt;&gt;"", tblPiNAnalysis[[#This Row],[Admin 1 P-Code]]))</f>
        <v>Non-hosting PopulationSD02129</v>
      </c>
      <c r="B57" s="245" t="s">
        <v>167</v>
      </c>
      <c r="C57" s="246" t="s">
        <v>119</v>
      </c>
      <c r="D57" s="247" t="s">
        <v>217</v>
      </c>
      <c r="E57" s="246" t="s">
        <v>216</v>
      </c>
      <c r="F57" s="248">
        <v>145076</v>
      </c>
      <c r="G57" s="248" t="s">
        <v>568</v>
      </c>
      <c r="H57" s="310"/>
      <c r="I57" s="311"/>
      <c r="J57" s="312"/>
      <c r="K57" s="311"/>
      <c r="L57" s="311"/>
      <c r="M57" s="312"/>
      <c r="N57" s="312">
        <f>_xlfn.XLOOKUP(CONCATENATE(tblPiNAnalysis[[#This Row],[Admin 2 P-Code]],tblPiNAnalysis[[#This Row],[Population Group]]),'Overall severity &amp; PIN Analysis'!A:A,'Overall severity &amp; PIN Analysis'!P:P,0,0)</f>
        <v>10076</v>
      </c>
      <c r="O57" s="311"/>
      <c r="P57" s="312"/>
      <c r="Q57" s="312"/>
      <c r="R57" s="312"/>
      <c r="S57" s="312"/>
      <c r="T57" s="313" t="str">
        <f>IF(tblPiNAnalysis[[#This Row],[Site Management ]]="", "", tblPiNAnalysis[[#This Row],[Site Management ]]/tblPiNAnalysis[[#This Row],[Total Population]])</f>
        <v/>
      </c>
      <c r="U57" s="314" t="str">
        <f>IF(tblPiNAnalysis[[#This Row],[Education]]="", "", tblPiNAnalysis[[#This Row],[Education]]/tblPiNAnalysis[[#This Row],[Total Population]])</f>
        <v/>
      </c>
      <c r="V57" s="314" t="str">
        <f>IF(tblPiNAnalysis[[#This Row],[Food Security and Livlihoods]]="", "", tblPiNAnalysis[[#This Row],[Food Security and Livlihoods]]/tblPiNAnalysis[[#This Row],[Total Population]])</f>
        <v/>
      </c>
      <c r="W57" s="315" t="str">
        <f>IF(tblPiNAnalysis[[#This Row],[Health ]]="", "", tblPiNAnalysis[[#This Row],[Health ]]/tblPiNAnalysis[[#This Row],[Total Population]])</f>
        <v/>
      </c>
      <c r="X57" s="314" t="str">
        <f>IF(tblPiNAnalysis[[#This Row],[Nutrition]]="", "", tblPiNAnalysis[[#This Row],[Nutrition]]/tblPiNAnalysis[[#This Row],[Total Population]])</f>
        <v/>
      </c>
      <c r="Y57" s="314" t="str">
        <f>IF(tblPiNAnalysis[[#This Row],[Protection]]="", "", tblPiNAnalysis[[#This Row],[Protection]]/tblPiNAnalysis[[#This Row],[Total Population]])</f>
        <v/>
      </c>
      <c r="Z57" s="316">
        <f>IF(tblPiNAnalysis[[#This Row],[Shelter NFI ]]="", "", tblPiNAnalysis[[#This Row],[Shelter NFI ]]/tblPiNAnalysis[[#This Row],[Total Population]])</f>
        <v>6.9453252088560485E-2</v>
      </c>
      <c r="AA57" s="317" t="str">
        <f>IF(tblPiNAnalysis[[#This Row],[WASH]]="", "", tblPiNAnalysis[[#This Row],[WASH]]/tblPiNAnalysis[[#This Row],[Total Population]])</f>
        <v/>
      </c>
      <c r="AB57" s="318" t="str">
        <f>IFERROR(IF(tblPiNAnalysis[[#This Row],[CP]]="", "", MROUND(tblPiNAnalysis[[#This Row],[CP]]/tblPiNAnalysis[[#This Row],[Total Population]], 0.05)), "")</f>
        <v/>
      </c>
      <c r="AC57" s="314" t="str">
        <f>IFERROR(IF(tblPiNAnalysis[[#This Row],[GBV]]="", "", MROUND(tblPiNAnalysis[[#This Row],[GBV]]/tblPiNAnalysis[[#This Row],[Total Population]], 0.05)), "")</f>
        <v/>
      </c>
      <c r="AD57" s="314" t="str">
        <f>IFERROR(IF(tblPiNAnalysis[[#This Row],[Mine Action]]="", "", MROUND(tblPiNAnalysis[[#This Row],[Mine Action]]/tblPiNAnalysis[[#This Row],[Total Population]], 0.05)), "")</f>
        <v/>
      </c>
      <c r="AE57" s="314" t="str">
        <f>IFERROR(IF(tblPiNAnalysis[[#This Row],[General Protection]]="", "", MROUND(tblPiNAnalysis[[#This Row],[General Protection]]/tblPiNAnalysis[[#This Row],[Total Population]], 0.05)), "")</f>
        <v/>
      </c>
      <c r="AF57" s="319">
        <f>IFERROR(LARGE(tblPiNAnalysis[[#This Row],[Site Management ]:[General Protection]], 1), "")</f>
        <v>10076</v>
      </c>
      <c r="AG57" s="320">
        <f>IF(tblPiNAnalysis[[#This Row],[Highest PiN]]="", "",tblPiNAnalysis[[#This Row],[Highest PiN]]/ tblPiNAnalysis[[#This Row],[Total Population]])</f>
        <v>6.9453252088560485E-2</v>
      </c>
      <c r="AH57" s="320" t="str">
        <f>IFERROR(IF(tblPiNAnalysis[[#This Row],[Highest PiN]]="", "", IF(tblPiNAnalysis[[#This Row],[Highest sector(s'') PiN %]]&gt;=flag_pin_perc, "Flagged", "")), "")</f>
        <v/>
      </c>
      <c r="AI57" s="321"/>
      <c r="AJ57" s="322"/>
      <c r="AK57" s="323">
        <f>COUNTIFS(tblPiNAnalysis[[#This Row],[Highest PiN greater than 90% of total affected population]:[Manual Flag]],"Flagged")</f>
        <v>0</v>
      </c>
      <c r="AL57" s="324" t="str">
        <f>IF(tblPiNAnalysis[[#This Row],['# Flags]]&gt;0, "Flagged", "")</f>
        <v/>
      </c>
    </row>
    <row r="58" spans="1:38" ht="23.1" hidden="1" customHeight="1" x14ac:dyDescent="0.2">
      <c r="A58" s="309" t="str">
        <f>_xlfn.CONCAT(IF(tblPiNAnalysis[[#This Row],[Population Group]]="", "",tblPiNAnalysis[[#This Row],[Population Group]] ), _xlfn.IFS(tblPiNAnalysis[[#This Row],[Admin 2 P-Code]]&lt;&gt;"", tblPiNAnalysis[[#This Row],[Admin 2 P-Code]], tblPiNAnalysis[[#This Row],[Admin 1 P-Code]]&lt;&gt;"", tblPiNAnalysis[[#This Row],[Admin 1 P-Code]]))</f>
        <v>Host CommunitySD02133</v>
      </c>
      <c r="B58" s="245" t="s">
        <v>167</v>
      </c>
      <c r="C58" s="246" t="s">
        <v>119</v>
      </c>
      <c r="D58" s="247" t="s">
        <v>219</v>
      </c>
      <c r="E58" s="246" t="s">
        <v>218</v>
      </c>
      <c r="F58" s="248">
        <v>65012</v>
      </c>
      <c r="G58" s="248" t="s">
        <v>87</v>
      </c>
      <c r="H58" s="310"/>
      <c r="I58" s="311"/>
      <c r="J58" s="312"/>
      <c r="K58" s="311"/>
      <c r="L58" s="311"/>
      <c r="M58" s="312"/>
      <c r="N58" s="312">
        <f>_xlfn.XLOOKUP(CONCATENATE(tblPiNAnalysis[[#This Row],[Admin 2 P-Code]],tblPiNAnalysis[[#This Row],[Population Group]]),'Overall severity &amp; PIN Analysis'!A:A,'Overall severity &amp; PIN Analysis'!P:P,0,0)</f>
        <v>52519</v>
      </c>
      <c r="O58" s="311"/>
      <c r="P58" s="312"/>
      <c r="Q58" s="312"/>
      <c r="R58" s="312"/>
      <c r="S58" s="312"/>
      <c r="T58" s="313" t="str">
        <f>IF(tblPiNAnalysis[[#This Row],[Site Management ]]="", "", tblPiNAnalysis[[#This Row],[Site Management ]]/tblPiNAnalysis[[#This Row],[Total Population]])</f>
        <v/>
      </c>
      <c r="U58" s="314" t="str">
        <f>IF(tblPiNAnalysis[[#This Row],[Education]]="", "", tblPiNAnalysis[[#This Row],[Education]]/tblPiNAnalysis[[#This Row],[Total Population]])</f>
        <v/>
      </c>
      <c r="V58" s="314" t="str">
        <f>IF(tblPiNAnalysis[[#This Row],[Food Security and Livlihoods]]="", "", tblPiNAnalysis[[#This Row],[Food Security and Livlihoods]]/tblPiNAnalysis[[#This Row],[Total Population]])</f>
        <v/>
      </c>
      <c r="W58" s="315" t="str">
        <f>IF(tblPiNAnalysis[[#This Row],[Health ]]="", "", tblPiNAnalysis[[#This Row],[Health ]]/tblPiNAnalysis[[#This Row],[Total Population]])</f>
        <v/>
      </c>
      <c r="X58" s="314" t="str">
        <f>IF(tblPiNAnalysis[[#This Row],[Nutrition]]="", "", tblPiNAnalysis[[#This Row],[Nutrition]]/tblPiNAnalysis[[#This Row],[Total Population]])</f>
        <v/>
      </c>
      <c r="Y58" s="314" t="str">
        <f>IF(tblPiNAnalysis[[#This Row],[Protection]]="", "", tblPiNAnalysis[[#This Row],[Protection]]/tblPiNAnalysis[[#This Row],[Total Population]])</f>
        <v/>
      </c>
      <c r="Z58" s="316">
        <f>IF(tblPiNAnalysis[[#This Row],[Shelter NFI ]]="", "", tblPiNAnalysis[[#This Row],[Shelter NFI ]]/tblPiNAnalysis[[#This Row],[Total Population]])</f>
        <v>0.80783547652741028</v>
      </c>
      <c r="AA58" s="317" t="str">
        <f>IF(tblPiNAnalysis[[#This Row],[WASH]]="", "", tblPiNAnalysis[[#This Row],[WASH]]/tblPiNAnalysis[[#This Row],[Total Population]])</f>
        <v/>
      </c>
      <c r="AB58" s="318" t="str">
        <f>IFERROR(IF(tblPiNAnalysis[[#This Row],[CP]]="", "", MROUND(tblPiNAnalysis[[#This Row],[CP]]/tblPiNAnalysis[[#This Row],[Total Population]], 0.05)), "")</f>
        <v/>
      </c>
      <c r="AC58" s="314" t="str">
        <f>IFERROR(IF(tblPiNAnalysis[[#This Row],[GBV]]="", "", MROUND(tblPiNAnalysis[[#This Row],[GBV]]/tblPiNAnalysis[[#This Row],[Total Population]], 0.05)), "")</f>
        <v/>
      </c>
      <c r="AD58" s="314" t="str">
        <f>IFERROR(IF(tblPiNAnalysis[[#This Row],[Mine Action]]="", "", MROUND(tblPiNAnalysis[[#This Row],[Mine Action]]/tblPiNAnalysis[[#This Row],[Total Population]], 0.05)), "")</f>
        <v/>
      </c>
      <c r="AE58" s="314" t="str">
        <f>IFERROR(IF(tblPiNAnalysis[[#This Row],[General Protection]]="", "", MROUND(tblPiNAnalysis[[#This Row],[General Protection]]/tblPiNAnalysis[[#This Row],[Total Population]], 0.05)), "")</f>
        <v/>
      </c>
      <c r="AF58" s="319">
        <f>IFERROR(LARGE(tblPiNAnalysis[[#This Row],[Site Management ]:[General Protection]], 1), "")</f>
        <v>52519</v>
      </c>
      <c r="AG58" s="320">
        <f>IF(tblPiNAnalysis[[#This Row],[Highest PiN]]="", "",tblPiNAnalysis[[#This Row],[Highest PiN]]/ tblPiNAnalysis[[#This Row],[Total Population]])</f>
        <v>0.80783547652741028</v>
      </c>
      <c r="AH58" s="320" t="str">
        <f>IFERROR(IF(tblPiNAnalysis[[#This Row],[Highest PiN]]="", "", IF(tblPiNAnalysis[[#This Row],[Highest sector(s'') PiN %]]&gt;=flag_pin_perc, "Flagged", "")), "")</f>
        <v/>
      </c>
      <c r="AI58" s="321"/>
      <c r="AJ58" s="322"/>
      <c r="AK58" s="323">
        <f>COUNTIFS(tblPiNAnalysis[[#This Row],[Highest PiN greater than 90% of total affected population]:[Manual Flag]],"Flagged")</f>
        <v>0</v>
      </c>
      <c r="AL58" s="324" t="str">
        <f>IF(tblPiNAnalysis[[#This Row],['# Flags]]&gt;0, "Flagged", "")</f>
        <v/>
      </c>
    </row>
    <row r="59" spans="1:38" ht="23.1" hidden="1" customHeight="1" x14ac:dyDescent="0.2">
      <c r="A59" s="309" t="str">
        <f>_xlfn.CONCAT(IF(tblPiNAnalysis[[#This Row],[Population Group]]="", "",tblPiNAnalysis[[#This Row],[Population Group]] ), _xlfn.IFS(tblPiNAnalysis[[#This Row],[Admin 2 P-Code]]&lt;&gt;"", tblPiNAnalysis[[#This Row],[Admin 2 P-Code]], tblPiNAnalysis[[#This Row],[Admin 1 P-Code]]&lt;&gt;"", tblPiNAnalysis[[#This Row],[Admin 1 P-Code]]))</f>
        <v>IDPsSD02133</v>
      </c>
      <c r="B59" s="245" t="s">
        <v>167</v>
      </c>
      <c r="C59" s="246" t="s">
        <v>119</v>
      </c>
      <c r="D59" s="247" t="s">
        <v>219</v>
      </c>
      <c r="E59" s="246" t="s">
        <v>218</v>
      </c>
      <c r="F59" s="248">
        <v>65012</v>
      </c>
      <c r="G59" s="248" t="s">
        <v>88</v>
      </c>
      <c r="H59" s="310"/>
      <c r="I59" s="311"/>
      <c r="J59" s="312"/>
      <c r="K59" s="311"/>
      <c r="L59" s="311"/>
      <c r="M59" s="312"/>
      <c r="N59" s="312">
        <f>_xlfn.XLOOKUP(CONCATENATE(tblPiNAnalysis[[#This Row],[Admin 2 P-Code]],tblPiNAnalysis[[#This Row],[Population Group]]),'Overall severity &amp; PIN Analysis'!A:A,'Overall severity &amp; PIN Analysis'!P:P,0,0)</f>
        <v>52519</v>
      </c>
      <c r="O59" s="311"/>
      <c r="P59" s="312"/>
      <c r="Q59" s="312"/>
      <c r="R59" s="312"/>
      <c r="S59" s="312"/>
      <c r="T59" s="313" t="str">
        <f>IF(tblPiNAnalysis[[#This Row],[Site Management ]]="", "", tblPiNAnalysis[[#This Row],[Site Management ]]/tblPiNAnalysis[[#This Row],[Total Population]])</f>
        <v/>
      </c>
      <c r="U59" s="314" t="str">
        <f>IF(tblPiNAnalysis[[#This Row],[Education]]="", "", tblPiNAnalysis[[#This Row],[Education]]/tblPiNAnalysis[[#This Row],[Total Population]])</f>
        <v/>
      </c>
      <c r="V59" s="314" t="str">
        <f>IF(tblPiNAnalysis[[#This Row],[Food Security and Livlihoods]]="", "", tblPiNAnalysis[[#This Row],[Food Security and Livlihoods]]/tblPiNAnalysis[[#This Row],[Total Population]])</f>
        <v/>
      </c>
      <c r="W59" s="315" t="str">
        <f>IF(tblPiNAnalysis[[#This Row],[Health ]]="", "", tblPiNAnalysis[[#This Row],[Health ]]/tblPiNAnalysis[[#This Row],[Total Population]])</f>
        <v/>
      </c>
      <c r="X59" s="314" t="str">
        <f>IF(tblPiNAnalysis[[#This Row],[Nutrition]]="", "", tblPiNAnalysis[[#This Row],[Nutrition]]/tblPiNAnalysis[[#This Row],[Total Population]])</f>
        <v/>
      </c>
      <c r="Y59" s="314" t="str">
        <f>IF(tblPiNAnalysis[[#This Row],[Protection]]="", "", tblPiNAnalysis[[#This Row],[Protection]]/tblPiNAnalysis[[#This Row],[Total Population]])</f>
        <v/>
      </c>
      <c r="Z59" s="316">
        <f>IF(tblPiNAnalysis[[#This Row],[Shelter NFI ]]="", "", tblPiNAnalysis[[#This Row],[Shelter NFI ]]/tblPiNAnalysis[[#This Row],[Total Population]])</f>
        <v>0.80783547652741028</v>
      </c>
      <c r="AA59" s="317" t="str">
        <f>IF(tblPiNAnalysis[[#This Row],[WASH]]="", "", tblPiNAnalysis[[#This Row],[WASH]]/tblPiNAnalysis[[#This Row],[Total Population]])</f>
        <v/>
      </c>
      <c r="AB59" s="318" t="str">
        <f>IFERROR(IF(tblPiNAnalysis[[#This Row],[CP]]="", "", MROUND(tblPiNAnalysis[[#This Row],[CP]]/tblPiNAnalysis[[#This Row],[Total Population]], 0.05)), "")</f>
        <v/>
      </c>
      <c r="AC59" s="314" t="str">
        <f>IFERROR(IF(tblPiNAnalysis[[#This Row],[GBV]]="", "", MROUND(tblPiNAnalysis[[#This Row],[GBV]]/tblPiNAnalysis[[#This Row],[Total Population]], 0.05)), "")</f>
        <v/>
      </c>
      <c r="AD59" s="314" t="str">
        <f>IFERROR(IF(tblPiNAnalysis[[#This Row],[Mine Action]]="", "", MROUND(tblPiNAnalysis[[#This Row],[Mine Action]]/tblPiNAnalysis[[#This Row],[Total Population]], 0.05)), "")</f>
        <v/>
      </c>
      <c r="AE59" s="314" t="str">
        <f>IFERROR(IF(tblPiNAnalysis[[#This Row],[General Protection]]="", "", MROUND(tblPiNAnalysis[[#This Row],[General Protection]]/tblPiNAnalysis[[#This Row],[Total Population]], 0.05)), "")</f>
        <v/>
      </c>
      <c r="AF59" s="319">
        <f>IFERROR(LARGE(tblPiNAnalysis[[#This Row],[Site Management ]:[General Protection]], 1), "")</f>
        <v>52519</v>
      </c>
      <c r="AG59" s="320">
        <f>IF(tblPiNAnalysis[[#This Row],[Highest PiN]]="", "",tblPiNAnalysis[[#This Row],[Highest PiN]]/ tblPiNAnalysis[[#This Row],[Total Population]])</f>
        <v>0.80783547652741028</v>
      </c>
      <c r="AH59" s="320" t="str">
        <f>IFERROR(IF(tblPiNAnalysis[[#This Row],[Highest PiN]]="", "", IF(tblPiNAnalysis[[#This Row],[Highest sector(s'') PiN %]]&gt;=flag_pin_perc, "Flagged", "")), "")</f>
        <v/>
      </c>
      <c r="AI59" s="321"/>
      <c r="AJ59" s="322"/>
      <c r="AK59" s="323">
        <f>COUNTIFS(tblPiNAnalysis[[#This Row],[Highest PiN greater than 90% of total affected population]:[Manual Flag]],"Flagged")</f>
        <v>0</v>
      </c>
      <c r="AL59" s="324" t="str">
        <f>IF(tblPiNAnalysis[[#This Row],['# Flags]]&gt;0, "Flagged", "")</f>
        <v/>
      </c>
    </row>
    <row r="60" spans="1:38" ht="23.1" customHeight="1" x14ac:dyDescent="0.2">
      <c r="A60" s="309" t="str">
        <f>_xlfn.CONCAT(IF(tblPiNAnalysis[[#This Row],[Population Group]]="", "",tblPiNAnalysis[[#This Row],[Population Group]] ), _xlfn.IFS(tblPiNAnalysis[[#This Row],[Admin 2 P-Code]]&lt;&gt;"", tblPiNAnalysis[[#This Row],[Admin 2 P-Code]], tblPiNAnalysis[[#This Row],[Admin 1 P-Code]]&lt;&gt;"", tblPiNAnalysis[[#This Row],[Admin 1 P-Code]]))</f>
        <v>Non-hosting PopulationSD02133</v>
      </c>
      <c r="B60" s="245" t="s">
        <v>167</v>
      </c>
      <c r="C60" s="246" t="s">
        <v>119</v>
      </c>
      <c r="D60" s="247" t="s">
        <v>219</v>
      </c>
      <c r="E60" s="246" t="s">
        <v>218</v>
      </c>
      <c r="F60" s="248">
        <v>107058</v>
      </c>
      <c r="G60" s="248" t="s">
        <v>568</v>
      </c>
      <c r="H60" s="310"/>
      <c r="I60" s="311"/>
      <c r="J60" s="312"/>
      <c r="K60" s="311"/>
      <c r="L60" s="311"/>
      <c r="M60" s="312"/>
      <c r="N60" s="312">
        <f>_xlfn.XLOOKUP(CONCATENATE(tblPiNAnalysis[[#This Row],[Admin 2 P-Code]],tblPiNAnalysis[[#This Row],[Population Group]]),'Overall severity &amp; PIN Analysis'!A:A,'Overall severity &amp; PIN Analysis'!P:P,0,0)</f>
        <v>18084</v>
      </c>
      <c r="O60" s="311"/>
      <c r="P60" s="312"/>
      <c r="Q60" s="312"/>
      <c r="R60" s="312"/>
      <c r="S60" s="312"/>
      <c r="T60" s="313" t="str">
        <f>IF(tblPiNAnalysis[[#This Row],[Site Management ]]="", "", tblPiNAnalysis[[#This Row],[Site Management ]]/tblPiNAnalysis[[#This Row],[Total Population]])</f>
        <v/>
      </c>
      <c r="U60" s="314" t="str">
        <f>IF(tblPiNAnalysis[[#This Row],[Education]]="", "", tblPiNAnalysis[[#This Row],[Education]]/tblPiNAnalysis[[#This Row],[Total Population]])</f>
        <v/>
      </c>
      <c r="V60" s="314" t="str">
        <f>IF(tblPiNAnalysis[[#This Row],[Food Security and Livlihoods]]="", "", tblPiNAnalysis[[#This Row],[Food Security and Livlihoods]]/tblPiNAnalysis[[#This Row],[Total Population]])</f>
        <v/>
      </c>
      <c r="W60" s="315" t="str">
        <f>IF(tblPiNAnalysis[[#This Row],[Health ]]="", "", tblPiNAnalysis[[#This Row],[Health ]]/tblPiNAnalysis[[#This Row],[Total Population]])</f>
        <v/>
      </c>
      <c r="X60" s="314" t="str">
        <f>IF(tblPiNAnalysis[[#This Row],[Nutrition]]="", "", tblPiNAnalysis[[#This Row],[Nutrition]]/tblPiNAnalysis[[#This Row],[Total Population]])</f>
        <v/>
      </c>
      <c r="Y60" s="314" t="str">
        <f>IF(tblPiNAnalysis[[#This Row],[Protection]]="", "", tblPiNAnalysis[[#This Row],[Protection]]/tblPiNAnalysis[[#This Row],[Total Population]])</f>
        <v/>
      </c>
      <c r="Z60" s="316">
        <f>IF(tblPiNAnalysis[[#This Row],[Shelter NFI ]]="", "", tblPiNAnalysis[[#This Row],[Shelter NFI ]]/tblPiNAnalysis[[#This Row],[Total Population]])</f>
        <v>0.16891778288404416</v>
      </c>
      <c r="AA60" s="317" t="str">
        <f>IF(tblPiNAnalysis[[#This Row],[WASH]]="", "", tblPiNAnalysis[[#This Row],[WASH]]/tblPiNAnalysis[[#This Row],[Total Population]])</f>
        <v/>
      </c>
      <c r="AB60" s="318" t="str">
        <f>IFERROR(IF(tblPiNAnalysis[[#This Row],[CP]]="", "", MROUND(tblPiNAnalysis[[#This Row],[CP]]/tblPiNAnalysis[[#This Row],[Total Population]], 0.05)), "")</f>
        <v/>
      </c>
      <c r="AC60" s="314" t="str">
        <f>IFERROR(IF(tblPiNAnalysis[[#This Row],[GBV]]="", "", MROUND(tblPiNAnalysis[[#This Row],[GBV]]/tblPiNAnalysis[[#This Row],[Total Population]], 0.05)), "")</f>
        <v/>
      </c>
      <c r="AD60" s="314" t="str">
        <f>IFERROR(IF(tblPiNAnalysis[[#This Row],[Mine Action]]="", "", MROUND(tblPiNAnalysis[[#This Row],[Mine Action]]/tblPiNAnalysis[[#This Row],[Total Population]], 0.05)), "")</f>
        <v/>
      </c>
      <c r="AE60" s="314" t="str">
        <f>IFERROR(IF(tblPiNAnalysis[[#This Row],[General Protection]]="", "", MROUND(tblPiNAnalysis[[#This Row],[General Protection]]/tblPiNAnalysis[[#This Row],[Total Population]], 0.05)), "")</f>
        <v/>
      </c>
      <c r="AF60" s="319">
        <f>IFERROR(LARGE(tblPiNAnalysis[[#This Row],[Site Management ]:[General Protection]], 1), "")</f>
        <v>18084</v>
      </c>
      <c r="AG60" s="320">
        <f>IF(tblPiNAnalysis[[#This Row],[Highest PiN]]="", "",tblPiNAnalysis[[#This Row],[Highest PiN]]/ tblPiNAnalysis[[#This Row],[Total Population]])</f>
        <v>0.16891778288404416</v>
      </c>
      <c r="AH60" s="320" t="str">
        <f>IFERROR(IF(tblPiNAnalysis[[#This Row],[Highest PiN]]="", "", IF(tblPiNAnalysis[[#This Row],[Highest sector(s'') PiN %]]&gt;=flag_pin_perc, "Flagged", "")), "")</f>
        <v/>
      </c>
      <c r="AI60" s="321"/>
      <c r="AJ60" s="322"/>
      <c r="AK60" s="323">
        <f>COUNTIFS(tblPiNAnalysis[[#This Row],[Highest PiN greater than 90% of total affected population]:[Manual Flag]],"Flagged")</f>
        <v>0</v>
      </c>
      <c r="AL60" s="324" t="str">
        <f>IF(tblPiNAnalysis[[#This Row],['# Flags]]&gt;0, "Flagged", "")</f>
        <v/>
      </c>
    </row>
    <row r="61" spans="1:38" ht="23.1" hidden="1" customHeight="1" x14ac:dyDescent="0.2">
      <c r="A61" s="309" t="str">
        <f>_xlfn.CONCAT(IF(tblPiNAnalysis[[#This Row],[Population Group]]="", "",tblPiNAnalysis[[#This Row],[Population Group]] ), _xlfn.IFS(tblPiNAnalysis[[#This Row],[Admin 2 P-Code]]&lt;&gt;"", tblPiNAnalysis[[#This Row],[Admin 2 P-Code]], tblPiNAnalysis[[#This Row],[Admin 1 P-Code]]&lt;&gt;"", tblPiNAnalysis[[#This Row],[Admin 1 P-Code]]))</f>
        <v>Host CommunitySD02136</v>
      </c>
      <c r="B61" s="245" t="s">
        <v>167</v>
      </c>
      <c r="C61" s="246" t="s">
        <v>119</v>
      </c>
      <c r="D61" s="247" t="s">
        <v>221</v>
      </c>
      <c r="E61" s="246" t="s">
        <v>220</v>
      </c>
      <c r="F61" s="248">
        <v>38640</v>
      </c>
      <c r="G61" s="248" t="s">
        <v>87</v>
      </c>
      <c r="H61" s="310"/>
      <c r="I61" s="311"/>
      <c r="J61" s="312"/>
      <c r="K61" s="311"/>
      <c r="L61" s="311"/>
      <c r="M61" s="312"/>
      <c r="N61" s="312">
        <f>_xlfn.XLOOKUP(CONCATENATE(tblPiNAnalysis[[#This Row],[Admin 2 P-Code]],tblPiNAnalysis[[#This Row],[Population Group]]),'Overall severity &amp; PIN Analysis'!A:A,'Overall severity &amp; PIN Analysis'!P:P,0,0)</f>
        <v>19288</v>
      </c>
      <c r="O61" s="311"/>
      <c r="P61" s="312"/>
      <c r="Q61" s="312"/>
      <c r="R61" s="312"/>
      <c r="S61" s="312"/>
      <c r="T61" s="313" t="str">
        <f>IF(tblPiNAnalysis[[#This Row],[Site Management ]]="", "", tblPiNAnalysis[[#This Row],[Site Management ]]/tblPiNAnalysis[[#This Row],[Total Population]])</f>
        <v/>
      </c>
      <c r="U61" s="314" t="str">
        <f>IF(tblPiNAnalysis[[#This Row],[Education]]="", "", tblPiNAnalysis[[#This Row],[Education]]/tblPiNAnalysis[[#This Row],[Total Population]])</f>
        <v/>
      </c>
      <c r="V61" s="314" t="str">
        <f>IF(tblPiNAnalysis[[#This Row],[Food Security and Livlihoods]]="", "", tblPiNAnalysis[[#This Row],[Food Security and Livlihoods]]/tblPiNAnalysis[[#This Row],[Total Population]])</f>
        <v/>
      </c>
      <c r="W61" s="315" t="str">
        <f>IF(tblPiNAnalysis[[#This Row],[Health ]]="", "", tblPiNAnalysis[[#This Row],[Health ]]/tblPiNAnalysis[[#This Row],[Total Population]])</f>
        <v/>
      </c>
      <c r="X61" s="314" t="str">
        <f>IF(tblPiNAnalysis[[#This Row],[Nutrition]]="", "", tblPiNAnalysis[[#This Row],[Nutrition]]/tblPiNAnalysis[[#This Row],[Total Population]])</f>
        <v/>
      </c>
      <c r="Y61" s="314" t="str">
        <f>IF(tblPiNAnalysis[[#This Row],[Protection]]="", "", tblPiNAnalysis[[#This Row],[Protection]]/tblPiNAnalysis[[#This Row],[Total Population]])</f>
        <v/>
      </c>
      <c r="Z61" s="316">
        <f>IF(tblPiNAnalysis[[#This Row],[Shelter NFI ]]="", "", tblPiNAnalysis[[#This Row],[Shelter NFI ]]/tblPiNAnalysis[[#This Row],[Total Population]])</f>
        <v>0.4991718426501035</v>
      </c>
      <c r="AA61" s="317" t="str">
        <f>IF(tblPiNAnalysis[[#This Row],[WASH]]="", "", tblPiNAnalysis[[#This Row],[WASH]]/tblPiNAnalysis[[#This Row],[Total Population]])</f>
        <v/>
      </c>
      <c r="AB61" s="318" t="str">
        <f>IFERROR(IF(tblPiNAnalysis[[#This Row],[CP]]="", "", MROUND(tblPiNAnalysis[[#This Row],[CP]]/tblPiNAnalysis[[#This Row],[Total Population]], 0.05)), "")</f>
        <v/>
      </c>
      <c r="AC61" s="314" t="str">
        <f>IFERROR(IF(tblPiNAnalysis[[#This Row],[GBV]]="", "", MROUND(tblPiNAnalysis[[#This Row],[GBV]]/tblPiNAnalysis[[#This Row],[Total Population]], 0.05)), "")</f>
        <v/>
      </c>
      <c r="AD61" s="314" t="str">
        <f>IFERROR(IF(tblPiNAnalysis[[#This Row],[Mine Action]]="", "", MROUND(tblPiNAnalysis[[#This Row],[Mine Action]]/tblPiNAnalysis[[#This Row],[Total Population]], 0.05)), "")</f>
        <v/>
      </c>
      <c r="AE61" s="314" t="str">
        <f>IFERROR(IF(tblPiNAnalysis[[#This Row],[General Protection]]="", "", MROUND(tblPiNAnalysis[[#This Row],[General Protection]]/tblPiNAnalysis[[#This Row],[Total Population]], 0.05)), "")</f>
        <v/>
      </c>
      <c r="AF61" s="319">
        <f>IFERROR(LARGE(tblPiNAnalysis[[#This Row],[Site Management ]:[General Protection]], 1), "")</f>
        <v>19288</v>
      </c>
      <c r="AG61" s="320">
        <f>IF(tblPiNAnalysis[[#This Row],[Highest PiN]]="", "",tblPiNAnalysis[[#This Row],[Highest PiN]]/ tblPiNAnalysis[[#This Row],[Total Population]])</f>
        <v>0.4991718426501035</v>
      </c>
      <c r="AH61" s="320" t="str">
        <f>IFERROR(IF(tblPiNAnalysis[[#This Row],[Highest PiN]]="", "", IF(tblPiNAnalysis[[#This Row],[Highest sector(s'') PiN %]]&gt;=flag_pin_perc, "Flagged", "")), "")</f>
        <v/>
      </c>
      <c r="AI61" s="321"/>
      <c r="AJ61" s="322"/>
      <c r="AK61" s="323">
        <f>COUNTIFS(tblPiNAnalysis[[#This Row],[Highest PiN greater than 90% of total affected population]:[Manual Flag]],"Flagged")</f>
        <v>0</v>
      </c>
      <c r="AL61" s="324" t="str">
        <f>IF(tblPiNAnalysis[[#This Row],['# Flags]]&gt;0, "Flagged", "")</f>
        <v/>
      </c>
    </row>
    <row r="62" spans="1:38" ht="23.1" hidden="1" customHeight="1" x14ac:dyDescent="0.2">
      <c r="A62" s="309" t="str">
        <f>_xlfn.CONCAT(IF(tblPiNAnalysis[[#This Row],[Population Group]]="", "",tblPiNAnalysis[[#This Row],[Population Group]] ), _xlfn.IFS(tblPiNAnalysis[[#This Row],[Admin 2 P-Code]]&lt;&gt;"", tblPiNAnalysis[[#This Row],[Admin 2 P-Code]], tblPiNAnalysis[[#This Row],[Admin 1 P-Code]]&lt;&gt;"", tblPiNAnalysis[[#This Row],[Admin 1 P-Code]]))</f>
        <v>IDPsSD02136</v>
      </c>
      <c r="B62" s="245" t="s">
        <v>167</v>
      </c>
      <c r="C62" s="246" t="s">
        <v>119</v>
      </c>
      <c r="D62" s="247" t="s">
        <v>221</v>
      </c>
      <c r="E62" s="246" t="s">
        <v>220</v>
      </c>
      <c r="F62" s="248">
        <v>38640</v>
      </c>
      <c r="G62" s="248" t="s">
        <v>88</v>
      </c>
      <c r="H62" s="310"/>
      <c r="I62" s="311"/>
      <c r="J62" s="312"/>
      <c r="K62" s="311"/>
      <c r="L62" s="311"/>
      <c r="M62" s="312"/>
      <c r="N62" s="312">
        <f>_xlfn.XLOOKUP(CONCATENATE(tblPiNAnalysis[[#This Row],[Admin 2 P-Code]],tblPiNAnalysis[[#This Row],[Population Group]]),'Overall severity &amp; PIN Analysis'!A:A,'Overall severity &amp; PIN Analysis'!P:P,0,0)</f>
        <v>19288</v>
      </c>
      <c r="O62" s="311"/>
      <c r="P62" s="312"/>
      <c r="Q62" s="312"/>
      <c r="R62" s="312"/>
      <c r="S62" s="312"/>
      <c r="T62" s="313" t="str">
        <f>IF(tblPiNAnalysis[[#This Row],[Site Management ]]="", "", tblPiNAnalysis[[#This Row],[Site Management ]]/tblPiNAnalysis[[#This Row],[Total Population]])</f>
        <v/>
      </c>
      <c r="U62" s="314" t="str">
        <f>IF(tblPiNAnalysis[[#This Row],[Education]]="", "", tblPiNAnalysis[[#This Row],[Education]]/tblPiNAnalysis[[#This Row],[Total Population]])</f>
        <v/>
      </c>
      <c r="V62" s="314" t="str">
        <f>IF(tblPiNAnalysis[[#This Row],[Food Security and Livlihoods]]="", "", tblPiNAnalysis[[#This Row],[Food Security and Livlihoods]]/tblPiNAnalysis[[#This Row],[Total Population]])</f>
        <v/>
      </c>
      <c r="W62" s="315" t="str">
        <f>IF(tblPiNAnalysis[[#This Row],[Health ]]="", "", tblPiNAnalysis[[#This Row],[Health ]]/tblPiNAnalysis[[#This Row],[Total Population]])</f>
        <v/>
      </c>
      <c r="X62" s="314" t="str">
        <f>IF(tblPiNAnalysis[[#This Row],[Nutrition]]="", "", tblPiNAnalysis[[#This Row],[Nutrition]]/tblPiNAnalysis[[#This Row],[Total Population]])</f>
        <v/>
      </c>
      <c r="Y62" s="314" t="str">
        <f>IF(tblPiNAnalysis[[#This Row],[Protection]]="", "", tblPiNAnalysis[[#This Row],[Protection]]/tblPiNAnalysis[[#This Row],[Total Population]])</f>
        <v/>
      </c>
      <c r="Z62" s="316">
        <f>IF(tblPiNAnalysis[[#This Row],[Shelter NFI ]]="", "", tblPiNAnalysis[[#This Row],[Shelter NFI ]]/tblPiNAnalysis[[#This Row],[Total Population]])</f>
        <v>0.4991718426501035</v>
      </c>
      <c r="AA62" s="317" t="str">
        <f>IF(tblPiNAnalysis[[#This Row],[WASH]]="", "", tblPiNAnalysis[[#This Row],[WASH]]/tblPiNAnalysis[[#This Row],[Total Population]])</f>
        <v/>
      </c>
      <c r="AB62" s="318" t="str">
        <f>IFERROR(IF(tblPiNAnalysis[[#This Row],[CP]]="", "", MROUND(tblPiNAnalysis[[#This Row],[CP]]/tblPiNAnalysis[[#This Row],[Total Population]], 0.05)), "")</f>
        <v/>
      </c>
      <c r="AC62" s="314" t="str">
        <f>IFERROR(IF(tblPiNAnalysis[[#This Row],[GBV]]="", "", MROUND(tblPiNAnalysis[[#This Row],[GBV]]/tblPiNAnalysis[[#This Row],[Total Population]], 0.05)), "")</f>
        <v/>
      </c>
      <c r="AD62" s="314" t="str">
        <f>IFERROR(IF(tblPiNAnalysis[[#This Row],[Mine Action]]="", "", MROUND(tblPiNAnalysis[[#This Row],[Mine Action]]/tblPiNAnalysis[[#This Row],[Total Population]], 0.05)), "")</f>
        <v/>
      </c>
      <c r="AE62" s="314" t="str">
        <f>IFERROR(IF(tblPiNAnalysis[[#This Row],[General Protection]]="", "", MROUND(tblPiNAnalysis[[#This Row],[General Protection]]/tblPiNAnalysis[[#This Row],[Total Population]], 0.05)), "")</f>
        <v/>
      </c>
      <c r="AF62" s="319">
        <f>IFERROR(LARGE(tblPiNAnalysis[[#This Row],[Site Management ]:[General Protection]], 1), "")</f>
        <v>19288</v>
      </c>
      <c r="AG62" s="320">
        <f>IF(tblPiNAnalysis[[#This Row],[Highest PiN]]="", "",tblPiNAnalysis[[#This Row],[Highest PiN]]/ tblPiNAnalysis[[#This Row],[Total Population]])</f>
        <v>0.4991718426501035</v>
      </c>
      <c r="AH62" s="320" t="str">
        <f>IFERROR(IF(tblPiNAnalysis[[#This Row],[Highest PiN]]="", "", IF(tblPiNAnalysis[[#This Row],[Highest sector(s'') PiN %]]&gt;=flag_pin_perc, "Flagged", "")), "")</f>
        <v/>
      </c>
      <c r="AI62" s="321"/>
      <c r="AJ62" s="322"/>
      <c r="AK62" s="323">
        <f>COUNTIFS(tblPiNAnalysis[[#This Row],[Highest PiN greater than 90% of total affected population]:[Manual Flag]],"Flagged")</f>
        <v>0</v>
      </c>
      <c r="AL62" s="324" t="str">
        <f>IF(tblPiNAnalysis[[#This Row],['# Flags]]&gt;0, "Flagged", "")</f>
        <v/>
      </c>
    </row>
    <row r="63" spans="1:38" ht="23.1" customHeight="1" x14ac:dyDescent="0.2">
      <c r="A63" s="309" t="str">
        <f>_xlfn.CONCAT(IF(tblPiNAnalysis[[#This Row],[Population Group]]="", "",tblPiNAnalysis[[#This Row],[Population Group]] ), _xlfn.IFS(tblPiNAnalysis[[#This Row],[Admin 2 P-Code]]&lt;&gt;"", tblPiNAnalysis[[#This Row],[Admin 2 P-Code]], tblPiNAnalysis[[#This Row],[Admin 1 P-Code]]&lt;&gt;"", tblPiNAnalysis[[#This Row],[Admin 1 P-Code]]))</f>
        <v>Non-hosting PopulationSD02136</v>
      </c>
      <c r="B63" s="245" t="s">
        <v>167</v>
      </c>
      <c r="C63" s="246" t="s">
        <v>119</v>
      </c>
      <c r="D63" s="247" t="s">
        <v>221</v>
      </c>
      <c r="E63" s="246" t="s">
        <v>220</v>
      </c>
      <c r="F63" s="248">
        <v>111176</v>
      </c>
      <c r="G63" s="248" t="s">
        <v>568</v>
      </c>
      <c r="H63" s="310"/>
      <c r="I63" s="311"/>
      <c r="J63" s="312"/>
      <c r="K63" s="311"/>
      <c r="L63" s="311"/>
      <c r="M63" s="312"/>
      <c r="N63" s="312">
        <f>_xlfn.XLOOKUP(CONCATENATE(tblPiNAnalysis[[#This Row],[Admin 2 P-Code]],tblPiNAnalysis[[#This Row],[Population Group]]),'Overall severity &amp; PIN Analysis'!A:A,'Overall severity &amp; PIN Analysis'!P:P,0,0)</f>
        <v>14249</v>
      </c>
      <c r="O63" s="311"/>
      <c r="P63" s="312"/>
      <c r="Q63" s="312"/>
      <c r="R63" s="312"/>
      <c r="S63" s="312"/>
      <c r="T63" s="313" t="str">
        <f>IF(tblPiNAnalysis[[#This Row],[Site Management ]]="", "", tblPiNAnalysis[[#This Row],[Site Management ]]/tblPiNAnalysis[[#This Row],[Total Population]])</f>
        <v/>
      </c>
      <c r="U63" s="314" t="str">
        <f>IF(tblPiNAnalysis[[#This Row],[Education]]="", "", tblPiNAnalysis[[#This Row],[Education]]/tblPiNAnalysis[[#This Row],[Total Population]])</f>
        <v/>
      </c>
      <c r="V63" s="314" t="str">
        <f>IF(tblPiNAnalysis[[#This Row],[Food Security and Livlihoods]]="", "", tblPiNAnalysis[[#This Row],[Food Security and Livlihoods]]/tblPiNAnalysis[[#This Row],[Total Population]])</f>
        <v/>
      </c>
      <c r="W63" s="315" t="str">
        <f>IF(tblPiNAnalysis[[#This Row],[Health ]]="", "", tblPiNAnalysis[[#This Row],[Health ]]/tblPiNAnalysis[[#This Row],[Total Population]])</f>
        <v/>
      </c>
      <c r="X63" s="314" t="str">
        <f>IF(tblPiNAnalysis[[#This Row],[Nutrition]]="", "", tblPiNAnalysis[[#This Row],[Nutrition]]/tblPiNAnalysis[[#This Row],[Total Population]])</f>
        <v/>
      </c>
      <c r="Y63" s="314" t="str">
        <f>IF(tblPiNAnalysis[[#This Row],[Protection]]="", "", tblPiNAnalysis[[#This Row],[Protection]]/tblPiNAnalysis[[#This Row],[Total Population]])</f>
        <v/>
      </c>
      <c r="Z63" s="316">
        <f>IF(tblPiNAnalysis[[#This Row],[Shelter NFI ]]="", "", tblPiNAnalysis[[#This Row],[Shelter NFI ]]/tblPiNAnalysis[[#This Row],[Total Population]])</f>
        <v>0.12816615096783479</v>
      </c>
      <c r="AA63" s="317" t="str">
        <f>IF(tblPiNAnalysis[[#This Row],[WASH]]="", "", tblPiNAnalysis[[#This Row],[WASH]]/tblPiNAnalysis[[#This Row],[Total Population]])</f>
        <v/>
      </c>
      <c r="AB63" s="318" t="str">
        <f>IFERROR(IF(tblPiNAnalysis[[#This Row],[CP]]="", "", MROUND(tblPiNAnalysis[[#This Row],[CP]]/tblPiNAnalysis[[#This Row],[Total Population]], 0.05)), "")</f>
        <v/>
      </c>
      <c r="AC63" s="314" t="str">
        <f>IFERROR(IF(tblPiNAnalysis[[#This Row],[GBV]]="", "", MROUND(tblPiNAnalysis[[#This Row],[GBV]]/tblPiNAnalysis[[#This Row],[Total Population]], 0.05)), "")</f>
        <v/>
      </c>
      <c r="AD63" s="314" t="str">
        <f>IFERROR(IF(tblPiNAnalysis[[#This Row],[Mine Action]]="", "", MROUND(tblPiNAnalysis[[#This Row],[Mine Action]]/tblPiNAnalysis[[#This Row],[Total Population]], 0.05)), "")</f>
        <v/>
      </c>
      <c r="AE63" s="314" t="str">
        <f>IFERROR(IF(tblPiNAnalysis[[#This Row],[General Protection]]="", "", MROUND(tblPiNAnalysis[[#This Row],[General Protection]]/tblPiNAnalysis[[#This Row],[Total Population]], 0.05)), "")</f>
        <v/>
      </c>
      <c r="AF63" s="319">
        <f>IFERROR(LARGE(tblPiNAnalysis[[#This Row],[Site Management ]:[General Protection]], 1), "")</f>
        <v>14249</v>
      </c>
      <c r="AG63" s="320">
        <f>IF(tblPiNAnalysis[[#This Row],[Highest PiN]]="", "",tblPiNAnalysis[[#This Row],[Highest PiN]]/ tblPiNAnalysis[[#This Row],[Total Population]])</f>
        <v>0.12816615096783479</v>
      </c>
      <c r="AH63" s="320" t="str">
        <f>IFERROR(IF(tblPiNAnalysis[[#This Row],[Highest PiN]]="", "", IF(tblPiNAnalysis[[#This Row],[Highest sector(s'') PiN %]]&gt;=flag_pin_perc, "Flagged", "")), "")</f>
        <v/>
      </c>
      <c r="AI63" s="321"/>
      <c r="AJ63" s="322"/>
      <c r="AK63" s="323">
        <f>COUNTIFS(tblPiNAnalysis[[#This Row],[Highest PiN greater than 90% of total affected population]:[Manual Flag]],"Flagged")</f>
        <v>0</v>
      </c>
      <c r="AL63" s="324" t="str">
        <f>IF(tblPiNAnalysis[[#This Row],['# Flags]]&gt;0, "Flagged", "")</f>
        <v/>
      </c>
    </row>
    <row r="64" spans="1:38" ht="23.1" hidden="1" customHeight="1" x14ac:dyDescent="0.2">
      <c r="A64" s="309" t="str">
        <f>_xlfn.CONCAT(IF(tblPiNAnalysis[[#This Row],[Population Group]]="", "",tblPiNAnalysis[[#This Row],[Population Group]] ), _xlfn.IFS(tblPiNAnalysis[[#This Row],[Admin 2 P-Code]]&lt;&gt;"", tblPiNAnalysis[[#This Row],[Admin 2 P-Code]], tblPiNAnalysis[[#This Row],[Admin 1 P-Code]]&lt;&gt;"", tblPiNAnalysis[[#This Row],[Admin 1 P-Code]]))</f>
        <v>Host CommunitySD02168</v>
      </c>
      <c r="B64" s="245" t="s">
        <v>167</v>
      </c>
      <c r="C64" s="246" t="s">
        <v>119</v>
      </c>
      <c r="D64" s="247" t="s">
        <v>223</v>
      </c>
      <c r="E64" s="246" t="s">
        <v>222</v>
      </c>
      <c r="F64" s="248">
        <v>1605</v>
      </c>
      <c r="G64" s="248" t="s">
        <v>87</v>
      </c>
      <c r="H64" s="310"/>
      <c r="I64" s="311"/>
      <c r="J64" s="312"/>
      <c r="K64" s="311"/>
      <c r="L64" s="311"/>
      <c r="M64" s="312"/>
      <c r="N64" s="312">
        <f>_xlfn.XLOOKUP(CONCATENATE(tblPiNAnalysis[[#This Row],[Admin 2 P-Code]],tblPiNAnalysis[[#This Row],[Population Group]]),'Overall severity &amp; PIN Analysis'!A:A,'Overall severity &amp; PIN Analysis'!P:P,0,0)</f>
        <v>436</v>
      </c>
      <c r="O64" s="311"/>
      <c r="P64" s="312"/>
      <c r="Q64" s="312"/>
      <c r="R64" s="312"/>
      <c r="S64" s="312"/>
      <c r="T64" s="313" t="str">
        <f>IF(tblPiNAnalysis[[#This Row],[Site Management ]]="", "", tblPiNAnalysis[[#This Row],[Site Management ]]/tblPiNAnalysis[[#This Row],[Total Population]])</f>
        <v/>
      </c>
      <c r="U64" s="314" t="str">
        <f>IF(tblPiNAnalysis[[#This Row],[Education]]="", "", tblPiNAnalysis[[#This Row],[Education]]/tblPiNAnalysis[[#This Row],[Total Population]])</f>
        <v/>
      </c>
      <c r="V64" s="314" t="str">
        <f>IF(tblPiNAnalysis[[#This Row],[Food Security and Livlihoods]]="", "", tblPiNAnalysis[[#This Row],[Food Security and Livlihoods]]/tblPiNAnalysis[[#This Row],[Total Population]])</f>
        <v/>
      </c>
      <c r="W64" s="315" t="str">
        <f>IF(tblPiNAnalysis[[#This Row],[Health ]]="", "", tblPiNAnalysis[[#This Row],[Health ]]/tblPiNAnalysis[[#This Row],[Total Population]])</f>
        <v/>
      </c>
      <c r="X64" s="314" t="str">
        <f>IF(tblPiNAnalysis[[#This Row],[Nutrition]]="", "", tblPiNAnalysis[[#This Row],[Nutrition]]/tblPiNAnalysis[[#This Row],[Total Population]])</f>
        <v/>
      </c>
      <c r="Y64" s="314" t="str">
        <f>IF(tblPiNAnalysis[[#This Row],[Protection]]="", "", tblPiNAnalysis[[#This Row],[Protection]]/tblPiNAnalysis[[#This Row],[Total Population]])</f>
        <v/>
      </c>
      <c r="Z64" s="316">
        <f>IF(tblPiNAnalysis[[#This Row],[Shelter NFI ]]="", "", tblPiNAnalysis[[#This Row],[Shelter NFI ]]/tblPiNAnalysis[[#This Row],[Total Population]])</f>
        <v>0.27165109034267915</v>
      </c>
      <c r="AA64" s="317" t="str">
        <f>IF(tblPiNAnalysis[[#This Row],[WASH]]="", "", tblPiNAnalysis[[#This Row],[WASH]]/tblPiNAnalysis[[#This Row],[Total Population]])</f>
        <v/>
      </c>
      <c r="AB64" s="318" t="str">
        <f>IFERROR(IF(tblPiNAnalysis[[#This Row],[CP]]="", "", MROUND(tblPiNAnalysis[[#This Row],[CP]]/tblPiNAnalysis[[#This Row],[Total Population]], 0.05)), "")</f>
        <v/>
      </c>
      <c r="AC64" s="314" t="str">
        <f>IFERROR(IF(tblPiNAnalysis[[#This Row],[GBV]]="", "", MROUND(tblPiNAnalysis[[#This Row],[GBV]]/tblPiNAnalysis[[#This Row],[Total Population]], 0.05)), "")</f>
        <v/>
      </c>
      <c r="AD64" s="314" t="str">
        <f>IFERROR(IF(tblPiNAnalysis[[#This Row],[Mine Action]]="", "", MROUND(tblPiNAnalysis[[#This Row],[Mine Action]]/tblPiNAnalysis[[#This Row],[Total Population]], 0.05)), "")</f>
        <v/>
      </c>
      <c r="AE64" s="314" t="str">
        <f>IFERROR(IF(tblPiNAnalysis[[#This Row],[General Protection]]="", "", MROUND(tblPiNAnalysis[[#This Row],[General Protection]]/tblPiNAnalysis[[#This Row],[Total Population]], 0.05)), "")</f>
        <v/>
      </c>
      <c r="AF64" s="319">
        <f>IFERROR(LARGE(tblPiNAnalysis[[#This Row],[Site Management ]:[General Protection]], 1), "")</f>
        <v>436</v>
      </c>
      <c r="AG64" s="320">
        <f>IF(tblPiNAnalysis[[#This Row],[Highest PiN]]="", "",tblPiNAnalysis[[#This Row],[Highest PiN]]/ tblPiNAnalysis[[#This Row],[Total Population]])</f>
        <v>0.27165109034267915</v>
      </c>
      <c r="AH64" s="320" t="str">
        <f>IFERROR(IF(tblPiNAnalysis[[#This Row],[Highest PiN]]="", "", IF(tblPiNAnalysis[[#This Row],[Highest sector(s'') PiN %]]&gt;=flag_pin_perc, "Flagged", "")), "")</f>
        <v/>
      </c>
      <c r="AI64" s="321"/>
      <c r="AJ64" s="322"/>
      <c r="AK64" s="323">
        <f>COUNTIFS(tblPiNAnalysis[[#This Row],[Highest PiN greater than 90% of total affected population]:[Manual Flag]],"Flagged")</f>
        <v>0</v>
      </c>
      <c r="AL64" s="324" t="str">
        <f>IF(tblPiNAnalysis[[#This Row],['# Flags]]&gt;0, "Flagged", "")</f>
        <v/>
      </c>
    </row>
    <row r="65" spans="1:38" ht="23.1" hidden="1" customHeight="1" x14ac:dyDescent="0.2">
      <c r="A65" s="309" t="str">
        <f>_xlfn.CONCAT(IF(tblPiNAnalysis[[#This Row],[Population Group]]="", "",tblPiNAnalysis[[#This Row],[Population Group]] ), _xlfn.IFS(tblPiNAnalysis[[#This Row],[Admin 2 P-Code]]&lt;&gt;"", tblPiNAnalysis[[#This Row],[Admin 2 P-Code]], tblPiNAnalysis[[#This Row],[Admin 1 P-Code]]&lt;&gt;"", tblPiNAnalysis[[#This Row],[Admin 1 P-Code]]))</f>
        <v>IDPsSD02168</v>
      </c>
      <c r="B65" s="245" t="s">
        <v>167</v>
      </c>
      <c r="C65" s="246" t="s">
        <v>119</v>
      </c>
      <c r="D65" s="247" t="s">
        <v>223</v>
      </c>
      <c r="E65" s="246" t="s">
        <v>222</v>
      </c>
      <c r="F65" s="248">
        <v>1605</v>
      </c>
      <c r="G65" s="248" t="s">
        <v>88</v>
      </c>
      <c r="H65" s="310"/>
      <c r="I65" s="311"/>
      <c r="J65" s="312"/>
      <c r="K65" s="311"/>
      <c r="L65" s="311"/>
      <c r="M65" s="312"/>
      <c r="N65" s="312">
        <f>_xlfn.XLOOKUP(CONCATENATE(tblPiNAnalysis[[#This Row],[Admin 2 P-Code]],tblPiNAnalysis[[#This Row],[Population Group]]),'Overall severity &amp; PIN Analysis'!A:A,'Overall severity &amp; PIN Analysis'!P:P,0,0)</f>
        <v>436</v>
      </c>
      <c r="O65" s="311"/>
      <c r="P65" s="312"/>
      <c r="Q65" s="312"/>
      <c r="R65" s="312"/>
      <c r="S65" s="312"/>
      <c r="T65" s="313" t="str">
        <f>IF(tblPiNAnalysis[[#This Row],[Site Management ]]="", "", tblPiNAnalysis[[#This Row],[Site Management ]]/tblPiNAnalysis[[#This Row],[Total Population]])</f>
        <v/>
      </c>
      <c r="U65" s="314" t="str">
        <f>IF(tblPiNAnalysis[[#This Row],[Education]]="", "", tblPiNAnalysis[[#This Row],[Education]]/tblPiNAnalysis[[#This Row],[Total Population]])</f>
        <v/>
      </c>
      <c r="V65" s="314" t="str">
        <f>IF(tblPiNAnalysis[[#This Row],[Food Security and Livlihoods]]="", "", tblPiNAnalysis[[#This Row],[Food Security and Livlihoods]]/tblPiNAnalysis[[#This Row],[Total Population]])</f>
        <v/>
      </c>
      <c r="W65" s="315" t="str">
        <f>IF(tblPiNAnalysis[[#This Row],[Health ]]="", "", tblPiNAnalysis[[#This Row],[Health ]]/tblPiNAnalysis[[#This Row],[Total Population]])</f>
        <v/>
      </c>
      <c r="X65" s="314" t="str">
        <f>IF(tblPiNAnalysis[[#This Row],[Nutrition]]="", "", tblPiNAnalysis[[#This Row],[Nutrition]]/tblPiNAnalysis[[#This Row],[Total Population]])</f>
        <v/>
      </c>
      <c r="Y65" s="314" t="str">
        <f>IF(tblPiNAnalysis[[#This Row],[Protection]]="", "", tblPiNAnalysis[[#This Row],[Protection]]/tblPiNAnalysis[[#This Row],[Total Population]])</f>
        <v/>
      </c>
      <c r="Z65" s="316">
        <f>IF(tblPiNAnalysis[[#This Row],[Shelter NFI ]]="", "", tblPiNAnalysis[[#This Row],[Shelter NFI ]]/tblPiNAnalysis[[#This Row],[Total Population]])</f>
        <v>0.27165109034267915</v>
      </c>
      <c r="AA65" s="317" t="str">
        <f>IF(tblPiNAnalysis[[#This Row],[WASH]]="", "", tblPiNAnalysis[[#This Row],[WASH]]/tblPiNAnalysis[[#This Row],[Total Population]])</f>
        <v/>
      </c>
      <c r="AB65" s="318" t="str">
        <f>IFERROR(IF(tblPiNAnalysis[[#This Row],[CP]]="", "", MROUND(tblPiNAnalysis[[#This Row],[CP]]/tblPiNAnalysis[[#This Row],[Total Population]], 0.05)), "")</f>
        <v/>
      </c>
      <c r="AC65" s="314" t="str">
        <f>IFERROR(IF(tblPiNAnalysis[[#This Row],[GBV]]="", "", MROUND(tblPiNAnalysis[[#This Row],[GBV]]/tblPiNAnalysis[[#This Row],[Total Population]], 0.05)), "")</f>
        <v/>
      </c>
      <c r="AD65" s="314" t="str">
        <f>IFERROR(IF(tblPiNAnalysis[[#This Row],[Mine Action]]="", "", MROUND(tblPiNAnalysis[[#This Row],[Mine Action]]/tblPiNAnalysis[[#This Row],[Total Population]], 0.05)), "")</f>
        <v/>
      </c>
      <c r="AE65" s="314" t="str">
        <f>IFERROR(IF(tblPiNAnalysis[[#This Row],[General Protection]]="", "", MROUND(tblPiNAnalysis[[#This Row],[General Protection]]/tblPiNAnalysis[[#This Row],[Total Population]], 0.05)), "")</f>
        <v/>
      </c>
      <c r="AF65" s="319">
        <f>IFERROR(LARGE(tblPiNAnalysis[[#This Row],[Site Management ]:[General Protection]], 1), "")</f>
        <v>436</v>
      </c>
      <c r="AG65" s="320">
        <f>IF(tblPiNAnalysis[[#This Row],[Highest PiN]]="", "",tblPiNAnalysis[[#This Row],[Highest PiN]]/ tblPiNAnalysis[[#This Row],[Total Population]])</f>
        <v>0.27165109034267915</v>
      </c>
      <c r="AH65" s="320" t="str">
        <f>IFERROR(IF(tblPiNAnalysis[[#This Row],[Highest PiN]]="", "", IF(tblPiNAnalysis[[#This Row],[Highest sector(s'') PiN %]]&gt;=flag_pin_perc, "Flagged", "")), "")</f>
        <v/>
      </c>
      <c r="AI65" s="321"/>
      <c r="AJ65" s="322"/>
      <c r="AK65" s="323">
        <f>COUNTIFS(tblPiNAnalysis[[#This Row],[Highest PiN greater than 90% of total affected population]:[Manual Flag]],"Flagged")</f>
        <v>0</v>
      </c>
      <c r="AL65" s="324" t="str">
        <f>IF(tblPiNAnalysis[[#This Row],['# Flags]]&gt;0, "Flagged", "")</f>
        <v/>
      </c>
    </row>
    <row r="66" spans="1:38" ht="23.1" customHeight="1" x14ac:dyDescent="0.2">
      <c r="A66" s="309" t="str">
        <f>_xlfn.CONCAT(IF(tblPiNAnalysis[[#This Row],[Population Group]]="", "",tblPiNAnalysis[[#This Row],[Population Group]] ), _xlfn.IFS(tblPiNAnalysis[[#This Row],[Admin 2 P-Code]]&lt;&gt;"", tblPiNAnalysis[[#This Row],[Admin 2 P-Code]], tblPiNAnalysis[[#This Row],[Admin 1 P-Code]]&lt;&gt;"", tblPiNAnalysis[[#This Row],[Admin 1 P-Code]]))</f>
        <v>Non-hosting PopulationSD02168</v>
      </c>
      <c r="B66" s="245" t="s">
        <v>167</v>
      </c>
      <c r="C66" s="246" t="s">
        <v>119</v>
      </c>
      <c r="D66" s="247" t="s">
        <v>223</v>
      </c>
      <c r="E66" s="246" t="s">
        <v>222</v>
      </c>
      <c r="F66" s="248">
        <v>141930</v>
      </c>
      <c r="G66" s="248" t="s">
        <v>568</v>
      </c>
      <c r="H66" s="310"/>
      <c r="I66" s="311"/>
      <c r="J66" s="312"/>
      <c r="K66" s="311"/>
      <c r="L66" s="311"/>
      <c r="M66" s="312"/>
      <c r="N66" s="312">
        <f>_xlfn.XLOOKUP(CONCATENATE(tblPiNAnalysis[[#This Row],[Admin 2 P-Code]],tblPiNAnalysis[[#This Row],[Population Group]]),'Overall severity &amp; PIN Analysis'!A:A,'Overall severity &amp; PIN Analysis'!P:P,0,0)</f>
        <v>1043</v>
      </c>
      <c r="O66" s="311"/>
      <c r="P66" s="312"/>
      <c r="Q66" s="312"/>
      <c r="R66" s="312"/>
      <c r="S66" s="312"/>
      <c r="T66" s="313" t="str">
        <f>IF(tblPiNAnalysis[[#This Row],[Site Management ]]="", "", tblPiNAnalysis[[#This Row],[Site Management ]]/tblPiNAnalysis[[#This Row],[Total Population]])</f>
        <v/>
      </c>
      <c r="U66" s="314" t="str">
        <f>IF(tblPiNAnalysis[[#This Row],[Education]]="", "", tblPiNAnalysis[[#This Row],[Education]]/tblPiNAnalysis[[#This Row],[Total Population]])</f>
        <v/>
      </c>
      <c r="V66" s="314" t="str">
        <f>IF(tblPiNAnalysis[[#This Row],[Food Security and Livlihoods]]="", "", tblPiNAnalysis[[#This Row],[Food Security and Livlihoods]]/tblPiNAnalysis[[#This Row],[Total Population]])</f>
        <v/>
      </c>
      <c r="W66" s="315" t="str">
        <f>IF(tblPiNAnalysis[[#This Row],[Health ]]="", "", tblPiNAnalysis[[#This Row],[Health ]]/tblPiNAnalysis[[#This Row],[Total Population]])</f>
        <v/>
      </c>
      <c r="X66" s="314" t="str">
        <f>IF(tblPiNAnalysis[[#This Row],[Nutrition]]="", "", tblPiNAnalysis[[#This Row],[Nutrition]]/tblPiNAnalysis[[#This Row],[Total Population]])</f>
        <v/>
      </c>
      <c r="Y66" s="314" t="str">
        <f>IF(tblPiNAnalysis[[#This Row],[Protection]]="", "", tblPiNAnalysis[[#This Row],[Protection]]/tblPiNAnalysis[[#This Row],[Total Population]])</f>
        <v/>
      </c>
      <c r="Z66" s="316">
        <f>IF(tblPiNAnalysis[[#This Row],[Shelter NFI ]]="", "", tblPiNAnalysis[[#This Row],[Shelter NFI ]]/tblPiNAnalysis[[#This Row],[Total Population]])</f>
        <v>7.3486930176847745E-3</v>
      </c>
      <c r="AA66" s="317" t="str">
        <f>IF(tblPiNAnalysis[[#This Row],[WASH]]="", "", tblPiNAnalysis[[#This Row],[WASH]]/tblPiNAnalysis[[#This Row],[Total Population]])</f>
        <v/>
      </c>
      <c r="AB66" s="318" t="str">
        <f>IFERROR(IF(tblPiNAnalysis[[#This Row],[CP]]="", "", MROUND(tblPiNAnalysis[[#This Row],[CP]]/tblPiNAnalysis[[#This Row],[Total Population]], 0.05)), "")</f>
        <v/>
      </c>
      <c r="AC66" s="314" t="str">
        <f>IFERROR(IF(tblPiNAnalysis[[#This Row],[GBV]]="", "", MROUND(tblPiNAnalysis[[#This Row],[GBV]]/tblPiNAnalysis[[#This Row],[Total Population]], 0.05)), "")</f>
        <v/>
      </c>
      <c r="AD66" s="314" t="str">
        <f>IFERROR(IF(tblPiNAnalysis[[#This Row],[Mine Action]]="", "", MROUND(tblPiNAnalysis[[#This Row],[Mine Action]]/tblPiNAnalysis[[#This Row],[Total Population]], 0.05)), "")</f>
        <v/>
      </c>
      <c r="AE66" s="314" t="str">
        <f>IFERROR(IF(tblPiNAnalysis[[#This Row],[General Protection]]="", "", MROUND(tblPiNAnalysis[[#This Row],[General Protection]]/tblPiNAnalysis[[#This Row],[Total Population]], 0.05)), "")</f>
        <v/>
      </c>
      <c r="AF66" s="319">
        <f>IFERROR(LARGE(tblPiNAnalysis[[#This Row],[Site Management ]:[General Protection]], 1), "")</f>
        <v>1043</v>
      </c>
      <c r="AG66" s="320">
        <f>IF(tblPiNAnalysis[[#This Row],[Highest PiN]]="", "",tblPiNAnalysis[[#This Row],[Highest PiN]]/ tblPiNAnalysis[[#This Row],[Total Population]])</f>
        <v>7.3486930176847745E-3</v>
      </c>
      <c r="AH66" s="320" t="str">
        <f>IFERROR(IF(tblPiNAnalysis[[#This Row],[Highest PiN]]="", "", IF(tblPiNAnalysis[[#This Row],[Highest sector(s'') PiN %]]&gt;=flag_pin_perc, "Flagged", "")), "")</f>
        <v/>
      </c>
      <c r="AI66" s="321"/>
      <c r="AJ66" s="322"/>
      <c r="AK66" s="323">
        <f>COUNTIFS(tblPiNAnalysis[[#This Row],[Highest PiN greater than 90% of total affected population]:[Manual Flag]],"Flagged")</f>
        <v>0</v>
      </c>
      <c r="AL66" s="324" t="str">
        <f>IF(tblPiNAnalysis[[#This Row],['# Flags]]&gt;0, "Flagged", "")</f>
        <v/>
      </c>
    </row>
    <row r="67" spans="1:38" ht="23.1" hidden="1" customHeight="1" x14ac:dyDescent="0.2">
      <c r="A67" s="309" t="str">
        <f>_xlfn.CONCAT(IF(tblPiNAnalysis[[#This Row],[Population Group]]="", "",tblPiNAnalysis[[#This Row],[Population Group]] ), _xlfn.IFS(tblPiNAnalysis[[#This Row],[Admin 2 P-Code]]&lt;&gt;"", tblPiNAnalysis[[#This Row],[Admin 2 P-Code]], tblPiNAnalysis[[#This Row],[Admin 1 P-Code]]&lt;&gt;"", tblPiNAnalysis[[#This Row],[Admin 1 P-Code]]))</f>
        <v>Host CommunitySD02169</v>
      </c>
      <c r="B67" s="245" t="s">
        <v>167</v>
      </c>
      <c r="C67" s="246" t="s">
        <v>119</v>
      </c>
      <c r="D67" s="247" t="s">
        <v>225</v>
      </c>
      <c r="E67" s="246" t="s">
        <v>224</v>
      </c>
      <c r="F67" s="248">
        <v>32363</v>
      </c>
      <c r="G67" s="248" t="s">
        <v>87</v>
      </c>
      <c r="H67" s="310"/>
      <c r="I67" s="311"/>
      <c r="J67" s="312"/>
      <c r="K67" s="311"/>
      <c r="L67" s="311"/>
      <c r="M67" s="312"/>
      <c r="N67" s="312">
        <f>_xlfn.XLOOKUP(CONCATENATE(tblPiNAnalysis[[#This Row],[Admin 2 P-Code]],tblPiNAnalysis[[#This Row],[Population Group]]),'Overall severity &amp; PIN Analysis'!A:A,'Overall severity &amp; PIN Analysis'!P:P,0,0)</f>
        <v>20237</v>
      </c>
      <c r="O67" s="311"/>
      <c r="P67" s="312"/>
      <c r="Q67" s="312"/>
      <c r="R67" s="312"/>
      <c r="S67" s="312"/>
      <c r="T67" s="313" t="str">
        <f>IF(tblPiNAnalysis[[#This Row],[Site Management ]]="", "", tblPiNAnalysis[[#This Row],[Site Management ]]/tblPiNAnalysis[[#This Row],[Total Population]])</f>
        <v/>
      </c>
      <c r="U67" s="314" t="str">
        <f>IF(tblPiNAnalysis[[#This Row],[Education]]="", "", tblPiNAnalysis[[#This Row],[Education]]/tblPiNAnalysis[[#This Row],[Total Population]])</f>
        <v/>
      </c>
      <c r="V67" s="314" t="str">
        <f>IF(tblPiNAnalysis[[#This Row],[Food Security and Livlihoods]]="", "", tblPiNAnalysis[[#This Row],[Food Security and Livlihoods]]/tblPiNAnalysis[[#This Row],[Total Population]])</f>
        <v/>
      </c>
      <c r="W67" s="315" t="str">
        <f>IF(tblPiNAnalysis[[#This Row],[Health ]]="", "", tblPiNAnalysis[[#This Row],[Health ]]/tblPiNAnalysis[[#This Row],[Total Population]])</f>
        <v/>
      </c>
      <c r="X67" s="314" t="str">
        <f>IF(tblPiNAnalysis[[#This Row],[Nutrition]]="", "", tblPiNAnalysis[[#This Row],[Nutrition]]/tblPiNAnalysis[[#This Row],[Total Population]])</f>
        <v/>
      </c>
      <c r="Y67" s="314" t="str">
        <f>IF(tblPiNAnalysis[[#This Row],[Protection]]="", "", tblPiNAnalysis[[#This Row],[Protection]]/tblPiNAnalysis[[#This Row],[Total Population]])</f>
        <v/>
      </c>
      <c r="Z67" s="316">
        <f>IF(tblPiNAnalysis[[#This Row],[Shelter NFI ]]="", "", tblPiNAnalysis[[#This Row],[Shelter NFI ]]/tblPiNAnalysis[[#This Row],[Total Population]])</f>
        <v>0.62531285727528352</v>
      </c>
      <c r="AA67" s="317" t="str">
        <f>IF(tblPiNAnalysis[[#This Row],[WASH]]="", "", tblPiNAnalysis[[#This Row],[WASH]]/tblPiNAnalysis[[#This Row],[Total Population]])</f>
        <v/>
      </c>
      <c r="AB67" s="318" t="str">
        <f>IFERROR(IF(tblPiNAnalysis[[#This Row],[CP]]="", "", MROUND(tblPiNAnalysis[[#This Row],[CP]]/tblPiNAnalysis[[#This Row],[Total Population]], 0.05)), "")</f>
        <v/>
      </c>
      <c r="AC67" s="314" t="str">
        <f>IFERROR(IF(tblPiNAnalysis[[#This Row],[GBV]]="", "", MROUND(tblPiNAnalysis[[#This Row],[GBV]]/tblPiNAnalysis[[#This Row],[Total Population]], 0.05)), "")</f>
        <v/>
      </c>
      <c r="AD67" s="314" t="str">
        <f>IFERROR(IF(tblPiNAnalysis[[#This Row],[Mine Action]]="", "", MROUND(tblPiNAnalysis[[#This Row],[Mine Action]]/tblPiNAnalysis[[#This Row],[Total Population]], 0.05)), "")</f>
        <v/>
      </c>
      <c r="AE67" s="314" t="str">
        <f>IFERROR(IF(tblPiNAnalysis[[#This Row],[General Protection]]="", "", MROUND(tblPiNAnalysis[[#This Row],[General Protection]]/tblPiNAnalysis[[#This Row],[Total Population]], 0.05)), "")</f>
        <v/>
      </c>
      <c r="AF67" s="319">
        <f>IFERROR(LARGE(tblPiNAnalysis[[#This Row],[Site Management ]:[General Protection]], 1), "")</f>
        <v>20237</v>
      </c>
      <c r="AG67" s="320">
        <f>IF(tblPiNAnalysis[[#This Row],[Highest PiN]]="", "",tblPiNAnalysis[[#This Row],[Highest PiN]]/ tblPiNAnalysis[[#This Row],[Total Population]])</f>
        <v>0.62531285727528352</v>
      </c>
      <c r="AH67" s="320" t="str">
        <f>IFERROR(IF(tblPiNAnalysis[[#This Row],[Highest PiN]]="", "", IF(tblPiNAnalysis[[#This Row],[Highest sector(s'') PiN %]]&gt;=flag_pin_perc, "Flagged", "")), "")</f>
        <v/>
      </c>
      <c r="AI67" s="321"/>
      <c r="AJ67" s="322"/>
      <c r="AK67" s="323">
        <f>COUNTIFS(tblPiNAnalysis[[#This Row],[Highest PiN greater than 90% of total affected population]:[Manual Flag]],"Flagged")</f>
        <v>0</v>
      </c>
      <c r="AL67" s="324" t="str">
        <f>IF(tblPiNAnalysis[[#This Row],['# Flags]]&gt;0, "Flagged", "")</f>
        <v/>
      </c>
    </row>
    <row r="68" spans="1:38" ht="23.1" hidden="1" customHeight="1" x14ac:dyDescent="0.2">
      <c r="A68" s="309" t="str">
        <f>_xlfn.CONCAT(IF(tblPiNAnalysis[[#This Row],[Population Group]]="", "",tblPiNAnalysis[[#This Row],[Population Group]] ), _xlfn.IFS(tblPiNAnalysis[[#This Row],[Admin 2 P-Code]]&lt;&gt;"", tblPiNAnalysis[[#This Row],[Admin 2 P-Code]], tblPiNAnalysis[[#This Row],[Admin 1 P-Code]]&lt;&gt;"", tblPiNAnalysis[[#This Row],[Admin 1 P-Code]]))</f>
        <v>IDPsSD02169</v>
      </c>
      <c r="B68" s="245" t="s">
        <v>167</v>
      </c>
      <c r="C68" s="246" t="s">
        <v>119</v>
      </c>
      <c r="D68" s="247" t="s">
        <v>225</v>
      </c>
      <c r="E68" s="246" t="s">
        <v>224</v>
      </c>
      <c r="F68" s="248">
        <v>13663</v>
      </c>
      <c r="G68" s="248" t="s">
        <v>88</v>
      </c>
      <c r="H68" s="310"/>
      <c r="I68" s="311"/>
      <c r="J68" s="312"/>
      <c r="K68" s="311"/>
      <c r="L68" s="311"/>
      <c r="M68" s="312"/>
      <c r="N68" s="312">
        <f>_xlfn.XLOOKUP(CONCATENATE(tblPiNAnalysis[[#This Row],[Admin 2 P-Code]],tblPiNAnalysis[[#This Row],[Population Group]]),'Overall severity &amp; PIN Analysis'!A:A,'Overall severity &amp; PIN Analysis'!P:P,0,0)</f>
        <v>8544</v>
      </c>
      <c r="O68" s="311"/>
      <c r="P68" s="312"/>
      <c r="Q68" s="312"/>
      <c r="R68" s="312"/>
      <c r="S68" s="312"/>
      <c r="T68" s="313" t="str">
        <f>IF(tblPiNAnalysis[[#This Row],[Site Management ]]="", "", tblPiNAnalysis[[#This Row],[Site Management ]]/tblPiNAnalysis[[#This Row],[Total Population]])</f>
        <v/>
      </c>
      <c r="U68" s="314" t="str">
        <f>IF(tblPiNAnalysis[[#This Row],[Education]]="", "", tblPiNAnalysis[[#This Row],[Education]]/tblPiNAnalysis[[#This Row],[Total Population]])</f>
        <v/>
      </c>
      <c r="V68" s="314" t="str">
        <f>IF(tblPiNAnalysis[[#This Row],[Food Security and Livlihoods]]="", "", tblPiNAnalysis[[#This Row],[Food Security and Livlihoods]]/tblPiNAnalysis[[#This Row],[Total Population]])</f>
        <v/>
      </c>
      <c r="W68" s="315" t="str">
        <f>IF(tblPiNAnalysis[[#This Row],[Health ]]="", "", tblPiNAnalysis[[#This Row],[Health ]]/tblPiNAnalysis[[#This Row],[Total Population]])</f>
        <v/>
      </c>
      <c r="X68" s="314" t="str">
        <f>IF(tblPiNAnalysis[[#This Row],[Nutrition]]="", "", tblPiNAnalysis[[#This Row],[Nutrition]]/tblPiNAnalysis[[#This Row],[Total Population]])</f>
        <v/>
      </c>
      <c r="Y68" s="314" t="str">
        <f>IF(tblPiNAnalysis[[#This Row],[Protection]]="", "", tblPiNAnalysis[[#This Row],[Protection]]/tblPiNAnalysis[[#This Row],[Total Population]])</f>
        <v/>
      </c>
      <c r="Z68" s="316">
        <f>IF(tblPiNAnalysis[[#This Row],[Shelter NFI ]]="", "", tblPiNAnalysis[[#This Row],[Shelter NFI ]]/tblPiNAnalysis[[#This Row],[Total Population]])</f>
        <v>0.62533850545268244</v>
      </c>
      <c r="AA68" s="317" t="str">
        <f>IF(tblPiNAnalysis[[#This Row],[WASH]]="", "", tblPiNAnalysis[[#This Row],[WASH]]/tblPiNAnalysis[[#This Row],[Total Population]])</f>
        <v/>
      </c>
      <c r="AB68" s="318" t="str">
        <f>IFERROR(IF(tblPiNAnalysis[[#This Row],[CP]]="", "", MROUND(tblPiNAnalysis[[#This Row],[CP]]/tblPiNAnalysis[[#This Row],[Total Population]], 0.05)), "")</f>
        <v/>
      </c>
      <c r="AC68" s="314" t="str">
        <f>IFERROR(IF(tblPiNAnalysis[[#This Row],[GBV]]="", "", MROUND(tblPiNAnalysis[[#This Row],[GBV]]/tblPiNAnalysis[[#This Row],[Total Population]], 0.05)), "")</f>
        <v/>
      </c>
      <c r="AD68" s="314" t="str">
        <f>IFERROR(IF(tblPiNAnalysis[[#This Row],[Mine Action]]="", "", MROUND(tblPiNAnalysis[[#This Row],[Mine Action]]/tblPiNAnalysis[[#This Row],[Total Population]], 0.05)), "")</f>
        <v/>
      </c>
      <c r="AE68" s="314" t="str">
        <f>IFERROR(IF(tblPiNAnalysis[[#This Row],[General Protection]]="", "", MROUND(tblPiNAnalysis[[#This Row],[General Protection]]/tblPiNAnalysis[[#This Row],[Total Population]], 0.05)), "")</f>
        <v/>
      </c>
      <c r="AF68" s="319">
        <f>IFERROR(LARGE(tblPiNAnalysis[[#This Row],[Site Management ]:[General Protection]], 1), "")</f>
        <v>8544</v>
      </c>
      <c r="AG68" s="320">
        <f>IF(tblPiNAnalysis[[#This Row],[Highest PiN]]="", "",tblPiNAnalysis[[#This Row],[Highest PiN]]/ tblPiNAnalysis[[#This Row],[Total Population]])</f>
        <v>0.62533850545268244</v>
      </c>
      <c r="AH68" s="320" t="str">
        <f>IFERROR(IF(tblPiNAnalysis[[#This Row],[Highest PiN]]="", "", IF(tblPiNAnalysis[[#This Row],[Highest sector(s'') PiN %]]&gt;=flag_pin_perc, "Flagged", "")), "")</f>
        <v/>
      </c>
      <c r="AI68" s="321"/>
      <c r="AJ68" s="322"/>
      <c r="AK68" s="323">
        <f>COUNTIFS(tblPiNAnalysis[[#This Row],[Highest PiN greater than 90% of total affected population]:[Manual Flag]],"Flagged")</f>
        <v>0</v>
      </c>
      <c r="AL68" s="324" t="str">
        <f>IF(tblPiNAnalysis[[#This Row],['# Flags]]&gt;0, "Flagged", "")</f>
        <v/>
      </c>
    </row>
    <row r="69" spans="1:38" ht="23.1" customHeight="1" x14ac:dyDescent="0.2">
      <c r="A69" s="309" t="str">
        <f>_xlfn.CONCAT(IF(tblPiNAnalysis[[#This Row],[Population Group]]="", "",tblPiNAnalysis[[#This Row],[Population Group]] ), _xlfn.IFS(tblPiNAnalysis[[#This Row],[Admin 2 P-Code]]&lt;&gt;"", tblPiNAnalysis[[#This Row],[Admin 2 P-Code]], tblPiNAnalysis[[#This Row],[Admin 1 P-Code]]&lt;&gt;"", tblPiNAnalysis[[#This Row],[Admin 1 P-Code]]))</f>
        <v>Non-hosting PopulationSD02169</v>
      </c>
      <c r="B69" s="245" t="s">
        <v>167</v>
      </c>
      <c r="C69" s="246" t="s">
        <v>119</v>
      </c>
      <c r="D69" s="247" t="s">
        <v>225</v>
      </c>
      <c r="E69" s="246" t="s">
        <v>224</v>
      </c>
      <c r="F69" s="248">
        <v>123533</v>
      </c>
      <c r="G69" s="248" t="s">
        <v>568</v>
      </c>
      <c r="H69" s="310"/>
      <c r="I69" s="311"/>
      <c r="J69" s="312"/>
      <c r="K69" s="311"/>
      <c r="L69" s="311"/>
      <c r="M69" s="312"/>
      <c r="N69" s="312">
        <f>_xlfn.XLOOKUP(CONCATENATE(tblPiNAnalysis[[#This Row],[Admin 2 P-Code]],tblPiNAnalysis[[#This Row],[Population Group]]),'Overall severity &amp; PIN Analysis'!A:A,'Overall severity &amp; PIN Analysis'!P:P,0,0)</f>
        <v>750</v>
      </c>
      <c r="O69" s="311"/>
      <c r="P69" s="312"/>
      <c r="Q69" s="312"/>
      <c r="R69" s="312"/>
      <c r="S69" s="312"/>
      <c r="T69" s="313" t="str">
        <f>IF(tblPiNAnalysis[[#This Row],[Site Management ]]="", "", tblPiNAnalysis[[#This Row],[Site Management ]]/tblPiNAnalysis[[#This Row],[Total Population]])</f>
        <v/>
      </c>
      <c r="U69" s="314" t="str">
        <f>IF(tblPiNAnalysis[[#This Row],[Education]]="", "", tblPiNAnalysis[[#This Row],[Education]]/tblPiNAnalysis[[#This Row],[Total Population]])</f>
        <v/>
      </c>
      <c r="V69" s="314" t="str">
        <f>IF(tblPiNAnalysis[[#This Row],[Food Security and Livlihoods]]="", "", tblPiNAnalysis[[#This Row],[Food Security and Livlihoods]]/tblPiNAnalysis[[#This Row],[Total Population]])</f>
        <v/>
      </c>
      <c r="W69" s="315" t="str">
        <f>IF(tblPiNAnalysis[[#This Row],[Health ]]="", "", tblPiNAnalysis[[#This Row],[Health ]]/tblPiNAnalysis[[#This Row],[Total Population]])</f>
        <v/>
      </c>
      <c r="X69" s="314" t="str">
        <f>IF(tblPiNAnalysis[[#This Row],[Nutrition]]="", "", tblPiNAnalysis[[#This Row],[Nutrition]]/tblPiNAnalysis[[#This Row],[Total Population]])</f>
        <v/>
      </c>
      <c r="Y69" s="314" t="str">
        <f>IF(tblPiNAnalysis[[#This Row],[Protection]]="", "", tblPiNAnalysis[[#This Row],[Protection]]/tblPiNAnalysis[[#This Row],[Total Population]])</f>
        <v/>
      </c>
      <c r="Z69" s="316">
        <f>IF(tblPiNAnalysis[[#This Row],[Shelter NFI ]]="", "", tblPiNAnalysis[[#This Row],[Shelter NFI ]]/tblPiNAnalysis[[#This Row],[Total Population]])</f>
        <v>6.0712522160070587E-3</v>
      </c>
      <c r="AA69" s="317" t="str">
        <f>IF(tblPiNAnalysis[[#This Row],[WASH]]="", "", tblPiNAnalysis[[#This Row],[WASH]]/tblPiNAnalysis[[#This Row],[Total Population]])</f>
        <v/>
      </c>
      <c r="AB69" s="318" t="str">
        <f>IFERROR(IF(tblPiNAnalysis[[#This Row],[CP]]="", "", MROUND(tblPiNAnalysis[[#This Row],[CP]]/tblPiNAnalysis[[#This Row],[Total Population]], 0.05)), "")</f>
        <v/>
      </c>
      <c r="AC69" s="314" t="str">
        <f>IFERROR(IF(tblPiNAnalysis[[#This Row],[GBV]]="", "", MROUND(tblPiNAnalysis[[#This Row],[GBV]]/tblPiNAnalysis[[#This Row],[Total Population]], 0.05)), "")</f>
        <v/>
      </c>
      <c r="AD69" s="314" t="str">
        <f>IFERROR(IF(tblPiNAnalysis[[#This Row],[Mine Action]]="", "", MROUND(tblPiNAnalysis[[#This Row],[Mine Action]]/tblPiNAnalysis[[#This Row],[Total Population]], 0.05)), "")</f>
        <v/>
      </c>
      <c r="AE69" s="314" t="str">
        <f>IFERROR(IF(tblPiNAnalysis[[#This Row],[General Protection]]="", "", MROUND(tblPiNAnalysis[[#This Row],[General Protection]]/tblPiNAnalysis[[#This Row],[Total Population]], 0.05)), "")</f>
        <v/>
      </c>
      <c r="AF69" s="319">
        <f>IFERROR(LARGE(tblPiNAnalysis[[#This Row],[Site Management ]:[General Protection]], 1), "")</f>
        <v>750</v>
      </c>
      <c r="AG69" s="320">
        <f>IF(tblPiNAnalysis[[#This Row],[Highest PiN]]="", "",tblPiNAnalysis[[#This Row],[Highest PiN]]/ tblPiNAnalysis[[#This Row],[Total Population]])</f>
        <v>6.0712522160070587E-3</v>
      </c>
      <c r="AH69" s="320" t="str">
        <f>IFERROR(IF(tblPiNAnalysis[[#This Row],[Highest PiN]]="", "", IF(tblPiNAnalysis[[#This Row],[Highest sector(s'') PiN %]]&gt;=flag_pin_perc, "Flagged", "")), "")</f>
        <v/>
      </c>
      <c r="AI69" s="321"/>
      <c r="AJ69" s="322"/>
      <c r="AK69" s="323">
        <f>COUNTIFS(tblPiNAnalysis[[#This Row],[Highest PiN greater than 90% of total affected population]:[Manual Flag]],"Flagged")</f>
        <v>0</v>
      </c>
      <c r="AL69" s="324" t="str">
        <f>IF(tblPiNAnalysis[[#This Row],['# Flags]]&gt;0, "Flagged", "")</f>
        <v/>
      </c>
    </row>
    <row r="70" spans="1:38" ht="23.1" hidden="1" customHeight="1" x14ac:dyDescent="0.2">
      <c r="A70" s="309" t="str">
        <f>_xlfn.CONCAT(IF(tblPiNAnalysis[[#This Row],[Population Group]]="", "",tblPiNAnalysis[[#This Row],[Population Group]] ), _xlfn.IFS(tblPiNAnalysis[[#This Row],[Admin 2 P-Code]]&lt;&gt;"", tblPiNAnalysis[[#This Row],[Admin 2 P-Code]], tblPiNAnalysis[[#This Row],[Admin 1 P-Code]]&lt;&gt;"", tblPiNAnalysis[[#This Row],[Admin 1 P-Code]]))</f>
        <v>Host CommunitySD02170</v>
      </c>
      <c r="B70" s="245" t="s">
        <v>167</v>
      </c>
      <c r="C70" s="246" t="s">
        <v>119</v>
      </c>
      <c r="D70" s="247" t="s">
        <v>227</v>
      </c>
      <c r="E70" s="246" t="s">
        <v>226</v>
      </c>
      <c r="F70" s="248">
        <v>0</v>
      </c>
      <c r="G70" s="248" t="s">
        <v>87</v>
      </c>
      <c r="H70" s="310"/>
      <c r="I70" s="311"/>
      <c r="J70" s="248"/>
      <c r="K70" s="248"/>
      <c r="L70" s="311"/>
      <c r="M70" s="312"/>
      <c r="N70" s="312">
        <f>_xlfn.XLOOKUP(CONCATENATE(tblPiNAnalysis[[#This Row],[Admin 2 P-Code]],tblPiNAnalysis[[#This Row],[Population Group]]),'Overall severity &amp; PIN Analysis'!A:A,'Overall severity &amp; PIN Analysis'!P:P,0,0)</f>
        <v>0</v>
      </c>
      <c r="O70" s="311"/>
      <c r="P70" s="312"/>
      <c r="Q70" s="312"/>
      <c r="R70" s="312"/>
      <c r="S70" s="312"/>
      <c r="T70" s="313" t="str">
        <f>IF(tblPiNAnalysis[[#This Row],[Site Management ]]="", "", tblPiNAnalysis[[#This Row],[Site Management ]]/tblPiNAnalysis[[#This Row],[Total Population]])</f>
        <v/>
      </c>
      <c r="U70" s="314" t="str">
        <f>IF(tblPiNAnalysis[[#This Row],[Education]]="", "", tblPiNAnalysis[[#This Row],[Education]]/tblPiNAnalysis[[#This Row],[Total Population]])</f>
        <v/>
      </c>
      <c r="V70" s="314" t="str">
        <f>IF(tblPiNAnalysis[[#This Row],[Food Security and Livlihoods]]="", "", tblPiNAnalysis[[#This Row],[Food Security and Livlihoods]]/tblPiNAnalysis[[#This Row],[Total Population]])</f>
        <v/>
      </c>
      <c r="W70" s="315" t="str">
        <f>IF(tblPiNAnalysis[[#This Row],[Health ]]="", "", tblPiNAnalysis[[#This Row],[Health ]]/tblPiNAnalysis[[#This Row],[Total Population]])</f>
        <v/>
      </c>
      <c r="X70" s="314" t="str">
        <f>IF(tblPiNAnalysis[[#This Row],[Nutrition]]="", "", tblPiNAnalysis[[#This Row],[Nutrition]]/tblPiNAnalysis[[#This Row],[Total Population]])</f>
        <v/>
      </c>
      <c r="Y70" s="314" t="str">
        <f>IF(tblPiNAnalysis[[#This Row],[Protection]]="", "", tblPiNAnalysis[[#This Row],[Protection]]/tblPiNAnalysis[[#This Row],[Total Population]])</f>
        <v/>
      </c>
      <c r="Z70" s="316" t="e">
        <f>IF(tblPiNAnalysis[[#This Row],[Shelter NFI ]]="", "", tblPiNAnalysis[[#This Row],[Shelter NFI ]]/tblPiNAnalysis[[#This Row],[Total Population]])</f>
        <v>#DIV/0!</v>
      </c>
      <c r="AA70" s="317" t="str">
        <f>IF(tblPiNAnalysis[[#This Row],[WASH]]="", "", tblPiNAnalysis[[#This Row],[WASH]]/tblPiNAnalysis[[#This Row],[Total Population]])</f>
        <v/>
      </c>
      <c r="AB70" s="318" t="str">
        <f>IFERROR(IF(tblPiNAnalysis[[#This Row],[CP]]="", "", MROUND(tblPiNAnalysis[[#This Row],[CP]]/tblPiNAnalysis[[#This Row],[Total Population]], 0.05)), "")</f>
        <v/>
      </c>
      <c r="AC70" s="314" t="str">
        <f>IFERROR(IF(tblPiNAnalysis[[#This Row],[GBV]]="", "", MROUND(tblPiNAnalysis[[#This Row],[GBV]]/tblPiNAnalysis[[#This Row],[Total Population]], 0.05)), "")</f>
        <v/>
      </c>
      <c r="AD70" s="314" t="str">
        <f>IFERROR(IF(tblPiNAnalysis[[#This Row],[Mine Action]]="", "", MROUND(tblPiNAnalysis[[#This Row],[Mine Action]]/tblPiNAnalysis[[#This Row],[Total Population]], 0.05)), "")</f>
        <v/>
      </c>
      <c r="AE70" s="314" t="str">
        <f>IFERROR(IF(tblPiNAnalysis[[#This Row],[General Protection]]="", "", MROUND(tblPiNAnalysis[[#This Row],[General Protection]]/tblPiNAnalysis[[#This Row],[Total Population]], 0.05)), "")</f>
        <v/>
      </c>
      <c r="AF70" s="319">
        <f>IFERROR(LARGE(tblPiNAnalysis[[#This Row],[Site Management ]:[General Protection]], 1), "")</f>
        <v>0</v>
      </c>
      <c r="AG70" s="320" t="e">
        <f>IF(tblPiNAnalysis[[#This Row],[Highest PiN]]="", "",tblPiNAnalysis[[#This Row],[Highest PiN]]/ tblPiNAnalysis[[#This Row],[Total Population]])</f>
        <v>#DIV/0!</v>
      </c>
      <c r="AH70" s="320" t="str">
        <f>IFERROR(IF(tblPiNAnalysis[[#This Row],[Highest PiN]]="", "", IF(tblPiNAnalysis[[#This Row],[Highest sector(s'') PiN %]]&gt;=flag_pin_perc, "Flagged", "")), "")</f>
        <v/>
      </c>
      <c r="AI70" s="321"/>
      <c r="AJ70" s="322"/>
      <c r="AK70" s="323">
        <f>COUNTIFS(tblPiNAnalysis[[#This Row],[Highest PiN greater than 90% of total affected population]:[Manual Flag]],"Flagged")</f>
        <v>0</v>
      </c>
      <c r="AL70" s="324" t="str">
        <f>IF(tblPiNAnalysis[[#This Row],['# Flags]]&gt;0, "Flagged", "")</f>
        <v/>
      </c>
    </row>
    <row r="71" spans="1:38" ht="23.1" hidden="1" customHeight="1" x14ac:dyDescent="0.2">
      <c r="A71" s="309" t="str">
        <f>_xlfn.CONCAT(IF(tblPiNAnalysis[[#This Row],[Population Group]]="", "",tblPiNAnalysis[[#This Row],[Population Group]] ), _xlfn.IFS(tblPiNAnalysis[[#This Row],[Admin 2 P-Code]]&lt;&gt;"", tblPiNAnalysis[[#This Row],[Admin 2 P-Code]], tblPiNAnalysis[[#This Row],[Admin 1 P-Code]]&lt;&gt;"", tblPiNAnalysis[[#This Row],[Admin 1 P-Code]]))</f>
        <v>IDPsSD02170</v>
      </c>
      <c r="B71" s="245" t="s">
        <v>167</v>
      </c>
      <c r="C71" s="246" t="s">
        <v>119</v>
      </c>
      <c r="D71" s="247" t="s">
        <v>227</v>
      </c>
      <c r="E71" s="246" t="s">
        <v>226</v>
      </c>
      <c r="F71" s="248">
        <v>215994</v>
      </c>
      <c r="G71" s="248" t="s">
        <v>88</v>
      </c>
      <c r="H71" s="310"/>
      <c r="I71" s="311"/>
      <c r="J71" s="312"/>
      <c r="K71" s="311"/>
      <c r="L71" s="311"/>
      <c r="M71" s="312"/>
      <c r="N71" s="312">
        <f>_xlfn.XLOOKUP(CONCATENATE(tblPiNAnalysis[[#This Row],[Admin 2 P-Code]],tblPiNAnalysis[[#This Row],[Population Group]]),'Overall severity &amp; PIN Analysis'!A:A,'Overall severity &amp; PIN Analysis'!P:P,0,0)</f>
        <v>160932</v>
      </c>
      <c r="O71" s="311"/>
      <c r="P71" s="312"/>
      <c r="Q71" s="312"/>
      <c r="R71" s="312"/>
      <c r="S71" s="312"/>
      <c r="T71" s="313" t="str">
        <f>IF(tblPiNAnalysis[[#This Row],[Site Management ]]="", "", tblPiNAnalysis[[#This Row],[Site Management ]]/tblPiNAnalysis[[#This Row],[Total Population]])</f>
        <v/>
      </c>
      <c r="U71" s="314" t="str">
        <f>IF(tblPiNAnalysis[[#This Row],[Education]]="", "", tblPiNAnalysis[[#This Row],[Education]]/tblPiNAnalysis[[#This Row],[Total Population]])</f>
        <v/>
      </c>
      <c r="V71" s="314" t="str">
        <f>IF(tblPiNAnalysis[[#This Row],[Food Security and Livlihoods]]="", "", tblPiNAnalysis[[#This Row],[Food Security and Livlihoods]]/tblPiNAnalysis[[#This Row],[Total Population]])</f>
        <v/>
      </c>
      <c r="W71" s="315" t="str">
        <f>IF(tblPiNAnalysis[[#This Row],[Health ]]="", "", tblPiNAnalysis[[#This Row],[Health ]]/tblPiNAnalysis[[#This Row],[Total Population]])</f>
        <v/>
      </c>
      <c r="X71" s="314" t="str">
        <f>IF(tblPiNAnalysis[[#This Row],[Nutrition]]="", "", tblPiNAnalysis[[#This Row],[Nutrition]]/tblPiNAnalysis[[#This Row],[Total Population]])</f>
        <v/>
      </c>
      <c r="Y71" s="314" t="str">
        <f>IF(tblPiNAnalysis[[#This Row],[Protection]]="", "", tblPiNAnalysis[[#This Row],[Protection]]/tblPiNAnalysis[[#This Row],[Total Population]])</f>
        <v/>
      </c>
      <c r="Z71" s="316">
        <f>IF(tblPiNAnalysis[[#This Row],[Shelter NFI ]]="", "", tblPiNAnalysis[[#This Row],[Shelter NFI ]]/tblPiNAnalysis[[#This Row],[Total Population]])</f>
        <v>0.74507625211811435</v>
      </c>
      <c r="AA71" s="317" t="str">
        <f>IF(tblPiNAnalysis[[#This Row],[WASH]]="", "", tblPiNAnalysis[[#This Row],[WASH]]/tblPiNAnalysis[[#This Row],[Total Population]])</f>
        <v/>
      </c>
      <c r="AB71" s="318" t="str">
        <f>IFERROR(IF(tblPiNAnalysis[[#This Row],[CP]]="", "", MROUND(tblPiNAnalysis[[#This Row],[CP]]/tblPiNAnalysis[[#This Row],[Total Population]], 0.05)), "")</f>
        <v/>
      </c>
      <c r="AC71" s="314" t="str">
        <f>IFERROR(IF(tblPiNAnalysis[[#This Row],[GBV]]="", "", MROUND(tblPiNAnalysis[[#This Row],[GBV]]/tblPiNAnalysis[[#This Row],[Total Population]], 0.05)), "")</f>
        <v/>
      </c>
      <c r="AD71" s="314" t="str">
        <f>IFERROR(IF(tblPiNAnalysis[[#This Row],[Mine Action]]="", "", MROUND(tblPiNAnalysis[[#This Row],[Mine Action]]/tblPiNAnalysis[[#This Row],[Total Population]], 0.05)), "")</f>
        <v/>
      </c>
      <c r="AE71" s="314" t="str">
        <f>IFERROR(IF(tblPiNAnalysis[[#This Row],[General Protection]]="", "", MROUND(tblPiNAnalysis[[#This Row],[General Protection]]/tblPiNAnalysis[[#This Row],[Total Population]], 0.05)), "")</f>
        <v/>
      </c>
      <c r="AF71" s="319">
        <f>IFERROR(LARGE(tblPiNAnalysis[[#This Row],[Site Management ]:[General Protection]], 1), "")</f>
        <v>160932</v>
      </c>
      <c r="AG71" s="320">
        <f>IF(tblPiNAnalysis[[#This Row],[Highest PiN]]="", "",tblPiNAnalysis[[#This Row],[Highest PiN]]/ tblPiNAnalysis[[#This Row],[Total Population]])</f>
        <v>0.74507625211811435</v>
      </c>
      <c r="AH71" s="320" t="str">
        <f>IFERROR(IF(tblPiNAnalysis[[#This Row],[Highest PiN]]="", "", IF(tblPiNAnalysis[[#This Row],[Highest sector(s'') PiN %]]&gt;=flag_pin_perc, "Flagged", "")), "")</f>
        <v/>
      </c>
      <c r="AI71" s="321"/>
      <c r="AJ71" s="322"/>
      <c r="AK71" s="323">
        <f>COUNTIFS(tblPiNAnalysis[[#This Row],[Highest PiN greater than 90% of total affected population]:[Manual Flag]],"Flagged")</f>
        <v>0</v>
      </c>
      <c r="AL71" s="324" t="str">
        <f>IF(tblPiNAnalysis[[#This Row],['# Flags]]&gt;0, "Flagged", "")</f>
        <v/>
      </c>
    </row>
    <row r="72" spans="1:38" ht="23.1" customHeight="1" x14ac:dyDescent="0.2">
      <c r="A72" s="309" t="str">
        <f>_xlfn.CONCAT(IF(tblPiNAnalysis[[#This Row],[Population Group]]="", "",tblPiNAnalysis[[#This Row],[Population Group]] ), _xlfn.IFS(tblPiNAnalysis[[#This Row],[Admin 2 P-Code]]&lt;&gt;"", tblPiNAnalysis[[#This Row],[Admin 2 P-Code]], tblPiNAnalysis[[#This Row],[Admin 1 P-Code]]&lt;&gt;"", tblPiNAnalysis[[#This Row],[Admin 1 P-Code]]))</f>
        <v>Non-hosting PopulationSD02170</v>
      </c>
      <c r="B72" s="245" t="s">
        <v>167</v>
      </c>
      <c r="C72" s="246" t="s">
        <v>119</v>
      </c>
      <c r="D72" s="247" t="s">
        <v>227</v>
      </c>
      <c r="E72" s="246" t="s">
        <v>226</v>
      </c>
      <c r="F72" s="248">
        <v>0</v>
      </c>
      <c r="G72" s="248" t="s">
        <v>568</v>
      </c>
      <c r="H72" s="310"/>
      <c r="I72" s="311"/>
      <c r="J72" s="312"/>
      <c r="K72" s="311"/>
      <c r="L72" s="311"/>
      <c r="M72" s="312"/>
      <c r="N72" s="312">
        <f>_xlfn.XLOOKUP(CONCATENATE(tblPiNAnalysis[[#This Row],[Admin 2 P-Code]],tblPiNAnalysis[[#This Row],[Population Group]]),'Overall severity &amp; PIN Analysis'!A:A,'Overall severity &amp; PIN Analysis'!P:P,0,0)</f>
        <v>0</v>
      </c>
      <c r="O72" s="311"/>
      <c r="P72" s="312"/>
      <c r="Q72" s="312"/>
      <c r="R72" s="312"/>
      <c r="S72" s="312"/>
      <c r="T72" s="313" t="str">
        <f>IF(tblPiNAnalysis[[#This Row],[Site Management ]]="", "", tblPiNAnalysis[[#This Row],[Site Management ]]/tblPiNAnalysis[[#This Row],[Total Population]])</f>
        <v/>
      </c>
      <c r="U72" s="314" t="str">
        <f>IF(tblPiNAnalysis[[#This Row],[Education]]="", "", tblPiNAnalysis[[#This Row],[Education]]/tblPiNAnalysis[[#This Row],[Total Population]])</f>
        <v/>
      </c>
      <c r="V72" s="314" t="str">
        <f>IF(tblPiNAnalysis[[#This Row],[Food Security and Livlihoods]]="", "", tblPiNAnalysis[[#This Row],[Food Security and Livlihoods]]/tblPiNAnalysis[[#This Row],[Total Population]])</f>
        <v/>
      </c>
      <c r="W72" s="315" t="str">
        <f>IF(tblPiNAnalysis[[#This Row],[Health ]]="", "", tblPiNAnalysis[[#This Row],[Health ]]/tblPiNAnalysis[[#This Row],[Total Population]])</f>
        <v/>
      </c>
      <c r="X72" s="314" t="str">
        <f>IF(tblPiNAnalysis[[#This Row],[Nutrition]]="", "", tblPiNAnalysis[[#This Row],[Nutrition]]/tblPiNAnalysis[[#This Row],[Total Population]])</f>
        <v/>
      </c>
      <c r="Y72" s="314" t="str">
        <f>IF(tblPiNAnalysis[[#This Row],[Protection]]="", "", tblPiNAnalysis[[#This Row],[Protection]]/tblPiNAnalysis[[#This Row],[Total Population]])</f>
        <v/>
      </c>
      <c r="Z72" s="316" t="e">
        <f>IF(tblPiNAnalysis[[#This Row],[Shelter NFI ]]="", "", tblPiNAnalysis[[#This Row],[Shelter NFI ]]/tblPiNAnalysis[[#This Row],[Total Population]])</f>
        <v>#DIV/0!</v>
      </c>
      <c r="AA72" s="317" t="str">
        <f>IF(tblPiNAnalysis[[#This Row],[WASH]]="", "", tblPiNAnalysis[[#This Row],[WASH]]/tblPiNAnalysis[[#This Row],[Total Population]])</f>
        <v/>
      </c>
      <c r="AB72" s="318" t="str">
        <f>IFERROR(IF(tblPiNAnalysis[[#This Row],[CP]]="", "", MROUND(tblPiNAnalysis[[#This Row],[CP]]/tblPiNAnalysis[[#This Row],[Total Population]], 0.05)), "")</f>
        <v/>
      </c>
      <c r="AC72" s="314" t="str">
        <f>IFERROR(IF(tblPiNAnalysis[[#This Row],[GBV]]="", "", MROUND(tblPiNAnalysis[[#This Row],[GBV]]/tblPiNAnalysis[[#This Row],[Total Population]], 0.05)), "")</f>
        <v/>
      </c>
      <c r="AD72" s="314" t="str">
        <f>IFERROR(IF(tblPiNAnalysis[[#This Row],[Mine Action]]="", "", MROUND(tblPiNAnalysis[[#This Row],[Mine Action]]/tblPiNAnalysis[[#This Row],[Total Population]], 0.05)), "")</f>
        <v/>
      </c>
      <c r="AE72" s="314" t="str">
        <f>IFERROR(IF(tblPiNAnalysis[[#This Row],[General Protection]]="", "", MROUND(tblPiNAnalysis[[#This Row],[General Protection]]/tblPiNAnalysis[[#This Row],[Total Population]], 0.05)), "")</f>
        <v/>
      </c>
      <c r="AF72" s="319">
        <f>IFERROR(LARGE(tblPiNAnalysis[[#This Row],[Site Management ]:[General Protection]], 1), "")</f>
        <v>0</v>
      </c>
      <c r="AG72" s="320" t="e">
        <f>IF(tblPiNAnalysis[[#This Row],[Highest PiN]]="", "",tblPiNAnalysis[[#This Row],[Highest PiN]]/ tblPiNAnalysis[[#This Row],[Total Population]])</f>
        <v>#DIV/0!</v>
      </c>
      <c r="AH72" s="320" t="str">
        <f>IFERROR(IF(tblPiNAnalysis[[#This Row],[Highest PiN]]="", "", IF(tblPiNAnalysis[[#This Row],[Highest sector(s'') PiN %]]&gt;=flag_pin_perc, "Flagged", "")), "")</f>
        <v/>
      </c>
      <c r="AI72" s="321"/>
      <c r="AJ72" s="322"/>
      <c r="AK72" s="323">
        <f>COUNTIFS(tblPiNAnalysis[[#This Row],[Highest PiN greater than 90% of total affected population]:[Manual Flag]],"Flagged")</f>
        <v>0</v>
      </c>
      <c r="AL72" s="324" t="str">
        <f>IF(tblPiNAnalysis[[#This Row],['# Flags]]&gt;0, "Flagged", "")</f>
        <v/>
      </c>
    </row>
    <row r="73" spans="1:38" ht="23.1" hidden="1" customHeight="1" x14ac:dyDescent="0.2">
      <c r="A73" s="309" t="str">
        <f>_xlfn.CONCAT(IF(tblPiNAnalysis[[#This Row],[Population Group]]="", "",tblPiNAnalysis[[#This Row],[Population Group]] ), _xlfn.IFS(tblPiNAnalysis[[#This Row],[Admin 2 P-Code]]&lt;&gt;"", tblPiNAnalysis[[#This Row],[Admin 2 P-Code]], tblPiNAnalysis[[#This Row],[Admin 1 P-Code]]&lt;&gt;"", tblPiNAnalysis[[#This Row],[Admin 1 P-Code]]))</f>
        <v>Host CommunitySD02171</v>
      </c>
      <c r="B73" s="245" t="s">
        <v>167</v>
      </c>
      <c r="C73" s="246" t="s">
        <v>119</v>
      </c>
      <c r="D73" s="247" t="s">
        <v>229</v>
      </c>
      <c r="E73" s="246" t="s">
        <v>228</v>
      </c>
      <c r="F73" s="248">
        <v>5385</v>
      </c>
      <c r="G73" s="248" t="s">
        <v>87</v>
      </c>
      <c r="H73" s="310"/>
      <c r="I73" s="311"/>
      <c r="J73" s="312"/>
      <c r="K73" s="311"/>
      <c r="L73" s="311"/>
      <c r="M73" s="312"/>
      <c r="N73" s="312">
        <f>_xlfn.XLOOKUP(CONCATENATE(tblPiNAnalysis[[#This Row],[Admin 2 P-Code]],tblPiNAnalysis[[#This Row],[Population Group]]),'Overall severity &amp; PIN Analysis'!A:A,'Overall severity &amp; PIN Analysis'!P:P,0,0)</f>
        <v>4559</v>
      </c>
      <c r="O73" s="311"/>
      <c r="P73" s="312"/>
      <c r="Q73" s="312"/>
      <c r="R73" s="312"/>
      <c r="S73" s="312"/>
      <c r="T73" s="313" t="str">
        <f>IF(tblPiNAnalysis[[#This Row],[Site Management ]]="", "", tblPiNAnalysis[[#This Row],[Site Management ]]/tblPiNAnalysis[[#This Row],[Total Population]])</f>
        <v/>
      </c>
      <c r="U73" s="314" t="str">
        <f>IF(tblPiNAnalysis[[#This Row],[Education]]="", "", tblPiNAnalysis[[#This Row],[Education]]/tblPiNAnalysis[[#This Row],[Total Population]])</f>
        <v/>
      </c>
      <c r="V73" s="314" t="str">
        <f>IF(tblPiNAnalysis[[#This Row],[Food Security and Livlihoods]]="", "", tblPiNAnalysis[[#This Row],[Food Security and Livlihoods]]/tblPiNAnalysis[[#This Row],[Total Population]])</f>
        <v/>
      </c>
      <c r="W73" s="315" t="str">
        <f>IF(tblPiNAnalysis[[#This Row],[Health ]]="", "", tblPiNAnalysis[[#This Row],[Health ]]/tblPiNAnalysis[[#This Row],[Total Population]])</f>
        <v/>
      </c>
      <c r="X73" s="314" t="str">
        <f>IF(tblPiNAnalysis[[#This Row],[Nutrition]]="", "", tblPiNAnalysis[[#This Row],[Nutrition]]/tblPiNAnalysis[[#This Row],[Total Population]])</f>
        <v/>
      </c>
      <c r="Y73" s="314" t="str">
        <f>IF(tblPiNAnalysis[[#This Row],[Protection]]="", "", tblPiNAnalysis[[#This Row],[Protection]]/tblPiNAnalysis[[#This Row],[Total Population]])</f>
        <v/>
      </c>
      <c r="Z73" s="316">
        <f>IF(tblPiNAnalysis[[#This Row],[Shelter NFI ]]="", "", tblPiNAnalysis[[#This Row],[Shelter NFI ]]/tblPiNAnalysis[[#This Row],[Total Population]])</f>
        <v>0.84661095636025996</v>
      </c>
      <c r="AA73" s="317" t="str">
        <f>IF(tblPiNAnalysis[[#This Row],[WASH]]="", "", tblPiNAnalysis[[#This Row],[WASH]]/tblPiNAnalysis[[#This Row],[Total Population]])</f>
        <v/>
      </c>
      <c r="AB73" s="318" t="str">
        <f>IFERROR(IF(tblPiNAnalysis[[#This Row],[CP]]="", "", MROUND(tblPiNAnalysis[[#This Row],[CP]]/tblPiNAnalysis[[#This Row],[Total Population]], 0.05)), "")</f>
        <v/>
      </c>
      <c r="AC73" s="314" t="str">
        <f>IFERROR(IF(tblPiNAnalysis[[#This Row],[GBV]]="", "", MROUND(tblPiNAnalysis[[#This Row],[GBV]]/tblPiNAnalysis[[#This Row],[Total Population]], 0.05)), "")</f>
        <v/>
      </c>
      <c r="AD73" s="314" t="str">
        <f>IFERROR(IF(tblPiNAnalysis[[#This Row],[Mine Action]]="", "", MROUND(tblPiNAnalysis[[#This Row],[Mine Action]]/tblPiNAnalysis[[#This Row],[Total Population]], 0.05)), "")</f>
        <v/>
      </c>
      <c r="AE73" s="314" t="str">
        <f>IFERROR(IF(tblPiNAnalysis[[#This Row],[General Protection]]="", "", MROUND(tblPiNAnalysis[[#This Row],[General Protection]]/tblPiNAnalysis[[#This Row],[Total Population]], 0.05)), "")</f>
        <v/>
      </c>
      <c r="AF73" s="319">
        <f>IFERROR(LARGE(tblPiNAnalysis[[#This Row],[Site Management ]:[General Protection]], 1), "")</f>
        <v>4559</v>
      </c>
      <c r="AG73" s="320">
        <f>IF(tblPiNAnalysis[[#This Row],[Highest PiN]]="", "",tblPiNAnalysis[[#This Row],[Highest PiN]]/ tblPiNAnalysis[[#This Row],[Total Population]])</f>
        <v>0.84661095636025996</v>
      </c>
      <c r="AH73" s="320" t="str">
        <f>IFERROR(IF(tblPiNAnalysis[[#This Row],[Highest PiN]]="", "", IF(tblPiNAnalysis[[#This Row],[Highest sector(s'') PiN %]]&gt;=flag_pin_perc, "Flagged", "")), "")</f>
        <v/>
      </c>
      <c r="AI73" s="321"/>
      <c r="AJ73" s="322"/>
      <c r="AK73" s="323">
        <f>COUNTIFS(tblPiNAnalysis[[#This Row],[Highest PiN greater than 90% of total affected population]:[Manual Flag]],"Flagged")</f>
        <v>0</v>
      </c>
      <c r="AL73" s="324" t="str">
        <f>IF(tblPiNAnalysis[[#This Row],['# Flags]]&gt;0, "Flagged", "")</f>
        <v/>
      </c>
    </row>
    <row r="74" spans="1:38" ht="23.1" hidden="1" customHeight="1" x14ac:dyDescent="0.2">
      <c r="A74" s="309" t="str">
        <f>_xlfn.CONCAT(IF(tblPiNAnalysis[[#This Row],[Population Group]]="", "",tblPiNAnalysis[[#This Row],[Population Group]] ), _xlfn.IFS(tblPiNAnalysis[[#This Row],[Admin 2 P-Code]]&lt;&gt;"", tblPiNAnalysis[[#This Row],[Admin 2 P-Code]], tblPiNAnalysis[[#This Row],[Admin 1 P-Code]]&lt;&gt;"", tblPiNAnalysis[[#This Row],[Admin 1 P-Code]]))</f>
        <v>IDPsSD02171</v>
      </c>
      <c r="B74" s="245" t="s">
        <v>167</v>
      </c>
      <c r="C74" s="246" t="s">
        <v>119</v>
      </c>
      <c r="D74" s="247" t="s">
        <v>229</v>
      </c>
      <c r="E74" s="246" t="s">
        <v>228</v>
      </c>
      <c r="F74" s="248">
        <v>5385</v>
      </c>
      <c r="G74" s="248" t="s">
        <v>88</v>
      </c>
      <c r="H74" s="310"/>
      <c r="I74" s="311"/>
      <c r="J74" s="312"/>
      <c r="K74" s="311"/>
      <c r="L74" s="311"/>
      <c r="M74" s="312"/>
      <c r="N74" s="312">
        <f>_xlfn.XLOOKUP(CONCATENATE(tblPiNAnalysis[[#This Row],[Admin 2 P-Code]],tblPiNAnalysis[[#This Row],[Population Group]]),'Overall severity &amp; PIN Analysis'!A:A,'Overall severity &amp; PIN Analysis'!P:P,0,0)</f>
        <v>4559</v>
      </c>
      <c r="O74" s="311"/>
      <c r="P74" s="312"/>
      <c r="Q74" s="312"/>
      <c r="R74" s="312"/>
      <c r="S74" s="312"/>
      <c r="T74" s="313" t="str">
        <f>IF(tblPiNAnalysis[[#This Row],[Site Management ]]="", "", tblPiNAnalysis[[#This Row],[Site Management ]]/tblPiNAnalysis[[#This Row],[Total Population]])</f>
        <v/>
      </c>
      <c r="U74" s="314" t="str">
        <f>IF(tblPiNAnalysis[[#This Row],[Education]]="", "", tblPiNAnalysis[[#This Row],[Education]]/tblPiNAnalysis[[#This Row],[Total Population]])</f>
        <v/>
      </c>
      <c r="V74" s="314" t="str">
        <f>IF(tblPiNAnalysis[[#This Row],[Food Security and Livlihoods]]="", "", tblPiNAnalysis[[#This Row],[Food Security and Livlihoods]]/tblPiNAnalysis[[#This Row],[Total Population]])</f>
        <v/>
      </c>
      <c r="W74" s="315" t="str">
        <f>IF(tblPiNAnalysis[[#This Row],[Health ]]="", "", tblPiNAnalysis[[#This Row],[Health ]]/tblPiNAnalysis[[#This Row],[Total Population]])</f>
        <v/>
      </c>
      <c r="X74" s="314" t="str">
        <f>IF(tblPiNAnalysis[[#This Row],[Nutrition]]="", "", tblPiNAnalysis[[#This Row],[Nutrition]]/tblPiNAnalysis[[#This Row],[Total Population]])</f>
        <v/>
      </c>
      <c r="Y74" s="314" t="str">
        <f>IF(tblPiNAnalysis[[#This Row],[Protection]]="", "", tblPiNAnalysis[[#This Row],[Protection]]/tblPiNAnalysis[[#This Row],[Total Population]])</f>
        <v/>
      </c>
      <c r="Z74" s="316">
        <f>IF(tblPiNAnalysis[[#This Row],[Shelter NFI ]]="", "", tblPiNAnalysis[[#This Row],[Shelter NFI ]]/tblPiNAnalysis[[#This Row],[Total Population]])</f>
        <v>0.84661095636025996</v>
      </c>
      <c r="AA74" s="317" t="str">
        <f>IF(tblPiNAnalysis[[#This Row],[WASH]]="", "", tblPiNAnalysis[[#This Row],[WASH]]/tblPiNAnalysis[[#This Row],[Total Population]])</f>
        <v/>
      </c>
      <c r="AB74" s="318" t="str">
        <f>IFERROR(IF(tblPiNAnalysis[[#This Row],[CP]]="", "", MROUND(tblPiNAnalysis[[#This Row],[CP]]/tblPiNAnalysis[[#This Row],[Total Population]], 0.05)), "")</f>
        <v/>
      </c>
      <c r="AC74" s="314" t="str">
        <f>IFERROR(IF(tblPiNAnalysis[[#This Row],[GBV]]="", "", MROUND(tblPiNAnalysis[[#This Row],[GBV]]/tblPiNAnalysis[[#This Row],[Total Population]], 0.05)), "")</f>
        <v/>
      </c>
      <c r="AD74" s="314" t="str">
        <f>IFERROR(IF(tblPiNAnalysis[[#This Row],[Mine Action]]="", "", MROUND(tblPiNAnalysis[[#This Row],[Mine Action]]/tblPiNAnalysis[[#This Row],[Total Population]], 0.05)), "")</f>
        <v/>
      </c>
      <c r="AE74" s="314" t="str">
        <f>IFERROR(IF(tblPiNAnalysis[[#This Row],[General Protection]]="", "", MROUND(tblPiNAnalysis[[#This Row],[General Protection]]/tblPiNAnalysis[[#This Row],[Total Population]], 0.05)), "")</f>
        <v/>
      </c>
      <c r="AF74" s="319">
        <f>IFERROR(LARGE(tblPiNAnalysis[[#This Row],[Site Management ]:[General Protection]], 1), "")</f>
        <v>4559</v>
      </c>
      <c r="AG74" s="320">
        <f>IF(tblPiNAnalysis[[#This Row],[Highest PiN]]="", "",tblPiNAnalysis[[#This Row],[Highest PiN]]/ tblPiNAnalysis[[#This Row],[Total Population]])</f>
        <v>0.84661095636025996</v>
      </c>
      <c r="AH74" s="320" t="str">
        <f>IFERROR(IF(tblPiNAnalysis[[#This Row],[Highest PiN]]="", "", IF(tblPiNAnalysis[[#This Row],[Highest sector(s'') PiN %]]&gt;=flag_pin_perc, "Flagged", "")), "")</f>
        <v/>
      </c>
      <c r="AI74" s="321"/>
      <c r="AJ74" s="322"/>
      <c r="AK74" s="323">
        <f>COUNTIFS(tblPiNAnalysis[[#This Row],[Highest PiN greater than 90% of total affected population]:[Manual Flag]],"Flagged")</f>
        <v>0</v>
      </c>
      <c r="AL74" s="324" t="str">
        <f>IF(tblPiNAnalysis[[#This Row],['# Flags]]&gt;0, "Flagged", "")</f>
        <v/>
      </c>
    </row>
    <row r="75" spans="1:38" ht="23.1" customHeight="1" x14ac:dyDescent="0.2">
      <c r="A75" s="309" t="str">
        <f>_xlfn.CONCAT(IF(tblPiNAnalysis[[#This Row],[Population Group]]="", "",tblPiNAnalysis[[#This Row],[Population Group]] ), _xlfn.IFS(tblPiNAnalysis[[#This Row],[Admin 2 P-Code]]&lt;&gt;"", tblPiNAnalysis[[#This Row],[Admin 2 P-Code]], tblPiNAnalysis[[#This Row],[Admin 1 P-Code]]&lt;&gt;"", tblPiNAnalysis[[#This Row],[Admin 1 P-Code]]))</f>
        <v>Non-hosting PopulationSD02171</v>
      </c>
      <c r="B75" s="245" t="s">
        <v>167</v>
      </c>
      <c r="C75" s="246" t="s">
        <v>119</v>
      </c>
      <c r="D75" s="247" t="s">
        <v>229</v>
      </c>
      <c r="E75" s="246" t="s">
        <v>228</v>
      </c>
      <c r="F75" s="248">
        <v>41449</v>
      </c>
      <c r="G75" s="248" t="s">
        <v>568</v>
      </c>
      <c r="H75" s="310"/>
      <c r="I75" s="311"/>
      <c r="J75" s="312"/>
      <c r="K75" s="311"/>
      <c r="L75" s="311"/>
      <c r="M75" s="312"/>
      <c r="N75" s="312">
        <f>_xlfn.XLOOKUP(CONCATENATE(tblPiNAnalysis[[#This Row],[Admin 2 P-Code]],tblPiNAnalysis[[#This Row],[Population Group]]),'Overall severity &amp; PIN Analysis'!A:A,'Overall severity &amp; PIN Analysis'!P:P,0,0)</f>
        <v>2658</v>
      </c>
      <c r="O75" s="311"/>
      <c r="P75" s="312"/>
      <c r="Q75" s="312"/>
      <c r="R75" s="312"/>
      <c r="S75" s="312"/>
      <c r="T75" s="313" t="str">
        <f>IF(tblPiNAnalysis[[#This Row],[Site Management ]]="", "", tblPiNAnalysis[[#This Row],[Site Management ]]/tblPiNAnalysis[[#This Row],[Total Population]])</f>
        <v/>
      </c>
      <c r="U75" s="314" t="str">
        <f>IF(tblPiNAnalysis[[#This Row],[Education]]="", "", tblPiNAnalysis[[#This Row],[Education]]/tblPiNAnalysis[[#This Row],[Total Population]])</f>
        <v/>
      </c>
      <c r="V75" s="314" t="str">
        <f>IF(tblPiNAnalysis[[#This Row],[Food Security and Livlihoods]]="", "", tblPiNAnalysis[[#This Row],[Food Security and Livlihoods]]/tblPiNAnalysis[[#This Row],[Total Population]])</f>
        <v/>
      </c>
      <c r="W75" s="315" t="str">
        <f>IF(tblPiNAnalysis[[#This Row],[Health ]]="", "", tblPiNAnalysis[[#This Row],[Health ]]/tblPiNAnalysis[[#This Row],[Total Population]])</f>
        <v/>
      </c>
      <c r="X75" s="314" t="str">
        <f>IF(tblPiNAnalysis[[#This Row],[Nutrition]]="", "", tblPiNAnalysis[[#This Row],[Nutrition]]/tblPiNAnalysis[[#This Row],[Total Population]])</f>
        <v/>
      </c>
      <c r="Y75" s="314" t="str">
        <f>IF(tblPiNAnalysis[[#This Row],[Protection]]="", "", tblPiNAnalysis[[#This Row],[Protection]]/tblPiNAnalysis[[#This Row],[Total Population]])</f>
        <v/>
      </c>
      <c r="Z75" s="316">
        <f>IF(tblPiNAnalysis[[#This Row],[Shelter NFI ]]="", "", tblPiNAnalysis[[#This Row],[Shelter NFI ]]/tblPiNAnalysis[[#This Row],[Total Population]])</f>
        <v>6.412699944510121E-2</v>
      </c>
      <c r="AA75" s="317" t="str">
        <f>IF(tblPiNAnalysis[[#This Row],[WASH]]="", "", tblPiNAnalysis[[#This Row],[WASH]]/tblPiNAnalysis[[#This Row],[Total Population]])</f>
        <v/>
      </c>
      <c r="AB75" s="318" t="str">
        <f>IFERROR(IF(tblPiNAnalysis[[#This Row],[CP]]="", "", MROUND(tblPiNAnalysis[[#This Row],[CP]]/tblPiNAnalysis[[#This Row],[Total Population]], 0.05)), "")</f>
        <v/>
      </c>
      <c r="AC75" s="314" t="str">
        <f>IFERROR(IF(tblPiNAnalysis[[#This Row],[GBV]]="", "", MROUND(tblPiNAnalysis[[#This Row],[GBV]]/tblPiNAnalysis[[#This Row],[Total Population]], 0.05)), "")</f>
        <v/>
      </c>
      <c r="AD75" s="314" t="str">
        <f>IFERROR(IF(tblPiNAnalysis[[#This Row],[Mine Action]]="", "", MROUND(tblPiNAnalysis[[#This Row],[Mine Action]]/tblPiNAnalysis[[#This Row],[Total Population]], 0.05)), "")</f>
        <v/>
      </c>
      <c r="AE75" s="314" t="str">
        <f>IFERROR(IF(tblPiNAnalysis[[#This Row],[General Protection]]="", "", MROUND(tblPiNAnalysis[[#This Row],[General Protection]]/tblPiNAnalysis[[#This Row],[Total Population]], 0.05)), "")</f>
        <v/>
      </c>
      <c r="AF75" s="319">
        <f>IFERROR(LARGE(tblPiNAnalysis[[#This Row],[Site Management ]:[General Protection]], 1), "")</f>
        <v>2658</v>
      </c>
      <c r="AG75" s="320">
        <f>IF(tblPiNAnalysis[[#This Row],[Highest PiN]]="", "",tblPiNAnalysis[[#This Row],[Highest PiN]]/ tblPiNAnalysis[[#This Row],[Total Population]])</f>
        <v>6.412699944510121E-2</v>
      </c>
      <c r="AH75" s="320" t="str">
        <f>IFERROR(IF(tblPiNAnalysis[[#This Row],[Highest PiN]]="", "", IF(tblPiNAnalysis[[#This Row],[Highest sector(s'') PiN %]]&gt;=flag_pin_perc, "Flagged", "")), "")</f>
        <v/>
      </c>
      <c r="AI75" s="321"/>
      <c r="AJ75" s="322"/>
      <c r="AK75" s="323">
        <f>COUNTIFS(tblPiNAnalysis[[#This Row],[Highest PiN greater than 90% of total affected population]:[Manual Flag]],"Flagged")</f>
        <v>0</v>
      </c>
      <c r="AL75" s="324" t="str">
        <f>IF(tblPiNAnalysis[[#This Row],['# Flags]]&gt;0, "Flagged", "")</f>
        <v/>
      </c>
    </row>
    <row r="76" spans="1:38" ht="23.1" hidden="1" customHeight="1" x14ac:dyDescent="0.2">
      <c r="A76" s="309" t="str">
        <f>_xlfn.CONCAT(IF(tblPiNAnalysis[[#This Row],[Population Group]]="", "",tblPiNAnalysis[[#This Row],[Population Group]] ), _xlfn.IFS(tblPiNAnalysis[[#This Row],[Admin 2 P-Code]]&lt;&gt;"", tblPiNAnalysis[[#This Row],[Admin 2 P-Code]], tblPiNAnalysis[[#This Row],[Admin 1 P-Code]]&lt;&gt;"", tblPiNAnalysis[[#This Row],[Admin 1 P-Code]]))</f>
        <v>Host CommunitySD03141</v>
      </c>
      <c r="B76" s="245" t="s">
        <v>185</v>
      </c>
      <c r="C76" s="246" t="s">
        <v>120</v>
      </c>
      <c r="D76" s="247" t="s">
        <v>233</v>
      </c>
      <c r="E76" s="246" t="s">
        <v>232</v>
      </c>
      <c r="F76" s="248">
        <v>46725</v>
      </c>
      <c r="G76" s="248" t="s">
        <v>87</v>
      </c>
      <c r="H76" s="310"/>
      <c r="I76" s="311"/>
      <c r="J76" s="312"/>
      <c r="K76" s="311"/>
      <c r="L76" s="311"/>
      <c r="M76" s="312"/>
      <c r="N76" s="312">
        <f>_xlfn.XLOOKUP(CONCATENATE(tblPiNAnalysis[[#This Row],[Admin 2 P-Code]],tblPiNAnalysis[[#This Row],[Population Group]]),'Overall severity &amp; PIN Analysis'!A:A,'Overall severity &amp; PIN Analysis'!P:P,0,0)</f>
        <v>11819</v>
      </c>
      <c r="O76" s="311"/>
      <c r="P76" s="312"/>
      <c r="Q76" s="312"/>
      <c r="R76" s="312"/>
      <c r="S76" s="312"/>
      <c r="T76" s="313" t="str">
        <f>IF(tblPiNAnalysis[[#This Row],[Site Management ]]="", "", tblPiNAnalysis[[#This Row],[Site Management ]]/tblPiNAnalysis[[#This Row],[Total Population]])</f>
        <v/>
      </c>
      <c r="U76" s="314" t="str">
        <f>IF(tblPiNAnalysis[[#This Row],[Education]]="", "", tblPiNAnalysis[[#This Row],[Education]]/tblPiNAnalysis[[#This Row],[Total Population]])</f>
        <v/>
      </c>
      <c r="V76" s="314" t="str">
        <f>IF(tblPiNAnalysis[[#This Row],[Food Security and Livlihoods]]="", "", tblPiNAnalysis[[#This Row],[Food Security and Livlihoods]]/tblPiNAnalysis[[#This Row],[Total Population]])</f>
        <v/>
      </c>
      <c r="W76" s="315" t="str">
        <f>IF(tblPiNAnalysis[[#This Row],[Health ]]="", "", tblPiNAnalysis[[#This Row],[Health ]]/tblPiNAnalysis[[#This Row],[Total Population]])</f>
        <v/>
      </c>
      <c r="X76" s="314" t="str">
        <f>IF(tblPiNAnalysis[[#This Row],[Nutrition]]="", "", tblPiNAnalysis[[#This Row],[Nutrition]]/tblPiNAnalysis[[#This Row],[Total Population]])</f>
        <v/>
      </c>
      <c r="Y76" s="314" t="str">
        <f>IF(tblPiNAnalysis[[#This Row],[Protection]]="", "", tblPiNAnalysis[[#This Row],[Protection]]/tblPiNAnalysis[[#This Row],[Total Population]])</f>
        <v/>
      </c>
      <c r="Z76" s="316">
        <f>IF(tblPiNAnalysis[[#This Row],[Shelter NFI ]]="", "", tblPiNAnalysis[[#This Row],[Shelter NFI ]]/tblPiNAnalysis[[#This Row],[Total Population]])</f>
        <v>0.25294810058855005</v>
      </c>
      <c r="AA76" s="317" t="str">
        <f>IF(tblPiNAnalysis[[#This Row],[WASH]]="", "", tblPiNAnalysis[[#This Row],[WASH]]/tblPiNAnalysis[[#This Row],[Total Population]])</f>
        <v/>
      </c>
      <c r="AB76" s="318" t="str">
        <f>IFERROR(IF(tblPiNAnalysis[[#This Row],[CP]]="", "", MROUND(tblPiNAnalysis[[#This Row],[CP]]/tblPiNAnalysis[[#This Row],[Total Population]], 0.05)), "")</f>
        <v/>
      </c>
      <c r="AC76" s="314" t="str">
        <f>IFERROR(IF(tblPiNAnalysis[[#This Row],[GBV]]="", "", MROUND(tblPiNAnalysis[[#This Row],[GBV]]/tblPiNAnalysis[[#This Row],[Total Population]], 0.05)), "")</f>
        <v/>
      </c>
      <c r="AD76" s="314" t="str">
        <f>IFERROR(IF(tblPiNAnalysis[[#This Row],[Mine Action]]="", "", MROUND(tblPiNAnalysis[[#This Row],[Mine Action]]/tblPiNAnalysis[[#This Row],[Total Population]], 0.05)), "")</f>
        <v/>
      </c>
      <c r="AE76" s="314" t="str">
        <f>IFERROR(IF(tblPiNAnalysis[[#This Row],[General Protection]]="", "", MROUND(tblPiNAnalysis[[#This Row],[General Protection]]/tblPiNAnalysis[[#This Row],[Total Population]], 0.05)), "")</f>
        <v/>
      </c>
      <c r="AF76" s="319">
        <f>IFERROR(LARGE(tblPiNAnalysis[[#This Row],[Site Management ]:[General Protection]], 1), "")</f>
        <v>11819</v>
      </c>
      <c r="AG76" s="320">
        <f>IF(tblPiNAnalysis[[#This Row],[Highest PiN]]="", "",tblPiNAnalysis[[#This Row],[Highest PiN]]/ tblPiNAnalysis[[#This Row],[Total Population]])</f>
        <v>0.25294810058855005</v>
      </c>
      <c r="AH76" s="320" t="str">
        <f>IFERROR(IF(tblPiNAnalysis[[#This Row],[Highest PiN]]="", "", IF(tblPiNAnalysis[[#This Row],[Highest sector(s'') PiN %]]&gt;=flag_pin_perc, "Flagged", "")), "")</f>
        <v/>
      </c>
      <c r="AI76" s="321"/>
      <c r="AJ76" s="322"/>
      <c r="AK76" s="323">
        <f>COUNTIFS(tblPiNAnalysis[[#This Row],[Highest PiN greater than 90% of total affected population]:[Manual Flag]],"Flagged")</f>
        <v>0</v>
      </c>
      <c r="AL76" s="324" t="str">
        <f>IF(tblPiNAnalysis[[#This Row],['# Flags]]&gt;0, "Flagged", "")</f>
        <v/>
      </c>
    </row>
    <row r="77" spans="1:38" ht="23.1" hidden="1" customHeight="1" x14ac:dyDescent="0.2">
      <c r="A77" s="309" t="str">
        <f>_xlfn.CONCAT(IF(tblPiNAnalysis[[#This Row],[Population Group]]="", "",tblPiNAnalysis[[#This Row],[Population Group]] ), _xlfn.IFS(tblPiNAnalysis[[#This Row],[Admin 2 P-Code]]&lt;&gt;"", tblPiNAnalysis[[#This Row],[Admin 2 P-Code]], tblPiNAnalysis[[#This Row],[Admin 1 P-Code]]&lt;&gt;"", tblPiNAnalysis[[#This Row],[Admin 1 P-Code]]))</f>
        <v>IDPsSD03141</v>
      </c>
      <c r="B77" s="245" t="s">
        <v>185</v>
      </c>
      <c r="C77" s="246" t="s">
        <v>120</v>
      </c>
      <c r="D77" s="247" t="s">
        <v>233</v>
      </c>
      <c r="E77" s="246" t="s">
        <v>232</v>
      </c>
      <c r="F77" s="248">
        <v>37790</v>
      </c>
      <c r="G77" s="248" t="s">
        <v>88</v>
      </c>
      <c r="H77" s="310"/>
      <c r="I77" s="311"/>
      <c r="J77" s="312"/>
      <c r="K77" s="311"/>
      <c r="L77" s="311"/>
      <c r="M77" s="312"/>
      <c r="N77" s="312">
        <f>_xlfn.XLOOKUP(CONCATENATE(tblPiNAnalysis[[#This Row],[Admin 2 P-Code]],tblPiNAnalysis[[#This Row],[Population Group]]),'Overall severity &amp; PIN Analysis'!A:A,'Overall severity &amp; PIN Analysis'!P:P,0,0)</f>
        <v>9559</v>
      </c>
      <c r="O77" s="311"/>
      <c r="P77" s="312"/>
      <c r="Q77" s="312"/>
      <c r="R77" s="312"/>
      <c r="S77" s="312"/>
      <c r="T77" s="313" t="str">
        <f>IF(tblPiNAnalysis[[#This Row],[Site Management ]]="", "", tblPiNAnalysis[[#This Row],[Site Management ]]/tblPiNAnalysis[[#This Row],[Total Population]])</f>
        <v/>
      </c>
      <c r="U77" s="314" t="str">
        <f>IF(tblPiNAnalysis[[#This Row],[Education]]="", "", tblPiNAnalysis[[#This Row],[Education]]/tblPiNAnalysis[[#This Row],[Total Population]])</f>
        <v/>
      </c>
      <c r="V77" s="314" t="str">
        <f>IF(tblPiNAnalysis[[#This Row],[Food Security and Livlihoods]]="", "", tblPiNAnalysis[[#This Row],[Food Security and Livlihoods]]/tblPiNAnalysis[[#This Row],[Total Population]])</f>
        <v/>
      </c>
      <c r="W77" s="315" t="str">
        <f>IF(tblPiNAnalysis[[#This Row],[Health ]]="", "", tblPiNAnalysis[[#This Row],[Health ]]/tblPiNAnalysis[[#This Row],[Total Population]])</f>
        <v/>
      </c>
      <c r="X77" s="314" t="str">
        <f>IF(tblPiNAnalysis[[#This Row],[Nutrition]]="", "", tblPiNAnalysis[[#This Row],[Nutrition]]/tblPiNAnalysis[[#This Row],[Total Population]])</f>
        <v/>
      </c>
      <c r="Y77" s="314" t="str">
        <f>IF(tblPiNAnalysis[[#This Row],[Protection]]="", "", tblPiNAnalysis[[#This Row],[Protection]]/tblPiNAnalysis[[#This Row],[Total Population]])</f>
        <v/>
      </c>
      <c r="Z77" s="316">
        <f>IF(tblPiNAnalysis[[#This Row],[Shelter NFI ]]="", "", tblPiNAnalysis[[#This Row],[Shelter NFI ]]/tblPiNAnalysis[[#This Row],[Total Population]])</f>
        <v>0.25295051600952634</v>
      </c>
      <c r="AA77" s="317" t="str">
        <f>IF(tblPiNAnalysis[[#This Row],[WASH]]="", "", tblPiNAnalysis[[#This Row],[WASH]]/tblPiNAnalysis[[#This Row],[Total Population]])</f>
        <v/>
      </c>
      <c r="AB77" s="318" t="str">
        <f>IFERROR(IF(tblPiNAnalysis[[#This Row],[CP]]="", "", MROUND(tblPiNAnalysis[[#This Row],[CP]]/tblPiNAnalysis[[#This Row],[Total Population]], 0.05)), "")</f>
        <v/>
      </c>
      <c r="AC77" s="314" t="str">
        <f>IFERROR(IF(tblPiNAnalysis[[#This Row],[GBV]]="", "", MROUND(tblPiNAnalysis[[#This Row],[GBV]]/tblPiNAnalysis[[#This Row],[Total Population]], 0.05)), "")</f>
        <v/>
      </c>
      <c r="AD77" s="314" t="str">
        <f>IFERROR(IF(tblPiNAnalysis[[#This Row],[Mine Action]]="", "", MROUND(tblPiNAnalysis[[#This Row],[Mine Action]]/tblPiNAnalysis[[#This Row],[Total Population]], 0.05)), "")</f>
        <v/>
      </c>
      <c r="AE77" s="314" t="str">
        <f>IFERROR(IF(tblPiNAnalysis[[#This Row],[General Protection]]="", "", MROUND(tblPiNAnalysis[[#This Row],[General Protection]]/tblPiNAnalysis[[#This Row],[Total Population]], 0.05)), "")</f>
        <v/>
      </c>
      <c r="AF77" s="319">
        <f>IFERROR(LARGE(tblPiNAnalysis[[#This Row],[Site Management ]:[General Protection]], 1), "")</f>
        <v>9559</v>
      </c>
      <c r="AG77" s="320">
        <f>IF(tblPiNAnalysis[[#This Row],[Highest PiN]]="", "",tblPiNAnalysis[[#This Row],[Highest PiN]]/ tblPiNAnalysis[[#This Row],[Total Population]])</f>
        <v>0.25295051600952634</v>
      </c>
      <c r="AH77" s="320" t="str">
        <f>IFERROR(IF(tblPiNAnalysis[[#This Row],[Highest PiN]]="", "", IF(tblPiNAnalysis[[#This Row],[Highest sector(s'') PiN %]]&gt;=flag_pin_perc, "Flagged", "")), "")</f>
        <v/>
      </c>
      <c r="AI77" s="321"/>
      <c r="AJ77" s="322"/>
      <c r="AK77" s="323">
        <f>COUNTIFS(tblPiNAnalysis[[#This Row],[Highest PiN greater than 90% of total affected population]:[Manual Flag]],"Flagged")</f>
        <v>0</v>
      </c>
      <c r="AL77" s="324" t="str">
        <f>IF(tblPiNAnalysis[[#This Row],['# Flags]]&gt;0, "Flagged", "")</f>
        <v/>
      </c>
    </row>
    <row r="78" spans="1:38" ht="23.1" customHeight="1" x14ac:dyDescent="0.2">
      <c r="A78" s="309" t="str">
        <f>_xlfn.CONCAT(IF(tblPiNAnalysis[[#This Row],[Population Group]]="", "",tblPiNAnalysis[[#This Row],[Population Group]] ), _xlfn.IFS(tblPiNAnalysis[[#This Row],[Admin 2 P-Code]]&lt;&gt;"", tblPiNAnalysis[[#This Row],[Admin 2 P-Code]], tblPiNAnalysis[[#This Row],[Admin 1 P-Code]]&lt;&gt;"", tblPiNAnalysis[[#This Row],[Admin 1 P-Code]]))</f>
        <v>Non-hosting PopulationSD03141</v>
      </c>
      <c r="B78" s="245" t="s">
        <v>185</v>
      </c>
      <c r="C78" s="246" t="s">
        <v>120</v>
      </c>
      <c r="D78" s="247" t="s">
        <v>233</v>
      </c>
      <c r="E78" s="246" t="s">
        <v>232</v>
      </c>
      <c r="F78" s="248">
        <v>35088</v>
      </c>
      <c r="G78" s="248" t="s">
        <v>568</v>
      </c>
      <c r="H78" s="310"/>
      <c r="I78" s="311"/>
      <c r="J78" s="312"/>
      <c r="K78" s="311"/>
      <c r="L78" s="311"/>
      <c r="M78" s="312"/>
      <c r="N78" s="312">
        <f>_xlfn.XLOOKUP(CONCATENATE(tblPiNAnalysis[[#This Row],[Admin 2 P-Code]],tblPiNAnalysis[[#This Row],[Population Group]]),'Overall severity &amp; PIN Analysis'!A:A,'Overall severity &amp; PIN Analysis'!P:P,0,0)</f>
        <v>1775</v>
      </c>
      <c r="O78" s="311"/>
      <c r="P78" s="312"/>
      <c r="Q78" s="312"/>
      <c r="R78" s="312"/>
      <c r="S78" s="312"/>
      <c r="T78" s="313" t="str">
        <f>IF(tblPiNAnalysis[[#This Row],[Site Management ]]="", "", tblPiNAnalysis[[#This Row],[Site Management ]]/tblPiNAnalysis[[#This Row],[Total Population]])</f>
        <v/>
      </c>
      <c r="U78" s="314" t="str">
        <f>IF(tblPiNAnalysis[[#This Row],[Education]]="", "", tblPiNAnalysis[[#This Row],[Education]]/tblPiNAnalysis[[#This Row],[Total Population]])</f>
        <v/>
      </c>
      <c r="V78" s="314" t="str">
        <f>IF(tblPiNAnalysis[[#This Row],[Food Security and Livlihoods]]="", "", tblPiNAnalysis[[#This Row],[Food Security and Livlihoods]]/tblPiNAnalysis[[#This Row],[Total Population]])</f>
        <v/>
      </c>
      <c r="W78" s="315" t="str">
        <f>IF(tblPiNAnalysis[[#This Row],[Health ]]="", "", tblPiNAnalysis[[#This Row],[Health ]]/tblPiNAnalysis[[#This Row],[Total Population]])</f>
        <v/>
      </c>
      <c r="X78" s="314" t="str">
        <f>IF(tblPiNAnalysis[[#This Row],[Nutrition]]="", "", tblPiNAnalysis[[#This Row],[Nutrition]]/tblPiNAnalysis[[#This Row],[Total Population]])</f>
        <v/>
      </c>
      <c r="Y78" s="314" t="str">
        <f>IF(tblPiNAnalysis[[#This Row],[Protection]]="", "", tblPiNAnalysis[[#This Row],[Protection]]/tblPiNAnalysis[[#This Row],[Total Population]])</f>
        <v/>
      </c>
      <c r="Z78" s="316">
        <f>IF(tblPiNAnalysis[[#This Row],[Shelter NFI ]]="", "", tblPiNAnalysis[[#This Row],[Shelter NFI ]]/tblPiNAnalysis[[#This Row],[Total Population]])</f>
        <v>5.0587095303237573E-2</v>
      </c>
      <c r="AA78" s="317" t="str">
        <f>IF(tblPiNAnalysis[[#This Row],[WASH]]="", "", tblPiNAnalysis[[#This Row],[WASH]]/tblPiNAnalysis[[#This Row],[Total Population]])</f>
        <v/>
      </c>
      <c r="AB78" s="318" t="str">
        <f>IFERROR(IF(tblPiNAnalysis[[#This Row],[CP]]="", "", MROUND(tblPiNAnalysis[[#This Row],[CP]]/tblPiNAnalysis[[#This Row],[Total Population]], 0.05)), "")</f>
        <v/>
      </c>
      <c r="AC78" s="314" t="str">
        <f>IFERROR(IF(tblPiNAnalysis[[#This Row],[GBV]]="", "", MROUND(tblPiNAnalysis[[#This Row],[GBV]]/tblPiNAnalysis[[#This Row],[Total Population]], 0.05)), "")</f>
        <v/>
      </c>
      <c r="AD78" s="314" t="str">
        <f>IFERROR(IF(tblPiNAnalysis[[#This Row],[Mine Action]]="", "", MROUND(tblPiNAnalysis[[#This Row],[Mine Action]]/tblPiNAnalysis[[#This Row],[Total Population]], 0.05)), "")</f>
        <v/>
      </c>
      <c r="AE78" s="314" t="str">
        <f>IFERROR(IF(tblPiNAnalysis[[#This Row],[General Protection]]="", "", MROUND(tblPiNAnalysis[[#This Row],[General Protection]]/tblPiNAnalysis[[#This Row],[Total Population]], 0.05)), "")</f>
        <v/>
      </c>
      <c r="AF78" s="319">
        <f>IFERROR(LARGE(tblPiNAnalysis[[#This Row],[Site Management ]:[General Protection]], 1), "")</f>
        <v>1775</v>
      </c>
      <c r="AG78" s="320">
        <f>IF(tblPiNAnalysis[[#This Row],[Highest PiN]]="", "",tblPiNAnalysis[[#This Row],[Highest PiN]]/ tblPiNAnalysis[[#This Row],[Total Population]])</f>
        <v>5.0587095303237573E-2</v>
      </c>
      <c r="AH78" s="320" t="str">
        <f>IFERROR(IF(tblPiNAnalysis[[#This Row],[Highest PiN]]="", "", IF(tblPiNAnalysis[[#This Row],[Highest sector(s'') PiN %]]&gt;=flag_pin_perc, "Flagged", "")), "")</f>
        <v/>
      </c>
      <c r="AI78" s="321"/>
      <c r="AJ78" s="322"/>
      <c r="AK78" s="323">
        <f>COUNTIFS(tblPiNAnalysis[[#This Row],[Highest PiN greater than 90% of total affected population]:[Manual Flag]],"Flagged")</f>
        <v>0</v>
      </c>
      <c r="AL78" s="324" t="str">
        <f>IF(tblPiNAnalysis[[#This Row],['# Flags]]&gt;0, "Flagged", "")</f>
        <v/>
      </c>
    </row>
    <row r="79" spans="1:38" ht="23.1" hidden="1" customHeight="1" x14ac:dyDescent="0.2">
      <c r="A79" s="309" t="str">
        <f>_xlfn.CONCAT(IF(tblPiNAnalysis[[#This Row],[Population Group]]="", "",tblPiNAnalysis[[#This Row],[Population Group]] ), _xlfn.IFS(tblPiNAnalysis[[#This Row],[Admin 2 P-Code]]&lt;&gt;"", tblPiNAnalysis[[#This Row],[Admin 2 P-Code]], tblPiNAnalysis[[#This Row],[Admin 1 P-Code]]&lt;&gt;"", tblPiNAnalysis[[#This Row],[Admin 1 P-Code]]))</f>
        <v>Host CommunitySD03143</v>
      </c>
      <c r="B79" s="245" t="s">
        <v>185</v>
      </c>
      <c r="C79" s="246" t="s">
        <v>120</v>
      </c>
      <c r="D79" s="247" t="s">
        <v>235</v>
      </c>
      <c r="E79" s="246" t="s">
        <v>234</v>
      </c>
      <c r="F79" s="248">
        <v>33541</v>
      </c>
      <c r="G79" s="248" t="s">
        <v>87</v>
      </c>
      <c r="H79" s="310"/>
      <c r="I79" s="311"/>
      <c r="J79" s="312"/>
      <c r="K79" s="311"/>
      <c r="L79" s="311"/>
      <c r="M79" s="312"/>
      <c r="N79" s="312">
        <f>_xlfn.XLOOKUP(CONCATENATE(tblPiNAnalysis[[#This Row],[Admin 2 P-Code]],tblPiNAnalysis[[#This Row],[Population Group]]),'Overall severity &amp; PIN Analysis'!A:A,'Overall severity &amp; PIN Analysis'!P:P,0,0)</f>
        <v>18038</v>
      </c>
      <c r="O79" s="311"/>
      <c r="P79" s="312"/>
      <c r="Q79" s="312"/>
      <c r="R79" s="312"/>
      <c r="S79" s="312"/>
      <c r="T79" s="313" t="str">
        <f>IF(tblPiNAnalysis[[#This Row],[Site Management ]]="", "", tblPiNAnalysis[[#This Row],[Site Management ]]/tblPiNAnalysis[[#This Row],[Total Population]])</f>
        <v/>
      </c>
      <c r="U79" s="314" t="str">
        <f>IF(tblPiNAnalysis[[#This Row],[Education]]="", "", tblPiNAnalysis[[#This Row],[Education]]/tblPiNAnalysis[[#This Row],[Total Population]])</f>
        <v/>
      </c>
      <c r="V79" s="314" t="str">
        <f>IF(tblPiNAnalysis[[#This Row],[Food Security and Livlihoods]]="", "", tblPiNAnalysis[[#This Row],[Food Security and Livlihoods]]/tblPiNAnalysis[[#This Row],[Total Population]])</f>
        <v/>
      </c>
      <c r="W79" s="315" t="str">
        <f>IF(tblPiNAnalysis[[#This Row],[Health ]]="", "", tblPiNAnalysis[[#This Row],[Health ]]/tblPiNAnalysis[[#This Row],[Total Population]])</f>
        <v/>
      </c>
      <c r="X79" s="314" t="str">
        <f>IF(tblPiNAnalysis[[#This Row],[Nutrition]]="", "", tblPiNAnalysis[[#This Row],[Nutrition]]/tblPiNAnalysis[[#This Row],[Total Population]])</f>
        <v/>
      </c>
      <c r="Y79" s="314" t="str">
        <f>IF(tblPiNAnalysis[[#This Row],[Protection]]="", "", tblPiNAnalysis[[#This Row],[Protection]]/tblPiNAnalysis[[#This Row],[Total Population]])</f>
        <v/>
      </c>
      <c r="Z79" s="316">
        <f>IF(tblPiNAnalysis[[#This Row],[Shelter NFI ]]="", "", tblPiNAnalysis[[#This Row],[Shelter NFI ]]/tblPiNAnalysis[[#This Row],[Total Population]])</f>
        <v>0.53778957097283919</v>
      </c>
      <c r="AA79" s="317" t="str">
        <f>IF(tblPiNAnalysis[[#This Row],[WASH]]="", "", tblPiNAnalysis[[#This Row],[WASH]]/tblPiNAnalysis[[#This Row],[Total Population]])</f>
        <v/>
      </c>
      <c r="AB79" s="318" t="str">
        <f>IFERROR(IF(tblPiNAnalysis[[#This Row],[CP]]="", "", MROUND(tblPiNAnalysis[[#This Row],[CP]]/tblPiNAnalysis[[#This Row],[Total Population]], 0.05)), "")</f>
        <v/>
      </c>
      <c r="AC79" s="314" t="str">
        <f>IFERROR(IF(tblPiNAnalysis[[#This Row],[GBV]]="", "", MROUND(tblPiNAnalysis[[#This Row],[GBV]]/tblPiNAnalysis[[#This Row],[Total Population]], 0.05)), "")</f>
        <v/>
      </c>
      <c r="AD79" s="314" t="str">
        <f>IFERROR(IF(tblPiNAnalysis[[#This Row],[Mine Action]]="", "", MROUND(tblPiNAnalysis[[#This Row],[Mine Action]]/tblPiNAnalysis[[#This Row],[Total Population]], 0.05)), "")</f>
        <v/>
      </c>
      <c r="AE79" s="314" t="str">
        <f>IFERROR(IF(tblPiNAnalysis[[#This Row],[General Protection]]="", "", MROUND(tblPiNAnalysis[[#This Row],[General Protection]]/tblPiNAnalysis[[#This Row],[Total Population]], 0.05)), "")</f>
        <v/>
      </c>
      <c r="AF79" s="319">
        <f>IFERROR(LARGE(tblPiNAnalysis[[#This Row],[Site Management ]:[General Protection]], 1), "")</f>
        <v>18038</v>
      </c>
      <c r="AG79" s="320">
        <f>IF(tblPiNAnalysis[[#This Row],[Highest PiN]]="", "",tblPiNAnalysis[[#This Row],[Highest PiN]]/ tblPiNAnalysis[[#This Row],[Total Population]])</f>
        <v>0.53778957097283919</v>
      </c>
      <c r="AH79" s="320" t="str">
        <f>IFERROR(IF(tblPiNAnalysis[[#This Row],[Highest PiN]]="", "", IF(tblPiNAnalysis[[#This Row],[Highest sector(s'') PiN %]]&gt;=flag_pin_perc, "Flagged", "")), "")</f>
        <v/>
      </c>
      <c r="AI79" s="321"/>
      <c r="AJ79" s="322"/>
      <c r="AK79" s="323">
        <f>COUNTIFS(tblPiNAnalysis[[#This Row],[Highest PiN greater than 90% of total affected population]:[Manual Flag]],"Flagged")</f>
        <v>0</v>
      </c>
      <c r="AL79" s="324" t="str">
        <f>IF(tblPiNAnalysis[[#This Row],['# Flags]]&gt;0, "Flagged", "")</f>
        <v/>
      </c>
    </row>
    <row r="80" spans="1:38" ht="23.1" hidden="1" customHeight="1" x14ac:dyDescent="0.2">
      <c r="A80" s="309" t="str">
        <f>_xlfn.CONCAT(IF(tblPiNAnalysis[[#This Row],[Population Group]]="", "",tblPiNAnalysis[[#This Row],[Population Group]] ), _xlfn.IFS(tblPiNAnalysis[[#This Row],[Admin 2 P-Code]]&lt;&gt;"", tblPiNAnalysis[[#This Row],[Admin 2 P-Code]], tblPiNAnalysis[[#This Row],[Admin 1 P-Code]]&lt;&gt;"", tblPiNAnalysis[[#This Row],[Admin 1 P-Code]]))</f>
        <v>IDPsSD03143</v>
      </c>
      <c r="B80" s="245" t="s">
        <v>185</v>
      </c>
      <c r="C80" s="246" t="s">
        <v>120</v>
      </c>
      <c r="D80" s="247" t="s">
        <v>235</v>
      </c>
      <c r="E80" s="246" t="s">
        <v>234</v>
      </c>
      <c r="F80" s="248">
        <v>33541</v>
      </c>
      <c r="G80" s="248" t="s">
        <v>88</v>
      </c>
      <c r="H80" s="310"/>
      <c r="I80" s="311"/>
      <c r="J80" s="312"/>
      <c r="K80" s="311"/>
      <c r="L80" s="311"/>
      <c r="M80" s="312"/>
      <c r="N80" s="312">
        <f>_xlfn.XLOOKUP(CONCATENATE(tblPiNAnalysis[[#This Row],[Admin 2 P-Code]],tblPiNAnalysis[[#This Row],[Population Group]]),'Overall severity &amp; PIN Analysis'!A:A,'Overall severity &amp; PIN Analysis'!P:P,0,0)</f>
        <v>18038</v>
      </c>
      <c r="O80" s="311"/>
      <c r="P80" s="312"/>
      <c r="Q80" s="312"/>
      <c r="R80" s="312"/>
      <c r="S80" s="312"/>
      <c r="T80" s="313" t="str">
        <f>IF(tblPiNAnalysis[[#This Row],[Site Management ]]="", "", tblPiNAnalysis[[#This Row],[Site Management ]]/tblPiNAnalysis[[#This Row],[Total Population]])</f>
        <v/>
      </c>
      <c r="U80" s="314" t="str">
        <f>IF(tblPiNAnalysis[[#This Row],[Education]]="", "", tblPiNAnalysis[[#This Row],[Education]]/tblPiNAnalysis[[#This Row],[Total Population]])</f>
        <v/>
      </c>
      <c r="V80" s="314" t="str">
        <f>IF(tblPiNAnalysis[[#This Row],[Food Security and Livlihoods]]="", "", tblPiNAnalysis[[#This Row],[Food Security and Livlihoods]]/tblPiNAnalysis[[#This Row],[Total Population]])</f>
        <v/>
      </c>
      <c r="W80" s="315" t="str">
        <f>IF(tblPiNAnalysis[[#This Row],[Health ]]="", "", tblPiNAnalysis[[#This Row],[Health ]]/tblPiNAnalysis[[#This Row],[Total Population]])</f>
        <v/>
      </c>
      <c r="X80" s="314" t="str">
        <f>IF(tblPiNAnalysis[[#This Row],[Nutrition]]="", "", tblPiNAnalysis[[#This Row],[Nutrition]]/tblPiNAnalysis[[#This Row],[Total Population]])</f>
        <v/>
      </c>
      <c r="Y80" s="314" t="str">
        <f>IF(tblPiNAnalysis[[#This Row],[Protection]]="", "", tblPiNAnalysis[[#This Row],[Protection]]/tblPiNAnalysis[[#This Row],[Total Population]])</f>
        <v/>
      </c>
      <c r="Z80" s="316">
        <f>IF(tblPiNAnalysis[[#This Row],[Shelter NFI ]]="", "", tblPiNAnalysis[[#This Row],[Shelter NFI ]]/tblPiNAnalysis[[#This Row],[Total Population]])</f>
        <v>0.53778957097283919</v>
      </c>
      <c r="AA80" s="317" t="str">
        <f>IF(tblPiNAnalysis[[#This Row],[WASH]]="", "", tblPiNAnalysis[[#This Row],[WASH]]/tblPiNAnalysis[[#This Row],[Total Population]])</f>
        <v/>
      </c>
      <c r="AB80" s="318" t="str">
        <f>IFERROR(IF(tblPiNAnalysis[[#This Row],[CP]]="", "", MROUND(tblPiNAnalysis[[#This Row],[CP]]/tblPiNAnalysis[[#This Row],[Total Population]], 0.05)), "")</f>
        <v/>
      </c>
      <c r="AC80" s="314" t="str">
        <f>IFERROR(IF(tblPiNAnalysis[[#This Row],[GBV]]="", "", MROUND(tblPiNAnalysis[[#This Row],[GBV]]/tblPiNAnalysis[[#This Row],[Total Population]], 0.05)), "")</f>
        <v/>
      </c>
      <c r="AD80" s="314" t="str">
        <f>IFERROR(IF(tblPiNAnalysis[[#This Row],[Mine Action]]="", "", MROUND(tblPiNAnalysis[[#This Row],[Mine Action]]/tblPiNAnalysis[[#This Row],[Total Population]], 0.05)), "")</f>
        <v/>
      </c>
      <c r="AE80" s="314" t="str">
        <f>IFERROR(IF(tblPiNAnalysis[[#This Row],[General Protection]]="", "", MROUND(tblPiNAnalysis[[#This Row],[General Protection]]/tblPiNAnalysis[[#This Row],[Total Population]], 0.05)), "")</f>
        <v/>
      </c>
      <c r="AF80" s="319">
        <f>IFERROR(LARGE(tblPiNAnalysis[[#This Row],[Site Management ]:[General Protection]], 1), "")</f>
        <v>18038</v>
      </c>
      <c r="AG80" s="320">
        <f>IF(tblPiNAnalysis[[#This Row],[Highest PiN]]="", "",tblPiNAnalysis[[#This Row],[Highest PiN]]/ tblPiNAnalysis[[#This Row],[Total Population]])</f>
        <v>0.53778957097283919</v>
      </c>
      <c r="AH80" s="320" t="str">
        <f>IFERROR(IF(tblPiNAnalysis[[#This Row],[Highest PiN]]="", "", IF(tblPiNAnalysis[[#This Row],[Highest sector(s'') PiN %]]&gt;=flag_pin_perc, "Flagged", "")), "")</f>
        <v/>
      </c>
      <c r="AI80" s="321"/>
      <c r="AJ80" s="322"/>
      <c r="AK80" s="323">
        <f>COUNTIFS(tblPiNAnalysis[[#This Row],[Highest PiN greater than 90% of total affected population]:[Manual Flag]],"Flagged")</f>
        <v>0</v>
      </c>
      <c r="AL80" s="324" t="str">
        <f>IF(tblPiNAnalysis[[#This Row],['# Flags]]&gt;0, "Flagged", "")</f>
        <v/>
      </c>
    </row>
    <row r="81" spans="1:38" ht="23.1" customHeight="1" x14ac:dyDescent="0.2">
      <c r="A81" s="309" t="str">
        <f>_xlfn.CONCAT(IF(tblPiNAnalysis[[#This Row],[Population Group]]="", "",tblPiNAnalysis[[#This Row],[Population Group]] ), _xlfn.IFS(tblPiNAnalysis[[#This Row],[Admin 2 P-Code]]&lt;&gt;"", tblPiNAnalysis[[#This Row],[Admin 2 P-Code]], tblPiNAnalysis[[#This Row],[Admin 1 P-Code]]&lt;&gt;"", tblPiNAnalysis[[#This Row],[Admin 1 P-Code]]))</f>
        <v>Non-hosting PopulationSD03143</v>
      </c>
      <c r="B81" s="245" t="s">
        <v>185</v>
      </c>
      <c r="C81" s="246" t="s">
        <v>120</v>
      </c>
      <c r="D81" s="247" t="s">
        <v>235</v>
      </c>
      <c r="E81" s="246" t="s">
        <v>234</v>
      </c>
      <c r="F81" s="248">
        <v>145454</v>
      </c>
      <c r="G81" s="248" t="s">
        <v>568</v>
      </c>
      <c r="H81" s="310"/>
      <c r="I81" s="311"/>
      <c r="J81" s="312"/>
      <c r="K81" s="311"/>
      <c r="L81" s="311"/>
      <c r="M81" s="312"/>
      <c r="N81" s="312">
        <f>_xlfn.XLOOKUP(CONCATENATE(tblPiNAnalysis[[#This Row],[Admin 2 P-Code]],tblPiNAnalysis[[#This Row],[Population Group]]),'Overall severity &amp; PIN Analysis'!A:A,'Overall severity &amp; PIN Analysis'!P:P,0,0)</f>
        <v>2086</v>
      </c>
      <c r="O81" s="311"/>
      <c r="P81" s="312"/>
      <c r="Q81" s="312"/>
      <c r="R81" s="312"/>
      <c r="S81" s="312"/>
      <c r="T81" s="313" t="str">
        <f>IF(tblPiNAnalysis[[#This Row],[Site Management ]]="", "", tblPiNAnalysis[[#This Row],[Site Management ]]/tblPiNAnalysis[[#This Row],[Total Population]])</f>
        <v/>
      </c>
      <c r="U81" s="314" t="str">
        <f>IF(tblPiNAnalysis[[#This Row],[Education]]="", "", tblPiNAnalysis[[#This Row],[Education]]/tblPiNAnalysis[[#This Row],[Total Population]])</f>
        <v/>
      </c>
      <c r="V81" s="314" t="str">
        <f>IF(tblPiNAnalysis[[#This Row],[Food Security and Livlihoods]]="", "", tblPiNAnalysis[[#This Row],[Food Security and Livlihoods]]/tblPiNAnalysis[[#This Row],[Total Population]])</f>
        <v/>
      </c>
      <c r="W81" s="315" t="str">
        <f>IF(tblPiNAnalysis[[#This Row],[Health ]]="", "", tblPiNAnalysis[[#This Row],[Health ]]/tblPiNAnalysis[[#This Row],[Total Population]])</f>
        <v/>
      </c>
      <c r="X81" s="314" t="str">
        <f>IF(tblPiNAnalysis[[#This Row],[Nutrition]]="", "", tblPiNAnalysis[[#This Row],[Nutrition]]/tblPiNAnalysis[[#This Row],[Total Population]])</f>
        <v/>
      </c>
      <c r="Y81" s="314" t="str">
        <f>IF(tblPiNAnalysis[[#This Row],[Protection]]="", "", tblPiNAnalysis[[#This Row],[Protection]]/tblPiNAnalysis[[#This Row],[Total Population]])</f>
        <v/>
      </c>
      <c r="Z81" s="316">
        <f>IF(tblPiNAnalysis[[#This Row],[Shelter NFI ]]="", "", tblPiNAnalysis[[#This Row],[Shelter NFI ]]/tblPiNAnalysis[[#This Row],[Total Population]])</f>
        <v>1.4341303779889174E-2</v>
      </c>
      <c r="AA81" s="317" t="str">
        <f>IF(tblPiNAnalysis[[#This Row],[WASH]]="", "", tblPiNAnalysis[[#This Row],[WASH]]/tblPiNAnalysis[[#This Row],[Total Population]])</f>
        <v/>
      </c>
      <c r="AB81" s="318" t="str">
        <f>IFERROR(IF(tblPiNAnalysis[[#This Row],[CP]]="", "", MROUND(tblPiNAnalysis[[#This Row],[CP]]/tblPiNAnalysis[[#This Row],[Total Population]], 0.05)), "")</f>
        <v/>
      </c>
      <c r="AC81" s="314" t="str">
        <f>IFERROR(IF(tblPiNAnalysis[[#This Row],[GBV]]="", "", MROUND(tblPiNAnalysis[[#This Row],[GBV]]/tblPiNAnalysis[[#This Row],[Total Population]], 0.05)), "")</f>
        <v/>
      </c>
      <c r="AD81" s="314" t="str">
        <f>IFERROR(IF(tblPiNAnalysis[[#This Row],[Mine Action]]="", "", MROUND(tblPiNAnalysis[[#This Row],[Mine Action]]/tblPiNAnalysis[[#This Row],[Total Population]], 0.05)), "")</f>
        <v/>
      </c>
      <c r="AE81" s="314" t="str">
        <f>IFERROR(IF(tblPiNAnalysis[[#This Row],[General Protection]]="", "", MROUND(tblPiNAnalysis[[#This Row],[General Protection]]/tblPiNAnalysis[[#This Row],[Total Population]], 0.05)), "")</f>
        <v/>
      </c>
      <c r="AF81" s="319">
        <f>IFERROR(LARGE(tblPiNAnalysis[[#This Row],[Site Management ]:[General Protection]], 1), "")</f>
        <v>2086</v>
      </c>
      <c r="AG81" s="320">
        <f>IF(tblPiNAnalysis[[#This Row],[Highest PiN]]="", "",tblPiNAnalysis[[#This Row],[Highest PiN]]/ tblPiNAnalysis[[#This Row],[Total Population]])</f>
        <v>1.4341303779889174E-2</v>
      </c>
      <c r="AH81" s="320" t="str">
        <f>IFERROR(IF(tblPiNAnalysis[[#This Row],[Highest PiN]]="", "", IF(tblPiNAnalysis[[#This Row],[Highest sector(s'') PiN %]]&gt;=flag_pin_perc, "Flagged", "")), "")</f>
        <v/>
      </c>
      <c r="AI81" s="321"/>
      <c r="AJ81" s="322"/>
      <c r="AK81" s="323">
        <f>COUNTIFS(tblPiNAnalysis[[#This Row],[Highest PiN greater than 90% of total affected population]:[Manual Flag]],"Flagged")</f>
        <v>0</v>
      </c>
      <c r="AL81" s="324" t="str">
        <f>IF(tblPiNAnalysis[[#This Row],['# Flags]]&gt;0, "Flagged", "")</f>
        <v/>
      </c>
    </row>
    <row r="82" spans="1:38" ht="23.1" hidden="1" customHeight="1" x14ac:dyDescent="0.2">
      <c r="A82" s="309" t="str">
        <f>_xlfn.CONCAT(IF(tblPiNAnalysis[[#This Row],[Population Group]]="", "",tblPiNAnalysis[[#This Row],[Population Group]] ), _xlfn.IFS(tblPiNAnalysis[[#This Row],[Admin 2 P-Code]]&lt;&gt;"", tblPiNAnalysis[[#This Row],[Admin 2 P-Code]], tblPiNAnalysis[[#This Row],[Admin 1 P-Code]]&lt;&gt;"", tblPiNAnalysis[[#This Row],[Admin 1 P-Code]]))</f>
        <v>Host CommunitySD03144</v>
      </c>
      <c r="B82" s="245" t="s">
        <v>185</v>
      </c>
      <c r="C82" s="246" t="s">
        <v>120</v>
      </c>
      <c r="D82" s="247" t="s">
        <v>237</v>
      </c>
      <c r="E82" s="246" t="s">
        <v>236</v>
      </c>
      <c r="F82" s="248">
        <v>153958</v>
      </c>
      <c r="G82" s="248" t="s">
        <v>87</v>
      </c>
      <c r="H82" s="310"/>
      <c r="I82" s="311"/>
      <c r="J82" s="312"/>
      <c r="K82" s="311"/>
      <c r="L82" s="311"/>
      <c r="M82" s="312"/>
      <c r="N82" s="312">
        <f>_xlfn.XLOOKUP(CONCATENATE(tblPiNAnalysis[[#This Row],[Admin 2 P-Code]],tblPiNAnalysis[[#This Row],[Population Group]]),'Overall severity &amp; PIN Analysis'!A:A,'Overall severity &amp; PIN Analysis'!P:P,0,0)</f>
        <v>102181</v>
      </c>
      <c r="O82" s="311"/>
      <c r="P82" s="312"/>
      <c r="Q82" s="312"/>
      <c r="R82" s="312"/>
      <c r="S82" s="312"/>
      <c r="T82" s="313" t="str">
        <f>IF(tblPiNAnalysis[[#This Row],[Site Management ]]="", "", tblPiNAnalysis[[#This Row],[Site Management ]]/tblPiNAnalysis[[#This Row],[Total Population]])</f>
        <v/>
      </c>
      <c r="U82" s="314" t="str">
        <f>IF(tblPiNAnalysis[[#This Row],[Education]]="", "", tblPiNAnalysis[[#This Row],[Education]]/tblPiNAnalysis[[#This Row],[Total Population]])</f>
        <v/>
      </c>
      <c r="V82" s="314" t="str">
        <f>IF(tblPiNAnalysis[[#This Row],[Food Security and Livlihoods]]="", "", tblPiNAnalysis[[#This Row],[Food Security and Livlihoods]]/tblPiNAnalysis[[#This Row],[Total Population]])</f>
        <v/>
      </c>
      <c r="W82" s="315" t="str">
        <f>IF(tblPiNAnalysis[[#This Row],[Health ]]="", "", tblPiNAnalysis[[#This Row],[Health ]]/tblPiNAnalysis[[#This Row],[Total Population]])</f>
        <v/>
      </c>
      <c r="X82" s="314" t="str">
        <f>IF(tblPiNAnalysis[[#This Row],[Nutrition]]="", "", tblPiNAnalysis[[#This Row],[Nutrition]]/tblPiNAnalysis[[#This Row],[Total Population]])</f>
        <v/>
      </c>
      <c r="Y82" s="314" t="str">
        <f>IF(tblPiNAnalysis[[#This Row],[Protection]]="", "", tblPiNAnalysis[[#This Row],[Protection]]/tblPiNAnalysis[[#This Row],[Total Population]])</f>
        <v/>
      </c>
      <c r="Z82" s="316">
        <f>IF(tblPiNAnalysis[[#This Row],[Shelter NFI ]]="", "", tblPiNAnalysis[[#This Row],[Shelter NFI ]]/tblPiNAnalysis[[#This Row],[Total Population]])</f>
        <v>0.66369399446602317</v>
      </c>
      <c r="AA82" s="317" t="str">
        <f>IF(tblPiNAnalysis[[#This Row],[WASH]]="", "", tblPiNAnalysis[[#This Row],[WASH]]/tblPiNAnalysis[[#This Row],[Total Population]])</f>
        <v/>
      </c>
      <c r="AB82" s="318" t="str">
        <f>IFERROR(IF(tblPiNAnalysis[[#This Row],[CP]]="", "", MROUND(tblPiNAnalysis[[#This Row],[CP]]/tblPiNAnalysis[[#This Row],[Total Population]], 0.05)), "")</f>
        <v/>
      </c>
      <c r="AC82" s="314" t="str">
        <f>IFERROR(IF(tblPiNAnalysis[[#This Row],[GBV]]="", "", MROUND(tblPiNAnalysis[[#This Row],[GBV]]/tblPiNAnalysis[[#This Row],[Total Population]], 0.05)), "")</f>
        <v/>
      </c>
      <c r="AD82" s="314" t="str">
        <f>IFERROR(IF(tblPiNAnalysis[[#This Row],[Mine Action]]="", "", MROUND(tblPiNAnalysis[[#This Row],[Mine Action]]/tblPiNAnalysis[[#This Row],[Total Population]], 0.05)), "")</f>
        <v/>
      </c>
      <c r="AE82" s="314" t="str">
        <f>IFERROR(IF(tblPiNAnalysis[[#This Row],[General Protection]]="", "", MROUND(tblPiNAnalysis[[#This Row],[General Protection]]/tblPiNAnalysis[[#This Row],[Total Population]], 0.05)), "")</f>
        <v/>
      </c>
      <c r="AF82" s="319">
        <f>IFERROR(LARGE(tblPiNAnalysis[[#This Row],[Site Management ]:[General Protection]], 1), "")</f>
        <v>102181</v>
      </c>
      <c r="AG82" s="320">
        <f>IF(tblPiNAnalysis[[#This Row],[Highest PiN]]="", "",tblPiNAnalysis[[#This Row],[Highest PiN]]/ tblPiNAnalysis[[#This Row],[Total Population]])</f>
        <v>0.66369399446602317</v>
      </c>
      <c r="AH82" s="320" t="str">
        <f>IFERROR(IF(tblPiNAnalysis[[#This Row],[Highest PiN]]="", "", IF(tblPiNAnalysis[[#This Row],[Highest sector(s'') PiN %]]&gt;=flag_pin_perc, "Flagged", "")), "")</f>
        <v/>
      </c>
      <c r="AI82" s="321"/>
      <c r="AJ82" s="322"/>
      <c r="AK82" s="323">
        <f>COUNTIFS(tblPiNAnalysis[[#This Row],[Highest PiN greater than 90% of total affected population]:[Manual Flag]],"Flagged")</f>
        <v>0</v>
      </c>
      <c r="AL82" s="324" t="str">
        <f>IF(tblPiNAnalysis[[#This Row],['# Flags]]&gt;0, "Flagged", "")</f>
        <v/>
      </c>
    </row>
    <row r="83" spans="1:38" ht="23.1" hidden="1" customHeight="1" x14ac:dyDescent="0.2">
      <c r="A83" s="309" t="str">
        <f>_xlfn.CONCAT(IF(tblPiNAnalysis[[#This Row],[Population Group]]="", "",tblPiNAnalysis[[#This Row],[Population Group]] ), _xlfn.IFS(tblPiNAnalysis[[#This Row],[Admin 2 P-Code]]&lt;&gt;"", tblPiNAnalysis[[#This Row],[Admin 2 P-Code]], tblPiNAnalysis[[#This Row],[Admin 1 P-Code]]&lt;&gt;"", tblPiNAnalysis[[#This Row],[Admin 1 P-Code]]))</f>
        <v>IDPsSD03144</v>
      </c>
      <c r="B83" s="245" t="s">
        <v>185</v>
      </c>
      <c r="C83" s="246" t="s">
        <v>120</v>
      </c>
      <c r="D83" s="247" t="s">
        <v>237</v>
      </c>
      <c r="E83" s="246" t="s">
        <v>236</v>
      </c>
      <c r="F83" s="248">
        <v>153958</v>
      </c>
      <c r="G83" s="248" t="s">
        <v>88</v>
      </c>
      <c r="H83" s="310"/>
      <c r="I83" s="311"/>
      <c r="J83" s="248"/>
      <c r="K83" s="248"/>
      <c r="L83" s="311"/>
      <c r="M83" s="312"/>
      <c r="N83" s="312">
        <f>_xlfn.XLOOKUP(CONCATENATE(tblPiNAnalysis[[#This Row],[Admin 2 P-Code]],tblPiNAnalysis[[#This Row],[Population Group]]),'Overall severity &amp; PIN Analysis'!A:A,'Overall severity &amp; PIN Analysis'!P:P,0,0)</f>
        <v>102181</v>
      </c>
      <c r="O83" s="311"/>
      <c r="P83" s="312"/>
      <c r="Q83" s="312"/>
      <c r="R83" s="312"/>
      <c r="S83" s="312"/>
      <c r="T83" s="313" t="str">
        <f>IF(tblPiNAnalysis[[#This Row],[Site Management ]]="", "", tblPiNAnalysis[[#This Row],[Site Management ]]/tblPiNAnalysis[[#This Row],[Total Population]])</f>
        <v/>
      </c>
      <c r="U83" s="314" t="str">
        <f>IF(tblPiNAnalysis[[#This Row],[Education]]="", "", tblPiNAnalysis[[#This Row],[Education]]/tblPiNAnalysis[[#This Row],[Total Population]])</f>
        <v/>
      </c>
      <c r="V83" s="314" t="str">
        <f>IF(tblPiNAnalysis[[#This Row],[Food Security and Livlihoods]]="", "", tblPiNAnalysis[[#This Row],[Food Security and Livlihoods]]/tblPiNAnalysis[[#This Row],[Total Population]])</f>
        <v/>
      </c>
      <c r="W83" s="315" t="str">
        <f>IF(tblPiNAnalysis[[#This Row],[Health ]]="", "", tblPiNAnalysis[[#This Row],[Health ]]/tblPiNAnalysis[[#This Row],[Total Population]])</f>
        <v/>
      </c>
      <c r="X83" s="314" t="str">
        <f>IF(tblPiNAnalysis[[#This Row],[Nutrition]]="", "", tblPiNAnalysis[[#This Row],[Nutrition]]/tblPiNAnalysis[[#This Row],[Total Population]])</f>
        <v/>
      </c>
      <c r="Y83" s="314" t="str">
        <f>IF(tblPiNAnalysis[[#This Row],[Protection]]="", "", tblPiNAnalysis[[#This Row],[Protection]]/tblPiNAnalysis[[#This Row],[Total Population]])</f>
        <v/>
      </c>
      <c r="Z83" s="316">
        <f>IF(tblPiNAnalysis[[#This Row],[Shelter NFI ]]="", "", tblPiNAnalysis[[#This Row],[Shelter NFI ]]/tblPiNAnalysis[[#This Row],[Total Population]])</f>
        <v>0.66369399446602317</v>
      </c>
      <c r="AA83" s="317" t="str">
        <f>IF(tblPiNAnalysis[[#This Row],[WASH]]="", "", tblPiNAnalysis[[#This Row],[WASH]]/tblPiNAnalysis[[#This Row],[Total Population]])</f>
        <v/>
      </c>
      <c r="AB83" s="318" t="str">
        <f>IFERROR(IF(tblPiNAnalysis[[#This Row],[CP]]="", "", MROUND(tblPiNAnalysis[[#This Row],[CP]]/tblPiNAnalysis[[#This Row],[Total Population]], 0.05)), "")</f>
        <v/>
      </c>
      <c r="AC83" s="314" t="str">
        <f>IFERROR(IF(tblPiNAnalysis[[#This Row],[GBV]]="", "", MROUND(tblPiNAnalysis[[#This Row],[GBV]]/tblPiNAnalysis[[#This Row],[Total Population]], 0.05)), "")</f>
        <v/>
      </c>
      <c r="AD83" s="314" t="str">
        <f>IFERROR(IF(tblPiNAnalysis[[#This Row],[Mine Action]]="", "", MROUND(tblPiNAnalysis[[#This Row],[Mine Action]]/tblPiNAnalysis[[#This Row],[Total Population]], 0.05)), "")</f>
        <v/>
      </c>
      <c r="AE83" s="314" t="str">
        <f>IFERROR(IF(tblPiNAnalysis[[#This Row],[General Protection]]="", "", MROUND(tblPiNAnalysis[[#This Row],[General Protection]]/tblPiNAnalysis[[#This Row],[Total Population]], 0.05)), "")</f>
        <v/>
      </c>
      <c r="AF83" s="319">
        <f>IFERROR(LARGE(tblPiNAnalysis[[#This Row],[Site Management ]:[General Protection]], 1), "")</f>
        <v>102181</v>
      </c>
      <c r="AG83" s="320">
        <f>IF(tblPiNAnalysis[[#This Row],[Highest PiN]]="", "",tblPiNAnalysis[[#This Row],[Highest PiN]]/ tblPiNAnalysis[[#This Row],[Total Population]])</f>
        <v>0.66369399446602317</v>
      </c>
      <c r="AH83" s="320" t="str">
        <f>IFERROR(IF(tblPiNAnalysis[[#This Row],[Highest PiN]]="", "", IF(tblPiNAnalysis[[#This Row],[Highest sector(s'') PiN %]]&gt;=flag_pin_perc, "Flagged", "")), "")</f>
        <v/>
      </c>
      <c r="AI83" s="321"/>
      <c r="AJ83" s="322"/>
      <c r="AK83" s="323">
        <f>COUNTIFS(tblPiNAnalysis[[#This Row],[Highest PiN greater than 90% of total affected population]:[Manual Flag]],"Flagged")</f>
        <v>0</v>
      </c>
      <c r="AL83" s="324" t="str">
        <f>IF(tblPiNAnalysis[[#This Row],['# Flags]]&gt;0, "Flagged", "")</f>
        <v/>
      </c>
    </row>
    <row r="84" spans="1:38" ht="23.1" customHeight="1" x14ac:dyDescent="0.2">
      <c r="A84" s="309" t="str">
        <f>_xlfn.CONCAT(IF(tblPiNAnalysis[[#This Row],[Population Group]]="", "",tblPiNAnalysis[[#This Row],[Population Group]] ), _xlfn.IFS(tblPiNAnalysis[[#This Row],[Admin 2 P-Code]]&lt;&gt;"", tblPiNAnalysis[[#This Row],[Admin 2 P-Code]], tblPiNAnalysis[[#This Row],[Admin 1 P-Code]]&lt;&gt;"", tblPiNAnalysis[[#This Row],[Admin 1 P-Code]]))</f>
        <v>Non-hosting PopulationSD03144</v>
      </c>
      <c r="B84" s="245" t="s">
        <v>185</v>
      </c>
      <c r="C84" s="246" t="s">
        <v>120</v>
      </c>
      <c r="D84" s="247" t="s">
        <v>237</v>
      </c>
      <c r="E84" s="246" t="s">
        <v>236</v>
      </c>
      <c r="F84" s="248">
        <v>17373</v>
      </c>
      <c r="G84" s="248" t="s">
        <v>568</v>
      </c>
      <c r="H84" s="310"/>
      <c r="I84" s="311"/>
      <c r="J84" s="312"/>
      <c r="K84" s="311"/>
      <c r="L84" s="311"/>
      <c r="M84" s="312"/>
      <c r="N84" s="312">
        <f>_xlfn.XLOOKUP(CONCATENATE(tblPiNAnalysis[[#This Row],[Admin 2 P-Code]],tblPiNAnalysis[[#This Row],[Population Group]]),'Overall severity &amp; PIN Analysis'!A:A,'Overall severity &amp; PIN Analysis'!P:P,0,0)</f>
        <v>6302</v>
      </c>
      <c r="O84" s="311"/>
      <c r="P84" s="312"/>
      <c r="Q84" s="312"/>
      <c r="R84" s="312"/>
      <c r="S84" s="312"/>
      <c r="T84" s="313" t="str">
        <f>IF(tblPiNAnalysis[[#This Row],[Site Management ]]="", "", tblPiNAnalysis[[#This Row],[Site Management ]]/tblPiNAnalysis[[#This Row],[Total Population]])</f>
        <v/>
      </c>
      <c r="U84" s="314" t="str">
        <f>IF(tblPiNAnalysis[[#This Row],[Education]]="", "", tblPiNAnalysis[[#This Row],[Education]]/tblPiNAnalysis[[#This Row],[Total Population]])</f>
        <v/>
      </c>
      <c r="V84" s="314" t="str">
        <f>IF(tblPiNAnalysis[[#This Row],[Food Security and Livlihoods]]="", "", tblPiNAnalysis[[#This Row],[Food Security and Livlihoods]]/tblPiNAnalysis[[#This Row],[Total Population]])</f>
        <v/>
      </c>
      <c r="W84" s="315" t="str">
        <f>IF(tblPiNAnalysis[[#This Row],[Health ]]="", "", tblPiNAnalysis[[#This Row],[Health ]]/tblPiNAnalysis[[#This Row],[Total Population]])</f>
        <v/>
      </c>
      <c r="X84" s="314" t="str">
        <f>IF(tblPiNAnalysis[[#This Row],[Nutrition]]="", "", tblPiNAnalysis[[#This Row],[Nutrition]]/tblPiNAnalysis[[#This Row],[Total Population]])</f>
        <v/>
      </c>
      <c r="Y84" s="314" t="str">
        <f>IF(tblPiNAnalysis[[#This Row],[Protection]]="", "", tblPiNAnalysis[[#This Row],[Protection]]/tblPiNAnalysis[[#This Row],[Total Population]])</f>
        <v/>
      </c>
      <c r="Z84" s="316">
        <f>IF(tblPiNAnalysis[[#This Row],[Shelter NFI ]]="", "", tblPiNAnalysis[[#This Row],[Shelter NFI ]]/tblPiNAnalysis[[#This Row],[Total Population]])</f>
        <v>0.36274679099752488</v>
      </c>
      <c r="AA84" s="317" t="str">
        <f>IF(tblPiNAnalysis[[#This Row],[WASH]]="", "", tblPiNAnalysis[[#This Row],[WASH]]/tblPiNAnalysis[[#This Row],[Total Population]])</f>
        <v/>
      </c>
      <c r="AB84" s="318" t="str">
        <f>IFERROR(IF(tblPiNAnalysis[[#This Row],[CP]]="", "", MROUND(tblPiNAnalysis[[#This Row],[CP]]/tblPiNAnalysis[[#This Row],[Total Population]], 0.05)), "")</f>
        <v/>
      </c>
      <c r="AC84" s="314" t="str">
        <f>IFERROR(IF(tblPiNAnalysis[[#This Row],[GBV]]="", "", MROUND(tblPiNAnalysis[[#This Row],[GBV]]/tblPiNAnalysis[[#This Row],[Total Population]], 0.05)), "")</f>
        <v/>
      </c>
      <c r="AD84" s="314" t="str">
        <f>IFERROR(IF(tblPiNAnalysis[[#This Row],[Mine Action]]="", "", MROUND(tblPiNAnalysis[[#This Row],[Mine Action]]/tblPiNAnalysis[[#This Row],[Total Population]], 0.05)), "")</f>
        <v/>
      </c>
      <c r="AE84" s="314" t="str">
        <f>IFERROR(IF(tblPiNAnalysis[[#This Row],[General Protection]]="", "", MROUND(tblPiNAnalysis[[#This Row],[General Protection]]/tblPiNAnalysis[[#This Row],[Total Population]], 0.05)), "")</f>
        <v/>
      </c>
      <c r="AF84" s="319">
        <f>IFERROR(LARGE(tblPiNAnalysis[[#This Row],[Site Management ]:[General Protection]], 1), "")</f>
        <v>6302</v>
      </c>
      <c r="AG84" s="320">
        <f>IF(tblPiNAnalysis[[#This Row],[Highest PiN]]="", "",tblPiNAnalysis[[#This Row],[Highest PiN]]/ tblPiNAnalysis[[#This Row],[Total Population]])</f>
        <v>0.36274679099752488</v>
      </c>
      <c r="AH84" s="320" t="str">
        <f>IFERROR(IF(tblPiNAnalysis[[#This Row],[Highest PiN]]="", "", IF(tblPiNAnalysis[[#This Row],[Highest sector(s'') PiN %]]&gt;=flag_pin_perc, "Flagged", "")), "")</f>
        <v/>
      </c>
      <c r="AI84" s="321"/>
      <c r="AJ84" s="322"/>
      <c r="AK84" s="323">
        <f>COUNTIFS(tblPiNAnalysis[[#This Row],[Highest PiN greater than 90% of total affected population]:[Manual Flag]],"Flagged")</f>
        <v>0</v>
      </c>
      <c r="AL84" s="324" t="str">
        <f>IF(tblPiNAnalysis[[#This Row],['# Flags]]&gt;0, "Flagged", "")</f>
        <v/>
      </c>
    </row>
    <row r="85" spans="1:38" ht="23.1" hidden="1" customHeight="1" x14ac:dyDescent="0.2">
      <c r="A85" s="309" t="str">
        <f>_xlfn.CONCAT(IF(tblPiNAnalysis[[#This Row],[Population Group]]="", "",tblPiNAnalysis[[#This Row],[Population Group]] ), _xlfn.IFS(tblPiNAnalysis[[#This Row],[Admin 2 P-Code]]&lt;&gt;"", tblPiNAnalysis[[#This Row],[Admin 2 P-Code]], tblPiNAnalysis[[#This Row],[Admin 1 P-Code]]&lt;&gt;"", tblPiNAnalysis[[#This Row],[Admin 1 P-Code]]))</f>
        <v>Host CommunitySD03145</v>
      </c>
      <c r="B85" s="245" t="s">
        <v>185</v>
      </c>
      <c r="C85" s="246" t="s">
        <v>120</v>
      </c>
      <c r="D85" s="247" t="s">
        <v>239</v>
      </c>
      <c r="E85" s="246" t="s">
        <v>238</v>
      </c>
      <c r="F85" s="248">
        <v>525</v>
      </c>
      <c r="G85" s="248" t="s">
        <v>87</v>
      </c>
      <c r="H85" s="310"/>
      <c r="I85" s="311"/>
      <c r="J85" s="248"/>
      <c r="K85" s="248"/>
      <c r="L85" s="311"/>
      <c r="M85" s="312"/>
      <c r="N85" s="312">
        <f>_xlfn.XLOOKUP(CONCATENATE(tblPiNAnalysis[[#This Row],[Admin 2 P-Code]],tblPiNAnalysis[[#This Row],[Population Group]]),'Overall severity &amp; PIN Analysis'!A:A,'Overall severity &amp; PIN Analysis'!P:P,0,0)</f>
        <v>279</v>
      </c>
      <c r="O85" s="311"/>
      <c r="P85" s="312"/>
      <c r="Q85" s="312"/>
      <c r="R85" s="312"/>
      <c r="S85" s="312"/>
      <c r="T85" s="313" t="str">
        <f>IF(tblPiNAnalysis[[#This Row],[Site Management ]]="", "", tblPiNAnalysis[[#This Row],[Site Management ]]/tblPiNAnalysis[[#This Row],[Total Population]])</f>
        <v/>
      </c>
      <c r="U85" s="314" t="str">
        <f>IF(tblPiNAnalysis[[#This Row],[Education]]="", "", tblPiNAnalysis[[#This Row],[Education]]/tblPiNAnalysis[[#This Row],[Total Population]])</f>
        <v/>
      </c>
      <c r="V85" s="314" t="str">
        <f>IF(tblPiNAnalysis[[#This Row],[Food Security and Livlihoods]]="", "", tblPiNAnalysis[[#This Row],[Food Security and Livlihoods]]/tblPiNAnalysis[[#This Row],[Total Population]])</f>
        <v/>
      </c>
      <c r="W85" s="315" t="str">
        <f>IF(tblPiNAnalysis[[#This Row],[Health ]]="", "", tblPiNAnalysis[[#This Row],[Health ]]/tblPiNAnalysis[[#This Row],[Total Population]])</f>
        <v/>
      </c>
      <c r="X85" s="314" t="str">
        <f>IF(tblPiNAnalysis[[#This Row],[Nutrition]]="", "", tblPiNAnalysis[[#This Row],[Nutrition]]/tblPiNAnalysis[[#This Row],[Total Population]])</f>
        <v/>
      </c>
      <c r="Y85" s="314" t="str">
        <f>IF(tblPiNAnalysis[[#This Row],[Protection]]="", "", tblPiNAnalysis[[#This Row],[Protection]]/tblPiNAnalysis[[#This Row],[Total Population]])</f>
        <v/>
      </c>
      <c r="Z85" s="316">
        <f>IF(tblPiNAnalysis[[#This Row],[Shelter NFI ]]="", "", tblPiNAnalysis[[#This Row],[Shelter NFI ]]/tblPiNAnalysis[[#This Row],[Total Population]])</f>
        <v>0.53142857142857147</v>
      </c>
      <c r="AA85" s="317" t="str">
        <f>IF(tblPiNAnalysis[[#This Row],[WASH]]="", "", tblPiNAnalysis[[#This Row],[WASH]]/tblPiNAnalysis[[#This Row],[Total Population]])</f>
        <v/>
      </c>
      <c r="AB85" s="318" t="str">
        <f>IFERROR(IF(tblPiNAnalysis[[#This Row],[CP]]="", "", MROUND(tblPiNAnalysis[[#This Row],[CP]]/tblPiNAnalysis[[#This Row],[Total Population]], 0.05)), "")</f>
        <v/>
      </c>
      <c r="AC85" s="314" t="str">
        <f>IFERROR(IF(tblPiNAnalysis[[#This Row],[GBV]]="", "", MROUND(tblPiNAnalysis[[#This Row],[GBV]]/tblPiNAnalysis[[#This Row],[Total Population]], 0.05)), "")</f>
        <v/>
      </c>
      <c r="AD85" s="314" t="str">
        <f>IFERROR(IF(tblPiNAnalysis[[#This Row],[Mine Action]]="", "", MROUND(tblPiNAnalysis[[#This Row],[Mine Action]]/tblPiNAnalysis[[#This Row],[Total Population]], 0.05)), "")</f>
        <v/>
      </c>
      <c r="AE85" s="314" t="str">
        <f>IFERROR(IF(tblPiNAnalysis[[#This Row],[General Protection]]="", "", MROUND(tblPiNAnalysis[[#This Row],[General Protection]]/tblPiNAnalysis[[#This Row],[Total Population]], 0.05)), "")</f>
        <v/>
      </c>
      <c r="AF85" s="319">
        <f>IFERROR(LARGE(tblPiNAnalysis[[#This Row],[Site Management ]:[General Protection]], 1), "")</f>
        <v>279</v>
      </c>
      <c r="AG85" s="320">
        <f>IF(tblPiNAnalysis[[#This Row],[Highest PiN]]="", "",tblPiNAnalysis[[#This Row],[Highest PiN]]/ tblPiNAnalysis[[#This Row],[Total Population]])</f>
        <v>0.53142857142857147</v>
      </c>
      <c r="AH85" s="320" t="str">
        <f>IFERROR(IF(tblPiNAnalysis[[#This Row],[Highest PiN]]="", "", IF(tblPiNAnalysis[[#This Row],[Highest sector(s'') PiN %]]&gt;=flag_pin_perc, "Flagged", "")), "")</f>
        <v/>
      </c>
      <c r="AI85" s="321"/>
      <c r="AJ85" s="322"/>
      <c r="AK85" s="323">
        <f>COUNTIFS(tblPiNAnalysis[[#This Row],[Highest PiN greater than 90% of total affected population]:[Manual Flag]],"Flagged")</f>
        <v>0</v>
      </c>
      <c r="AL85" s="324" t="str">
        <f>IF(tblPiNAnalysis[[#This Row],['# Flags]]&gt;0, "Flagged", "")</f>
        <v/>
      </c>
    </row>
    <row r="86" spans="1:38" ht="23.1" hidden="1" customHeight="1" x14ac:dyDescent="0.2">
      <c r="A86" s="309" t="str">
        <f>_xlfn.CONCAT(IF(tblPiNAnalysis[[#This Row],[Population Group]]="", "",tblPiNAnalysis[[#This Row],[Population Group]] ), _xlfn.IFS(tblPiNAnalysis[[#This Row],[Admin 2 P-Code]]&lt;&gt;"", tblPiNAnalysis[[#This Row],[Admin 2 P-Code]], tblPiNAnalysis[[#This Row],[Admin 1 P-Code]]&lt;&gt;"", tblPiNAnalysis[[#This Row],[Admin 1 P-Code]]))</f>
        <v>IDPsSD03145</v>
      </c>
      <c r="B86" s="245" t="s">
        <v>185</v>
      </c>
      <c r="C86" s="246" t="s">
        <v>120</v>
      </c>
      <c r="D86" s="247" t="s">
        <v>239</v>
      </c>
      <c r="E86" s="246" t="s">
        <v>238</v>
      </c>
      <c r="F86" s="248">
        <v>80145</v>
      </c>
      <c r="G86" s="248" t="s">
        <v>88</v>
      </c>
      <c r="H86" s="310"/>
      <c r="I86" s="311"/>
      <c r="J86" s="312"/>
      <c r="K86" s="311"/>
      <c r="L86" s="311"/>
      <c r="M86" s="312"/>
      <c r="N86" s="312">
        <f>_xlfn.XLOOKUP(CONCATENATE(tblPiNAnalysis[[#This Row],[Admin 2 P-Code]],tblPiNAnalysis[[#This Row],[Population Group]]),'Overall severity &amp; PIN Analysis'!A:A,'Overall severity &amp; PIN Analysis'!P:P,0,0)</f>
        <v>42474</v>
      </c>
      <c r="O86" s="311"/>
      <c r="P86" s="312"/>
      <c r="Q86" s="312"/>
      <c r="R86" s="312"/>
      <c r="S86" s="312"/>
      <c r="T86" s="313" t="str">
        <f>IF(tblPiNAnalysis[[#This Row],[Site Management ]]="", "", tblPiNAnalysis[[#This Row],[Site Management ]]/tblPiNAnalysis[[#This Row],[Total Population]])</f>
        <v/>
      </c>
      <c r="U86" s="314" t="str">
        <f>IF(tblPiNAnalysis[[#This Row],[Education]]="", "", tblPiNAnalysis[[#This Row],[Education]]/tblPiNAnalysis[[#This Row],[Total Population]])</f>
        <v/>
      </c>
      <c r="V86" s="314" t="str">
        <f>IF(tblPiNAnalysis[[#This Row],[Food Security and Livlihoods]]="", "", tblPiNAnalysis[[#This Row],[Food Security and Livlihoods]]/tblPiNAnalysis[[#This Row],[Total Population]])</f>
        <v/>
      </c>
      <c r="W86" s="315" t="str">
        <f>IF(tblPiNAnalysis[[#This Row],[Health ]]="", "", tblPiNAnalysis[[#This Row],[Health ]]/tblPiNAnalysis[[#This Row],[Total Population]])</f>
        <v/>
      </c>
      <c r="X86" s="314" t="str">
        <f>IF(tblPiNAnalysis[[#This Row],[Nutrition]]="", "", tblPiNAnalysis[[#This Row],[Nutrition]]/tblPiNAnalysis[[#This Row],[Total Population]])</f>
        <v/>
      </c>
      <c r="Y86" s="314" t="str">
        <f>IF(tblPiNAnalysis[[#This Row],[Protection]]="", "", tblPiNAnalysis[[#This Row],[Protection]]/tblPiNAnalysis[[#This Row],[Total Population]])</f>
        <v/>
      </c>
      <c r="Z86" s="316">
        <f>IF(tblPiNAnalysis[[#This Row],[Shelter NFI ]]="", "", tblPiNAnalysis[[#This Row],[Shelter NFI ]]/tblPiNAnalysis[[#This Row],[Total Population]])</f>
        <v>0.52996443945349059</v>
      </c>
      <c r="AA86" s="317" t="str">
        <f>IF(tblPiNAnalysis[[#This Row],[WASH]]="", "", tblPiNAnalysis[[#This Row],[WASH]]/tblPiNAnalysis[[#This Row],[Total Population]])</f>
        <v/>
      </c>
      <c r="AB86" s="318" t="str">
        <f>IFERROR(IF(tblPiNAnalysis[[#This Row],[CP]]="", "", MROUND(tblPiNAnalysis[[#This Row],[CP]]/tblPiNAnalysis[[#This Row],[Total Population]], 0.05)), "")</f>
        <v/>
      </c>
      <c r="AC86" s="314" t="str">
        <f>IFERROR(IF(tblPiNAnalysis[[#This Row],[GBV]]="", "", MROUND(tblPiNAnalysis[[#This Row],[GBV]]/tblPiNAnalysis[[#This Row],[Total Population]], 0.05)), "")</f>
        <v/>
      </c>
      <c r="AD86" s="314" t="str">
        <f>IFERROR(IF(tblPiNAnalysis[[#This Row],[Mine Action]]="", "", MROUND(tblPiNAnalysis[[#This Row],[Mine Action]]/tblPiNAnalysis[[#This Row],[Total Population]], 0.05)), "")</f>
        <v/>
      </c>
      <c r="AE86" s="314" t="str">
        <f>IFERROR(IF(tblPiNAnalysis[[#This Row],[General Protection]]="", "", MROUND(tblPiNAnalysis[[#This Row],[General Protection]]/tblPiNAnalysis[[#This Row],[Total Population]], 0.05)), "")</f>
        <v/>
      </c>
      <c r="AF86" s="319">
        <f>IFERROR(LARGE(tblPiNAnalysis[[#This Row],[Site Management ]:[General Protection]], 1), "")</f>
        <v>42474</v>
      </c>
      <c r="AG86" s="320">
        <f>IF(tblPiNAnalysis[[#This Row],[Highest PiN]]="", "",tblPiNAnalysis[[#This Row],[Highest PiN]]/ tblPiNAnalysis[[#This Row],[Total Population]])</f>
        <v>0.52996443945349059</v>
      </c>
      <c r="AH86" s="320" t="str">
        <f>IFERROR(IF(tblPiNAnalysis[[#This Row],[Highest PiN]]="", "", IF(tblPiNAnalysis[[#This Row],[Highest sector(s'') PiN %]]&gt;=flag_pin_perc, "Flagged", "")), "")</f>
        <v/>
      </c>
      <c r="AI86" s="321"/>
      <c r="AJ86" s="322"/>
      <c r="AK86" s="323">
        <f>COUNTIFS(tblPiNAnalysis[[#This Row],[Highest PiN greater than 90% of total affected population]:[Manual Flag]],"Flagged")</f>
        <v>0</v>
      </c>
      <c r="AL86" s="324" t="str">
        <f>IF(tblPiNAnalysis[[#This Row],['# Flags]]&gt;0, "Flagged", "")</f>
        <v/>
      </c>
    </row>
    <row r="87" spans="1:38" ht="23.1" customHeight="1" x14ac:dyDescent="0.2">
      <c r="A87" s="309" t="str">
        <f>_xlfn.CONCAT(IF(tblPiNAnalysis[[#This Row],[Population Group]]="", "",tblPiNAnalysis[[#This Row],[Population Group]] ), _xlfn.IFS(tblPiNAnalysis[[#This Row],[Admin 2 P-Code]]&lt;&gt;"", tblPiNAnalysis[[#This Row],[Admin 2 P-Code]], tblPiNAnalysis[[#This Row],[Admin 1 P-Code]]&lt;&gt;"", tblPiNAnalysis[[#This Row],[Admin 1 P-Code]]))</f>
        <v>Non-hosting PopulationSD03145</v>
      </c>
      <c r="B87" s="245" t="s">
        <v>185</v>
      </c>
      <c r="C87" s="246" t="s">
        <v>120</v>
      </c>
      <c r="D87" s="247" t="s">
        <v>239</v>
      </c>
      <c r="E87" s="246" t="s">
        <v>238</v>
      </c>
      <c r="F87" s="248">
        <v>0</v>
      </c>
      <c r="G87" s="248" t="s">
        <v>568</v>
      </c>
      <c r="H87" s="310"/>
      <c r="I87" s="311"/>
      <c r="J87" s="312"/>
      <c r="K87" s="311"/>
      <c r="L87" s="311"/>
      <c r="M87" s="312"/>
      <c r="N87" s="312">
        <f>_xlfn.XLOOKUP(CONCATENATE(tblPiNAnalysis[[#This Row],[Admin 2 P-Code]],tblPiNAnalysis[[#This Row],[Population Group]]),'Overall severity &amp; PIN Analysis'!A:A,'Overall severity &amp; PIN Analysis'!P:P,0,0)</f>
        <v>0</v>
      </c>
      <c r="O87" s="311"/>
      <c r="P87" s="312"/>
      <c r="Q87" s="312"/>
      <c r="R87" s="312"/>
      <c r="S87" s="312"/>
      <c r="T87" s="313" t="str">
        <f>IF(tblPiNAnalysis[[#This Row],[Site Management ]]="", "", tblPiNAnalysis[[#This Row],[Site Management ]]/tblPiNAnalysis[[#This Row],[Total Population]])</f>
        <v/>
      </c>
      <c r="U87" s="314" t="str">
        <f>IF(tblPiNAnalysis[[#This Row],[Education]]="", "", tblPiNAnalysis[[#This Row],[Education]]/tblPiNAnalysis[[#This Row],[Total Population]])</f>
        <v/>
      </c>
      <c r="V87" s="314" t="str">
        <f>IF(tblPiNAnalysis[[#This Row],[Food Security and Livlihoods]]="", "", tblPiNAnalysis[[#This Row],[Food Security and Livlihoods]]/tblPiNAnalysis[[#This Row],[Total Population]])</f>
        <v/>
      </c>
      <c r="W87" s="315" t="str">
        <f>IF(tblPiNAnalysis[[#This Row],[Health ]]="", "", tblPiNAnalysis[[#This Row],[Health ]]/tblPiNAnalysis[[#This Row],[Total Population]])</f>
        <v/>
      </c>
      <c r="X87" s="314" t="str">
        <f>IF(tblPiNAnalysis[[#This Row],[Nutrition]]="", "", tblPiNAnalysis[[#This Row],[Nutrition]]/tblPiNAnalysis[[#This Row],[Total Population]])</f>
        <v/>
      </c>
      <c r="Y87" s="314" t="str">
        <f>IF(tblPiNAnalysis[[#This Row],[Protection]]="", "", tblPiNAnalysis[[#This Row],[Protection]]/tblPiNAnalysis[[#This Row],[Total Population]])</f>
        <v/>
      </c>
      <c r="Z87" s="316" t="e">
        <f>IF(tblPiNAnalysis[[#This Row],[Shelter NFI ]]="", "", tblPiNAnalysis[[#This Row],[Shelter NFI ]]/tblPiNAnalysis[[#This Row],[Total Population]])</f>
        <v>#DIV/0!</v>
      </c>
      <c r="AA87" s="317" t="str">
        <f>IF(tblPiNAnalysis[[#This Row],[WASH]]="", "", tblPiNAnalysis[[#This Row],[WASH]]/tblPiNAnalysis[[#This Row],[Total Population]])</f>
        <v/>
      </c>
      <c r="AB87" s="318" t="str">
        <f>IFERROR(IF(tblPiNAnalysis[[#This Row],[CP]]="", "", MROUND(tblPiNAnalysis[[#This Row],[CP]]/tblPiNAnalysis[[#This Row],[Total Population]], 0.05)), "")</f>
        <v/>
      </c>
      <c r="AC87" s="314" t="str">
        <f>IFERROR(IF(tblPiNAnalysis[[#This Row],[GBV]]="", "", MROUND(tblPiNAnalysis[[#This Row],[GBV]]/tblPiNAnalysis[[#This Row],[Total Population]], 0.05)), "")</f>
        <v/>
      </c>
      <c r="AD87" s="314" t="str">
        <f>IFERROR(IF(tblPiNAnalysis[[#This Row],[Mine Action]]="", "", MROUND(tblPiNAnalysis[[#This Row],[Mine Action]]/tblPiNAnalysis[[#This Row],[Total Population]], 0.05)), "")</f>
        <v/>
      </c>
      <c r="AE87" s="314" t="str">
        <f>IFERROR(IF(tblPiNAnalysis[[#This Row],[General Protection]]="", "", MROUND(tblPiNAnalysis[[#This Row],[General Protection]]/tblPiNAnalysis[[#This Row],[Total Population]], 0.05)), "")</f>
        <v/>
      </c>
      <c r="AF87" s="319">
        <f>IFERROR(LARGE(tblPiNAnalysis[[#This Row],[Site Management ]:[General Protection]], 1), "")</f>
        <v>0</v>
      </c>
      <c r="AG87" s="320" t="e">
        <f>IF(tblPiNAnalysis[[#This Row],[Highest PiN]]="", "",tblPiNAnalysis[[#This Row],[Highest PiN]]/ tblPiNAnalysis[[#This Row],[Total Population]])</f>
        <v>#DIV/0!</v>
      </c>
      <c r="AH87" s="320" t="str">
        <f>IFERROR(IF(tblPiNAnalysis[[#This Row],[Highest PiN]]="", "", IF(tblPiNAnalysis[[#This Row],[Highest sector(s'') PiN %]]&gt;=flag_pin_perc, "Flagged", "")), "")</f>
        <v/>
      </c>
      <c r="AI87" s="321"/>
      <c r="AJ87" s="322"/>
      <c r="AK87" s="323">
        <f>COUNTIFS(tblPiNAnalysis[[#This Row],[Highest PiN greater than 90% of total affected population]:[Manual Flag]],"Flagged")</f>
        <v>0</v>
      </c>
      <c r="AL87" s="324" t="str">
        <f>IF(tblPiNAnalysis[[#This Row],['# Flags]]&gt;0, "Flagged", "")</f>
        <v/>
      </c>
    </row>
    <row r="88" spans="1:38" ht="23.1" hidden="1" customHeight="1" x14ac:dyDescent="0.2">
      <c r="A88" s="309" t="str">
        <f>_xlfn.CONCAT(IF(tblPiNAnalysis[[#This Row],[Population Group]]="", "",tblPiNAnalysis[[#This Row],[Population Group]] ), _xlfn.IFS(tblPiNAnalysis[[#This Row],[Admin 2 P-Code]]&lt;&gt;"", tblPiNAnalysis[[#This Row],[Admin 2 P-Code]], tblPiNAnalysis[[#This Row],[Admin 1 P-Code]]&lt;&gt;"", tblPiNAnalysis[[#This Row],[Admin 1 P-Code]]))</f>
        <v>Host CommunitySD03146</v>
      </c>
      <c r="B88" s="245" t="s">
        <v>185</v>
      </c>
      <c r="C88" s="246" t="s">
        <v>120</v>
      </c>
      <c r="D88" s="247" t="s">
        <v>241</v>
      </c>
      <c r="E88" s="246" t="s">
        <v>240</v>
      </c>
      <c r="F88" s="248">
        <v>7079</v>
      </c>
      <c r="G88" s="248" t="s">
        <v>87</v>
      </c>
      <c r="H88" s="310"/>
      <c r="I88" s="311"/>
      <c r="J88" s="312"/>
      <c r="K88" s="311"/>
      <c r="L88" s="311"/>
      <c r="M88" s="312"/>
      <c r="N88" s="312">
        <f>_xlfn.XLOOKUP(CONCATENATE(tblPiNAnalysis[[#This Row],[Admin 2 P-Code]],tblPiNAnalysis[[#This Row],[Population Group]]),'Overall severity &amp; PIN Analysis'!A:A,'Overall severity &amp; PIN Analysis'!P:P,0,0)</f>
        <v>5289</v>
      </c>
      <c r="O88" s="311"/>
      <c r="P88" s="312"/>
      <c r="Q88" s="312"/>
      <c r="R88" s="312"/>
      <c r="S88" s="312"/>
      <c r="T88" s="313" t="str">
        <f>IF(tblPiNAnalysis[[#This Row],[Site Management ]]="", "", tblPiNAnalysis[[#This Row],[Site Management ]]/tblPiNAnalysis[[#This Row],[Total Population]])</f>
        <v/>
      </c>
      <c r="U88" s="314" t="str">
        <f>IF(tblPiNAnalysis[[#This Row],[Education]]="", "", tblPiNAnalysis[[#This Row],[Education]]/tblPiNAnalysis[[#This Row],[Total Population]])</f>
        <v/>
      </c>
      <c r="V88" s="314" t="str">
        <f>IF(tblPiNAnalysis[[#This Row],[Food Security and Livlihoods]]="", "", tblPiNAnalysis[[#This Row],[Food Security and Livlihoods]]/tblPiNAnalysis[[#This Row],[Total Population]])</f>
        <v/>
      </c>
      <c r="W88" s="315" t="str">
        <f>IF(tblPiNAnalysis[[#This Row],[Health ]]="", "", tblPiNAnalysis[[#This Row],[Health ]]/tblPiNAnalysis[[#This Row],[Total Population]])</f>
        <v/>
      </c>
      <c r="X88" s="314" t="str">
        <f>IF(tblPiNAnalysis[[#This Row],[Nutrition]]="", "", tblPiNAnalysis[[#This Row],[Nutrition]]/tblPiNAnalysis[[#This Row],[Total Population]])</f>
        <v/>
      </c>
      <c r="Y88" s="314" t="str">
        <f>IF(tblPiNAnalysis[[#This Row],[Protection]]="", "", tblPiNAnalysis[[#This Row],[Protection]]/tblPiNAnalysis[[#This Row],[Total Population]])</f>
        <v/>
      </c>
      <c r="Z88" s="316">
        <f>IF(tblPiNAnalysis[[#This Row],[Shelter NFI ]]="", "", tblPiNAnalysis[[#This Row],[Shelter NFI ]]/tblPiNAnalysis[[#This Row],[Total Population]])</f>
        <v>0.74713942647266562</v>
      </c>
      <c r="AA88" s="317" t="str">
        <f>IF(tblPiNAnalysis[[#This Row],[WASH]]="", "", tblPiNAnalysis[[#This Row],[WASH]]/tblPiNAnalysis[[#This Row],[Total Population]])</f>
        <v/>
      </c>
      <c r="AB88" s="318" t="str">
        <f>IFERROR(IF(tblPiNAnalysis[[#This Row],[CP]]="", "", MROUND(tblPiNAnalysis[[#This Row],[CP]]/tblPiNAnalysis[[#This Row],[Total Population]], 0.05)), "")</f>
        <v/>
      </c>
      <c r="AC88" s="314" t="str">
        <f>IFERROR(IF(tblPiNAnalysis[[#This Row],[GBV]]="", "", MROUND(tblPiNAnalysis[[#This Row],[GBV]]/tblPiNAnalysis[[#This Row],[Total Population]], 0.05)), "")</f>
        <v/>
      </c>
      <c r="AD88" s="314" t="str">
        <f>IFERROR(IF(tblPiNAnalysis[[#This Row],[Mine Action]]="", "", MROUND(tblPiNAnalysis[[#This Row],[Mine Action]]/tblPiNAnalysis[[#This Row],[Total Population]], 0.05)), "")</f>
        <v/>
      </c>
      <c r="AE88" s="314" t="str">
        <f>IFERROR(IF(tblPiNAnalysis[[#This Row],[General Protection]]="", "", MROUND(tblPiNAnalysis[[#This Row],[General Protection]]/tblPiNAnalysis[[#This Row],[Total Population]], 0.05)), "")</f>
        <v/>
      </c>
      <c r="AF88" s="319">
        <f>IFERROR(LARGE(tblPiNAnalysis[[#This Row],[Site Management ]:[General Protection]], 1), "")</f>
        <v>5289</v>
      </c>
      <c r="AG88" s="320">
        <f>IF(tblPiNAnalysis[[#This Row],[Highest PiN]]="", "",tblPiNAnalysis[[#This Row],[Highest PiN]]/ tblPiNAnalysis[[#This Row],[Total Population]])</f>
        <v>0.74713942647266562</v>
      </c>
      <c r="AH88" s="320" t="str">
        <f>IFERROR(IF(tblPiNAnalysis[[#This Row],[Highest PiN]]="", "", IF(tblPiNAnalysis[[#This Row],[Highest sector(s'') PiN %]]&gt;=flag_pin_perc, "Flagged", "")), "")</f>
        <v/>
      </c>
      <c r="AI88" s="321"/>
      <c r="AJ88" s="322"/>
      <c r="AK88" s="323">
        <f>COUNTIFS(tblPiNAnalysis[[#This Row],[Highest PiN greater than 90% of total affected population]:[Manual Flag]],"Flagged")</f>
        <v>0</v>
      </c>
      <c r="AL88" s="324" t="str">
        <f>IF(tblPiNAnalysis[[#This Row],['# Flags]]&gt;0, "Flagged", "")</f>
        <v/>
      </c>
    </row>
    <row r="89" spans="1:38" ht="23.1" hidden="1" customHeight="1" x14ac:dyDescent="0.2">
      <c r="A89" s="309" t="str">
        <f>_xlfn.CONCAT(IF(tblPiNAnalysis[[#This Row],[Population Group]]="", "",tblPiNAnalysis[[#This Row],[Population Group]] ), _xlfn.IFS(tblPiNAnalysis[[#This Row],[Admin 2 P-Code]]&lt;&gt;"", tblPiNAnalysis[[#This Row],[Admin 2 P-Code]], tblPiNAnalysis[[#This Row],[Admin 1 P-Code]]&lt;&gt;"", tblPiNAnalysis[[#This Row],[Admin 1 P-Code]]))</f>
        <v>IDPsSD03146</v>
      </c>
      <c r="B89" s="245" t="s">
        <v>185</v>
      </c>
      <c r="C89" s="246" t="s">
        <v>120</v>
      </c>
      <c r="D89" s="247" t="s">
        <v>241</v>
      </c>
      <c r="E89" s="246" t="s">
        <v>240</v>
      </c>
      <c r="F89" s="248">
        <v>3835</v>
      </c>
      <c r="G89" s="248" t="s">
        <v>88</v>
      </c>
      <c r="H89" s="310"/>
      <c r="I89" s="311"/>
      <c r="J89" s="312"/>
      <c r="K89" s="311"/>
      <c r="L89" s="311"/>
      <c r="M89" s="312"/>
      <c r="N89" s="312">
        <f>_xlfn.XLOOKUP(CONCATENATE(tblPiNAnalysis[[#This Row],[Admin 2 P-Code]],tblPiNAnalysis[[#This Row],[Population Group]]),'Overall severity &amp; PIN Analysis'!A:A,'Overall severity &amp; PIN Analysis'!P:P,0,0)</f>
        <v>2866</v>
      </c>
      <c r="O89" s="311"/>
      <c r="P89" s="312"/>
      <c r="Q89" s="312"/>
      <c r="R89" s="312"/>
      <c r="S89" s="312"/>
      <c r="T89" s="313" t="str">
        <f>IF(tblPiNAnalysis[[#This Row],[Site Management ]]="", "", tblPiNAnalysis[[#This Row],[Site Management ]]/tblPiNAnalysis[[#This Row],[Total Population]])</f>
        <v/>
      </c>
      <c r="U89" s="314" t="str">
        <f>IF(tblPiNAnalysis[[#This Row],[Education]]="", "", tblPiNAnalysis[[#This Row],[Education]]/tblPiNAnalysis[[#This Row],[Total Population]])</f>
        <v/>
      </c>
      <c r="V89" s="314" t="str">
        <f>IF(tblPiNAnalysis[[#This Row],[Food Security and Livlihoods]]="", "", tblPiNAnalysis[[#This Row],[Food Security and Livlihoods]]/tblPiNAnalysis[[#This Row],[Total Population]])</f>
        <v/>
      </c>
      <c r="W89" s="315" t="str">
        <f>IF(tblPiNAnalysis[[#This Row],[Health ]]="", "", tblPiNAnalysis[[#This Row],[Health ]]/tblPiNAnalysis[[#This Row],[Total Population]])</f>
        <v/>
      </c>
      <c r="X89" s="314" t="str">
        <f>IF(tblPiNAnalysis[[#This Row],[Nutrition]]="", "", tblPiNAnalysis[[#This Row],[Nutrition]]/tblPiNAnalysis[[#This Row],[Total Population]])</f>
        <v/>
      </c>
      <c r="Y89" s="314" t="str">
        <f>IF(tblPiNAnalysis[[#This Row],[Protection]]="", "", tblPiNAnalysis[[#This Row],[Protection]]/tblPiNAnalysis[[#This Row],[Total Population]])</f>
        <v/>
      </c>
      <c r="Z89" s="316">
        <f>IF(tblPiNAnalysis[[#This Row],[Shelter NFI ]]="", "", tblPiNAnalysis[[#This Row],[Shelter NFI ]]/tblPiNAnalysis[[#This Row],[Total Population]])</f>
        <v>0.7473272490221643</v>
      </c>
      <c r="AA89" s="317" t="str">
        <f>IF(tblPiNAnalysis[[#This Row],[WASH]]="", "", tblPiNAnalysis[[#This Row],[WASH]]/tblPiNAnalysis[[#This Row],[Total Population]])</f>
        <v/>
      </c>
      <c r="AB89" s="318" t="str">
        <f>IFERROR(IF(tblPiNAnalysis[[#This Row],[CP]]="", "", MROUND(tblPiNAnalysis[[#This Row],[CP]]/tblPiNAnalysis[[#This Row],[Total Population]], 0.05)), "")</f>
        <v/>
      </c>
      <c r="AC89" s="314" t="str">
        <f>IFERROR(IF(tblPiNAnalysis[[#This Row],[GBV]]="", "", MROUND(tblPiNAnalysis[[#This Row],[GBV]]/tblPiNAnalysis[[#This Row],[Total Population]], 0.05)), "")</f>
        <v/>
      </c>
      <c r="AD89" s="314" t="str">
        <f>IFERROR(IF(tblPiNAnalysis[[#This Row],[Mine Action]]="", "", MROUND(tblPiNAnalysis[[#This Row],[Mine Action]]/tblPiNAnalysis[[#This Row],[Total Population]], 0.05)), "")</f>
        <v/>
      </c>
      <c r="AE89" s="314" t="str">
        <f>IFERROR(IF(tblPiNAnalysis[[#This Row],[General Protection]]="", "", MROUND(tblPiNAnalysis[[#This Row],[General Protection]]/tblPiNAnalysis[[#This Row],[Total Population]], 0.05)), "")</f>
        <v/>
      </c>
      <c r="AF89" s="319">
        <f>IFERROR(LARGE(tblPiNAnalysis[[#This Row],[Site Management ]:[General Protection]], 1), "")</f>
        <v>2866</v>
      </c>
      <c r="AG89" s="320">
        <f>IF(tblPiNAnalysis[[#This Row],[Highest PiN]]="", "",tblPiNAnalysis[[#This Row],[Highest PiN]]/ tblPiNAnalysis[[#This Row],[Total Population]])</f>
        <v>0.7473272490221643</v>
      </c>
      <c r="AH89" s="320" t="str">
        <f>IFERROR(IF(tblPiNAnalysis[[#This Row],[Highest PiN]]="", "", IF(tblPiNAnalysis[[#This Row],[Highest sector(s'') PiN %]]&gt;=flag_pin_perc, "Flagged", "")), "")</f>
        <v/>
      </c>
      <c r="AI89" s="321"/>
      <c r="AJ89" s="322"/>
      <c r="AK89" s="323">
        <f>COUNTIFS(tblPiNAnalysis[[#This Row],[Highest PiN greater than 90% of total affected population]:[Manual Flag]],"Flagged")</f>
        <v>0</v>
      </c>
      <c r="AL89" s="324" t="str">
        <f>IF(tblPiNAnalysis[[#This Row],['# Flags]]&gt;0, "Flagged", "")</f>
        <v/>
      </c>
    </row>
    <row r="90" spans="1:38" ht="23.1" customHeight="1" x14ac:dyDescent="0.2">
      <c r="A90" s="309" t="str">
        <f>_xlfn.CONCAT(IF(tblPiNAnalysis[[#This Row],[Population Group]]="", "",tblPiNAnalysis[[#This Row],[Population Group]] ), _xlfn.IFS(tblPiNAnalysis[[#This Row],[Admin 2 P-Code]]&lt;&gt;"", tblPiNAnalysis[[#This Row],[Admin 2 P-Code]], tblPiNAnalysis[[#This Row],[Admin 1 P-Code]]&lt;&gt;"", tblPiNAnalysis[[#This Row],[Admin 1 P-Code]]))</f>
        <v>Non-hosting PopulationSD03146</v>
      </c>
      <c r="B90" s="245" t="s">
        <v>185</v>
      </c>
      <c r="C90" s="246" t="s">
        <v>120</v>
      </c>
      <c r="D90" s="247" t="s">
        <v>241</v>
      </c>
      <c r="E90" s="246" t="s">
        <v>240</v>
      </c>
      <c r="F90" s="248">
        <v>57590</v>
      </c>
      <c r="G90" s="248" t="s">
        <v>568</v>
      </c>
      <c r="H90" s="310"/>
      <c r="I90" s="311"/>
      <c r="J90" s="312"/>
      <c r="K90" s="311"/>
      <c r="L90" s="311"/>
      <c r="M90" s="312"/>
      <c r="N90" s="312">
        <f>_xlfn.XLOOKUP(CONCATENATE(tblPiNAnalysis[[#This Row],[Admin 2 P-Code]],tblPiNAnalysis[[#This Row],[Population Group]]),'Overall severity &amp; PIN Analysis'!A:A,'Overall severity &amp; PIN Analysis'!P:P,0,0)</f>
        <v>448</v>
      </c>
      <c r="O90" s="311"/>
      <c r="P90" s="312"/>
      <c r="Q90" s="312"/>
      <c r="R90" s="312"/>
      <c r="S90" s="312"/>
      <c r="T90" s="313" t="str">
        <f>IF(tblPiNAnalysis[[#This Row],[Site Management ]]="", "", tblPiNAnalysis[[#This Row],[Site Management ]]/tblPiNAnalysis[[#This Row],[Total Population]])</f>
        <v/>
      </c>
      <c r="U90" s="314" t="str">
        <f>IF(tblPiNAnalysis[[#This Row],[Education]]="", "", tblPiNAnalysis[[#This Row],[Education]]/tblPiNAnalysis[[#This Row],[Total Population]])</f>
        <v/>
      </c>
      <c r="V90" s="314" t="str">
        <f>IF(tblPiNAnalysis[[#This Row],[Food Security and Livlihoods]]="", "", tblPiNAnalysis[[#This Row],[Food Security and Livlihoods]]/tblPiNAnalysis[[#This Row],[Total Population]])</f>
        <v/>
      </c>
      <c r="W90" s="315" t="str">
        <f>IF(tblPiNAnalysis[[#This Row],[Health ]]="", "", tblPiNAnalysis[[#This Row],[Health ]]/tblPiNAnalysis[[#This Row],[Total Population]])</f>
        <v/>
      </c>
      <c r="X90" s="314" t="str">
        <f>IF(tblPiNAnalysis[[#This Row],[Nutrition]]="", "", tblPiNAnalysis[[#This Row],[Nutrition]]/tblPiNAnalysis[[#This Row],[Total Population]])</f>
        <v/>
      </c>
      <c r="Y90" s="314" t="str">
        <f>IF(tblPiNAnalysis[[#This Row],[Protection]]="", "", tblPiNAnalysis[[#This Row],[Protection]]/tblPiNAnalysis[[#This Row],[Total Population]])</f>
        <v/>
      </c>
      <c r="Z90" s="316">
        <f>IF(tblPiNAnalysis[[#This Row],[Shelter NFI ]]="", "", tblPiNAnalysis[[#This Row],[Shelter NFI ]]/tblPiNAnalysis[[#This Row],[Total Population]])</f>
        <v>7.7791283208890434E-3</v>
      </c>
      <c r="AA90" s="317" t="str">
        <f>IF(tblPiNAnalysis[[#This Row],[WASH]]="", "", tblPiNAnalysis[[#This Row],[WASH]]/tblPiNAnalysis[[#This Row],[Total Population]])</f>
        <v/>
      </c>
      <c r="AB90" s="318" t="str">
        <f>IFERROR(IF(tblPiNAnalysis[[#This Row],[CP]]="", "", MROUND(tblPiNAnalysis[[#This Row],[CP]]/tblPiNAnalysis[[#This Row],[Total Population]], 0.05)), "")</f>
        <v/>
      </c>
      <c r="AC90" s="314" t="str">
        <f>IFERROR(IF(tblPiNAnalysis[[#This Row],[GBV]]="", "", MROUND(tblPiNAnalysis[[#This Row],[GBV]]/tblPiNAnalysis[[#This Row],[Total Population]], 0.05)), "")</f>
        <v/>
      </c>
      <c r="AD90" s="314" t="str">
        <f>IFERROR(IF(tblPiNAnalysis[[#This Row],[Mine Action]]="", "", MROUND(tblPiNAnalysis[[#This Row],[Mine Action]]/tblPiNAnalysis[[#This Row],[Total Population]], 0.05)), "")</f>
        <v/>
      </c>
      <c r="AE90" s="314" t="str">
        <f>IFERROR(IF(tblPiNAnalysis[[#This Row],[General Protection]]="", "", MROUND(tblPiNAnalysis[[#This Row],[General Protection]]/tblPiNAnalysis[[#This Row],[Total Population]], 0.05)), "")</f>
        <v/>
      </c>
      <c r="AF90" s="319">
        <f>IFERROR(LARGE(tblPiNAnalysis[[#This Row],[Site Management ]:[General Protection]], 1), "")</f>
        <v>448</v>
      </c>
      <c r="AG90" s="320">
        <f>IF(tblPiNAnalysis[[#This Row],[Highest PiN]]="", "",tblPiNAnalysis[[#This Row],[Highest PiN]]/ tblPiNAnalysis[[#This Row],[Total Population]])</f>
        <v>7.7791283208890434E-3</v>
      </c>
      <c r="AH90" s="320" t="str">
        <f>IFERROR(IF(tblPiNAnalysis[[#This Row],[Highest PiN]]="", "", IF(tblPiNAnalysis[[#This Row],[Highest sector(s'') PiN %]]&gt;=flag_pin_perc, "Flagged", "")), "")</f>
        <v/>
      </c>
      <c r="AI90" s="321"/>
      <c r="AJ90" s="322"/>
      <c r="AK90" s="323">
        <f>COUNTIFS(tblPiNAnalysis[[#This Row],[Highest PiN greater than 90% of total affected population]:[Manual Flag]],"Flagged")</f>
        <v>0</v>
      </c>
      <c r="AL90" s="324" t="str">
        <f>IF(tblPiNAnalysis[[#This Row],['# Flags]]&gt;0, "Flagged", "")</f>
        <v/>
      </c>
    </row>
    <row r="91" spans="1:38" ht="23.1" hidden="1" customHeight="1" x14ac:dyDescent="0.2">
      <c r="A91" s="309" t="str">
        <f>_xlfn.CONCAT(IF(tblPiNAnalysis[[#This Row],[Population Group]]="", "",tblPiNAnalysis[[#This Row],[Population Group]] ), _xlfn.IFS(tblPiNAnalysis[[#This Row],[Admin 2 P-Code]]&lt;&gt;"", tblPiNAnalysis[[#This Row],[Admin 2 P-Code]], tblPiNAnalysis[[#This Row],[Admin 1 P-Code]]&lt;&gt;"", tblPiNAnalysis[[#This Row],[Admin 1 P-Code]]))</f>
        <v>Host CommunitySD03147</v>
      </c>
      <c r="B91" s="245" t="s">
        <v>185</v>
      </c>
      <c r="C91" s="246" t="s">
        <v>120</v>
      </c>
      <c r="D91" s="247" t="s">
        <v>243</v>
      </c>
      <c r="E91" s="246" t="s">
        <v>242</v>
      </c>
      <c r="F91" s="248">
        <v>0</v>
      </c>
      <c r="G91" s="248" t="s">
        <v>87</v>
      </c>
      <c r="H91" s="310"/>
      <c r="I91" s="311"/>
      <c r="J91" s="312"/>
      <c r="K91" s="311"/>
      <c r="L91" s="311"/>
      <c r="M91" s="312"/>
      <c r="N91" s="312">
        <f>_xlfn.XLOOKUP(CONCATENATE(tblPiNAnalysis[[#This Row],[Admin 2 P-Code]],tblPiNAnalysis[[#This Row],[Population Group]]),'Overall severity &amp; PIN Analysis'!A:A,'Overall severity &amp; PIN Analysis'!P:P,0,0)</f>
        <v>0</v>
      </c>
      <c r="O91" s="311"/>
      <c r="P91" s="312"/>
      <c r="Q91" s="312"/>
      <c r="R91" s="312"/>
      <c r="S91" s="312"/>
      <c r="T91" s="313" t="str">
        <f>IF(tblPiNAnalysis[[#This Row],[Site Management ]]="", "", tblPiNAnalysis[[#This Row],[Site Management ]]/tblPiNAnalysis[[#This Row],[Total Population]])</f>
        <v/>
      </c>
      <c r="U91" s="314" t="str">
        <f>IF(tblPiNAnalysis[[#This Row],[Education]]="", "", tblPiNAnalysis[[#This Row],[Education]]/tblPiNAnalysis[[#This Row],[Total Population]])</f>
        <v/>
      </c>
      <c r="V91" s="314" t="str">
        <f>IF(tblPiNAnalysis[[#This Row],[Food Security and Livlihoods]]="", "", tblPiNAnalysis[[#This Row],[Food Security and Livlihoods]]/tblPiNAnalysis[[#This Row],[Total Population]])</f>
        <v/>
      </c>
      <c r="W91" s="315" t="str">
        <f>IF(tblPiNAnalysis[[#This Row],[Health ]]="", "", tblPiNAnalysis[[#This Row],[Health ]]/tblPiNAnalysis[[#This Row],[Total Population]])</f>
        <v/>
      </c>
      <c r="X91" s="314" t="str">
        <f>IF(tblPiNAnalysis[[#This Row],[Nutrition]]="", "", tblPiNAnalysis[[#This Row],[Nutrition]]/tblPiNAnalysis[[#This Row],[Total Population]])</f>
        <v/>
      </c>
      <c r="Y91" s="314" t="str">
        <f>IF(tblPiNAnalysis[[#This Row],[Protection]]="", "", tblPiNAnalysis[[#This Row],[Protection]]/tblPiNAnalysis[[#This Row],[Total Population]])</f>
        <v/>
      </c>
      <c r="Z91" s="316" t="e">
        <f>IF(tblPiNAnalysis[[#This Row],[Shelter NFI ]]="", "", tblPiNAnalysis[[#This Row],[Shelter NFI ]]/tblPiNAnalysis[[#This Row],[Total Population]])</f>
        <v>#DIV/0!</v>
      </c>
      <c r="AA91" s="317" t="str">
        <f>IF(tblPiNAnalysis[[#This Row],[WASH]]="", "", tblPiNAnalysis[[#This Row],[WASH]]/tblPiNAnalysis[[#This Row],[Total Population]])</f>
        <v/>
      </c>
      <c r="AB91" s="318" t="str">
        <f>IFERROR(IF(tblPiNAnalysis[[#This Row],[CP]]="", "", MROUND(tblPiNAnalysis[[#This Row],[CP]]/tblPiNAnalysis[[#This Row],[Total Population]], 0.05)), "")</f>
        <v/>
      </c>
      <c r="AC91" s="314" t="str">
        <f>IFERROR(IF(tblPiNAnalysis[[#This Row],[GBV]]="", "", MROUND(tblPiNAnalysis[[#This Row],[GBV]]/tblPiNAnalysis[[#This Row],[Total Population]], 0.05)), "")</f>
        <v/>
      </c>
      <c r="AD91" s="314" t="str">
        <f>IFERROR(IF(tblPiNAnalysis[[#This Row],[Mine Action]]="", "", MROUND(tblPiNAnalysis[[#This Row],[Mine Action]]/tblPiNAnalysis[[#This Row],[Total Population]], 0.05)), "")</f>
        <v/>
      </c>
      <c r="AE91" s="314" t="str">
        <f>IFERROR(IF(tblPiNAnalysis[[#This Row],[General Protection]]="", "", MROUND(tblPiNAnalysis[[#This Row],[General Protection]]/tblPiNAnalysis[[#This Row],[Total Population]], 0.05)), "")</f>
        <v/>
      </c>
      <c r="AF91" s="319">
        <f>IFERROR(LARGE(tblPiNAnalysis[[#This Row],[Site Management ]:[General Protection]], 1), "")</f>
        <v>0</v>
      </c>
      <c r="AG91" s="320" t="e">
        <f>IF(tblPiNAnalysis[[#This Row],[Highest PiN]]="", "",tblPiNAnalysis[[#This Row],[Highest PiN]]/ tblPiNAnalysis[[#This Row],[Total Population]])</f>
        <v>#DIV/0!</v>
      </c>
      <c r="AH91" s="320" t="str">
        <f>IFERROR(IF(tblPiNAnalysis[[#This Row],[Highest PiN]]="", "", IF(tblPiNAnalysis[[#This Row],[Highest sector(s'') PiN %]]&gt;=flag_pin_perc, "Flagged", "")), "")</f>
        <v/>
      </c>
      <c r="AI91" s="321"/>
      <c r="AJ91" s="322"/>
      <c r="AK91" s="323">
        <f>COUNTIFS(tblPiNAnalysis[[#This Row],[Highest PiN greater than 90% of total affected population]:[Manual Flag]],"Flagged")</f>
        <v>0</v>
      </c>
      <c r="AL91" s="324" t="str">
        <f>IF(tblPiNAnalysis[[#This Row],['# Flags]]&gt;0, "Flagged", "")</f>
        <v/>
      </c>
    </row>
    <row r="92" spans="1:38" ht="23.1" hidden="1" customHeight="1" x14ac:dyDescent="0.2">
      <c r="A92" s="309" t="str">
        <f>_xlfn.CONCAT(IF(tblPiNAnalysis[[#This Row],[Population Group]]="", "",tblPiNAnalysis[[#This Row],[Population Group]] ), _xlfn.IFS(tblPiNAnalysis[[#This Row],[Admin 2 P-Code]]&lt;&gt;"", tblPiNAnalysis[[#This Row],[Admin 2 P-Code]], tblPiNAnalysis[[#This Row],[Admin 1 P-Code]]&lt;&gt;"", tblPiNAnalysis[[#This Row],[Admin 1 P-Code]]))</f>
        <v>IDPsSD03147</v>
      </c>
      <c r="B92" s="245" t="s">
        <v>185</v>
      </c>
      <c r="C92" s="246" t="s">
        <v>120</v>
      </c>
      <c r="D92" s="247" t="s">
        <v>243</v>
      </c>
      <c r="E92" s="246" t="s">
        <v>242</v>
      </c>
      <c r="F92" s="248">
        <v>42045</v>
      </c>
      <c r="G92" s="248" t="s">
        <v>88</v>
      </c>
      <c r="H92" s="310"/>
      <c r="I92" s="311"/>
      <c r="J92" s="312"/>
      <c r="K92" s="311"/>
      <c r="L92" s="311"/>
      <c r="M92" s="312"/>
      <c r="N92" s="312">
        <f>_xlfn.XLOOKUP(CONCATENATE(tblPiNAnalysis[[#This Row],[Admin 2 P-Code]],tblPiNAnalysis[[#This Row],[Population Group]]),'Overall severity &amp; PIN Analysis'!A:A,'Overall severity &amp; PIN Analysis'!P:P,0,0)</f>
        <v>19635</v>
      </c>
      <c r="O92" s="311"/>
      <c r="P92" s="312"/>
      <c r="Q92" s="312"/>
      <c r="R92" s="312"/>
      <c r="S92" s="312"/>
      <c r="T92" s="313" t="str">
        <f>IF(tblPiNAnalysis[[#This Row],[Site Management ]]="", "", tblPiNAnalysis[[#This Row],[Site Management ]]/tblPiNAnalysis[[#This Row],[Total Population]])</f>
        <v/>
      </c>
      <c r="U92" s="314" t="str">
        <f>IF(tblPiNAnalysis[[#This Row],[Education]]="", "", tblPiNAnalysis[[#This Row],[Education]]/tblPiNAnalysis[[#This Row],[Total Population]])</f>
        <v/>
      </c>
      <c r="V92" s="314" t="str">
        <f>IF(tblPiNAnalysis[[#This Row],[Food Security and Livlihoods]]="", "", tblPiNAnalysis[[#This Row],[Food Security and Livlihoods]]/tblPiNAnalysis[[#This Row],[Total Population]])</f>
        <v/>
      </c>
      <c r="W92" s="315" t="str">
        <f>IF(tblPiNAnalysis[[#This Row],[Health ]]="", "", tblPiNAnalysis[[#This Row],[Health ]]/tblPiNAnalysis[[#This Row],[Total Population]])</f>
        <v/>
      </c>
      <c r="X92" s="314" t="str">
        <f>IF(tblPiNAnalysis[[#This Row],[Nutrition]]="", "", tblPiNAnalysis[[#This Row],[Nutrition]]/tblPiNAnalysis[[#This Row],[Total Population]])</f>
        <v/>
      </c>
      <c r="Y92" s="314" t="str">
        <f>IF(tblPiNAnalysis[[#This Row],[Protection]]="", "", tblPiNAnalysis[[#This Row],[Protection]]/tblPiNAnalysis[[#This Row],[Total Population]])</f>
        <v/>
      </c>
      <c r="Z92" s="316">
        <f>IF(tblPiNAnalysis[[#This Row],[Shelter NFI ]]="", "", tblPiNAnalysis[[#This Row],[Shelter NFI ]]/tblPiNAnalysis[[#This Row],[Total Population]])</f>
        <v>0.46699964323938636</v>
      </c>
      <c r="AA92" s="317" t="str">
        <f>IF(tblPiNAnalysis[[#This Row],[WASH]]="", "", tblPiNAnalysis[[#This Row],[WASH]]/tblPiNAnalysis[[#This Row],[Total Population]])</f>
        <v/>
      </c>
      <c r="AB92" s="318" t="str">
        <f>IFERROR(IF(tblPiNAnalysis[[#This Row],[CP]]="", "", MROUND(tblPiNAnalysis[[#This Row],[CP]]/tblPiNAnalysis[[#This Row],[Total Population]], 0.05)), "")</f>
        <v/>
      </c>
      <c r="AC92" s="314" t="str">
        <f>IFERROR(IF(tblPiNAnalysis[[#This Row],[GBV]]="", "", MROUND(tblPiNAnalysis[[#This Row],[GBV]]/tblPiNAnalysis[[#This Row],[Total Population]], 0.05)), "")</f>
        <v/>
      </c>
      <c r="AD92" s="314" t="str">
        <f>IFERROR(IF(tblPiNAnalysis[[#This Row],[Mine Action]]="", "", MROUND(tblPiNAnalysis[[#This Row],[Mine Action]]/tblPiNAnalysis[[#This Row],[Total Population]], 0.05)), "")</f>
        <v/>
      </c>
      <c r="AE92" s="314" t="str">
        <f>IFERROR(IF(tblPiNAnalysis[[#This Row],[General Protection]]="", "", MROUND(tblPiNAnalysis[[#This Row],[General Protection]]/tblPiNAnalysis[[#This Row],[Total Population]], 0.05)), "")</f>
        <v/>
      </c>
      <c r="AF92" s="319">
        <f>IFERROR(LARGE(tblPiNAnalysis[[#This Row],[Site Management ]:[General Protection]], 1), "")</f>
        <v>19635</v>
      </c>
      <c r="AG92" s="320">
        <f>IF(tblPiNAnalysis[[#This Row],[Highest PiN]]="", "",tblPiNAnalysis[[#This Row],[Highest PiN]]/ tblPiNAnalysis[[#This Row],[Total Population]])</f>
        <v>0.46699964323938636</v>
      </c>
      <c r="AH92" s="320" t="str">
        <f>IFERROR(IF(tblPiNAnalysis[[#This Row],[Highest PiN]]="", "", IF(tblPiNAnalysis[[#This Row],[Highest sector(s'') PiN %]]&gt;=flag_pin_perc, "Flagged", "")), "")</f>
        <v/>
      </c>
      <c r="AI92" s="321"/>
      <c r="AJ92" s="322"/>
      <c r="AK92" s="323">
        <f>COUNTIFS(tblPiNAnalysis[[#This Row],[Highest PiN greater than 90% of total affected population]:[Manual Flag]],"Flagged")</f>
        <v>0</v>
      </c>
      <c r="AL92" s="324" t="str">
        <f>IF(tblPiNAnalysis[[#This Row],['# Flags]]&gt;0, "Flagged", "")</f>
        <v/>
      </c>
    </row>
    <row r="93" spans="1:38" ht="23.1" customHeight="1" x14ac:dyDescent="0.2">
      <c r="A93" s="309" t="str">
        <f>_xlfn.CONCAT(IF(tblPiNAnalysis[[#This Row],[Population Group]]="", "",tblPiNAnalysis[[#This Row],[Population Group]] ), _xlfn.IFS(tblPiNAnalysis[[#This Row],[Admin 2 P-Code]]&lt;&gt;"", tblPiNAnalysis[[#This Row],[Admin 2 P-Code]], tblPiNAnalysis[[#This Row],[Admin 1 P-Code]]&lt;&gt;"", tblPiNAnalysis[[#This Row],[Admin 1 P-Code]]))</f>
        <v>Non-hosting PopulationSD03147</v>
      </c>
      <c r="B93" s="245" t="s">
        <v>185</v>
      </c>
      <c r="C93" s="246" t="s">
        <v>120</v>
      </c>
      <c r="D93" s="247" t="s">
        <v>243</v>
      </c>
      <c r="E93" s="246" t="s">
        <v>242</v>
      </c>
      <c r="F93" s="248">
        <v>0</v>
      </c>
      <c r="G93" s="248" t="s">
        <v>568</v>
      </c>
      <c r="H93" s="310"/>
      <c r="I93" s="311"/>
      <c r="J93" s="312"/>
      <c r="K93" s="311"/>
      <c r="L93" s="311"/>
      <c r="M93" s="312"/>
      <c r="N93" s="312">
        <f>_xlfn.XLOOKUP(CONCATENATE(tblPiNAnalysis[[#This Row],[Admin 2 P-Code]],tblPiNAnalysis[[#This Row],[Population Group]]),'Overall severity &amp; PIN Analysis'!A:A,'Overall severity &amp; PIN Analysis'!P:P,0,0)</f>
        <v>0</v>
      </c>
      <c r="O93" s="311"/>
      <c r="P93" s="312"/>
      <c r="Q93" s="312"/>
      <c r="R93" s="312"/>
      <c r="S93" s="312"/>
      <c r="T93" s="313" t="str">
        <f>IF(tblPiNAnalysis[[#This Row],[Site Management ]]="", "", tblPiNAnalysis[[#This Row],[Site Management ]]/tblPiNAnalysis[[#This Row],[Total Population]])</f>
        <v/>
      </c>
      <c r="U93" s="314" t="str">
        <f>IF(tblPiNAnalysis[[#This Row],[Education]]="", "", tblPiNAnalysis[[#This Row],[Education]]/tblPiNAnalysis[[#This Row],[Total Population]])</f>
        <v/>
      </c>
      <c r="V93" s="314" t="str">
        <f>IF(tblPiNAnalysis[[#This Row],[Food Security and Livlihoods]]="", "", tblPiNAnalysis[[#This Row],[Food Security and Livlihoods]]/tblPiNAnalysis[[#This Row],[Total Population]])</f>
        <v/>
      </c>
      <c r="W93" s="315" t="str">
        <f>IF(tblPiNAnalysis[[#This Row],[Health ]]="", "", tblPiNAnalysis[[#This Row],[Health ]]/tblPiNAnalysis[[#This Row],[Total Population]])</f>
        <v/>
      </c>
      <c r="X93" s="314" t="str">
        <f>IF(tblPiNAnalysis[[#This Row],[Nutrition]]="", "", tblPiNAnalysis[[#This Row],[Nutrition]]/tblPiNAnalysis[[#This Row],[Total Population]])</f>
        <v/>
      </c>
      <c r="Y93" s="314" t="str">
        <f>IF(tblPiNAnalysis[[#This Row],[Protection]]="", "", tblPiNAnalysis[[#This Row],[Protection]]/tblPiNAnalysis[[#This Row],[Total Population]])</f>
        <v/>
      </c>
      <c r="Z93" s="316" t="e">
        <f>IF(tblPiNAnalysis[[#This Row],[Shelter NFI ]]="", "", tblPiNAnalysis[[#This Row],[Shelter NFI ]]/tblPiNAnalysis[[#This Row],[Total Population]])</f>
        <v>#DIV/0!</v>
      </c>
      <c r="AA93" s="317" t="str">
        <f>IF(tblPiNAnalysis[[#This Row],[WASH]]="", "", tblPiNAnalysis[[#This Row],[WASH]]/tblPiNAnalysis[[#This Row],[Total Population]])</f>
        <v/>
      </c>
      <c r="AB93" s="318" t="str">
        <f>IFERROR(IF(tblPiNAnalysis[[#This Row],[CP]]="", "", MROUND(tblPiNAnalysis[[#This Row],[CP]]/tblPiNAnalysis[[#This Row],[Total Population]], 0.05)), "")</f>
        <v/>
      </c>
      <c r="AC93" s="314" t="str">
        <f>IFERROR(IF(tblPiNAnalysis[[#This Row],[GBV]]="", "", MROUND(tblPiNAnalysis[[#This Row],[GBV]]/tblPiNAnalysis[[#This Row],[Total Population]], 0.05)), "")</f>
        <v/>
      </c>
      <c r="AD93" s="314" t="str">
        <f>IFERROR(IF(tblPiNAnalysis[[#This Row],[Mine Action]]="", "", MROUND(tblPiNAnalysis[[#This Row],[Mine Action]]/tblPiNAnalysis[[#This Row],[Total Population]], 0.05)), "")</f>
        <v/>
      </c>
      <c r="AE93" s="314" t="str">
        <f>IFERROR(IF(tblPiNAnalysis[[#This Row],[General Protection]]="", "", MROUND(tblPiNAnalysis[[#This Row],[General Protection]]/tblPiNAnalysis[[#This Row],[Total Population]], 0.05)), "")</f>
        <v/>
      </c>
      <c r="AF93" s="319">
        <f>IFERROR(LARGE(tblPiNAnalysis[[#This Row],[Site Management ]:[General Protection]], 1), "")</f>
        <v>0</v>
      </c>
      <c r="AG93" s="320" t="e">
        <f>IF(tblPiNAnalysis[[#This Row],[Highest PiN]]="", "",tblPiNAnalysis[[#This Row],[Highest PiN]]/ tblPiNAnalysis[[#This Row],[Total Population]])</f>
        <v>#DIV/0!</v>
      </c>
      <c r="AH93" s="320" t="str">
        <f>IFERROR(IF(tblPiNAnalysis[[#This Row],[Highest PiN]]="", "", IF(tblPiNAnalysis[[#This Row],[Highest sector(s'') PiN %]]&gt;=flag_pin_perc, "Flagged", "")), "")</f>
        <v/>
      </c>
      <c r="AI93" s="321"/>
      <c r="AJ93" s="322"/>
      <c r="AK93" s="323">
        <f>COUNTIFS(tblPiNAnalysis[[#This Row],[Highest PiN greater than 90% of total affected population]:[Manual Flag]],"Flagged")</f>
        <v>0</v>
      </c>
      <c r="AL93" s="324" t="str">
        <f>IF(tblPiNAnalysis[[#This Row],['# Flags]]&gt;0, "Flagged", "")</f>
        <v/>
      </c>
    </row>
    <row r="94" spans="1:38" ht="23.1" hidden="1" customHeight="1" x14ac:dyDescent="0.2">
      <c r="A94" s="309" t="str">
        <f>_xlfn.CONCAT(IF(tblPiNAnalysis[[#This Row],[Population Group]]="", "",tblPiNAnalysis[[#This Row],[Population Group]] ), _xlfn.IFS(tblPiNAnalysis[[#This Row],[Admin 2 P-Code]]&lt;&gt;"", tblPiNAnalysis[[#This Row],[Admin 2 P-Code]], tblPiNAnalysis[[#This Row],[Admin 1 P-Code]]&lt;&gt;"", tblPiNAnalysis[[#This Row],[Admin 1 P-Code]]))</f>
        <v>Host CommunitySD03149</v>
      </c>
      <c r="B94" s="245" t="s">
        <v>185</v>
      </c>
      <c r="C94" s="246" t="s">
        <v>120</v>
      </c>
      <c r="D94" s="247" t="s">
        <v>245</v>
      </c>
      <c r="E94" s="246" t="s">
        <v>244</v>
      </c>
      <c r="F94" s="248">
        <v>20775</v>
      </c>
      <c r="G94" s="248" t="s">
        <v>87</v>
      </c>
      <c r="H94" s="310"/>
      <c r="I94" s="311"/>
      <c r="J94" s="312"/>
      <c r="K94" s="311"/>
      <c r="L94" s="311"/>
      <c r="M94" s="312"/>
      <c r="N94" s="312">
        <f>_xlfn.XLOOKUP(CONCATENATE(tblPiNAnalysis[[#This Row],[Admin 2 P-Code]],tblPiNAnalysis[[#This Row],[Population Group]]),'Overall severity &amp; PIN Analysis'!A:A,'Overall severity &amp; PIN Analysis'!P:P,0,0)</f>
        <v>4415</v>
      </c>
      <c r="O94" s="311"/>
      <c r="P94" s="312"/>
      <c r="Q94" s="312"/>
      <c r="R94" s="312"/>
      <c r="S94" s="312"/>
      <c r="T94" s="313" t="str">
        <f>IF(tblPiNAnalysis[[#This Row],[Site Management ]]="", "", tblPiNAnalysis[[#This Row],[Site Management ]]/tblPiNAnalysis[[#This Row],[Total Population]])</f>
        <v/>
      </c>
      <c r="U94" s="314" t="str">
        <f>IF(tblPiNAnalysis[[#This Row],[Education]]="", "", tblPiNAnalysis[[#This Row],[Education]]/tblPiNAnalysis[[#This Row],[Total Population]])</f>
        <v/>
      </c>
      <c r="V94" s="314" t="str">
        <f>IF(tblPiNAnalysis[[#This Row],[Food Security and Livlihoods]]="", "", tblPiNAnalysis[[#This Row],[Food Security and Livlihoods]]/tblPiNAnalysis[[#This Row],[Total Population]])</f>
        <v/>
      </c>
      <c r="W94" s="315" t="str">
        <f>IF(tblPiNAnalysis[[#This Row],[Health ]]="", "", tblPiNAnalysis[[#This Row],[Health ]]/tblPiNAnalysis[[#This Row],[Total Population]])</f>
        <v/>
      </c>
      <c r="X94" s="314" t="str">
        <f>IF(tblPiNAnalysis[[#This Row],[Nutrition]]="", "", tblPiNAnalysis[[#This Row],[Nutrition]]/tblPiNAnalysis[[#This Row],[Total Population]])</f>
        <v/>
      </c>
      <c r="Y94" s="314" t="str">
        <f>IF(tblPiNAnalysis[[#This Row],[Protection]]="", "", tblPiNAnalysis[[#This Row],[Protection]]/tblPiNAnalysis[[#This Row],[Total Population]])</f>
        <v/>
      </c>
      <c r="Z94" s="316">
        <f>IF(tblPiNAnalysis[[#This Row],[Shelter NFI ]]="", "", tblPiNAnalysis[[#This Row],[Shelter NFI ]]/tblPiNAnalysis[[#This Row],[Total Population]])</f>
        <v>0.21251504211793021</v>
      </c>
      <c r="AA94" s="317" t="str">
        <f>IF(tblPiNAnalysis[[#This Row],[WASH]]="", "", tblPiNAnalysis[[#This Row],[WASH]]/tblPiNAnalysis[[#This Row],[Total Population]])</f>
        <v/>
      </c>
      <c r="AB94" s="318" t="str">
        <f>IFERROR(IF(tblPiNAnalysis[[#This Row],[CP]]="", "", MROUND(tblPiNAnalysis[[#This Row],[CP]]/tblPiNAnalysis[[#This Row],[Total Population]], 0.05)), "")</f>
        <v/>
      </c>
      <c r="AC94" s="314" t="str">
        <f>IFERROR(IF(tblPiNAnalysis[[#This Row],[GBV]]="", "", MROUND(tblPiNAnalysis[[#This Row],[GBV]]/tblPiNAnalysis[[#This Row],[Total Population]], 0.05)), "")</f>
        <v/>
      </c>
      <c r="AD94" s="314" t="str">
        <f>IFERROR(IF(tblPiNAnalysis[[#This Row],[Mine Action]]="", "", MROUND(tblPiNAnalysis[[#This Row],[Mine Action]]/tblPiNAnalysis[[#This Row],[Total Population]], 0.05)), "")</f>
        <v/>
      </c>
      <c r="AE94" s="314" t="str">
        <f>IFERROR(IF(tblPiNAnalysis[[#This Row],[General Protection]]="", "", MROUND(tblPiNAnalysis[[#This Row],[General Protection]]/tblPiNAnalysis[[#This Row],[Total Population]], 0.05)), "")</f>
        <v/>
      </c>
      <c r="AF94" s="319">
        <f>IFERROR(LARGE(tblPiNAnalysis[[#This Row],[Site Management ]:[General Protection]], 1), "")</f>
        <v>4415</v>
      </c>
      <c r="AG94" s="320">
        <f>IF(tblPiNAnalysis[[#This Row],[Highest PiN]]="", "",tblPiNAnalysis[[#This Row],[Highest PiN]]/ tblPiNAnalysis[[#This Row],[Total Population]])</f>
        <v>0.21251504211793021</v>
      </c>
      <c r="AH94" s="320" t="str">
        <f>IFERROR(IF(tblPiNAnalysis[[#This Row],[Highest PiN]]="", "", IF(tblPiNAnalysis[[#This Row],[Highest sector(s'') PiN %]]&gt;=flag_pin_perc, "Flagged", "")), "")</f>
        <v/>
      </c>
      <c r="AI94" s="321"/>
      <c r="AJ94" s="322"/>
      <c r="AK94" s="323">
        <f>COUNTIFS(tblPiNAnalysis[[#This Row],[Highest PiN greater than 90% of total affected population]:[Manual Flag]],"Flagged")</f>
        <v>0</v>
      </c>
      <c r="AL94" s="324" t="str">
        <f>IF(tblPiNAnalysis[[#This Row],['# Flags]]&gt;0, "Flagged", "")</f>
        <v/>
      </c>
    </row>
    <row r="95" spans="1:38" ht="23.1" hidden="1" customHeight="1" x14ac:dyDescent="0.2">
      <c r="A95" s="309" t="str">
        <f>_xlfn.CONCAT(IF(tblPiNAnalysis[[#This Row],[Population Group]]="", "",tblPiNAnalysis[[#This Row],[Population Group]] ), _xlfn.IFS(tblPiNAnalysis[[#This Row],[Admin 2 P-Code]]&lt;&gt;"", tblPiNAnalysis[[#This Row],[Admin 2 P-Code]], tblPiNAnalysis[[#This Row],[Admin 1 P-Code]]&lt;&gt;"", tblPiNAnalysis[[#This Row],[Admin 1 P-Code]]))</f>
        <v>IDPsSD03149</v>
      </c>
      <c r="B95" s="245" t="s">
        <v>185</v>
      </c>
      <c r="C95" s="246" t="s">
        <v>120</v>
      </c>
      <c r="D95" s="247" t="s">
        <v>245</v>
      </c>
      <c r="E95" s="246" t="s">
        <v>244</v>
      </c>
      <c r="F95" s="248">
        <v>20775</v>
      </c>
      <c r="G95" s="248" t="s">
        <v>88</v>
      </c>
      <c r="H95" s="310"/>
      <c r="I95" s="311"/>
      <c r="J95" s="312"/>
      <c r="K95" s="311"/>
      <c r="L95" s="311"/>
      <c r="M95" s="312"/>
      <c r="N95" s="312">
        <f>_xlfn.XLOOKUP(CONCATENATE(tblPiNAnalysis[[#This Row],[Admin 2 P-Code]],tblPiNAnalysis[[#This Row],[Population Group]]),'Overall severity &amp; PIN Analysis'!A:A,'Overall severity &amp; PIN Analysis'!P:P,0,0)</f>
        <v>4415</v>
      </c>
      <c r="O95" s="311"/>
      <c r="P95" s="312"/>
      <c r="Q95" s="312"/>
      <c r="R95" s="312"/>
      <c r="S95" s="312"/>
      <c r="T95" s="313" t="str">
        <f>IF(tblPiNAnalysis[[#This Row],[Site Management ]]="", "", tblPiNAnalysis[[#This Row],[Site Management ]]/tblPiNAnalysis[[#This Row],[Total Population]])</f>
        <v/>
      </c>
      <c r="U95" s="314" t="str">
        <f>IF(tblPiNAnalysis[[#This Row],[Education]]="", "", tblPiNAnalysis[[#This Row],[Education]]/tblPiNAnalysis[[#This Row],[Total Population]])</f>
        <v/>
      </c>
      <c r="V95" s="314" t="str">
        <f>IF(tblPiNAnalysis[[#This Row],[Food Security and Livlihoods]]="", "", tblPiNAnalysis[[#This Row],[Food Security and Livlihoods]]/tblPiNAnalysis[[#This Row],[Total Population]])</f>
        <v/>
      </c>
      <c r="W95" s="315" t="str">
        <f>IF(tblPiNAnalysis[[#This Row],[Health ]]="", "", tblPiNAnalysis[[#This Row],[Health ]]/tblPiNAnalysis[[#This Row],[Total Population]])</f>
        <v/>
      </c>
      <c r="X95" s="314" t="str">
        <f>IF(tblPiNAnalysis[[#This Row],[Nutrition]]="", "", tblPiNAnalysis[[#This Row],[Nutrition]]/tblPiNAnalysis[[#This Row],[Total Population]])</f>
        <v/>
      </c>
      <c r="Y95" s="314" t="str">
        <f>IF(tblPiNAnalysis[[#This Row],[Protection]]="", "", tblPiNAnalysis[[#This Row],[Protection]]/tblPiNAnalysis[[#This Row],[Total Population]])</f>
        <v/>
      </c>
      <c r="Z95" s="316">
        <f>IF(tblPiNAnalysis[[#This Row],[Shelter NFI ]]="", "", tblPiNAnalysis[[#This Row],[Shelter NFI ]]/tblPiNAnalysis[[#This Row],[Total Population]])</f>
        <v>0.21251504211793021</v>
      </c>
      <c r="AA95" s="317" t="str">
        <f>IF(tblPiNAnalysis[[#This Row],[WASH]]="", "", tblPiNAnalysis[[#This Row],[WASH]]/tblPiNAnalysis[[#This Row],[Total Population]])</f>
        <v/>
      </c>
      <c r="AB95" s="318" t="str">
        <f>IFERROR(IF(tblPiNAnalysis[[#This Row],[CP]]="", "", MROUND(tblPiNAnalysis[[#This Row],[CP]]/tblPiNAnalysis[[#This Row],[Total Population]], 0.05)), "")</f>
        <v/>
      </c>
      <c r="AC95" s="314" t="str">
        <f>IFERROR(IF(tblPiNAnalysis[[#This Row],[GBV]]="", "", MROUND(tblPiNAnalysis[[#This Row],[GBV]]/tblPiNAnalysis[[#This Row],[Total Population]], 0.05)), "")</f>
        <v/>
      </c>
      <c r="AD95" s="314" t="str">
        <f>IFERROR(IF(tblPiNAnalysis[[#This Row],[Mine Action]]="", "", MROUND(tblPiNAnalysis[[#This Row],[Mine Action]]/tblPiNAnalysis[[#This Row],[Total Population]], 0.05)), "")</f>
        <v/>
      </c>
      <c r="AE95" s="314" t="str">
        <f>IFERROR(IF(tblPiNAnalysis[[#This Row],[General Protection]]="", "", MROUND(tblPiNAnalysis[[#This Row],[General Protection]]/tblPiNAnalysis[[#This Row],[Total Population]], 0.05)), "")</f>
        <v/>
      </c>
      <c r="AF95" s="319">
        <f>IFERROR(LARGE(tblPiNAnalysis[[#This Row],[Site Management ]:[General Protection]], 1), "")</f>
        <v>4415</v>
      </c>
      <c r="AG95" s="320">
        <f>IF(tblPiNAnalysis[[#This Row],[Highest PiN]]="", "",tblPiNAnalysis[[#This Row],[Highest PiN]]/ tblPiNAnalysis[[#This Row],[Total Population]])</f>
        <v>0.21251504211793021</v>
      </c>
      <c r="AH95" s="320" t="str">
        <f>IFERROR(IF(tblPiNAnalysis[[#This Row],[Highest PiN]]="", "", IF(tblPiNAnalysis[[#This Row],[Highest sector(s'') PiN %]]&gt;=flag_pin_perc, "Flagged", "")), "")</f>
        <v/>
      </c>
      <c r="AI95" s="321"/>
      <c r="AJ95" s="322"/>
      <c r="AK95" s="323">
        <f>COUNTIFS(tblPiNAnalysis[[#This Row],[Highest PiN greater than 90% of total affected population]:[Manual Flag]],"Flagged")</f>
        <v>0</v>
      </c>
      <c r="AL95" s="324" t="str">
        <f>IF(tblPiNAnalysis[[#This Row],['# Flags]]&gt;0, "Flagged", "")</f>
        <v/>
      </c>
    </row>
    <row r="96" spans="1:38" ht="23.1" customHeight="1" x14ac:dyDescent="0.2">
      <c r="A96" s="309" t="str">
        <f>_xlfn.CONCAT(IF(tblPiNAnalysis[[#This Row],[Population Group]]="", "",tblPiNAnalysis[[#This Row],[Population Group]] ), _xlfn.IFS(tblPiNAnalysis[[#This Row],[Admin 2 P-Code]]&lt;&gt;"", tblPiNAnalysis[[#This Row],[Admin 2 P-Code]], tblPiNAnalysis[[#This Row],[Admin 1 P-Code]]&lt;&gt;"", tblPiNAnalysis[[#This Row],[Admin 1 P-Code]]))</f>
        <v>Non-hosting PopulationSD03149</v>
      </c>
      <c r="B96" s="245" t="s">
        <v>185</v>
      </c>
      <c r="C96" s="246" t="s">
        <v>120</v>
      </c>
      <c r="D96" s="247" t="s">
        <v>245</v>
      </c>
      <c r="E96" s="246" t="s">
        <v>244</v>
      </c>
      <c r="F96" s="248">
        <v>330303</v>
      </c>
      <c r="G96" s="248" t="s">
        <v>568</v>
      </c>
      <c r="H96" s="310"/>
      <c r="I96" s="311"/>
      <c r="J96" s="312"/>
      <c r="K96" s="311"/>
      <c r="L96" s="311"/>
      <c r="M96" s="312"/>
      <c r="N96" s="312">
        <f>_xlfn.XLOOKUP(CONCATENATE(tblPiNAnalysis[[#This Row],[Admin 2 P-Code]],tblPiNAnalysis[[#This Row],[Population Group]]),'Overall severity &amp; PIN Analysis'!A:A,'Overall severity &amp; PIN Analysis'!P:P,0,0)</f>
        <v>0</v>
      </c>
      <c r="O96" s="311"/>
      <c r="P96" s="312"/>
      <c r="Q96" s="312"/>
      <c r="R96" s="312"/>
      <c r="S96" s="312"/>
      <c r="T96" s="313" t="str">
        <f>IF(tblPiNAnalysis[[#This Row],[Site Management ]]="", "", tblPiNAnalysis[[#This Row],[Site Management ]]/tblPiNAnalysis[[#This Row],[Total Population]])</f>
        <v/>
      </c>
      <c r="U96" s="314" t="str">
        <f>IF(tblPiNAnalysis[[#This Row],[Education]]="", "", tblPiNAnalysis[[#This Row],[Education]]/tblPiNAnalysis[[#This Row],[Total Population]])</f>
        <v/>
      </c>
      <c r="V96" s="314" t="str">
        <f>IF(tblPiNAnalysis[[#This Row],[Food Security and Livlihoods]]="", "", tblPiNAnalysis[[#This Row],[Food Security and Livlihoods]]/tblPiNAnalysis[[#This Row],[Total Population]])</f>
        <v/>
      </c>
      <c r="W96" s="315" t="str">
        <f>IF(tblPiNAnalysis[[#This Row],[Health ]]="", "", tblPiNAnalysis[[#This Row],[Health ]]/tblPiNAnalysis[[#This Row],[Total Population]])</f>
        <v/>
      </c>
      <c r="X96" s="314" t="str">
        <f>IF(tblPiNAnalysis[[#This Row],[Nutrition]]="", "", tblPiNAnalysis[[#This Row],[Nutrition]]/tblPiNAnalysis[[#This Row],[Total Population]])</f>
        <v/>
      </c>
      <c r="Y96" s="314" t="str">
        <f>IF(tblPiNAnalysis[[#This Row],[Protection]]="", "", tblPiNAnalysis[[#This Row],[Protection]]/tblPiNAnalysis[[#This Row],[Total Population]])</f>
        <v/>
      </c>
      <c r="Z96" s="316">
        <f>IF(tblPiNAnalysis[[#This Row],[Shelter NFI ]]="", "", tblPiNAnalysis[[#This Row],[Shelter NFI ]]/tblPiNAnalysis[[#This Row],[Total Population]])</f>
        <v>0</v>
      </c>
      <c r="AA96" s="317" t="str">
        <f>IF(tblPiNAnalysis[[#This Row],[WASH]]="", "", tblPiNAnalysis[[#This Row],[WASH]]/tblPiNAnalysis[[#This Row],[Total Population]])</f>
        <v/>
      </c>
      <c r="AB96" s="318" t="str">
        <f>IFERROR(IF(tblPiNAnalysis[[#This Row],[CP]]="", "", MROUND(tblPiNAnalysis[[#This Row],[CP]]/tblPiNAnalysis[[#This Row],[Total Population]], 0.05)), "")</f>
        <v/>
      </c>
      <c r="AC96" s="314" t="str">
        <f>IFERROR(IF(tblPiNAnalysis[[#This Row],[GBV]]="", "", MROUND(tblPiNAnalysis[[#This Row],[GBV]]/tblPiNAnalysis[[#This Row],[Total Population]], 0.05)), "")</f>
        <v/>
      </c>
      <c r="AD96" s="314" t="str">
        <f>IFERROR(IF(tblPiNAnalysis[[#This Row],[Mine Action]]="", "", MROUND(tblPiNAnalysis[[#This Row],[Mine Action]]/tblPiNAnalysis[[#This Row],[Total Population]], 0.05)), "")</f>
        <v/>
      </c>
      <c r="AE96" s="314" t="str">
        <f>IFERROR(IF(tblPiNAnalysis[[#This Row],[General Protection]]="", "", MROUND(tblPiNAnalysis[[#This Row],[General Protection]]/tblPiNAnalysis[[#This Row],[Total Population]], 0.05)), "")</f>
        <v/>
      </c>
      <c r="AF96" s="319">
        <f>IFERROR(LARGE(tblPiNAnalysis[[#This Row],[Site Management ]:[General Protection]], 1), "")</f>
        <v>0</v>
      </c>
      <c r="AG96" s="320">
        <f>IF(tblPiNAnalysis[[#This Row],[Highest PiN]]="", "",tblPiNAnalysis[[#This Row],[Highest PiN]]/ tblPiNAnalysis[[#This Row],[Total Population]])</f>
        <v>0</v>
      </c>
      <c r="AH96" s="320" t="str">
        <f>IFERROR(IF(tblPiNAnalysis[[#This Row],[Highest PiN]]="", "", IF(tblPiNAnalysis[[#This Row],[Highest sector(s'') PiN %]]&gt;=flag_pin_perc, "Flagged", "")), "")</f>
        <v/>
      </c>
      <c r="AI96" s="321"/>
      <c r="AJ96" s="322"/>
      <c r="AK96" s="323">
        <f>COUNTIFS(tblPiNAnalysis[[#This Row],[Highest PiN greater than 90% of total affected population]:[Manual Flag]],"Flagged")</f>
        <v>0</v>
      </c>
      <c r="AL96" s="324" t="str">
        <f>IF(tblPiNAnalysis[[#This Row],['# Flags]]&gt;0, "Flagged", "")</f>
        <v/>
      </c>
    </row>
    <row r="97" spans="1:38" ht="23.1" hidden="1" customHeight="1" x14ac:dyDescent="0.2">
      <c r="A97" s="309" t="str">
        <f>_xlfn.CONCAT(IF(tblPiNAnalysis[[#This Row],[Population Group]]="", "",tblPiNAnalysis[[#This Row],[Population Group]] ), _xlfn.IFS(tblPiNAnalysis[[#This Row],[Admin 2 P-Code]]&lt;&gt;"", tblPiNAnalysis[[#This Row],[Admin 2 P-Code]], tblPiNAnalysis[[#This Row],[Admin 1 P-Code]]&lt;&gt;"", tblPiNAnalysis[[#This Row],[Admin 1 P-Code]]))</f>
        <v>Host CommunitySD03150</v>
      </c>
      <c r="B97" s="245" t="s">
        <v>185</v>
      </c>
      <c r="C97" s="246" t="s">
        <v>120</v>
      </c>
      <c r="D97" s="247" t="s">
        <v>247</v>
      </c>
      <c r="E97" s="246" t="s">
        <v>246</v>
      </c>
      <c r="F97" s="248">
        <v>3945</v>
      </c>
      <c r="G97" s="248" t="s">
        <v>87</v>
      </c>
      <c r="H97" s="310"/>
      <c r="I97" s="311"/>
      <c r="J97" s="312"/>
      <c r="K97" s="311"/>
      <c r="L97" s="311"/>
      <c r="M97" s="312"/>
      <c r="N97" s="312">
        <f>_xlfn.XLOOKUP(CONCATENATE(tblPiNAnalysis[[#This Row],[Admin 2 P-Code]],tblPiNAnalysis[[#This Row],[Population Group]]),'Overall severity &amp; PIN Analysis'!A:A,'Overall severity &amp; PIN Analysis'!P:P,0,0)</f>
        <v>2119</v>
      </c>
      <c r="O97" s="311"/>
      <c r="P97" s="312"/>
      <c r="Q97" s="312"/>
      <c r="R97" s="312"/>
      <c r="S97" s="312"/>
      <c r="T97" s="313" t="str">
        <f>IF(tblPiNAnalysis[[#This Row],[Site Management ]]="", "", tblPiNAnalysis[[#This Row],[Site Management ]]/tblPiNAnalysis[[#This Row],[Total Population]])</f>
        <v/>
      </c>
      <c r="U97" s="314" t="str">
        <f>IF(tblPiNAnalysis[[#This Row],[Education]]="", "", tblPiNAnalysis[[#This Row],[Education]]/tblPiNAnalysis[[#This Row],[Total Population]])</f>
        <v/>
      </c>
      <c r="V97" s="314" t="str">
        <f>IF(tblPiNAnalysis[[#This Row],[Food Security and Livlihoods]]="", "", tblPiNAnalysis[[#This Row],[Food Security and Livlihoods]]/tblPiNAnalysis[[#This Row],[Total Population]])</f>
        <v/>
      </c>
      <c r="W97" s="315" t="str">
        <f>IF(tblPiNAnalysis[[#This Row],[Health ]]="", "", tblPiNAnalysis[[#This Row],[Health ]]/tblPiNAnalysis[[#This Row],[Total Population]])</f>
        <v/>
      </c>
      <c r="X97" s="314" t="str">
        <f>IF(tblPiNAnalysis[[#This Row],[Nutrition]]="", "", tblPiNAnalysis[[#This Row],[Nutrition]]/tblPiNAnalysis[[#This Row],[Total Population]])</f>
        <v/>
      </c>
      <c r="Y97" s="314" t="str">
        <f>IF(tblPiNAnalysis[[#This Row],[Protection]]="", "", tblPiNAnalysis[[#This Row],[Protection]]/tblPiNAnalysis[[#This Row],[Total Population]])</f>
        <v/>
      </c>
      <c r="Z97" s="316">
        <f>IF(tblPiNAnalysis[[#This Row],[Shelter NFI ]]="", "", tblPiNAnalysis[[#This Row],[Shelter NFI ]]/tblPiNAnalysis[[#This Row],[Total Population]])</f>
        <v>0.53713561470215465</v>
      </c>
      <c r="AA97" s="317" t="str">
        <f>IF(tblPiNAnalysis[[#This Row],[WASH]]="", "", tblPiNAnalysis[[#This Row],[WASH]]/tblPiNAnalysis[[#This Row],[Total Population]])</f>
        <v/>
      </c>
      <c r="AB97" s="318" t="str">
        <f>IFERROR(IF(tblPiNAnalysis[[#This Row],[CP]]="", "", MROUND(tblPiNAnalysis[[#This Row],[CP]]/tblPiNAnalysis[[#This Row],[Total Population]], 0.05)), "")</f>
        <v/>
      </c>
      <c r="AC97" s="314" t="str">
        <f>IFERROR(IF(tblPiNAnalysis[[#This Row],[GBV]]="", "", MROUND(tblPiNAnalysis[[#This Row],[GBV]]/tblPiNAnalysis[[#This Row],[Total Population]], 0.05)), "")</f>
        <v/>
      </c>
      <c r="AD97" s="314" t="str">
        <f>IFERROR(IF(tblPiNAnalysis[[#This Row],[Mine Action]]="", "", MROUND(tblPiNAnalysis[[#This Row],[Mine Action]]/tblPiNAnalysis[[#This Row],[Total Population]], 0.05)), "")</f>
        <v/>
      </c>
      <c r="AE97" s="314" t="str">
        <f>IFERROR(IF(tblPiNAnalysis[[#This Row],[General Protection]]="", "", MROUND(tblPiNAnalysis[[#This Row],[General Protection]]/tblPiNAnalysis[[#This Row],[Total Population]], 0.05)), "")</f>
        <v/>
      </c>
      <c r="AF97" s="319">
        <f>IFERROR(LARGE(tblPiNAnalysis[[#This Row],[Site Management ]:[General Protection]], 1), "")</f>
        <v>2119</v>
      </c>
      <c r="AG97" s="320">
        <f>IF(tblPiNAnalysis[[#This Row],[Highest PiN]]="", "",tblPiNAnalysis[[#This Row],[Highest PiN]]/ tblPiNAnalysis[[#This Row],[Total Population]])</f>
        <v>0.53713561470215465</v>
      </c>
      <c r="AH97" s="320" t="str">
        <f>IFERROR(IF(tblPiNAnalysis[[#This Row],[Highest PiN]]="", "", IF(tblPiNAnalysis[[#This Row],[Highest sector(s'') PiN %]]&gt;=flag_pin_perc, "Flagged", "")), "")</f>
        <v/>
      </c>
      <c r="AI97" s="321"/>
      <c r="AJ97" s="322"/>
      <c r="AK97" s="323">
        <f>COUNTIFS(tblPiNAnalysis[[#This Row],[Highest PiN greater than 90% of total affected population]:[Manual Flag]],"Flagged")</f>
        <v>0</v>
      </c>
      <c r="AL97" s="324" t="str">
        <f>IF(tblPiNAnalysis[[#This Row],['# Flags]]&gt;0, "Flagged", "")</f>
        <v/>
      </c>
    </row>
    <row r="98" spans="1:38" ht="23.1" hidden="1" customHeight="1" x14ac:dyDescent="0.2">
      <c r="A98" s="309" t="str">
        <f>_xlfn.CONCAT(IF(tblPiNAnalysis[[#This Row],[Population Group]]="", "",tblPiNAnalysis[[#This Row],[Population Group]] ), _xlfn.IFS(tblPiNAnalysis[[#This Row],[Admin 2 P-Code]]&lt;&gt;"", tblPiNAnalysis[[#This Row],[Admin 2 P-Code]], tblPiNAnalysis[[#This Row],[Admin 1 P-Code]]&lt;&gt;"", tblPiNAnalysis[[#This Row],[Admin 1 P-Code]]))</f>
        <v>IDPsSD03150</v>
      </c>
      <c r="B98" s="245" t="s">
        <v>185</v>
      </c>
      <c r="C98" s="246" t="s">
        <v>120</v>
      </c>
      <c r="D98" s="247" t="s">
        <v>247</v>
      </c>
      <c r="E98" s="246" t="s">
        <v>246</v>
      </c>
      <c r="F98" s="248">
        <v>3945</v>
      </c>
      <c r="G98" s="248" t="s">
        <v>88</v>
      </c>
      <c r="H98" s="310"/>
      <c r="I98" s="311"/>
      <c r="J98" s="312"/>
      <c r="K98" s="311"/>
      <c r="L98" s="311"/>
      <c r="M98" s="312"/>
      <c r="N98" s="312">
        <f>_xlfn.XLOOKUP(CONCATENATE(tblPiNAnalysis[[#This Row],[Admin 2 P-Code]],tblPiNAnalysis[[#This Row],[Population Group]]),'Overall severity &amp; PIN Analysis'!A:A,'Overall severity &amp; PIN Analysis'!P:P,0,0)</f>
        <v>2119</v>
      </c>
      <c r="O98" s="311"/>
      <c r="P98" s="312"/>
      <c r="Q98" s="312"/>
      <c r="R98" s="312"/>
      <c r="S98" s="312"/>
      <c r="T98" s="313" t="str">
        <f>IF(tblPiNAnalysis[[#This Row],[Site Management ]]="", "", tblPiNAnalysis[[#This Row],[Site Management ]]/tblPiNAnalysis[[#This Row],[Total Population]])</f>
        <v/>
      </c>
      <c r="U98" s="314" t="str">
        <f>IF(tblPiNAnalysis[[#This Row],[Education]]="", "", tblPiNAnalysis[[#This Row],[Education]]/tblPiNAnalysis[[#This Row],[Total Population]])</f>
        <v/>
      </c>
      <c r="V98" s="314" t="str">
        <f>IF(tblPiNAnalysis[[#This Row],[Food Security and Livlihoods]]="", "", tblPiNAnalysis[[#This Row],[Food Security and Livlihoods]]/tblPiNAnalysis[[#This Row],[Total Population]])</f>
        <v/>
      </c>
      <c r="W98" s="315" t="str">
        <f>IF(tblPiNAnalysis[[#This Row],[Health ]]="", "", tblPiNAnalysis[[#This Row],[Health ]]/tblPiNAnalysis[[#This Row],[Total Population]])</f>
        <v/>
      </c>
      <c r="X98" s="314" t="str">
        <f>IF(tblPiNAnalysis[[#This Row],[Nutrition]]="", "", tblPiNAnalysis[[#This Row],[Nutrition]]/tblPiNAnalysis[[#This Row],[Total Population]])</f>
        <v/>
      </c>
      <c r="Y98" s="314" t="str">
        <f>IF(tblPiNAnalysis[[#This Row],[Protection]]="", "", tblPiNAnalysis[[#This Row],[Protection]]/tblPiNAnalysis[[#This Row],[Total Population]])</f>
        <v/>
      </c>
      <c r="Z98" s="316">
        <f>IF(tblPiNAnalysis[[#This Row],[Shelter NFI ]]="", "", tblPiNAnalysis[[#This Row],[Shelter NFI ]]/tblPiNAnalysis[[#This Row],[Total Population]])</f>
        <v>0.53713561470215465</v>
      </c>
      <c r="AA98" s="317" t="str">
        <f>IF(tblPiNAnalysis[[#This Row],[WASH]]="", "", tblPiNAnalysis[[#This Row],[WASH]]/tblPiNAnalysis[[#This Row],[Total Population]])</f>
        <v/>
      </c>
      <c r="AB98" s="318" t="str">
        <f>IFERROR(IF(tblPiNAnalysis[[#This Row],[CP]]="", "", MROUND(tblPiNAnalysis[[#This Row],[CP]]/tblPiNAnalysis[[#This Row],[Total Population]], 0.05)), "")</f>
        <v/>
      </c>
      <c r="AC98" s="314" t="str">
        <f>IFERROR(IF(tblPiNAnalysis[[#This Row],[GBV]]="", "", MROUND(tblPiNAnalysis[[#This Row],[GBV]]/tblPiNAnalysis[[#This Row],[Total Population]], 0.05)), "")</f>
        <v/>
      </c>
      <c r="AD98" s="314" t="str">
        <f>IFERROR(IF(tblPiNAnalysis[[#This Row],[Mine Action]]="", "", MROUND(tblPiNAnalysis[[#This Row],[Mine Action]]/tblPiNAnalysis[[#This Row],[Total Population]], 0.05)), "")</f>
        <v/>
      </c>
      <c r="AE98" s="314" t="str">
        <f>IFERROR(IF(tblPiNAnalysis[[#This Row],[General Protection]]="", "", MROUND(tblPiNAnalysis[[#This Row],[General Protection]]/tblPiNAnalysis[[#This Row],[Total Population]], 0.05)), "")</f>
        <v/>
      </c>
      <c r="AF98" s="319">
        <f>IFERROR(LARGE(tblPiNAnalysis[[#This Row],[Site Management ]:[General Protection]], 1), "")</f>
        <v>2119</v>
      </c>
      <c r="AG98" s="320">
        <f>IF(tblPiNAnalysis[[#This Row],[Highest PiN]]="", "",tblPiNAnalysis[[#This Row],[Highest PiN]]/ tblPiNAnalysis[[#This Row],[Total Population]])</f>
        <v>0.53713561470215465</v>
      </c>
      <c r="AH98" s="320" t="str">
        <f>IFERROR(IF(tblPiNAnalysis[[#This Row],[Highest PiN]]="", "", IF(tblPiNAnalysis[[#This Row],[Highest sector(s'') PiN %]]&gt;=flag_pin_perc, "Flagged", "")), "")</f>
        <v/>
      </c>
      <c r="AI98" s="321"/>
      <c r="AJ98" s="322"/>
      <c r="AK98" s="323">
        <f>COUNTIFS(tblPiNAnalysis[[#This Row],[Highest PiN greater than 90% of total affected population]:[Manual Flag]],"Flagged")</f>
        <v>0</v>
      </c>
      <c r="AL98" s="324" t="str">
        <f>IF(tblPiNAnalysis[[#This Row],['# Flags]]&gt;0, "Flagged", "")</f>
        <v/>
      </c>
    </row>
    <row r="99" spans="1:38" ht="23.1" customHeight="1" x14ac:dyDescent="0.2">
      <c r="A99" s="309" t="str">
        <f>_xlfn.CONCAT(IF(tblPiNAnalysis[[#This Row],[Population Group]]="", "",tblPiNAnalysis[[#This Row],[Population Group]] ), _xlfn.IFS(tblPiNAnalysis[[#This Row],[Admin 2 P-Code]]&lt;&gt;"", tblPiNAnalysis[[#This Row],[Admin 2 P-Code]], tblPiNAnalysis[[#This Row],[Admin 1 P-Code]]&lt;&gt;"", tblPiNAnalysis[[#This Row],[Admin 1 P-Code]]))</f>
        <v>Non-hosting PopulationSD03150</v>
      </c>
      <c r="B99" s="245" t="s">
        <v>185</v>
      </c>
      <c r="C99" s="246" t="s">
        <v>120</v>
      </c>
      <c r="D99" s="247" t="s">
        <v>247</v>
      </c>
      <c r="E99" s="246" t="s">
        <v>246</v>
      </c>
      <c r="F99" s="248">
        <v>40368</v>
      </c>
      <c r="G99" s="248" t="s">
        <v>568</v>
      </c>
      <c r="H99" s="310"/>
      <c r="I99" s="311"/>
      <c r="J99" s="312"/>
      <c r="K99" s="311"/>
      <c r="L99" s="311"/>
      <c r="M99" s="312"/>
      <c r="N99" s="312">
        <f>_xlfn.XLOOKUP(CONCATENATE(tblPiNAnalysis[[#This Row],[Admin 2 P-Code]],tblPiNAnalysis[[#This Row],[Population Group]]),'Overall severity &amp; PIN Analysis'!A:A,'Overall severity &amp; PIN Analysis'!P:P,0,0)</f>
        <v>3770</v>
      </c>
      <c r="O99" s="311"/>
      <c r="P99" s="312"/>
      <c r="Q99" s="312"/>
      <c r="R99" s="312"/>
      <c r="S99" s="312"/>
      <c r="T99" s="313" t="str">
        <f>IF(tblPiNAnalysis[[#This Row],[Site Management ]]="", "", tblPiNAnalysis[[#This Row],[Site Management ]]/tblPiNAnalysis[[#This Row],[Total Population]])</f>
        <v/>
      </c>
      <c r="U99" s="314" t="str">
        <f>IF(tblPiNAnalysis[[#This Row],[Education]]="", "", tblPiNAnalysis[[#This Row],[Education]]/tblPiNAnalysis[[#This Row],[Total Population]])</f>
        <v/>
      </c>
      <c r="V99" s="314" t="str">
        <f>IF(tblPiNAnalysis[[#This Row],[Food Security and Livlihoods]]="", "", tblPiNAnalysis[[#This Row],[Food Security and Livlihoods]]/tblPiNAnalysis[[#This Row],[Total Population]])</f>
        <v/>
      </c>
      <c r="W99" s="315" t="str">
        <f>IF(tblPiNAnalysis[[#This Row],[Health ]]="", "", tblPiNAnalysis[[#This Row],[Health ]]/tblPiNAnalysis[[#This Row],[Total Population]])</f>
        <v/>
      </c>
      <c r="X99" s="314" t="str">
        <f>IF(tblPiNAnalysis[[#This Row],[Nutrition]]="", "", tblPiNAnalysis[[#This Row],[Nutrition]]/tblPiNAnalysis[[#This Row],[Total Population]])</f>
        <v/>
      </c>
      <c r="Y99" s="314" t="str">
        <f>IF(tblPiNAnalysis[[#This Row],[Protection]]="", "", tblPiNAnalysis[[#This Row],[Protection]]/tblPiNAnalysis[[#This Row],[Total Population]])</f>
        <v/>
      </c>
      <c r="Z99" s="316">
        <f>IF(tblPiNAnalysis[[#This Row],[Shelter NFI ]]="", "", tblPiNAnalysis[[#This Row],[Shelter NFI ]]/tblPiNAnalysis[[#This Row],[Total Population]])</f>
        <v>9.3390804597701146E-2</v>
      </c>
      <c r="AA99" s="317" t="str">
        <f>IF(tblPiNAnalysis[[#This Row],[WASH]]="", "", tblPiNAnalysis[[#This Row],[WASH]]/tblPiNAnalysis[[#This Row],[Total Population]])</f>
        <v/>
      </c>
      <c r="AB99" s="318" t="str">
        <f>IFERROR(IF(tblPiNAnalysis[[#This Row],[CP]]="", "", MROUND(tblPiNAnalysis[[#This Row],[CP]]/tblPiNAnalysis[[#This Row],[Total Population]], 0.05)), "")</f>
        <v/>
      </c>
      <c r="AC99" s="314" t="str">
        <f>IFERROR(IF(tblPiNAnalysis[[#This Row],[GBV]]="", "", MROUND(tblPiNAnalysis[[#This Row],[GBV]]/tblPiNAnalysis[[#This Row],[Total Population]], 0.05)), "")</f>
        <v/>
      </c>
      <c r="AD99" s="314" t="str">
        <f>IFERROR(IF(tblPiNAnalysis[[#This Row],[Mine Action]]="", "", MROUND(tblPiNAnalysis[[#This Row],[Mine Action]]/tblPiNAnalysis[[#This Row],[Total Population]], 0.05)), "")</f>
        <v/>
      </c>
      <c r="AE99" s="314" t="str">
        <f>IFERROR(IF(tblPiNAnalysis[[#This Row],[General Protection]]="", "", MROUND(tblPiNAnalysis[[#This Row],[General Protection]]/tblPiNAnalysis[[#This Row],[Total Population]], 0.05)), "")</f>
        <v/>
      </c>
      <c r="AF99" s="319">
        <f>IFERROR(LARGE(tblPiNAnalysis[[#This Row],[Site Management ]:[General Protection]], 1), "")</f>
        <v>3770</v>
      </c>
      <c r="AG99" s="320">
        <f>IF(tblPiNAnalysis[[#This Row],[Highest PiN]]="", "",tblPiNAnalysis[[#This Row],[Highest PiN]]/ tblPiNAnalysis[[#This Row],[Total Population]])</f>
        <v>9.3390804597701146E-2</v>
      </c>
      <c r="AH99" s="320" t="str">
        <f>IFERROR(IF(tblPiNAnalysis[[#This Row],[Highest PiN]]="", "", IF(tblPiNAnalysis[[#This Row],[Highest sector(s'') PiN %]]&gt;=flag_pin_perc, "Flagged", "")), "")</f>
        <v/>
      </c>
      <c r="AI99" s="321"/>
      <c r="AJ99" s="322"/>
      <c r="AK99" s="323">
        <f>COUNTIFS(tblPiNAnalysis[[#This Row],[Highest PiN greater than 90% of total affected population]:[Manual Flag]],"Flagged")</f>
        <v>0</v>
      </c>
      <c r="AL99" s="324" t="str">
        <f>IF(tblPiNAnalysis[[#This Row],['# Flags]]&gt;0, "Flagged", "")</f>
        <v/>
      </c>
    </row>
    <row r="100" spans="1:38" ht="23.1" hidden="1" customHeight="1" x14ac:dyDescent="0.2">
      <c r="A100" s="309" t="str">
        <f>_xlfn.CONCAT(IF(tblPiNAnalysis[[#This Row],[Population Group]]="", "",tblPiNAnalysis[[#This Row],[Population Group]] ), _xlfn.IFS(tblPiNAnalysis[[#This Row],[Admin 2 P-Code]]&lt;&gt;"", tblPiNAnalysis[[#This Row],[Admin 2 P-Code]], tblPiNAnalysis[[#This Row],[Admin 1 P-Code]]&lt;&gt;"", tblPiNAnalysis[[#This Row],[Admin 1 P-Code]]))</f>
        <v>Host CommunitySD03151</v>
      </c>
      <c r="B100" s="245" t="s">
        <v>185</v>
      </c>
      <c r="C100" s="246" t="s">
        <v>120</v>
      </c>
      <c r="D100" s="247" t="s">
        <v>249</v>
      </c>
      <c r="E100" s="246" t="s">
        <v>248</v>
      </c>
      <c r="F100" s="248">
        <v>189</v>
      </c>
      <c r="G100" s="248" t="s">
        <v>87</v>
      </c>
      <c r="H100" s="310"/>
      <c r="I100" s="311"/>
      <c r="J100" s="312"/>
      <c r="K100" s="311"/>
      <c r="L100" s="311"/>
      <c r="M100" s="312"/>
      <c r="N100" s="312">
        <f>_xlfn.XLOOKUP(CONCATENATE(tblPiNAnalysis[[#This Row],[Admin 2 P-Code]],tblPiNAnalysis[[#This Row],[Population Group]]),'Overall severity &amp; PIN Analysis'!A:A,'Overall severity &amp; PIN Analysis'!P:P,0,0)</f>
        <v>155</v>
      </c>
      <c r="O100" s="311"/>
      <c r="P100" s="312"/>
      <c r="Q100" s="312"/>
      <c r="R100" s="312"/>
      <c r="S100" s="312"/>
      <c r="T100" s="313" t="str">
        <f>IF(tblPiNAnalysis[[#This Row],[Site Management ]]="", "", tblPiNAnalysis[[#This Row],[Site Management ]]/tblPiNAnalysis[[#This Row],[Total Population]])</f>
        <v/>
      </c>
      <c r="U100" s="314" t="str">
        <f>IF(tblPiNAnalysis[[#This Row],[Education]]="", "", tblPiNAnalysis[[#This Row],[Education]]/tblPiNAnalysis[[#This Row],[Total Population]])</f>
        <v/>
      </c>
      <c r="V100" s="314" t="str">
        <f>IF(tblPiNAnalysis[[#This Row],[Food Security and Livlihoods]]="", "", tblPiNAnalysis[[#This Row],[Food Security and Livlihoods]]/tblPiNAnalysis[[#This Row],[Total Population]])</f>
        <v/>
      </c>
      <c r="W100" s="315" t="str">
        <f>IF(tblPiNAnalysis[[#This Row],[Health ]]="", "", tblPiNAnalysis[[#This Row],[Health ]]/tblPiNAnalysis[[#This Row],[Total Population]])</f>
        <v/>
      </c>
      <c r="X100" s="314" t="str">
        <f>IF(tblPiNAnalysis[[#This Row],[Nutrition]]="", "", tblPiNAnalysis[[#This Row],[Nutrition]]/tblPiNAnalysis[[#This Row],[Total Population]])</f>
        <v/>
      </c>
      <c r="Y100" s="314" t="str">
        <f>IF(tblPiNAnalysis[[#This Row],[Protection]]="", "", tblPiNAnalysis[[#This Row],[Protection]]/tblPiNAnalysis[[#This Row],[Total Population]])</f>
        <v/>
      </c>
      <c r="Z100" s="316">
        <f>IF(tblPiNAnalysis[[#This Row],[Shelter NFI ]]="", "", tblPiNAnalysis[[#This Row],[Shelter NFI ]]/tblPiNAnalysis[[#This Row],[Total Population]])</f>
        <v>0.82010582010582012</v>
      </c>
      <c r="AA100" s="317" t="str">
        <f>IF(tblPiNAnalysis[[#This Row],[WASH]]="", "", tblPiNAnalysis[[#This Row],[WASH]]/tblPiNAnalysis[[#This Row],[Total Population]])</f>
        <v/>
      </c>
      <c r="AB100" s="318" t="str">
        <f>IFERROR(IF(tblPiNAnalysis[[#This Row],[CP]]="", "", MROUND(tblPiNAnalysis[[#This Row],[CP]]/tblPiNAnalysis[[#This Row],[Total Population]], 0.05)), "")</f>
        <v/>
      </c>
      <c r="AC100" s="314" t="str">
        <f>IFERROR(IF(tblPiNAnalysis[[#This Row],[GBV]]="", "", MROUND(tblPiNAnalysis[[#This Row],[GBV]]/tblPiNAnalysis[[#This Row],[Total Population]], 0.05)), "")</f>
        <v/>
      </c>
      <c r="AD100" s="314" t="str">
        <f>IFERROR(IF(tblPiNAnalysis[[#This Row],[Mine Action]]="", "", MROUND(tblPiNAnalysis[[#This Row],[Mine Action]]/tblPiNAnalysis[[#This Row],[Total Population]], 0.05)), "")</f>
        <v/>
      </c>
      <c r="AE100" s="314" t="str">
        <f>IFERROR(IF(tblPiNAnalysis[[#This Row],[General Protection]]="", "", MROUND(tblPiNAnalysis[[#This Row],[General Protection]]/tblPiNAnalysis[[#This Row],[Total Population]], 0.05)), "")</f>
        <v/>
      </c>
      <c r="AF100" s="319">
        <f>IFERROR(LARGE(tblPiNAnalysis[[#This Row],[Site Management ]:[General Protection]], 1), "")</f>
        <v>155</v>
      </c>
      <c r="AG100" s="320">
        <f>IF(tblPiNAnalysis[[#This Row],[Highest PiN]]="", "",tblPiNAnalysis[[#This Row],[Highest PiN]]/ tblPiNAnalysis[[#This Row],[Total Population]])</f>
        <v>0.82010582010582012</v>
      </c>
      <c r="AH100" s="320" t="str">
        <f>IFERROR(IF(tblPiNAnalysis[[#This Row],[Highest PiN]]="", "", IF(tblPiNAnalysis[[#This Row],[Highest sector(s'') PiN %]]&gt;=flag_pin_perc, "Flagged", "")), "")</f>
        <v/>
      </c>
      <c r="AI100" s="321"/>
      <c r="AJ100" s="322"/>
      <c r="AK100" s="323">
        <f>COUNTIFS(tblPiNAnalysis[[#This Row],[Highest PiN greater than 90% of total affected population]:[Manual Flag]],"Flagged")</f>
        <v>0</v>
      </c>
      <c r="AL100" s="324" t="str">
        <f>IF(tblPiNAnalysis[[#This Row],['# Flags]]&gt;0, "Flagged", "")</f>
        <v/>
      </c>
    </row>
    <row r="101" spans="1:38" ht="23.1" hidden="1" customHeight="1" x14ac:dyDescent="0.2">
      <c r="A101" s="309" t="str">
        <f>_xlfn.CONCAT(IF(tblPiNAnalysis[[#This Row],[Population Group]]="", "",tblPiNAnalysis[[#This Row],[Population Group]] ), _xlfn.IFS(tblPiNAnalysis[[#This Row],[Admin 2 P-Code]]&lt;&gt;"", tblPiNAnalysis[[#This Row],[Admin 2 P-Code]], tblPiNAnalysis[[#This Row],[Admin 1 P-Code]]&lt;&gt;"", tblPiNAnalysis[[#This Row],[Admin 1 P-Code]]))</f>
        <v>IDPsSD03151</v>
      </c>
      <c r="B101" s="245" t="s">
        <v>185</v>
      </c>
      <c r="C101" s="246" t="s">
        <v>120</v>
      </c>
      <c r="D101" s="247" t="s">
        <v>249</v>
      </c>
      <c r="E101" s="246" t="s">
        <v>248</v>
      </c>
      <c r="F101" s="248">
        <v>28505</v>
      </c>
      <c r="G101" s="248" t="s">
        <v>88</v>
      </c>
      <c r="H101" s="310"/>
      <c r="I101" s="311"/>
      <c r="J101" s="312"/>
      <c r="K101" s="311"/>
      <c r="L101" s="311"/>
      <c r="M101" s="312"/>
      <c r="N101" s="312">
        <f>_xlfn.XLOOKUP(CONCATENATE(tblPiNAnalysis[[#This Row],[Admin 2 P-Code]],tblPiNAnalysis[[#This Row],[Population Group]]),'Overall severity &amp; PIN Analysis'!A:A,'Overall severity &amp; PIN Analysis'!P:P,0,0)</f>
        <v>23295</v>
      </c>
      <c r="O101" s="311"/>
      <c r="P101" s="312"/>
      <c r="Q101" s="312"/>
      <c r="R101" s="312"/>
      <c r="S101" s="312"/>
      <c r="T101" s="313" t="str">
        <f>IF(tblPiNAnalysis[[#This Row],[Site Management ]]="", "", tblPiNAnalysis[[#This Row],[Site Management ]]/tblPiNAnalysis[[#This Row],[Total Population]])</f>
        <v/>
      </c>
      <c r="U101" s="314" t="str">
        <f>IF(tblPiNAnalysis[[#This Row],[Education]]="", "", tblPiNAnalysis[[#This Row],[Education]]/tblPiNAnalysis[[#This Row],[Total Population]])</f>
        <v/>
      </c>
      <c r="V101" s="314" t="str">
        <f>IF(tblPiNAnalysis[[#This Row],[Food Security and Livlihoods]]="", "", tblPiNAnalysis[[#This Row],[Food Security and Livlihoods]]/tblPiNAnalysis[[#This Row],[Total Population]])</f>
        <v/>
      </c>
      <c r="W101" s="315" t="str">
        <f>IF(tblPiNAnalysis[[#This Row],[Health ]]="", "", tblPiNAnalysis[[#This Row],[Health ]]/tblPiNAnalysis[[#This Row],[Total Population]])</f>
        <v/>
      </c>
      <c r="X101" s="314" t="str">
        <f>IF(tblPiNAnalysis[[#This Row],[Nutrition]]="", "", tblPiNAnalysis[[#This Row],[Nutrition]]/tblPiNAnalysis[[#This Row],[Total Population]])</f>
        <v/>
      </c>
      <c r="Y101" s="314" t="str">
        <f>IF(tblPiNAnalysis[[#This Row],[Protection]]="", "", tblPiNAnalysis[[#This Row],[Protection]]/tblPiNAnalysis[[#This Row],[Total Population]])</f>
        <v/>
      </c>
      <c r="Z101" s="316">
        <f>IF(tblPiNAnalysis[[#This Row],[Shelter NFI ]]="", "", tblPiNAnalysis[[#This Row],[Shelter NFI ]]/tblPiNAnalysis[[#This Row],[Total Population]])</f>
        <v>0.81722504823715136</v>
      </c>
      <c r="AA101" s="317" t="str">
        <f>IF(tblPiNAnalysis[[#This Row],[WASH]]="", "", tblPiNAnalysis[[#This Row],[WASH]]/tblPiNAnalysis[[#This Row],[Total Population]])</f>
        <v/>
      </c>
      <c r="AB101" s="318" t="str">
        <f>IFERROR(IF(tblPiNAnalysis[[#This Row],[CP]]="", "", MROUND(tblPiNAnalysis[[#This Row],[CP]]/tblPiNAnalysis[[#This Row],[Total Population]], 0.05)), "")</f>
        <v/>
      </c>
      <c r="AC101" s="314" t="str">
        <f>IFERROR(IF(tblPiNAnalysis[[#This Row],[GBV]]="", "", MROUND(tblPiNAnalysis[[#This Row],[GBV]]/tblPiNAnalysis[[#This Row],[Total Population]], 0.05)), "")</f>
        <v/>
      </c>
      <c r="AD101" s="314" t="str">
        <f>IFERROR(IF(tblPiNAnalysis[[#This Row],[Mine Action]]="", "", MROUND(tblPiNAnalysis[[#This Row],[Mine Action]]/tblPiNAnalysis[[#This Row],[Total Population]], 0.05)), "")</f>
        <v/>
      </c>
      <c r="AE101" s="314" t="str">
        <f>IFERROR(IF(tblPiNAnalysis[[#This Row],[General Protection]]="", "", MROUND(tblPiNAnalysis[[#This Row],[General Protection]]/tblPiNAnalysis[[#This Row],[Total Population]], 0.05)), "")</f>
        <v/>
      </c>
      <c r="AF101" s="319">
        <f>IFERROR(LARGE(tblPiNAnalysis[[#This Row],[Site Management ]:[General Protection]], 1), "")</f>
        <v>23295</v>
      </c>
      <c r="AG101" s="320">
        <f>IF(tblPiNAnalysis[[#This Row],[Highest PiN]]="", "",tblPiNAnalysis[[#This Row],[Highest PiN]]/ tblPiNAnalysis[[#This Row],[Total Population]])</f>
        <v>0.81722504823715136</v>
      </c>
      <c r="AH101" s="320" t="str">
        <f>IFERROR(IF(tblPiNAnalysis[[#This Row],[Highest PiN]]="", "", IF(tblPiNAnalysis[[#This Row],[Highest sector(s'') PiN %]]&gt;=flag_pin_perc, "Flagged", "")), "")</f>
        <v/>
      </c>
      <c r="AI101" s="321"/>
      <c r="AJ101" s="322"/>
      <c r="AK101" s="323">
        <f>COUNTIFS(tblPiNAnalysis[[#This Row],[Highest PiN greater than 90% of total affected population]:[Manual Flag]],"Flagged")</f>
        <v>0</v>
      </c>
      <c r="AL101" s="324" t="str">
        <f>IF(tblPiNAnalysis[[#This Row],['# Flags]]&gt;0, "Flagged", "")</f>
        <v/>
      </c>
    </row>
    <row r="102" spans="1:38" ht="23.1" customHeight="1" x14ac:dyDescent="0.2">
      <c r="A102" s="309" t="str">
        <f>_xlfn.CONCAT(IF(tblPiNAnalysis[[#This Row],[Population Group]]="", "",tblPiNAnalysis[[#This Row],[Population Group]] ), _xlfn.IFS(tblPiNAnalysis[[#This Row],[Admin 2 P-Code]]&lt;&gt;"", tblPiNAnalysis[[#This Row],[Admin 2 P-Code]], tblPiNAnalysis[[#This Row],[Admin 1 P-Code]]&lt;&gt;"", tblPiNAnalysis[[#This Row],[Admin 1 P-Code]]))</f>
        <v>Non-hosting PopulationSD03151</v>
      </c>
      <c r="B102" s="245" t="s">
        <v>185</v>
      </c>
      <c r="C102" s="246" t="s">
        <v>120</v>
      </c>
      <c r="D102" s="247" t="s">
        <v>249</v>
      </c>
      <c r="E102" s="246" t="s">
        <v>248</v>
      </c>
      <c r="F102" s="248">
        <v>0</v>
      </c>
      <c r="G102" s="248" t="s">
        <v>568</v>
      </c>
      <c r="H102" s="310"/>
      <c r="I102" s="311"/>
      <c r="J102" s="312"/>
      <c r="K102" s="311"/>
      <c r="L102" s="311"/>
      <c r="M102" s="312"/>
      <c r="N102" s="312">
        <f>_xlfn.XLOOKUP(CONCATENATE(tblPiNAnalysis[[#This Row],[Admin 2 P-Code]],tblPiNAnalysis[[#This Row],[Population Group]]),'Overall severity &amp; PIN Analysis'!A:A,'Overall severity &amp; PIN Analysis'!P:P,0,0)</f>
        <v>0</v>
      </c>
      <c r="O102" s="311"/>
      <c r="P102" s="312"/>
      <c r="Q102" s="312"/>
      <c r="R102" s="312"/>
      <c r="S102" s="312"/>
      <c r="T102" s="313" t="str">
        <f>IF(tblPiNAnalysis[[#This Row],[Site Management ]]="", "", tblPiNAnalysis[[#This Row],[Site Management ]]/tblPiNAnalysis[[#This Row],[Total Population]])</f>
        <v/>
      </c>
      <c r="U102" s="314" t="str">
        <f>IF(tblPiNAnalysis[[#This Row],[Education]]="", "", tblPiNAnalysis[[#This Row],[Education]]/tblPiNAnalysis[[#This Row],[Total Population]])</f>
        <v/>
      </c>
      <c r="V102" s="314" t="str">
        <f>IF(tblPiNAnalysis[[#This Row],[Food Security and Livlihoods]]="", "", tblPiNAnalysis[[#This Row],[Food Security and Livlihoods]]/tblPiNAnalysis[[#This Row],[Total Population]])</f>
        <v/>
      </c>
      <c r="W102" s="315" t="str">
        <f>IF(tblPiNAnalysis[[#This Row],[Health ]]="", "", tblPiNAnalysis[[#This Row],[Health ]]/tblPiNAnalysis[[#This Row],[Total Population]])</f>
        <v/>
      </c>
      <c r="X102" s="314" t="str">
        <f>IF(tblPiNAnalysis[[#This Row],[Nutrition]]="", "", tblPiNAnalysis[[#This Row],[Nutrition]]/tblPiNAnalysis[[#This Row],[Total Population]])</f>
        <v/>
      </c>
      <c r="Y102" s="314" t="str">
        <f>IF(tblPiNAnalysis[[#This Row],[Protection]]="", "", tblPiNAnalysis[[#This Row],[Protection]]/tblPiNAnalysis[[#This Row],[Total Population]])</f>
        <v/>
      </c>
      <c r="Z102" s="316" t="e">
        <f>IF(tblPiNAnalysis[[#This Row],[Shelter NFI ]]="", "", tblPiNAnalysis[[#This Row],[Shelter NFI ]]/tblPiNAnalysis[[#This Row],[Total Population]])</f>
        <v>#DIV/0!</v>
      </c>
      <c r="AA102" s="317" t="str">
        <f>IF(tblPiNAnalysis[[#This Row],[WASH]]="", "", tblPiNAnalysis[[#This Row],[WASH]]/tblPiNAnalysis[[#This Row],[Total Population]])</f>
        <v/>
      </c>
      <c r="AB102" s="318" t="str">
        <f>IFERROR(IF(tblPiNAnalysis[[#This Row],[CP]]="", "", MROUND(tblPiNAnalysis[[#This Row],[CP]]/tblPiNAnalysis[[#This Row],[Total Population]], 0.05)), "")</f>
        <v/>
      </c>
      <c r="AC102" s="314" t="str">
        <f>IFERROR(IF(tblPiNAnalysis[[#This Row],[GBV]]="", "", MROUND(tblPiNAnalysis[[#This Row],[GBV]]/tblPiNAnalysis[[#This Row],[Total Population]], 0.05)), "")</f>
        <v/>
      </c>
      <c r="AD102" s="314" t="str">
        <f>IFERROR(IF(tblPiNAnalysis[[#This Row],[Mine Action]]="", "", MROUND(tblPiNAnalysis[[#This Row],[Mine Action]]/tblPiNAnalysis[[#This Row],[Total Population]], 0.05)), "")</f>
        <v/>
      </c>
      <c r="AE102" s="314" t="str">
        <f>IFERROR(IF(tblPiNAnalysis[[#This Row],[General Protection]]="", "", MROUND(tblPiNAnalysis[[#This Row],[General Protection]]/tblPiNAnalysis[[#This Row],[Total Population]], 0.05)), "")</f>
        <v/>
      </c>
      <c r="AF102" s="319">
        <f>IFERROR(LARGE(tblPiNAnalysis[[#This Row],[Site Management ]:[General Protection]], 1), "")</f>
        <v>0</v>
      </c>
      <c r="AG102" s="320" t="e">
        <f>IF(tblPiNAnalysis[[#This Row],[Highest PiN]]="", "",tblPiNAnalysis[[#This Row],[Highest PiN]]/ tblPiNAnalysis[[#This Row],[Total Population]])</f>
        <v>#DIV/0!</v>
      </c>
      <c r="AH102" s="320" t="str">
        <f>IFERROR(IF(tblPiNAnalysis[[#This Row],[Highest PiN]]="", "", IF(tblPiNAnalysis[[#This Row],[Highest sector(s'') PiN %]]&gt;=flag_pin_perc, "Flagged", "")), "")</f>
        <v/>
      </c>
      <c r="AI102" s="321"/>
      <c r="AJ102" s="322"/>
      <c r="AK102" s="323">
        <f>COUNTIFS(tblPiNAnalysis[[#This Row],[Highest PiN greater than 90% of total affected population]:[Manual Flag]],"Flagged")</f>
        <v>0</v>
      </c>
      <c r="AL102" s="324" t="str">
        <f>IF(tblPiNAnalysis[[#This Row],['# Flags]]&gt;0, "Flagged", "")</f>
        <v/>
      </c>
    </row>
    <row r="103" spans="1:38" ht="23.1" hidden="1" customHeight="1" x14ac:dyDescent="0.2">
      <c r="A103" s="309" t="str">
        <f>_xlfn.CONCAT(IF(tblPiNAnalysis[[#This Row],[Population Group]]="", "",tblPiNAnalysis[[#This Row],[Population Group]] ), _xlfn.IFS(tblPiNAnalysis[[#This Row],[Admin 2 P-Code]]&lt;&gt;"", tblPiNAnalysis[[#This Row],[Admin 2 P-Code]], tblPiNAnalysis[[#This Row],[Admin 1 P-Code]]&lt;&gt;"", tblPiNAnalysis[[#This Row],[Admin 1 P-Code]]))</f>
        <v>Host CommunitySD03153</v>
      </c>
      <c r="B103" s="245" t="s">
        <v>185</v>
      </c>
      <c r="C103" s="246" t="s">
        <v>120</v>
      </c>
      <c r="D103" s="247" t="s">
        <v>251</v>
      </c>
      <c r="E103" s="246" t="s">
        <v>250</v>
      </c>
      <c r="F103" s="248">
        <v>916</v>
      </c>
      <c r="G103" s="248" t="s">
        <v>87</v>
      </c>
      <c r="H103" s="310"/>
      <c r="I103" s="311"/>
      <c r="J103" s="248"/>
      <c r="K103" s="248"/>
      <c r="L103" s="311"/>
      <c r="M103" s="312"/>
      <c r="N103" s="312">
        <f>_xlfn.XLOOKUP(CONCATENATE(tblPiNAnalysis[[#This Row],[Admin 2 P-Code]],tblPiNAnalysis[[#This Row],[Population Group]]),'Overall severity &amp; PIN Analysis'!A:A,'Overall severity &amp; PIN Analysis'!P:P,0,0)</f>
        <v>827</v>
      </c>
      <c r="O103" s="311"/>
      <c r="P103" s="312"/>
      <c r="Q103" s="312"/>
      <c r="R103" s="312"/>
      <c r="S103" s="312"/>
      <c r="T103" s="313" t="str">
        <f>IF(tblPiNAnalysis[[#This Row],[Site Management ]]="", "", tblPiNAnalysis[[#This Row],[Site Management ]]/tblPiNAnalysis[[#This Row],[Total Population]])</f>
        <v/>
      </c>
      <c r="U103" s="314" t="str">
        <f>IF(tblPiNAnalysis[[#This Row],[Education]]="", "", tblPiNAnalysis[[#This Row],[Education]]/tblPiNAnalysis[[#This Row],[Total Population]])</f>
        <v/>
      </c>
      <c r="V103" s="314" t="str">
        <f>IF(tblPiNAnalysis[[#This Row],[Food Security and Livlihoods]]="", "", tblPiNAnalysis[[#This Row],[Food Security and Livlihoods]]/tblPiNAnalysis[[#This Row],[Total Population]])</f>
        <v/>
      </c>
      <c r="W103" s="315" t="str">
        <f>IF(tblPiNAnalysis[[#This Row],[Health ]]="", "", tblPiNAnalysis[[#This Row],[Health ]]/tblPiNAnalysis[[#This Row],[Total Population]])</f>
        <v/>
      </c>
      <c r="X103" s="314" t="str">
        <f>IF(tblPiNAnalysis[[#This Row],[Nutrition]]="", "", tblPiNAnalysis[[#This Row],[Nutrition]]/tblPiNAnalysis[[#This Row],[Total Population]])</f>
        <v/>
      </c>
      <c r="Y103" s="314" t="str">
        <f>IF(tblPiNAnalysis[[#This Row],[Protection]]="", "", tblPiNAnalysis[[#This Row],[Protection]]/tblPiNAnalysis[[#This Row],[Total Population]])</f>
        <v/>
      </c>
      <c r="Z103" s="316">
        <f>IF(tblPiNAnalysis[[#This Row],[Shelter NFI ]]="", "", tblPiNAnalysis[[#This Row],[Shelter NFI ]]/tblPiNAnalysis[[#This Row],[Total Population]])</f>
        <v>0.90283842794759828</v>
      </c>
      <c r="AA103" s="317" t="str">
        <f>IF(tblPiNAnalysis[[#This Row],[WASH]]="", "", tblPiNAnalysis[[#This Row],[WASH]]/tblPiNAnalysis[[#This Row],[Total Population]])</f>
        <v/>
      </c>
      <c r="AB103" s="318" t="str">
        <f>IFERROR(IF(tblPiNAnalysis[[#This Row],[CP]]="", "", MROUND(tblPiNAnalysis[[#This Row],[CP]]/tblPiNAnalysis[[#This Row],[Total Population]], 0.05)), "")</f>
        <v/>
      </c>
      <c r="AC103" s="314" t="str">
        <f>IFERROR(IF(tblPiNAnalysis[[#This Row],[GBV]]="", "", MROUND(tblPiNAnalysis[[#This Row],[GBV]]/tblPiNAnalysis[[#This Row],[Total Population]], 0.05)), "")</f>
        <v/>
      </c>
      <c r="AD103" s="314" t="str">
        <f>IFERROR(IF(tblPiNAnalysis[[#This Row],[Mine Action]]="", "", MROUND(tblPiNAnalysis[[#This Row],[Mine Action]]/tblPiNAnalysis[[#This Row],[Total Population]], 0.05)), "")</f>
        <v/>
      </c>
      <c r="AE103" s="314" t="str">
        <f>IFERROR(IF(tblPiNAnalysis[[#This Row],[General Protection]]="", "", MROUND(tblPiNAnalysis[[#This Row],[General Protection]]/tblPiNAnalysis[[#This Row],[Total Population]], 0.05)), "")</f>
        <v/>
      </c>
      <c r="AF103" s="319">
        <f>IFERROR(LARGE(tblPiNAnalysis[[#This Row],[Site Management ]:[General Protection]], 1), "")</f>
        <v>827</v>
      </c>
      <c r="AG103" s="320">
        <f>IF(tblPiNAnalysis[[#This Row],[Highest PiN]]="", "",tblPiNAnalysis[[#This Row],[Highest PiN]]/ tblPiNAnalysis[[#This Row],[Total Population]])</f>
        <v>0.90283842794759828</v>
      </c>
      <c r="AH103" s="320" t="str">
        <f>IFERROR(IF(tblPiNAnalysis[[#This Row],[Highest PiN]]="", "", IF(tblPiNAnalysis[[#This Row],[Highest sector(s'') PiN %]]&gt;=flag_pin_perc, "Flagged", "")), "")</f>
        <v>Flagged</v>
      </c>
      <c r="AI103" s="321"/>
      <c r="AJ103" s="322"/>
      <c r="AK103" s="323">
        <f>COUNTIFS(tblPiNAnalysis[[#This Row],[Highest PiN greater than 90% of total affected population]:[Manual Flag]],"Flagged")</f>
        <v>1</v>
      </c>
      <c r="AL103" s="324" t="str">
        <f>IF(tblPiNAnalysis[[#This Row],['# Flags]]&gt;0, "Flagged", "")</f>
        <v>Flagged</v>
      </c>
    </row>
    <row r="104" spans="1:38" ht="23.1" hidden="1" customHeight="1" x14ac:dyDescent="0.2">
      <c r="A104" s="309" t="str">
        <f>_xlfn.CONCAT(IF(tblPiNAnalysis[[#This Row],[Population Group]]="", "",tblPiNAnalysis[[#This Row],[Population Group]] ), _xlfn.IFS(tblPiNAnalysis[[#This Row],[Admin 2 P-Code]]&lt;&gt;"", tblPiNAnalysis[[#This Row],[Admin 2 P-Code]], tblPiNAnalysis[[#This Row],[Admin 1 P-Code]]&lt;&gt;"", tblPiNAnalysis[[#This Row],[Admin 1 P-Code]]))</f>
        <v>IDPsSD03153</v>
      </c>
      <c r="B104" s="245" t="s">
        <v>185</v>
      </c>
      <c r="C104" s="246" t="s">
        <v>120</v>
      </c>
      <c r="D104" s="247" t="s">
        <v>251</v>
      </c>
      <c r="E104" s="246" t="s">
        <v>250</v>
      </c>
      <c r="F104" s="248">
        <v>139642</v>
      </c>
      <c r="G104" s="248" t="s">
        <v>88</v>
      </c>
      <c r="H104" s="310"/>
      <c r="I104" s="311"/>
      <c r="J104" s="312"/>
      <c r="K104" s="311"/>
      <c r="L104" s="311"/>
      <c r="M104" s="312"/>
      <c r="N104" s="312">
        <f>_xlfn.XLOOKUP(CONCATENATE(tblPiNAnalysis[[#This Row],[Admin 2 P-Code]],tblPiNAnalysis[[#This Row],[Population Group]]),'Overall severity &amp; PIN Analysis'!A:A,'Overall severity &amp; PIN Analysis'!P:P,0,0)</f>
        <v>126105</v>
      </c>
      <c r="O104" s="311"/>
      <c r="P104" s="312"/>
      <c r="Q104" s="312"/>
      <c r="R104" s="312"/>
      <c r="S104" s="312"/>
      <c r="T104" s="313" t="str">
        <f>IF(tblPiNAnalysis[[#This Row],[Site Management ]]="", "", tblPiNAnalysis[[#This Row],[Site Management ]]/tblPiNAnalysis[[#This Row],[Total Population]])</f>
        <v/>
      </c>
      <c r="U104" s="314" t="str">
        <f>IF(tblPiNAnalysis[[#This Row],[Education]]="", "", tblPiNAnalysis[[#This Row],[Education]]/tblPiNAnalysis[[#This Row],[Total Population]])</f>
        <v/>
      </c>
      <c r="V104" s="314" t="str">
        <f>IF(tblPiNAnalysis[[#This Row],[Food Security and Livlihoods]]="", "", tblPiNAnalysis[[#This Row],[Food Security and Livlihoods]]/tblPiNAnalysis[[#This Row],[Total Population]])</f>
        <v/>
      </c>
      <c r="W104" s="315" t="str">
        <f>IF(tblPiNAnalysis[[#This Row],[Health ]]="", "", tblPiNAnalysis[[#This Row],[Health ]]/tblPiNAnalysis[[#This Row],[Total Population]])</f>
        <v/>
      </c>
      <c r="X104" s="314" t="str">
        <f>IF(tblPiNAnalysis[[#This Row],[Nutrition]]="", "", tblPiNAnalysis[[#This Row],[Nutrition]]/tblPiNAnalysis[[#This Row],[Total Population]])</f>
        <v/>
      </c>
      <c r="Y104" s="314" t="str">
        <f>IF(tblPiNAnalysis[[#This Row],[Protection]]="", "", tblPiNAnalysis[[#This Row],[Protection]]/tblPiNAnalysis[[#This Row],[Total Population]])</f>
        <v/>
      </c>
      <c r="Z104" s="316">
        <f>IF(tblPiNAnalysis[[#This Row],[Shelter NFI ]]="", "", tblPiNAnalysis[[#This Row],[Shelter NFI ]]/tblPiNAnalysis[[#This Row],[Total Population]])</f>
        <v>0.90305925151458732</v>
      </c>
      <c r="AA104" s="317" t="str">
        <f>IF(tblPiNAnalysis[[#This Row],[WASH]]="", "", tblPiNAnalysis[[#This Row],[WASH]]/tblPiNAnalysis[[#This Row],[Total Population]])</f>
        <v/>
      </c>
      <c r="AB104" s="318" t="str">
        <f>IFERROR(IF(tblPiNAnalysis[[#This Row],[CP]]="", "", MROUND(tblPiNAnalysis[[#This Row],[CP]]/tblPiNAnalysis[[#This Row],[Total Population]], 0.05)), "")</f>
        <v/>
      </c>
      <c r="AC104" s="314" t="str">
        <f>IFERROR(IF(tblPiNAnalysis[[#This Row],[GBV]]="", "", MROUND(tblPiNAnalysis[[#This Row],[GBV]]/tblPiNAnalysis[[#This Row],[Total Population]], 0.05)), "")</f>
        <v/>
      </c>
      <c r="AD104" s="314" t="str">
        <f>IFERROR(IF(tblPiNAnalysis[[#This Row],[Mine Action]]="", "", MROUND(tblPiNAnalysis[[#This Row],[Mine Action]]/tblPiNAnalysis[[#This Row],[Total Population]], 0.05)), "")</f>
        <v/>
      </c>
      <c r="AE104" s="314" t="str">
        <f>IFERROR(IF(tblPiNAnalysis[[#This Row],[General Protection]]="", "", MROUND(tblPiNAnalysis[[#This Row],[General Protection]]/tblPiNAnalysis[[#This Row],[Total Population]], 0.05)), "")</f>
        <v/>
      </c>
      <c r="AF104" s="319">
        <f>IFERROR(LARGE(tblPiNAnalysis[[#This Row],[Site Management ]:[General Protection]], 1), "")</f>
        <v>126105</v>
      </c>
      <c r="AG104" s="320">
        <f>IF(tblPiNAnalysis[[#This Row],[Highest PiN]]="", "",tblPiNAnalysis[[#This Row],[Highest PiN]]/ tblPiNAnalysis[[#This Row],[Total Population]])</f>
        <v>0.90305925151458732</v>
      </c>
      <c r="AH104" s="320" t="str">
        <f>IFERROR(IF(tblPiNAnalysis[[#This Row],[Highest PiN]]="", "", IF(tblPiNAnalysis[[#This Row],[Highest sector(s'') PiN %]]&gt;=flag_pin_perc, "Flagged", "")), "")</f>
        <v>Flagged</v>
      </c>
      <c r="AI104" s="321"/>
      <c r="AJ104" s="322"/>
      <c r="AK104" s="323">
        <f>COUNTIFS(tblPiNAnalysis[[#This Row],[Highest PiN greater than 90% of total affected population]:[Manual Flag]],"Flagged")</f>
        <v>1</v>
      </c>
      <c r="AL104" s="324" t="str">
        <f>IF(tblPiNAnalysis[[#This Row],['# Flags]]&gt;0, "Flagged", "")</f>
        <v>Flagged</v>
      </c>
    </row>
    <row r="105" spans="1:38" ht="23.1" customHeight="1" x14ac:dyDescent="0.2">
      <c r="A105" s="309" t="str">
        <f>_xlfn.CONCAT(IF(tblPiNAnalysis[[#This Row],[Population Group]]="", "",tblPiNAnalysis[[#This Row],[Population Group]] ), _xlfn.IFS(tblPiNAnalysis[[#This Row],[Admin 2 P-Code]]&lt;&gt;"", tblPiNAnalysis[[#This Row],[Admin 2 P-Code]], tblPiNAnalysis[[#This Row],[Admin 1 P-Code]]&lt;&gt;"", tblPiNAnalysis[[#This Row],[Admin 1 P-Code]]))</f>
        <v>Non-hosting PopulationSD03153</v>
      </c>
      <c r="B105" s="245" t="s">
        <v>185</v>
      </c>
      <c r="C105" s="246" t="s">
        <v>120</v>
      </c>
      <c r="D105" s="247" t="s">
        <v>251</v>
      </c>
      <c r="E105" s="246" t="s">
        <v>250</v>
      </c>
      <c r="F105" s="248">
        <v>0</v>
      </c>
      <c r="G105" s="248" t="s">
        <v>568</v>
      </c>
      <c r="H105" s="310"/>
      <c r="I105" s="311"/>
      <c r="J105" s="312"/>
      <c r="K105" s="311"/>
      <c r="L105" s="311"/>
      <c r="M105" s="312"/>
      <c r="N105" s="312">
        <f>_xlfn.XLOOKUP(CONCATENATE(tblPiNAnalysis[[#This Row],[Admin 2 P-Code]],tblPiNAnalysis[[#This Row],[Population Group]]),'Overall severity &amp; PIN Analysis'!A:A,'Overall severity &amp; PIN Analysis'!P:P,0,0)</f>
        <v>0</v>
      </c>
      <c r="O105" s="311"/>
      <c r="P105" s="312"/>
      <c r="Q105" s="312"/>
      <c r="R105" s="312"/>
      <c r="S105" s="312"/>
      <c r="T105" s="313" t="str">
        <f>IF(tblPiNAnalysis[[#This Row],[Site Management ]]="", "", tblPiNAnalysis[[#This Row],[Site Management ]]/tblPiNAnalysis[[#This Row],[Total Population]])</f>
        <v/>
      </c>
      <c r="U105" s="314" t="str">
        <f>IF(tblPiNAnalysis[[#This Row],[Education]]="", "", tblPiNAnalysis[[#This Row],[Education]]/tblPiNAnalysis[[#This Row],[Total Population]])</f>
        <v/>
      </c>
      <c r="V105" s="314" t="str">
        <f>IF(tblPiNAnalysis[[#This Row],[Food Security and Livlihoods]]="", "", tblPiNAnalysis[[#This Row],[Food Security and Livlihoods]]/tblPiNAnalysis[[#This Row],[Total Population]])</f>
        <v/>
      </c>
      <c r="W105" s="315" t="str">
        <f>IF(tblPiNAnalysis[[#This Row],[Health ]]="", "", tblPiNAnalysis[[#This Row],[Health ]]/tblPiNAnalysis[[#This Row],[Total Population]])</f>
        <v/>
      </c>
      <c r="X105" s="314" t="str">
        <f>IF(tblPiNAnalysis[[#This Row],[Nutrition]]="", "", tblPiNAnalysis[[#This Row],[Nutrition]]/tblPiNAnalysis[[#This Row],[Total Population]])</f>
        <v/>
      </c>
      <c r="Y105" s="314" t="str">
        <f>IF(tblPiNAnalysis[[#This Row],[Protection]]="", "", tblPiNAnalysis[[#This Row],[Protection]]/tblPiNAnalysis[[#This Row],[Total Population]])</f>
        <v/>
      </c>
      <c r="Z105" s="316" t="e">
        <f>IF(tblPiNAnalysis[[#This Row],[Shelter NFI ]]="", "", tblPiNAnalysis[[#This Row],[Shelter NFI ]]/tblPiNAnalysis[[#This Row],[Total Population]])</f>
        <v>#DIV/0!</v>
      </c>
      <c r="AA105" s="317" t="str">
        <f>IF(tblPiNAnalysis[[#This Row],[WASH]]="", "", tblPiNAnalysis[[#This Row],[WASH]]/tblPiNAnalysis[[#This Row],[Total Population]])</f>
        <v/>
      </c>
      <c r="AB105" s="318" t="str">
        <f>IFERROR(IF(tblPiNAnalysis[[#This Row],[CP]]="", "", MROUND(tblPiNAnalysis[[#This Row],[CP]]/tblPiNAnalysis[[#This Row],[Total Population]], 0.05)), "")</f>
        <v/>
      </c>
      <c r="AC105" s="314" t="str">
        <f>IFERROR(IF(tblPiNAnalysis[[#This Row],[GBV]]="", "", MROUND(tblPiNAnalysis[[#This Row],[GBV]]/tblPiNAnalysis[[#This Row],[Total Population]], 0.05)), "")</f>
        <v/>
      </c>
      <c r="AD105" s="314" t="str">
        <f>IFERROR(IF(tblPiNAnalysis[[#This Row],[Mine Action]]="", "", MROUND(tblPiNAnalysis[[#This Row],[Mine Action]]/tblPiNAnalysis[[#This Row],[Total Population]], 0.05)), "")</f>
        <v/>
      </c>
      <c r="AE105" s="314" t="str">
        <f>IFERROR(IF(tblPiNAnalysis[[#This Row],[General Protection]]="", "", MROUND(tblPiNAnalysis[[#This Row],[General Protection]]/tblPiNAnalysis[[#This Row],[Total Population]], 0.05)), "")</f>
        <v/>
      </c>
      <c r="AF105" s="319">
        <f>IFERROR(LARGE(tblPiNAnalysis[[#This Row],[Site Management ]:[General Protection]], 1), "")</f>
        <v>0</v>
      </c>
      <c r="AG105" s="320" t="e">
        <f>IF(tblPiNAnalysis[[#This Row],[Highest PiN]]="", "",tblPiNAnalysis[[#This Row],[Highest PiN]]/ tblPiNAnalysis[[#This Row],[Total Population]])</f>
        <v>#DIV/0!</v>
      </c>
      <c r="AH105" s="320" t="str">
        <f>IFERROR(IF(tblPiNAnalysis[[#This Row],[Highest PiN]]="", "", IF(tblPiNAnalysis[[#This Row],[Highest sector(s'') PiN %]]&gt;=flag_pin_perc, "Flagged", "")), "")</f>
        <v/>
      </c>
      <c r="AI105" s="321"/>
      <c r="AJ105" s="322"/>
      <c r="AK105" s="323">
        <f>COUNTIFS(tblPiNAnalysis[[#This Row],[Highest PiN greater than 90% of total affected population]:[Manual Flag]],"Flagged")</f>
        <v>0</v>
      </c>
      <c r="AL105" s="324" t="str">
        <f>IF(tblPiNAnalysis[[#This Row],['# Flags]]&gt;0, "Flagged", "")</f>
        <v/>
      </c>
    </row>
    <row r="106" spans="1:38" ht="23.1" hidden="1" customHeight="1" x14ac:dyDescent="0.2">
      <c r="A106" s="309" t="str">
        <f>_xlfn.CONCAT(IF(tblPiNAnalysis[[#This Row],[Population Group]]="", "",tblPiNAnalysis[[#This Row],[Population Group]] ), _xlfn.IFS(tblPiNAnalysis[[#This Row],[Admin 2 P-Code]]&lt;&gt;"", tblPiNAnalysis[[#This Row],[Admin 2 P-Code]], tblPiNAnalysis[[#This Row],[Admin 1 P-Code]]&lt;&gt;"", tblPiNAnalysis[[#This Row],[Admin 1 P-Code]]))</f>
        <v>Host CommunitySD03154</v>
      </c>
      <c r="B106" s="245" t="s">
        <v>185</v>
      </c>
      <c r="C106" s="246" t="s">
        <v>120</v>
      </c>
      <c r="D106" s="247" t="s">
        <v>253</v>
      </c>
      <c r="E106" s="246" t="s">
        <v>252</v>
      </c>
      <c r="F106" s="248">
        <v>0</v>
      </c>
      <c r="G106" s="248" t="s">
        <v>87</v>
      </c>
      <c r="H106" s="310"/>
      <c r="I106" s="311"/>
      <c r="J106" s="312"/>
      <c r="K106" s="311"/>
      <c r="L106" s="311"/>
      <c r="M106" s="312"/>
      <c r="N106" s="312">
        <f>_xlfn.XLOOKUP(CONCATENATE(tblPiNAnalysis[[#This Row],[Admin 2 P-Code]],tblPiNAnalysis[[#This Row],[Population Group]]),'Overall severity &amp; PIN Analysis'!A:A,'Overall severity &amp; PIN Analysis'!P:P,0,0)</f>
        <v>0</v>
      </c>
      <c r="O106" s="311"/>
      <c r="P106" s="312"/>
      <c r="Q106" s="312"/>
      <c r="R106" s="312"/>
      <c r="S106" s="312"/>
      <c r="T106" s="313" t="str">
        <f>IF(tblPiNAnalysis[[#This Row],[Site Management ]]="", "", tblPiNAnalysis[[#This Row],[Site Management ]]/tblPiNAnalysis[[#This Row],[Total Population]])</f>
        <v/>
      </c>
      <c r="U106" s="314" t="str">
        <f>IF(tblPiNAnalysis[[#This Row],[Education]]="", "", tblPiNAnalysis[[#This Row],[Education]]/tblPiNAnalysis[[#This Row],[Total Population]])</f>
        <v/>
      </c>
      <c r="V106" s="314" t="str">
        <f>IF(tblPiNAnalysis[[#This Row],[Food Security and Livlihoods]]="", "", tblPiNAnalysis[[#This Row],[Food Security and Livlihoods]]/tblPiNAnalysis[[#This Row],[Total Population]])</f>
        <v/>
      </c>
      <c r="W106" s="315" t="str">
        <f>IF(tblPiNAnalysis[[#This Row],[Health ]]="", "", tblPiNAnalysis[[#This Row],[Health ]]/tblPiNAnalysis[[#This Row],[Total Population]])</f>
        <v/>
      </c>
      <c r="X106" s="314" t="str">
        <f>IF(tblPiNAnalysis[[#This Row],[Nutrition]]="", "", tblPiNAnalysis[[#This Row],[Nutrition]]/tblPiNAnalysis[[#This Row],[Total Population]])</f>
        <v/>
      </c>
      <c r="Y106" s="314" t="str">
        <f>IF(tblPiNAnalysis[[#This Row],[Protection]]="", "", tblPiNAnalysis[[#This Row],[Protection]]/tblPiNAnalysis[[#This Row],[Total Population]])</f>
        <v/>
      </c>
      <c r="Z106" s="316" t="e">
        <f>IF(tblPiNAnalysis[[#This Row],[Shelter NFI ]]="", "", tblPiNAnalysis[[#This Row],[Shelter NFI ]]/tblPiNAnalysis[[#This Row],[Total Population]])</f>
        <v>#DIV/0!</v>
      </c>
      <c r="AA106" s="317" t="str">
        <f>IF(tblPiNAnalysis[[#This Row],[WASH]]="", "", tblPiNAnalysis[[#This Row],[WASH]]/tblPiNAnalysis[[#This Row],[Total Population]])</f>
        <v/>
      </c>
      <c r="AB106" s="318" t="str">
        <f>IFERROR(IF(tblPiNAnalysis[[#This Row],[CP]]="", "", MROUND(tblPiNAnalysis[[#This Row],[CP]]/tblPiNAnalysis[[#This Row],[Total Population]], 0.05)), "")</f>
        <v/>
      </c>
      <c r="AC106" s="314" t="str">
        <f>IFERROR(IF(tblPiNAnalysis[[#This Row],[GBV]]="", "", MROUND(tblPiNAnalysis[[#This Row],[GBV]]/tblPiNAnalysis[[#This Row],[Total Population]], 0.05)), "")</f>
        <v/>
      </c>
      <c r="AD106" s="314" t="str">
        <f>IFERROR(IF(tblPiNAnalysis[[#This Row],[Mine Action]]="", "", MROUND(tblPiNAnalysis[[#This Row],[Mine Action]]/tblPiNAnalysis[[#This Row],[Total Population]], 0.05)), "")</f>
        <v/>
      </c>
      <c r="AE106" s="314" t="str">
        <f>IFERROR(IF(tblPiNAnalysis[[#This Row],[General Protection]]="", "", MROUND(tblPiNAnalysis[[#This Row],[General Protection]]/tblPiNAnalysis[[#This Row],[Total Population]], 0.05)), "")</f>
        <v/>
      </c>
      <c r="AF106" s="319">
        <f>IFERROR(LARGE(tblPiNAnalysis[[#This Row],[Site Management ]:[General Protection]], 1), "")</f>
        <v>0</v>
      </c>
      <c r="AG106" s="320" t="e">
        <f>IF(tblPiNAnalysis[[#This Row],[Highest PiN]]="", "",tblPiNAnalysis[[#This Row],[Highest PiN]]/ tblPiNAnalysis[[#This Row],[Total Population]])</f>
        <v>#DIV/0!</v>
      </c>
      <c r="AH106" s="320" t="str">
        <f>IFERROR(IF(tblPiNAnalysis[[#This Row],[Highest PiN]]="", "", IF(tblPiNAnalysis[[#This Row],[Highest sector(s'') PiN %]]&gt;=flag_pin_perc, "Flagged", "")), "")</f>
        <v/>
      </c>
      <c r="AI106" s="321"/>
      <c r="AJ106" s="322"/>
      <c r="AK106" s="323">
        <f>COUNTIFS(tblPiNAnalysis[[#This Row],[Highest PiN greater than 90% of total affected population]:[Manual Flag]],"Flagged")</f>
        <v>0</v>
      </c>
      <c r="AL106" s="324" t="str">
        <f>IF(tblPiNAnalysis[[#This Row],['# Flags]]&gt;0, "Flagged", "")</f>
        <v/>
      </c>
    </row>
    <row r="107" spans="1:38" ht="23.1" hidden="1" customHeight="1" x14ac:dyDescent="0.2">
      <c r="A107" s="309" t="str">
        <f>_xlfn.CONCAT(IF(tblPiNAnalysis[[#This Row],[Population Group]]="", "",tblPiNAnalysis[[#This Row],[Population Group]] ), _xlfn.IFS(tblPiNAnalysis[[#This Row],[Admin 2 P-Code]]&lt;&gt;"", tblPiNAnalysis[[#This Row],[Admin 2 P-Code]], tblPiNAnalysis[[#This Row],[Admin 1 P-Code]]&lt;&gt;"", tblPiNAnalysis[[#This Row],[Admin 1 P-Code]]))</f>
        <v>IDPsSD03154</v>
      </c>
      <c r="B107" s="245" t="s">
        <v>185</v>
      </c>
      <c r="C107" s="246" t="s">
        <v>120</v>
      </c>
      <c r="D107" s="247" t="s">
        <v>253</v>
      </c>
      <c r="E107" s="246" t="s">
        <v>252</v>
      </c>
      <c r="F107" s="248">
        <v>0</v>
      </c>
      <c r="G107" s="248" t="s">
        <v>88</v>
      </c>
      <c r="H107" s="310"/>
      <c r="I107" s="311"/>
      <c r="J107" s="312"/>
      <c r="K107" s="311"/>
      <c r="L107" s="311"/>
      <c r="M107" s="312"/>
      <c r="N107" s="312">
        <f>_xlfn.XLOOKUP(CONCATENATE(tblPiNAnalysis[[#This Row],[Admin 2 P-Code]],tblPiNAnalysis[[#This Row],[Population Group]]),'Overall severity &amp; PIN Analysis'!A:A,'Overall severity &amp; PIN Analysis'!P:P,0,0)</f>
        <v>0</v>
      </c>
      <c r="O107" s="311"/>
      <c r="P107" s="312"/>
      <c r="Q107" s="312"/>
      <c r="R107" s="312"/>
      <c r="S107" s="312"/>
      <c r="T107" s="313" t="str">
        <f>IF(tblPiNAnalysis[[#This Row],[Site Management ]]="", "", tblPiNAnalysis[[#This Row],[Site Management ]]/tblPiNAnalysis[[#This Row],[Total Population]])</f>
        <v/>
      </c>
      <c r="U107" s="314" t="str">
        <f>IF(tblPiNAnalysis[[#This Row],[Education]]="", "", tblPiNAnalysis[[#This Row],[Education]]/tblPiNAnalysis[[#This Row],[Total Population]])</f>
        <v/>
      </c>
      <c r="V107" s="314" t="str">
        <f>IF(tblPiNAnalysis[[#This Row],[Food Security and Livlihoods]]="", "", tblPiNAnalysis[[#This Row],[Food Security and Livlihoods]]/tblPiNAnalysis[[#This Row],[Total Population]])</f>
        <v/>
      </c>
      <c r="W107" s="315" t="str">
        <f>IF(tblPiNAnalysis[[#This Row],[Health ]]="", "", tblPiNAnalysis[[#This Row],[Health ]]/tblPiNAnalysis[[#This Row],[Total Population]])</f>
        <v/>
      </c>
      <c r="X107" s="314" t="str">
        <f>IF(tblPiNAnalysis[[#This Row],[Nutrition]]="", "", tblPiNAnalysis[[#This Row],[Nutrition]]/tblPiNAnalysis[[#This Row],[Total Population]])</f>
        <v/>
      </c>
      <c r="Y107" s="314" t="str">
        <f>IF(tblPiNAnalysis[[#This Row],[Protection]]="", "", tblPiNAnalysis[[#This Row],[Protection]]/tblPiNAnalysis[[#This Row],[Total Population]])</f>
        <v/>
      </c>
      <c r="Z107" s="316" t="e">
        <f>IF(tblPiNAnalysis[[#This Row],[Shelter NFI ]]="", "", tblPiNAnalysis[[#This Row],[Shelter NFI ]]/tblPiNAnalysis[[#This Row],[Total Population]])</f>
        <v>#DIV/0!</v>
      </c>
      <c r="AA107" s="317" t="str">
        <f>IF(tblPiNAnalysis[[#This Row],[WASH]]="", "", tblPiNAnalysis[[#This Row],[WASH]]/tblPiNAnalysis[[#This Row],[Total Population]])</f>
        <v/>
      </c>
      <c r="AB107" s="318" t="str">
        <f>IFERROR(IF(tblPiNAnalysis[[#This Row],[CP]]="", "", MROUND(tblPiNAnalysis[[#This Row],[CP]]/tblPiNAnalysis[[#This Row],[Total Population]], 0.05)), "")</f>
        <v/>
      </c>
      <c r="AC107" s="314" t="str">
        <f>IFERROR(IF(tblPiNAnalysis[[#This Row],[GBV]]="", "", MROUND(tblPiNAnalysis[[#This Row],[GBV]]/tblPiNAnalysis[[#This Row],[Total Population]], 0.05)), "")</f>
        <v/>
      </c>
      <c r="AD107" s="314" t="str">
        <f>IFERROR(IF(tblPiNAnalysis[[#This Row],[Mine Action]]="", "", MROUND(tblPiNAnalysis[[#This Row],[Mine Action]]/tblPiNAnalysis[[#This Row],[Total Population]], 0.05)), "")</f>
        <v/>
      </c>
      <c r="AE107" s="314" t="str">
        <f>IFERROR(IF(tblPiNAnalysis[[#This Row],[General Protection]]="", "", MROUND(tblPiNAnalysis[[#This Row],[General Protection]]/tblPiNAnalysis[[#This Row],[Total Population]], 0.05)), "")</f>
        <v/>
      </c>
      <c r="AF107" s="319">
        <f>IFERROR(LARGE(tblPiNAnalysis[[#This Row],[Site Management ]:[General Protection]], 1), "")</f>
        <v>0</v>
      </c>
      <c r="AG107" s="320" t="e">
        <f>IF(tblPiNAnalysis[[#This Row],[Highest PiN]]="", "",tblPiNAnalysis[[#This Row],[Highest PiN]]/ tblPiNAnalysis[[#This Row],[Total Population]])</f>
        <v>#DIV/0!</v>
      </c>
      <c r="AH107" s="320" t="str">
        <f>IFERROR(IF(tblPiNAnalysis[[#This Row],[Highest PiN]]="", "", IF(tblPiNAnalysis[[#This Row],[Highest sector(s'') PiN %]]&gt;=flag_pin_perc, "Flagged", "")), "")</f>
        <v/>
      </c>
      <c r="AI107" s="321"/>
      <c r="AJ107" s="322"/>
      <c r="AK107" s="323">
        <f>COUNTIFS(tblPiNAnalysis[[#This Row],[Highest PiN greater than 90% of total affected population]:[Manual Flag]],"Flagged")</f>
        <v>0</v>
      </c>
      <c r="AL107" s="324" t="str">
        <f>IF(tblPiNAnalysis[[#This Row],['# Flags]]&gt;0, "Flagged", "")</f>
        <v/>
      </c>
    </row>
    <row r="108" spans="1:38" ht="23.1" customHeight="1" x14ac:dyDescent="0.2">
      <c r="A108" s="309" t="str">
        <f>_xlfn.CONCAT(IF(tblPiNAnalysis[[#This Row],[Population Group]]="", "",tblPiNAnalysis[[#This Row],[Population Group]] ), _xlfn.IFS(tblPiNAnalysis[[#This Row],[Admin 2 P-Code]]&lt;&gt;"", tblPiNAnalysis[[#This Row],[Admin 2 P-Code]], tblPiNAnalysis[[#This Row],[Admin 1 P-Code]]&lt;&gt;"", tblPiNAnalysis[[#This Row],[Admin 1 P-Code]]))</f>
        <v>Non-hosting PopulationSD03154</v>
      </c>
      <c r="B108" s="245" t="s">
        <v>185</v>
      </c>
      <c r="C108" s="246" t="s">
        <v>120</v>
      </c>
      <c r="D108" s="247" t="s">
        <v>253</v>
      </c>
      <c r="E108" s="246" t="s">
        <v>252</v>
      </c>
      <c r="F108" s="248">
        <v>6230</v>
      </c>
      <c r="G108" s="248" t="s">
        <v>568</v>
      </c>
      <c r="H108" s="310"/>
      <c r="I108" s="311"/>
      <c r="J108" s="312"/>
      <c r="K108" s="311"/>
      <c r="L108" s="311"/>
      <c r="M108" s="312"/>
      <c r="N108" s="312">
        <f>_xlfn.XLOOKUP(CONCATENATE(tblPiNAnalysis[[#This Row],[Admin 2 P-Code]],tblPiNAnalysis[[#This Row],[Population Group]]),'Overall severity &amp; PIN Analysis'!A:A,'Overall severity &amp; PIN Analysis'!P:P,0,0)</f>
        <v>396</v>
      </c>
      <c r="O108" s="311"/>
      <c r="P108" s="312"/>
      <c r="Q108" s="312"/>
      <c r="R108" s="312"/>
      <c r="S108" s="312"/>
      <c r="T108" s="313" t="str">
        <f>IF(tblPiNAnalysis[[#This Row],[Site Management ]]="", "", tblPiNAnalysis[[#This Row],[Site Management ]]/tblPiNAnalysis[[#This Row],[Total Population]])</f>
        <v/>
      </c>
      <c r="U108" s="314" t="str">
        <f>IF(tblPiNAnalysis[[#This Row],[Education]]="", "", tblPiNAnalysis[[#This Row],[Education]]/tblPiNAnalysis[[#This Row],[Total Population]])</f>
        <v/>
      </c>
      <c r="V108" s="314" t="str">
        <f>IF(tblPiNAnalysis[[#This Row],[Food Security and Livlihoods]]="", "", tblPiNAnalysis[[#This Row],[Food Security and Livlihoods]]/tblPiNAnalysis[[#This Row],[Total Population]])</f>
        <v/>
      </c>
      <c r="W108" s="315" t="str">
        <f>IF(tblPiNAnalysis[[#This Row],[Health ]]="", "", tblPiNAnalysis[[#This Row],[Health ]]/tblPiNAnalysis[[#This Row],[Total Population]])</f>
        <v/>
      </c>
      <c r="X108" s="314" t="str">
        <f>IF(tblPiNAnalysis[[#This Row],[Nutrition]]="", "", tblPiNAnalysis[[#This Row],[Nutrition]]/tblPiNAnalysis[[#This Row],[Total Population]])</f>
        <v/>
      </c>
      <c r="Y108" s="314" t="str">
        <f>IF(tblPiNAnalysis[[#This Row],[Protection]]="", "", tblPiNAnalysis[[#This Row],[Protection]]/tblPiNAnalysis[[#This Row],[Total Population]])</f>
        <v/>
      </c>
      <c r="Z108" s="316">
        <f>IF(tblPiNAnalysis[[#This Row],[Shelter NFI ]]="", "", tblPiNAnalysis[[#This Row],[Shelter NFI ]]/tblPiNAnalysis[[#This Row],[Total Population]])</f>
        <v>6.3563402889245585E-2</v>
      </c>
      <c r="AA108" s="317" t="str">
        <f>IF(tblPiNAnalysis[[#This Row],[WASH]]="", "", tblPiNAnalysis[[#This Row],[WASH]]/tblPiNAnalysis[[#This Row],[Total Population]])</f>
        <v/>
      </c>
      <c r="AB108" s="318" t="str">
        <f>IFERROR(IF(tblPiNAnalysis[[#This Row],[CP]]="", "", MROUND(tblPiNAnalysis[[#This Row],[CP]]/tblPiNAnalysis[[#This Row],[Total Population]], 0.05)), "")</f>
        <v/>
      </c>
      <c r="AC108" s="314" t="str">
        <f>IFERROR(IF(tblPiNAnalysis[[#This Row],[GBV]]="", "", MROUND(tblPiNAnalysis[[#This Row],[GBV]]/tblPiNAnalysis[[#This Row],[Total Population]], 0.05)), "")</f>
        <v/>
      </c>
      <c r="AD108" s="314" t="str">
        <f>IFERROR(IF(tblPiNAnalysis[[#This Row],[Mine Action]]="", "", MROUND(tblPiNAnalysis[[#This Row],[Mine Action]]/tblPiNAnalysis[[#This Row],[Total Population]], 0.05)), "")</f>
        <v/>
      </c>
      <c r="AE108" s="314" t="str">
        <f>IFERROR(IF(tblPiNAnalysis[[#This Row],[General Protection]]="", "", MROUND(tblPiNAnalysis[[#This Row],[General Protection]]/tblPiNAnalysis[[#This Row],[Total Population]], 0.05)), "")</f>
        <v/>
      </c>
      <c r="AF108" s="319">
        <f>IFERROR(LARGE(tblPiNAnalysis[[#This Row],[Site Management ]:[General Protection]], 1), "")</f>
        <v>396</v>
      </c>
      <c r="AG108" s="320">
        <f>IF(tblPiNAnalysis[[#This Row],[Highest PiN]]="", "",tblPiNAnalysis[[#This Row],[Highest PiN]]/ tblPiNAnalysis[[#This Row],[Total Population]])</f>
        <v>6.3563402889245585E-2</v>
      </c>
      <c r="AH108" s="320" t="str">
        <f>IFERROR(IF(tblPiNAnalysis[[#This Row],[Highest PiN]]="", "", IF(tblPiNAnalysis[[#This Row],[Highest sector(s'') PiN %]]&gt;=flag_pin_perc, "Flagged", "")), "")</f>
        <v/>
      </c>
      <c r="AI108" s="321"/>
      <c r="AJ108" s="322"/>
      <c r="AK108" s="323">
        <f>COUNTIFS(tblPiNAnalysis[[#This Row],[Highest PiN greater than 90% of total affected population]:[Manual Flag]],"Flagged")</f>
        <v>0</v>
      </c>
      <c r="AL108" s="324" t="str">
        <f>IF(tblPiNAnalysis[[#This Row],['# Flags]]&gt;0, "Flagged", "")</f>
        <v/>
      </c>
    </row>
    <row r="109" spans="1:38" ht="23.1" hidden="1" customHeight="1" x14ac:dyDescent="0.2">
      <c r="A109" s="309" t="str">
        <f>_xlfn.CONCAT(IF(tblPiNAnalysis[[#This Row],[Population Group]]="", "",tblPiNAnalysis[[#This Row],[Population Group]] ), _xlfn.IFS(tblPiNAnalysis[[#This Row],[Admin 2 P-Code]]&lt;&gt;"", tblPiNAnalysis[[#This Row],[Admin 2 P-Code]], tblPiNAnalysis[[#This Row],[Admin 1 P-Code]]&lt;&gt;"", tblPiNAnalysis[[#This Row],[Admin 1 P-Code]]))</f>
        <v>Host CommunitySD03156</v>
      </c>
      <c r="B109" s="245" t="s">
        <v>185</v>
      </c>
      <c r="C109" s="246" t="s">
        <v>120</v>
      </c>
      <c r="D109" s="247" t="s">
        <v>255</v>
      </c>
      <c r="E109" s="246" t="s">
        <v>254</v>
      </c>
      <c r="F109" s="248">
        <v>87312</v>
      </c>
      <c r="G109" s="248" t="s">
        <v>87</v>
      </c>
      <c r="H109" s="310"/>
      <c r="I109" s="311"/>
      <c r="J109" s="312"/>
      <c r="K109" s="311"/>
      <c r="L109" s="311"/>
      <c r="M109" s="312"/>
      <c r="N109" s="312">
        <f>_xlfn.XLOOKUP(CONCATENATE(tblPiNAnalysis[[#This Row],[Admin 2 P-Code]],tblPiNAnalysis[[#This Row],[Population Group]]),'Overall severity &amp; PIN Analysis'!A:A,'Overall severity &amp; PIN Analysis'!P:P,0,0)</f>
        <v>30137</v>
      </c>
      <c r="O109" s="311"/>
      <c r="P109" s="312"/>
      <c r="Q109" s="312"/>
      <c r="R109" s="312"/>
      <c r="S109" s="312"/>
      <c r="T109" s="313" t="str">
        <f>IF(tblPiNAnalysis[[#This Row],[Site Management ]]="", "", tblPiNAnalysis[[#This Row],[Site Management ]]/tblPiNAnalysis[[#This Row],[Total Population]])</f>
        <v/>
      </c>
      <c r="U109" s="314" t="str">
        <f>IF(tblPiNAnalysis[[#This Row],[Education]]="", "", tblPiNAnalysis[[#This Row],[Education]]/tblPiNAnalysis[[#This Row],[Total Population]])</f>
        <v/>
      </c>
      <c r="V109" s="314" t="str">
        <f>IF(tblPiNAnalysis[[#This Row],[Food Security and Livlihoods]]="", "", tblPiNAnalysis[[#This Row],[Food Security and Livlihoods]]/tblPiNAnalysis[[#This Row],[Total Population]])</f>
        <v/>
      </c>
      <c r="W109" s="315" t="str">
        <f>IF(tblPiNAnalysis[[#This Row],[Health ]]="", "", tblPiNAnalysis[[#This Row],[Health ]]/tblPiNAnalysis[[#This Row],[Total Population]])</f>
        <v/>
      </c>
      <c r="X109" s="314" t="str">
        <f>IF(tblPiNAnalysis[[#This Row],[Nutrition]]="", "", tblPiNAnalysis[[#This Row],[Nutrition]]/tblPiNAnalysis[[#This Row],[Total Population]])</f>
        <v/>
      </c>
      <c r="Y109" s="314" t="str">
        <f>IF(tblPiNAnalysis[[#This Row],[Protection]]="", "", tblPiNAnalysis[[#This Row],[Protection]]/tblPiNAnalysis[[#This Row],[Total Population]])</f>
        <v/>
      </c>
      <c r="Z109" s="316">
        <f>IF(tblPiNAnalysis[[#This Row],[Shelter NFI ]]="", "", tblPiNAnalysis[[#This Row],[Shelter NFI ]]/tblPiNAnalysis[[#This Row],[Total Population]])</f>
        <v>0.34516446765622139</v>
      </c>
      <c r="AA109" s="317" t="str">
        <f>IF(tblPiNAnalysis[[#This Row],[WASH]]="", "", tblPiNAnalysis[[#This Row],[WASH]]/tblPiNAnalysis[[#This Row],[Total Population]])</f>
        <v/>
      </c>
      <c r="AB109" s="318" t="str">
        <f>IFERROR(IF(tblPiNAnalysis[[#This Row],[CP]]="", "", MROUND(tblPiNAnalysis[[#This Row],[CP]]/tblPiNAnalysis[[#This Row],[Total Population]], 0.05)), "")</f>
        <v/>
      </c>
      <c r="AC109" s="314" t="str">
        <f>IFERROR(IF(tblPiNAnalysis[[#This Row],[GBV]]="", "", MROUND(tblPiNAnalysis[[#This Row],[GBV]]/tblPiNAnalysis[[#This Row],[Total Population]], 0.05)), "")</f>
        <v/>
      </c>
      <c r="AD109" s="314" t="str">
        <f>IFERROR(IF(tblPiNAnalysis[[#This Row],[Mine Action]]="", "", MROUND(tblPiNAnalysis[[#This Row],[Mine Action]]/tblPiNAnalysis[[#This Row],[Total Population]], 0.05)), "")</f>
        <v/>
      </c>
      <c r="AE109" s="314" t="str">
        <f>IFERROR(IF(tblPiNAnalysis[[#This Row],[General Protection]]="", "", MROUND(tblPiNAnalysis[[#This Row],[General Protection]]/tblPiNAnalysis[[#This Row],[Total Population]], 0.05)), "")</f>
        <v/>
      </c>
      <c r="AF109" s="319">
        <f>IFERROR(LARGE(tblPiNAnalysis[[#This Row],[Site Management ]:[General Protection]], 1), "")</f>
        <v>30137</v>
      </c>
      <c r="AG109" s="320">
        <f>IF(tblPiNAnalysis[[#This Row],[Highest PiN]]="", "",tblPiNAnalysis[[#This Row],[Highest PiN]]/ tblPiNAnalysis[[#This Row],[Total Population]])</f>
        <v>0.34516446765622139</v>
      </c>
      <c r="AH109" s="320" t="str">
        <f>IFERROR(IF(tblPiNAnalysis[[#This Row],[Highest PiN]]="", "", IF(tblPiNAnalysis[[#This Row],[Highest sector(s'') PiN %]]&gt;=flag_pin_perc, "Flagged", "")), "")</f>
        <v/>
      </c>
      <c r="AI109" s="321"/>
      <c r="AJ109" s="322"/>
      <c r="AK109" s="323">
        <f>COUNTIFS(tblPiNAnalysis[[#This Row],[Highest PiN greater than 90% of total affected population]:[Manual Flag]],"Flagged")</f>
        <v>0</v>
      </c>
      <c r="AL109" s="324" t="str">
        <f>IF(tblPiNAnalysis[[#This Row],['# Flags]]&gt;0, "Flagged", "")</f>
        <v/>
      </c>
    </row>
    <row r="110" spans="1:38" ht="23.1" hidden="1" customHeight="1" x14ac:dyDescent="0.2">
      <c r="A110" s="309" t="str">
        <f>_xlfn.CONCAT(IF(tblPiNAnalysis[[#This Row],[Population Group]]="", "",tblPiNAnalysis[[#This Row],[Population Group]] ), _xlfn.IFS(tblPiNAnalysis[[#This Row],[Admin 2 P-Code]]&lt;&gt;"", tblPiNAnalysis[[#This Row],[Admin 2 P-Code]], tblPiNAnalysis[[#This Row],[Admin 1 P-Code]]&lt;&gt;"", tblPiNAnalysis[[#This Row],[Admin 1 P-Code]]))</f>
        <v>IDPsSD03156</v>
      </c>
      <c r="B110" s="245" t="s">
        <v>185</v>
      </c>
      <c r="C110" s="246" t="s">
        <v>120</v>
      </c>
      <c r="D110" s="247" t="s">
        <v>255</v>
      </c>
      <c r="E110" s="246" t="s">
        <v>254</v>
      </c>
      <c r="F110" s="248">
        <v>100380</v>
      </c>
      <c r="G110" s="248" t="s">
        <v>88</v>
      </c>
      <c r="H110" s="310"/>
      <c r="I110" s="311"/>
      <c r="J110" s="312"/>
      <c r="K110" s="311"/>
      <c r="L110" s="311"/>
      <c r="M110" s="312"/>
      <c r="N110" s="312">
        <f>_xlfn.XLOOKUP(CONCATENATE(tblPiNAnalysis[[#This Row],[Admin 2 P-Code]],tblPiNAnalysis[[#This Row],[Population Group]]),'Overall severity &amp; PIN Analysis'!A:A,'Overall severity &amp; PIN Analysis'!P:P,0,0)</f>
        <v>34647</v>
      </c>
      <c r="O110" s="311"/>
      <c r="P110" s="312"/>
      <c r="Q110" s="312"/>
      <c r="R110" s="312"/>
      <c r="S110" s="312"/>
      <c r="T110" s="313" t="str">
        <f>IF(tblPiNAnalysis[[#This Row],[Site Management ]]="", "", tblPiNAnalysis[[#This Row],[Site Management ]]/tblPiNAnalysis[[#This Row],[Total Population]])</f>
        <v/>
      </c>
      <c r="U110" s="314" t="str">
        <f>IF(tblPiNAnalysis[[#This Row],[Education]]="", "", tblPiNAnalysis[[#This Row],[Education]]/tblPiNAnalysis[[#This Row],[Total Population]])</f>
        <v/>
      </c>
      <c r="V110" s="314" t="str">
        <f>IF(tblPiNAnalysis[[#This Row],[Food Security and Livlihoods]]="", "", tblPiNAnalysis[[#This Row],[Food Security and Livlihoods]]/tblPiNAnalysis[[#This Row],[Total Population]])</f>
        <v/>
      </c>
      <c r="W110" s="315" t="str">
        <f>IF(tblPiNAnalysis[[#This Row],[Health ]]="", "", tblPiNAnalysis[[#This Row],[Health ]]/tblPiNAnalysis[[#This Row],[Total Population]])</f>
        <v/>
      </c>
      <c r="X110" s="314" t="str">
        <f>IF(tblPiNAnalysis[[#This Row],[Nutrition]]="", "", tblPiNAnalysis[[#This Row],[Nutrition]]/tblPiNAnalysis[[#This Row],[Total Population]])</f>
        <v/>
      </c>
      <c r="Y110" s="314" t="str">
        <f>IF(tblPiNAnalysis[[#This Row],[Protection]]="", "", tblPiNAnalysis[[#This Row],[Protection]]/tblPiNAnalysis[[#This Row],[Total Population]])</f>
        <v/>
      </c>
      <c r="Z110" s="316">
        <f>IF(tblPiNAnalysis[[#This Row],[Shelter NFI ]]="", "", tblPiNAnalysis[[#This Row],[Shelter NFI ]]/tblPiNAnalysis[[#This Row],[Total Population]])</f>
        <v>0.34515839808726839</v>
      </c>
      <c r="AA110" s="317" t="str">
        <f>IF(tblPiNAnalysis[[#This Row],[WASH]]="", "", tblPiNAnalysis[[#This Row],[WASH]]/tblPiNAnalysis[[#This Row],[Total Population]])</f>
        <v/>
      </c>
      <c r="AB110" s="318" t="str">
        <f>IFERROR(IF(tblPiNAnalysis[[#This Row],[CP]]="", "", MROUND(tblPiNAnalysis[[#This Row],[CP]]/tblPiNAnalysis[[#This Row],[Total Population]], 0.05)), "")</f>
        <v/>
      </c>
      <c r="AC110" s="314" t="str">
        <f>IFERROR(IF(tblPiNAnalysis[[#This Row],[GBV]]="", "", MROUND(tblPiNAnalysis[[#This Row],[GBV]]/tblPiNAnalysis[[#This Row],[Total Population]], 0.05)), "")</f>
        <v/>
      </c>
      <c r="AD110" s="314" t="str">
        <f>IFERROR(IF(tblPiNAnalysis[[#This Row],[Mine Action]]="", "", MROUND(tblPiNAnalysis[[#This Row],[Mine Action]]/tblPiNAnalysis[[#This Row],[Total Population]], 0.05)), "")</f>
        <v/>
      </c>
      <c r="AE110" s="314" t="str">
        <f>IFERROR(IF(tblPiNAnalysis[[#This Row],[General Protection]]="", "", MROUND(tblPiNAnalysis[[#This Row],[General Protection]]/tblPiNAnalysis[[#This Row],[Total Population]], 0.05)), "")</f>
        <v/>
      </c>
      <c r="AF110" s="319">
        <f>IFERROR(LARGE(tblPiNAnalysis[[#This Row],[Site Management ]:[General Protection]], 1), "")</f>
        <v>34647</v>
      </c>
      <c r="AG110" s="320">
        <f>IF(tblPiNAnalysis[[#This Row],[Highest PiN]]="", "",tblPiNAnalysis[[#This Row],[Highest PiN]]/ tblPiNAnalysis[[#This Row],[Total Population]])</f>
        <v>0.34515839808726839</v>
      </c>
      <c r="AH110" s="320" t="str">
        <f>IFERROR(IF(tblPiNAnalysis[[#This Row],[Highest PiN]]="", "", IF(tblPiNAnalysis[[#This Row],[Highest sector(s'') PiN %]]&gt;=flag_pin_perc, "Flagged", "")), "")</f>
        <v/>
      </c>
      <c r="AI110" s="321"/>
      <c r="AJ110" s="322"/>
      <c r="AK110" s="323">
        <f>COUNTIFS(tblPiNAnalysis[[#This Row],[Highest PiN greater than 90% of total affected population]:[Manual Flag]],"Flagged")</f>
        <v>0</v>
      </c>
      <c r="AL110" s="324" t="str">
        <f>IF(tblPiNAnalysis[[#This Row],['# Flags]]&gt;0, "Flagged", "")</f>
        <v/>
      </c>
    </row>
    <row r="111" spans="1:38" ht="23.1" customHeight="1" x14ac:dyDescent="0.2">
      <c r="A111" s="309" t="str">
        <f>_xlfn.CONCAT(IF(tblPiNAnalysis[[#This Row],[Population Group]]="", "",tblPiNAnalysis[[#This Row],[Population Group]] ), _xlfn.IFS(tblPiNAnalysis[[#This Row],[Admin 2 P-Code]]&lt;&gt;"", tblPiNAnalysis[[#This Row],[Admin 2 P-Code]], tblPiNAnalysis[[#This Row],[Admin 1 P-Code]]&lt;&gt;"", tblPiNAnalysis[[#This Row],[Admin 1 P-Code]]))</f>
        <v>Non-hosting PopulationSD03156</v>
      </c>
      <c r="B111" s="245" t="s">
        <v>185</v>
      </c>
      <c r="C111" s="246" t="s">
        <v>120</v>
      </c>
      <c r="D111" s="247" t="s">
        <v>255</v>
      </c>
      <c r="E111" s="246" t="s">
        <v>254</v>
      </c>
      <c r="F111" s="248">
        <v>0</v>
      </c>
      <c r="G111" s="248" t="s">
        <v>568</v>
      </c>
      <c r="H111" s="310"/>
      <c r="I111" s="311"/>
      <c r="J111" s="312"/>
      <c r="K111" s="311"/>
      <c r="L111" s="311"/>
      <c r="M111" s="312"/>
      <c r="N111" s="312">
        <f>_xlfn.XLOOKUP(CONCATENATE(tblPiNAnalysis[[#This Row],[Admin 2 P-Code]],tblPiNAnalysis[[#This Row],[Population Group]]),'Overall severity &amp; PIN Analysis'!A:A,'Overall severity &amp; PIN Analysis'!P:P,0,0)</f>
        <v>0</v>
      </c>
      <c r="O111" s="311"/>
      <c r="P111" s="312"/>
      <c r="Q111" s="312"/>
      <c r="R111" s="312"/>
      <c r="S111" s="312"/>
      <c r="T111" s="313" t="str">
        <f>IF(tblPiNAnalysis[[#This Row],[Site Management ]]="", "", tblPiNAnalysis[[#This Row],[Site Management ]]/tblPiNAnalysis[[#This Row],[Total Population]])</f>
        <v/>
      </c>
      <c r="U111" s="314" t="str">
        <f>IF(tblPiNAnalysis[[#This Row],[Education]]="", "", tblPiNAnalysis[[#This Row],[Education]]/tblPiNAnalysis[[#This Row],[Total Population]])</f>
        <v/>
      </c>
      <c r="V111" s="314" t="str">
        <f>IF(tblPiNAnalysis[[#This Row],[Food Security and Livlihoods]]="", "", tblPiNAnalysis[[#This Row],[Food Security and Livlihoods]]/tblPiNAnalysis[[#This Row],[Total Population]])</f>
        <v/>
      </c>
      <c r="W111" s="315" t="str">
        <f>IF(tblPiNAnalysis[[#This Row],[Health ]]="", "", tblPiNAnalysis[[#This Row],[Health ]]/tblPiNAnalysis[[#This Row],[Total Population]])</f>
        <v/>
      </c>
      <c r="X111" s="314" t="str">
        <f>IF(tblPiNAnalysis[[#This Row],[Nutrition]]="", "", tblPiNAnalysis[[#This Row],[Nutrition]]/tblPiNAnalysis[[#This Row],[Total Population]])</f>
        <v/>
      </c>
      <c r="Y111" s="314" t="str">
        <f>IF(tblPiNAnalysis[[#This Row],[Protection]]="", "", tblPiNAnalysis[[#This Row],[Protection]]/tblPiNAnalysis[[#This Row],[Total Population]])</f>
        <v/>
      </c>
      <c r="Z111" s="316" t="e">
        <f>IF(tblPiNAnalysis[[#This Row],[Shelter NFI ]]="", "", tblPiNAnalysis[[#This Row],[Shelter NFI ]]/tblPiNAnalysis[[#This Row],[Total Population]])</f>
        <v>#DIV/0!</v>
      </c>
      <c r="AA111" s="317" t="str">
        <f>IF(tblPiNAnalysis[[#This Row],[WASH]]="", "", tblPiNAnalysis[[#This Row],[WASH]]/tblPiNAnalysis[[#This Row],[Total Population]])</f>
        <v/>
      </c>
      <c r="AB111" s="318" t="str">
        <f>IFERROR(IF(tblPiNAnalysis[[#This Row],[CP]]="", "", MROUND(tblPiNAnalysis[[#This Row],[CP]]/tblPiNAnalysis[[#This Row],[Total Population]], 0.05)), "")</f>
        <v/>
      </c>
      <c r="AC111" s="314" t="str">
        <f>IFERROR(IF(tblPiNAnalysis[[#This Row],[GBV]]="", "", MROUND(tblPiNAnalysis[[#This Row],[GBV]]/tblPiNAnalysis[[#This Row],[Total Population]], 0.05)), "")</f>
        <v/>
      </c>
      <c r="AD111" s="314" t="str">
        <f>IFERROR(IF(tblPiNAnalysis[[#This Row],[Mine Action]]="", "", MROUND(tblPiNAnalysis[[#This Row],[Mine Action]]/tblPiNAnalysis[[#This Row],[Total Population]], 0.05)), "")</f>
        <v/>
      </c>
      <c r="AE111" s="314" t="str">
        <f>IFERROR(IF(tblPiNAnalysis[[#This Row],[General Protection]]="", "", MROUND(tblPiNAnalysis[[#This Row],[General Protection]]/tblPiNAnalysis[[#This Row],[Total Population]], 0.05)), "")</f>
        <v/>
      </c>
      <c r="AF111" s="319">
        <f>IFERROR(LARGE(tblPiNAnalysis[[#This Row],[Site Management ]:[General Protection]], 1), "")</f>
        <v>0</v>
      </c>
      <c r="AG111" s="320" t="e">
        <f>IF(tblPiNAnalysis[[#This Row],[Highest PiN]]="", "",tblPiNAnalysis[[#This Row],[Highest PiN]]/ tblPiNAnalysis[[#This Row],[Total Population]])</f>
        <v>#DIV/0!</v>
      </c>
      <c r="AH111" s="320" t="str">
        <f>IFERROR(IF(tblPiNAnalysis[[#This Row],[Highest PiN]]="", "", IF(tblPiNAnalysis[[#This Row],[Highest sector(s'') PiN %]]&gt;=flag_pin_perc, "Flagged", "")), "")</f>
        <v/>
      </c>
      <c r="AI111" s="321"/>
      <c r="AJ111" s="322"/>
      <c r="AK111" s="323">
        <f>COUNTIFS(tblPiNAnalysis[[#This Row],[Highest PiN greater than 90% of total affected population]:[Manual Flag]],"Flagged")</f>
        <v>0</v>
      </c>
      <c r="AL111" s="324" t="str">
        <f>IF(tblPiNAnalysis[[#This Row],['# Flags]]&gt;0, "Flagged", "")</f>
        <v/>
      </c>
    </row>
    <row r="112" spans="1:38" ht="23.1" hidden="1" customHeight="1" x14ac:dyDescent="0.2">
      <c r="A112" s="309" t="str">
        <f>_xlfn.CONCAT(IF(tblPiNAnalysis[[#This Row],[Population Group]]="", "",tblPiNAnalysis[[#This Row],[Population Group]] ), _xlfn.IFS(tblPiNAnalysis[[#This Row],[Admin 2 P-Code]]&lt;&gt;"", tblPiNAnalysis[[#This Row],[Admin 2 P-Code]], tblPiNAnalysis[[#This Row],[Admin 1 P-Code]]&lt;&gt;"", tblPiNAnalysis[[#This Row],[Admin 1 P-Code]]))</f>
        <v>Host CommunitySD03157</v>
      </c>
      <c r="B112" s="245" t="s">
        <v>185</v>
      </c>
      <c r="C112" s="246" t="s">
        <v>120</v>
      </c>
      <c r="D112" s="247" t="s">
        <v>257</v>
      </c>
      <c r="E112" s="246" t="s">
        <v>256</v>
      </c>
      <c r="F112" s="248">
        <v>9090</v>
      </c>
      <c r="G112" s="248" t="s">
        <v>87</v>
      </c>
      <c r="H112" s="310"/>
      <c r="I112" s="311"/>
      <c r="J112" s="312"/>
      <c r="K112" s="311"/>
      <c r="L112" s="311"/>
      <c r="M112" s="312"/>
      <c r="N112" s="312">
        <f>_xlfn.XLOOKUP(CONCATENATE(tblPiNAnalysis[[#This Row],[Admin 2 P-Code]],tblPiNAnalysis[[#This Row],[Population Group]]),'Overall severity &amp; PIN Analysis'!A:A,'Overall severity &amp; PIN Analysis'!P:P,0,0)</f>
        <v>4553</v>
      </c>
      <c r="O112" s="311"/>
      <c r="P112" s="312"/>
      <c r="Q112" s="312"/>
      <c r="R112" s="312"/>
      <c r="S112" s="312"/>
      <c r="T112" s="313" t="str">
        <f>IF(tblPiNAnalysis[[#This Row],[Site Management ]]="", "", tblPiNAnalysis[[#This Row],[Site Management ]]/tblPiNAnalysis[[#This Row],[Total Population]])</f>
        <v/>
      </c>
      <c r="U112" s="314" t="str">
        <f>IF(tblPiNAnalysis[[#This Row],[Education]]="", "", tblPiNAnalysis[[#This Row],[Education]]/tblPiNAnalysis[[#This Row],[Total Population]])</f>
        <v/>
      </c>
      <c r="V112" s="314" t="str">
        <f>IF(tblPiNAnalysis[[#This Row],[Food Security and Livlihoods]]="", "", tblPiNAnalysis[[#This Row],[Food Security and Livlihoods]]/tblPiNAnalysis[[#This Row],[Total Population]])</f>
        <v/>
      </c>
      <c r="W112" s="315" t="str">
        <f>IF(tblPiNAnalysis[[#This Row],[Health ]]="", "", tblPiNAnalysis[[#This Row],[Health ]]/tblPiNAnalysis[[#This Row],[Total Population]])</f>
        <v/>
      </c>
      <c r="X112" s="314" t="str">
        <f>IF(tblPiNAnalysis[[#This Row],[Nutrition]]="", "", tblPiNAnalysis[[#This Row],[Nutrition]]/tblPiNAnalysis[[#This Row],[Total Population]])</f>
        <v/>
      </c>
      <c r="Y112" s="314" t="str">
        <f>IF(tblPiNAnalysis[[#This Row],[Protection]]="", "", tblPiNAnalysis[[#This Row],[Protection]]/tblPiNAnalysis[[#This Row],[Total Population]])</f>
        <v/>
      </c>
      <c r="Z112" s="316">
        <f>IF(tblPiNAnalysis[[#This Row],[Shelter NFI ]]="", "", tblPiNAnalysis[[#This Row],[Shelter NFI ]]/tblPiNAnalysis[[#This Row],[Total Population]])</f>
        <v>0.50088008800880091</v>
      </c>
      <c r="AA112" s="317" t="str">
        <f>IF(tblPiNAnalysis[[#This Row],[WASH]]="", "", tblPiNAnalysis[[#This Row],[WASH]]/tblPiNAnalysis[[#This Row],[Total Population]])</f>
        <v/>
      </c>
      <c r="AB112" s="318" t="str">
        <f>IFERROR(IF(tblPiNAnalysis[[#This Row],[CP]]="", "", MROUND(tblPiNAnalysis[[#This Row],[CP]]/tblPiNAnalysis[[#This Row],[Total Population]], 0.05)), "")</f>
        <v/>
      </c>
      <c r="AC112" s="314" t="str">
        <f>IFERROR(IF(tblPiNAnalysis[[#This Row],[GBV]]="", "", MROUND(tblPiNAnalysis[[#This Row],[GBV]]/tblPiNAnalysis[[#This Row],[Total Population]], 0.05)), "")</f>
        <v/>
      </c>
      <c r="AD112" s="314" t="str">
        <f>IFERROR(IF(tblPiNAnalysis[[#This Row],[Mine Action]]="", "", MROUND(tblPiNAnalysis[[#This Row],[Mine Action]]/tblPiNAnalysis[[#This Row],[Total Population]], 0.05)), "")</f>
        <v/>
      </c>
      <c r="AE112" s="314" t="str">
        <f>IFERROR(IF(tblPiNAnalysis[[#This Row],[General Protection]]="", "", MROUND(tblPiNAnalysis[[#This Row],[General Protection]]/tblPiNAnalysis[[#This Row],[Total Population]], 0.05)), "")</f>
        <v/>
      </c>
      <c r="AF112" s="319">
        <f>IFERROR(LARGE(tblPiNAnalysis[[#This Row],[Site Management ]:[General Protection]], 1), "")</f>
        <v>4553</v>
      </c>
      <c r="AG112" s="320">
        <f>IF(tblPiNAnalysis[[#This Row],[Highest PiN]]="", "",tblPiNAnalysis[[#This Row],[Highest PiN]]/ tblPiNAnalysis[[#This Row],[Total Population]])</f>
        <v>0.50088008800880091</v>
      </c>
      <c r="AH112" s="320" t="str">
        <f>IFERROR(IF(tblPiNAnalysis[[#This Row],[Highest PiN]]="", "", IF(tblPiNAnalysis[[#This Row],[Highest sector(s'') PiN %]]&gt;=flag_pin_perc, "Flagged", "")), "")</f>
        <v/>
      </c>
      <c r="AI112" s="321"/>
      <c r="AJ112" s="322"/>
      <c r="AK112" s="323">
        <f>COUNTIFS(tblPiNAnalysis[[#This Row],[Highest PiN greater than 90% of total affected population]:[Manual Flag]],"Flagged")</f>
        <v>0</v>
      </c>
      <c r="AL112" s="324" t="str">
        <f>IF(tblPiNAnalysis[[#This Row],['# Flags]]&gt;0, "Flagged", "")</f>
        <v/>
      </c>
    </row>
    <row r="113" spans="1:38" ht="23.1" hidden="1" customHeight="1" x14ac:dyDescent="0.2">
      <c r="A113" s="309" t="str">
        <f>_xlfn.CONCAT(IF(tblPiNAnalysis[[#This Row],[Population Group]]="", "",tblPiNAnalysis[[#This Row],[Population Group]] ), _xlfn.IFS(tblPiNAnalysis[[#This Row],[Admin 2 P-Code]]&lt;&gt;"", tblPiNAnalysis[[#This Row],[Admin 2 P-Code]], tblPiNAnalysis[[#This Row],[Admin 1 P-Code]]&lt;&gt;"", tblPiNAnalysis[[#This Row],[Admin 1 P-Code]]))</f>
        <v>IDPsSD03157</v>
      </c>
      <c r="B113" s="245" t="s">
        <v>185</v>
      </c>
      <c r="C113" s="246" t="s">
        <v>120</v>
      </c>
      <c r="D113" s="247" t="s">
        <v>257</v>
      </c>
      <c r="E113" s="246" t="s">
        <v>256</v>
      </c>
      <c r="F113" s="248">
        <v>9090</v>
      </c>
      <c r="G113" s="248" t="s">
        <v>88</v>
      </c>
      <c r="H113" s="310"/>
      <c r="I113" s="311"/>
      <c r="J113" s="312"/>
      <c r="K113" s="311"/>
      <c r="L113" s="311"/>
      <c r="M113" s="312"/>
      <c r="N113" s="312">
        <f>_xlfn.XLOOKUP(CONCATENATE(tblPiNAnalysis[[#This Row],[Admin 2 P-Code]],tblPiNAnalysis[[#This Row],[Population Group]]),'Overall severity &amp; PIN Analysis'!A:A,'Overall severity &amp; PIN Analysis'!P:P,0,0)</f>
        <v>4553</v>
      </c>
      <c r="O113" s="311"/>
      <c r="P113" s="312"/>
      <c r="Q113" s="312"/>
      <c r="R113" s="312"/>
      <c r="S113" s="312"/>
      <c r="T113" s="313" t="str">
        <f>IF(tblPiNAnalysis[[#This Row],[Site Management ]]="", "", tblPiNAnalysis[[#This Row],[Site Management ]]/tblPiNAnalysis[[#This Row],[Total Population]])</f>
        <v/>
      </c>
      <c r="U113" s="314" t="str">
        <f>IF(tblPiNAnalysis[[#This Row],[Education]]="", "", tblPiNAnalysis[[#This Row],[Education]]/tblPiNAnalysis[[#This Row],[Total Population]])</f>
        <v/>
      </c>
      <c r="V113" s="314" t="str">
        <f>IF(tblPiNAnalysis[[#This Row],[Food Security and Livlihoods]]="", "", tblPiNAnalysis[[#This Row],[Food Security and Livlihoods]]/tblPiNAnalysis[[#This Row],[Total Population]])</f>
        <v/>
      </c>
      <c r="W113" s="315" t="str">
        <f>IF(tblPiNAnalysis[[#This Row],[Health ]]="", "", tblPiNAnalysis[[#This Row],[Health ]]/tblPiNAnalysis[[#This Row],[Total Population]])</f>
        <v/>
      </c>
      <c r="X113" s="314" t="str">
        <f>IF(tblPiNAnalysis[[#This Row],[Nutrition]]="", "", tblPiNAnalysis[[#This Row],[Nutrition]]/tblPiNAnalysis[[#This Row],[Total Population]])</f>
        <v/>
      </c>
      <c r="Y113" s="314" t="str">
        <f>IF(tblPiNAnalysis[[#This Row],[Protection]]="", "", tblPiNAnalysis[[#This Row],[Protection]]/tblPiNAnalysis[[#This Row],[Total Population]])</f>
        <v/>
      </c>
      <c r="Z113" s="316">
        <f>IF(tblPiNAnalysis[[#This Row],[Shelter NFI ]]="", "", tblPiNAnalysis[[#This Row],[Shelter NFI ]]/tblPiNAnalysis[[#This Row],[Total Population]])</f>
        <v>0.50088008800880091</v>
      </c>
      <c r="AA113" s="317" t="str">
        <f>IF(tblPiNAnalysis[[#This Row],[WASH]]="", "", tblPiNAnalysis[[#This Row],[WASH]]/tblPiNAnalysis[[#This Row],[Total Population]])</f>
        <v/>
      </c>
      <c r="AB113" s="318" t="str">
        <f>IFERROR(IF(tblPiNAnalysis[[#This Row],[CP]]="", "", MROUND(tblPiNAnalysis[[#This Row],[CP]]/tblPiNAnalysis[[#This Row],[Total Population]], 0.05)), "")</f>
        <v/>
      </c>
      <c r="AC113" s="314" t="str">
        <f>IFERROR(IF(tblPiNAnalysis[[#This Row],[GBV]]="", "", MROUND(tblPiNAnalysis[[#This Row],[GBV]]/tblPiNAnalysis[[#This Row],[Total Population]], 0.05)), "")</f>
        <v/>
      </c>
      <c r="AD113" s="314" t="str">
        <f>IFERROR(IF(tblPiNAnalysis[[#This Row],[Mine Action]]="", "", MROUND(tblPiNAnalysis[[#This Row],[Mine Action]]/tblPiNAnalysis[[#This Row],[Total Population]], 0.05)), "")</f>
        <v/>
      </c>
      <c r="AE113" s="314" t="str">
        <f>IFERROR(IF(tblPiNAnalysis[[#This Row],[General Protection]]="", "", MROUND(tblPiNAnalysis[[#This Row],[General Protection]]/tblPiNAnalysis[[#This Row],[Total Population]], 0.05)), "")</f>
        <v/>
      </c>
      <c r="AF113" s="319">
        <f>IFERROR(LARGE(tblPiNAnalysis[[#This Row],[Site Management ]:[General Protection]], 1), "")</f>
        <v>4553</v>
      </c>
      <c r="AG113" s="320">
        <f>IF(tblPiNAnalysis[[#This Row],[Highest PiN]]="", "",tblPiNAnalysis[[#This Row],[Highest PiN]]/ tblPiNAnalysis[[#This Row],[Total Population]])</f>
        <v>0.50088008800880091</v>
      </c>
      <c r="AH113" s="320" t="str">
        <f>IFERROR(IF(tblPiNAnalysis[[#This Row],[Highest PiN]]="", "", IF(tblPiNAnalysis[[#This Row],[Highest sector(s'') PiN %]]&gt;=flag_pin_perc, "Flagged", "")), "")</f>
        <v/>
      </c>
      <c r="AI113" s="321"/>
      <c r="AJ113" s="322"/>
      <c r="AK113" s="323">
        <f>COUNTIFS(tblPiNAnalysis[[#This Row],[Highest PiN greater than 90% of total affected population]:[Manual Flag]],"Flagged")</f>
        <v>0</v>
      </c>
      <c r="AL113" s="324" t="str">
        <f>IF(tblPiNAnalysis[[#This Row],['# Flags]]&gt;0, "Flagged", "")</f>
        <v/>
      </c>
    </row>
    <row r="114" spans="1:38" ht="23.1" customHeight="1" x14ac:dyDescent="0.2">
      <c r="A114" s="309" t="str">
        <f>_xlfn.CONCAT(IF(tblPiNAnalysis[[#This Row],[Population Group]]="", "",tblPiNAnalysis[[#This Row],[Population Group]] ), _xlfn.IFS(tblPiNAnalysis[[#This Row],[Admin 2 P-Code]]&lt;&gt;"", tblPiNAnalysis[[#This Row],[Admin 2 P-Code]], tblPiNAnalysis[[#This Row],[Admin 1 P-Code]]&lt;&gt;"", tblPiNAnalysis[[#This Row],[Admin 1 P-Code]]))</f>
        <v>Non-hosting PopulationSD03157</v>
      </c>
      <c r="B114" s="245" t="s">
        <v>185</v>
      </c>
      <c r="C114" s="246" t="s">
        <v>120</v>
      </c>
      <c r="D114" s="247" t="s">
        <v>257</v>
      </c>
      <c r="E114" s="246" t="s">
        <v>256</v>
      </c>
      <c r="F114" s="248">
        <v>214438</v>
      </c>
      <c r="G114" s="248" t="s">
        <v>568</v>
      </c>
      <c r="H114" s="310"/>
      <c r="I114" s="311"/>
      <c r="J114" s="312"/>
      <c r="K114" s="311"/>
      <c r="L114" s="311"/>
      <c r="M114" s="312"/>
      <c r="N114" s="312">
        <f>_xlfn.XLOOKUP(CONCATENATE(tblPiNAnalysis[[#This Row],[Admin 2 P-Code]],tblPiNAnalysis[[#This Row],[Population Group]]),'Overall severity &amp; PIN Analysis'!A:A,'Overall severity &amp; PIN Analysis'!P:P,0,0)</f>
        <v>1627</v>
      </c>
      <c r="O114" s="311"/>
      <c r="P114" s="312"/>
      <c r="Q114" s="312"/>
      <c r="R114" s="312"/>
      <c r="S114" s="312"/>
      <c r="T114" s="313" t="str">
        <f>IF(tblPiNAnalysis[[#This Row],[Site Management ]]="", "", tblPiNAnalysis[[#This Row],[Site Management ]]/tblPiNAnalysis[[#This Row],[Total Population]])</f>
        <v/>
      </c>
      <c r="U114" s="314" t="str">
        <f>IF(tblPiNAnalysis[[#This Row],[Education]]="", "", tblPiNAnalysis[[#This Row],[Education]]/tblPiNAnalysis[[#This Row],[Total Population]])</f>
        <v/>
      </c>
      <c r="V114" s="314" t="str">
        <f>IF(tblPiNAnalysis[[#This Row],[Food Security and Livlihoods]]="", "", tblPiNAnalysis[[#This Row],[Food Security and Livlihoods]]/tblPiNAnalysis[[#This Row],[Total Population]])</f>
        <v/>
      </c>
      <c r="W114" s="315" t="str">
        <f>IF(tblPiNAnalysis[[#This Row],[Health ]]="", "", tblPiNAnalysis[[#This Row],[Health ]]/tblPiNAnalysis[[#This Row],[Total Population]])</f>
        <v/>
      </c>
      <c r="X114" s="314" t="str">
        <f>IF(tblPiNAnalysis[[#This Row],[Nutrition]]="", "", tblPiNAnalysis[[#This Row],[Nutrition]]/tblPiNAnalysis[[#This Row],[Total Population]])</f>
        <v/>
      </c>
      <c r="Y114" s="314" t="str">
        <f>IF(tblPiNAnalysis[[#This Row],[Protection]]="", "", tblPiNAnalysis[[#This Row],[Protection]]/tblPiNAnalysis[[#This Row],[Total Population]])</f>
        <v/>
      </c>
      <c r="Z114" s="316">
        <f>IF(tblPiNAnalysis[[#This Row],[Shelter NFI ]]="", "", tblPiNAnalysis[[#This Row],[Shelter NFI ]]/tblPiNAnalysis[[#This Row],[Total Population]])</f>
        <v>7.5872746434866951E-3</v>
      </c>
      <c r="AA114" s="317" t="str">
        <f>IF(tblPiNAnalysis[[#This Row],[WASH]]="", "", tblPiNAnalysis[[#This Row],[WASH]]/tblPiNAnalysis[[#This Row],[Total Population]])</f>
        <v/>
      </c>
      <c r="AB114" s="318" t="str">
        <f>IFERROR(IF(tblPiNAnalysis[[#This Row],[CP]]="", "", MROUND(tblPiNAnalysis[[#This Row],[CP]]/tblPiNAnalysis[[#This Row],[Total Population]], 0.05)), "")</f>
        <v/>
      </c>
      <c r="AC114" s="314" t="str">
        <f>IFERROR(IF(tblPiNAnalysis[[#This Row],[GBV]]="", "", MROUND(tblPiNAnalysis[[#This Row],[GBV]]/tblPiNAnalysis[[#This Row],[Total Population]], 0.05)), "")</f>
        <v/>
      </c>
      <c r="AD114" s="314" t="str">
        <f>IFERROR(IF(tblPiNAnalysis[[#This Row],[Mine Action]]="", "", MROUND(tblPiNAnalysis[[#This Row],[Mine Action]]/tblPiNAnalysis[[#This Row],[Total Population]], 0.05)), "")</f>
        <v/>
      </c>
      <c r="AE114" s="314" t="str">
        <f>IFERROR(IF(tblPiNAnalysis[[#This Row],[General Protection]]="", "", MROUND(tblPiNAnalysis[[#This Row],[General Protection]]/tblPiNAnalysis[[#This Row],[Total Population]], 0.05)), "")</f>
        <v/>
      </c>
      <c r="AF114" s="319">
        <f>IFERROR(LARGE(tblPiNAnalysis[[#This Row],[Site Management ]:[General Protection]], 1), "")</f>
        <v>1627</v>
      </c>
      <c r="AG114" s="320">
        <f>IF(tblPiNAnalysis[[#This Row],[Highest PiN]]="", "",tblPiNAnalysis[[#This Row],[Highest PiN]]/ tblPiNAnalysis[[#This Row],[Total Population]])</f>
        <v>7.5872746434866951E-3</v>
      </c>
      <c r="AH114" s="320" t="str">
        <f>IFERROR(IF(tblPiNAnalysis[[#This Row],[Highest PiN]]="", "", IF(tblPiNAnalysis[[#This Row],[Highest sector(s'') PiN %]]&gt;=flag_pin_perc, "Flagged", "")), "")</f>
        <v/>
      </c>
      <c r="AI114" s="321"/>
      <c r="AJ114" s="322"/>
      <c r="AK114" s="323">
        <f>COUNTIFS(tblPiNAnalysis[[#This Row],[Highest PiN greater than 90% of total affected population]:[Manual Flag]],"Flagged")</f>
        <v>0</v>
      </c>
      <c r="AL114" s="324" t="str">
        <f>IF(tblPiNAnalysis[[#This Row],['# Flags]]&gt;0, "Flagged", "")</f>
        <v/>
      </c>
    </row>
    <row r="115" spans="1:38" ht="23.1" hidden="1" customHeight="1" x14ac:dyDescent="0.2">
      <c r="A115" s="309" t="str">
        <f>_xlfn.CONCAT(IF(tblPiNAnalysis[[#This Row],[Population Group]]="", "",tblPiNAnalysis[[#This Row],[Population Group]] ), _xlfn.IFS(tblPiNAnalysis[[#This Row],[Admin 2 P-Code]]&lt;&gt;"", tblPiNAnalysis[[#This Row],[Admin 2 P-Code]], tblPiNAnalysis[[#This Row],[Admin 1 P-Code]]&lt;&gt;"", tblPiNAnalysis[[#This Row],[Admin 1 P-Code]]))</f>
        <v>Host CommunitySD03158</v>
      </c>
      <c r="B115" s="245" t="s">
        <v>185</v>
      </c>
      <c r="C115" s="246" t="s">
        <v>120</v>
      </c>
      <c r="D115" s="247" t="s">
        <v>259</v>
      </c>
      <c r="E115" s="246" t="s">
        <v>258</v>
      </c>
      <c r="F115" s="248">
        <v>30621</v>
      </c>
      <c r="G115" s="248" t="s">
        <v>87</v>
      </c>
      <c r="H115" s="310"/>
      <c r="I115" s="311"/>
      <c r="J115" s="312"/>
      <c r="K115" s="311"/>
      <c r="L115" s="311"/>
      <c r="M115" s="312"/>
      <c r="N115" s="312">
        <f>_xlfn.XLOOKUP(CONCATENATE(tblPiNAnalysis[[#This Row],[Admin 2 P-Code]],tblPiNAnalysis[[#This Row],[Population Group]]),'Overall severity &amp; PIN Analysis'!A:A,'Overall severity &amp; PIN Analysis'!P:P,0,0)</f>
        <v>18534</v>
      </c>
      <c r="O115" s="311"/>
      <c r="P115" s="312"/>
      <c r="Q115" s="312"/>
      <c r="R115" s="312"/>
      <c r="S115" s="312"/>
      <c r="T115" s="313" t="str">
        <f>IF(tblPiNAnalysis[[#This Row],[Site Management ]]="", "", tblPiNAnalysis[[#This Row],[Site Management ]]/tblPiNAnalysis[[#This Row],[Total Population]])</f>
        <v/>
      </c>
      <c r="U115" s="314" t="str">
        <f>IF(tblPiNAnalysis[[#This Row],[Education]]="", "", tblPiNAnalysis[[#This Row],[Education]]/tblPiNAnalysis[[#This Row],[Total Population]])</f>
        <v/>
      </c>
      <c r="V115" s="314" t="str">
        <f>IF(tblPiNAnalysis[[#This Row],[Food Security and Livlihoods]]="", "", tblPiNAnalysis[[#This Row],[Food Security and Livlihoods]]/tblPiNAnalysis[[#This Row],[Total Population]])</f>
        <v/>
      </c>
      <c r="W115" s="315" t="str">
        <f>IF(tblPiNAnalysis[[#This Row],[Health ]]="", "", tblPiNAnalysis[[#This Row],[Health ]]/tblPiNAnalysis[[#This Row],[Total Population]])</f>
        <v/>
      </c>
      <c r="X115" s="314" t="str">
        <f>IF(tblPiNAnalysis[[#This Row],[Nutrition]]="", "", tblPiNAnalysis[[#This Row],[Nutrition]]/tblPiNAnalysis[[#This Row],[Total Population]])</f>
        <v/>
      </c>
      <c r="Y115" s="314" t="str">
        <f>IF(tblPiNAnalysis[[#This Row],[Protection]]="", "", tblPiNAnalysis[[#This Row],[Protection]]/tblPiNAnalysis[[#This Row],[Total Population]])</f>
        <v/>
      </c>
      <c r="Z115" s="316">
        <f>IF(tblPiNAnalysis[[#This Row],[Shelter NFI ]]="", "", tblPiNAnalysis[[#This Row],[Shelter NFI ]]/tblPiNAnalysis[[#This Row],[Total Population]])</f>
        <v>0.60527089252473798</v>
      </c>
      <c r="AA115" s="317" t="str">
        <f>IF(tblPiNAnalysis[[#This Row],[WASH]]="", "", tblPiNAnalysis[[#This Row],[WASH]]/tblPiNAnalysis[[#This Row],[Total Population]])</f>
        <v/>
      </c>
      <c r="AB115" s="318" t="str">
        <f>IFERROR(IF(tblPiNAnalysis[[#This Row],[CP]]="", "", MROUND(tblPiNAnalysis[[#This Row],[CP]]/tblPiNAnalysis[[#This Row],[Total Population]], 0.05)), "")</f>
        <v/>
      </c>
      <c r="AC115" s="314" t="str">
        <f>IFERROR(IF(tblPiNAnalysis[[#This Row],[GBV]]="", "", MROUND(tblPiNAnalysis[[#This Row],[GBV]]/tblPiNAnalysis[[#This Row],[Total Population]], 0.05)), "")</f>
        <v/>
      </c>
      <c r="AD115" s="314" t="str">
        <f>IFERROR(IF(tblPiNAnalysis[[#This Row],[Mine Action]]="", "", MROUND(tblPiNAnalysis[[#This Row],[Mine Action]]/tblPiNAnalysis[[#This Row],[Total Population]], 0.05)), "")</f>
        <v/>
      </c>
      <c r="AE115" s="314" t="str">
        <f>IFERROR(IF(tblPiNAnalysis[[#This Row],[General Protection]]="", "", MROUND(tblPiNAnalysis[[#This Row],[General Protection]]/tblPiNAnalysis[[#This Row],[Total Population]], 0.05)), "")</f>
        <v/>
      </c>
      <c r="AF115" s="319">
        <f>IFERROR(LARGE(tblPiNAnalysis[[#This Row],[Site Management ]:[General Protection]], 1), "")</f>
        <v>18534</v>
      </c>
      <c r="AG115" s="320">
        <f>IF(tblPiNAnalysis[[#This Row],[Highest PiN]]="", "",tblPiNAnalysis[[#This Row],[Highest PiN]]/ tblPiNAnalysis[[#This Row],[Total Population]])</f>
        <v>0.60527089252473798</v>
      </c>
      <c r="AH115" s="320" t="str">
        <f>IFERROR(IF(tblPiNAnalysis[[#This Row],[Highest PiN]]="", "", IF(tblPiNAnalysis[[#This Row],[Highest sector(s'') PiN %]]&gt;=flag_pin_perc, "Flagged", "")), "")</f>
        <v/>
      </c>
      <c r="AI115" s="321"/>
      <c r="AJ115" s="322"/>
      <c r="AK115" s="323">
        <f>COUNTIFS(tblPiNAnalysis[[#This Row],[Highest PiN greater than 90% of total affected population]:[Manual Flag]],"Flagged")</f>
        <v>0</v>
      </c>
      <c r="AL115" s="324" t="str">
        <f>IF(tblPiNAnalysis[[#This Row],['# Flags]]&gt;0, "Flagged", "")</f>
        <v/>
      </c>
    </row>
    <row r="116" spans="1:38" ht="23.1" hidden="1" customHeight="1" x14ac:dyDescent="0.2">
      <c r="A116" s="309" t="str">
        <f>_xlfn.CONCAT(IF(tblPiNAnalysis[[#This Row],[Population Group]]="", "",tblPiNAnalysis[[#This Row],[Population Group]] ), _xlfn.IFS(tblPiNAnalysis[[#This Row],[Admin 2 P-Code]]&lt;&gt;"", tblPiNAnalysis[[#This Row],[Admin 2 P-Code]], tblPiNAnalysis[[#This Row],[Admin 1 P-Code]]&lt;&gt;"", tblPiNAnalysis[[#This Row],[Admin 1 P-Code]]))</f>
        <v>IDPsSD03158</v>
      </c>
      <c r="B116" s="245" t="s">
        <v>185</v>
      </c>
      <c r="C116" s="246" t="s">
        <v>120</v>
      </c>
      <c r="D116" s="247" t="s">
        <v>259</v>
      </c>
      <c r="E116" s="246" t="s">
        <v>258</v>
      </c>
      <c r="F116" s="248">
        <v>30621</v>
      </c>
      <c r="G116" s="248" t="s">
        <v>88</v>
      </c>
      <c r="H116" s="310"/>
      <c r="I116" s="311"/>
      <c r="J116" s="312"/>
      <c r="K116" s="311"/>
      <c r="L116" s="311"/>
      <c r="M116" s="312"/>
      <c r="N116" s="312">
        <f>_xlfn.XLOOKUP(CONCATENATE(tblPiNAnalysis[[#This Row],[Admin 2 P-Code]],tblPiNAnalysis[[#This Row],[Population Group]]),'Overall severity &amp; PIN Analysis'!A:A,'Overall severity &amp; PIN Analysis'!P:P,0,0)</f>
        <v>18534</v>
      </c>
      <c r="O116" s="311"/>
      <c r="P116" s="312"/>
      <c r="Q116" s="312"/>
      <c r="R116" s="312"/>
      <c r="S116" s="312"/>
      <c r="T116" s="313" t="str">
        <f>IF(tblPiNAnalysis[[#This Row],[Site Management ]]="", "", tblPiNAnalysis[[#This Row],[Site Management ]]/tblPiNAnalysis[[#This Row],[Total Population]])</f>
        <v/>
      </c>
      <c r="U116" s="314" t="str">
        <f>IF(tblPiNAnalysis[[#This Row],[Education]]="", "", tblPiNAnalysis[[#This Row],[Education]]/tblPiNAnalysis[[#This Row],[Total Population]])</f>
        <v/>
      </c>
      <c r="V116" s="314" t="str">
        <f>IF(tblPiNAnalysis[[#This Row],[Food Security and Livlihoods]]="", "", tblPiNAnalysis[[#This Row],[Food Security and Livlihoods]]/tblPiNAnalysis[[#This Row],[Total Population]])</f>
        <v/>
      </c>
      <c r="W116" s="315" t="str">
        <f>IF(tblPiNAnalysis[[#This Row],[Health ]]="", "", tblPiNAnalysis[[#This Row],[Health ]]/tblPiNAnalysis[[#This Row],[Total Population]])</f>
        <v/>
      </c>
      <c r="X116" s="314" t="str">
        <f>IF(tblPiNAnalysis[[#This Row],[Nutrition]]="", "", tblPiNAnalysis[[#This Row],[Nutrition]]/tblPiNAnalysis[[#This Row],[Total Population]])</f>
        <v/>
      </c>
      <c r="Y116" s="314" t="str">
        <f>IF(tblPiNAnalysis[[#This Row],[Protection]]="", "", tblPiNAnalysis[[#This Row],[Protection]]/tblPiNAnalysis[[#This Row],[Total Population]])</f>
        <v/>
      </c>
      <c r="Z116" s="316">
        <f>IF(tblPiNAnalysis[[#This Row],[Shelter NFI ]]="", "", tblPiNAnalysis[[#This Row],[Shelter NFI ]]/tblPiNAnalysis[[#This Row],[Total Population]])</f>
        <v>0.60527089252473798</v>
      </c>
      <c r="AA116" s="317" t="str">
        <f>IF(tblPiNAnalysis[[#This Row],[WASH]]="", "", tblPiNAnalysis[[#This Row],[WASH]]/tblPiNAnalysis[[#This Row],[Total Population]])</f>
        <v/>
      </c>
      <c r="AB116" s="318" t="str">
        <f>IFERROR(IF(tblPiNAnalysis[[#This Row],[CP]]="", "", MROUND(tblPiNAnalysis[[#This Row],[CP]]/tblPiNAnalysis[[#This Row],[Total Population]], 0.05)), "")</f>
        <v/>
      </c>
      <c r="AC116" s="314" t="str">
        <f>IFERROR(IF(tblPiNAnalysis[[#This Row],[GBV]]="", "", MROUND(tblPiNAnalysis[[#This Row],[GBV]]/tblPiNAnalysis[[#This Row],[Total Population]], 0.05)), "")</f>
        <v/>
      </c>
      <c r="AD116" s="314" t="str">
        <f>IFERROR(IF(tblPiNAnalysis[[#This Row],[Mine Action]]="", "", MROUND(tblPiNAnalysis[[#This Row],[Mine Action]]/tblPiNAnalysis[[#This Row],[Total Population]], 0.05)), "")</f>
        <v/>
      </c>
      <c r="AE116" s="314" t="str">
        <f>IFERROR(IF(tblPiNAnalysis[[#This Row],[General Protection]]="", "", MROUND(tblPiNAnalysis[[#This Row],[General Protection]]/tblPiNAnalysis[[#This Row],[Total Population]], 0.05)), "")</f>
        <v/>
      </c>
      <c r="AF116" s="319">
        <f>IFERROR(LARGE(tblPiNAnalysis[[#This Row],[Site Management ]:[General Protection]], 1), "")</f>
        <v>18534</v>
      </c>
      <c r="AG116" s="320">
        <f>IF(tblPiNAnalysis[[#This Row],[Highest PiN]]="", "",tblPiNAnalysis[[#This Row],[Highest PiN]]/ tblPiNAnalysis[[#This Row],[Total Population]])</f>
        <v>0.60527089252473798</v>
      </c>
      <c r="AH116" s="320" t="str">
        <f>IFERROR(IF(tblPiNAnalysis[[#This Row],[Highest PiN]]="", "", IF(tblPiNAnalysis[[#This Row],[Highest sector(s'') PiN %]]&gt;=flag_pin_perc, "Flagged", "")), "")</f>
        <v/>
      </c>
      <c r="AI116" s="321"/>
      <c r="AJ116" s="322"/>
      <c r="AK116" s="323">
        <f>COUNTIFS(tblPiNAnalysis[[#This Row],[Highest PiN greater than 90% of total affected population]:[Manual Flag]],"Flagged")</f>
        <v>0</v>
      </c>
      <c r="AL116" s="324" t="str">
        <f>IF(tblPiNAnalysis[[#This Row],['# Flags]]&gt;0, "Flagged", "")</f>
        <v/>
      </c>
    </row>
    <row r="117" spans="1:38" ht="23.1" customHeight="1" x14ac:dyDescent="0.2">
      <c r="A117" s="309" t="str">
        <f>_xlfn.CONCAT(IF(tblPiNAnalysis[[#This Row],[Population Group]]="", "",tblPiNAnalysis[[#This Row],[Population Group]] ), _xlfn.IFS(tblPiNAnalysis[[#This Row],[Admin 2 P-Code]]&lt;&gt;"", tblPiNAnalysis[[#This Row],[Admin 2 P-Code]], tblPiNAnalysis[[#This Row],[Admin 1 P-Code]]&lt;&gt;"", tblPiNAnalysis[[#This Row],[Admin 1 P-Code]]))</f>
        <v>Non-hosting PopulationSD03158</v>
      </c>
      <c r="B117" s="245" t="s">
        <v>185</v>
      </c>
      <c r="C117" s="246" t="s">
        <v>120</v>
      </c>
      <c r="D117" s="247" t="s">
        <v>259</v>
      </c>
      <c r="E117" s="246" t="s">
        <v>258</v>
      </c>
      <c r="F117" s="248">
        <v>195095</v>
      </c>
      <c r="G117" s="248" t="s">
        <v>568</v>
      </c>
      <c r="H117" s="310"/>
      <c r="I117" s="311"/>
      <c r="J117" s="312"/>
      <c r="K117" s="311"/>
      <c r="L117" s="311"/>
      <c r="M117" s="312"/>
      <c r="N117" s="312">
        <f>_xlfn.XLOOKUP(CONCATENATE(tblPiNAnalysis[[#This Row],[Admin 2 P-Code]],tblPiNAnalysis[[#This Row],[Population Group]]),'Overall severity &amp; PIN Analysis'!A:A,'Overall severity &amp; PIN Analysis'!P:P,0,0)</f>
        <v>46809</v>
      </c>
      <c r="O117" s="311"/>
      <c r="P117" s="312"/>
      <c r="Q117" s="312"/>
      <c r="R117" s="312"/>
      <c r="S117" s="312"/>
      <c r="T117" s="313" t="str">
        <f>IF(tblPiNAnalysis[[#This Row],[Site Management ]]="", "", tblPiNAnalysis[[#This Row],[Site Management ]]/tblPiNAnalysis[[#This Row],[Total Population]])</f>
        <v/>
      </c>
      <c r="U117" s="314" t="str">
        <f>IF(tblPiNAnalysis[[#This Row],[Education]]="", "", tblPiNAnalysis[[#This Row],[Education]]/tblPiNAnalysis[[#This Row],[Total Population]])</f>
        <v/>
      </c>
      <c r="V117" s="314" t="str">
        <f>IF(tblPiNAnalysis[[#This Row],[Food Security and Livlihoods]]="", "", tblPiNAnalysis[[#This Row],[Food Security and Livlihoods]]/tblPiNAnalysis[[#This Row],[Total Population]])</f>
        <v/>
      </c>
      <c r="W117" s="315" t="str">
        <f>IF(tblPiNAnalysis[[#This Row],[Health ]]="", "", tblPiNAnalysis[[#This Row],[Health ]]/tblPiNAnalysis[[#This Row],[Total Population]])</f>
        <v/>
      </c>
      <c r="X117" s="314" t="str">
        <f>IF(tblPiNAnalysis[[#This Row],[Nutrition]]="", "", tblPiNAnalysis[[#This Row],[Nutrition]]/tblPiNAnalysis[[#This Row],[Total Population]])</f>
        <v/>
      </c>
      <c r="Y117" s="314" t="str">
        <f>IF(tblPiNAnalysis[[#This Row],[Protection]]="", "", tblPiNAnalysis[[#This Row],[Protection]]/tblPiNAnalysis[[#This Row],[Total Population]])</f>
        <v/>
      </c>
      <c r="Z117" s="316">
        <f>IF(tblPiNAnalysis[[#This Row],[Shelter NFI ]]="", "", tblPiNAnalysis[[#This Row],[Shelter NFI ]]/tblPiNAnalysis[[#This Row],[Total Population]])</f>
        <v>0.23992926522975985</v>
      </c>
      <c r="AA117" s="317" t="str">
        <f>IF(tblPiNAnalysis[[#This Row],[WASH]]="", "", tblPiNAnalysis[[#This Row],[WASH]]/tblPiNAnalysis[[#This Row],[Total Population]])</f>
        <v/>
      </c>
      <c r="AB117" s="318" t="str">
        <f>IFERROR(IF(tblPiNAnalysis[[#This Row],[CP]]="", "", MROUND(tblPiNAnalysis[[#This Row],[CP]]/tblPiNAnalysis[[#This Row],[Total Population]], 0.05)), "")</f>
        <v/>
      </c>
      <c r="AC117" s="314" t="str">
        <f>IFERROR(IF(tblPiNAnalysis[[#This Row],[GBV]]="", "", MROUND(tblPiNAnalysis[[#This Row],[GBV]]/tblPiNAnalysis[[#This Row],[Total Population]], 0.05)), "")</f>
        <v/>
      </c>
      <c r="AD117" s="314" t="str">
        <f>IFERROR(IF(tblPiNAnalysis[[#This Row],[Mine Action]]="", "", MROUND(tblPiNAnalysis[[#This Row],[Mine Action]]/tblPiNAnalysis[[#This Row],[Total Population]], 0.05)), "")</f>
        <v/>
      </c>
      <c r="AE117" s="314" t="str">
        <f>IFERROR(IF(tblPiNAnalysis[[#This Row],[General Protection]]="", "", MROUND(tblPiNAnalysis[[#This Row],[General Protection]]/tblPiNAnalysis[[#This Row],[Total Population]], 0.05)), "")</f>
        <v/>
      </c>
      <c r="AF117" s="319">
        <f>IFERROR(LARGE(tblPiNAnalysis[[#This Row],[Site Management ]:[General Protection]], 1), "")</f>
        <v>46809</v>
      </c>
      <c r="AG117" s="320">
        <f>IF(tblPiNAnalysis[[#This Row],[Highest PiN]]="", "",tblPiNAnalysis[[#This Row],[Highest PiN]]/ tblPiNAnalysis[[#This Row],[Total Population]])</f>
        <v>0.23992926522975985</v>
      </c>
      <c r="AH117" s="320" t="str">
        <f>IFERROR(IF(tblPiNAnalysis[[#This Row],[Highest PiN]]="", "", IF(tblPiNAnalysis[[#This Row],[Highest sector(s'') PiN %]]&gt;=flag_pin_perc, "Flagged", "")), "")</f>
        <v/>
      </c>
      <c r="AI117" s="321"/>
      <c r="AJ117" s="322"/>
      <c r="AK117" s="323">
        <f>COUNTIFS(tblPiNAnalysis[[#This Row],[Highest PiN greater than 90% of total affected population]:[Manual Flag]],"Flagged")</f>
        <v>0</v>
      </c>
      <c r="AL117" s="324" t="str">
        <f>IF(tblPiNAnalysis[[#This Row],['# Flags]]&gt;0, "Flagged", "")</f>
        <v/>
      </c>
    </row>
    <row r="118" spans="1:38" ht="23.1" hidden="1" customHeight="1" x14ac:dyDescent="0.2">
      <c r="A118" s="309" t="str">
        <f>_xlfn.CONCAT(IF(tblPiNAnalysis[[#This Row],[Population Group]]="", "",tblPiNAnalysis[[#This Row],[Population Group]] ), _xlfn.IFS(tblPiNAnalysis[[#This Row],[Admin 2 P-Code]]&lt;&gt;"", tblPiNAnalysis[[#This Row],[Admin 2 P-Code]], tblPiNAnalysis[[#This Row],[Admin 1 P-Code]]&lt;&gt;"", tblPiNAnalysis[[#This Row],[Admin 1 P-Code]]))</f>
        <v>Host CommunitySD03159</v>
      </c>
      <c r="B118" s="245" t="s">
        <v>185</v>
      </c>
      <c r="C118" s="246" t="s">
        <v>120</v>
      </c>
      <c r="D118" s="247" t="s">
        <v>261</v>
      </c>
      <c r="E118" s="246" t="s">
        <v>260</v>
      </c>
      <c r="F118" s="248">
        <v>43133</v>
      </c>
      <c r="G118" s="248" t="s">
        <v>87</v>
      </c>
      <c r="H118" s="310"/>
      <c r="I118" s="311"/>
      <c r="J118" s="312"/>
      <c r="K118" s="311"/>
      <c r="L118" s="311"/>
      <c r="M118" s="312"/>
      <c r="N118" s="312">
        <f>_xlfn.XLOOKUP(CONCATENATE(tblPiNAnalysis[[#This Row],[Admin 2 P-Code]],tblPiNAnalysis[[#This Row],[Population Group]]),'Overall severity &amp; PIN Analysis'!A:A,'Overall severity &amp; PIN Analysis'!P:P,0,0)</f>
        <v>16791</v>
      </c>
      <c r="O118" s="311"/>
      <c r="P118" s="312"/>
      <c r="Q118" s="312"/>
      <c r="R118" s="312"/>
      <c r="S118" s="312"/>
      <c r="T118" s="313" t="str">
        <f>IF(tblPiNAnalysis[[#This Row],[Site Management ]]="", "", tblPiNAnalysis[[#This Row],[Site Management ]]/tblPiNAnalysis[[#This Row],[Total Population]])</f>
        <v/>
      </c>
      <c r="U118" s="314" t="str">
        <f>IF(tblPiNAnalysis[[#This Row],[Education]]="", "", tblPiNAnalysis[[#This Row],[Education]]/tblPiNAnalysis[[#This Row],[Total Population]])</f>
        <v/>
      </c>
      <c r="V118" s="314" t="str">
        <f>IF(tblPiNAnalysis[[#This Row],[Food Security and Livlihoods]]="", "", tblPiNAnalysis[[#This Row],[Food Security and Livlihoods]]/tblPiNAnalysis[[#This Row],[Total Population]])</f>
        <v/>
      </c>
      <c r="W118" s="315" t="str">
        <f>IF(tblPiNAnalysis[[#This Row],[Health ]]="", "", tblPiNAnalysis[[#This Row],[Health ]]/tblPiNAnalysis[[#This Row],[Total Population]])</f>
        <v/>
      </c>
      <c r="X118" s="314" t="str">
        <f>IF(tblPiNAnalysis[[#This Row],[Nutrition]]="", "", tblPiNAnalysis[[#This Row],[Nutrition]]/tblPiNAnalysis[[#This Row],[Total Population]])</f>
        <v/>
      </c>
      <c r="Y118" s="314" t="str">
        <f>IF(tblPiNAnalysis[[#This Row],[Protection]]="", "", tblPiNAnalysis[[#This Row],[Protection]]/tblPiNAnalysis[[#This Row],[Total Population]])</f>
        <v/>
      </c>
      <c r="Z118" s="316">
        <f>IF(tblPiNAnalysis[[#This Row],[Shelter NFI ]]="", "", tblPiNAnalysis[[#This Row],[Shelter NFI ]]/tblPiNAnalysis[[#This Row],[Total Population]])</f>
        <v>0.38928430667934066</v>
      </c>
      <c r="AA118" s="317" t="str">
        <f>IF(tblPiNAnalysis[[#This Row],[WASH]]="", "", tblPiNAnalysis[[#This Row],[WASH]]/tblPiNAnalysis[[#This Row],[Total Population]])</f>
        <v/>
      </c>
      <c r="AB118" s="318" t="str">
        <f>IFERROR(IF(tblPiNAnalysis[[#This Row],[CP]]="", "", MROUND(tblPiNAnalysis[[#This Row],[CP]]/tblPiNAnalysis[[#This Row],[Total Population]], 0.05)), "")</f>
        <v/>
      </c>
      <c r="AC118" s="314" t="str">
        <f>IFERROR(IF(tblPiNAnalysis[[#This Row],[GBV]]="", "", MROUND(tblPiNAnalysis[[#This Row],[GBV]]/tblPiNAnalysis[[#This Row],[Total Population]], 0.05)), "")</f>
        <v/>
      </c>
      <c r="AD118" s="314" t="str">
        <f>IFERROR(IF(tblPiNAnalysis[[#This Row],[Mine Action]]="", "", MROUND(tblPiNAnalysis[[#This Row],[Mine Action]]/tblPiNAnalysis[[#This Row],[Total Population]], 0.05)), "")</f>
        <v/>
      </c>
      <c r="AE118" s="314" t="str">
        <f>IFERROR(IF(tblPiNAnalysis[[#This Row],[General Protection]]="", "", MROUND(tblPiNAnalysis[[#This Row],[General Protection]]/tblPiNAnalysis[[#This Row],[Total Population]], 0.05)), "")</f>
        <v/>
      </c>
      <c r="AF118" s="319">
        <f>IFERROR(LARGE(tblPiNAnalysis[[#This Row],[Site Management ]:[General Protection]], 1), "")</f>
        <v>16791</v>
      </c>
      <c r="AG118" s="320">
        <f>IF(tblPiNAnalysis[[#This Row],[Highest PiN]]="", "",tblPiNAnalysis[[#This Row],[Highest PiN]]/ tblPiNAnalysis[[#This Row],[Total Population]])</f>
        <v>0.38928430667934066</v>
      </c>
      <c r="AH118" s="320" t="str">
        <f>IFERROR(IF(tblPiNAnalysis[[#This Row],[Highest PiN]]="", "", IF(tblPiNAnalysis[[#This Row],[Highest sector(s'') PiN %]]&gt;=flag_pin_perc, "Flagged", "")), "")</f>
        <v/>
      </c>
      <c r="AI118" s="321"/>
      <c r="AJ118" s="322"/>
      <c r="AK118" s="323">
        <f>COUNTIFS(tblPiNAnalysis[[#This Row],[Highest PiN greater than 90% of total affected population]:[Manual Flag]],"Flagged")</f>
        <v>0</v>
      </c>
      <c r="AL118" s="324" t="str">
        <f>IF(tblPiNAnalysis[[#This Row],['# Flags]]&gt;0, "Flagged", "")</f>
        <v/>
      </c>
    </row>
    <row r="119" spans="1:38" ht="23.1" hidden="1" customHeight="1" x14ac:dyDescent="0.2">
      <c r="A119" s="309" t="str">
        <f>_xlfn.CONCAT(IF(tblPiNAnalysis[[#This Row],[Population Group]]="", "",tblPiNAnalysis[[#This Row],[Population Group]] ), _xlfn.IFS(tblPiNAnalysis[[#This Row],[Admin 2 P-Code]]&lt;&gt;"", tblPiNAnalysis[[#This Row],[Admin 2 P-Code]], tblPiNAnalysis[[#This Row],[Admin 1 P-Code]]&lt;&gt;"", tblPiNAnalysis[[#This Row],[Admin 1 P-Code]]))</f>
        <v>IDPsSD03159</v>
      </c>
      <c r="B119" s="245" t="s">
        <v>185</v>
      </c>
      <c r="C119" s="246" t="s">
        <v>120</v>
      </c>
      <c r="D119" s="247" t="s">
        <v>261</v>
      </c>
      <c r="E119" s="246" t="s">
        <v>260</v>
      </c>
      <c r="F119" s="248">
        <v>43133</v>
      </c>
      <c r="G119" s="248" t="s">
        <v>88</v>
      </c>
      <c r="H119" s="310"/>
      <c r="I119" s="311"/>
      <c r="J119" s="312"/>
      <c r="K119" s="311"/>
      <c r="L119" s="311"/>
      <c r="M119" s="312"/>
      <c r="N119" s="312">
        <f>_xlfn.XLOOKUP(CONCATENATE(tblPiNAnalysis[[#This Row],[Admin 2 P-Code]],tblPiNAnalysis[[#This Row],[Population Group]]),'Overall severity &amp; PIN Analysis'!A:A,'Overall severity &amp; PIN Analysis'!P:P,0,0)</f>
        <v>16791</v>
      </c>
      <c r="O119" s="311"/>
      <c r="P119" s="312"/>
      <c r="Q119" s="312"/>
      <c r="R119" s="312"/>
      <c r="S119" s="312"/>
      <c r="T119" s="313" t="str">
        <f>IF(tblPiNAnalysis[[#This Row],[Site Management ]]="", "", tblPiNAnalysis[[#This Row],[Site Management ]]/tblPiNAnalysis[[#This Row],[Total Population]])</f>
        <v/>
      </c>
      <c r="U119" s="314" t="str">
        <f>IF(tblPiNAnalysis[[#This Row],[Education]]="", "", tblPiNAnalysis[[#This Row],[Education]]/tblPiNAnalysis[[#This Row],[Total Population]])</f>
        <v/>
      </c>
      <c r="V119" s="314" t="str">
        <f>IF(tblPiNAnalysis[[#This Row],[Food Security and Livlihoods]]="", "", tblPiNAnalysis[[#This Row],[Food Security and Livlihoods]]/tblPiNAnalysis[[#This Row],[Total Population]])</f>
        <v/>
      </c>
      <c r="W119" s="315" t="str">
        <f>IF(tblPiNAnalysis[[#This Row],[Health ]]="", "", tblPiNAnalysis[[#This Row],[Health ]]/tblPiNAnalysis[[#This Row],[Total Population]])</f>
        <v/>
      </c>
      <c r="X119" s="314" t="str">
        <f>IF(tblPiNAnalysis[[#This Row],[Nutrition]]="", "", tblPiNAnalysis[[#This Row],[Nutrition]]/tblPiNAnalysis[[#This Row],[Total Population]])</f>
        <v/>
      </c>
      <c r="Y119" s="314" t="str">
        <f>IF(tblPiNAnalysis[[#This Row],[Protection]]="", "", tblPiNAnalysis[[#This Row],[Protection]]/tblPiNAnalysis[[#This Row],[Total Population]])</f>
        <v/>
      </c>
      <c r="Z119" s="316">
        <f>IF(tblPiNAnalysis[[#This Row],[Shelter NFI ]]="", "", tblPiNAnalysis[[#This Row],[Shelter NFI ]]/tblPiNAnalysis[[#This Row],[Total Population]])</f>
        <v>0.38928430667934066</v>
      </c>
      <c r="AA119" s="317" t="str">
        <f>IF(tblPiNAnalysis[[#This Row],[WASH]]="", "", tblPiNAnalysis[[#This Row],[WASH]]/tblPiNAnalysis[[#This Row],[Total Population]])</f>
        <v/>
      </c>
      <c r="AB119" s="318" t="str">
        <f>IFERROR(IF(tblPiNAnalysis[[#This Row],[CP]]="", "", MROUND(tblPiNAnalysis[[#This Row],[CP]]/tblPiNAnalysis[[#This Row],[Total Population]], 0.05)), "")</f>
        <v/>
      </c>
      <c r="AC119" s="314" t="str">
        <f>IFERROR(IF(tblPiNAnalysis[[#This Row],[GBV]]="", "", MROUND(tblPiNAnalysis[[#This Row],[GBV]]/tblPiNAnalysis[[#This Row],[Total Population]], 0.05)), "")</f>
        <v/>
      </c>
      <c r="AD119" s="314" t="str">
        <f>IFERROR(IF(tblPiNAnalysis[[#This Row],[Mine Action]]="", "", MROUND(tblPiNAnalysis[[#This Row],[Mine Action]]/tblPiNAnalysis[[#This Row],[Total Population]], 0.05)), "")</f>
        <v/>
      </c>
      <c r="AE119" s="314" t="str">
        <f>IFERROR(IF(tblPiNAnalysis[[#This Row],[General Protection]]="", "", MROUND(tblPiNAnalysis[[#This Row],[General Protection]]/tblPiNAnalysis[[#This Row],[Total Population]], 0.05)), "")</f>
        <v/>
      </c>
      <c r="AF119" s="319">
        <f>IFERROR(LARGE(tblPiNAnalysis[[#This Row],[Site Management ]:[General Protection]], 1), "")</f>
        <v>16791</v>
      </c>
      <c r="AG119" s="320">
        <f>IF(tblPiNAnalysis[[#This Row],[Highest PiN]]="", "",tblPiNAnalysis[[#This Row],[Highest PiN]]/ tblPiNAnalysis[[#This Row],[Total Population]])</f>
        <v>0.38928430667934066</v>
      </c>
      <c r="AH119" s="320" t="str">
        <f>IFERROR(IF(tblPiNAnalysis[[#This Row],[Highest PiN]]="", "", IF(tblPiNAnalysis[[#This Row],[Highest sector(s'') PiN %]]&gt;=flag_pin_perc, "Flagged", "")), "")</f>
        <v/>
      </c>
      <c r="AI119" s="321"/>
      <c r="AJ119" s="322"/>
      <c r="AK119" s="323">
        <f>COUNTIFS(tblPiNAnalysis[[#This Row],[Highest PiN greater than 90% of total affected population]:[Manual Flag]],"Flagged")</f>
        <v>0</v>
      </c>
      <c r="AL119" s="324" t="str">
        <f>IF(tblPiNAnalysis[[#This Row],['# Flags]]&gt;0, "Flagged", "")</f>
        <v/>
      </c>
    </row>
    <row r="120" spans="1:38" ht="23.1" customHeight="1" x14ac:dyDescent="0.2">
      <c r="A120" s="309" t="str">
        <f>_xlfn.CONCAT(IF(tblPiNAnalysis[[#This Row],[Population Group]]="", "",tblPiNAnalysis[[#This Row],[Population Group]] ), _xlfn.IFS(tblPiNAnalysis[[#This Row],[Admin 2 P-Code]]&lt;&gt;"", tblPiNAnalysis[[#This Row],[Admin 2 P-Code]], tblPiNAnalysis[[#This Row],[Admin 1 P-Code]]&lt;&gt;"", tblPiNAnalysis[[#This Row],[Admin 1 P-Code]]))</f>
        <v>Non-hosting PopulationSD03159</v>
      </c>
      <c r="B120" s="245" t="s">
        <v>185</v>
      </c>
      <c r="C120" s="246" t="s">
        <v>120</v>
      </c>
      <c r="D120" s="247" t="s">
        <v>261</v>
      </c>
      <c r="E120" s="246" t="s">
        <v>260</v>
      </c>
      <c r="F120" s="248">
        <v>85750</v>
      </c>
      <c r="G120" s="248" t="s">
        <v>568</v>
      </c>
      <c r="H120" s="310"/>
      <c r="I120" s="311"/>
      <c r="J120" s="312"/>
      <c r="K120" s="311"/>
      <c r="L120" s="311"/>
      <c r="M120" s="312"/>
      <c r="N120" s="312">
        <f>_xlfn.XLOOKUP(CONCATENATE(tblPiNAnalysis[[#This Row],[Admin 2 P-Code]],tblPiNAnalysis[[#This Row],[Population Group]]),'Overall severity &amp; PIN Analysis'!A:A,'Overall severity &amp; PIN Analysis'!P:P,0,0)</f>
        <v>10134</v>
      </c>
      <c r="O120" s="311"/>
      <c r="P120" s="312"/>
      <c r="Q120" s="312"/>
      <c r="R120" s="312"/>
      <c r="S120" s="312"/>
      <c r="T120" s="313" t="str">
        <f>IF(tblPiNAnalysis[[#This Row],[Site Management ]]="", "", tblPiNAnalysis[[#This Row],[Site Management ]]/tblPiNAnalysis[[#This Row],[Total Population]])</f>
        <v/>
      </c>
      <c r="U120" s="314" t="str">
        <f>IF(tblPiNAnalysis[[#This Row],[Education]]="", "", tblPiNAnalysis[[#This Row],[Education]]/tblPiNAnalysis[[#This Row],[Total Population]])</f>
        <v/>
      </c>
      <c r="V120" s="314" t="str">
        <f>IF(tblPiNAnalysis[[#This Row],[Food Security and Livlihoods]]="", "", tblPiNAnalysis[[#This Row],[Food Security and Livlihoods]]/tblPiNAnalysis[[#This Row],[Total Population]])</f>
        <v/>
      </c>
      <c r="W120" s="315" t="str">
        <f>IF(tblPiNAnalysis[[#This Row],[Health ]]="", "", tblPiNAnalysis[[#This Row],[Health ]]/tblPiNAnalysis[[#This Row],[Total Population]])</f>
        <v/>
      </c>
      <c r="X120" s="314" t="str">
        <f>IF(tblPiNAnalysis[[#This Row],[Nutrition]]="", "", tblPiNAnalysis[[#This Row],[Nutrition]]/tblPiNAnalysis[[#This Row],[Total Population]])</f>
        <v/>
      </c>
      <c r="Y120" s="314" t="str">
        <f>IF(tblPiNAnalysis[[#This Row],[Protection]]="", "", tblPiNAnalysis[[#This Row],[Protection]]/tblPiNAnalysis[[#This Row],[Total Population]])</f>
        <v/>
      </c>
      <c r="Z120" s="316">
        <f>IF(tblPiNAnalysis[[#This Row],[Shelter NFI ]]="", "", tblPiNAnalysis[[#This Row],[Shelter NFI ]]/tblPiNAnalysis[[#This Row],[Total Population]])</f>
        <v>0.11818075801749271</v>
      </c>
      <c r="AA120" s="317" t="str">
        <f>IF(tblPiNAnalysis[[#This Row],[WASH]]="", "", tblPiNAnalysis[[#This Row],[WASH]]/tblPiNAnalysis[[#This Row],[Total Population]])</f>
        <v/>
      </c>
      <c r="AB120" s="318" t="str">
        <f>IFERROR(IF(tblPiNAnalysis[[#This Row],[CP]]="", "", MROUND(tblPiNAnalysis[[#This Row],[CP]]/tblPiNAnalysis[[#This Row],[Total Population]], 0.05)), "")</f>
        <v/>
      </c>
      <c r="AC120" s="314" t="str">
        <f>IFERROR(IF(tblPiNAnalysis[[#This Row],[GBV]]="", "", MROUND(tblPiNAnalysis[[#This Row],[GBV]]/tblPiNAnalysis[[#This Row],[Total Population]], 0.05)), "")</f>
        <v/>
      </c>
      <c r="AD120" s="314" t="str">
        <f>IFERROR(IF(tblPiNAnalysis[[#This Row],[Mine Action]]="", "", MROUND(tblPiNAnalysis[[#This Row],[Mine Action]]/tblPiNAnalysis[[#This Row],[Total Population]], 0.05)), "")</f>
        <v/>
      </c>
      <c r="AE120" s="314" t="str">
        <f>IFERROR(IF(tblPiNAnalysis[[#This Row],[General Protection]]="", "", MROUND(tblPiNAnalysis[[#This Row],[General Protection]]/tblPiNAnalysis[[#This Row],[Total Population]], 0.05)), "")</f>
        <v/>
      </c>
      <c r="AF120" s="319">
        <f>IFERROR(LARGE(tblPiNAnalysis[[#This Row],[Site Management ]:[General Protection]], 1), "")</f>
        <v>10134</v>
      </c>
      <c r="AG120" s="320">
        <f>IF(tblPiNAnalysis[[#This Row],[Highest PiN]]="", "",tblPiNAnalysis[[#This Row],[Highest PiN]]/ tblPiNAnalysis[[#This Row],[Total Population]])</f>
        <v>0.11818075801749271</v>
      </c>
      <c r="AH120" s="320" t="str">
        <f>IFERROR(IF(tblPiNAnalysis[[#This Row],[Highest PiN]]="", "", IF(tblPiNAnalysis[[#This Row],[Highest sector(s'') PiN %]]&gt;=flag_pin_perc, "Flagged", "")), "")</f>
        <v/>
      </c>
      <c r="AI120" s="321"/>
      <c r="AJ120" s="322"/>
      <c r="AK120" s="323">
        <f>COUNTIFS(tblPiNAnalysis[[#This Row],[Highest PiN greater than 90% of total affected population]:[Manual Flag]],"Flagged")</f>
        <v>0</v>
      </c>
      <c r="AL120" s="324" t="str">
        <f>IF(tblPiNAnalysis[[#This Row],['# Flags]]&gt;0, "Flagged", "")</f>
        <v/>
      </c>
    </row>
    <row r="121" spans="1:38" ht="23.1" hidden="1" customHeight="1" x14ac:dyDescent="0.2">
      <c r="A121" s="309" t="str">
        <f>_xlfn.CONCAT(IF(tblPiNAnalysis[[#This Row],[Population Group]]="", "",tblPiNAnalysis[[#This Row],[Population Group]] ), _xlfn.IFS(tblPiNAnalysis[[#This Row],[Admin 2 P-Code]]&lt;&gt;"", tblPiNAnalysis[[#This Row],[Admin 2 P-Code]], tblPiNAnalysis[[#This Row],[Admin 1 P-Code]]&lt;&gt;"", tblPiNAnalysis[[#This Row],[Admin 1 P-Code]]))</f>
        <v>Host CommunitySD03161</v>
      </c>
      <c r="B121" s="245" t="s">
        <v>185</v>
      </c>
      <c r="C121" s="246" t="s">
        <v>120</v>
      </c>
      <c r="D121" s="247" t="s">
        <v>263</v>
      </c>
      <c r="E121" s="246" t="s">
        <v>262</v>
      </c>
      <c r="F121" s="248">
        <v>55740</v>
      </c>
      <c r="G121" s="248" t="s">
        <v>87</v>
      </c>
      <c r="H121" s="310"/>
      <c r="I121" s="311"/>
      <c r="J121" s="312"/>
      <c r="K121" s="311"/>
      <c r="L121" s="311"/>
      <c r="M121" s="312"/>
      <c r="N121" s="312">
        <f>_xlfn.XLOOKUP(CONCATENATE(tblPiNAnalysis[[#This Row],[Admin 2 P-Code]],tblPiNAnalysis[[#This Row],[Population Group]]),'Overall severity &amp; PIN Analysis'!A:A,'Overall severity &amp; PIN Analysis'!P:P,0,0)</f>
        <v>33704</v>
      </c>
      <c r="O121" s="311"/>
      <c r="P121" s="312"/>
      <c r="Q121" s="312"/>
      <c r="R121" s="312"/>
      <c r="S121" s="312"/>
      <c r="T121" s="313" t="str">
        <f>IF(tblPiNAnalysis[[#This Row],[Site Management ]]="", "", tblPiNAnalysis[[#This Row],[Site Management ]]/tblPiNAnalysis[[#This Row],[Total Population]])</f>
        <v/>
      </c>
      <c r="U121" s="314" t="str">
        <f>IF(tblPiNAnalysis[[#This Row],[Education]]="", "", tblPiNAnalysis[[#This Row],[Education]]/tblPiNAnalysis[[#This Row],[Total Population]])</f>
        <v/>
      </c>
      <c r="V121" s="314" t="str">
        <f>IF(tblPiNAnalysis[[#This Row],[Food Security and Livlihoods]]="", "", tblPiNAnalysis[[#This Row],[Food Security and Livlihoods]]/tblPiNAnalysis[[#This Row],[Total Population]])</f>
        <v/>
      </c>
      <c r="W121" s="315" t="str">
        <f>IF(tblPiNAnalysis[[#This Row],[Health ]]="", "", tblPiNAnalysis[[#This Row],[Health ]]/tblPiNAnalysis[[#This Row],[Total Population]])</f>
        <v/>
      </c>
      <c r="X121" s="314" t="str">
        <f>IF(tblPiNAnalysis[[#This Row],[Nutrition]]="", "", tblPiNAnalysis[[#This Row],[Nutrition]]/tblPiNAnalysis[[#This Row],[Total Population]])</f>
        <v/>
      </c>
      <c r="Y121" s="314" t="str">
        <f>IF(tblPiNAnalysis[[#This Row],[Protection]]="", "", tblPiNAnalysis[[#This Row],[Protection]]/tblPiNAnalysis[[#This Row],[Total Population]])</f>
        <v/>
      </c>
      <c r="Z121" s="316">
        <f>IF(tblPiNAnalysis[[#This Row],[Shelter NFI ]]="", "", tblPiNAnalysis[[#This Row],[Shelter NFI ]]/tblPiNAnalysis[[#This Row],[Total Population]])</f>
        <v>0.60466451381413711</v>
      </c>
      <c r="AA121" s="317" t="str">
        <f>IF(tblPiNAnalysis[[#This Row],[WASH]]="", "", tblPiNAnalysis[[#This Row],[WASH]]/tblPiNAnalysis[[#This Row],[Total Population]])</f>
        <v/>
      </c>
      <c r="AB121" s="318" t="str">
        <f>IFERROR(IF(tblPiNAnalysis[[#This Row],[CP]]="", "", MROUND(tblPiNAnalysis[[#This Row],[CP]]/tblPiNAnalysis[[#This Row],[Total Population]], 0.05)), "")</f>
        <v/>
      </c>
      <c r="AC121" s="314" t="str">
        <f>IFERROR(IF(tblPiNAnalysis[[#This Row],[GBV]]="", "", MROUND(tblPiNAnalysis[[#This Row],[GBV]]/tblPiNAnalysis[[#This Row],[Total Population]], 0.05)), "")</f>
        <v/>
      </c>
      <c r="AD121" s="314" t="str">
        <f>IFERROR(IF(tblPiNAnalysis[[#This Row],[Mine Action]]="", "", MROUND(tblPiNAnalysis[[#This Row],[Mine Action]]/tblPiNAnalysis[[#This Row],[Total Population]], 0.05)), "")</f>
        <v/>
      </c>
      <c r="AE121" s="314" t="str">
        <f>IFERROR(IF(tblPiNAnalysis[[#This Row],[General Protection]]="", "", MROUND(tblPiNAnalysis[[#This Row],[General Protection]]/tblPiNAnalysis[[#This Row],[Total Population]], 0.05)), "")</f>
        <v/>
      </c>
      <c r="AF121" s="319">
        <f>IFERROR(LARGE(tblPiNAnalysis[[#This Row],[Site Management ]:[General Protection]], 1), "")</f>
        <v>33704</v>
      </c>
      <c r="AG121" s="320">
        <f>IF(tblPiNAnalysis[[#This Row],[Highest PiN]]="", "",tblPiNAnalysis[[#This Row],[Highest PiN]]/ tblPiNAnalysis[[#This Row],[Total Population]])</f>
        <v>0.60466451381413711</v>
      </c>
      <c r="AH121" s="320" t="str">
        <f>IFERROR(IF(tblPiNAnalysis[[#This Row],[Highest PiN]]="", "", IF(tblPiNAnalysis[[#This Row],[Highest sector(s'') PiN %]]&gt;=flag_pin_perc, "Flagged", "")), "")</f>
        <v/>
      </c>
      <c r="AI121" s="321"/>
      <c r="AJ121" s="322"/>
      <c r="AK121" s="323">
        <f>COUNTIFS(tblPiNAnalysis[[#This Row],[Highest PiN greater than 90% of total affected population]:[Manual Flag]],"Flagged")</f>
        <v>0</v>
      </c>
      <c r="AL121" s="324" t="str">
        <f>IF(tblPiNAnalysis[[#This Row],['# Flags]]&gt;0, "Flagged", "")</f>
        <v/>
      </c>
    </row>
    <row r="122" spans="1:38" ht="23.1" hidden="1" customHeight="1" x14ac:dyDescent="0.2">
      <c r="A122" s="309" t="str">
        <f>_xlfn.CONCAT(IF(tblPiNAnalysis[[#This Row],[Population Group]]="", "",tblPiNAnalysis[[#This Row],[Population Group]] ), _xlfn.IFS(tblPiNAnalysis[[#This Row],[Admin 2 P-Code]]&lt;&gt;"", tblPiNAnalysis[[#This Row],[Admin 2 P-Code]], tblPiNAnalysis[[#This Row],[Admin 1 P-Code]]&lt;&gt;"", tblPiNAnalysis[[#This Row],[Admin 1 P-Code]]))</f>
        <v>IDPsSD03161</v>
      </c>
      <c r="B122" s="245" t="s">
        <v>185</v>
      </c>
      <c r="C122" s="246" t="s">
        <v>120</v>
      </c>
      <c r="D122" s="247" t="s">
        <v>263</v>
      </c>
      <c r="E122" s="246" t="s">
        <v>262</v>
      </c>
      <c r="F122" s="248">
        <v>194660</v>
      </c>
      <c r="G122" s="248" t="s">
        <v>88</v>
      </c>
      <c r="H122" s="310"/>
      <c r="I122" s="311"/>
      <c r="J122" s="312"/>
      <c r="K122" s="311"/>
      <c r="L122" s="311"/>
      <c r="M122" s="312"/>
      <c r="N122" s="312">
        <f>_xlfn.XLOOKUP(CONCATENATE(tblPiNAnalysis[[#This Row],[Admin 2 P-Code]],tblPiNAnalysis[[#This Row],[Population Group]]),'Overall severity &amp; PIN Analysis'!A:A,'Overall severity &amp; PIN Analysis'!P:P,0,0)</f>
        <v>117705</v>
      </c>
      <c r="O122" s="311"/>
      <c r="P122" s="312"/>
      <c r="Q122" s="312"/>
      <c r="R122" s="312"/>
      <c r="S122" s="312"/>
      <c r="T122" s="313" t="str">
        <f>IF(tblPiNAnalysis[[#This Row],[Site Management ]]="", "", tblPiNAnalysis[[#This Row],[Site Management ]]/tblPiNAnalysis[[#This Row],[Total Population]])</f>
        <v/>
      </c>
      <c r="U122" s="314" t="str">
        <f>IF(tblPiNAnalysis[[#This Row],[Education]]="", "", tblPiNAnalysis[[#This Row],[Education]]/tblPiNAnalysis[[#This Row],[Total Population]])</f>
        <v/>
      </c>
      <c r="V122" s="314" t="str">
        <f>IF(tblPiNAnalysis[[#This Row],[Food Security and Livlihoods]]="", "", tblPiNAnalysis[[#This Row],[Food Security and Livlihoods]]/tblPiNAnalysis[[#This Row],[Total Population]])</f>
        <v/>
      </c>
      <c r="W122" s="315" t="str">
        <f>IF(tblPiNAnalysis[[#This Row],[Health ]]="", "", tblPiNAnalysis[[#This Row],[Health ]]/tblPiNAnalysis[[#This Row],[Total Population]])</f>
        <v/>
      </c>
      <c r="X122" s="314" t="str">
        <f>IF(tblPiNAnalysis[[#This Row],[Nutrition]]="", "", tblPiNAnalysis[[#This Row],[Nutrition]]/tblPiNAnalysis[[#This Row],[Total Population]])</f>
        <v/>
      </c>
      <c r="Y122" s="314" t="str">
        <f>IF(tblPiNAnalysis[[#This Row],[Protection]]="", "", tblPiNAnalysis[[#This Row],[Protection]]/tblPiNAnalysis[[#This Row],[Total Population]])</f>
        <v/>
      </c>
      <c r="Z122" s="316">
        <f>IF(tblPiNAnalysis[[#This Row],[Shelter NFI ]]="", "", tblPiNAnalysis[[#This Row],[Shelter NFI ]]/tblPiNAnalysis[[#This Row],[Total Population]])</f>
        <v>0.60466968046850922</v>
      </c>
      <c r="AA122" s="317" t="str">
        <f>IF(tblPiNAnalysis[[#This Row],[WASH]]="", "", tblPiNAnalysis[[#This Row],[WASH]]/tblPiNAnalysis[[#This Row],[Total Population]])</f>
        <v/>
      </c>
      <c r="AB122" s="318" t="str">
        <f>IFERROR(IF(tblPiNAnalysis[[#This Row],[CP]]="", "", MROUND(tblPiNAnalysis[[#This Row],[CP]]/tblPiNAnalysis[[#This Row],[Total Population]], 0.05)), "")</f>
        <v/>
      </c>
      <c r="AC122" s="314" t="str">
        <f>IFERROR(IF(tblPiNAnalysis[[#This Row],[GBV]]="", "", MROUND(tblPiNAnalysis[[#This Row],[GBV]]/tblPiNAnalysis[[#This Row],[Total Population]], 0.05)), "")</f>
        <v/>
      </c>
      <c r="AD122" s="314" t="str">
        <f>IFERROR(IF(tblPiNAnalysis[[#This Row],[Mine Action]]="", "", MROUND(tblPiNAnalysis[[#This Row],[Mine Action]]/tblPiNAnalysis[[#This Row],[Total Population]], 0.05)), "")</f>
        <v/>
      </c>
      <c r="AE122" s="314" t="str">
        <f>IFERROR(IF(tblPiNAnalysis[[#This Row],[General Protection]]="", "", MROUND(tblPiNAnalysis[[#This Row],[General Protection]]/tblPiNAnalysis[[#This Row],[Total Population]], 0.05)), "")</f>
        <v/>
      </c>
      <c r="AF122" s="319">
        <f>IFERROR(LARGE(tblPiNAnalysis[[#This Row],[Site Management ]:[General Protection]], 1), "")</f>
        <v>117705</v>
      </c>
      <c r="AG122" s="320">
        <f>IF(tblPiNAnalysis[[#This Row],[Highest PiN]]="", "",tblPiNAnalysis[[#This Row],[Highest PiN]]/ tblPiNAnalysis[[#This Row],[Total Population]])</f>
        <v>0.60466968046850922</v>
      </c>
      <c r="AH122" s="320" t="str">
        <f>IFERROR(IF(tblPiNAnalysis[[#This Row],[Highest PiN]]="", "", IF(tblPiNAnalysis[[#This Row],[Highest sector(s'') PiN %]]&gt;=flag_pin_perc, "Flagged", "")), "")</f>
        <v/>
      </c>
      <c r="AI122" s="321"/>
      <c r="AJ122" s="322"/>
      <c r="AK122" s="323">
        <f>COUNTIFS(tblPiNAnalysis[[#This Row],[Highest PiN greater than 90% of total affected population]:[Manual Flag]],"Flagged")</f>
        <v>0</v>
      </c>
      <c r="AL122" s="324" t="str">
        <f>IF(tblPiNAnalysis[[#This Row],['# Flags]]&gt;0, "Flagged", "")</f>
        <v/>
      </c>
    </row>
    <row r="123" spans="1:38" ht="23.1" customHeight="1" x14ac:dyDescent="0.2">
      <c r="A123" s="309" t="str">
        <f>_xlfn.CONCAT(IF(tblPiNAnalysis[[#This Row],[Population Group]]="", "",tblPiNAnalysis[[#This Row],[Population Group]] ), _xlfn.IFS(tblPiNAnalysis[[#This Row],[Admin 2 P-Code]]&lt;&gt;"", tblPiNAnalysis[[#This Row],[Admin 2 P-Code]], tblPiNAnalysis[[#This Row],[Admin 1 P-Code]]&lt;&gt;"", tblPiNAnalysis[[#This Row],[Admin 1 P-Code]]))</f>
        <v>Non-hosting PopulationSD03161</v>
      </c>
      <c r="B123" s="245" t="s">
        <v>185</v>
      </c>
      <c r="C123" s="246" t="s">
        <v>120</v>
      </c>
      <c r="D123" s="247" t="s">
        <v>263</v>
      </c>
      <c r="E123" s="246" t="s">
        <v>262</v>
      </c>
      <c r="F123" s="248">
        <v>0</v>
      </c>
      <c r="G123" s="248" t="s">
        <v>568</v>
      </c>
      <c r="H123" s="310"/>
      <c r="I123" s="311"/>
      <c r="J123" s="312"/>
      <c r="K123" s="311"/>
      <c r="L123" s="311"/>
      <c r="M123" s="312"/>
      <c r="N123" s="312">
        <f>_xlfn.XLOOKUP(CONCATENATE(tblPiNAnalysis[[#This Row],[Admin 2 P-Code]],tblPiNAnalysis[[#This Row],[Population Group]]),'Overall severity &amp; PIN Analysis'!A:A,'Overall severity &amp; PIN Analysis'!P:P,0,0)</f>
        <v>0</v>
      </c>
      <c r="O123" s="311"/>
      <c r="P123" s="312"/>
      <c r="Q123" s="312"/>
      <c r="R123" s="312"/>
      <c r="S123" s="312"/>
      <c r="T123" s="313" t="str">
        <f>IF(tblPiNAnalysis[[#This Row],[Site Management ]]="", "", tblPiNAnalysis[[#This Row],[Site Management ]]/tblPiNAnalysis[[#This Row],[Total Population]])</f>
        <v/>
      </c>
      <c r="U123" s="314" t="str">
        <f>IF(tblPiNAnalysis[[#This Row],[Education]]="", "", tblPiNAnalysis[[#This Row],[Education]]/tblPiNAnalysis[[#This Row],[Total Population]])</f>
        <v/>
      </c>
      <c r="V123" s="314" t="str">
        <f>IF(tblPiNAnalysis[[#This Row],[Food Security and Livlihoods]]="", "", tblPiNAnalysis[[#This Row],[Food Security and Livlihoods]]/tblPiNAnalysis[[#This Row],[Total Population]])</f>
        <v/>
      </c>
      <c r="W123" s="315" t="str">
        <f>IF(tblPiNAnalysis[[#This Row],[Health ]]="", "", tblPiNAnalysis[[#This Row],[Health ]]/tblPiNAnalysis[[#This Row],[Total Population]])</f>
        <v/>
      </c>
      <c r="X123" s="314" t="str">
        <f>IF(tblPiNAnalysis[[#This Row],[Nutrition]]="", "", tblPiNAnalysis[[#This Row],[Nutrition]]/tblPiNAnalysis[[#This Row],[Total Population]])</f>
        <v/>
      </c>
      <c r="Y123" s="314" t="str">
        <f>IF(tblPiNAnalysis[[#This Row],[Protection]]="", "", tblPiNAnalysis[[#This Row],[Protection]]/tblPiNAnalysis[[#This Row],[Total Population]])</f>
        <v/>
      </c>
      <c r="Z123" s="316" t="e">
        <f>IF(tblPiNAnalysis[[#This Row],[Shelter NFI ]]="", "", tblPiNAnalysis[[#This Row],[Shelter NFI ]]/tblPiNAnalysis[[#This Row],[Total Population]])</f>
        <v>#DIV/0!</v>
      </c>
      <c r="AA123" s="317" t="str">
        <f>IF(tblPiNAnalysis[[#This Row],[WASH]]="", "", tblPiNAnalysis[[#This Row],[WASH]]/tblPiNAnalysis[[#This Row],[Total Population]])</f>
        <v/>
      </c>
      <c r="AB123" s="318" t="str">
        <f>IFERROR(IF(tblPiNAnalysis[[#This Row],[CP]]="", "", MROUND(tblPiNAnalysis[[#This Row],[CP]]/tblPiNAnalysis[[#This Row],[Total Population]], 0.05)), "")</f>
        <v/>
      </c>
      <c r="AC123" s="314" t="str">
        <f>IFERROR(IF(tblPiNAnalysis[[#This Row],[GBV]]="", "", MROUND(tblPiNAnalysis[[#This Row],[GBV]]/tblPiNAnalysis[[#This Row],[Total Population]], 0.05)), "")</f>
        <v/>
      </c>
      <c r="AD123" s="314" t="str">
        <f>IFERROR(IF(tblPiNAnalysis[[#This Row],[Mine Action]]="", "", MROUND(tblPiNAnalysis[[#This Row],[Mine Action]]/tblPiNAnalysis[[#This Row],[Total Population]], 0.05)), "")</f>
        <v/>
      </c>
      <c r="AE123" s="314" t="str">
        <f>IFERROR(IF(tblPiNAnalysis[[#This Row],[General Protection]]="", "", MROUND(tblPiNAnalysis[[#This Row],[General Protection]]/tblPiNAnalysis[[#This Row],[Total Population]], 0.05)), "")</f>
        <v/>
      </c>
      <c r="AF123" s="319">
        <f>IFERROR(LARGE(tblPiNAnalysis[[#This Row],[Site Management ]:[General Protection]], 1), "")</f>
        <v>0</v>
      </c>
      <c r="AG123" s="320" t="e">
        <f>IF(tblPiNAnalysis[[#This Row],[Highest PiN]]="", "",tblPiNAnalysis[[#This Row],[Highest PiN]]/ tblPiNAnalysis[[#This Row],[Total Population]])</f>
        <v>#DIV/0!</v>
      </c>
      <c r="AH123" s="320" t="str">
        <f>IFERROR(IF(tblPiNAnalysis[[#This Row],[Highest PiN]]="", "", IF(tblPiNAnalysis[[#This Row],[Highest sector(s'') PiN %]]&gt;=flag_pin_perc, "Flagged", "")), "")</f>
        <v/>
      </c>
      <c r="AI123" s="321"/>
      <c r="AJ123" s="322"/>
      <c r="AK123" s="323">
        <f>COUNTIFS(tblPiNAnalysis[[#This Row],[Highest PiN greater than 90% of total affected population]:[Manual Flag]],"Flagged")</f>
        <v>0</v>
      </c>
      <c r="AL123" s="324" t="str">
        <f>IF(tblPiNAnalysis[[#This Row],['# Flags]]&gt;0, "Flagged", "")</f>
        <v/>
      </c>
    </row>
    <row r="124" spans="1:38" ht="23.1" hidden="1" customHeight="1" x14ac:dyDescent="0.2">
      <c r="A124" s="309" t="str">
        <f>_xlfn.CONCAT(IF(tblPiNAnalysis[[#This Row],[Population Group]]="", "",tblPiNAnalysis[[#This Row],[Population Group]] ), _xlfn.IFS(tblPiNAnalysis[[#This Row],[Admin 2 P-Code]]&lt;&gt;"", tblPiNAnalysis[[#This Row],[Admin 2 P-Code]], tblPiNAnalysis[[#This Row],[Admin 1 P-Code]]&lt;&gt;"", tblPiNAnalysis[[#This Row],[Admin 1 P-Code]]))</f>
        <v>Host CommunitySD03162</v>
      </c>
      <c r="B124" s="245" t="s">
        <v>185</v>
      </c>
      <c r="C124" s="246" t="s">
        <v>120</v>
      </c>
      <c r="D124" s="247" t="s">
        <v>265</v>
      </c>
      <c r="E124" s="246" t="s">
        <v>264</v>
      </c>
      <c r="F124" s="248">
        <v>0</v>
      </c>
      <c r="G124" s="248" t="s">
        <v>87</v>
      </c>
      <c r="H124" s="310"/>
      <c r="I124" s="311"/>
      <c r="J124" s="312"/>
      <c r="K124" s="311"/>
      <c r="L124" s="311"/>
      <c r="M124" s="312"/>
      <c r="N124" s="312">
        <f>_xlfn.XLOOKUP(CONCATENATE(tblPiNAnalysis[[#This Row],[Admin 2 P-Code]],tblPiNAnalysis[[#This Row],[Population Group]]),'Overall severity &amp; PIN Analysis'!A:A,'Overall severity &amp; PIN Analysis'!P:P,0,0)</f>
        <v>0</v>
      </c>
      <c r="O124" s="311"/>
      <c r="P124" s="312"/>
      <c r="Q124" s="312"/>
      <c r="R124" s="312"/>
      <c r="S124" s="312"/>
      <c r="T124" s="313" t="str">
        <f>IF(tblPiNAnalysis[[#This Row],[Site Management ]]="", "", tblPiNAnalysis[[#This Row],[Site Management ]]/tblPiNAnalysis[[#This Row],[Total Population]])</f>
        <v/>
      </c>
      <c r="U124" s="314" t="str">
        <f>IF(tblPiNAnalysis[[#This Row],[Education]]="", "", tblPiNAnalysis[[#This Row],[Education]]/tblPiNAnalysis[[#This Row],[Total Population]])</f>
        <v/>
      </c>
      <c r="V124" s="314" t="str">
        <f>IF(tblPiNAnalysis[[#This Row],[Food Security and Livlihoods]]="", "", tblPiNAnalysis[[#This Row],[Food Security and Livlihoods]]/tblPiNAnalysis[[#This Row],[Total Population]])</f>
        <v/>
      </c>
      <c r="W124" s="315" t="str">
        <f>IF(tblPiNAnalysis[[#This Row],[Health ]]="", "", tblPiNAnalysis[[#This Row],[Health ]]/tblPiNAnalysis[[#This Row],[Total Population]])</f>
        <v/>
      </c>
      <c r="X124" s="314" t="str">
        <f>IF(tblPiNAnalysis[[#This Row],[Nutrition]]="", "", tblPiNAnalysis[[#This Row],[Nutrition]]/tblPiNAnalysis[[#This Row],[Total Population]])</f>
        <v/>
      </c>
      <c r="Y124" s="314" t="str">
        <f>IF(tblPiNAnalysis[[#This Row],[Protection]]="", "", tblPiNAnalysis[[#This Row],[Protection]]/tblPiNAnalysis[[#This Row],[Total Population]])</f>
        <v/>
      </c>
      <c r="Z124" s="316" t="e">
        <f>IF(tblPiNAnalysis[[#This Row],[Shelter NFI ]]="", "", tblPiNAnalysis[[#This Row],[Shelter NFI ]]/tblPiNAnalysis[[#This Row],[Total Population]])</f>
        <v>#DIV/0!</v>
      </c>
      <c r="AA124" s="317" t="str">
        <f>IF(tblPiNAnalysis[[#This Row],[WASH]]="", "", tblPiNAnalysis[[#This Row],[WASH]]/tblPiNAnalysis[[#This Row],[Total Population]])</f>
        <v/>
      </c>
      <c r="AB124" s="318" t="str">
        <f>IFERROR(IF(tblPiNAnalysis[[#This Row],[CP]]="", "", MROUND(tblPiNAnalysis[[#This Row],[CP]]/tblPiNAnalysis[[#This Row],[Total Population]], 0.05)), "")</f>
        <v/>
      </c>
      <c r="AC124" s="314" t="str">
        <f>IFERROR(IF(tblPiNAnalysis[[#This Row],[GBV]]="", "", MROUND(tblPiNAnalysis[[#This Row],[GBV]]/tblPiNAnalysis[[#This Row],[Total Population]], 0.05)), "")</f>
        <v/>
      </c>
      <c r="AD124" s="314" t="str">
        <f>IFERROR(IF(tblPiNAnalysis[[#This Row],[Mine Action]]="", "", MROUND(tblPiNAnalysis[[#This Row],[Mine Action]]/tblPiNAnalysis[[#This Row],[Total Population]], 0.05)), "")</f>
        <v/>
      </c>
      <c r="AE124" s="314" t="str">
        <f>IFERROR(IF(tblPiNAnalysis[[#This Row],[General Protection]]="", "", MROUND(tblPiNAnalysis[[#This Row],[General Protection]]/tblPiNAnalysis[[#This Row],[Total Population]], 0.05)), "")</f>
        <v/>
      </c>
      <c r="AF124" s="319">
        <f>IFERROR(LARGE(tblPiNAnalysis[[#This Row],[Site Management ]:[General Protection]], 1), "")</f>
        <v>0</v>
      </c>
      <c r="AG124" s="320" t="e">
        <f>IF(tblPiNAnalysis[[#This Row],[Highest PiN]]="", "",tblPiNAnalysis[[#This Row],[Highest PiN]]/ tblPiNAnalysis[[#This Row],[Total Population]])</f>
        <v>#DIV/0!</v>
      </c>
      <c r="AH124" s="320" t="str">
        <f>IFERROR(IF(tblPiNAnalysis[[#This Row],[Highest PiN]]="", "", IF(tblPiNAnalysis[[#This Row],[Highest sector(s'') PiN %]]&gt;=flag_pin_perc, "Flagged", "")), "")</f>
        <v/>
      </c>
      <c r="AI124" s="321"/>
      <c r="AJ124" s="322"/>
      <c r="AK124" s="323">
        <f>COUNTIFS(tblPiNAnalysis[[#This Row],[Highest PiN greater than 90% of total affected population]:[Manual Flag]],"Flagged")</f>
        <v>0</v>
      </c>
      <c r="AL124" s="324" t="str">
        <f>IF(tblPiNAnalysis[[#This Row],['# Flags]]&gt;0, "Flagged", "")</f>
        <v/>
      </c>
    </row>
    <row r="125" spans="1:38" ht="23.1" hidden="1" customHeight="1" x14ac:dyDescent="0.2">
      <c r="A125" s="309" t="str">
        <f>_xlfn.CONCAT(IF(tblPiNAnalysis[[#This Row],[Population Group]]="", "",tblPiNAnalysis[[#This Row],[Population Group]] ), _xlfn.IFS(tblPiNAnalysis[[#This Row],[Admin 2 P-Code]]&lt;&gt;"", tblPiNAnalysis[[#This Row],[Admin 2 P-Code]], tblPiNAnalysis[[#This Row],[Admin 1 P-Code]]&lt;&gt;"", tblPiNAnalysis[[#This Row],[Admin 1 P-Code]]))</f>
        <v>IDPsSD03162</v>
      </c>
      <c r="B125" s="245" t="s">
        <v>185</v>
      </c>
      <c r="C125" s="246" t="s">
        <v>120</v>
      </c>
      <c r="D125" s="247" t="s">
        <v>265</v>
      </c>
      <c r="E125" s="246" t="s">
        <v>264</v>
      </c>
      <c r="F125" s="248">
        <v>473048</v>
      </c>
      <c r="G125" s="248" t="s">
        <v>88</v>
      </c>
      <c r="H125" s="310"/>
      <c r="I125" s="311"/>
      <c r="J125" s="312"/>
      <c r="K125" s="311"/>
      <c r="L125" s="311"/>
      <c r="M125" s="312"/>
      <c r="N125" s="312">
        <f>_xlfn.XLOOKUP(CONCATENATE(tblPiNAnalysis[[#This Row],[Admin 2 P-Code]],tblPiNAnalysis[[#This Row],[Population Group]]),'Overall severity &amp; PIN Analysis'!A:A,'Overall severity &amp; PIN Analysis'!P:P,0,0)</f>
        <v>319611</v>
      </c>
      <c r="O125" s="311"/>
      <c r="P125" s="312"/>
      <c r="Q125" s="312"/>
      <c r="R125" s="312"/>
      <c r="S125" s="312"/>
      <c r="T125" s="313" t="str">
        <f>IF(tblPiNAnalysis[[#This Row],[Site Management ]]="", "", tblPiNAnalysis[[#This Row],[Site Management ]]/tblPiNAnalysis[[#This Row],[Total Population]])</f>
        <v/>
      </c>
      <c r="U125" s="314" t="str">
        <f>IF(tblPiNAnalysis[[#This Row],[Education]]="", "", tblPiNAnalysis[[#This Row],[Education]]/tblPiNAnalysis[[#This Row],[Total Population]])</f>
        <v/>
      </c>
      <c r="V125" s="314" t="str">
        <f>IF(tblPiNAnalysis[[#This Row],[Food Security and Livlihoods]]="", "", tblPiNAnalysis[[#This Row],[Food Security and Livlihoods]]/tblPiNAnalysis[[#This Row],[Total Population]])</f>
        <v/>
      </c>
      <c r="W125" s="315" t="str">
        <f>IF(tblPiNAnalysis[[#This Row],[Health ]]="", "", tblPiNAnalysis[[#This Row],[Health ]]/tblPiNAnalysis[[#This Row],[Total Population]])</f>
        <v/>
      </c>
      <c r="X125" s="314" t="str">
        <f>IF(tblPiNAnalysis[[#This Row],[Nutrition]]="", "", tblPiNAnalysis[[#This Row],[Nutrition]]/tblPiNAnalysis[[#This Row],[Total Population]])</f>
        <v/>
      </c>
      <c r="Y125" s="314" t="str">
        <f>IF(tblPiNAnalysis[[#This Row],[Protection]]="", "", tblPiNAnalysis[[#This Row],[Protection]]/tblPiNAnalysis[[#This Row],[Total Population]])</f>
        <v/>
      </c>
      <c r="Z125" s="316">
        <f>IF(tblPiNAnalysis[[#This Row],[Shelter NFI ]]="", "", tblPiNAnalysis[[#This Row],[Shelter NFI ]]/tblPiNAnalysis[[#This Row],[Total Population]])</f>
        <v>0.67564179533577984</v>
      </c>
      <c r="AA125" s="317" t="str">
        <f>IF(tblPiNAnalysis[[#This Row],[WASH]]="", "", tblPiNAnalysis[[#This Row],[WASH]]/tblPiNAnalysis[[#This Row],[Total Population]])</f>
        <v/>
      </c>
      <c r="AB125" s="318" t="str">
        <f>IFERROR(IF(tblPiNAnalysis[[#This Row],[CP]]="", "", MROUND(tblPiNAnalysis[[#This Row],[CP]]/tblPiNAnalysis[[#This Row],[Total Population]], 0.05)), "")</f>
        <v/>
      </c>
      <c r="AC125" s="314" t="str">
        <f>IFERROR(IF(tblPiNAnalysis[[#This Row],[GBV]]="", "", MROUND(tblPiNAnalysis[[#This Row],[GBV]]/tblPiNAnalysis[[#This Row],[Total Population]], 0.05)), "")</f>
        <v/>
      </c>
      <c r="AD125" s="314" t="str">
        <f>IFERROR(IF(tblPiNAnalysis[[#This Row],[Mine Action]]="", "", MROUND(tblPiNAnalysis[[#This Row],[Mine Action]]/tblPiNAnalysis[[#This Row],[Total Population]], 0.05)), "")</f>
        <v/>
      </c>
      <c r="AE125" s="314" t="str">
        <f>IFERROR(IF(tblPiNAnalysis[[#This Row],[General Protection]]="", "", MROUND(tblPiNAnalysis[[#This Row],[General Protection]]/tblPiNAnalysis[[#This Row],[Total Population]], 0.05)), "")</f>
        <v/>
      </c>
      <c r="AF125" s="319">
        <f>IFERROR(LARGE(tblPiNAnalysis[[#This Row],[Site Management ]:[General Protection]], 1), "")</f>
        <v>319611</v>
      </c>
      <c r="AG125" s="320">
        <f>IF(tblPiNAnalysis[[#This Row],[Highest PiN]]="", "",tblPiNAnalysis[[#This Row],[Highest PiN]]/ tblPiNAnalysis[[#This Row],[Total Population]])</f>
        <v>0.67564179533577984</v>
      </c>
      <c r="AH125" s="320" t="str">
        <f>IFERROR(IF(tblPiNAnalysis[[#This Row],[Highest PiN]]="", "", IF(tblPiNAnalysis[[#This Row],[Highest sector(s'') PiN %]]&gt;=flag_pin_perc, "Flagged", "")), "")</f>
        <v/>
      </c>
      <c r="AI125" s="321"/>
      <c r="AJ125" s="322"/>
      <c r="AK125" s="323">
        <f>COUNTIFS(tblPiNAnalysis[[#This Row],[Highest PiN greater than 90% of total affected population]:[Manual Flag]],"Flagged")</f>
        <v>0</v>
      </c>
      <c r="AL125" s="324" t="str">
        <f>IF(tblPiNAnalysis[[#This Row],['# Flags]]&gt;0, "Flagged", "")</f>
        <v/>
      </c>
    </row>
    <row r="126" spans="1:38" ht="23.1" customHeight="1" x14ac:dyDescent="0.2">
      <c r="A126" s="309" t="str">
        <f>_xlfn.CONCAT(IF(tblPiNAnalysis[[#This Row],[Population Group]]="", "",tblPiNAnalysis[[#This Row],[Population Group]] ), _xlfn.IFS(tblPiNAnalysis[[#This Row],[Admin 2 P-Code]]&lt;&gt;"", tblPiNAnalysis[[#This Row],[Admin 2 P-Code]], tblPiNAnalysis[[#This Row],[Admin 1 P-Code]]&lt;&gt;"", tblPiNAnalysis[[#This Row],[Admin 1 P-Code]]))</f>
        <v>Non-hosting PopulationSD03162</v>
      </c>
      <c r="B126" s="245" t="s">
        <v>185</v>
      </c>
      <c r="C126" s="246" t="s">
        <v>120</v>
      </c>
      <c r="D126" s="247" t="s">
        <v>265</v>
      </c>
      <c r="E126" s="246" t="s">
        <v>264</v>
      </c>
      <c r="F126" s="248">
        <v>0</v>
      </c>
      <c r="G126" s="248" t="s">
        <v>568</v>
      </c>
      <c r="H126" s="310"/>
      <c r="I126" s="311"/>
      <c r="J126" s="312"/>
      <c r="K126" s="311"/>
      <c r="L126" s="311"/>
      <c r="M126" s="312"/>
      <c r="N126" s="312">
        <f>_xlfn.XLOOKUP(CONCATENATE(tblPiNAnalysis[[#This Row],[Admin 2 P-Code]],tblPiNAnalysis[[#This Row],[Population Group]]),'Overall severity &amp; PIN Analysis'!A:A,'Overall severity &amp; PIN Analysis'!P:P,0,0)</f>
        <v>0</v>
      </c>
      <c r="O126" s="311"/>
      <c r="P126" s="312"/>
      <c r="Q126" s="312"/>
      <c r="R126" s="312"/>
      <c r="S126" s="312"/>
      <c r="T126" s="313" t="str">
        <f>IF(tblPiNAnalysis[[#This Row],[Site Management ]]="", "", tblPiNAnalysis[[#This Row],[Site Management ]]/tblPiNAnalysis[[#This Row],[Total Population]])</f>
        <v/>
      </c>
      <c r="U126" s="314" t="str">
        <f>IF(tblPiNAnalysis[[#This Row],[Education]]="", "", tblPiNAnalysis[[#This Row],[Education]]/tblPiNAnalysis[[#This Row],[Total Population]])</f>
        <v/>
      </c>
      <c r="V126" s="314" t="str">
        <f>IF(tblPiNAnalysis[[#This Row],[Food Security and Livlihoods]]="", "", tblPiNAnalysis[[#This Row],[Food Security and Livlihoods]]/tblPiNAnalysis[[#This Row],[Total Population]])</f>
        <v/>
      </c>
      <c r="W126" s="315" t="str">
        <f>IF(tblPiNAnalysis[[#This Row],[Health ]]="", "", tblPiNAnalysis[[#This Row],[Health ]]/tblPiNAnalysis[[#This Row],[Total Population]])</f>
        <v/>
      </c>
      <c r="X126" s="314" t="str">
        <f>IF(tblPiNAnalysis[[#This Row],[Nutrition]]="", "", tblPiNAnalysis[[#This Row],[Nutrition]]/tblPiNAnalysis[[#This Row],[Total Population]])</f>
        <v/>
      </c>
      <c r="Y126" s="314" t="str">
        <f>IF(tblPiNAnalysis[[#This Row],[Protection]]="", "", tblPiNAnalysis[[#This Row],[Protection]]/tblPiNAnalysis[[#This Row],[Total Population]])</f>
        <v/>
      </c>
      <c r="Z126" s="316" t="e">
        <f>IF(tblPiNAnalysis[[#This Row],[Shelter NFI ]]="", "", tblPiNAnalysis[[#This Row],[Shelter NFI ]]/tblPiNAnalysis[[#This Row],[Total Population]])</f>
        <v>#DIV/0!</v>
      </c>
      <c r="AA126" s="317" t="str">
        <f>IF(tblPiNAnalysis[[#This Row],[WASH]]="", "", tblPiNAnalysis[[#This Row],[WASH]]/tblPiNAnalysis[[#This Row],[Total Population]])</f>
        <v/>
      </c>
      <c r="AB126" s="318" t="str">
        <f>IFERROR(IF(tblPiNAnalysis[[#This Row],[CP]]="", "", MROUND(tblPiNAnalysis[[#This Row],[CP]]/tblPiNAnalysis[[#This Row],[Total Population]], 0.05)), "")</f>
        <v/>
      </c>
      <c r="AC126" s="314" t="str">
        <f>IFERROR(IF(tblPiNAnalysis[[#This Row],[GBV]]="", "", MROUND(tblPiNAnalysis[[#This Row],[GBV]]/tblPiNAnalysis[[#This Row],[Total Population]], 0.05)), "")</f>
        <v/>
      </c>
      <c r="AD126" s="314" t="str">
        <f>IFERROR(IF(tblPiNAnalysis[[#This Row],[Mine Action]]="", "", MROUND(tblPiNAnalysis[[#This Row],[Mine Action]]/tblPiNAnalysis[[#This Row],[Total Population]], 0.05)), "")</f>
        <v/>
      </c>
      <c r="AE126" s="314" t="str">
        <f>IFERROR(IF(tblPiNAnalysis[[#This Row],[General Protection]]="", "", MROUND(tblPiNAnalysis[[#This Row],[General Protection]]/tblPiNAnalysis[[#This Row],[Total Population]], 0.05)), "")</f>
        <v/>
      </c>
      <c r="AF126" s="319">
        <f>IFERROR(LARGE(tblPiNAnalysis[[#This Row],[Site Management ]:[General Protection]], 1), "")</f>
        <v>0</v>
      </c>
      <c r="AG126" s="320" t="e">
        <f>IF(tblPiNAnalysis[[#This Row],[Highest PiN]]="", "",tblPiNAnalysis[[#This Row],[Highest PiN]]/ tblPiNAnalysis[[#This Row],[Total Population]])</f>
        <v>#DIV/0!</v>
      </c>
      <c r="AH126" s="320" t="str">
        <f>IFERROR(IF(tblPiNAnalysis[[#This Row],[Highest PiN]]="", "", IF(tblPiNAnalysis[[#This Row],[Highest sector(s'') PiN %]]&gt;=flag_pin_perc, "Flagged", "")), "")</f>
        <v/>
      </c>
      <c r="AI126" s="321"/>
      <c r="AJ126" s="322"/>
      <c r="AK126" s="323">
        <f>COUNTIFS(tblPiNAnalysis[[#This Row],[Highest PiN greater than 90% of total affected population]:[Manual Flag]],"Flagged")</f>
        <v>0</v>
      </c>
      <c r="AL126" s="324" t="str">
        <f>IF(tblPiNAnalysis[[#This Row],['# Flags]]&gt;0, "Flagged", "")</f>
        <v/>
      </c>
    </row>
    <row r="127" spans="1:38" ht="23.1" hidden="1" customHeight="1" x14ac:dyDescent="0.2">
      <c r="A127" s="309" t="str">
        <f>_xlfn.CONCAT(IF(tblPiNAnalysis[[#This Row],[Population Group]]="", "",tblPiNAnalysis[[#This Row],[Population Group]] ), _xlfn.IFS(tblPiNAnalysis[[#This Row],[Admin 2 P-Code]]&lt;&gt;"", tblPiNAnalysis[[#This Row],[Admin 2 P-Code]], tblPiNAnalysis[[#This Row],[Admin 1 P-Code]]&lt;&gt;"", tblPiNAnalysis[[#This Row],[Admin 1 P-Code]]))</f>
        <v>Host CommunitySD03164</v>
      </c>
      <c r="B127" s="245" t="s">
        <v>185</v>
      </c>
      <c r="C127" s="246" t="s">
        <v>120</v>
      </c>
      <c r="D127" s="247" t="s">
        <v>267</v>
      </c>
      <c r="E127" s="246" t="s">
        <v>266</v>
      </c>
      <c r="F127" s="248">
        <v>167630</v>
      </c>
      <c r="G127" s="248" t="s">
        <v>87</v>
      </c>
      <c r="H127" s="310"/>
      <c r="I127" s="311"/>
      <c r="J127" s="312"/>
      <c r="K127" s="311"/>
      <c r="L127" s="311"/>
      <c r="M127" s="312"/>
      <c r="N127" s="312">
        <f>_xlfn.XLOOKUP(CONCATENATE(tblPiNAnalysis[[#This Row],[Admin 2 P-Code]],tblPiNAnalysis[[#This Row],[Population Group]]),'Overall severity &amp; PIN Analysis'!A:A,'Overall severity &amp; PIN Analysis'!P:P,0,0)</f>
        <v>121625</v>
      </c>
      <c r="O127" s="311"/>
      <c r="P127" s="312"/>
      <c r="Q127" s="312"/>
      <c r="R127" s="312"/>
      <c r="S127" s="312"/>
      <c r="T127" s="313" t="str">
        <f>IF(tblPiNAnalysis[[#This Row],[Site Management ]]="", "", tblPiNAnalysis[[#This Row],[Site Management ]]/tblPiNAnalysis[[#This Row],[Total Population]])</f>
        <v/>
      </c>
      <c r="U127" s="314" t="str">
        <f>IF(tblPiNAnalysis[[#This Row],[Education]]="", "", tblPiNAnalysis[[#This Row],[Education]]/tblPiNAnalysis[[#This Row],[Total Population]])</f>
        <v/>
      </c>
      <c r="V127" s="314" t="str">
        <f>IF(tblPiNAnalysis[[#This Row],[Food Security and Livlihoods]]="", "", tblPiNAnalysis[[#This Row],[Food Security and Livlihoods]]/tblPiNAnalysis[[#This Row],[Total Population]])</f>
        <v/>
      </c>
      <c r="W127" s="315" t="str">
        <f>IF(tblPiNAnalysis[[#This Row],[Health ]]="", "", tblPiNAnalysis[[#This Row],[Health ]]/tblPiNAnalysis[[#This Row],[Total Population]])</f>
        <v/>
      </c>
      <c r="X127" s="314" t="str">
        <f>IF(tblPiNAnalysis[[#This Row],[Nutrition]]="", "", tblPiNAnalysis[[#This Row],[Nutrition]]/tblPiNAnalysis[[#This Row],[Total Population]])</f>
        <v/>
      </c>
      <c r="Y127" s="314" t="str">
        <f>IF(tblPiNAnalysis[[#This Row],[Protection]]="", "", tblPiNAnalysis[[#This Row],[Protection]]/tblPiNAnalysis[[#This Row],[Total Population]])</f>
        <v/>
      </c>
      <c r="Z127" s="316">
        <f>IF(tblPiNAnalysis[[#This Row],[Shelter NFI ]]="", "", tblPiNAnalysis[[#This Row],[Shelter NFI ]]/tblPiNAnalysis[[#This Row],[Total Population]])</f>
        <v>0.72555628467458089</v>
      </c>
      <c r="AA127" s="317" t="str">
        <f>IF(tblPiNAnalysis[[#This Row],[WASH]]="", "", tblPiNAnalysis[[#This Row],[WASH]]/tblPiNAnalysis[[#This Row],[Total Population]])</f>
        <v/>
      </c>
      <c r="AB127" s="318" t="str">
        <f>IFERROR(IF(tblPiNAnalysis[[#This Row],[CP]]="", "", MROUND(tblPiNAnalysis[[#This Row],[CP]]/tblPiNAnalysis[[#This Row],[Total Population]], 0.05)), "")</f>
        <v/>
      </c>
      <c r="AC127" s="314" t="str">
        <f>IFERROR(IF(tblPiNAnalysis[[#This Row],[GBV]]="", "", MROUND(tblPiNAnalysis[[#This Row],[GBV]]/tblPiNAnalysis[[#This Row],[Total Population]], 0.05)), "")</f>
        <v/>
      </c>
      <c r="AD127" s="314" t="str">
        <f>IFERROR(IF(tblPiNAnalysis[[#This Row],[Mine Action]]="", "", MROUND(tblPiNAnalysis[[#This Row],[Mine Action]]/tblPiNAnalysis[[#This Row],[Total Population]], 0.05)), "")</f>
        <v/>
      </c>
      <c r="AE127" s="314" t="str">
        <f>IFERROR(IF(tblPiNAnalysis[[#This Row],[General Protection]]="", "", MROUND(tblPiNAnalysis[[#This Row],[General Protection]]/tblPiNAnalysis[[#This Row],[Total Population]], 0.05)), "")</f>
        <v/>
      </c>
      <c r="AF127" s="319">
        <f>IFERROR(LARGE(tblPiNAnalysis[[#This Row],[Site Management ]:[General Protection]], 1), "")</f>
        <v>121625</v>
      </c>
      <c r="AG127" s="320">
        <f>IF(tblPiNAnalysis[[#This Row],[Highest PiN]]="", "",tblPiNAnalysis[[#This Row],[Highest PiN]]/ tblPiNAnalysis[[#This Row],[Total Population]])</f>
        <v>0.72555628467458089</v>
      </c>
      <c r="AH127" s="320" t="str">
        <f>IFERROR(IF(tblPiNAnalysis[[#This Row],[Highest PiN]]="", "", IF(tblPiNAnalysis[[#This Row],[Highest sector(s'') PiN %]]&gt;=flag_pin_perc, "Flagged", "")), "")</f>
        <v/>
      </c>
      <c r="AI127" s="321"/>
      <c r="AJ127" s="322"/>
      <c r="AK127" s="323">
        <f>COUNTIFS(tblPiNAnalysis[[#This Row],[Highest PiN greater than 90% of total affected population]:[Manual Flag]],"Flagged")</f>
        <v>0</v>
      </c>
      <c r="AL127" s="324" t="str">
        <f>IF(tblPiNAnalysis[[#This Row],['# Flags]]&gt;0, "Flagged", "")</f>
        <v/>
      </c>
    </row>
    <row r="128" spans="1:38" ht="23.1" hidden="1" customHeight="1" x14ac:dyDescent="0.2">
      <c r="A128" s="309" t="str">
        <f>_xlfn.CONCAT(IF(tblPiNAnalysis[[#This Row],[Population Group]]="", "",tblPiNAnalysis[[#This Row],[Population Group]] ), _xlfn.IFS(tblPiNAnalysis[[#This Row],[Admin 2 P-Code]]&lt;&gt;"", tblPiNAnalysis[[#This Row],[Admin 2 P-Code]], tblPiNAnalysis[[#This Row],[Admin 1 P-Code]]&lt;&gt;"", tblPiNAnalysis[[#This Row],[Admin 1 P-Code]]))</f>
        <v>IDPsSD03164</v>
      </c>
      <c r="B128" s="245" t="s">
        <v>185</v>
      </c>
      <c r="C128" s="246" t="s">
        <v>120</v>
      </c>
      <c r="D128" s="247" t="s">
        <v>267</v>
      </c>
      <c r="E128" s="246" t="s">
        <v>266</v>
      </c>
      <c r="F128" s="248">
        <v>327705</v>
      </c>
      <c r="G128" s="248" t="s">
        <v>88</v>
      </c>
      <c r="H128" s="310"/>
      <c r="I128" s="311"/>
      <c r="J128" s="312"/>
      <c r="K128" s="311"/>
      <c r="L128" s="311"/>
      <c r="M128" s="312"/>
      <c r="N128" s="312">
        <f>_xlfn.XLOOKUP(CONCATENATE(tblPiNAnalysis[[#This Row],[Admin 2 P-Code]],tblPiNAnalysis[[#This Row],[Population Group]]),'Overall severity &amp; PIN Analysis'!A:A,'Overall severity &amp; PIN Analysis'!P:P,0,0)</f>
        <v>237768</v>
      </c>
      <c r="O128" s="311"/>
      <c r="P128" s="312"/>
      <c r="Q128" s="312"/>
      <c r="R128" s="312"/>
      <c r="S128" s="312"/>
      <c r="T128" s="313" t="str">
        <f>IF(tblPiNAnalysis[[#This Row],[Site Management ]]="", "", tblPiNAnalysis[[#This Row],[Site Management ]]/tblPiNAnalysis[[#This Row],[Total Population]])</f>
        <v/>
      </c>
      <c r="U128" s="314" t="str">
        <f>IF(tblPiNAnalysis[[#This Row],[Education]]="", "", tblPiNAnalysis[[#This Row],[Education]]/tblPiNAnalysis[[#This Row],[Total Population]])</f>
        <v/>
      </c>
      <c r="V128" s="314" t="str">
        <f>IF(tblPiNAnalysis[[#This Row],[Food Security and Livlihoods]]="", "", tblPiNAnalysis[[#This Row],[Food Security and Livlihoods]]/tblPiNAnalysis[[#This Row],[Total Population]])</f>
        <v/>
      </c>
      <c r="W128" s="315" t="str">
        <f>IF(tblPiNAnalysis[[#This Row],[Health ]]="", "", tblPiNAnalysis[[#This Row],[Health ]]/tblPiNAnalysis[[#This Row],[Total Population]])</f>
        <v/>
      </c>
      <c r="X128" s="314" t="str">
        <f>IF(tblPiNAnalysis[[#This Row],[Nutrition]]="", "", tblPiNAnalysis[[#This Row],[Nutrition]]/tblPiNAnalysis[[#This Row],[Total Population]])</f>
        <v/>
      </c>
      <c r="Y128" s="314" t="str">
        <f>IF(tblPiNAnalysis[[#This Row],[Protection]]="", "", tblPiNAnalysis[[#This Row],[Protection]]/tblPiNAnalysis[[#This Row],[Total Population]])</f>
        <v/>
      </c>
      <c r="Z128" s="316">
        <f>IF(tblPiNAnalysis[[#This Row],[Shelter NFI ]]="", "", tblPiNAnalysis[[#This Row],[Shelter NFI ]]/tblPiNAnalysis[[#This Row],[Total Population]])</f>
        <v>0.72555499610930563</v>
      </c>
      <c r="AA128" s="317" t="str">
        <f>IF(tblPiNAnalysis[[#This Row],[WASH]]="", "", tblPiNAnalysis[[#This Row],[WASH]]/tblPiNAnalysis[[#This Row],[Total Population]])</f>
        <v/>
      </c>
      <c r="AB128" s="318" t="str">
        <f>IFERROR(IF(tblPiNAnalysis[[#This Row],[CP]]="", "", MROUND(tblPiNAnalysis[[#This Row],[CP]]/tblPiNAnalysis[[#This Row],[Total Population]], 0.05)), "")</f>
        <v/>
      </c>
      <c r="AC128" s="314" t="str">
        <f>IFERROR(IF(tblPiNAnalysis[[#This Row],[GBV]]="", "", MROUND(tblPiNAnalysis[[#This Row],[GBV]]/tblPiNAnalysis[[#This Row],[Total Population]], 0.05)), "")</f>
        <v/>
      </c>
      <c r="AD128" s="314" t="str">
        <f>IFERROR(IF(tblPiNAnalysis[[#This Row],[Mine Action]]="", "", MROUND(tblPiNAnalysis[[#This Row],[Mine Action]]/tblPiNAnalysis[[#This Row],[Total Population]], 0.05)), "")</f>
        <v/>
      </c>
      <c r="AE128" s="314" t="str">
        <f>IFERROR(IF(tblPiNAnalysis[[#This Row],[General Protection]]="", "", MROUND(tblPiNAnalysis[[#This Row],[General Protection]]/tblPiNAnalysis[[#This Row],[Total Population]], 0.05)), "")</f>
        <v/>
      </c>
      <c r="AF128" s="319">
        <f>IFERROR(LARGE(tblPiNAnalysis[[#This Row],[Site Management ]:[General Protection]], 1), "")</f>
        <v>237768</v>
      </c>
      <c r="AG128" s="320">
        <f>IF(tblPiNAnalysis[[#This Row],[Highest PiN]]="", "",tblPiNAnalysis[[#This Row],[Highest PiN]]/ tblPiNAnalysis[[#This Row],[Total Population]])</f>
        <v>0.72555499610930563</v>
      </c>
      <c r="AH128" s="320" t="str">
        <f>IFERROR(IF(tblPiNAnalysis[[#This Row],[Highest PiN]]="", "", IF(tblPiNAnalysis[[#This Row],[Highest sector(s'') PiN %]]&gt;=flag_pin_perc, "Flagged", "")), "")</f>
        <v/>
      </c>
      <c r="AI128" s="321"/>
      <c r="AJ128" s="322"/>
      <c r="AK128" s="323">
        <f>COUNTIFS(tblPiNAnalysis[[#This Row],[Highest PiN greater than 90% of total affected population]:[Manual Flag]],"Flagged")</f>
        <v>0</v>
      </c>
      <c r="AL128" s="324" t="str">
        <f>IF(tblPiNAnalysis[[#This Row],['# Flags]]&gt;0, "Flagged", "")</f>
        <v/>
      </c>
    </row>
    <row r="129" spans="1:38" ht="23.1" customHeight="1" x14ac:dyDescent="0.2">
      <c r="A129" s="309" t="str">
        <f>_xlfn.CONCAT(IF(tblPiNAnalysis[[#This Row],[Population Group]]="", "",tblPiNAnalysis[[#This Row],[Population Group]] ), _xlfn.IFS(tblPiNAnalysis[[#This Row],[Admin 2 P-Code]]&lt;&gt;"", tblPiNAnalysis[[#This Row],[Admin 2 P-Code]], tblPiNAnalysis[[#This Row],[Admin 1 P-Code]]&lt;&gt;"", tblPiNAnalysis[[#This Row],[Admin 1 P-Code]]))</f>
        <v>Non-hosting PopulationSD03164</v>
      </c>
      <c r="B129" s="245" t="s">
        <v>185</v>
      </c>
      <c r="C129" s="246" t="s">
        <v>120</v>
      </c>
      <c r="D129" s="247" t="s">
        <v>267</v>
      </c>
      <c r="E129" s="246" t="s">
        <v>266</v>
      </c>
      <c r="F129" s="248">
        <v>0</v>
      </c>
      <c r="G129" s="248" t="s">
        <v>568</v>
      </c>
      <c r="H129" s="310"/>
      <c r="I129" s="311"/>
      <c r="J129" s="312"/>
      <c r="K129" s="311"/>
      <c r="L129" s="311"/>
      <c r="M129" s="312"/>
      <c r="N129" s="312">
        <f>_xlfn.XLOOKUP(CONCATENATE(tblPiNAnalysis[[#This Row],[Admin 2 P-Code]],tblPiNAnalysis[[#This Row],[Population Group]]),'Overall severity &amp; PIN Analysis'!A:A,'Overall severity &amp; PIN Analysis'!P:P,0,0)</f>
        <v>0</v>
      </c>
      <c r="O129" s="311"/>
      <c r="P129" s="312"/>
      <c r="Q129" s="312"/>
      <c r="R129" s="312"/>
      <c r="S129" s="312"/>
      <c r="T129" s="313" t="str">
        <f>IF(tblPiNAnalysis[[#This Row],[Site Management ]]="", "", tblPiNAnalysis[[#This Row],[Site Management ]]/tblPiNAnalysis[[#This Row],[Total Population]])</f>
        <v/>
      </c>
      <c r="U129" s="314" t="str">
        <f>IF(tblPiNAnalysis[[#This Row],[Education]]="", "", tblPiNAnalysis[[#This Row],[Education]]/tblPiNAnalysis[[#This Row],[Total Population]])</f>
        <v/>
      </c>
      <c r="V129" s="314" t="str">
        <f>IF(tblPiNAnalysis[[#This Row],[Food Security and Livlihoods]]="", "", tblPiNAnalysis[[#This Row],[Food Security and Livlihoods]]/tblPiNAnalysis[[#This Row],[Total Population]])</f>
        <v/>
      </c>
      <c r="W129" s="315" t="str">
        <f>IF(tblPiNAnalysis[[#This Row],[Health ]]="", "", tblPiNAnalysis[[#This Row],[Health ]]/tblPiNAnalysis[[#This Row],[Total Population]])</f>
        <v/>
      </c>
      <c r="X129" s="314" t="str">
        <f>IF(tblPiNAnalysis[[#This Row],[Nutrition]]="", "", tblPiNAnalysis[[#This Row],[Nutrition]]/tblPiNAnalysis[[#This Row],[Total Population]])</f>
        <v/>
      </c>
      <c r="Y129" s="314" t="str">
        <f>IF(tblPiNAnalysis[[#This Row],[Protection]]="", "", tblPiNAnalysis[[#This Row],[Protection]]/tblPiNAnalysis[[#This Row],[Total Population]])</f>
        <v/>
      </c>
      <c r="Z129" s="316" t="e">
        <f>IF(tblPiNAnalysis[[#This Row],[Shelter NFI ]]="", "", tblPiNAnalysis[[#This Row],[Shelter NFI ]]/tblPiNAnalysis[[#This Row],[Total Population]])</f>
        <v>#DIV/0!</v>
      </c>
      <c r="AA129" s="317" t="str">
        <f>IF(tblPiNAnalysis[[#This Row],[WASH]]="", "", tblPiNAnalysis[[#This Row],[WASH]]/tblPiNAnalysis[[#This Row],[Total Population]])</f>
        <v/>
      </c>
      <c r="AB129" s="318" t="str">
        <f>IFERROR(IF(tblPiNAnalysis[[#This Row],[CP]]="", "", MROUND(tblPiNAnalysis[[#This Row],[CP]]/tblPiNAnalysis[[#This Row],[Total Population]], 0.05)), "")</f>
        <v/>
      </c>
      <c r="AC129" s="314" t="str">
        <f>IFERROR(IF(tblPiNAnalysis[[#This Row],[GBV]]="", "", MROUND(tblPiNAnalysis[[#This Row],[GBV]]/tblPiNAnalysis[[#This Row],[Total Population]], 0.05)), "")</f>
        <v/>
      </c>
      <c r="AD129" s="314" t="str">
        <f>IFERROR(IF(tblPiNAnalysis[[#This Row],[Mine Action]]="", "", MROUND(tblPiNAnalysis[[#This Row],[Mine Action]]/tblPiNAnalysis[[#This Row],[Total Population]], 0.05)), "")</f>
        <v/>
      </c>
      <c r="AE129" s="314" t="str">
        <f>IFERROR(IF(tblPiNAnalysis[[#This Row],[General Protection]]="", "", MROUND(tblPiNAnalysis[[#This Row],[General Protection]]/tblPiNAnalysis[[#This Row],[Total Population]], 0.05)), "")</f>
        <v/>
      </c>
      <c r="AF129" s="319">
        <f>IFERROR(LARGE(tblPiNAnalysis[[#This Row],[Site Management ]:[General Protection]], 1), "")</f>
        <v>0</v>
      </c>
      <c r="AG129" s="320" t="e">
        <f>IF(tblPiNAnalysis[[#This Row],[Highest PiN]]="", "",tblPiNAnalysis[[#This Row],[Highest PiN]]/ tblPiNAnalysis[[#This Row],[Total Population]])</f>
        <v>#DIV/0!</v>
      </c>
      <c r="AH129" s="320" t="str">
        <f>IFERROR(IF(tblPiNAnalysis[[#This Row],[Highest PiN]]="", "", IF(tblPiNAnalysis[[#This Row],[Highest sector(s'') PiN %]]&gt;=flag_pin_perc, "Flagged", "")), "")</f>
        <v/>
      </c>
      <c r="AI129" s="321"/>
      <c r="AJ129" s="322"/>
      <c r="AK129" s="323">
        <f>COUNTIFS(tblPiNAnalysis[[#This Row],[Highest PiN greater than 90% of total affected population]:[Manual Flag]],"Flagged")</f>
        <v>0</v>
      </c>
      <c r="AL129" s="324" t="str">
        <f>IF(tblPiNAnalysis[[#This Row],['# Flags]]&gt;0, "Flagged", "")</f>
        <v/>
      </c>
    </row>
    <row r="130" spans="1:38" ht="23.1" hidden="1" customHeight="1" x14ac:dyDescent="0.2">
      <c r="A130" s="309" t="str">
        <f>_xlfn.CONCAT(IF(tblPiNAnalysis[[#This Row],[Population Group]]="", "",tblPiNAnalysis[[#This Row],[Population Group]] ), _xlfn.IFS(tblPiNAnalysis[[#This Row],[Admin 2 P-Code]]&lt;&gt;"", tblPiNAnalysis[[#This Row],[Admin 2 P-Code]], tblPiNAnalysis[[#This Row],[Admin 1 P-Code]]&lt;&gt;"", tblPiNAnalysis[[#This Row],[Admin 1 P-Code]]))</f>
        <v>Host CommunitySD03166</v>
      </c>
      <c r="B130" s="245" t="s">
        <v>185</v>
      </c>
      <c r="C130" s="246" t="s">
        <v>120</v>
      </c>
      <c r="D130" s="247" t="s">
        <v>269</v>
      </c>
      <c r="E130" s="246" t="s">
        <v>268</v>
      </c>
      <c r="F130" s="248">
        <v>16250</v>
      </c>
      <c r="G130" s="248" t="s">
        <v>87</v>
      </c>
      <c r="H130" s="310"/>
      <c r="I130" s="311"/>
      <c r="J130" s="312"/>
      <c r="K130" s="311"/>
      <c r="L130" s="311"/>
      <c r="M130" s="312"/>
      <c r="N130" s="312">
        <f>_xlfn.XLOOKUP(CONCATENATE(tblPiNAnalysis[[#This Row],[Admin 2 P-Code]],tblPiNAnalysis[[#This Row],[Population Group]]),'Overall severity &amp; PIN Analysis'!A:A,'Overall severity &amp; PIN Analysis'!P:P,0,0)</f>
        <v>9865</v>
      </c>
      <c r="O130" s="311"/>
      <c r="P130" s="312"/>
      <c r="Q130" s="312"/>
      <c r="R130" s="312"/>
      <c r="S130" s="312"/>
      <c r="T130" s="313" t="str">
        <f>IF(tblPiNAnalysis[[#This Row],[Site Management ]]="", "", tblPiNAnalysis[[#This Row],[Site Management ]]/tblPiNAnalysis[[#This Row],[Total Population]])</f>
        <v/>
      </c>
      <c r="U130" s="314" t="str">
        <f>IF(tblPiNAnalysis[[#This Row],[Education]]="", "", tblPiNAnalysis[[#This Row],[Education]]/tblPiNAnalysis[[#This Row],[Total Population]])</f>
        <v/>
      </c>
      <c r="V130" s="314" t="str">
        <f>IF(tblPiNAnalysis[[#This Row],[Food Security and Livlihoods]]="", "", tblPiNAnalysis[[#This Row],[Food Security and Livlihoods]]/tblPiNAnalysis[[#This Row],[Total Population]])</f>
        <v/>
      </c>
      <c r="W130" s="315" t="str">
        <f>IF(tblPiNAnalysis[[#This Row],[Health ]]="", "", tblPiNAnalysis[[#This Row],[Health ]]/tblPiNAnalysis[[#This Row],[Total Population]])</f>
        <v/>
      </c>
      <c r="X130" s="314" t="str">
        <f>IF(tblPiNAnalysis[[#This Row],[Nutrition]]="", "", tblPiNAnalysis[[#This Row],[Nutrition]]/tblPiNAnalysis[[#This Row],[Total Population]])</f>
        <v/>
      </c>
      <c r="Y130" s="314" t="str">
        <f>IF(tblPiNAnalysis[[#This Row],[Protection]]="", "", tblPiNAnalysis[[#This Row],[Protection]]/tblPiNAnalysis[[#This Row],[Total Population]])</f>
        <v/>
      </c>
      <c r="Z130" s="316">
        <f>IF(tblPiNAnalysis[[#This Row],[Shelter NFI ]]="", "", tblPiNAnalysis[[#This Row],[Shelter NFI ]]/tblPiNAnalysis[[#This Row],[Total Population]])</f>
        <v>0.60707692307692307</v>
      </c>
      <c r="AA130" s="317" t="str">
        <f>IF(tblPiNAnalysis[[#This Row],[WASH]]="", "", tblPiNAnalysis[[#This Row],[WASH]]/tblPiNAnalysis[[#This Row],[Total Population]])</f>
        <v/>
      </c>
      <c r="AB130" s="318" t="str">
        <f>IFERROR(IF(tblPiNAnalysis[[#This Row],[CP]]="", "", MROUND(tblPiNAnalysis[[#This Row],[CP]]/tblPiNAnalysis[[#This Row],[Total Population]], 0.05)), "")</f>
        <v/>
      </c>
      <c r="AC130" s="314" t="str">
        <f>IFERROR(IF(tblPiNAnalysis[[#This Row],[GBV]]="", "", MROUND(tblPiNAnalysis[[#This Row],[GBV]]/tblPiNAnalysis[[#This Row],[Total Population]], 0.05)), "")</f>
        <v/>
      </c>
      <c r="AD130" s="314" t="str">
        <f>IFERROR(IF(tblPiNAnalysis[[#This Row],[Mine Action]]="", "", MROUND(tblPiNAnalysis[[#This Row],[Mine Action]]/tblPiNAnalysis[[#This Row],[Total Population]], 0.05)), "")</f>
        <v/>
      </c>
      <c r="AE130" s="314" t="str">
        <f>IFERROR(IF(tblPiNAnalysis[[#This Row],[General Protection]]="", "", MROUND(tblPiNAnalysis[[#This Row],[General Protection]]/tblPiNAnalysis[[#This Row],[Total Population]], 0.05)), "")</f>
        <v/>
      </c>
      <c r="AF130" s="319">
        <f>IFERROR(LARGE(tblPiNAnalysis[[#This Row],[Site Management ]:[General Protection]], 1), "")</f>
        <v>9865</v>
      </c>
      <c r="AG130" s="320">
        <f>IF(tblPiNAnalysis[[#This Row],[Highest PiN]]="", "",tblPiNAnalysis[[#This Row],[Highest PiN]]/ tblPiNAnalysis[[#This Row],[Total Population]])</f>
        <v>0.60707692307692307</v>
      </c>
      <c r="AH130" s="320" t="str">
        <f>IFERROR(IF(tblPiNAnalysis[[#This Row],[Highest PiN]]="", "", IF(tblPiNAnalysis[[#This Row],[Highest sector(s'') PiN %]]&gt;=flag_pin_perc, "Flagged", "")), "")</f>
        <v/>
      </c>
      <c r="AI130" s="321"/>
      <c r="AJ130" s="322"/>
      <c r="AK130" s="323">
        <f>COUNTIFS(tblPiNAnalysis[[#This Row],[Highest PiN greater than 90% of total affected population]:[Manual Flag]],"Flagged")</f>
        <v>0</v>
      </c>
      <c r="AL130" s="324" t="str">
        <f>IF(tblPiNAnalysis[[#This Row],['# Flags]]&gt;0, "Flagged", "")</f>
        <v/>
      </c>
    </row>
    <row r="131" spans="1:38" ht="23.1" hidden="1" customHeight="1" x14ac:dyDescent="0.2">
      <c r="A131" s="309" t="str">
        <f>_xlfn.CONCAT(IF(tblPiNAnalysis[[#This Row],[Population Group]]="", "",tblPiNAnalysis[[#This Row],[Population Group]] ), _xlfn.IFS(tblPiNAnalysis[[#This Row],[Admin 2 P-Code]]&lt;&gt;"", tblPiNAnalysis[[#This Row],[Admin 2 P-Code]], tblPiNAnalysis[[#This Row],[Admin 1 P-Code]]&lt;&gt;"", tblPiNAnalysis[[#This Row],[Admin 1 P-Code]]))</f>
        <v>IDPsSD03166</v>
      </c>
      <c r="B131" s="245" t="s">
        <v>185</v>
      </c>
      <c r="C131" s="246" t="s">
        <v>120</v>
      </c>
      <c r="D131" s="247" t="s">
        <v>269</v>
      </c>
      <c r="E131" s="246" t="s">
        <v>268</v>
      </c>
      <c r="F131" s="248">
        <v>16250</v>
      </c>
      <c r="G131" s="248" t="s">
        <v>88</v>
      </c>
      <c r="H131" s="310"/>
      <c r="I131" s="311"/>
      <c r="J131" s="312"/>
      <c r="K131" s="311"/>
      <c r="L131" s="311"/>
      <c r="M131" s="312"/>
      <c r="N131" s="312">
        <f>_xlfn.XLOOKUP(CONCATENATE(tblPiNAnalysis[[#This Row],[Admin 2 P-Code]],tblPiNAnalysis[[#This Row],[Population Group]]),'Overall severity &amp; PIN Analysis'!A:A,'Overall severity &amp; PIN Analysis'!P:P,0,0)</f>
        <v>9865</v>
      </c>
      <c r="O131" s="311"/>
      <c r="P131" s="312"/>
      <c r="Q131" s="312"/>
      <c r="R131" s="312"/>
      <c r="S131" s="312"/>
      <c r="T131" s="313" t="str">
        <f>IF(tblPiNAnalysis[[#This Row],[Site Management ]]="", "", tblPiNAnalysis[[#This Row],[Site Management ]]/tblPiNAnalysis[[#This Row],[Total Population]])</f>
        <v/>
      </c>
      <c r="U131" s="314" t="str">
        <f>IF(tblPiNAnalysis[[#This Row],[Education]]="", "", tblPiNAnalysis[[#This Row],[Education]]/tblPiNAnalysis[[#This Row],[Total Population]])</f>
        <v/>
      </c>
      <c r="V131" s="314" t="str">
        <f>IF(tblPiNAnalysis[[#This Row],[Food Security and Livlihoods]]="", "", tblPiNAnalysis[[#This Row],[Food Security and Livlihoods]]/tblPiNAnalysis[[#This Row],[Total Population]])</f>
        <v/>
      </c>
      <c r="W131" s="315" t="str">
        <f>IF(tblPiNAnalysis[[#This Row],[Health ]]="", "", tblPiNAnalysis[[#This Row],[Health ]]/tblPiNAnalysis[[#This Row],[Total Population]])</f>
        <v/>
      </c>
      <c r="X131" s="314" t="str">
        <f>IF(tblPiNAnalysis[[#This Row],[Nutrition]]="", "", tblPiNAnalysis[[#This Row],[Nutrition]]/tblPiNAnalysis[[#This Row],[Total Population]])</f>
        <v/>
      </c>
      <c r="Y131" s="314" t="str">
        <f>IF(tblPiNAnalysis[[#This Row],[Protection]]="", "", tblPiNAnalysis[[#This Row],[Protection]]/tblPiNAnalysis[[#This Row],[Total Population]])</f>
        <v/>
      </c>
      <c r="Z131" s="316">
        <f>IF(tblPiNAnalysis[[#This Row],[Shelter NFI ]]="", "", tblPiNAnalysis[[#This Row],[Shelter NFI ]]/tblPiNAnalysis[[#This Row],[Total Population]])</f>
        <v>0.60707692307692307</v>
      </c>
      <c r="AA131" s="317" t="str">
        <f>IF(tblPiNAnalysis[[#This Row],[WASH]]="", "", tblPiNAnalysis[[#This Row],[WASH]]/tblPiNAnalysis[[#This Row],[Total Population]])</f>
        <v/>
      </c>
      <c r="AB131" s="318" t="str">
        <f>IFERROR(IF(tblPiNAnalysis[[#This Row],[CP]]="", "", MROUND(tblPiNAnalysis[[#This Row],[CP]]/tblPiNAnalysis[[#This Row],[Total Population]], 0.05)), "")</f>
        <v/>
      </c>
      <c r="AC131" s="314" t="str">
        <f>IFERROR(IF(tblPiNAnalysis[[#This Row],[GBV]]="", "", MROUND(tblPiNAnalysis[[#This Row],[GBV]]/tblPiNAnalysis[[#This Row],[Total Population]], 0.05)), "")</f>
        <v/>
      </c>
      <c r="AD131" s="314" t="str">
        <f>IFERROR(IF(tblPiNAnalysis[[#This Row],[Mine Action]]="", "", MROUND(tblPiNAnalysis[[#This Row],[Mine Action]]/tblPiNAnalysis[[#This Row],[Total Population]], 0.05)), "")</f>
        <v/>
      </c>
      <c r="AE131" s="314" t="str">
        <f>IFERROR(IF(tblPiNAnalysis[[#This Row],[General Protection]]="", "", MROUND(tblPiNAnalysis[[#This Row],[General Protection]]/tblPiNAnalysis[[#This Row],[Total Population]], 0.05)), "")</f>
        <v/>
      </c>
      <c r="AF131" s="319">
        <f>IFERROR(LARGE(tblPiNAnalysis[[#This Row],[Site Management ]:[General Protection]], 1), "")</f>
        <v>9865</v>
      </c>
      <c r="AG131" s="320">
        <f>IF(tblPiNAnalysis[[#This Row],[Highest PiN]]="", "",tblPiNAnalysis[[#This Row],[Highest PiN]]/ tblPiNAnalysis[[#This Row],[Total Population]])</f>
        <v>0.60707692307692307</v>
      </c>
      <c r="AH131" s="320" t="str">
        <f>IFERROR(IF(tblPiNAnalysis[[#This Row],[Highest PiN]]="", "", IF(tblPiNAnalysis[[#This Row],[Highest sector(s'') PiN %]]&gt;=flag_pin_perc, "Flagged", "")), "")</f>
        <v/>
      </c>
      <c r="AI131" s="321"/>
      <c r="AJ131" s="322"/>
      <c r="AK131" s="323">
        <f>COUNTIFS(tblPiNAnalysis[[#This Row],[Highest PiN greater than 90% of total affected population]:[Manual Flag]],"Flagged")</f>
        <v>0</v>
      </c>
      <c r="AL131" s="324" t="str">
        <f>IF(tblPiNAnalysis[[#This Row],['# Flags]]&gt;0, "Flagged", "")</f>
        <v/>
      </c>
    </row>
    <row r="132" spans="1:38" ht="23.1" customHeight="1" x14ac:dyDescent="0.2">
      <c r="A132" s="309" t="str">
        <f>_xlfn.CONCAT(IF(tblPiNAnalysis[[#This Row],[Population Group]]="", "",tblPiNAnalysis[[#This Row],[Population Group]] ), _xlfn.IFS(tblPiNAnalysis[[#This Row],[Admin 2 P-Code]]&lt;&gt;"", tblPiNAnalysis[[#This Row],[Admin 2 P-Code]], tblPiNAnalysis[[#This Row],[Admin 1 P-Code]]&lt;&gt;"", tblPiNAnalysis[[#This Row],[Admin 1 P-Code]]))</f>
        <v>Non-hosting PopulationSD03166</v>
      </c>
      <c r="B132" s="245" t="s">
        <v>185</v>
      </c>
      <c r="C132" s="246" t="s">
        <v>120</v>
      </c>
      <c r="D132" s="247" t="s">
        <v>269</v>
      </c>
      <c r="E132" s="246" t="s">
        <v>268</v>
      </c>
      <c r="F132" s="248">
        <v>74097</v>
      </c>
      <c r="G132" s="248" t="s">
        <v>568</v>
      </c>
      <c r="H132" s="310"/>
      <c r="I132" s="311"/>
      <c r="J132" s="312"/>
      <c r="K132" s="311"/>
      <c r="L132" s="311"/>
      <c r="M132" s="312"/>
      <c r="N132" s="312">
        <f>_xlfn.XLOOKUP(CONCATENATE(tblPiNAnalysis[[#This Row],[Admin 2 P-Code]],tblPiNAnalysis[[#This Row],[Population Group]]),'Overall severity &amp; PIN Analysis'!A:A,'Overall severity &amp; PIN Analysis'!P:P,0,0)</f>
        <v>4037</v>
      </c>
      <c r="O132" s="311"/>
      <c r="P132" s="312"/>
      <c r="Q132" s="312"/>
      <c r="R132" s="312"/>
      <c r="S132" s="312"/>
      <c r="T132" s="313" t="str">
        <f>IF(tblPiNAnalysis[[#This Row],[Site Management ]]="", "", tblPiNAnalysis[[#This Row],[Site Management ]]/tblPiNAnalysis[[#This Row],[Total Population]])</f>
        <v/>
      </c>
      <c r="U132" s="314" t="str">
        <f>IF(tblPiNAnalysis[[#This Row],[Education]]="", "", tblPiNAnalysis[[#This Row],[Education]]/tblPiNAnalysis[[#This Row],[Total Population]])</f>
        <v/>
      </c>
      <c r="V132" s="314" t="str">
        <f>IF(tblPiNAnalysis[[#This Row],[Food Security and Livlihoods]]="", "", tblPiNAnalysis[[#This Row],[Food Security and Livlihoods]]/tblPiNAnalysis[[#This Row],[Total Population]])</f>
        <v/>
      </c>
      <c r="W132" s="315" t="str">
        <f>IF(tblPiNAnalysis[[#This Row],[Health ]]="", "", tblPiNAnalysis[[#This Row],[Health ]]/tblPiNAnalysis[[#This Row],[Total Population]])</f>
        <v/>
      </c>
      <c r="X132" s="314" t="str">
        <f>IF(tblPiNAnalysis[[#This Row],[Nutrition]]="", "", tblPiNAnalysis[[#This Row],[Nutrition]]/tblPiNAnalysis[[#This Row],[Total Population]])</f>
        <v/>
      </c>
      <c r="Y132" s="314" t="str">
        <f>IF(tblPiNAnalysis[[#This Row],[Protection]]="", "", tblPiNAnalysis[[#This Row],[Protection]]/tblPiNAnalysis[[#This Row],[Total Population]])</f>
        <v/>
      </c>
      <c r="Z132" s="316">
        <f>IF(tblPiNAnalysis[[#This Row],[Shelter NFI ]]="", "", tblPiNAnalysis[[#This Row],[Shelter NFI ]]/tblPiNAnalysis[[#This Row],[Total Population]])</f>
        <v>5.4482637623655482E-2</v>
      </c>
      <c r="AA132" s="317" t="str">
        <f>IF(tblPiNAnalysis[[#This Row],[WASH]]="", "", tblPiNAnalysis[[#This Row],[WASH]]/tblPiNAnalysis[[#This Row],[Total Population]])</f>
        <v/>
      </c>
      <c r="AB132" s="318" t="str">
        <f>IFERROR(IF(tblPiNAnalysis[[#This Row],[CP]]="", "", MROUND(tblPiNAnalysis[[#This Row],[CP]]/tblPiNAnalysis[[#This Row],[Total Population]], 0.05)), "")</f>
        <v/>
      </c>
      <c r="AC132" s="314" t="str">
        <f>IFERROR(IF(tblPiNAnalysis[[#This Row],[GBV]]="", "", MROUND(tblPiNAnalysis[[#This Row],[GBV]]/tblPiNAnalysis[[#This Row],[Total Population]], 0.05)), "")</f>
        <v/>
      </c>
      <c r="AD132" s="314" t="str">
        <f>IFERROR(IF(tblPiNAnalysis[[#This Row],[Mine Action]]="", "", MROUND(tblPiNAnalysis[[#This Row],[Mine Action]]/tblPiNAnalysis[[#This Row],[Total Population]], 0.05)), "")</f>
        <v/>
      </c>
      <c r="AE132" s="314" t="str">
        <f>IFERROR(IF(tblPiNAnalysis[[#This Row],[General Protection]]="", "", MROUND(tblPiNAnalysis[[#This Row],[General Protection]]/tblPiNAnalysis[[#This Row],[Total Population]], 0.05)), "")</f>
        <v/>
      </c>
      <c r="AF132" s="319">
        <f>IFERROR(LARGE(tblPiNAnalysis[[#This Row],[Site Management ]:[General Protection]], 1), "")</f>
        <v>4037</v>
      </c>
      <c r="AG132" s="320">
        <f>IF(tblPiNAnalysis[[#This Row],[Highest PiN]]="", "",tblPiNAnalysis[[#This Row],[Highest PiN]]/ tblPiNAnalysis[[#This Row],[Total Population]])</f>
        <v>5.4482637623655482E-2</v>
      </c>
      <c r="AH132" s="320" t="str">
        <f>IFERROR(IF(tblPiNAnalysis[[#This Row],[Highest PiN]]="", "", IF(tblPiNAnalysis[[#This Row],[Highest sector(s'') PiN %]]&gt;=flag_pin_perc, "Flagged", "")), "")</f>
        <v/>
      </c>
      <c r="AI132" s="321"/>
      <c r="AJ132" s="322"/>
      <c r="AK132" s="323">
        <f>COUNTIFS(tblPiNAnalysis[[#This Row],[Highest PiN greater than 90% of total affected population]:[Manual Flag]],"Flagged")</f>
        <v>0</v>
      </c>
      <c r="AL132" s="324" t="str">
        <f>IF(tblPiNAnalysis[[#This Row],['# Flags]]&gt;0, "Flagged", "")</f>
        <v/>
      </c>
    </row>
    <row r="133" spans="1:38" ht="23.1" hidden="1" customHeight="1" x14ac:dyDescent="0.2">
      <c r="A133" s="309" t="str">
        <f>_xlfn.CONCAT(IF(tblPiNAnalysis[[#This Row],[Population Group]]="", "",tblPiNAnalysis[[#This Row],[Population Group]] ), _xlfn.IFS(tblPiNAnalysis[[#This Row],[Admin 2 P-Code]]&lt;&gt;"", tblPiNAnalysis[[#This Row],[Admin 2 P-Code]], tblPiNAnalysis[[#This Row],[Admin 1 P-Code]]&lt;&gt;"", tblPiNAnalysis[[#This Row],[Admin 1 P-Code]]))</f>
        <v>Host CommunitySD03167</v>
      </c>
      <c r="B133" s="245" t="s">
        <v>185</v>
      </c>
      <c r="C133" s="246" t="s">
        <v>120</v>
      </c>
      <c r="D133" s="247" t="s">
        <v>271</v>
      </c>
      <c r="E133" s="246" t="s">
        <v>270</v>
      </c>
      <c r="F133" s="248">
        <v>0</v>
      </c>
      <c r="G133" s="248" t="s">
        <v>87</v>
      </c>
      <c r="H133" s="310"/>
      <c r="I133" s="311"/>
      <c r="J133" s="248"/>
      <c r="K133" s="248"/>
      <c r="L133" s="311"/>
      <c r="M133" s="312"/>
      <c r="N133" s="312">
        <f>_xlfn.XLOOKUP(CONCATENATE(tblPiNAnalysis[[#This Row],[Admin 2 P-Code]],tblPiNAnalysis[[#This Row],[Population Group]]),'Overall severity &amp; PIN Analysis'!A:A,'Overall severity &amp; PIN Analysis'!P:P,0,0)</f>
        <v>0</v>
      </c>
      <c r="O133" s="311"/>
      <c r="P133" s="312"/>
      <c r="Q133" s="312"/>
      <c r="R133" s="312"/>
      <c r="S133" s="312"/>
      <c r="T133" s="313" t="str">
        <f>IF(tblPiNAnalysis[[#This Row],[Site Management ]]="", "", tblPiNAnalysis[[#This Row],[Site Management ]]/tblPiNAnalysis[[#This Row],[Total Population]])</f>
        <v/>
      </c>
      <c r="U133" s="314" t="str">
        <f>IF(tblPiNAnalysis[[#This Row],[Education]]="", "", tblPiNAnalysis[[#This Row],[Education]]/tblPiNAnalysis[[#This Row],[Total Population]])</f>
        <v/>
      </c>
      <c r="V133" s="314" t="str">
        <f>IF(tblPiNAnalysis[[#This Row],[Food Security and Livlihoods]]="", "", tblPiNAnalysis[[#This Row],[Food Security and Livlihoods]]/tblPiNAnalysis[[#This Row],[Total Population]])</f>
        <v/>
      </c>
      <c r="W133" s="315" t="str">
        <f>IF(tblPiNAnalysis[[#This Row],[Health ]]="", "", tblPiNAnalysis[[#This Row],[Health ]]/tblPiNAnalysis[[#This Row],[Total Population]])</f>
        <v/>
      </c>
      <c r="X133" s="314" t="str">
        <f>IF(tblPiNAnalysis[[#This Row],[Nutrition]]="", "", tblPiNAnalysis[[#This Row],[Nutrition]]/tblPiNAnalysis[[#This Row],[Total Population]])</f>
        <v/>
      </c>
      <c r="Y133" s="314" t="str">
        <f>IF(tblPiNAnalysis[[#This Row],[Protection]]="", "", tblPiNAnalysis[[#This Row],[Protection]]/tblPiNAnalysis[[#This Row],[Total Population]])</f>
        <v/>
      </c>
      <c r="Z133" s="316" t="e">
        <f>IF(tblPiNAnalysis[[#This Row],[Shelter NFI ]]="", "", tblPiNAnalysis[[#This Row],[Shelter NFI ]]/tblPiNAnalysis[[#This Row],[Total Population]])</f>
        <v>#DIV/0!</v>
      </c>
      <c r="AA133" s="317" t="str">
        <f>IF(tblPiNAnalysis[[#This Row],[WASH]]="", "", tblPiNAnalysis[[#This Row],[WASH]]/tblPiNAnalysis[[#This Row],[Total Population]])</f>
        <v/>
      </c>
      <c r="AB133" s="318" t="str">
        <f>IFERROR(IF(tblPiNAnalysis[[#This Row],[CP]]="", "", MROUND(tblPiNAnalysis[[#This Row],[CP]]/tblPiNAnalysis[[#This Row],[Total Population]], 0.05)), "")</f>
        <v/>
      </c>
      <c r="AC133" s="314" t="str">
        <f>IFERROR(IF(tblPiNAnalysis[[#This Row],[GBV]]="", "", MROUND(tblPiNAnalysis[[#This Row],[GBV]]/tblPiNAnalysis[[#This Row],[Total Population]], 0.05)), "")</f>
        <v/>
      </c>
      <c r="AD133" s="314" t="str">
        <f>IFERROR(IF(tblPiNAnalysis[[#This Row],[Mine Action]]="", "", MROUND(tblPiNAnalysis[[#This Row],[Mine Action]]/tblPiNAnalysis[[#This Row],[Total Population]], 0.05)), "")</f>
        <v/>
      </c>
      <c r="AE133" s="314" t="str">
        <f>IFERROR(IF(tblPiNAnalysis[[#This Row],[General Protection]]="", "", MROUND(tblPiNAnalysis[[#This Row],[General Protection]]/tblPiNAnalysis[[#This Row],[Total Population]], 0.05)), "")</f>
        <v/>
      </c>
      <c r="AF133" s="319">
        <f>IFERROR(LARGE(tblPiNAnalysis[[#This Row],[Site Management ]:[General Protection]], 1), "")</f>
        <v>0</v>
      </c>
      <c r="AG133" s="320" t="e">
        <f>IF(tblPiNAnalysis[[#This Row],[Highest PiN]]="", "",tblPiNAnalysis[[#This Row],[Highest PiN]]/ tblPiNAnalysis[[#This Row],[Total Population]])</f>
        <v>#DIV/0!</v>
      </c>
      <c r="AH133" s="320" t="str">
        <f>IFERROR(IF(tblPiNAnalysis[[#This Row],[Highest PiN]]="", "", IF(tblPiNAnalysis[[#This Row],[Highest sector(s'') PiN %]]&gt;=flag_pin_perc, "Flagged", "")), "")</f>
        <v/>
      </c>
      <c r="AI133" s="321"/>
      <c r="AJ133" s="322"/>
      <c r="AK133" s="323">
        <f>COUNTIFS(tblPiNAnalysis[[#This Row],[Highest PiN greater than 90% of total affected population]:[Manual Flag]],"Flagged")</f>
        <v>0</v>
      </c>
      <c r="AL133" s="324" t="str">
        <f>IF(tblPiNAnalysis[[#This Row],['# Flags]]&gt;0, "Flagged", "")</f>
        <v/>
      </c>
    </row>
    <row r="134" spans="1:38" ht="23.1" hidden="1" customHeight="1" x14ac:dyDescent="0.2">
      <c r="A134" s="309" t="str">
        <f>_xlfn.CONCAT(IF(tblPiNAnalysis[[#This Row],[Population Group]]="", "",tblPiNAnalysis[[#This Row],[Population Group]] ), _xlfn.IFS(tblPiNAnalysis[[#This Row],[Admin 2 P-Code]]&lt;&gt;"", tblPiNAnalysis[[#This Row],[Admin 2 P-Code]], tblPiNAnalysis[[#This Row],[Admin 1 P-Code]]&lt;&gt;"", tblPiNAnalysis[[#This Row],[Admin 1 P-Code]]))</f>
        <v>IDPsSD03167</v>
      </c>
      <c r="B134" s="245" t="s">
        <v>185</v>
      </c>
      <c r="C134" s="246" t="s">
        <v>120</v>
      </c>
      <c r="D134" s="247" t="s">
        <v>271</v>
      </c>
      <c r="E134" s="246" t="s">
        <v>270</v>
      </c>
      <c r="F134" s="248">
        <v>78632</v>
      </c>
      <c r="G134" s="248" t="s">
        <v>88</v>
      </c>
      <c r="H134" s="310"/>
      <c r="I134" s="311"/>
      <c r="J134" s="248"/>
      <c r="K134" s="311"/>
      <c r="L134" s="311"/>
      <c r="M134" s="312"/>
      <c r="N134" s="312">
        <f>_xlfn.XLOOKUP(CONCATENATE(tblPiNAnalysis[[#This Row],[Admin 2 P-Code]],tblPiNAnalysis[[#This Row],[Population Group]]),'Overall severity &amp; PIN Analysis'!A:A,'Overall severity &amp; PIN Analysis'!P:P,0,0)</f>
        <v>39954</v>
      </c>
      <c r="O134" s="311"/>
      <c r="P134" s="312"/>
      <c r="Q134" s="312"/>
      <c r="R134" s="312"/>
      <c r="S134" s="312"/>
      <c r="T134" s="313" t="str">
        <f>IF(tblPiNAnalysis[[#This Row],[Site Management ]]="", "", tblPiNAnalysis[[#This Row],[Site Management ]]/tblPiNAnalysis[[#This Row],[Total Population]])</f>
        <v/>
      </c>
      <c r="U134" s="314" t="str">
        <f>IF(tblPiNAnalysis[[#This Row],[Education]]="", "", tblPiNAnalysis[[#This Row],[Education]]/tblPiNAnalysis[[#This Row],[Total Population]])</f>
        <v/>
      </c>
      <c r="V134" s="314" t="str">
        <f>IF(tblPiNAnalysis[[#This Row],[Food Security and Livlihoods]]="", "", tblPiNAnalysis[[#This Row],[Food Security and Livlihoods]]/tblPiNAnalysis[[#This Row],[Total Population]])</f>
        <v/>
      </c>
      <c r="W134" s="315" t="str">
        <f>IF(tblPiNAnalysis[[#This Row],[Health ]]="", "", tblPiNAnalysis[[#This Row],[Health ]]/tblPiNAnalysis[[#This Row],[Total Population]])</f>
        <v/>
      </c>
      <c r="X134" s="314" t="str">
        <f>IF(tblPiNAnalysis[[#This Row],[Nutrition]]="", "", tblPiNAnalysis[[#This Row],[Nutrition]]/tblPiNAnalysis[[#This Row],[Total Population]])</f>
        <v/>
      </c>
      <c r="Y134" s="314" t="str">
        <f>IF(tblPiNAnalysis[[#This Row],[Protection]]="", "", tblPiNAnalysis[[#This Row],[Protection]]/tblPiNAnalysis[[#This Row],[Total Population]])</f>
        <v/>
      </c>
      <c r="Z134" s="316">
        <f>IF(tblPiNAnalysis[[#This Row],[Shelter NFI ]]="", "", tblPiNAnalysis[[#This Row],[Shelter NFI ]]/tblPiNAnalysis[[#This Row],[Total Population]])</f>
        <v>0.50811374504018725</v>
      </c>
      <c r="AA134" s="317" t="str">
        <f>IF(tblPiNAnalysis[[#This Row],[WASH]]="", "", tblPiNAnalysis[[#This Row],[WASH]]/tblPiNAnalysis[[#This Row],[Total Population]])</f>
        <v/>
      </c>
      <c r="AB134" s="318" t="str">
        <f>IFERROR(IF(tblPiNAnalysis[[#This Row],[CP]]="", "", MROUND(tblPiNAnalysis[[#This Row],[CP]]/tblPiNAnalysis[[#This Row],[Total Population]], 0.05)), "")</f>
        <v/>
      </c>
      <c r="AC134" s="314" t="str">
        <f>IFERROR(IF(tblPiNAnalysis[[#This Row],[GBV]]="", "", MROUND(tblPiNAnalysis[[#This Row],[GBV]]/tblPiNAnalysis[[#This Row],[Total Population]], 0.05)), "")</f>
        <v/>
      </c>
      <c r="AD134" s="314" t="str">
        <f>IFERROR(IF(tblPiNAnalysis[[#This Row],[Mine Action]]="", "", MROUND(tblPiNAnalysis[[#This Row],[Mine Action]]/tblPiNAnalysis[[#This Row],[Total Population]], 0.05)), "")</f>
        <v/>
      </c>
      <c r="AE134" s="314" t="str">
        <f>IFERROR(IF(tblPiNAnalysis[[#This Row],[General Protection]]="", "", MROUND(tblPiNAnalysis[[#This Row],[General Protection]]/tblPiNAnalysis[[#This Row],[Total Population]], 0.05)), "")</f>
        <v/>
      </c>
      <c r="AF134" s="319">
        <f>IFERROR(LARGE(tblPiNAnalysis[[#This Row],[Site Management ]:[General Protection]], 1), "")</f>
        <v>39954</v>
      </c>
      <c r="AG134" s="320">
        <f>IF(tblPiNAnalysis[[#This Row],[Highest PiN]]="", "",tblPiNAnalysis[[#This Row],[Highest PiN]]/ tblPiNAnalysis[[#This Row],[Total Population]])</f>
        <v>0.50811374504018725</v>
      </c>
      <c r="AH134" s="320" t="str">
        <f>IFERROR(IF(tblPiNAnalysis[[#This Row],[Highest PiN]]="", "", IF(tblPiNAnalysis[[#This Row],[Highest sector(s'') PiN %]]&gt;=flag_pin_perc, "Flagged", "")), "")</f>
        <v/>
      </c>
      <c r="AI134" s="321"/>
      <c r="AJ134" s="322"/>
      <c r="AK134" s="323">
        <f>COUNTIFS(tblPiNAnalysis[[#This Row],[Highest PiN greater than 90% of total affected population]:[Manual Flag]],"Flagged")</f>
        <v>0</v>
      </c>
      <c r="AL134" s="324" t="str">
        <f>IF(tblPiNAnalysis[[#This Row],['# Flags]]&gt;0, "Flagged", "")</f>
        <v/>
      </c>
    </row>
    <row r="135" spans="1:38" ht="23.1" customHeight="1" x14ac:dyDescent="0.2">
      <c r="A135" s="309" t="str">
        <f>_xlfn.CONCAT(IF(tblPiNAnalysis[[#This Row],[Population Group]]="", "",tblPiNAnalysis[[#This Row],[Population Group]] ), _xlfn.IFS(tblPiNAnalysis[[#This Row],[Admin 2 P-Code]]&lt;&gt;"", tblPiNAnalysis[[#This Row],[Admin 2 P-Code]], tblPiNAnalysis[[#This Row],[Admin 1 P-Code]]&lt;&gt;"", tblPiNAnalysis[[#This Row],[Admin 1 P-Code]]))</f>
        <v>Non-hosting PopulationSD03167</v>
      </c>
      <c r="B135" s="245" t="s">
        <v>185</v>
      </c>
      <c r="C135" s="246" t="s">
        <v>120</v>
      </c>
      <c r="D135" s="247" t="s">
        <v>271</v>
      </c>
      <c r="E135" s="246" t="s">
        <v>270</v>
      </c>
      <c r="F135" s="248">
        <v>0</v>
      </c>
      <c r="G135" s="248" t="s">
        <v>568</v>
      </c>
      <c r="H135" s="310"/>
      <c r="I135" s="311"/>
      <c r="J135" s="312"/>
      <c r="K135" s="311"/>
      <c r="L135" s="311"/>
      <c r="M135" s="312"/>
      <c r="N135" s="312">
        <f>_xlfn.XLOOKUP(CONCATENATE(tblPiNAnalysis[[#This Row],[Admin 2 P-Code]],tblPiNAnalysis[[#This Row],[Population Group]]),'Overall severity &amp; PIN Analysis'!A:A,'Overall severity &amp; PIN Analysis'!P:P,0,0)</f>
        <v>0</v>
      </c>
      <c r="O135" s="311"/>
      <c r="P135" s="312"/>
      <c r="Q135" s="312"/>
      <c r="R135" s="312"/>
      <c r="S135" s="312"/>
      <c r="T135" s="313" t="str">
        <f>IF(tblPiNAnalysis[[#This Row],[Site Management ]]="", "", tblPiNAnalysis[[#This Row],[Site Management ]]/tblPiNAnalysis[[#This Row],[Total Population]])</f>
        <v/>
      </c>
      <c r="U135" s="314" t="str">
        <f>IF(tblPiNAnalysis[[#This Row],[Education]]="", "", tblPiNAnalysis[[#This Row],[Education]]/tblPiNAnalysis[[#This Row],[Total Population]])</f>
        <v/>
      </c>
      <c r="V135" s="314" t="str">
        <f>IF(tblPiNAnalysis[[#This Row],[Food Security and Livlihoods]]="", "", tblPiNAnalysis[[#This Row],[Food Security and Livlihoods]]/tblPiNAnalysis[[#This Row],[Total Population]])</f>
        <v/>
      </c>
      <c r="W135" s="315" t="str">
        <f>IF(tblPiNAnalysis[[#This Row],[Health ]]="", "", tblPiNAnalysis[[#This Row],[Health ]]/tblPiNAnalysis[[#This Row],[Total Population]])</f>
        <v/>
      </c>
      <c r="X135" s="314" t="str">
        <f>IF(tblPiNAnalysis[[#This Row],[Nutrition]]="", "", tblPiNAnalysis[[#This Row],[Nutrition]]/tblPiNAnalysis[[#This Row],[Total Population]])</f>
        <v/>
      </c>
      <c r="Y135" s="314" t="str">
        <f>IF(tblPiNAnalysis[[#This Row],[Protection]]="", "", tblPiNAnalysis[[#This Row],[Protection]]/tblPiNAnalysis[[#This Row],[Total Population]])</f>
        <v/>
      </c>
      <c r="Z135" s="316" t="e">
        <f>IF(tblPiNAnalysis[[#This Row],[Shelter NFI ]]="", "", tblPiNAnalysis[[#This Row],[Shelter NFI ]]/tblPiNAnalysis[[#This Row],[Total Population]])</f>
        <v>#DIV/0!</v>
      </c>
      <c r="AA135" s="317" t="str">
        <f>IF(tblPiNAnalysis[[#This Row],[WASH]]="", "", tblPiNAnalysis[[#This Row],[WASH]]/tblPiNAnalysis[[#This Row],[Total Population]])</f>
        <v/>
      </c>
      <c r="AB135" s="318" t="str">
        <f>IFERROR(IF(tblPiNAnalysis[[#This Row],[CP]]="", "", MROUND(tblPiNAnalysis[[#This Row],[CP]]/tblPiNAnalysis[[#This Row],[Total Population]], 0.05)), "")</f>
        <v/>
      </c>
      <c r="AC135" s="314" t="str">
        <f>IFERROR(IF(tblPiNAnalysis[[#This Row],[GBV]]="", "", MROUND(tblPiNAnalysis[[#This Row],[GBV]]/tblPiNAnalysis[[#This Row],[Total Population]], 0.05)), "")</f>
        <v/>
      </c>
      <c r="AD135" s="314" t="str">
        <f>IFERROR(IF(tblPiNAnalysis[[#This Row],[Mine Action]]="", "", MROUND(tblPiNAnalysis[[#This Row],[Mine Action]]/tblPiNAnalysis[[#This Row],[Total Population]], 0.05)), "")</f>
        <v/>
      </c>
      <c r="AE135" s="314" t="str">
        <f>IFERROR(IF(tblPiNAnalysis[[#This Row],[General Protection]]="", "", MROUND(tblPiNAnalysis[[#This Row],[General Protection]]/tblPiNAnalysis[[#This Row],[Total Population]], 0.05)), "")</f>
        <v/>
      </c>
      <c r="AF135" s="319">
        <f>IFERROR(LARGE(tblPiNAnalysis[[#This Row],[Site Management ]:[General Protection]], 1), "")</f>
        <v>0</v>
      </c>
      <c r="AG135" s="320" t="e">
        <f>IF(tblPiNAnalysis[[#This Row],[Highest PiN]]="", "",tblPiNAnalysis[[#This Row],[Highest PiN]]/ tblPiNAnalysis[[#This Row],[Total Population]])</f>
        <v>#DIV/0!</v>
      </c>
      <c r="AH135" s="320" t="str">
        <f>IFERROR(IF(tblPiNAnalysis[[#This Row],[Highest PiN]]="", "", IF(tblPiNAnalysis[[#This Row],[Highest sector(s'') PiN %]]&gt;=flag_pin_perc, "Flagged", "")), "")</f>
        <v/>
      </c>
      <c r="AI135" s="321"/>
      <c r="AJ135" s="322"/>
      <c r="AK135" s="323">
        <f>COUNTIFS(tblPiNAnalysis[[#This Row],[Highest PiN greater than 90% of total affected population]:[Manual Flag]],"Flagged")</f>
        <v>0</v>
      </c>
      <c r="AL135" s="324" t="str">
        <f>IF(tblPiNAnalysis[[#This Row],['# Flags]]&gt;0, "Flagged", "")</f>
        <v/>
      </c>
    </row>
    <row r="136" spans="1:38" ht="23.1" hidden="1" customHeight="1" x14ac:dyDescent="0.2">
      <c r="A136" s="309" t="str">
        <f>_xlfn.CONCAT(IF(tblPiNAnalysis[[#This Row],[Population Group]]="", "",tblPiNAnalysis[[#This Row],[Population Group]] ), _xlfn.IFS(tblPiNAnalysis[[#This Row],[Admin 2 P-Code]]&lt;&gt;"", tblPiNAnalysis[[#This Row],[Admin 2 P-Code]], tblPiNAnalysis[[#This Row],[Admin 1 P-Code]]&lt;&gt;"", tblPiNAnalysis[[#This Row],[Admin 1 P-Code]]))</f>
        <v>Host CommunitySD03172</v>
      </c>
      <c r="B136" s="245" t="s">
        <v>185</v>
      </c>
      <c r="C136" s="246" t="s">
        <v>120</v>
      </c>
      <c r="D136" s="247" t="s">
        <v>273</v>
      </c>
      <c r="E136" s="246" t="s">
        <v>272</v>
      </c>
      <c r="F136" s="248">
        <v>8997</v>
      </c>
      <c r="G136" s="248" t="s">
        <v>87</v>
      </c>
      <c r="H136" s="310"/>
      <c r="I136" s="311"/>
      <c r="J136" s="312"/>
      <c r="K136" s="311"/>
      <c r="L136" s="311"/>
      <c r="M136" s="312"/>
      <c r="N136" s="312">
        <f>_xlfn.XLOOKUP(CONCATENATE(tblPiNAnalysis[[#This Row],[Admin 2 P-Code]],tblPiNAnalysis[[#This Row],[Population Group]]),'Overall severity &amp; PIN Analysis'!A:A,'Overall severity &amp; PIN Analysis'!P:P,0,0)</f>
        <v>3425</v>
      </c>
      <c r="O136" s="311"/>
      <c r="P136" s="312"/>
      <c r="Q136" s="312"/>
      <c r="R136" s="312"/>
      <c r="S136" s="312"/>
      <c r="T136" s="313" t="str">
        <f>IF(tblPiNAnalysis[[#This Row],[Site Management ]]="", "", tblPiNAnalysis[[#This Row],[Site Management ]]/tblPiNAnalysis[[#This Row],[Total Population]])</f>
        <v/>
      </c>
      <c r="U136" s="314" t="str">
        <f>IF(tblPiNAnalysis[[#This Row],[Education]]="", "", tblPiNAnalysis[[#This Row],[Education]]/tblPiNAnalysis[[#This Row],[Total Population]])</f>
        <v/>
      </c>
      <c r="V136" s="314" t="str">
        <f>IF(tblPiNAnalysis[[#This Row],[Food Security and Livlihoods]]="", "", tblPiNAnalysis[[#This Row],[Food Security and Livlihoods]]/tblPiNAnalysis[[#This Row],[Total Population]])</f>
        <v/>
      </c>
      <c r="W136" s="315" t="str">
        <f>IF(tblPiNAnalysis[[#This Row],[Health ]]="", "", tblPiNAnalysis[[#This Row],[Health ]]/tblPiNAnalysis[[#This Row],[Total Population]])</f>
        <v/>
      </c>
      <c r="X136" s="314" t="str">
        <f>IF(tblPiNAnalysis[[#This Row],[Nutrition]]="", "", tblPiNAnalysis[[#This Row],[Nutrition]]/tblPiNAnalysis[[#This Row],[Total Population]])</f>
        <v/>
      </c>
      <c r="Y136" s="314" t="str">
        <f>IF(tblPiNAnalysis[[#This Row],[Protection]]="", "", tblPiNAnalysis[[#This Row],[Protection]]/tblPiNAnalysis[[#This Row],[Total Population]])</f>
        <v/>
      </c>
      <c r="Z136" s="316">
        <f>IF(tblPiNAnalysis[[#This Row],[Shelter NFI ]]="", "", tblPiNAnalysis[[#This Row],[Shelter NFI ]]/tblPiNAnalysis[[#This Row],[Total Population]])</f>
        <v>0.38068244970545739</v>
      </c>
      <c r="AA136" s="317" t="str">
        <f>IF(tblPiNAnalysis[[#This Row],[WASH]]="", "", tblPiNAnalysis[[#This Row],[WASH]]/tblPiNAnalysis[[#This Row],[Total Population]])</f>
        <v/>
      </c>
      <c r="AB136" s="318" t="str">
        <f>IFERROR(IF(tblPiNAnalysis[[#This Row],[CP]]="", "", MROUND(tblPiNAnalysis[[#This Row],[CP]]/tblPiNAnalysis[[#This Row],[Total Population]], 0.05)), "")</f>
        <v/>
      </c>
      <c r="AC136" s="314" t="str">
        <f>IFERROR(IF(tblPiNAnalysis[[#This Row],[GBV]]="", "", MROUND(tblPiNAnalysis[[#This Row],[GBV]]/tblPiNAnalysis[[#This Row],[Total Population]], 0.05)), "")</f>
        <v/>
      </c>
      <c r="AD136" s="314" t="str">
        <f>IFERROR(IF(tblPiNAnalysis[[#This Row],[Mine Action]]="", "", MROUND(tblPiNAnalysis[[#This Row],[Mine Action]]/tblPiNAnalysis[[#This Row],[Total Population]], 0.05)), "")</f>
        <v/>
      </c>
      <c r="AE136" s="314" t="str">
        <f>IFERROR(IF(tblPiNAnalysis[[#This Row],[General Protection]]="", "", MROUND(tblPiNAnalysis[[#This Row],[General Protection]]/tblPiNAnalysis[[#This Row],[Total Population]], 0.05)), "")</f>
        <v/>
      </c>
      <c r="AF136" s="319">
        <f>IFERROR(LARGE(tblPiNAnalysis[[#This Row],[Site Management ]:[General Protection]], 1), "")</f>
        <v>3425</v>
      </c>
      <c r="AG136" s="320">
        <f>IF(tblPiNAnalysis[[#This Row],[Highest PiN]]="", "",tblPiNAnalysis[[#This Row],[Highest PiN]]/ tblPiNAnalysis[[#This Row],[Total Population]])</f>
        <v>0.38068244970545739</v>
      </c>
      <c r="AH136" s="320" t="str">
        <f>IFERROR(IF(tblPiNAnalysis[[#This Row],[Highest PiN]]="", "", IF(tblPiNAnalysis[[#This Row],[Highest sector(s'') PiN %]]&gt;=flag_pin_perc, "Flagged", "")), "")</f>
        <v/>
      </c>
      <c r="AI136" s="321"/>
      <c r="AJ136" s="322"/>
      <c r="AK136" s="323">
        <f>COUNTIFS(tblPiNAnalysis[[#This Row],[Highest PiN greater than 90% of total affected population]:[Manual Flag]],"Flagged")</f>
        <v>0</v>
      </c>
      <c r="AL136" s="324" t="str">
        <f>IF(tblPiNAnalysis[[#This Row],['# Flags]]&gt;0, "Flagged", "")</f>
        <v/>
      </c>
    </row>
    <row r="137" spans="1:38" ht="23.1" hidden="1" customHeight="1" x14ac:dyDescent="0.2">
      <c r="A137" s="309" t="str">
        <f>_xlfn.CONCAT(IF(tblPiNAnalysis[[#This Row],[Population Group]]="", "",tblPiNAnalysis[[#This Row],[Population Group]] ), _xlfn.IFS(tblPiNAnalysis[[#This Row],[Admin 2 P-Code]]&lt;&gt;"", tblPiNAnalysis[[#This Row],[Admin 2 P-Code]], tblPiNAnalysis[[#This Row],[Admin 1 P-Code]]&lt;&gt;"", tblPiNAnalysis[[#This Row],[Admin 1 P-Code]]))</f>
        <v>IDPsSD03172</v>
      </c>
      <c r="B137" s="245" t="s">
        <v>185</v>
      </c>
      <c r="C137" s="246" t="s">
        <v>120</v>
      </c>
      <c r="D137" s="247" t="s">
        <v>273</v>
      </c>
      <c r="E137" s="246" t="s">
        <v>272</v>
      </c>
      <c r="F137" s="248">
        <v>7370</v>
      </c>
      <c r="G137" s="248" t="s">
        <v>88</v>
      </c>
      <c r="H137" s="310"/>
      <c r="I137" s="311"/>
      <c r="J137" s="312"/>
      <c r="K137" s="311"/>
      <c r="L137" s="311"/>
      <c r="M137" s="312"/>
      <c r="N137" s="312">
        <f>_xlfn.XLOOKUP(CONCATENATE(tblPiNAnalysis[[#This Row],[Admin 2 P-Code]],tblPiNAnalysis[[#This Row],[Population Group]]),'Overall severity &amp; PIN Analysis'!A:A,'Overall severity &amp; PIN Analysis'!P:P,0,0)</f>
        <v>2806</v>
      </c>
      <c r="O137" s="311"/>
      <c r="P137" s="312"/>
      <c r="Q137" s="312"/>
      <c r="R137" s="312"/>
      <c r="S137" s="312"/>
      <c r="T137" s="313" t="str">
        <f>IF(tblPiNAnalysis[[#This Row],[Site Management ]]="", "", tblPiNAnalysis[[#This Row],[Site Management ]]/tblPiNAnalysis[[#This Row],[Total Population]])</f>
        <v/>
      </c>
      <c r="U137" s="314" t="str">
        <f>IF(tblPiNAnalysis[[#This Row],[Education]]="", "", tblPiNAnalysis[[#This Row],[Education]]/tblPiNAnalysis[[#This Row],[Total Population]])</f>
        <v/>
      </c>
      <c r="V137" s="314" t="str">
        <f>IF(tblPiNAnalysis[[#This Row],[Food Security and Livlihoods]]="", "", tblPiNAnalysis[[#This Row],[Food Security and Livlihoods]]/tblPiNAnalysis[[#This Row],[Total Population]])</f>
        <v/>
      </c>
      <c r="W137" s="315" t="str">
        <f>IF(tblPiNAnalysis[[#This Row],[Health ]]="", "", tblPiNAnalysis[[#This Row],[Health ]]/tblPiNAnalysis[[#This Row],[Total Population]])</f>
        <v/>
      </c>
      <c r="X137" s="314" t="str">
        <f>IF(tblPiNAnalysis[[#This Row],[Nutrition]]="", "", tblPiNAnalysis[[#This Row],[Nutrition]]/tblPiNAnalysis[[#This Row],[Total Population]])</f>
        <v/>
      </c>
      <c r="Y137" s="314" t="str">
        <f>IF(tblPiNAnalysis[[#This Row],[Protection]]="", "", tblPiNAnalysis[[#This Row],[Protection]]/tblPiNAnalysis[[#This Row],[Total Population]])</f>
        <v/>
      </c>
      <c r="Z137" s="316">
        <f>IF(tblPiNAnalysis[[#This Row],[Shelter NFI ]]="", "", tblPiNAnalysis[[#This Row],[Shelter NFI ]]/tblPiNAnalysis[[#This Row],[Total Population]])</f>
        <v>0.38073270013568522</v>
      </c>
      <c r="AA137" s="317" t="str">
        <f>IF(tblPiNAnalysis[[#This Row],[WASH]]="", "", tblPiNAnalysis[[#This Row],[WASH]]/tblPiNAnalysis[[#This Row],[Total Population]])</f>
        <v/>
      </c>
      <c r="AB137" s="318" t="str">
        <f>IFERROR(IF(tblPiNAnalysis[[#This Row],[CP]]="", "", MROUND(tblPiNAnalysis[[#This Row],[CP]]/tblPiNAnalysis[[#This Row],[Total Population]], 0.05)), "")</f>
        <v/>
      </c>
      <c r="AC137" s="314" t="str">
        <f>IFERROR(IF(tblPiNAnalysis[[#This Row],[GBV]]="", "", MROUND(tblPiNAnalysis[[#This Row],[GBV]]/tblPiNAnalysis[[#This Row],[Total Population]], 0.05)), "")</f>
        <v/>
      </c>
      <c r="AD137" s="314" t="str">
        <f>IFERROR(IF(tblPiNAnalysis[[#This Row],[Mine Action]]="", "", MROUND(tblPiNAnalysis[[#This Row],[Mine Action]]/tblPiNAnalysis[[#This Row],[Total Population]], 0.05)), "")</f>
        <v/>
      </c>
      <c r="AE137" s="314" t="str">
        <f>IFERROR(IF(tblPiNAnalysis[[#This Row],[General Protection]]="", "", MROUND(tblPiNAnalysis[[#This Row],[General Protection]]/tblPiNAnalysis[[#This Row],[Total Population]], 0.05)), "")</f>
        <v/>
      </c>
      <c r="AF137" s="319">
        <f>IFERROR(LARGE(tblPiNAnalysis[[#This Row],[Site Management ]:[General Protection]], 1), "")</f>
        <v>2806</v>
      </c>
      <c r="AG137" s="320">
        <f>IF(tblPiNAnalysis[[#This Row],[Highest PiN]]="", "",tblPiNAnalysis[[#This Row],[Highest PiN]]/ tblPiNAnalysis[[#This Row],[Total Population]])</f>
        <v>0.38073270013568522</v>
      </c>
      <c r="AH137" s="320" t="str">
        <f>IFERROR(IF(tblPiNAnalysis[[#This Row],[Highest PiN]]="", "", IF(tblPiNAnalysis[[#This Row],[Highest sector(s'') PiN %]]&gt;=flag_pin_perc, "Flagged", "")), "")</f>
        <v/>
      </c>
      <c r="AI137" s="321"/>
      <c r="AJ137" s="322"/>
      <c r="AK137" s="323">
        <f>COUNTIFS(tblPiNAnalysis[[#This Row],[Highest PiN greater than 90% of total affected population]:[Manual Flag]],"Flagged")</f>
        <v>0</v>
      </c>
      <c r="AL137" s="324" t="str">
        <f>IF(tblPiNAnalysis[[#This Row],['# Flags]]&gt;0, "Flagged", "")</f>
        <v/>
      </c>
    </row>
    <row r="138" spans="1:38" ht="23.1" customHeight="1" x14ac:dyDescent="0.2">
      <c r="A138" s="309" t="str">
        <f>_xlfn.CONCAT(IF(tblPiNAnalysis[[#This Row],[Population Group]]="", "",tblPiNAnalysis[[#This Row],[Population Group]] ), _xlfn.IFS(tblPiNAnalysis[[#This Row],[Admin 2 P-Code]]&lt;&gt;"", tblPiNAnalysis[[#This Row],[Admin 2 P-Code]], tblPiNAnalysis[[#This Row],[Admin 1 P-Code]]&lt;&gt;"", tblPiNAnalysis[[#This Row],[Admin 1 P-Code]]))</f>
        <v>Non-hosting PopulationSD03172</v>
      </c>
      <c r="B138" s="245" t="s">
        <v>185</v>
      </c>
      <c r="C138" s="246" t="s">
        <v>120</v>
      </c>
      <c r="D138" s="247" t="s">
        <v>273</v>
      </c>
      <c r="E138" s="246" t="s">
        <v>272</v>
      </c>
      <c r="F138" s="248">
        <v>162828</v>
      </c>
      <c r="G138" s="248" t="s">
        <v>568</v>
      </c>
      <c r="H138" s="310"/>
      <c r="I138" s="311"/>
      <c r="J138" s="312"/>
      <c r="K138" s="311"/>
      <c r="L138" s="311"/>
      <c r="M138" s="312"/>
      <c r="N138" s="312">
        <f>_xlfn.XLOOKUP(CONCATENATE(tblPiNAnalysis[[#This Row],[Admin 2 P-Code]],tblPiNAnalysis[[#This Row],[Population Group]]),'Overall severity &amp; PIN Analysis'!A:A,'Overall severity &amp; PIN Analysis'!P:P,0,0)</f>
        <v>4862</v>
      </c>
      <c r="O138" s="311"/>
      <c r="P138" s="312"/>
      <c r="Q138" s="312"/>
      <c r="R138" s="312"/>
      <c r="S138" s="312"/>
      <c r="T138" s="313" t="str">
        <f>IF(tblPiNAnalysis[[#This Row],[Site Management ]]="", "", tblPiNAnalysis[[#This Row],[Site Management ]]/tblPiNAnalysis[[#This Row],[Total Population]])</f>
        <v/>
      </c>
      <c r="U138" s="314" t="str">
        <f>IF(tblPiNAnalysis[[#This Row],[Education]]="", "", tblPiNAnalysis[[#This Row],[Education]]/tblPiNAnalysis[[#This Row],[Total Population]])</f>
        <v/>
      </c>
      <c r="V138" s="314" t="str">
        <f>IF(tblPiNAnalysis[[#This Row],[Food Security and Livlihoods]]="", "", tblPiNAnalysis[[#This Row],[Food Security and Livlihoods]]/tblPiNAnalysis[[#This Row],[Total Population]])</f>
        <v/>
      </c>
      <c r="W138" s="315" t="str">
        <f>IF(tblPiNAnalysis[[#This Row],[Health ]]="", "", tblPiNAnalysis[[#This Row],[Health ]]/tblPiNAnalysis[[#This Row],[Total Population]])</f>
        <v/>
      </c>
      <c r="X138" s="314" t="str">
        <f>IF(tblPiNAnalysis[[#This Row],[Nutrition]]="", "", tblPiNAnalysis[[#This Row],[Nutrition]]/tblPiNAnalysis[[#This Row],[Total Population]])</f>
        <v/>
      </c>
      <c r="Y138" s="314" t="str">
        <f>IF(tblPiNAnalysis[[#This Row],[Protection]]="", "", tblPiNAnalysis[[#This Row],[Protection]]/tblPiNAnalysis[[#This Row],[Total Population]])</f>
        <v/>
      </c>
      <c r="Z138" s="316">
        <f>IF(tblPiNAnalysis[[#This Row],[Shelter NFI ]]="", "", tblPiNAnalysis[[#This Row],[Shelter NFI ]]/tblPiNAnalysis[[#This Row],[Total Population]])</f>
        <v>2.9859729284889575E-2</v>
      </c>
      <c r="AA138" s="317" t="str">
        <f>IF(tblPiNAnalysis[[#This Row],[WASH]]="", "", tblPiNAnalysis[[#This Row],[WASH]]/tblPiNAnalysis[[#This Row],[Total Population]])</f>
        <v/>
      </c>
      <c r="AB138" s="318" t="str">
        <f>IFERROR(IF(tblPiNAnalysis[[#This Row],[CP]]="", "", MROUND(tblPiNAnalysis[[#This Row],[CP]]/tblPiNAnalysis[[#This Row],[Total Population]], 0.05)), "")</f>
        <v/>
      </c>
      <c r="AC138" s="314" t="str">
        <f>IFERROR(IF(tblPiNAnalysis[[#This Row],[GBV]]="", "", MROUND(tblPiNAnalysis[[#This Row],[GBV]]/tblPiNAnalysis[[#This Row],[Total Population]], 0.05)), "")</f>
        <v/>
      </c>
      <c r="AD138" s="314" t="str">
        <f>IFERROR(IF(tblPiNAnalysis[[#This Row],[Mine Action]]="", "", MROUND(tblPiNAnalysis[[#This Row],[Mine Action]]/tblPiNAnalysis[[#This Row],[Total Population]], 0.05)), "")</f>
        <v/>
      </c>
      <c r="AE138" s="314" t="str">
        <f>IFERROR(IF(tblPiNAnalysis[[#This Row],[General Protection]]="", "", MROUND(tblPiNAnalysis[[#This Row],[General Protection]]/tblPiNAnalysis[[#This Row],[Total Population]], 0.05)), "")</f>
        <v/>
      </c>
      <c r="AF138" s="319">
        <f>IFERROR(LARGE(tblPiNAnalysis[[#This Row],[Site Management ]:[General Protection]], 1), "")</f>
        <v>4862</v>
      </c>
      <c r="AG138" s="320">
        <f>IF(tblPiNAnalysis[[#This Row],[Highest PiN]]="", "",tblPiNAnalysis[[#This Row],[Highest PiN]]/ tblPiNAnalysis[[#This Row],[Total Population]])</f>
        <v>2.9859729284889575E-2</v>
      </c>
      <c r="AH138" s="320" t="str">
        <f>IFERROR(IF(tblPiNAnalysis[[#This Row],[Highest PiN]]="", "", IF(tblPiNAnalysis[[#This Row],[Highest sector(s'') PiN %]]&gt;=flag_pin_perc, "Flagged", "")), "")</f>
        <v/>
      </c>
      <c r="AI138" s="321"/>
      <c r="AJ138" s="322"/>
      <c r="AK138" s="323">
        <f>COUNTIFS(tblPiNAnalysis[[#This Row],[Highest PiN greater than 90% of total affected population]:[Manual Flag]],"Flagged")</f>
        <v>0</v>
      </c>
      <c r="AL138" s="324" t="str">
        <f>IF(tblPiNAnalysis[[#This Row],['# Flags]]&gt;0, "Flagged", "")</f>
        <v/>
      </c>
    </row>
    <row r="139" spans="1:38" ht="23.1" hidden="1" customHeight="1" x14ac:dyDescent="0.2">
      <c r="A139" s="309" t="str">
        <f>_xlfn.CONCAT(IF(tblPiNAnalysis[[#This Row],[Population Group]]="", "",tblPiNAnalysis[[#This Row],[Population Group]] ), _xlfn.IFS(tblPiNAnalysis[[#This Row],[Admin 2 P-Code]]&lt;&gt;"", tblPiNAnalysis[[#This Row],[Admin 2 P-Code]], tblPiNAnalysis[[#This Row],[Admin 1 P-Code]]&lt;&gt;"", tblPiNAnalysis[[#This Row],[Admin 1 P-Code]]))</f>
        <v>Host CommunitySD04111</v>
      </c>
      <c r="B139" s="245" t="s">
        <v>191</v>
      </c>
      <c r="C139" s="246" t="s">
        <v>121</v>
      </c>
      <c r="D139" s="247" t="s">
        <v>275</v>
      </c>
      <c r="E139" s="246" t="s">
        <v>274</v>
      </c>
      <c r="F139" s="248">
        <v>3105</v>
      </c>
      <c r="G139" s="248" t="s">
        <v>87</v>
      </c>
      <c r="H139" s="310"/>
      <c r="I139" s="311"/>
      <c r="J139" s="312"/>
      <c r="K139" s="311"/>
      <c r="L139" s="311"/>
      <c r="M139" s="312"/>
      <c r="N139" s="312">
        <f>_xlfn.XLOOKUP(CONCATENATE(tblPiNAnalysis[[#This Row],[Admin 2 P-Code]],tblPiNAnalysis[[#This Row],[Population Group]]),'Overall severity &amp; PIN Analysis'!A:A,'Overall severity &amp; PIN Analysis'!P:P,0,0)</f>
        <v>2423</v>
      </c>
      <c r="O139" s="311"/>
      <c r="P139" s="312"/>
      <c r="Q139" s="312"/>
      <c r="R139" s="312"/>
      <c r="S139" s="312"/>
      <c r="T139" s="313" t="str">
        <f>IF(tblPiNAnalysis[[#This Row],[Site Management ]]="", "", tblPiNAnalysis[[#This Row],[Site Management ]]/tblPiNAnalysis[[#This Row],[Total Population]])</f>
        <v/>
      </c>
      <c r="U139" s="314" t="str">
        <f>IF(tblPiNAnalysis[[#This Row],[Education]]="", "", tblPiNAnalysis[[#This Row],[Education]]/tblPiNAnalysis[[#This Row],[Total Population]])</f>
        <v/>
      </c>
      <c r="V139" s="314" t="str">
        <f>IF(tblPiNAnalysis[[#This Row],[Food Security and Livlihoods]]="", "", tblPiNAnalysis[[#This Row],[Food Security and Livlihoods]]/tblPiNAnalysis[[#This Row],[Total Population]])</f>
        <v/>
      </c>
      <c r="W139" s="315" t="str">
        <f>IF(tblPiNAnalysis[[#This Row],[Health ]]="", "", tblPiNAnalysis[[#This Row],[Health ]]/tblPiNAnalysis[[#This Row],[Total Population]])</f>
        <v/>
      </c>
      <c r="X139" s="314" t="str">
        <f>IF(tblPiNAnalysis[[#This Row],[Nutrition]]="", "", tblPiNAnalysis[[#This Row],[Nutrition]]/tblPiNAnalysis[[#This Row],[Total Population]])</f>
        <v/>
      </c>
      <c r="Y139" s="314" t="str">
        <f>IF(tblPiNAnalysis[[#This Row],[Protection]]="", "", tblPiNAnalysis[[#This Row],[Protection]]/tblPiNAnalysis[[#This Row],[Total Population]])</f>
        <v/>
      </c>
      <c r="Z139" s="316">
        <f>IF(tblPiNAnalysis[[#This Row],[Shelter NFI ]]="", "", tblPiNAnalysis[[#This Row],[Shelter NFI ]]/tblPiNAnalysis[[#This Row],[Total Population]])</f>
        <v>0.78035426731078905</v>
      </c>
      <c r="AA139" s="317" t="str">
        <f>IF(tblPiNAnalysis[[#This Row],[WASH]]="", "", tblPiNAnalysis[[#This Row],[WASH]]/tblPiNAnalysis[[#This Row],[Total Population]])</f>
        <v/>
      </c>
      <c r="AB139" s="318" t="str">
        <f>IFERROR(IF(tblPiNAnalysis[[#This Row],[CP]]="", "", MROUND(tblPiNAnalysis[[#This Row],[CP]]/tblPiNAnalysis[[#This Row],[Total Population]], 0.05)), "")</f>
        <v/>
      </c>
      <c r="AC139" s="314" t="str">
        <f>IFERROR(IF(tblPiNAnalysis[[#This Row],[GBV]]="", "", MROUND(tblPiNAnalysis[[#This Row],[GBV]]/tblPiNAnalysis[[#This Row],[Total Population]], 0.05)), "")</f>
        <v/>
      </c>
      <c r="AD139" s="314" t="str">
        <f>IFERROR(IF(tblPiNAnalysis[[#This Row],[Mine Action]]="", "", MROUND(tblPiNAnalysis[[#This Row],[Mine Action]]/tblPiNAnalysis[[#This Row],[Total Population]], 0.05)), "")</f>
        <v/>
      </c>
      <c r="AE139" s="314" t="str">
        <f>IFERROR(IF(tblPiNAnalysis[[#This Row],[General Protection]]="", "", MROUND(tblPiNAnalysis[[#This Row],[General Protection]]/tblPiNAnalysis[[#This Row],[Total Population]], 0.05)), "")</f>
        <v/>
      </c>
      <c r="AF139" s="319">
        <f>IFERROR(LARGE(tblPiNAnalysis[[#This Row],[Site Management ]:[General Protection]], 1), "")</f>
        <v>2423</v>
      </c>
      <c r="AG139" s="320">
        <f>IF(tblPiNAnalysis[[#This Row],[Highest PiN]]="", "",tblPiNAnalysis[[#This Row],[Highest PiN]]/ tblPiNAnalysis[[#This Row],[Total Population]])</f>
        <v>0.78035426731078905</v>
      </c>
      <c r="AH139" s="320" t="str">
        <f>IFERROR(IF(tblPiNAnalysis[[#This Row],[Highest PiN]]="", "", IF(tblPiNAnalysis[[#This Row],[Highest sector(s'') PiN %]]&gt;=flag_pin_perc, "Flagged", "")), "")</f>
        <v/>
      </c>
      <c r="AI139" s="321"/>
      <c r="AJ139" s="322"/>
      <c r="AK139" s="323">
        <f>COUNTIFS(tblPiNAnalysis[[#This Row],[Highest PiN greater than 90% of total affected population]:[Manual Flag]],"Flagged")</f>
        <v>0</v>
      </c>
      <c r="AL139" s="324" t="str">
        <f>IF(tblPiNAnalysis[[#This Row],['# Flags]]&gt;0, "Flagged", "")</f>
        <v/>
      </c>
    </row>
    <row r="140" spans="1:38" ht="23.1" hidden="1" customHeight="1" x14ac:dyDescent="0.2">
      <c r="A140" s="309" t="str">
        <f>_xlfn.CONCAT(IF(tblPiNAnalysis[[#This Row],[Population Group]]="", "",tblPiNAnalysis[[#This Row],[Population Group]] ), _xlfn.IFS(tblPiNAnalysis[[#This Row],[Admin 2 P-Code]]&lt;&gt;"", tblPiNAnalysis[[#This Row],[Admin 2 P-Code]], tblPiNAnalysis[[#This Row],[Admin 1 P-Code]]&lt;&gt;"", tblPiNAnalysis[[#This Row],[Admin 1 P-Code]]))</f>
        <v>IDPsSD04111</v>
      </c>
      <c r="B140" s="245" t="s">
        <v>191</v>
      </c>
      <c r="C140" s="246" t="s">
        <v>121</v>
      </c>
      <c r="D140" s="247" t="s">
        <v>275</v>
      </c>
      <c r="E140" s="246" t="s">
        <v>274</v>
      </c>
      <c r="F140" s="248">
        <v>3105</v>
      </c>
      <c r="G140" s="248" t="s">
        <v>88</v>
      </c>
      <c r="H140" s="310"/>
      <c r="I140" s="311"/>
      <c r="J140" s="312"/>
      <c r="K140" s="311"/>
      <c r="L140" s="311"/>
      <c r="M140" s="312"/>
      <c r="N140" s="312">
        <f>_xlfn.XLOOKUP(CONCATENATE(tblPiNAnalysis[[#This Row],[Admin 2 P-Code]],tblPiNAnalysis[[#This Row],[Population Group]]),'Overall severity &amp; PIN Analysis'!A:A,'Overall severity &amp; PIN Analysis'!P:P,0,0)</f>
        <v>2423</v>
      </c>
      <c r="O140" s="311"/>
      <c r="P140" s="312"/>
      <c r="Q140" s="312"/>
      <c r="R140" s="312"/>
      <c r="S140" s="312"/>
      <c r="T140" s="313" t="str">
        <f>IF(tblPiNAnalysis[[#This Row],[Site Management ]]="", "", tblPiNAnalysis[[#This Row],[Site Management ]]/tblPiNAnalysis[[#This Row],[Total Population]])</f>
        <v/>
      </c>
      <c r="U140" s="314" t="str">
        <f>IF(tblPiNAnalysis[[#This Row],[Education]]="", "", tblPiNAnalysis[[#This Row],[Education]]/tblPiNAnalysis[[#This Row],[Total Population]])</f>
        <v/>
      </c>
      <c r="V140" s="314" t="str">
        <f>IF(tblPiNAnalysis[[#This Row],[Food Security and Livlihoods]]="", "", tblPiNAnalysis[[#This Row],[Food Security and Livlihoods]]/tblPiNAnalysis[[#This Row],[Total Population]])</f>
        <v/>
      </c>
      <c r="W140" s="315" t="str">
        <f>IF(tblPiNAnalysis[[#This Row],[Health ]]="", "", tblPiNAnalysis[[#This Row],[Health ]]/tblPiNAnalysis[[#This Row],[Total Population]])</f>
        <v/>
      </c>
      <c r="X140" s="314" t="str">
        <f>IF(tblPiNAnalysis[[#This Row],[Nutrition]]="", "", tblPiNAnalysis[[#This Row],[Nutrition]]/tblPiNAnalysis[[#This Row],[Total Population]])</f>
        <v/>
      </c>
      <c r="Y140" s="314" t="str">
        <f>IF(tblPiNAnalysis[[#This Row],[Protection]]="", "", tblPiNAnalysis[[#This Row],[Protection]]/tblPiNAnalysis[[#This Row],[Total Population]])</f>
        <v/>
      </c>
      <c r="Z140" s="316">
        <f>IF(tblPiNAnalysis[[#This Row],[Shelter NFI ]]="", "", tblPiNAnalysis[[#This Row],[Shelter NFI ]]/tblPiNAnalysis[[#This Row],[Total Population]])</f>
        <v>0.78035426731078905</v>
      </c>
      <c r="AA140" s="317" t="str">
        <f>IF(tblPiNAnalysis[[#This Row],[WASH]]="", "", tblPiNAnalysis[[#This Row],[WASH]]/tblPiNAnalysis[[#This Row],[Total Population]])</f>
        <v/>
      </c>
      <c r="AB140" s="318" t="str">
        <f>IFERROR(IF(tblPiNAnalysis[[#This Row],[CP]]="", "", MROUND(tblPiNAnalysis[[#This Row],[CP]]/tblPiNAnalysis[[#This Row],[Total Population]], 0.05)), "")</f>
        <v/>
      </c>
      <c r="AC140" s="314" t="str">
        <f>IFERROR(IF(tblPiNAnalysis[[#This Row],[GBV]]="", "", MROUND(tblPiNAnalysis[[#This Row],[GBV]]/tblPiNAnalysis[[#This Row],[Total Population]], 0.05)), "")</f>
        <v/>
      </c>
      <c r="AD140" s="314" t="str">
        <f>IFERROR(IF(tblPiNAnalysis[[#This Row],[Mine Action]]="", "", MROUND(tblPiNAnalysis[[#This Row],[Mine Action]]/tblPiNAnalysis[[#This Row],[Total Population]], 0.05)), "")</f>
        <v/>
      </c>
      <c r="AE140" s="314" t="str">
        <f>IFERROR(IF(tblPiNAnalysis[[#This Row],[General Protection]]="", "", MROUND(tblPiNAnalysis[[#This Row],[General Protection]]/tblPiNAnalysis[[#This Row],[Total Population]], 0.05)), "")</f>
        <v/>
      </c>
      <c r="AF140" s="319">
        <f>IFERROR(LARGE(tblPiNAnalysis[[#This Row],[Site Management ]:[General Protection]], 1), "")</f>
        <v>2423</v>
      </c>
      <c r="AG140" s="320">
        <f>IF(tblPiNAnalysis[[#This Row],[Highest PiN]]="", "",tblPiNAnalysis[[#This Row],[Highest PiN]]/ tblPiNAnalysis[[#This Row],[Total Population]])</f>
        <v>0.78035426731078905</v>
      </c>
      <c r="AH140" s="320" t="str">
        <f>IFERROR(IF(tblPiNAnalysis[[#This Row],[Highest PiN]]="", "", IF(tblPiNAnalysis[[#This Row],[Highest sector(s'') PiN %]]&gt;=flag_pin_perc, "Flagged", "")), "")</f>
        <v/>
      </c>
      <c r="AI140" s="321"/>
      <c r="AJ140" s="322"/>
      <c r="AK140" s="323">
        <f>COUNTIFS(tblPiNAnalysis[[#This Row],[Highest PiN greater than 90% of total affected population]:[Manual Flag]],"Flagged")</f>
        <v>0</v>
      </c>
      <c r="AL140" s="324" t="str">
        <f>IF(tblPiNAnalysis[[#This Row],['# Flags]]&gt;0, "Flagged", "")</f>
        <v/>
      </c>
    </row>
    <row r="141" spans="1:38" ht="23.1" customHeight="1" x14ac:dyDescent="0.2">
      <c r="A141" s="309" t="str">
        <f>_xlfn.CONCAT(IF(tblPiNAnalysis[[#This Row],[Population Group]]="", "",tblPiNAnalysis[[#This Row],[Population Group]] ), _xlfn.IFS(tblPiNAnalysis[[#This Row],[Admin 2 P-Code]]&lt;&gt;"", tblPiNAnalysis[[#This Row],[Admin 2 P-Code]], tblPiNAnalysis[[#This Row],[Admin 1 P-Code]]&lt;&gt;"", tblPiNAnalysis[[#This Row],[Admin 1 P-Code]]))</f>
        <v>Non-hosting PopulationSD04111</v>
      </c>
      <c r="B141" s="245" t="s">
        <v>191</v>
      </c>
      <c r="C141" s="246" t="s">
        <v>121</v>
      </c>
      <c r="D141" s="247" t="s">
        <v>275</v>
      </c>
      <c r="E141" s="246" t="s">
        <v>274</v>
      </c>
      <c r="F141" s="248">
        <v>58928</v>
      </c>
      <c r="G141" s="248" t="s">
        <v>568</v>
      </c>
      <c r="H141" s="310"/>
      <c r="I141" s="311"/>
      <c r="J141" s="312"/>
      <c r="K141" s="311"/>
      <c r="L141" s="311"/>
      <c r="M141" s="312"/>
      <c r="N141" s="312">
        <f>_xlfn.XLOOKUP(CONCATENATE(tblPiNAnalysis[[#This Row],[Admin 2 P-Code]],tblPiNAnalysis[[#This Row],[Population Group]]),'Overall severity &amp; PIN Analysis'!A:A,'Overall severity &amp; PIN Analysis'!P:P,0,0)</f>
        <v>4059</v>
      </c>
      <c r="O141" s="311"/>
      <c r="P141" s="312"/>
      <c r="Q141" s="312"/>
      <c r="R141" s="312"/>
      <c r="S141" s="312"/>
      <c r="T141" s="313" t="str">
        <f>IF(tblPiNAnalysis[[#This Row],[Site Management ]]="", "", tblPiNAnalysis[[#This Row],[Site Management ]]/tblPiNAnalysis[[#This Row],[Total Population]])</f>
        <v/>
      </c>
      <c r="U141" s="314" t="str">
        <f>IF(tblPiNAnalysis[[#This Row],[Education]]="", "", tblPiNAnalysis[[#This Row],[Education]]/tblPiNAnalysis[[#This Row],[Total Population]])</f>
        <v/>
      </c>
      <c r="V141" s="314" t="str">
        <f>IF(tblPiNAnalysis[[#This Row],[Food Security and Livlihoods]]="", "", tblPiNAnalysis[[#This Row],[Food Security and Livlihoods]]/tblPiNAnalysis[[#This Row],[Total Population]])</f>
        <v/>
      </c>
      <c r="W141" s="315" t="str">
        <f>IF(tblPiNAnalysis[[#This Row],[Health ]]="", "", tblPiNAnalysis[[#This Row],[Health ]]/tblPiNAnalysis[[#This Row],[Total Population]])</f>
        <v/>
      </c>
      <c r="X141" s="314" t="str">
        <f>IF(tblPiNAnalysis[[#This Row],[Nutrition]]="", "", tblPiNAnalysis[[#This Row],[Nutrition]]/tblPiNAnalysis[[#This Row],[Total Population]])</f>
        <v/>
      </c>
      <c r="Y141" s="314" t="str">
        <f>IF(tblPiNAnalysis[[#This Row],[Protection]]="", "", tblPiNAnalysis[[#This Row],[Protection]]/tblPiNAnalysis[[#This Row],[Total Population]])</f>
        <v/>
      </c>
      <c r="Z141" s="316">
        <f>IF(tblPiNAnalysis[[#This Row],[Shelter NFI ]]="", "", tblPiNAnalysis[[#This Row],[Shelter NFI ]]/tblPiNAnalysis[[#This Row],[Total Population]])</f>
        <v>6.8880667933749667E-2</v>
      </c>
      <c r="AA141" s="317" t="str">
        <f>IF(tblPiNAnalysis[[#This Row],[WASH]]="", "", tblPiNAnalysis[[#This Row],[WASH]]/tblPiNAnalysis[[#This Row],[Total Population]])</f>
        <v/>
      </c>
      <c r="AB141" s="318" t="str">
        <f>IFERROR(IF(tblPiNAnalysis[[#This Row],[CP]]="", "", MROUND(tblPiNAnalysis[[#This Row],[CP]]/tblPiNAnalysis[[#This Row],[Total Population]], 0.05)), "")</f>
        <v/>
      </c>
      <c r="AC141" s="314" t="str">
        <f>IFERROR(IF(tblPiNAnalysis[[#This Row],[GBV]]="", "", MROUND(tblPiNAnalysis[[#This Row],[GBV]]/tblPiNAnalysis[[#This Row],[Total Population]], 0.05)), "")</f>
        <v/>
      </c>
      <c r="AD141" s="314" t="str">
        <f>IFERROR(IF(tblPiNAnalysis[[#This Row],[Mine Action]]="", "", MROUND(tblPiNAnalysis[[#This Row],[Mine Action]]/tblPiNAnalysis[[#This Row],[Total Population]], 0.05)), "")</f>
        <v/>
      </c>
      <c r="AE141" s="314" t="str">
        <f>IFERROR(IF(tblPiNAnalysis[[#This Row],[General Protection]]="", "", MROUND(tblPiNAnalysis[[#This Row],[General Protection]]/tblPiNAnalysis[[#This Row],[Total Population]], 0.05)), "")</f>
        <v/>
      </c>
      <c r="AF141" s="319">
        <f>IFERROR(LARGE(tblPiNAnalysis[[#This Row],[Site Management ]:[General Protection]], 1), "")</f>
        <v>4059</v>
      </c>
      <c r="AG141" s="320">
        <f>IF(tblPiNAnalysis[[#This Row],[Highest PiN]]="", "",tblPiNAnalysis[[#This Row],[Highest PiN]]/ tblPiNAnalysis[[#This Row],[Total Population]])</f>
        <v>6.8880667933749667E-2</v>
      </c>
      <c r="AH141" s="320" t="str">
        <f>IFERROR(IF(tblPiNAnalysis[[#This Row],[Highest PiN]]="", "", IF(tblPiNAnalysis[[#This Row],[Highest sector(s'') PiN %]]&gt;=flag_pin_perc, "Flagged", "")), "")</f>
        <v/>
      </c>
      <c r="AI141" s="321"/>
      <c r="AJ141" s="322"/>
      <c r="AK141" s="323">
        <f>COUNTIFS(tblPiNAnalysis[[#This Row],[Highest PiN greater than 90% of total affected population]:[Manual Flag]],"Flagged")</f>
        <v>0</v>
      </c>
      <c r="AL141" s="324" t="str">
        <f>IF(tblPiNAnalysis[[#This Row],['# Flags]]&gt;0, "Flagged", "")</f>
        <v/>
      </c>
    </row>
    <row r="142" spans="1:38" ht="23.1" hidden="1" customHeight="1" x14ac:dyDescent="0.2">
      <c r="A142" s="309" t="str">
        <f>_xlfn.CONCAT(IF(tblPiNAnalysis[[#This Row],[Population Group]]="", "",tblPiNAnalysis[[#This Row],[Population Group]] ), _xlfn.IFS(tblPiNAnalysis[[#This Row],[Admin 2 P-Code]]&lt;&gt;"", tblPiNAnalysis[[#This Row],[Admin 2 P-Code]], tblPiNAnalysis[[#This Row],[Admin 1 P-Code]]&lt;&gt;"", tblPiNAnalysis[[#This Row],[Admin 1 P-Code]]))</f>
        <v>Host CommunitySD04115</v>
      </c>
      <c r="B142" s="245" t="s">
        <v>191</v>
      </c>
      <c r="C142" s="246" t="s">
        <v>121</v>
      </c>
      <c r="D142" s="247" t="s">
        <v>277</v>
      </c>
      <c r="E142" s="246" t="s">
        <v>276</v>
      </c>
      <c r="F142" s="248">
        <v>69941</v>
      </c>
      <c r="G142" s="248" t="s">
        <v>87</v>
      </c>
      <c r="H142" s="310"/>
      <c r="I142" s="311"/>
      <c r="J142" s="312"/>
      <c r="K142" s="311"/>
      <c r="L142" s="311"/>
      <c r="M142" s="312"/>
      <c r="N142" s="312">
        <f>_xlfn.XLOOKUP(CONCATENATE(tblPiNAnalysis[[#This Row],[Admin 2 P-Code]],tblPiNAnalysis[[#This Row],[Population Group]]),'Overall severity &amp; PIN Analysis'!A:A,'Overall severity &amp; PIN Analysis'!P:P,0,0)</f>
        <v>23740</v>
      </c>
      <c r="O142" s="311"/>
      <c r="P142" s="312"/>
      <c r="Q142" s="312"/>
      <c r="R142" s="312"/>
      <c r="S142" s="312"/>
      <c r="T142" s="313" t="str">
        <f>IF(tblPiNAnalysis[[#This Row],[Site Management ]]="", "", tblPiNAnalysis[[#This Row],[Site Management ]]/tblPiNAnalysis[[#This Row],[Total Population]])</f>
        <v/>
      </c>
      <c r="U142" s="314" t="str">
        <f>IF(tblPiNAnalysis[[#This Row],[Education]]="", "", tblPiNAnalysis[[#This Row],[Education]]/tblPiNAnalysis[[#This Row],[Total Population]])</f>
        <v/>
      </c>
      <c r="V142" s="314" t="str">
        <f>IF(tblPiNAnalysis[[#This Row],[Food Security and Livlihoods]]="", "", tblPiNAnalysis[[#This Row],[Food Security and Livlihoods]]/tblPiNAnalysis[[#This Row],[Total Population]])</f>
        <v/>
      </c>
      <c r="W142" s="315" t="str">
        <f>IF(tblPiNAnalysis[[#This Row],[Health ]]="", "", tblPiNAnalysis[[#This Row],[Health ]]/tblPiNAnalysis[[#This Row],[Total Population]])</f>
        <v/>
      </c>
      <c r="X142" s="314" t="str">
        <f>IF(tblPiNAnalysis[[#This Row],[Nutrition]]="", "", tblPiNAnalysis[[#This Row],[Nutrition]]/tblPiNAnalysis[[#This Row],[Total Population]])</f>
        <v/>
      </c>
      <c r="Y142" s="314" t="str">
        <f>IF(tblPiNAnalysis[[#This Row],[Protection]]="", "", tblPiNAnalysis[[#This Row],[Protection]]/tblPiNAnalysis[[#This Row],[Total Population]])</f>
        <v/>
      </c>
      <c r="Z142" s="316">
        <f>IF(tblPiNAnalysis[[#This Row],[Shelter NFI ]]="", "", tblPiNAnalysis[[#This Row],[Shelter NFI ]]/tblPiNAnalysis[[#This Row],[Total Population]])</f>
        <v>0.33942894725554396</v>
      </c>
      <c r="AA142" s="317" t="str">
        <f>IF(tblPiNAnalysis[[#This Row],[WASH]]="", "", tblPiNAnalysis[[#This Row],[WASH]]/tblPiNAnalysis[[#This Row],[Total Population]])</f>
        <v/>
      </c>
      <c r="AB142" s="318" t="str">
        <f>IFERROR(IF(tblPiNAnalysis[[#This Row],[CP]]="", "", MROUND(tblPiNAnalysis[[#This Row],[CP]]/tblPiNAnalysis[[#This Row],[Total Population]], 0.05)), "")</f>
        <v/>
      </c>
      <c r="AC142" s="314" t="str">
        <f>IFERROR(IF(tblPiNAnalysis[[#This Row],[GBV]]="", "", MROUND(tblPiNAnalysis[[#This Row],[GBV]]/tblPiNAnalysis[[#This Row],[Total Population]], 0.05)), "")</f>
        <v/>
      </c>
      <c r="AD142" s="314" t="str">
        <f>IFERROR(IF(tblPiNAnalysis[[#This Row],[Mine Action]]="", "", MROUND(tblPiNAnalysis[[#This Row],[Mine Action]]/tblPiNAnalysis[[#This Row],[Total Population]], 0.05)), "")</f>
        <v/>
      </c>
      <c r="AE142" s="314" t="str">
        <f>IFERROR(IF(tblPiNAnalysis[[#This Row],[General Protection]]="", "", MROUND(tblPiNAnalysis[[#This Row],[General Protection]]/tblPiNAnalysis[[#This Row],[Total Population]], 0.05)), "")</f>
        <v/>
      </c>
      <c r="AF142" s="319">
        <f>IFERROR(LARGE(tblPiNAnalysis[[#This Row],[Site Management ]:[General Protection]], 1), "")</f>
        <v>23740</v>
      </c>
      <c r="AG142" s="320">
        <f>IF(tblPiNAnalysis[[#This Row],[Highest PiN]]="", "",tblPiNAnalysis[[#This Row],[Highest PiN]]/ tblPiNAnalysis[[#This Row],[Total Population]])</f>
        <v>0.33942894725554396</v>
      </c>
      <c r="AH142" s="320" t="str">
        <f>IFERROR(IF(tblPiNAnalysis[[#This Row],[Highest PiN]]="", "", IF(tblPiNAnalysis[[#This Row],[Highest sector(s'') PiN %]]&gt;=flag_pin_perc, "Flagged", "")), "")</f>
        <v/>
      </c>
      <c r="AI142" s="321"/>
      <c r="AJ142" s="322"/>
      <c r="AK142" s="323">
        <f>COUNTIFS(tblPiNAnalysis[[#This Row],[Highest PiN greater than 90% of total affected population]:[Manual Flag]],"Flagged")</f>
        <v>0</v>
      </c>
      <c r="AL142" s="324" t="str">
        <f>IF(tblPiNAnalysis[[#This Row],['# Flags]]&gt;0, "Flagged", "")</f>
        <v/>
      </c>
    </row>
    <row r="143" spans="1:38" ht="23.1" hidden="1" customHeight="1" x14ac:dyDescent="0.2">
      <c r="A143" s="309" t="str">
        <f>_xlfn.CONCAT(IF(tblPiNAnalysis[[#This Row],[Population Group]]="", "",tblPiNAnalysis[[#This Row],[Population Group]] ), _xlfn.IFS(tblPiNAnalysis[[#This Row],[Admin 2 P-Code]]&lt;&gt;"", tblPiNAnalysis[[#This Row],[Admin 2 P-Code]], tblPiNAnalysis[[#This Row],[Admin 1 P-Code]]&lt;&gt;"", tblPiNAnalysis[[#This Row],[Admin 1 P-Code]]))</f>
        <v>IDPsSD04115</v>
      </c>
      <c r="B143" s="245" t="s">
        <v>191</v>
      </c>
      <c r="C143" s="246" t="s">
        <v>121</v>
      </c>
      <c r="D143" s="247" t="s">
        <v>277</v>
      </c>
      <c r="E143" s="246" t="s">
        <v>276</v>
      </c>
      <c r="F143" s="248">
        <v>70495</v>
      </c>
      <c r="G143" s="248" t="s">
        <v>88</v>
      </c>
      <c r="H143" s="310"/>
      <c r="I143" s="311"/>
      <c r="J143" s="312"/>
      <c r="K143" s="311"/>
      <c r="L143" s="311"/>
      <c r="M143" s="312"/>
      <c r="N143" s="312">
        <f>_xlfn.XLOOKUP(CONCATENATE(tblPiNAnalysis[[#This Row],[Admin 2 P-Code]],tblPiNAnalysis[[#This Row],[Population Group]]),'Overall severity &amp; PIN Analysis'!A:A,'Overall severity &amp; PIN Analysis'!P:P,0,0)</f>
        <v>23927</v>
      </c>
      <c r="O143" s="311"/>
      <c r="P143" s="312"/>
      <c r="Q143" s="312"/>
      <c r="R143" s="312"/>
      <c r="S143" s="312"/>
      <c r="T143" s="313" t="str">
        <f>IF(tblPiNAnalysis[[#This Row],[Site Management ]]="", "", tblPiNAnalysis[[#This Row],[Site Management ]]/tblPiNAnalysis[[#This Row],[Total Population]])</f>
        <v/>
      </c>
      <c r="U143" s="314" t="str">
        <f>IF(tblPiNAnalysis[[#This Row],[Education]]="", "", tblPiNAnalysis[[#This Row],[Education]]/tblPiNAnalysis[[#This Row],[Total Population]])</f>
        <v/>
      </c>
      <c r="V143" s="314" t="str">
        <f>IF(tblPiNAnalysis[[#This Row],[Food Security and Livlihoods]]="", "", tblPiNAnalysis[[#This Row],[Food Security and Livlihoods]]/tblPiNAnalysis[[#This Row],[Total Population]])</f>
        <v/>
      </c>
      <c r="W143" s="315" t="str">
        <f>IF(tblPiNAnalysis[[#This Row],[Health ]]="", "", tblPiNAnalysis[[#This Row],[Health ]]/tblPiNAnalysis[[#This Row],[Total Population]])</f>
        <v/>
      </c>
      <c r="X143" s="314" t="str">
        <f>IF(tblPiNAnalysis[[#This Row],[Nutrition]]="", "", tblPiNAnalysis[[#This Row],[Nutrition]]/tblPiNAnalysis[[#This Row],[Total Population]])</f>
        <v/>
      </c>
      <c r="Y143" s="314" t="str">
        <f>IF(tblPiNAnalysis[[#This Row],[Protection]]="", "", tblPiNAnalysis[[#This Row],[Protection]]/tblPiNAnalysis[[#This Row],[Total Population]])</f>
        <v/>
      </c>
      <c r="Z143" s="316">
        <f>IF(tblPiNAnalysis[[#This Row],[Shelter NFI ]]="", "", tblPiNAnalysis[[#This Row],[Shelter NFI ]]/tblPiNAnalysis[[#This Row],[Total Population]])</f>
        <v>0.33941414284701044</v>
      </c>
      <c r="AA143" s="317" t="str">
        <f>IF(tblPiNAnalysis[[#This Row],[WASH]]="", "", tblPiNAnalysis[[#This Row],[WASH]]/tblPiNAnalysis[[#This Row],[Total Population]])</f>
        <v/>
      </c>
      <c r="AB143" s="318" t="str">
        <f>IFERROR(IF(tblPiNAnalysis[[#This Row],[CP]]="", "", MROUND(tblPiNAnalysis[[#This Row],[CP]]/tblPiNAnalysis[[#This Row],[Total Population]], 0.05)), "")</f>
        <v/>
      </c>
      <c r="AC143" s="314" t="str">
        <f>IFERROR(IF(tblPiNAnalysis[[#This Row],[GBV]]="", "", MROUND(tblPiNAnalysis[[#This Row],[GBV]]/tblPiNAnalysis[[#This Row],[Total Population]], 0.05)), "")</f>
        <v/>
      </c>
      <c r="AD143" s="314" t="str">
        <f>IFERROR(IF(tblPiNAnalysis[[#This Row],[Mine Action]]="", "", MROUND(tblPiNAnalysis[[#This Row],[Mine Action]]/tblPiNAnalysis[[#This Row],[Total Population]], 0.05)), "")</f>
        <v/>
      </c>
      <c r="AE143" s="314" t="str">
        <f>IFERROR(IF(tblPiNAnalysis[[#This Row],[General Protection]]="", "", MROUND(tblPiNAnalysis[[#This Row],[General Protection]]/tblPiNAnalysis[[#This Row],[Total Population]], 0.05)), "")</f>
        <v/>
      </c>
      <c r="AF143" s="319">
        <f>IFERROR(LARGE(tblPiNAnalysis[[#This Row],[Site Management ]:[General Protection]], 1), "")</f>
        <v>23927</v>
      </c>
      <c r="AG143" s="320">
        <f>IF(tblPiNAnalysis[[#This Row],[Highest PiN]]="", "",tblPiNAnalysis[[#This Row],[Highest PiN]]/ tblPiNAnalysis[[#This Row],[Total Population]])</f>
        <v>0.33941414284701044</v>
      </c>
      <c r="AH143" s="320" t="str">
        <f>IFERROR(IF(tblPiNAnalysis[[#This Row],[Highest PiN]]="", "", IF(tblPiNAnalysis[[#This Row],[Highest sector(s'') PiN %]]&gt;=flag_pin_perc, "Flagged", "")), "")</f>
        <v/>
      </c>
      <c r="AI143" s="321"/>
      <c r="AJ143" s="322"/>
      <c r="AK143" s="323">
        <f>COUNTIFS(tblPiNAnalysis[[#This Row],[Highest PiN greater than 90% of total affected population]:[Manual Flag]],"Flagged")</f>
        <v>0</v>
      </c>
      <c r="AL143" s="324" t="str">
        <f>IF(tblPiNAnalysis[[#This Row],['# Flags]]&gt;0, "Flagged", "")</f>
        <v/>
      </c>
    </row>
    <row r="144" spans="1:38" ht="23.1" customHeight="1" x14ac:dyDescent="0.2">
      <c r="A144" s="309" t="str">
        <f>_xlfn.CONCAT(IF(tblPiNAnalysis[[#This Row],[Population Group]]="", "",tblPiNAnalysis[[#This Row],[Population Group]] ), _xlfn.IFS(tblPiNAnalysis[[#This Row],[Admin 2 P-Code]]&lt;&gt;"", tblPiNAnalysis[[#This Row],[Admin 2 P-Code]], tblPiNAnalysis[[#This Row],[Admin 1 P-Code]]&lt;&gt;"", tblPiNAnalysis[[#This Row],[Admin 1 P-Code]]))</f>
        <v>Non-hosting PopulationSD04115</v>
      </c>
      <c r="B144" s="245" t="s">
        <v>191</v>
      </c>
      <c r="C144" s="246" t="s">
        <v>121</v>
      </c>
      <c r="D144" s="247" t="s">
        <v>277</v>
      </c>
      <c r="E144" s="246" t="s">
        <v>276</v>
      </c>
      <c r="F144" s="248">
        <v>54780</v>
      </c>
      <c r="G144" s="248" t="s">
        <v>568</v>
      </c>
      <c r="H144" s="310"/>
      <c r="I144" s="311"/>
      <c r="J144" s="312"/>
      <c r="K144" s="311"/>
      <c r="L144" s="311"/>
      <c r="M144" s="312"/>
      <c r="N144" s="312">
        <f>_xlfn.XLOOKUP(CONCATENATE(tblPiNAnalysis[[#This Row],[Admin 2 P-Code]],tblPiNAnalysis[[#This Row],[Population Group]]),'Overall severity &amp; PIN Analysis'!A:A,'Overall severity &amp; PIN Analysis'!P:P,0,0)</f>
        <v>2721</v>
      </c>
      <c r="O144" s="311"/>
      <c r="P144" s="312"/>
      <c r="Q144" s="312"/>
      <c r="R144" s="312"/>
      <c r="S144" s="312"/>
      <c r="T144" s="313" t="str">
        <f>IF(tblPiNAnalysis[[#This Row],[Site Management ]]="", "", tblPiNAnalysis[[#This Row],[Site Management ]]/tblPiNAnalysis[[#This Row],[Total Population]])</f>
        <v/>
      </c>
      <c r="U144" s="314" t="str">
        <f>IF(tblPiNAnalysis[[#This Row],[Education]]="", "", tblPiNAnalysis[[#This Row],[Education]]/tblPiNAnalysis[[#This Row],[Total Population]])</f>
        <v/>
      </c>
      <c r="V144" s="314" t="str">
        <f>IF(tblPiNAnalysis[[#This Row],[Food Security and Livlihoods]]="", "", tblPiNAnalysis[[#This Row],[Food Security and Livlihoods]]/tblPiNAnalysis[[#This Row],[Total Population]])</f>
        <v/>
      </c>
      <c r="W144" s="315" t="str">
        <f>IF(tblPiNAnalysis[[#This Row],[Health ]]="", "", tblPiNAnalysis[[#This Row],[Health ]]/tblPiNAnalysis[[#This Row],[Total Population]])</f>
        <v/>
      </c>
      <c r="X144" s="314" t="str">
        <f>IF(tblPiNAnalysis[[#This Row],[Nutrition]]="", "", tblPiNAnalysis[[#This Row],[Nutrition]]/tblPiNAnalysis[[#This Row],[Total Population]])</f>
        <v/>
      </c>
      <c r="Y144" s="314" t="str">
        <f>IF(tblPiNAnalysis[[#This Row],[Protection]]="", "", tblPiNAnalysis[[#This Row],[Protection]]/tblPiNAnalysis[[#This Row],[Total Population]])</f>
        <v/>
      </c>
      <c r="Z144" s="316">
        <f>IF(tblPiNAnalysis[[#This Row],[Shelter NFI ]]="", "", tblPiNAnalysis[[#This Row],[Shelter NFI ]]/tblPiNAnalysis[[#This Row],[Total Population]])</f>
        <v>4.9671412924424972E-2</v>
      </c>
      <c r="AA144" s="317" t="str">
        <f>IF(tblPiNAnalysis[[#This Row],[WASH]]="", "", tblPiNAnalysis[[#This Row],[WASH]]/tblPiNAnalysis[[#This Row],[Total Population]])</f>
        <v/>
      </c>
      <c r="AB144" s="318" t="str">
        <f>IFERROR(IF(tblPiNAnalysis[[#This Row],[CP]]="", "", MROUND(tblPiNAnalysis[[#This Row],[CP]]/tblPiNAnalysis[[#This Row],[Total Population]], 0.05)), "")</f>
        <v/>
      </c>
      <c r="AC144" s="314" t="str">
        <f>IFERROR(IF(tblPiNAnalysis[[#This Row],[GBV]]="", "", MROUND(tblPiNAnalysis[[#This Row],[GBV]]/tblPiNAnalysis[[#This Row],[Total Population]], 0.05)), "")</f>
        <v/>
      </c>
      <c r="AD144" s="314" t="str">
        <f>IFERROR(IF(tblPiNAnalysis[[#This Row],[Mine Action]]="", "", MROUND(tblPiNAnalysis[[#This Row],[Mine Action]]/tblPiNAnalysis[[#This Row],[Total Population]], 0.05)), "")</f>
        <v/>
      </c>
      <c r="AE144" s="314" t="str">
        <f>IFERROR(IF(tblPiNAnalysis[[#This Row],[General Protection]]="", "", MROUND(tblPiNAnalysis[[#This Row],[General Protection]]/tblPiNAnalysis[[#This Row],[Total Population]], 0.05)), "")</f>
        <v/>
      </c>
      <c r="AF144" s="319">
        <f>IFERROR(LARGE(tblPiNAnalysis[[#This Row],[Site Management ]:[General Protection]], 1), "")</f>
        <v>2721</v>
      </c>
      <c r="AG144" s="320">
        <f>IF(tblPiNAnalysis[[#This Row],[Highest PiN]]="", "",tblPiNAnalysis[[#This Row],[Highest PiN]]/ tblPiNAnalysis[[#This Row],[Total Population]])</f>
        <v>4.9671412924424972E-2</v>
      </c>
      <c r="AH144" s="320" t="str">
        <f>IFERROR(IF(tblPiNAnalysis[[#This Row],[Highest PiN]]="", "", IF(tblPiNAnalysis[[#This Row],[Highest sector(s'') PiN %]]&gt;=flag_pin_perc, "Flagged", "")), "")</f>
        <v/>
      </c>
      <c r="AI144" s="321"/>
      <c r="AJ144" s="322"/>
      <c r="AK144" s="323">
        <f>COUNTIFS(tblPiNAnalysis[[#This Row],[Highest PiN greater than 90% of total affected population]:[Manual Flag]],"Flagged")</f>
        <v>0</v>
      </c>
      <c r="AL144" s="324" t="str">
        <f>IF(tblPiNAnalysis[[#This Row],['# Flags]]&gt;0, "Flagged", "")</f>
        <v/>
      </c>
    </row>
    <row r="145" spans="1:38" ht="23.1" hidden="1" customHeight="1" x14ac:dyDescent="0.2">
      <c r="A145" s="309" t="str">
        <f>_xlfn.CONCAT(IF(tblPiNAnalysis[[#This Row],[Population Group]]="", "",tblPiNAnalysis[[#This Row],[Population Group]] ), _xlfn.IFS(tblPiNAnalysis[[#This Row],[Admin 2 P-Code]]&lt;&gt;"", tblPiNAnalysis[[#This Row],[Admin 2 P-Code]], tblPiNAnalysis[[#This Row],[Admin 1 P-Code]]&lt;&gt;"", tblPiNAnalysis[[#This Row],[Admin 1 P-Code]]))</f>
        <v>Host CommunitySD04121</v>
      </c>
      <c r="B145" s="245" t="s">
        <v>191</v>
      </c>
      <c r="C145" s="246" t="s">
        <v>121</v>
      </c>
      <c r="D145" s="247" t="s">
        <v>279</v>
      </c>
      <c r="E145" s="246" t="s">
        <v>278</v>
      </c>
      <c r="F145" s="248">
        <v>9710</v>
      </c>
      <c r="G145" s="248" t="s">
        <v>87</v>
      </c>
      <c r="H145" s="310"/>
      <c r="I145" s="311"/>
      <c r="J145" s="312"/>
      <c r="K145" s="311"/>
      <c r="L145" s="311"/>
      <c r="M145" s="312"/>
      <c r="N145" s="312">
        <f>_xlfn.XLOOKUP(CONCATENATE(tblPiNAnalysis[[#This Row],[Admin 2 P-Code]],tblPiNAnalysis[[#This Row],[Population Group]]),'Overall severity &amp; PIN Analysis'!A:A,'Overall severity &amp; PIN Analysis'!P:P,0,0)</f>
        <v>4996</v>
      </c>
      <c r="O145" s="311"/>
      <c r="P145" s="312"/>
      <c r="Q145" s="312"/>
      <c r="R145" s="312"/>
      <c r="S145" s="312"/>
      <c r="T145" s="313" t="str">
        <f>IF(tblPiNAnalysis[[#This Row],[Site Management ]]="", "", tblPiNAnalysis[[#This Row],[Site Management ]]/tblPiNAnalysis[[#This Row],[Total Population]])</f>
        <v/>
      </c>
      <c r="U145" s="314" t="str">
        <f>IF(tblPiNAnalysis[[#This Row],[Education]]="", "", tblPiNAnalysis[[#This Row],[Education]]/tblPiNAnalysis[[#This Row],[Total Population]])</f>
        <v/>
      </c>
      <c r="V145" s="314" t="str">
        <f>IF(tblPiNAnalysis[[#This Row],[Food Security and Livlihoods]]="", "", tblPiNAnalysis[[#This Row],[Food Security and Livlihoods]]/tblPiNAnalysis[[#This Row],[Total Population]])</f>
        <v/>
      </c>
      <c r="W145" s="315" t="str">
        <f>IF(tblPiNAnalysis[[#This Row],[Health ]]="", "", tblPiNAnalysis[[#This Row],[Health ]]/tblPiNAnalysis[[#This Row],[Total Population]])</f>
        <v/>
      </c>
      <c r="X145" s="314" t="str">
        <f>IF(tblPiNAnalysis[[#This Row],[Nutrition]]="", "", tblPiNAnalysis[[#This Row],[Nutrition]]/tblPiNAnalysis[[#This Row],[Total Population]])</f>
        <v/>
      </c>
      <c r="Y145" s="314" t="str">
        <f>IF(tblPiNAnalysis[[#This Row],[Protection]]="", "", tblPiNAnalysis[[#This Row],[Protection]]/tblPiNAnalysis[[#This Row],[Total Population]])</f>
        <v/>
      </c>
      <c r="Z145" s="316">
        <f>IF(tblPiNAnalysis[[#This Row],[Shelter NFI ]]="", "", tblPiNAnalysis[[#This Row],[Shelter NFI ]]/tblPiNAnalysis[[#This Row],[Total Population]])</f>
        <v>0.51452111225540675</v>
      </c>
      <c r="AA145" s="317" t="str">
        <f>IF(tblPiNAnalysis[[#This Row],[WASH]]="", "", tblPiNAnalysis[[#This Row],[WASH]]/tblPiNAnalysis[[#This Row],[Total Population]])</f>
        <v/>
      </c>
      <c r="AB145" s="318" t="str">
        <f>IFERROR(IF(tblPiNAnalysis[[#This Row],[CP]]="", "", MROUND(tblPiNAnalysis[[#This Row],[CP]]/tblPiNAnalysis[[#This Row],[Total Population]], 0.05)), "")</f>
        <v/>
      </c>
      <c r="AC145" s="314" t="str">
        <f>IFERROR(IF(tblPiNAnalysis[[#This Row],[GBV]]="", "", MROUND(tblPiNAnalysis[[#This Row],[GBV]]/tblPiNAnalysis[[#This Row],[Total Population]], 0.05)), "")</f>
        <v/>
      </c>
      <c r="AD145" s="314" t="str">
        <f>IFERROR(IF(tblPiNAnalysis[[#This Row],[Mine Action]]="", "", MROUND(tblPiNAnalysis[[#This Row],[Mine Action]]/tblPiNAnalysis[[#This Row],[Total Population]], 0.05)), "")</f>
        <v/>
      </c>
      <c r="AE145" s="314" t="str">
        <f>IFERROR(IF(tblPiNAnalysis[[#This Row],[General Protection]]="", "", MROUND(tblPiNAnalysis[[#This Row],[General Protection]]/tblPiNAnalysis[[#This Row],[Total Population]], 0.05)), "")</f>
        <v/>
      </c>
      <c r="AF145" s="319">
        <f>IFERROR(LARGE(tblPiNAnalysis[[#This Row],[Site Management ]:[General Protection]], 1), "")</f>
        <v>4996</v>
      </c>
      <c r="AG145" s="320">
        <f>IF(tblPiNAnalysis[[#This Row],[Highest PiN]]="", "",tblPiNAnalysis[[#This Row],[Highest PiN]]/ tblPiNAnalysis[[#This Row],[Total Population]])</f>
        <v>0.51452111225540675</v>
      </c>
      <c r="AH145" s="320" t="str">
        <f>IFERROR(IF(tblPiNAnalysis[[#This Row],[Highest PiN]]="", "", IF(tblPiNAnalysis[[#This Row],[Highest sector(s'') PiN %]]&gt;=flag_pin_perc, "Flagged", "")), "")</f>
        <v/>
      </c>
      <c r="AI145" s="321"/>
      <c r="AJ145" s="322"/>
      <c r="AK145" s="323">
        <f>COUNTIFS(tblPiNAnalysis[[#This Row],[Highest PiN greater than 90% of total affected population]:[Manual Flag]],"Flagged")</f>
        <v>0</v>
      </c>
      <c r="AL145" s="324" t="str">
        <f>IF(tblPiNAnalysis[[#This Row],['# Flags]]&gt;0, "Flagged", "")</f>
        <v/>
      </c>
    </row>
    <row r="146" spans="1:38" ht="23.1" hidden="1" customHeight="1" x14ac:dyDescent="0.2">
      <c r="A146" s="309" t="str">
        <f>_xlfn.CONCAT(IF(tblPiNAnalysis[[#This Row],[Population Group]]="", "",tblPiNAnalysis[[#This Row],[Population Group]] ), _xlfn.IFS(tblPiNAnalysis[[#This Row],[Admin 2 P-Code]]&lt;&gt;"", tblPiNAnalysis[[#This Row],[Admin 2 P-Code]], tblPiNAnalysis[[#This Row],[Admin 1 P-Code]]&lt;&gt;"", tblPiNAnalysis[[#This Row],[Admin 1 P-Code]]))</f>
        <v>IDPsSD04121</v>
      </c>
      <c r="B146" s="245" t="s">
        <v>191</v>
      </c>
      <c r="C146" s="246" t="s">
        <v>121</v>
      </c>
      <c r="D146" s="247" t="s">
        <v>279</v>
      </c>
      <c r="E146" s="246" t="s">
        <v>278</v>
      </c>
      <c r="F146" s="248">
        <v>9710</v>
      </c>
      <c r="G146" s="248" t="s">
        <v>88</v>
      </c>
      <c r="H146" s="310"/>
      <c r="I146" s="311"/>
      <c r="J146" s="312"/>
      <c r="K146" s="311"/>
      <c r="L146" s="311"/>
      <c r="M146" s="312"/>
      <c r="N146" s="312">
        <f>_xlfn.XLOOKUP(CONCATENATE(tblPiNAnalysis[[#This Row],[Admin 2 P-Code]],tblPiNAnalysis[[#This Row],[Population Group]]),'Overall severity &amp; PIN Analysis'!A:A,'Overall severity &amp; PIN Analysis'!P:P,0,0)</f>
        <v>4996</v>
      </c>
      <c r="O146" s="311"/>
      <c r="P146" s="312"/>
      <c r="Q146" s="312"/>
      <c r="R146" s="312"/>
      <c r="S146" s="312"/>
      <c r="T146" s="313" t="str">
        <f>IF(tblPiNAnalysis[[#This Row],[Site Management ]]="", "", tblPiNAnalysis[[#This Row],[Site Management ]]/tblPiNAnalysis[[#This Row],[Total Population]])</f>
        <v/>
      </c>
      <c r="U146" s="314" t="str">
        <f>IF(tblPiNAnalysis[[#This Row],[Education]]="", "", tblPiNAnalysis[[#This Row],[Education]]/tblPiNAnalysis[[#This Row],[Total Population]])</f>
        <v/>
      </c>
      <c r="V146" s="314" t="str">
        <f>IF(tblPiNAnalysis[[#This Row],[Food Security and Livlihoods]]="", "", tblPiNAnalysis[[#This Row],[Food Security and Livlihoods]]/tblPiNAnalysis[[#This Row],[Total Population]])</f>
        <v/>
      </c>
      <c r="W146" s="315" t="str">
        <f>IF(tblPiNAnalysis[[#This Row],[Health ]]="", "", tblPiNAnalysis[[#This Row],[Health ]]/tblPiNAnalysis[[#This Row],[Total Population]])</f>
        <v/>
      </c>
      <c r="X146" s="314" t="str">
        <f>IF(tblPiNAnalysis[[#This Row],[Nutrition]]="", "", tblPiNAnalysis[[#This Row],[Nutrition]]/tblPiNAnalysis[[#This Row],[Total Population]])</f>
        <v/>
      </c>
      <c r="Y146" s="314" t="str">
        <f>IF(tblPiNAnalysis[[#This Row],[Protection]]="", "", tblPiNAnalysis[[#This Row],[Protection]]/tblPiNAnalysis[[#This Row],[Total Population]])</f>
        <v/>
      </c>
      <c r="Z146" s="316">
        <f>IF(tblPiNAnalysis[[#This Row],[Shelter NFI ]]="", "", tblPiNAnalysis[[#This Row],[Shelter NFI ]]/tblPiNAnalysis[[#This Row],[Total Population]])</f>
        <v>0.51452111225540675</v>
      </c>
      <c r="AA146" s="317" t="str">
        <f>IF(tblPiNAnalysis[[#This Row],[WASH]]="", "", tblPiNAnalysis[[#This Row],[WASH]]/tblPiNAnalysis[[#This Row],[Total Population]])</f>
        <v/>
      </c>
      <c r="AB146" s="318" t="str">
        <f>IFERROR(IF(tblPiNAnalysis[[#This Row],[CP]]="", "", MROUND(tblPiNAnalysis[[#This Row],[CP]]/tblPiNAnalysis[[#This Row],[Total Population]], 0.05)), "")</f>
        <v/>
      </c>
      <c r="AC146" s="314" t="str">
        <f>IFERROR(IF(tblPiNAnalysis[[#This Row],[GBV]]="", "", MROUND(tblPiNAnalysis[[#This Row],[GBV]]/tblPiNAnalysis[[#This Row],[Total Population]], 0.05)), "")</f>
        <v/>
      </c>
      <c r="AD146" s="314" t="str">
        <f>IFERROR(IF(tblPiNAnalysis[[#This Row],[Mine Action]]="", "", MROUND(tblPiNAnalysis[[#This Row],[Mine Action]]/tblPiNAnalysis[[#This Row],[Total Population]], 0.05)), "")</f>
        <v/>
      </c>
      <c r="AE146" s="314" t="str">
        <f>IFERROR(IF(tblPiNAnalysis[[#This Row],[General Protection]]="", "", MROUND(tblPiNAnalysis[[#This Row],[General Protection]]/tblPiNAnalysis[[#This Row],[Total Population]], 0.05)), "")</f>
        <v/>
      </c>
      <c r="AF146" s="319">
        <f>IFERROR(LARGE(tblPiNAnalysis[[#This Row],[Site Management ]:[General Protection]], 1), "")</f>
        <v>4996</v>
      </c>
      <c r="AG146" s="320">
        <f>IF(tblPiNAnalysis[[#This Row],[Highest PiN]]="", "",tblPiNAnalysis[[#This Row],[Highest PiN]]/ tblPiNAnalysis[[#This Row],[Total Population]])</f>
        <v>0.51452111225540675</v>
      </c>
      <c r="AH146" s="320" t="str">
        <f>IFERROR(IF(tblPiNAnalysis[[#This Row],[Highest PiN]]="", "", IF(tblPiNAnalysis[[#This Row],[Highest sector(s'') PiN %]]&gt;=flag_pin_perc, "Flagged", "")), "")</f>
        <v/>
      </c>
      <c r="AI146" s="321"/>
      <c r="AJ146" s="322"/>
      <c r="AK146" s="323">
        <f>COUNTIFS(tblPiNAnalysis[[#This Row],[Highest PiN greater than 90% of total affected population]:[Manual Flag]],"Flagged")</f>
        <v>0</v>
      </c>
      <c r="AL146" s="324" t="str">
        <f>IF(tblPiNAnalysis[[#This Row],['# Flags]]&gt;0, "Flagged", "")</f>
        <v/>
      </c>
    </row>
    <row r="147" spans="1:38" ht="23.1" customHeight="1" x14ac:dyDescent="0.2">
      <c r="A147" s="309" t="str">
        <f>_xlfn.CONCAT(IF(tblPiNAnalysis[[#This Row],[Population Group]]="", "",tblPiNAnalysis[[#This Row],[Population Group]] ), _xlfn.IFS(tblPiNAnalysis[[#This Row],[Admin 2 P-Code]]&lt;&gt;"", tblPiNAnalysis[[#This Row],[Admin 2 P-Code]], tblPiNAnalysis[[#This Row],[Admin 1 P-Code]]&lt;&gt;"", tblPiNAnalysis[[#This Row],[Admin 1 P-Code]]))</f>
        <v>Non-hosting PopulationSD04121</v>
      </c>
      <c r="B147" s="245" t="s">
        <v>191</v>
      </c>
      <c r="C147" s="246" t="s">
        <v>121</v>
      </c>
      <c r="D147" s="247" t="s">
        <v>279</v>
      </c>
      <c r="E147" s="246" t="s">
        <v>278</v>
      </c>
      <c r="F147" s="248">
        <v>13732</v>
      </c>
      <c r="G147" s="248" t="s">
        <v>568</v>
      </c>
      <c r="H147" s="310"/>
      <c r="I147" s="311"/>
      <c r="J147" s="312"/>
      <c r="K147" s="311"/>
      <c r="L147" s="311"/>
      <c r="M147" s="312"/>
      <c r="N147" s="312">
        <f>_xlfn.XLOOKUP(CONCATENATE(tblPiNAnalysis[[#This Row],[Admin 2 P-Code]],tblPiNAnalysis[[#This Row],[Population Group]]),'Overall severity &amp; PIN Analysis'!A:A,'Overall severity &amp; PIN Analysis'!P:P,0,0)</f>
        <v>3240</v>
      </c>
      <c r="O147" s="311"/>
      <c r="P147" s="312"/>
      <c r="Q147" s="312"/>
      <c r="R147" s="312"/>
      <c r="S147" s="312"/>
      <c r="T147" s="313" t="str">
        <f>IF(tblPiNAnalysis[[#This Row],[Site Management ]]="", "", tblPiNAnalysis[[#This Row],[Site Management ]]/tblPiNAnalysis[[#This Row],[Total Population]])</f>
        <v/>
      </c>
      <c r="U147" s="314" t="str">
        <f>IF(tblPiNAnalysis[[#This Row],[Education]]="", "", tblPiNAnalysis[[#This Row],[Education]]/tblPiNAnalysis[[#This Row],[Total Population]])</f>
        <v/>
      </c>
      <c r="V147" s="314" t="str">
        <f>IF(tblPiNAnalysis[[#This Row],[Food Security and Livlihoods]]="", "", tblPiNAnalysis[[#This Row],[Food Security and Livlihoods]]/tblPiNAnalysis[[#This Row],[Total Population]])</f>
        <v/>
      </c>
      <c r="W147" s="315" t="str">
        <f>IF(tblPiNAnalysis[[#This Row],[Health ]]="", "", tblPiNAnalysis[[#This Row],[Health ]]/tblPiNAnalysis[[#This Row],[Total Population]])</f>
        <v/>
      </c>
      <c r="X147" s="314" t="str">
        <f>IF(tblPiNAnalysis[[#This Row],[Nutrition]]="", "", tblPiNAnalysis[[#This Row],[Nutrition]]/tblPiNAnalysis[[#This Row],[Total Population]])</f>
        <v/>
      </c>
      <c r="Y147" s="314" t="str">
        <f>IF(tblPiNAnalysis[[#This Row],[Protection]]="", "", tblPiNAnalysis[[#This Row],[Protection]]/tblPiNAnalysis[[#This Row],[Total Population]])</f>
        <v/>
      </c>
      <c r="Z147" s="316">
        <f>IF(tblPiNAnalysis[[#This Row],[Shelter NFI ]]="", "", tblPiNAnalysis[[#This Row],[Shelter NFI ]]/tblPiNAnalysis[[#This Row],[Total Population]])</f>
        <v>0.23594523740168949</v>
      </c>
      <c r="AA147" s="317" t="str">
        <f>IF(tblPiNAnalysis[[#This Row],[WASH]]="", "", tblPiNAnalysis[[#This Row],[WASH]]/tblPiNAnalysis[[#This Row],[Total Population]])</f>
        <v/>
      </c>
      <c r="AB147" s="318" t="str">
        <f>IFERROR(IF(tblPiNAnalysis[[#This Row],[CP]]="", "", MROUND(tblPiNAnalysis[[#This Row],[CP]]/tblPiNAnalysis[[#This Row],[Total Population]], 0.05)), "")</f>
        <v/>
      </c>
      <c r="AC147" s="314" t="str">
        <f>IFERROR(IF(tblPiNAnalysis[[#This Row],[GBV]]="", "", MROUND(tblPiNAnalysis[[#This Row],[GBV]]/tblPiNAnalysis[[#This Row],[Total Population]], 0.05)), "")</f>
        <v/>
      </c>
      <c r="AD147" s="314" t="str">
        <f>IFERROR(IF(tblPiNAnalysis[[#This Row],[Mine Action]]="", "", MROUND(tblPiNAnalysis[[#This Row],[Mine Action]]/tblPiNAnalysis[[#This Row],[Total Population]], 0.05)), "")</f>
        <v/>
      </c>
      <c r="AE147" s="314" t="str">
        <f>IFERROR(IF(tblPiNAnalysis[[#This Row],[General Protection]]="", "", MROUND(tblPiNAnalysis[[#This Row],[General Protection]]/tblPiNAnalysis[[#This Row],[Total Population]], 0.05)), "")</f>
        <v/>
      </c>
      <c r="AF147" s="319">
        <f>IFERROR(LARGE(tblPiNAnalysis[[#This Row],[Site Management ]:[General Protection]], 1), "")</f>
        <v>3240</v>
      </c>
      <c r="AG147" s="320">
        <f>IF(tblPiNAnalysis[[#This Row],[Highest PiN]]="", "",tblPiNAnalysis[[#This Row],[Highest PiN]]/ tblPiNAnalysis[[#This Row],[Total Population]])</f>
        <v>0.23594523740168949</v>
      </c>
      <c r="AH147" s="320" t="str">
        <f>IFERROR(IF(tblPiNAnalysis[[#This Row],[Highest PiN]]="", "", IF(tblPiNAnalysis[[#This Row],[Highest sector(s'') PiN %]]&gt;=flag_pin_perc, "Flagged", "")), "")</f>
        <v/>
      </c>
      <c r="AI147" s="321"/>
      <c r="AJ147" s="322"/>
      <c r="AK147" s="323">
        <f>COUNTIFS(tblPiNAnalysis[[#This Row],[Highest PiN greater than 90% of total affected population]:[Manual Flag]],"Flagged")</f>
        <v>0</v>
      </c>
      <c r="AL147" s="324" t="str">
        <f>IF(tblPiNAnalysis[[#This Row],['# Flags]]&gt;0, "Flagged", "")</f>
        <v/>
      </c>
    </row>
    <row r="148" spans="1:38" ht="23.1" hidden="1" customHeight="1" x14ac:dyDescent="0.2">
      <c r="A148" s="309" t="str">
        <f>_xlfn.CONCAT(IF(tblPiNAnalysis[[#This Row],[Population Group]]="", "",tblPiNAnalysis[[#This Row],[Population Group]] ), _xlfn.IFS(tblPiNAnalysis[[#This Row],[Admin 2 P-Code]]&lt;&gt;"", tblPiNAnalysis[[#This Row],[Admin 2 P-Code]], tblPiNAnalysis[[#This Row],[Admin 1 P-Code]]&lt;&gt;"", tblPiNAnalysis[[#This Row],[Admin 1 P-Code]]))</f>
        <v>Host CommunitySD04122</v>
      </c>
      <c r="B148" s="245" t="s">
        <v>191</v>
      </c>
      <c r="C148" s="246" t="s">
        <v>121</v>
      </c>
      <c r="D148" s="247" t="s">
        <v>281</v>
      </c>
      <c r="E148" s="246" t="s">
        <v>280</v>
      </c>
      <c r="F148" s="248">
        <v>17721</v>
      </c>
      <c r="G148" s="248" t="s">
        <v>87</v>
      </c>
      <c r="H148" s="310"/>
      <c r="I148" s="311"/>
      <c r="J148" s="312"/>
      <c r="K148" s="311"/>
      <c r="L148" s="311"/>
      <c r="M148" s="312"/>
      <c r="N148" s="312">
        <f>_xlfn.XLOOKUP(CONCATENATE(tblPiNAnalysis[[#This Row],[Admin 2 P-Code]],tblPiNAnalysis[[#This Row],[Population Group]]),'Overall severity &amp; PIN Analysis'!A:A,'Overall severity &amp; PIN Analysis'!P:P,0,0)</f>
        <v>11297</v>
      </c>
      <c r="O148" s="311"/>
      <c r="P148" s="312"/>
      <c r="Q148" s="312"/>
      <c r="R148" s="312"/>
      <c r="S148" s="312"/>
      <c r="T148" s="313" t="str">
        <f>IF(tblPiNAnalysis[[#This Row],[Site Management ]]="", "", tblPiNAnalysis[[#This Row],[Site Management ]]/tblPiNAnalysis[[#This Row],[Total Population]])</f>
        <v/>
      </c>
      <c r="U148" s="314" t="str">
        <f>IF(tblPiNAnalysis[[#This Row],[Education]]="", "", tblPiNAnalysis[[#This Row],[Education]]/tblPiNAnalysis[[#This Row],[Total Population]])</f>
        <v/>
      </c>
      <c r="V148" s="314" t="str">
        <f>IF(tblPiNAnalysis[[#This Row],[Food Security and Livlihoods]]="", "", tblPiNAnalysis[[#This Row],[Food Security and Livlihoods]]/tblPiNAnalysis[[#This Row],[Total Population]])</f>
        <v/>
      </c>
      <c r="W148" s="315" t="str">
        <f>IF(tblPiNAnalysis[[#This Row],[Health ]]="", "", tblPiNAnalysis[[#This Row],[Health ]]/tblPiNAnalysis[[#This Row],[Total Population]])</f>
        <v/>
      </c>
      <c r="X148" s="314" t="str">
        <f>IF(tblPiNAnalysis[[#This Row],[Nutrition]]="", "", tblPiNAnalysis[[#This Row],[Nutrition]]/tblPiNAnalysis[[#This Row],[Total Population]])</f>
        <v/>
      </c>
      <c r="Y148" s="314" t="str">
        <f>IF(tblPiNAnalysis[[#This Row],[Protection]]="", "", tblPiNAnalysis[[#This Row],[Protection]]/tblPiNAnalysis[[#This Row],[Total Population]])</f>
        <v/>
      </c>
      <c r="Z148" s="316">
        <f>IF(tblPiNAnalysis[[#This Row],[Shelter NFI ]]="", "", tblPiNAnalysis[[#This Row],[Shelter NFI ]]/tblPiNAnalysis[[#This Row],[Total Population]])</f>
        <v>0.6374922408441962</v>
      </c>
      <c r="AA148" s="317" t="str">
        <f>IF(tblPiNAnalysis[[#This Row],[WASH]]="", "", tblPiNAnalysis[[#This Row],[WASH]]/tblPiNAnalysis[[#This Row],[Total Population]])</f>
        <v/>
      </c>
      <c r="AB148" s="318" t="str">
        <f>IFERROR(IF(tblPiNAnalysis[[#This Row],[CP]]="", "", MROUND(tblPiNAnalysis[[#This Row],[CP]]/tblPiNAnalysis[[#This Row],[Total Population]], 0.05)), "")</f>
        <v/>
      </c>
      <c r="AC148" s="314" t="str">
        <f>IFERROR(IF(tblPiNAnalysis[[#This Row],[GBV]]="", "", MROUND(tblPiNAnalysis[[#This Row],[GBV]]/tblPiNAnalysis[[#This Row],[Total Population]], 0.05)), "")</f>
        <v/>
      </c>
      <c r="AD148" s="314" t="str">
        <f>IFERROR(IF(tblPiNAnalysis[[#This Row],[Mine Action]]="", "", MROUND(tblPiNAnalysis[[#This Row],[Mine Action]]/tblPiNAnalysis[[#This Row],[Total Population]], 0.05)), "")</f>
        <v/>
      </c>
      <c r="AE148" s="314" t="str">
        <f>IFERROR(IF(tblPiNAnalysis[[#This Row],[General Protection]]="", "", MROUND(tblPiNAnalysis[[#This Row],[General Protection]]/tblPiNAnalysis[[#This Row],[Total Population]], 0.05)), "")</f>
        <v/>
      </c>
      <c r="AF148" s="319">
        <f>IFERROR(LARGE(tblPiNAnalysis[[#This Row],[Site Management ]:[General Protection]], 1), "")</f>
        <v>11297</v>
      </c>
      <c r="AG148" s="320">
        <f>IF(tblPiNAnalysis[[#This Row],[Highest PiN]]="", "",tblPiNAnalysis[[#This Row],[Highest PiN]]/ tblPiNAnalysis[[#This Row],[Total Population]])</f>
        <v>0.6374922408441962</v>
      </c>
      <c r="AH148" s="320" t="str">
        <f>IFERROR(IF(tblPiNAnalysis[[#This Row],[Highest PiN]]="", "", IF(tblPiNAnalysis[[#This Row],[Highest sector(s'') PiN %]]&gt;=flag_pin_perc, "Flagged", "")), "")</f>
        <v/>
      </c>
      <c r="AI148" s="321"/>
      <c r="AJ148" s="322"/>
      <c r="AK148" s="323">
        <f>COUNTIFS(tblPiNAnalysis[[#This Row],[Highest PiN greater than 90% of total affected population]:[Manual Flag]],"Flagged")</f>
        <v>0</v>
      </c>
      <c r="AL148" s="324" t="str">
        <f>IF(tblPiNAnalysis[[#This Row],['# Flags]]&gt;0, "Flagged", "")</f>
        <v/>
      </c>
    </row>
    <row r="149" spans="1:38" ht="23.1" hidden="1" customHeight="1" x14ac:dyDescent="0.2">
      <c r="A149" s="309" t="str">
        <f>_xlfn.CONCAT(IF(tblPiNAnalysis[[#This Row],[Population Group]]="", "",tblPiNAnalysis[[#This Row],[Population Group]] ), _xlfn.IFS(tblPiNAnalysis[[#This Row],[Admin 2 P-Code]]&lt;&gt;"", tblPiNAnalysis[[#This Row],[Admin 2 P-Code]], tblPiNAnalysis[[#This Row],[Admin 1 P-Code]]&lt;&gt;"", tblPiNAnalysis[[#This Row],[Admin 1 P-Code]]))</f>
        <v>IDPsSD04122</v>
      </c>
      <c r="B149" s="245" t="s">
        <v>191</v>
      </c>
      <c r="C149" s="246" t="s">
        <v>121</v>
      </c>
      <c r="D149" s="247" t="s">
        <v>281</v>
      </c>
      <c r="E149" s="246" t="s">
        <v>280</v>
      </c>
      <c r="F149" s="248">
        <v>28260</v>
      </c>
      <c r="G149" s="248" t="s">
        <v>88</v>
      </c>
      <c r="H149" s="310"/>
      <c r="I149" s="311"/>
      <c r="J149" s="312"/>
      <c r="K149" s="311"/>
      <c r="L149" s="311"/>
      <c r="M149" s="312"/>
      <c r="N149" s="312">
        <f>_xlfn.XLOOKUP(CONCATENATE(tblPiNAnalysis[[#This Row],[Admin 2 P-Code]],tblPiNAnalysis[[#This Row],[Population Group]]),'Overall severity &amp; PIN Analysis'!A:A,'Overall severity &amp; PIN Analysis'!P:P,0,0)</f>
        <v>18014</v>
      </c>
      <c r="O149" s="311"/>
      <c r="P149" s="312"/>
      <c r="Q149" s="312"/>
      <c r="R149" s="312"/>
      <c r="S149" s="312"/>
      <c r="T149" s="313" t="str">
        <f>IF(tblPiNAnalysis[[#This Row],[Site Management ]]="", "", tblPiNAnalysis[[#This Row],[Site Management ]]/tblPiNAnalysis[[#This Row],[Total Population]])</f>
        <v/>
      </c>
      <c r="U149" s="314" t="str">
        <f>IF(tblPiNAnalysis[[#This Row],[Education]]="", "", tblPiNAnalysis[[#This Row],[Education]]/tblPiNAnalysis[[#This Row],[Total Population]])</f>
        <v/>
      </c>
      <c r="V149" s="314" t="str">
        <f>IF(tblPiNAnalysis[[#This Row],[Food Security and Livlihoods]]="", "", tblPiNAnalysis[[#This Row],[Food Security and Livlihoods]]/tblPiNAnalysis[[#This Row],[Total Population]])</f>
        <v/>
      </c>
      <c r="W149" s="315" t="str">
        <f>IF(tblPiNAnalysis[[#This Row],[Health ]]="", "", tblPiNAnalysis[[#This Row],[Health ]]/tblPiNAnalysis[[#This Row],[Total Population]])</f>
        <v/>
      </c>
      <c r="X149" s="314" t="str">
        <f>IF(tblPiNAnalysis[[#This Row],[Nutrition]]="", "", tblPiNAnalysis[[#This Row],[Nutrition]]/tblPiNAnalysis[[#This Row],[Total Population]])</f>
        <v/>
      </c>
      <c r="Y149" s="314" t="str">
        <f>IF(tblPiNAnalysis[[#This Row],[Protection]]="", "", tblPiNAnalysis[[#This Row],[Protection]]/tblPiNAnalysis[[#This Row],[Total Population]])</f>
        <v/>
      </c>
      <c r="Z149" s="316">
        <f>IF(tblPiNAnalysis[[#This Row],[Shelter NFI ]]="", "", tblPiNAnalysis[[#This Row],[Shelter NFI ]]/tblPiNAnalysis[[#This Row],[Total Population]])</f>
        <v>0.6374380750176929</v>
      </c>
      <c r="AA149" s="317" t="str">
        <f>IF(tblPiNAnalysis[[#This Row],[WASH]]="", "", tblPiNAnalysis[[#This Row],[WASH]]/tblPiNAnalysis[[#This Row],[Total Population]])</f>
        <v/>
      </c>
      <c r="AB149" s="318" t="str">
        <f>IFERROR(IF(tblPiNAnalysis[[#This Row],[CP]]="", "", MROUND(tblPiNAnalysis[[#This Row],[CP]]/tblPiNAnalysis[[#This Row],[Total Population]], 0.05)), "")</f>
        <v/>
      </c>
      <c r="AC149" s="314" t="str">
        <f>IFERROR(IF(tblPiNAnalysis[[#This Row],[GBV]]="", "", MROUND(tblPiNAnalysis[[#This Row],[GBV]]/tblPiNAnalysis[[#This Row],[Total Population]], 0.05)), "")</f>
        <v/>
      </c>
      <c r="AD149" s="314" t="str">
        <f>IFERROR(IF(tblPiNAnalysis[[#This Row],[Mine Action]]="", "", MROUND(tblPiNAnalysis[[#This Row],[Mine Action]]/tblPiNAnalysis[[#This Row],[Total Population]], 0.05)), "")</f>
        <v/>
      </c>
      <c r="AE149" s="314" t="str">
        <f>IFERROR(IF(tblPiNAnalysis[[#This Row],[General Protection]]="", "", MROUND(tblPiNAnalysis[[#This Row],[General Protection]]/tblPiNAnalysis[[#This Row],[Total Population]], 0.05)), "")</f>
        <v/>
      </c>
      <c r="AF149" s="319">
        <f>IFERROR(LARGE(tblPiNAnalysis[[#This Row],[Site Management ]:[General Protection]], 1), "")</f>
        <v>18014</v>
      </c>
      <c r="AG149" s="320">
        <f>IF(tblPiNAnalysis[[#This Row],[Highest PiN]]="", "",tblPiNAnalysis[[#This Row],[Highest PiN]]/ tblPiNAnalysis[[#This Row],[Total Population]])</f>
        <v>0.6374380750176929</v>
      </c>
      <c r="AH149" s="320" t="str">
        <f>IFERROR(IF(tblPiNAnalysis[[#This Row],[Highest PiN]]="", "", IF(tblPiNAnalysis[[#This Row],[Highest sector(s'') PiN %]]&gt;=flag_pin_perc, "Flagged", "")), "")</f>
        <v/>
      </c>
      <c r="AI149" s="321"/>
      <c r="AJ149" s="322"/>
      <c r="AK149" s="323">
        <f>COUNTIFS(tblPiNAnalysis[[#This Row],[Highest PiN greater than 90% of total affected population]:[Manual Flag]],"Flagged")</f>
        <v>0</v>
      </c>
      <c r="AL149" s="324" t="str">
        <f>IF(tblPiNAnalysis[[#This Row],['# Flags]]&gt;0, "Flagged", "")</f>
        <v/>
      </c>
    </row>
    <row r="150" spans="1:38" ht="23.1" customHeight="1" x14ac:dyDescent="0.2">
      <c r="A150" s="309" t="str">
        <f>_xlfn.CONCAT(IF(tblPiNAnalysis[[#This Row],[Population Group]]="", "",tblPiNAnalysis[[#This Row],[Population Group]] ), _xlfn.IFS(tblPiNAnalysis[[#This Row],[Admin 2 P-Code]]&lt;&gt;"", tblPiNAnalysis[[#This Row],[Admin 2 P-Code]], tblPiNAnalysis[[#This Row],[Admin 1 P-Code]]&lt;&gt;"", tblPiNAnalysis[[#This Row],[Admin 1 P-Code]]))</f>
        <v>Non-hosting PopulationSD04122</v>
      </c>
      <c r="B150" s="245" t="s">
        <v>191</v>
      </c>
      <c r="C150" s="246" t="s">
        <v>121</v>
      </c>
      <c r="D150" s="247" t="s">
        <v>281</v>
      </c>
      <c r="E150" s="246" t="s">
        <v>280</v>
      </c>
      <c r="F150" s="248">
        <v>0</v>
      </c>
      <c r="G150" s="248" t="s">
        <v>568</v>
      </c>
      <c r="H150" s="310"/>
      <c r="I150" s="311"/>
      <c r="J150" s="312"/>
      <c r="K150" s="311"/>
      <c r="L150" s="311"/>
      <c r="M150" s="312"/>
      <c r="N150" s="312">
        <f>_xlfn.XLOOKUP(CONCATENATE(tblPiNAnalysis[[#This Row],[Admin 2 P-Code]],tblPiNAnalysis[[#This Row],[Population Group]]),'Overall severity &amp; PIN Analysis'!A:A,'Overall severity &amp; PIN Analysis'!P:P,0,0)</f>
        <v>0</v>
      </c>
      <c r="O150" s="311"/>
      <c r="P150" s="312"/>
      <c r="Q150" s="312"/>
      <c r="R150" s="312"/>
      <c r="S150" s="312"/>
      <c r="T150" s="313" t="str">
        <f>IF(tblPiNAnalysis[[#This Row],[Site Management ]]="", "", tblPiNAnalysis[[#This Row],[Site Management ]]/tblPiNAnalysis[[#This Row],[Total Population]])</f>
        <v/>
      </c>
      <c r="U150" s="314" t="str">
        <f>IF(tblPiNAnalysis[[#This Row],[Education]]="", "", tblPiNAnalysis[[#This Row],[Education]]/tblPiNAnalysis[[#This Row],[Total Population]])</f>
        <v/>
      </c>
      <c r="V150" s="314" t="str">
        <f>IF(tblPiNAnalysis[[#This Row],[Food Security and Livlihoods]]="", "", tblPiNAnalysis[[#This Row],[Food Security and Livlihoods]]/tblPiNAnalysis[[#This Row],[Total Population]])</f>
        <v/>
      </c>
      <c r="W150" s="315" t="str">
        <f>IF(tblPiNAnalysis[[#This Row],[Health ]]="", "", tblPiNAnalysis[[#This Row],[Health ]]/tblPiNAnalysis[[#This Row],[Total Population]])</f>
        <v/>
      </c>
      <c r="X150" s="314" t="str">
        <f>IF(tblPiNAnalysis[[#This Row],[Nutrition]]="", "", tblPiNAnalysis[[#This Row],[Nutrition]]/tblPiNAnalysis[[#This Row],[Total Population]])</f>
        <v/>
      </c>
      <c r="Y150" s="314" t="str">
        <f>IF(tblPiNAnalysis[[#This Row],[Protection]]="", "", tblPiNAnalysis[[#This Row],[Protection]]/tblPiNAnalysis[[#This Row],[Total Population]])</f>
        <v/>
      </c>
      <c r="Z150" s="316" t="e">
        <f>IF(tblPiNAnalysis[[#This Row],[Shelter NFI ]]="", "", tblPiNAnalysis[[#This Row],[Shelter NFI ]]/tblPiNAnalysis[[#This Row],[Total Population]])</f>
        <v>#DIV/0!</v>
      </c>
      <c r="AA150" s="317" t="str">
        <f>IF(tblPiNAnalysis[[#This Row],[WASH]]="", "", tblPiNAnalysis[[#This Row],[WASH]]/tblPiNAnalysis[[#This Row],[Total Population]])</f>
        <v/>
      </c>
      <c r="AB150" s="318" t="str">
        <f>IFERROR(IF(tblPiNAnalysis[[#This Row],[CP]]="", "", MROUND(tblPiNAnalysis[[#This Row],[CP]]/tblPiNAnalysis[[#This Row],[Total Population]], 0.05)), "")</f>
        <v/>
      </c>
      <c r="AC150" s="314" t="str">
        <f>IFERROR(IF(tblPiNAnalysis[[#This Row],[GBV]]="", "", MROUND(tblPiNAnalysis[[#This Row],[GBV]]/tblPiNAnalysis[[#This Row],[Total Population]], 0.05)), "")</f>
        <v/>
      </c>
      <c r="AD150" s="314" t="str">
        <f>IFERROR(IF(tblPiNAnalysis[[#This Row],[Mine Action]]="", "", MROUND(tblPiNAnalysis[[#This Row],[Mine Action]]/tblPiNAnalysis[[#This Row],[Total Population]], 0.05)), "")</f>
        <v/>
      </c>
      <c r="AE150" s="314" t="str">
        <f>IFERROR(IF(tblPiNAnalysis[[#This Row],[General Protection]]="", "", MROUND(tblPiNAnalysis[[#This Row],[General Protection]]/tblPiNAnalysis[[#This Row],[Total Population]], 0.05)), "")</f>
        <v/>
      </c>
      <c r="AF150" s="319">
        <f>IFERROR(LARGE(tblPiNAnalysis[[#This Row],[Site Management ]:[General Protection]], 1), "")</f>
        <v>0</v>
      </c>
      <c r="AG150" s="320" t="e">
        <f>IF(tblPiNAnalysis[[#This Row],[Highest PiN]]="", "",tblPiNAnalysis[[#This Row],[Highest PiN]]/ tblPiNAnalysis[[#This Row],[Total Population]])</f>
        <v>#DIV/0!</v>
      </c>
      <c r="AH150" s="320" t="str">
        <f>IFERROR(IF(tblPiNAnalysis[[#This Row],[Highest PiN]]="", "", IF(tblPiNAnalysis[[#This Row],[Highest sector(s'') PiN %]]&gt;=flag_pin_perc, "Flagged", "")), "")</f>
        <v/>
      </c>
      <c r="AI150" s="321"/>
      <c r="AJ150" s="322"/>
      <c r="AK150" s="323">
        <f>COUNTIFS(tblPiNAnalysis[[#This Row],[Highest PiN greater than 90% of total affected population]:[Manual Flag]],"Flagged")</f>
        <v>0</v>
      </c>
      <c r="AL150" s="324" t="str">
        <f>IF(tblPiNAnalysis[[#This Row],['# Flags]]&gt;0, "Flagged", "")</f>
        <v/>
      </c>
    </row>
    <row r="151" spans="1:38" ht="23.1" hidden="1" customHeight="1" x14ac:dyDescent="0.2">
      <c r="A151" s="309" t="str">
        <f>_xlfn.CONCAT(IF(tblPiNAnalysis[[#This Row],[Population Group]]="", "",tblPiNAnalysis[[#This Row],[Population Group]] ), _xlfn.IFS(tblPiNAnalysis[[#This Row],[Admin 2 P-Code]]&lt;&gt;"", tblPiNAnalysis[[#This Row],[Admin 2 P-Code]], tblPiNAnalysis[[#This Row],[Admin 1 P-Code]]&lt;&gt;"", tblPiNAnalysis[[#This Row],[Admin 1 P-Code]]))</f>
        <v>Host CommunitySD04123</v>
      </c>
      <c r="B151" s="245" t="s">
        <v>191</v>
      </c>
      <c r="C151" s="246" t="s">
        <v>121</v>
      </c>
      <c r="D151" s="247" t="s">
        <v>283</v>
      </c>
      <c r="E151" s="246" t="s">
        <v>282</v>
      </c>
      <c r="F151" s="248">
        <v>0</v>
      </c>
      <c r="G151" s="248" t="s">
        <v>87</v>
      </c>
      <c r="H151" s="310"/>
      <c r="I151" s="311"/>
      <c r="J151" s="248"/>
      <c r="K151" s="248"/>
      <c r="L151" s="311"/>
      <c r="M151" s="312"/>
      <c r="N151" s="312">
        <f>_xlfn.XLOOKUP(CONCATENATE(tblPiNAnalysis[[#This Row],[Admin 2 P-Code]],tblPiNAnalysis[[#This Row],[Population Group]]),'Overall severity &amp; PIN Analysis'!A:A,'Overall severity &amp; PIN Analysis'!P:P,0,0)</f>
        <v>0</v>
      </c>
      <c r="O151" s="311"/>
      <c r="P151" s="312"/>
      <c r="Q151" s="312"/>
      <c r="R151" s="312"/>
      <c r="S151" s="312"/>
      <c r="T151" s="313" t="str">
        <f>IF(tblPiNAnalysis[[#This Row],[Site Management ]]="", "", tblPiNAnalysis[[#This Row],[Site Management ]]/tblPiNAnalysis[[#This Row],[Total Population]])</f>
        <v/>
      </c>
      <c r="U151" s="314" t="str">
        <f>IF(tblPiNAnalysis[[#This Row],[Education]]="", "", tblPiNAnalysis[[#This Row],[Education]]/tblPiNAnalysis[[#This Row],[Total Population]])</f>
        <v/>
      </c>
      <c r="V151" s="314" t="str">
        <f>IF(tblPiNAnalysis[[#This Row],[Food Security and Livlihoods]]="", "", tblPiNAnalysis[[#This Row],[Food Security and Livlihoods]]/tblPiNAnalysis[[#This Row],[Total Population]])</f>
        <v/>
      </c>
      <c r="W151" s="315" t="str">
        <f>IF(tblPiNAnalysis[[#This Row],[Health ]]="", "", tblPiNAnalysis[[#This Row],[Health ]]/tblPiNAnalysis[[#This Row],[Total Population]])</f>
        <v/>
      </c>
      <c r="X151" s="314" t="str">
        <f>IF(tblPiNAnalysis[[#This Row],[Nutrition]]="", "", tblPiNAnalysis[[#This Row],[Nutrition]]/tblPiNAnalysis[[#This Row],[Total Population]])</f>
        <v/>
      </c>
      <c r="Y151" s="314" t="str">
        <f>IF(tblPiNAnalysis[[#This Row],[Protection]]="", "", tblPiNAnalysis[[#This Row],[Protection]]/tblPiNAnalysis[[#This Row],[Total Population]])</f>
        <v/>
      </c>
      <c r="Z151" s="316" t="e">
        <f>IF(tblPiNAnalysis[[#This Row],[Shelter NFI ]]="", "", tblPiNAnalysis[[#This Row],[Shelter NFI ]]/tblPiNAnalysis[[#This Row],[Total Population]])</f>
        <v>#DIV/0!</v>
      </c>
      <c r="AA151" s="317" t="str">
        <f>IF(tblPiNAnalysis[[#This Row],[WASH]]="", "", tblPiNAnalysis[[#This Row],[WASH]]/tblPiNAnalysis[[#This Row],[Total Population]])</f>
        <v/>
      </c>
      <c r="AB151" s="318" t="str">
        <f>IFERROR(IF(tblPiNAnalysis[[#This Row],[CP]]="", "", MROUND(tblPiNAnalysis[[#This Row],[CP]]/tblPiNAnalysis[[#This Row],[Total Population]], 0.05)), "")</f>
        <v/>
      </c>
      <c r="AC151" s="314" t="str">
        <f>IFERROR(IF(tblPiNAnalysis[[#This Row],[GBV]]="", "", MROUND(tblPiNAnalysis[[#This Row],[GBV]]/tblPiNAnalysis[[#This Row],[Total Population]], 0.05)), "")</f>
        <v/>
      </c>
      <c r="AD151" s="314" t="str">
        <f>IFERROR(IF(tblPiNAnalysis[[#This Row],[Mine Action]]="", "", MROUND(tblPiNAnalysis[[#This Row],[Mine Action]]/tblPiNAnalysis[[#This Row],[Total Population]], 0.05)), "")</f>
        <v/>
      </c>
      <c r="AE151" s="314" t="str">
        <f>IFERROR(IF(tblPiNAnalysis[[#This Row],[General Protection]]="", "", MROUND(tblPiNAnalysis[[#This Row],[General Protection]]/tblPiNAnalysis[[#This Row],[Total Population]], 0.05)), "")</f>
        <v/>
      </c>
      <c r="AF151" s="319">
        <f>IFERROR(LARGE(tblPiNAnalysis[[#This Row],[Site Management ]:[General Protection]], 1), "")</f>
        <v>0</v>
      </c>
      <c r="AG151" s="320" t="e">
        <f>IF(tblPiNAnalysis[[#This Row],[Highest PiN]]="", "",tblPiNAnalysis[[#This Row],[Highest PiN]]/ tblPiNAnalysis[[#This Row],[Total Population]])</f>
        <v>#DIV/0!</v>
      </c>
      <c r="AH151" s="320" t="str">
        <f>IFERROR(IF(tblPiNAnalysis[[#This Row],[Highest PiN]]="", "", IF(tblPiNAnalysis[[#This Row],[Highest sector(s'') PiN %]]&gt;=flag_pin_perc, "Flagged", "")), "")</f>
        <v/>
      </c>
      <c r="AI151" s="321"/>
      <c r="AJ151" s="322"/>
      <c r="AK151" s="323">
        <f>COUNTIFS(tblPiNAnalysis[[#This Row],[Highest PiN greater than 90% of total affected population]:[Manual Flag]],"Flagged")</f>
        <v>0</v>
      </c>
      <c r="AL151" s="324" t="str">
        <f>IF(tblPiNAnalysis[[#This Row],['# Flags]]&gt;0, "Flagged", "")</f>
        <v/>
      </c>
    </row>
    <row r="152" spans="1:38" ht="23.1" hidden="1" customHeight="1" x14ac:dyDescent="0.2">
      <c r="A152" s="309" t="str">
        <f>_xlfn.CONCAT(IF(tblPiNAnalysis[[#This Row],[Population Group]]="", "",tblPiNAnalysis[[#This Row],[Population Group]] ), _xlfn.IFS(tblPiNAnalysis[[#This Row],[Admin 2 P-Code]]&lt;&gt;"", tblPiNAnalysis[[#This Row],[Admin 2 P-Code]], tblPiNAnalysis[[#This Row],[Admin 1 P-Code]]&lt;&gt;"", tblPiNAnalysis[[#This Row],[Admin 1 P-Code]]))</f>
        <v>IDPsSD04123</v>
      </c>
      <c r="B152" s="245" t="s">
        <v>191</v>
      </c>
      <c r="C152" s="246" t="s">
        <v>121</v>
      </c>
      <c r="D152" s="247" t="s">
        <v>283</v>
      </c>
      <c r="E152" s="246" t="s">
        <v>282</v>
      </c>
      <c r="F152" s="248">
        <v>70720</v>
      </c>
      <c r="G152" s="248" t="s">
        <v>88</v>
      </c>
      <c r="H152" s="310"/>
      <c r="I152" s="311"/>
      <c r="J152" s="312"/>
      <c r="K152" s="311"/>
      <c r="L152" s="311"/>
      <c r="M152" s="312"/>
      <c r="N152" s="312">
        <f>_xlfn.XLOOKUP(CONCATENATE(tblPiNAnalysis[[#This Row],[Admin 2 P-Code]],tblPiNAnalysis[[#This Row],[Population Group]]),'Overall severity &amp; PIN Analysis'!A:A,'Overall severity &amp; PIN Analysis'!P:P,0,0)</f>
        <v>53316</v>
      </c>
      <c r="O152" s="311"/>
      <c r="P152" s="312"/>
      <c r="Q152" s="312"/>
      <c r="R152" s="312"/>
      <c r="S152" s="312"/>
      <c r="T152" s="313" t="str">
        <f>IF(tblPiNAnalysis[[#This Row],[Site Management ]]="", "", tblPiNAnalysis[[#This Row],[Site Management ]]/tblPiNAnalysis[[#This Row],[Total Population]])</f>
        <v/>
      </c>
      <c r="U152" s="314" t="str">
        <f>IF(tblPiNAnalysis[[#This Row],[Education]]="", "", tblPiNAnalysis[[#This Row],[Education]]/tblPiNAnalysis[[#This Row],[Total Population]])</f>
        <v/>
      </c>
      <c r="V152" s="314" t="str">
        <f>IF(tblPiNAnalysis[[#This Row],[Food Security and Livlihoods]]="", "", tblPiNAnalysis[[#This Row],[Food Security and Livlihoods]]/tblPiNAnalysis[[#This Row],[Total Population]])</f>
        <v/>
      </c>
      <c r="W152" s="315" t="str">
        <f>IF(tblPiNAnalysis[[#This Row],[Health ]]="", "", tblPiNAnalysis[[#This Row],[Health ]]/tblPiNAnalysis[[#This Row],[Total Population]])</f>
        <v/>
      </c>
      <c r="X152" s="314" t="str">
        <f>IF(tblPiNAnalysis[[#This Row],[Nutrition]]="", "", tblPiNAnalysis[[#This Row],[Nutrition]]/tblPiNAnalysis[[#This Row],[Total Population]])</f>
        <v/>
      </c>
      <c r="Y152" s="314" t="str">
        <f>IF(tblPiNAnalysis[[#This Row],[Protection]]="", "", tblPiNAnalysis[[#This Row],[Protection]]/tblPiNAnalysis[[#This Row],[Total Population]])</f>
        <v/>
      </c>
      <c r="Z152" s="316">
        <f>IF(tblPiNAnalysis[[#This Row],[Shelter NFI ]]="", "", tblPiNAnalysis[[#This Row],[Shelter NFI ]]/tblPiNAnalysis[[#This Row],[Total Population]])</f>
        <v>0.75390271493212668</v>
      </c>
      <c r="AA152" s="317" t="str">
        <f>IF(tblPiNAnalysis[[#This Row],[WASH]]="", "", tblPiNAnalysis[[#This Row],[WASH]]/tblPiNAnalysis[[#This Row],[Total Population]])</f>
        <v/>
      </c>
      <c r="AB152" s="318" t="str">
        <f>IFERROR(IF(tblPiNAnalysis[[#This Row],[CP]]="", "", MROUND(tblPiNAnalysis[[#This Row],[CP]]/tblPiNAnalysis[[#This Row],[Total Population]], 0.05)), "")</f>
        <v/>
      </c>
      <c r="AC152" s="314" t="str">
        <f>IFERROR(IF(tblPiNAnalysis[[#This Row],[GBV]]="", "", MROUND(tblPiNAnalysis[[#This Row],[GBV]]/tblPiNAnalysis[[#This Row],[Total Population]], 0.05)), "")</f>
        <v/>
      </c>
      <c r="AD152" s="314" t="str">
        <f>IFERROR(IF(tblPiNAnalysis[[#This Row],[Mine Action]]="", "", MROUND(tblPiNAnalysis[[#This Row],[Mine Action]]/tblPiNAnalysis[[#This Row],[Total Population]], 0.05)), "")</f>
        <v/>
      </c>
      <c r="AE152" s="314" t="str">
        <f>IFERROR(IF(tblPiNAnalysis[[#This Row],[General Protection]]="", "", MROUND(tblPiNAnalysis[[#This Row],[General Protection]]/tblPiNAnalysis[[#This Row],[Total Population]], 0.05)), "")</f>
        <v/>
      </c>
      <c r="AF152" s="319">
        <f>IFERROR(LARGE(tblPiNAnalysis[[#This Row],[Site Management ]:[General Protection]], 1), "")</f>
        <v>53316</v>
      </c>
      <c r="AG152" s="320">
        <f>IF(tblPiNAnalysis[[#This Row],[Highest PiN]]="", "",tblPiNAnalysis[[#This Row],[Highest PiN]]/ tblPiNAnalysis[[#This Row],[Total Population]])</f>
        <v>0.75390271493212668</v>
      </c>
      <c r="AH152" s="320" t="str">
        <f>IFERROR(IF(tblPiNAnalysis[[#This Row],[Highest PiN]]="", "", IF(tblPiNAnalysis[[#This Row],[Highest sector(s'') PiN %]]&gt;=flag_pin_perc, "Flagged", "")), "")</f>
        <v/>
      </c>
      <c r="AI152" s="321"/>
      <c r="AJ152" s="322"/>
      <c r="AK152" s="323">
        <f>COUNTIFS(tblPiNAnalysis[[#This Row],[Highest PiN greater than 90% of total affected population]:[Manual Flag]],"Flagged")</f>
        <v>0</v>
      </c>
      <c r="AL152" s="324" t="str">
        <f>IF(tblPiNAnalysis[[#This Row],['# Flags]]&gt;0, "Flagged", "")</f>
        <v/>
      </c>
    </row>
    <row r="153" spans="1:38" ht="23.1" customHeight="1" x14ac:dyDescent="0.2">
      <c r="A153" s="309" t="str">
        <f>_xlfn.CONCAT(IF(tblPiNAnalysis[[#This Row],[Population Group]]="", "",tblPiNAnalysis[[#This Row],[Population Group]] ), _xlfn.IFS(tblPiNAnalysis[[#This Row],[Admin 2 P-Code]]&lt;&gt;"", tblPiNAnalysis[[#This Row],[Admin 2 P-Code]], tblPiNAnalysis[[#This Row],[Admin 1 P-Code]]&lt;&gt;"", tblPiNAnalysis[[#This Row],[Admin 1 P-Code]]))</f>
        <v>Non-hosting PopulationSD04123</v>
      </c>
      <c r="B153" s="245" t="s">
        <v>191</v>
      </c>
      <c r="C153" s="246" t="s">
        <v>121</v>
      </c>
      <c r="D153" s="247" t="s">
        <v>283</v>
      </c>
      <c r="E153" s="246" t="s">
        <v>282</v>
      </c>
      <c r="F153" s="248">
        <v>0</v>
      </c>
      <c r="G153" s="248" t="s">
        <v>568</v>
      </c>
      <c r="H153" s="310"/>
      <c r="I153" s="311"/>
      <c r="J153" s="312"/>
      <c r="K153" s="311"/>
      <c r="L153" s="311"/>
      <c r="M153" s="312"/>
      <c r="N153" s="312">
        <f>_xlfn.XLOOKUP(CONCATENATE(tblPiNAnalysis[[#This Row],[Admin 2 P-Code]],tblPiNAnalysis[[#This Row],[Population Group]]),'Overall severity &amp; PIN Analysis'!A:A,'Overall severity &amp; PIN Analysis'!P:P,0,0)</f>
        <v>0</v>
      </c>
      <c r="O153" s="311"/>
      <c r="P153" s="312"/>
      <c r="Q153" s="312"/>
      <c r="R153" s="312"/>
      <c r="S153" s="312"/>
      <c r="T153" s="313" t="str">
        <f>IF(tblPiNAnalysis[[#This Row],[Site Management ]]="", "", tblPiNAnalysis[[#This Row],[Site Management ]]/tblPiNAnalysis[[#This Row],[Total Population]])</f>
        <v/>
      </c>
      <c r="U153" s="314" t="str">
        <f>IF(tblPiNAnalysis[[#This Row],[Education]]="", "", tblPiNAnalysis[[#This Row],[Education]]/tblPiNAnalysis[[#This Row],[Total Population]])</f>
        <v/>
      </c>
      <c r="V153" s="314" t="str">
        <f>IF(tblPiNAnalysis[[#This Row],[Food Security and Livlihoods]]="", "", tblPiNAnalysis[[#This Row],[Food Security and Livlihoods]]/tblPiNAnalysis[[#This Row],[Total Population]])</f>
        <v/>
      </c>
      <c r="W153" s="315" t="str">
        <f>IF(tblPiNAnalysis[[#This Row],[Health ]]="", "", tblPiNAnalysis[[#This Row],[Health ]]/tblPiNAnalysis[[#This Row],[Total Population]])</f>
        <v/>
      </c>
      <c r="X153" s="314" t="str">
        <f>IF(tblPiNAnalysis[[#This Row],[Nutrition]]="", "", tblPiNAnalysis[[#This Row],[Nutrition]]/tblPiNAnalysis[[#This Row],[Total Population]])</f>
        <v/>
      </c>
      <c r="Y153" s="314" t="str">
        <f>IF(tblPiNAnalysis[[#This Row],[Protection]]="", "", tblPiNAnalysis[[#This Row],[Protection]]/tblPiNAnalysis[[#This Row],[Total Population]])</f>
        <v/>
      </c>
      <c r="Z153" s="316" t="e">
        <f>IF(tblPiNAnalysis[[#This Row],[Shelter NFI ]]="", "", tblPiNAnalysis[[#This Row],[Shelter NFI ]]/tblPiNAnalysis[[#This Row],[Total Population]])</f>
        <v>#DIV/0!</v>
      </c>
      <c r="AA153" s="317" t="str">
        <f>IF(tblPiNAnalysis[[#This Row],[WASH]]="", "", tblPiNAnalysis[[#This Row],[WASH]]/tblPiNAnalysis[[#This Row],[Total Population]])</f>
        <v/>
      </c>
      <c r="AB153" s="318" t="str">
        <f>IFERROR(IF(tblPiNAnalysis[[#This Row],[CP]]="", "", MROUND(tblPiNAnalysis[[#This Row],[CP]]/tblPiNAnalysis[[#This Row],[Total Population]], 0.05)), "")</f>
        <v/>
      </c>
      <c r="AC153" s="314" t="str">
        <f>IFERROR(IF(tblPiNAnalysis[[#This Row],[GBV]]="", "", MROUND(tblPiNAnalysis[[#This Row],[GBV]]/tblPiNAnalysis[[#This Row],[Total Population]], 0.05)), "")</f>
        <v/>
      </c>
      <c r="AD153" s="314" t="str">
        <f>IFERROR(IF(tblPiNAnalysis[[#This Row],[Mine Action]]="", "", MROUND(tblPiNAnalysis[[#This Row],[Mine Action]]/tblPiNAnalysis[[#This Row],[Total Population]], 0.05)), "")</f>
        <v/>
      </c>
      <c r="AE153" s="314" t="str">
        <f>IFERROR(IF(tblPiNAnalysis[[#This Row],[General Protection]]="", "", MROUND(tblPiNAnalysis[[#This Row],[General Protection]]/tblPiNAnalysis[[#This Row],[Total Population]], 0.05)), "")</f>
        <v/>
      </c>
      <c r="AF153" s="319">
        <f>IFERROR(LARGE(tblPiNAnalysis[[#This Row],[Site Management ]:[General Protection]], 1), "")</f>
        <v>0</v>
      </c>
      <c r="AG153" s="320" t="e">
        <f>IF(tblPiNAnalysis[[#This Row],[Highest PiN]]="", "",tblPiNAnalysis[[#This Row],[Highest PiN]]/ tblPiNAnalysis[[#This Row],[Total Population]])</f>
        <v>#DIV/0!</v>
      </c>
      <c r="AH153" s="320" t="str">
        <f>IFERROR(IF(tblPiNAnalysis[[#This Row],[Highest PiN]]="", "", IF(tblPiNAnalysis[[#This Row],[Highest sector(s'') PiN %]]&gt;=flag_pin_perc, "Flagged", "")), "")</f>
        <v/>
      </c>
      <c r="AI153" s="321"/>
      <c r="AJ153" s="322"/>
      <c r="AK153" s="323">
        <f>COUNTIFS(tblPiNAnalysis[[#This Row],[Highest PiN greater than 90% of total affected population]:[Manual Flag]],"Flagged")</f>
        <v>0</v>
      </c>
      <c r="AL153" s="324" t="str">
        <f>IF(tblPiNAnalysis[[#This Row],['# Flags]]&gt;0, "Flagged", "")</f>
        <v/>
      </c>
    </row>
    <row r="154" spans="1:38" ht="23.1" hidden="1" customHeight="1" x14ac:dyDescent="0.2">
      <c r="A154" s="309" t="str">
        <f>_xlfn.CONCAT(IF(tblPiNAnalysis[[#This Row],[Population Group]]="", "",tblPiNAnalysis[[#This Row],[Population Group]] ), _xlfn.IFS(tblPiNAnalysis[[#This Row],[Admin 2 P-Code]]&lt;&gt;"", tblPiNAnalysis[[#This Row],[Admin 2 P-Code]], tblPiNAnalysis[[#This Row],[Admin 1 P-Code]]&lt;&gt;"", tblPiNAnalysis[[#This Row],[Admin 1 P-Code]]))</f>
        <v>Host CommunitySD04125</v>
      </c>
      <c r="B154" s="245" t="s">
        <v>191</v>
      </c>
      <c r="C154" s="246" t="s">
        <v>121</v>
      </c>
      <c r="D154" s="247" t="s">
        <v>285</v>
      </c>
      <c r="E154" s="246" t="s">
        <v>284</v>
      </c>
      <c r="F154" s="248">
        <v>41790</v>
      </c>
      <c r="G154" s="248" t="s">
        <v>87</v>
      </c>
      <c r="H154" s="310"/>
      <c r="I154" s="311"/>
      <c r="J154" s="312"/>
      <c r="K154" s="311"/>
      <c r="L154" s="311"/>
      <c r="M154" s="312"/>
      <c r="N154" s="312">
        <f>_xlfn.XLOOKUP(CONCATENATE(tblPiNAnalysis[[#This Row],[Admin 2 P-Code]],tblPiNAnalysis[[#This Row],[Population Group]]),'Overall severity &amp; PIN Analysis'!A:A,'Overall severity &amp; PIN Analysis'!P:P,0,0)</f>
        <v>25790</v>
      </c>
      <c r="O154" s="311"/>
      <c r="P154" s="312"/>
      <c r="Q154" s="312"/>
      <c r="R154" s="312"/>
      <c r="S154" s="312"/>
      <c r="T154" s="313" t="str">
        <f>IF(tblPiNAnalysis[[#This Row],[Site Management ]]="", "", tblPiNAnalysis[[#This Row],[Site Management ]]/tblPiNAnalysis[[#This Row],[Total Population]])</f>
        <v/>
      </c>
      <c r="U154" s="314" t="str">
        <f>IF(tblPiNAnalysis[[#This Row],[Education]]="", "", tblPiNAnalysis[[#This Row],[Education]]/tblPiNAnalysis[[#This Row],[Total Population]])</f>
        <v/>
      </c>
      <c r="V154" s="314" t="str">
        <f>IF(tblPiNAnalysis[[#This Row],[Food Security and Livlihoods]]="", "", tblPiNAnalysis[[#This Row],[Food Security and Livlihoods]]/tblPiNAnalysis[[#This Row],[Total Population]])</f>
        <v/>
      </c>
      <c r="W154" s="315" t="str">
        <f>IF(tblPiNAnalysis[[#This Row],[Health ]]="", "", tblPiNAnalysis[[#This Row],[Health ]]/tblPiNAnalysis[[#This Row],[Total Population]])</f>
        <v/>
      </c>
      <c r="X154" s="314" t="str">
        <f>IF(tblPiNAnalysis[[#This Row],[Nutrition]]="", "", tblPiNAnalysis[[#This Row],[Nutrition]]/tblPiNAnalysis[[#This Row],[Total Population]])</f>
        <v/>
      </c>
      <c r="Y154" s="314" t="str">
        <f>IF(tblPiNAnalysis[[#This Row],[Protection]]="", "", tblPiNAnalysis[[#This Row],[Protection]]/tblPiNAnalysis[[#This Row],[Total Population]])</f>
        <v/>
      </c>
      <c r="Z154" s="316">
        <f>IF(tblPiNAnalysis[[#This Row],[Shelter NFI ]]="", "", tblPiNAnalysis[[#This Row],[Shelter NFI ]]/tblPiNAnalysis[[#This Row],[Total Population]])</f>
        <v>0.61713328547499402</v>
      </c>
      <c r="AA154" s="317" t="str">
        <f>IF(tblPiNAnalysis[[#This Row],[WASH]]="", "", tblPiNAnalysis[[#This Row],[WASH]]/tblPiNAnalysis[[#This Row],[Total Population]])</f>
        <v/>
      </c>
      <c r="AB154" s="318" t="str">
        <f>IFERROR(IF(tblPiNAnalysis[[#This Row],[CP]]="", "", MROUND(tblPiNAnalysis[[#This Row],[CP]]/tblPiNAnalysis[[#This Row],[Total Population]], 0.05)), "")</f>
        <v/>
      </c>
      <c r="AC154" s="314" t="str">
        <f>IFERROR(IF(tblPiNAnalysis[[#This Row],[GBV]]="", "", MROUND(tblPiNAnalysis[[#This Row],[GBV]]/tblPiNAnalysis[[#This Row],[Total Population]], 0.05)), "")</f>
        <v/>
      </c>
      <c r="AD154" s="314" t="str">
        <f>IFERROR(IF(tblPiNAnalysis[[#This Row],[Mine Action]]="", "", MROUND(tblPiNAnalysis[[#This Row],[Mine Action]]/tblPiNAnalysis[[#This Row],[Total Population]], 0.05)), "")</f>
        <v/>
      </c>
      <c r="AE154" s="314" t="str">
        <f>IFERROR(IF(tblPiNAnalysis[[#This Row],[General Protection]]="", "", MROUND(tblPiNAnalysis[[#This Row],[General Protection]]/tblPiNAnalysis[[#This Row],[Total Population]], 0.05)), "")</f>
        <v/>
      </c>
      <c r="AF154" s="319">
        <f>IFERROR(LARGE(tblPiNAnalysis[[#This Row],[Site Management ]:[General Protection]], 1), "")</f>
        <v>25790</v>
      </c>
      <c r="AG154" s="320">
        <f>IF(tblPiNAnalysis[[#This Row],[Highest PiN]]="", "",tblPiNAnalysis[[#This Row],[Highest PiN]]/ tblPiNAnalysis[[#This Row],[Total Population]])</f>
        <v>0.61713328547499402</v>
      </c>
      <c r="AH154" s="320" t="str">
        <f>IFERROR(IF(tblPiNAnalysis[[#This Row],[Highest PiN]]="", "", IF(tblPiNAnalysis[[#This Row],[Highest sector(s'') PiN %]]&gt;=flag_pin_perc, "Flagged", "")), "")</f>
        <v/>
      </c>
      <c r="AI154" s="321"/>
      <c r="AJ154" s="322"/>
      <c r="AK154" s="323">
        <f>COUNTIFS(tblPiNAnalysis[[#This Row],[Highest PiN greater than 90% of total affected population]:[Manual Flag]],"Flagged")</f>
        <v>0</v>
      </c>
      <c r="AL154" s="324" t="str">
        <f>IF(tblPiNAnalysis[[#This Row],['# Flags]]&gt;0, "Flagged", "")</f>
        <v/>
      </c>
    </row>
    <row r="155" spans="1:38" ht="23.1" hidden="1" customHeight="1" x14ac:dyDescent="0.2">
      <c r="A155" s="309" t="str">
        <f>_xlfn.CONCAT(IF(tblPiNAnalysis[[#This Row],[Population Group]]="", "",tblPiNAnalysis[[#This Row],[Population Group]] ), _xlfn.IFS(tblPiNAnalysis[[#This Row],[Admin 2 P-Code]]&lt;&gt;"", tblPiNAnalysis[[#This Row],[Admin 2 P-Code]], tblPiNAnalysis[[#This Row],[Admin 1 P-Code]]&lt;&gt;"", tblPiNAnalysis[[#This Row],[Admin 1 P-Code]]))</f>
        <v>IDPsSD04125</v>
      </c>
      <c r="B155" s="245" t="s">
        <v>191</v>
      </c>
      <c r="C155" s="246" t="s">
        <v>121</v>
      </c>
      <c r="D155" s="247" t="s">
        <v>285</v>
      </c>
      <c r="E155" s="246" t="s">
        <v>284</v>
      </c>
      <c r="F155" s="248">
        <v>41790</v>
      </c>
      <c r="G155" s="248" t="s">
        <v>88</v>
      </c>
      <c r="H155" s="310"/>
      <c r="I155" s="311"/>
      <c r="J155" s="312"/>
      <c r="K155" s="311"/>
      <c r="L155" s="311"/>
      <c r="M155" s="312"/>
      <c r="N155" s="312">
        <f>_xlfn.XLOOKUP(CONCATENATE(tblPiNAnalysis[[#This Row],[Admin 2 P-Code]],tblPiNAnalysis[[#This Row],[Population Group]]),'Overall severity &amp; PIN Analysis'!A:A,'Overall severity &amp; PIN Analysis'!P:P,0,0)</f>
        <v>25790</v>
      </c>
      <c r="O155" s="311"/>
      <c r="P155" s="312"/>
      <c r="Q155" s="312"/>
      <c r="R155" s="312"/>
      <c r="S155" s="312"/>
      <c r="T155" s="313" t="str">
        <f>IF(tblPiNAnalysis[[#This Row],[Site Management ]]="", "", tblPiNAnalysis[[#This Row],[Site Management ]]/tblPiNAnalysis[[#This Row],[Total Population]])</f>
        <v/>
      </c>
      <c r="U155" s="314" t="str">
        <f>IF(tblPiNAnalysis[[#This Row],[Education]]="", "", tblPiNAnalysis[[#This Row],[Education]]/tblPiNAnalysis[[#This Row],[Total Population]])</f>
        <v/>
      </c>
      <c r="V155" s="314" t="str">
        <f>IF(tblPiNAnalysis[[#This Row],[Food Security and Livlihoods]]="", "", tblPiNAnalysis[[#This Row],[Food Security and Livlihoods]]/tblPiNAnalysis[[#This Row],[Total Population]])</f>
        <v/>
      </c>
      <c r="W155" s="315" t="str">
        <f>IF(tblPiNAnalysis[[#This Row],[Health ]]="", "", tblPiNAnalysis[[#This Row],[Health ]]/tblPiNAnalysis[[#This Row],[Total Population]])</f>
        <v/>
      </c>
      <c r="X155" s="314" t="str">
        <f>IF(tblPiNAnalysis[[#This Row],[Nutrition]]="", "", tblPiNAnalysis[[#This Row],[Nutrition]]/tblPiNAnalysis[[#This Row],[Total Population]])</f>
        <v/>
      </c>
      <c r="Y155" s="314" t="str">
        <f>IF(tblPiNAnalysis[[#This Row],[Protection]]="", "", tblPiNAnalysis[[#This Row],[Protection]]/tblPiNAnalysis[[#This Row],[Total Population]])</f>
        <v/>
      </c>
      <c r="Z155" s="316">
        <f>IF(tblPiNAnalysis[[#This Row],[Shelter NFI ]]="", "", tblPiNAnalysis[[#This Row],[Shelter NFI ]]/tblPiNAnalysis[[#This Row],[Total Population]])</f>
        <v>0.61713328547499402</v>
      </c>
      <c r="AA155" s="317" t="str">
        <f>IF(tblPiNAnalysis[[#This Row],[WASH]]="", "", tblPiNAnalysis[[#This Row],[WASH]]/tblPiNAnalysis[[#This Row],[Total Population]])</f>
        <v/>
      </c>
      <c r="AB155" s="318" t="str">
        <f>IFERROR(IF(tblPiNAnalysis[[#This Row],[CP]]="", "", MROUND(tblPiNAnalysis[[#This Row],[CP]]/tblPiNAnalysis[[#This Row],[Total Population]], 0.05)), "")</f>
        <v/>
      </c>
      <c r="AC155" s="314" t="str">
        <f>IFERROR(IF(tblPiNAnalysis[[#This Row],[GBV]]="", "", MROUND(tblPiNAnalysis[[#This Row],[GBV]]/tblPiNAnalysis[[#This Row],[Total Population]], 0.05)), "")</f>
        <v/>
      </c>
      <c r="AD155" s="314" t="str">
        <f>IFERROR(IF(tblPiNAnalysis[[#This Row],[Mine Action]]="", "", MROUND(tblPiNAnalysis[[#This Row],[Mine Action]]/tblPiNAnalysis[[#This Row],[Total Population]], 0.05)), "")</f>
        <v/>
      </c>
      <c r="AE155" s="314" t="str">
        <f>IFERROR(IF(tblPiNAnalysis[[#This Row],[General Protection]]="", "", MROUND(tblPiNAnalysis[[#This Row],[General Protection]]/tblPiNAnalysis[[#This Row],[Total Population]], 0.05)), "")</f>
        <v/>
      </c>
      <c r="AF155" s="319">
        <f>IFERROR(LARGE(tblPiNAnalysis[[#This Row],[Site Management ]:[General Protection]], 1), "")</f>
        <v>25790</v>
      </c>
      <c r="AG155" s="320">
        <f>IF(tblPiNAnalysis[[#This Row],[Highest PiN]]="", "",tblPiNAnalysis[[#This Row],[Highest PiN]]/ tblPiNAnalysis[[#This Row],[Total Population]])</f>
        <v>0.61713328547499402</v>
      </c>
      <c r="AH155" s="320" t="str">
        <f>IFERROR(IF(tblPiNAnalysis[[#This Row],[Highest PiN]]="", "", IF(tblPiNAnalysis[[#This Row],[Highest sector(s'') PiN %]]&gt;=flag_pin_perc, "Flagged", "")), "")</f>
        <v/>
      </c>
      <c r="AI155" s="321"/>
      <c r="AJ155" s="322"/>
      <c r="AK155" s="323">
        <f>COUNTIFS(tblPiNAnalysis[[#This Row],[Highest PiN greater than 90% of total affected population]:[Manual Flag]],"Flagged")</f>
        <v>0</v>
      </c>
      <c r="AL155" s="324" t="str">
        <f>IF(tblPiNAnalysis[[#This Row],['# Flags]]&gt;0, "Flagged", "")</f>
        <v/>
      </c>
    </row>
    <row r="156" spans="1:38" ht="23.1" customHeight="1" x14ac:dyDescent="0.2">
      <c r="A156" s="309" t="str">
        <f>_xlfn.CONCAT(IF(tblPiNAnalysis[[#This Row],[Population Group]]="", "",tblPiNAnalysis[[#This Row],[Population Group]] ), _xlfn.IFS(tblPiNAnalysis[[#This Row],[Admin 2 P-Code]]&lt;&gt;"", tblPiNAnalysis[[#This Row],[Admin 2 P-Code]], tblPiNAnalysis[[#This Row],[Admin 1 P-Code]]&lt;&gt;"", tblPiNAnalysis[[#This Row],[Admin 1 P-Code]]))</f>
        <v>Non-hosting PopulationSD04125</v>
      </c>
      <c r="B156" s="245" t="s">
        <v>191</v>
      </c>
      <c r="C156" s="246" t="s">
        <v>121</v>
      </c>
      <c r="D156" s="247" t="s">
        <v>285</v>
      </c>
      <c r="E156" s="246" t="s">
        <v>284</v>
      </c>
      <c r="F156" s="248">
        <v>45483</v>
      </c>
      <c r="G156" s="248" t="s">
        <v>568</v>
      </c>
      <c r="H156" s="310"/>
      <c r="I156" s="311"/>
      <c r="J156" s="312"/>
      <c r="K156" s="311"/>
      <c r="L156" s="311"/>
      <c r="M156" s="312"/>
      <c r="N156" s="312">
        <f>_xlfn.XLOOKUP(CONCATENATE(tblPiNAnalysis[[#This Row],[Admin 2 P-Code]],tblPiNAnalysis[[#This Row],[Population Group]]),'Overall severity &amp; PIN Analysis'!A:A,'Overall severity &amp; PIN Analysis'!P:P,0,0)</f>
        <v>4450</v>
      </c>
      <c r="O156" s="311"/>
      <c r="P156" s="312"/>
      <c r="Q156" s="312"/>
      <c r="R156" s="312"/>
      <c r="S156" s="312"/>
      <c r="T156" s="313" t="str">
        <f>IF(tblPiNAnalysis[[#This Row],[Site Management ]]="", "", tblPiNAnalysis[[#This Row],[Site Management ]]/tblPiNAnalysis[[#This Row],[Total Population]])</f>
        <v/>
      </c>
      <c r="U156" s="314" t="str">
        <f>IF(tblPiNAnalysis[[#This Row],[Education]]="", "", tblPiNAnalysis[[#This Row],[Education]]/tblPiNAnalysis[[#This Row],[Total Population]])</f>
        <v/>
      </c>
      <c r="V156" s="314" t="str">
        <f>IF(tblPiNAnalysis[[#This Row],[Food Security and Livlihoods]]="", "", tblPiNAnalysis[[#This Row],[Food Security and Livlihoods]]/tblPiNAnalysis[[#This Row],[Total Population]])</f>
        <v/>
      </c>
      <c r="W156" s="315" t="str">
        <f>IF(tblPiNAnalysis[[#This Row],[Health ]]="", "", tblPiNAnalysis[[#This Row],[Health ]]/tblPiNAnalysis[[#This Row],[Total Population]])</f>
        <v/>
      </c>
      <c r="X156" s="314" t="str">
        <f>IF(tblPiNAnalysis[[#This Row],[Nutrition]]="", "", tblPiNAnalysis[[#This Row],[Nutrition]]/tblPiNAnalysis[[#This Row],[Total Population]])</f>
        <v/>
      </c>
      <c r="Y156" s="314" t="str">
        <f>IF(tblPiNAnalysis[[#This Row],[Protection]]="", "", tblPiNAnalysis[[#This Row],[Protection]]/tblPiNAnalysis[[#This Row],[Total Population]])</f>
        <v/>
      </c>
      <c r="Z156" s="316">
        <f>IF(tblPiNAnalysis[[#This Row],[Shelter NFI ]]="", "", tblPiNAnalysis[[#This Row],[Shelter NFI ]]/tblPiNAnalysis[[#This Row],[Total Population]])</f>
        <v>9.7838752940659149E-2</v>
      </c>
      <c r="AA156" s="317" t="str">
        <f>IF(tblPiNAnalysis[[#This Row],[WASH]]="", "", tblPiNAnalysis[[#This Row],[WASH]]/tblPiNAnalysis[[#This Row],[Total Population]])</f>
        <v/>
      </c>
      <c r="AB156" s="318" t="str">
        <f>IFERROR(IF(tblPiNAnalysis[[#This Row],[CP]]="", "", MROUND(tblPiNAnalysis[[#This Row],[CP]]/tblPiNAnalysis[[#This Row],[Total Population]], 0.05)), "")</f>
        <v/>
      </c>
      <c r="AC156" s="314" t="str">
        <f>IFERROR(IF(tblPiNAnalysis[[#This Row],[GBV]]="", "", MROUND(tblPiNAnalysis[[#This Row],[GBV]]/tblPiNAnalysis[[#This Row],[Total Population]], 0.05)), "")</f>
        <v/>
      </c>
      <c r="AD156" s="314" t="str">
        <f>IFERROR(IF(tblPiNAnalysis[[#This Row],[Mine Action]]="", "", MROUND(tblPiNAnalysis[[#This Row],[Mine Action]]/tblPiNAnalysis[[#This Row],[Total Population]], 0.05)), "")</f>
        <v/>
      </c>
      <c r="AE156" s="314" t="str">
        <f>IFERROR(IF(tblPiNAnalysis[[#This Row],[General Protection]]="", "", MROUND(tblPiNAnalysis[[#This Row],[General Protection]]/tblPiNAnalysis[[#This Row],[Total Population]], 0.05)), "")</f>
        <v/>
      </c>
      <c r="AF156" s="319">
        <f>IFERROR(LARGE(tblPiNAnalysis[[#This Row],[Site Management ]:[General Protection]], 1), "")</f>
        <v>4450</v>
      </c>
      <c r="AG156" s="320">
        <f>IF(tblPiNAnalysis[[#This Row],[Highest PiN]]="", "",tblPiNAnalysis[[#This Row],[Highest PiN]]/ tblPiNAnalysis[[#This Row],[Total Population]])</f>
        <v>9.7838752940659149E-2</v>
      </c>
      <c r="AH156" s="320" t="str">
        <f>IFERROR(IF(tblPiNAnalysis[[#This Row],[Highest PiN]]="", "", IF(tblPiNAnalysis[[#This Row],[Highest sector(s'') PiN %]]&gt;=flag_pin_perc, "Flagged", "")), "")</f>
        <v/>
      </c>
      <c r="AI156" s="321"/>
      <c r="AJ156" s="322"/>
      <c r="AK156" s="323">
        <f>COUNTIFS(tblPiNAnalysis[[#This Row],[Highest PiN greater than 90% of total affected population]:[Manual Flag]],"Flagged")</f>
        <v>0</v>
      </c>
      <c r="AL156" s="324" t="str">
        <f>IF(tblPiNAnalysis[[#This Row],['# Flags]]&gt;0, "Flagged", "")</f>
        <v/>
      </c>
    </row>
    <row r="157" spans="1:38" ht="23.1" hidden="1" customHeight="1" x14ac:dyDescent="0.2">
      <c r="A157" s="309" t="str">
        <f>_xlfn.CONCAT(IF(tblPiNAnalysis[[#This Row],[Population Group]]="", "",tblPiNAnalysis[[#This Row],[Population Group]] ), _xlfn.IFS(tblPiNAnalysis[[#This Row],[Admin 2 P-Code]]&lt;&gt;"", tblPiNAnalysis[[#This Row],[Admin 2 P-Code]], tblPiNAnalysis[[#This Row],[Admin 1 P-Code]]&lt;&gt;"", tblPiNAnalysis[[#This Row],[Admin 1 P-Code]]))</f>
        <v>Host CommunitySD04127</v>
      </c>
      <c r="B157" s="245" t="s">
        <v>191</v>
      </c>
      <c r="C157" s="246" t="s">
        <v>121</v>
      </c>
      <c r="D157" s="247" t="s">
        <v>287</v>
      </c>
      <c r="E157" s="246" t="s">
        <v>286</v>
      </c>
      <c r="F157" s="248">
        <v>0</v>
      </c>
      <c r="G157" s="248" t="s">
        <v>87</v>
      </c>
      <c r="H157" s="310"/>
      <c r="I157" s="311"/>
      <c r="J157" s="312"/>
      <c r="K157" s="311"/>
      <c r="L157" s="311"/>
      <c r="M157" s="312"/>
      <c r="N157" s="312">
        <f>_xlfn.XLOOKUP(CONCATENATE(tblPiNAnalysis[[#This Row],[Admin 2 P-Code]],tblPiNAnalysis[[#This Row],[Population Group]]),'Overall severity &amp; PIN Analysis'!A:A,'Overall severity &amp; PIN Analysis'!P:P,0,0)</f>
        <v>0</v>
      </c>
      <c r="O157" s="311"/>
      <c r="P157" s="312"/>
      <c r="Q157" s="312"/>
      <c r="R157" s="312"/>
      <c r="S157" s="312"/>
      <c r="T157" s="313" t="str">
        <f>IF(tblPiNAnalysis[[#This Row],[Site Management ]]="", "", tblPiNAnalysis[[#This Row],[Site Management ]]/tblPiNAnalysis[[#This Row],[Total Population]])</f>
        <v/>
      </c>
      <c r="U157" s="314" t="str">
        <f>IF(tblPiNAnalysis[[#This Row],[Education]]="", "", tblPiNAnalysis[[#This Row],[Education]]/tblPiNAnalysis[[#This Row],[Total Population]])</f>
        <v/>
      </c>
      <c r="V157" s="314" t="str">
        <f>IF(tblPiNAnalysis[[#This Row],[Food Security and Livlihoods]]="", "", tblPiNAnalysis[[#This Row],[Food Security and Livlihoods]]/tblPiNAnalysis[[#This Row],[Total Population]])</f>
        <v/>
      </c>
      <c r="W157" s="315" t="str">
        <f>IF(tblPiNAnalysis[[#This Row],[Health ]]="", "", tblPiNAnalysis[[#This Row],[Health ]]/tblPiNAnalysis[[#This Row],[Total Population]])</f>
        <v/>
      </c>
      <c r="X157" s="314" t="str">
        <f>IF(tblPiNAnalysis[[#This Row],[Nutrition]]="", "", tblPiNAnalysis[[#This Row],[Nutrition]]/tblPiNAnalysis[[#This Row],[Total Population]])</f>
        <v/>
      </c>
      <c r="Y157" s="314" t="str">
        <f>IF(tblPiNAnalysis[[#This Row],[Protection]]="", "", tblPiNAnalysis[[#This Row],[Protection]]/tblPiNAnalysis[[#This Row],[Total Population]])</f>
        <v/>
      </c>
      <c r="Z157" s="316" t="e">
        <f>IF(tblPiNAnalysis[[#This Row],[Shelter NFI ]]="", "", tblPiNAnalysis[[#This Row],[Shelter NFI ]]/tblPiNAnalysis[[#This Row],[Total Population]])</f>
        <v>#DIV/0!</v>
      </c>
      <c r="AA157" s="317" t="str">
        <f>IF(tblPiNAnalysis[[#This Row],[WASH]]="", "", tblPiNAnalysis[[#This Row],[WASH]]/tblPiNAnalysis[[#This Row],[Total Population]])</f>
        <v/>
      </c>
      <c r="AB157" s="318" t="str">
        <f>IFERROR(IF(tblPiNAnalysis[[#This Row],[CP]]="", "", MROUND(tblPiNAnalysis[[#This Row],[CP]]/tblPiNAnalysis[[#This Row],[Total Population]], 0.05)), "")</f>
        <v/>
      </c>
      <c r="AC157" s="314" t="str">
        <f>IFERROR(IF(tblPiNAnalysis[[#This Row],[GBV]]="", "", MROUND(tblPiNAnalysis[[#This Row],[GBV]]/tblPiNAnalysis[[#This Row],[Total Population]], 0.05)), "")</f>
        <v/>
      </c>
      <c r="AD157" s="314" t="str">
        <f>IFERROR(IF(tblPiNAnalysis[[#This Row],[Mine Action]]="", "", MROUND(tblPiNAnalysis[[#This Row],[Mine Action]]/tblPiNAnalysis[[#This Row],[Total Population]], 0.05)), "")</f>
        <v/>
      </c>
      <c r="AE157" s="314" t="str">
        <f>IFERROR(IF(tblPiNAnalysis[[#This Row],[General Protection]]="", "", MROUND(tblPiNAnalysis[[#This Row],[General Protection]]/tblPiNAnalysis[[#This Row],[Total Population]], 0.05)), "")</f>
        <v/>
      </c>
      <c r="AF157" s="319">
        <f>IFERROR(LARGE(tblPiNAnalysis[[#This Row],[Site Management ]:[General Protection]], 1), "")</f>
        <v>0</v>
      </c>
      <c r="AG157" s="320" t="e">
        <f>IF(tblPiNAnalysis[[#This Row],[Highest PiN]]="", "",tblPiNAnalysis[[#This Row],[Highest PiN]]/ tblPiNAnalysis[[#This Row],[Total Population]])</f>
        <v>#DIV/0!</v>
      </c>
      <c r="AH157" s="320" t="str">
        <f>IFERROR(IF(tblPiNAnalysis[[#This Row],[Highest PiN]]="", "", IF(tblPiNAnalysis[[#This Row],[Highest sector(s'') PiN %]]&gt;=flag_pin_perc, "Flagged", "")), "")</f>
        <v/>
      </c>
      <c r="AI157" s="321"/>
      <c r="AJ157" s="322"/>
      <c r="AK157" s="323">
        <f>COUNTIFS(tblPiNAnalysis[[#This Row],[Highest PiN greater than 90% of total affected population]:[Manual Flag]],"Flagged")</f>
        <v>0</v>
      </c>
      <c r="AL157" s="324" t="str">
        <f>IF(tblPiNAnalysis[[#This Row],['# Flags]]&gt;0, "Flagged", "")</f>
        <v/>
      </c>
    </row>
    <row r="158" spans="1:38" ht="23.1" hidden="1" customHeight="1" x14ac:dyDescent="0.2">
      <c r="A158" s="309" t="str">
        <f>_xlfn.CONCAT(IF(tblPiNAnalysis[[#This Row],[Population Group]]="", "",tblPiNAnalysis[[#This Row],[Population Group]] ), _xlfn.IFS(tblPiNAnalysis[[#This Row],[Admin 2 P-Code]]&lt;&gt;"", tblPiNAnalysis[[#This Row],[Admin 2 P-Code]], tblPiNAnalysis[[#This Row],[Admin 1 P-Code]]&lt;&gt;"", tblPiNAnalysis[[#This Row],[Admin 1 P-Code]]))</f>
        <v>IDPsSD04127</v>
      </c>
      <c r="B158" s="245" t="s">
        <v>191</v>
      </c>
      <c r="C158" s="246" t="s">
        <v>121</v>
      </c>
      <c r="D158" s="247" t="s">
        <v>287</v>
      </c>
      <c r="E158" s="246" t="s">
        <v>286</v>
      </c>
      <c r="F158" s="248">
        <v>44562</v>
      </c>
      <c r="G158" s="248" t="s">
        <v>88</v>
      </c>
      <c r="H158" s="310"/>
      <c r="I158" s="311"/>
      <c r="J158" s="312"/>
      <c r="K158" s="311"/>
      <c r="L158" s="311"/>
      <c r="M158" s="312"/>
      <c r="N158" s="312">
        <f>_xlfn.XLOOKUP(CONCATENATE(tblPiNAnalysis[[#This Row],[Admin 2 P-Code]],tblPiNAnalysis[[#This Row],[Population Group]]),'Overall severity &amp; PIN Analysis'!A:A,'Overall severity &amp; PIN Analysis'!P:P,0,0)</f>
        <v>14122</v>
      </c>
      <c r="O158" s="311"/>
      <c r="P158" s="312"/>
      <c r="Q158" s="312"/>
      <c r="R158" s="312"/>
      <c r="S158" s="312"/>
      <c r="T158" s="313" t="str">
        <f>IF(tblPiNAnalysis[[#This Row],[Site Management ]]="", "", tblPiNAnalysis[[#This Row],[Site Management ]]/tblPiNAnalysis[[#This Row],[Total Population]])</f>
        <v/>
      </c>
      <c r="U158" s="314" t="str">
        <f>IF(tblPiNAnalysis[[#This Row],[Education]]="", "", tblPiNAnalysis[[#This Row],[Education]]/tblPiNAnalysis[[#This Row],[Total Population]])</f>
        <v/>
      </c>
      <c r="V158" s="314" t="str">
        <f>IF(tblPiNAnalysis[[#This Row],[Food Security and Livlihoods]]="", "", tblPiNAnalysis[[#This Row],[Food Security and Livlihoods]]/tblPiNAnalysis[[#This Row],[Total Population]])</f>
        <v/>
      </c>
      <c r="W158" s="315" t="str">
        <f>IF(tblPiNAnalysis[[#This Row],[Health ]]="", "", tblPiNAnalysis[[#This Row],[Health ]]/tblPiNAnalysis[[#This Row],[Total Population]])</f>
        <v/>
      </c>
      <c r="X158" s="314" t="str">
        <f>IF(tblPiNAnalysis[[#This Row],[Nutrition]]="", "", tblPiNAnalysis[[#This Row],[Nutrition]]/tblPiNAnalysis[[#This Row],[Total Population]])</f>
        <v/>
      </c>
      <c r="Y158" s="314" t="str">
        <f>IF(tblPiNAnalysis[[#This Row],[Protection]]="", "", tblPiNAnalysis[[#This Row],[Protection]]/tblPiNAnalysis[[#This Row],[Total Population]])</f>
        <v/>
      </c>
      <c r="Z158" s="316">
        <f>IF(tblPiNAnalysis[[#This Row],[Shelter NFI ]]="", "", tblPiNAnalysis[[#This Row],[Shelter NFI ]]/tblPiNAnalysis[[#This Row],[Total Population]])</f>
        <v>0.31690678156276647</v>
      </c>
      <c r="AA158" s="317" t="str">
        <f>IF(tblPiNAnalysis[[#This Row],[WASH]]="", "", tblPiNAnalysis[[#This Row],[WASH]]/tblPiNAnalysis[[#This Row],[Total Population]])</f>
        <v/>
      </c>
      <c r="AB158" s="318" t="str">
        <f>IFERROR(IF(tblPiNAnalysis[[#This Row],[CP]]="", "", MROUND(tblPiNAnalysis[[#This Row],[CP]]/tblPiNAnalysis[[#This Row],[Total Population]], 0.05)), "")</f>
        <v/>
      </c>
      <c r="AC158" s="314" t="str">
        <f>IFERROR(IF(tblPiNAnalysis[[#This Row],[GBV]]="", "", MROUND(tblPiNAnalysis[[#This Row],[GBV]]/tblPiNAnalysis[[#This Row],[Total Population]], 0.05)), "")</f>
        <v/>
      </c>
      <c r="AD158" s="314" t="str">
        <f>IFERROR(IF(tblPiNAnalysis[[#This Row],[Mine Action]]="", "", MROUND(tblPiNAnalysis[[#This Row],[Mine Action]]/tblPiNAnalysis[[#This Row],[Total Population]], 0.05)), "")</f>
        <v/>
      </c>
      <c r="AE158" s="314" t="str">
        <f>IFERROR(IF(tblPiNAnalysis[[#This Row],[General Protection]]="", "", MROUND(tblPiNAnalysis[[#This Row],[General Protection]]/tblPiNAnalysis[[#This Row],[Total Population]], 0.05)), "")</f>
        <v/>
      </c>
      <c r="AF158" s="319">
        <f>IFERROR(LARGE(tblPiNAnalysis[[#This Row],[Site Management ]:[General Protection]], 1), "")</f>
        <v>14122</v>
      </c>
      <c r="AG158" s="320">
        <f>IF(tblPiNAnalysis[[#This Row],[Highest PiN]]="", "",tblPiNAnalysis[[#This Row],[Highest PiN]]/ tblPiNAnalysis[[#This Row],[Total Population]])</f>
        <v>0.31690678156276647</v>
      </c>
      <c r="AH158" s="320" t="str">
        <f>IFERROR(IF(tblPiNAnalysis[[#This Row],[Highest PiN]]="", "", IF(tblPiNAnalysis[[#This Row],[Highest sector(s'') PiN %]]&gt;=flag_pin_perc, "Flagged", "")), "")</f>
        <v/>
      </c>
      <c r="AI158" s="321"/>
      <c r="AJ158" s="322"/>
      <c r="AK158" s="323">
        <f>COUNTIFS(tblPiNAnalysis[[#This Row],[Highest PiN greater than 90% of total affected population]:[Manual Flag]],"Flagged")</f>
        <v>0</v>
      </c>
      <c r="AL158" s="324" t="str">
        <f>IF(tblPiNAnalysis[[#This Row],['# Flags]]&gt;0, "Flagged", "")</f>
        <v/>
      </c>
    </row>
    <row r="159" spans="1:38" ht="23.1" customHeight="1" x14ac:dyDescent="0.2">
      <c r="A159" s="309" t="str">
        <f>_xlfn.CONCAT(IF(tblPiNAnalysis[[#This Row],[Population Group]]="", "",tblPiNAnalysis[[#This Row],[Population Group]] ), _xlfn.IFS(tblPiNAnalysis[[#This Row],[Admin 2 P-Code]]&lt;&gt;"", tblPiNAnalysis[[#This Row],[Admin 2 P-Code]], tblPiNAnalysis[[#This Row],[Admin 1 P-Code]]&lt;&gt;"", tblPiNAnalysis[[#This Row],[Admin 1 P-Code]]))</f>
        <v>Non-hosting PopulationSD04127</v>
      </c>
      <c r="B159" s="245" t="s">
        <v>191</v>
      </c>
      <c r="C159" s="246" t="s">
        <v>121</v>
      </c>
      <c r="D159" s="247" t="s">
        <v>287</v>
      </c>
      <c r="E159" s="246" t="s">
        <v>286</v>
      </c>
      <c r="F159" s="248">
        <v>0</v>
      </c>
      <c r="G159" s="248" t="s">
        <v>568</v>
      </c>
      <c r="H159" s="310"/>
      <c r="I159" s="311"/>
      <c r="J159" s="312"/>
      <c r="K159" s="311"/>
      <c r="L159" s="311"/>
      <c r="M159" s="312"/>
      <c r="N159" s="312">
        <f>_xlfn.XLOOKUP(CONCATENATE(tblPiNAnalysis[[#This Row],[Admin 2 P-Code]],tblPiNAnalysis[[#This Row],[Population Group]]),'Overall severity &amp; PIN Analysis'!A:A,'Overall severity &amp; PIN Analysis'!P:P,0,0)</f>
        <v>0</v>
      </c>
      <c r="O159" s="311"/>
      <c r="P159" s="312"/>
      <c r="Q159" s="312"/>
      <c r="R159" s="312"/>
      <c r="S159" s="312"/>
      <c r="T159" s="313" t="str">
        <f>IF(tblPiNAnalysis[[#This Row],[Site Management ]]="", "", tblPiNAnalysis[[#This Row],[Site Management ]]/tblPiNAnalysis[[#This Row],[Total Population]])</f>
        <v/>
      </c>
      <c r="U159" s="314" t="str">
        <f>IF(tblPiNAnalysis[[#This Row],[Education]]="", "", tblPiNAnalysis[[#This Row],[Education]]/tblPiNAnalysis[[#This Row],[Total Population]])</f>
        <v/>
      </c>
      <c r="V159" s="314" t="str">
        <f>IF(tblPiNAnalysis[[#This Row],[Food Security and Livlihoods]]="", "", tblPiNAnalysis[[#This Row],[Food Security and Livlihoods]]/tblPiNAnalysis[[#This Row],[Total Population]])</f>
        <v/>
      </c>
      <c r="W159" s="315" t="str">
        <f>IF(tblPiNAnalysis[[#This Row],[Health ]]="", "", tblPiNAnalysis[[#This Row],[Health ]]/tblPiNAnalysis[[#This Row],[Total Population]])</f>
        <v/>
      </c>
      <c r="X159" s="314" t="str">
        <f>IF(tblPiNAnalysis[[#This Row],[Nutrition]]="", "", tblPiNAnalysis[[#This Row],[Nutrition]]/tblPiNAnalysis[[#This Row],[Total Population]])</f>
        <v/>
      </c>
      <c r="Y159" s="314" t="str">
        <f>IF(tblPiNAnalysis[[#This Row],[Protection]]="", "", tblPiNAnalysis[[#This Row],[Protection]]/tblPiNAnalysis[[#This Row],[Total Population]])</f>
        <v/>
      </c>
      <c r="Z159" s="316" t="e">
        <f>IF(tblPiNAnalysis[[#This Row],[Shelter NFI ]]="", "", tblPiNAnalysis[[#This Row],[Shelter NFI ]]/tblPiNAnalysis[[#This Row],[Total Population]])</f>
        <v>#DIV/0!</v>
      </c>
      <c r="AA159" s="317" t="str">
        <f>IF(tblPiNAnalysis[[#This Row],[WASH]]="", "", tblPiNAnalysis[[#This Row],[WASH]]/tblPiNAnalysis[[#This Row],[Total Population]])</f>
        <v/>
      </c>
      <c r="AB159" s="318" t="str">
        <f>IFERROR(IF(tblPiNAnalysis[[#This Row],[CP]]="", "", MROUND(tblPiNAnalysis[[#This Row],[CP]]/tblPiNAnalysis[[#This Row],[Total Population]], 0.05)), "")</f>
        <v/>
      </c>
      <c r="AC159" s="314" t="str">
        <f>IFERROR(IF(tblPiNAnalysis[[#This Row],[GBV]]="", "", MROUND(tblPiNAnalysis[[#This Row],[GBV]]/tblPiNAnalysis[[#This Row],[Total Population]], 0.05)), "")</f>
        <v/>
      </c>
      <c r="AD159" s="314" t="str">
        <f>IFERROR(IF(tblPiNAnalysis[[#This Row],[Mine Action]]="", "", MROUND(tblPiNAnalysis[[#This Row],[Mine Action]]/tblPiNAnalysis[[#This Row],[Total Population]], 0.05)), "")</f>
        <v/>
      </c>
      <c r="AE159" s="314" t="str">
        <f>IFERROR(IF(tblPiNAnalysis[[#This Row],[General Protection]]="", "", MROUND(tblPiNAnalysis[[#This Row],[General Protection]]/tblPiNAnalysis[[#This Row],[Total Population]], 0.05)), "")</f>
        <v/>
      </c>
      <c r="AF159" s="319">
        <f>IFERROR(LARGE(tblPiNAnalysis[[#This Row],[Site Management ]:[General Protection]], 1), "")</f>
        <v>0</v>
      </c>
      <c r="AG159" s="320" t="e">
        <f>IF(tblPiNAnalysis[[#This Row],[Highest PiN]]="", "",tblPiNAnalysis[[#This Row],[Highest PiN]]/ tblPiNAnalysis[[#This Row],[Total Population]])</f>
        <v>#DIV/0!</v>
      </c>
      <c r="AH159" s="320" t="str">
        <f>IFERROR(IF(tblPiNAnalysis[[#This Row],[Highest PiN]]="", "", IF(tblPiNAnalysis[[#This Row],[Highest sector(s'') PiN %]]&gt;=flag_pin_perc, "Flagged", "")), "")</f>
        <v/>
      </c>
      <c r="AI159" s="321"/>
      <c r="AJ159" s="322"/>
      <c r="AK159" s="323">
        <f>COUNTIFS(tblPiNAnalysis[[#This Row],[Highest PiN greater than 90% of total affected population]:[Manual Flag]],"Flagged")</f>
        <v>0</v>
      </c>
      <c r="AL159" s="324" t="str">
        <f>IF(tblPiNAnalysis[[#This Row],['# Flags]]&gt;0, "Flagged", "")</f>
        <v/>
      </c>
    </row>
    <row r="160" spans="1:38" ht="23.1" hidden="1" customHeight="1" x14ac:dyDescent="0.2">
      <c r="A160" s="309" t="str">
        <f>_xlfn.CONCAT(IF(tblPiNAnalysis[[#This Row],[Population Group]]="", "",tblPiNAnalysis[[#This Row],[Population Group]] ), _xlfn.IFS(tblPiNAnalysis[[#This Row],[Admin 2 P-Code]]&lt;&gt;"", tblPiNAnalysis[[#This Row],[Admin 2 P-Code]], tblPiNAnalysis[[#This Row],[Admin 1 P-Code]]&lt;&gt;"", tblPiNAnalysis[[#This Row],[Admin 1 P-Code]]))</f>
        <v>Host CommunitySD04134</v>
      </c>
      <c r="B160" s="245" t="s">
        <v>191</v>
      </c>
      <c r="C160" s="246" t="s">
        <v>121</v>
      </c>
      <c r="D160" s="247" t="s">
        <v>289</v>
      </c>
      <c r="E160" s="246" t="s">
        <v>288</v>
      </c>
      <c r="F160" s="248">
        <v>26225</v>
      </c>
      <c r="G160" s="248" t="s">
        <v>87</v>
      </c>
      <c r="H160" s="310"/>
      <c r="I160" s="311"/>
      <c r="J160" s="312"/>
      <c r="K160" s="311"/>
      <c r="L160" s="311"/>
      <c r="M160" s="312"/>
      <c r="N160" s="312">
        <f>_xlfn.XLOOKUP(CONCATENATE(tblPiNAnalysis[[#This Row],[Admin 2 P-Code]],tblPiNAnalysis[[#This Row],[Population Group]]),'Overall severity &amp; PIN Analysis'!A:A,'Overall severity &amp; PIN Analysis'!P:P,0,0)</f>
        <v>11006</v>
      </c>
      <c r="O160" s="311"/>
      <c r="P160" s="312"/>
      <c r="Q160" s="312"/>
      <c r="R160" s="312"/>
      <c r="S160" s="312"/>
      <c r="T160" s="313" t="str">
        <f>IF(tblPiNAnalysis[[#This Row],[Site Management ]]="", "", tblPiNAnalysis[[#This Row],[Site Management ]]/tblPiNAnalysis[[#This Row],[Total Population]])</f>
        <v/>
      </c>
      <c r="U160" s="314" t="str">
        <f>IF(tblPiNAnalysis[[#This Row],[Education]]="", "", tblPiNAnalysis[[#This Row],[Education]]/tblPiNAnalysis[[#This Row],[Total Population]])</f>
        <v/>
      </c>
      <c r="V160" s="314" t="str">
        <f>IF(tblPiNAnalysis[[#This Row],[Food Security and Livlihoods]]="", "", tblPiNAnalysis[[#This Row],[Food Security and Livlihoods]]/tblPiNAnalysis[[#This Row],[Total Population]])</f>
        <v/>
      </c>
      <c r="W160" s="315" t="str">
        <f>IF(tblPiNAnalysis[[#This Row],[Health ]]="", "", tblPiNAnalysis[[#This Row],[Health ]]/tblPiNAnalysis[[#This Row],[Total Population]])</f>
        <v/>
      </c>
      <c r="X160" s="314" t="str">
        <f>IF(tblPiNAnalysis[[#This Row],[Nutrition]]="", "", tblPiNAnalysis[[#This Row],[Nutrition]]/tblPiNAnalysis[[#This Row],[Total Population]])</f>
        <v/>
      </c>
      <c r="Y160" s="314" t="str">
        <f>IF(tblPiNAnalysis[[#This Row],[Protection]]="", "", tblPiNAnalysis[[#This Row],[Protection]]/tblPiNAnalysis[[#This Row],[Total Population]])</f>
        <v/>
      </c>
      <c r="Z160" s="316">
        <f>IF(tblPiNAnalysis[[#This Row],[Shelter NFI ]]="", "", tblPiNAnalysis[[#This Row],[Shelter NFI ]]/tblPiNAnalysis[[#This Row],[Total Population]])</f>
        <v>0.41967588179218301</v>
      </c>
      <c r="AA160" s="317" t="str">
        <f>IF(tblPiNAnalysis[[#This Row],[WASH]]="", "", tblPiNAnalysis[[#This Row],[WASH]]/tblPiNAnalysis[[#This Row],[Total Population]])</f>
        <v/>
      </c>
      <c r="AB160" s="318" t="str">
        <f>IFERROR(IF(tblPiNAnalysis[[#This Row],[CP]]="", "", MROUND(tblPiNAnalysis[[#This Row],[CP]]/tblPiNAnalysis[[#This Row],[Total Population]], 0.05)), "")</f>
        <v/>
      </c>
      <c r="AC160" s="314" t="str">
        <f>IFERROR(IF(tblPiNAnalysis[[#This Row],[GBV]]="", "", MROUND(tblPiNAnalysis[[#This Row],[GBV]]/tblPiNAnalysis[[#This Row],[Total Population]], 0.05)), "")</f>
        <v/>
      </c>
      <c r="AD160" s="314" t="str">
        <f>IFERROR(IF(tblPiNAnalysis[[#This Row],[Mine Action]]="", "", MROUND(tblPiNAnalysis[[#This Row],[Mine Action]]/tblPiNAnalysis[[#This Row],[Total Population]], 0.05)), "")</f>
        <v/>
      </c>
      <c r="AE160" s="314" t="str">
        <f>IFERROR(IF(tblPiNAnalysis[[#This Row],[General Protection]]="", "", MROUND(tblPiNAnalysis[[#This Row],[General Protection]]/tblPiNAnalysis[[#This Row],[Total Population]], 0.05)), "")</f>
        <v/>
      </c>
      <c r="AF160" s="319">
        <f>IFERROR(LARGE(tblPiNAnalysis[[#This Row],[Site Management ]:[General Protection]], 1), "")</f>
        <v>11006</v>
      </c>
      <c r="AG160" s="320">
        <f>IF(tblPiNAnalysis[[#This Row],[Highest PiN]]="", "",tblPiNAnalysis[[#This Row],[Highest PiN]]/ tblPiNAnalysis[[#This Row],[Total Population]])</f>
        <v>0.41967588179218301</v>
      </c>
      <c r="AH160" s="320" t="str">
        <f>IFERROR(IF(tblPiNAnalysis[[#This Row],[Highest PiN]]="", "", IF(tblPiNAnalysis[[#This Row],[Highest sector(s'') PiN %]]&gt;=flag_pin_perc, "Flagged", "")), "")</f>
        <v/>
      </c>
      <c r="AI160" s="321"/>
      <c r="AJ160" s="322"/>
      <c r="AK160" s="323">
        <f>COUNTIFS(tblPiNAnalysis[[#This Row],[Highest PiN greater than 90% of total affected population]:[Manual Flag]],"Flagged")</f>
        <v>0</v>
      </c>
      <c r="AL160" s="324" t="str">
        <f>IF(tblPiNAnalysis[[#This Row],['# Flags]]&gt;0, "Flagged", "")</f>
        <v/>
      </c>
    </row>
    <row r="161" spans="1:38" ht="23.1" hidden="1" customHeight="1" x14ac:dyDescent="0.2">
      <c r="A161" s="309" t="str">
        <f>_xlfn.CONCAT(IF(tblPiNAnalysis[[#This Row],[Population Group]]="", "",tblPiNAnalysis[[#This Row],[Population Group]] ), _xlfn.IFS(tblPiNAnalysis[[#This Row],[Admin 2 P-Code]]&lt;&gt;"", tblPiNAnalysis[[#This Row],[Admin 2 P-Code]], tblPiNAnalysis[[#This Row],[Admin 1 P-Code]]&lt;&gt;"", tblPiNAnalysis[[#This Row],[Admin 1 P-Code]]))</f>
        <v>IDPsSD04134</v>
      </c>
      <c r="B161" s="245" t="s">
        <v>191</v>
      </c>
      <c r="C161" s="246" t="s">
        <v>121</v>
      </c>
      <c r="D161" s="247" t="s">
        <v>289</v>
      </c>
      <c r="E161" s="246" t="s">
        <v>288</v>
      </c>
      <c r="F161" s="248">
        <v>26225</v>
      </c>
      <c r="G161" s="248" t="s">
        <v>88</v>
      </c>
      <c r="H161" s="310"/>
      <c r="I161" s="311"/>
      <c r="J161" s="312"/>
      <c r="K161" s="311"/>
      <c r="L161" s="311"/>
      <c r="M161" s="312"/>
      <c r="N161" s="312">
        <f>_xlfn.XLOOKUP(CONCATENATE(tblPiNAnalysis[[#This Row],[Admin 2 P-Code]],tblPiNAnalysis[[#This Row],[Population Group]]),'Overall severity &amp; PIN Analysis'!A:A,'Overall severity &amp; PIN Analysis'!P:P,0,0)</f>
        <v>11006</v>
      </c>
      <c r="O161" s="311"/>
      <c r="P161" s="312"/>
      <c r="Q161" s="312"/>
      <c r="R161" s="312"/>
      <c r="S161" s="312"/>
      <c r="T161" s="313" t="str">
        <f>IF(tblPiNAnalysis[[#This Row],[Site Management ]]="", "", tblPiNAnalysis[[#This Row],[Site Management ]]/tblPiNAnalysis[[#This Row],[Total Population]])</f>
        <v/>
      </c>
      <c r="U161" s="314" t="str">
        <f>IF(tblPiNAnalysis[[#This Row],[Education]]="", "", tblPiNAnalysis[[#This Row],[Education]]/tblPiNAnalysis[[#This Row],[Total Population]])</f>
        <v/>
      </c>
      <c r="V161" s="314" t="str">
        <f>IF(tblPiNAnalysis[[#This Row],[Food Security and Livlihoods]]="", "", tblPiNAnalysis[[#This Row],[Food Security and Livlihoods]]/tblPiNAnalysis[[#This Row],[Total Population]])</f>
        <v/>
      </c>
      <c r="W161" s="315" t="str">
        <f>IF(tblPiNAnalysis[[#This Row],[Health ]]="", "", tblPiNAnalysis[[#This Row],[Health ]]/tblPiNAnalysis[[#This Row],[Total Population]])</f>
        <v/>
      </c>
      <c r="X161" s="314" t="str">
        <f>IF(tblPiNAnalysis[[#This Row],[Nutrition]]="", "", tblPiNAnalysis[[#This Row],[Nutrition]]/tblPiNAnalysis[[#This Row],[Total Population]])</f>
        <v/>
      </c>
      <c r="Y161" s="314" t="str">
        <f>IF(tblPiNAnalysis[[#This Row],[Protection]]="", "", tblPiNAnalysis[[#This Row],[Protection]]/tblPiNAnalysis[[#This Row],[Total Population]])</f>
        <v/>
      </c>
      <c r="Z161" s="316">
        <f>IF(tblPiNAnalysis[[#This Row],[Shelter NFI ]]="", "", tblPiNAnalysis[[#This Row],[Shelter NFI ]]/tblPiNAnalysis[[#This Row],[Total Population]])</f>
        <v>0.41967588179218301</v>
      </c>
      <c r="AA161" s="317" t="str">
        <f>IF(tblPiNAnalysis[[#This Row],[WASH]]="", "", tblPiNAnalysis[[#This Row],[WASH]]/tblPiNAnalysis[[#This Row],[Total Population]])</f>
        <v/>
      </c>
      <c r="AB161" s="318" t="str">
        <f>IFERROR(IF(tblPiNAnalysis[[#This Row],[CP]]="", "", MROUND(tblPiNAnalysis[[#This Row],[CP]]/tblPiNAnalysis[[#This Row],[Total Population]], 0.05)), "")</f>
        <v/>
      </c>
      <c r="AC161" s="314" t="str">
        <f>IFERROR(IF(tblPiNAnalysis[[#This Row],[GBV]]="", "", MROUND(tblPiNAnalysis[[#This Row],[GBV]]/tblPiNAnalysis[[#This Row],[Total Population]], 0.05)), "")</f>
        <v/>
      </c>
      <c r="AD161" s="314" t="str">
        <f>IFERROR(IF(tblPiNAnalysis[[#This Row],[Mine Action]]="", "", MROUND(tblPiNAnalysis[[#This Row],[Mine Action]]/tblPiNAnalysis[[#This Row],[Total Population]], 0.05)), "")</f>
        <v/>
      </c>
      <c r="AE161" s="314" t="str">
        <f>IFERROR(IF(tblPiNAnalysis[[#This Row],[General Protection]]="", "", MROUND(tblPiNAnalysis[[#This Row],[General Protection]]/tblPiNAnalysis[[#This Row],[Total Population]], 0.05)), "")</f>
        <v/>
      </c>
      <c r="AF161" s="319">
        <f>IFERROR(LARGE(tblPiNAnalysis[[#This Row],[Site Management ]:[General Protection]], 1), "")</f>
        <v>11006</v>
      </c>
      <c r="AG161" s="320">
        <f>IF(tblPiNAnalysis[[#This Row],[Highest PiN]]="", "",tblPiNAnalysis[[#This Row],[Highest PiN]]/ tblPiNAnalysis[[#This Row],[Total Population]])</f>
        <v>0.41967588179218301</v>
      </c>
      <c r="AH161" s="320" t="str">
        <f>IFERROR(IF(tblPiNAnalysis[[#This Row],[Highest PiN]]="", "", IF(tblPiNAnalysis[[#This Row],[Highest sector(s'') PiN %]]&gt;=flag_pin_perc, "Flagged", "")), "")</f>
        <v/>
      </c>
      <c r="AI161" s="321"/>
      <c r="AJ161" s="322"/>
      <c r="AK161" s="323">
        <f>COUNTIFS(tblPiNAnalysis[[#This Row],[Highest PiN greater than 90% of total affected population]:[Manual Flag]],"Flagged")</f>
        <v>0</v>
      </c>
      <c r="AL161" s="324" t="str">
        <f>IF(tblPiNAnalysis[[#This Row],['# Flags]]&gt;0, "Flagged", "")</f>
        <v/>
      </c>
    </row>
    <row r="162" spans="1:38" ht="23.1" customHeight="1" x14ac:dyDescent="0.2">
      <c r="A162" s="309" t="str">
        <f>_xlfn.CONCAT(IF(tblPiNAnalysis[[#This Row],[Population Group]]="", "",tblPiNAnalysis[[#This Row],[Population Group]] ), _xlfn.IFS(tblPiNAnalysis[[#This Row],[Admin 2 P-Code]]&lt;&gt;"", tblPiNAnalysis[[#This Row],[Admin 2 P-Code]], tblPiNAnalysis[[#This Row],[Admin 1 P-Code]]&lt;&gt;"", tblPiNAnalysis[[#This Row],[Admin 1 P-Code]]))</f>
        <v>Non-hosting PopulationSD04134</v>
      </c>
      <c r="B162" s="245" t="s">
        <v>191</v>
      </c>
      <c r="C162" s="246" t="s">
        <v>121</v>
      </c>
      <c r="D162" s="247" t="s">
        <v>289</v>
      </c>
      <c r="E162" s="246" t="s">
        <v>288</v>
      </c>
      <c r="F162" s="248">
        <v>1123</v>
      </c>
      <c r="G162" s="248" t="s">
        <v>568</v>
      </c>
      <c r="H162" s="310"/>
      <c r="I162" s="311"/>
      <c r="J162" s="312"/>
      <c r="K162" s="311"/>
      <c r="L162" s="311"/>
      <c r="M162" s="312"/>
      <c r="N162" s="312">
        <f>_xlfn.XLOOKUP(CONCATENATE(tblPiNAnalysis[[#This Row],[Admin 2 P-Code]],tblPiNAnalysis[[#This Row],[Population Group]]),'Overall severity &amp; PIN Analysis'!A:A,'Overall severity &amp; PIN Analysis'!P:P,0,0)</f>
        <v>0</v>
      </c>
      <c r="O162" s="311"/>
      <c r="P162" s="312"/>
      <c r="Q162" s="312"/>
      <c r="R162" s="312"/>
      <c r="S162" s="312"/>
      <c r="T162" s="313" t="str">
        <f>IF(tblPiNAnalysis[[#This Row],[Site Management ]]="", "", tblPiNAnalysis[[#This Row],[Site Management ]]/tblPiNAnalysis[[#This Row],[Total Population]])</f>
        <v/>
      </c>
      <c r="U162" s="314" t="str">
        <f>IF(tblPiNAnalysis[[#This Row],[Education]]="", "", tblPiNAnalysis[[#This Row],[Education]]/tblPiNAnalysis[[#This Row],[Total Population]])</f>
        <v/>
      </c>
      <c r="V162" s="314" t="str">
        <f>IF(tblPiNAnalysis[[#This Row],[Food Security and Livlihoods]]="", "", tblPiNAnalysis[[#This Row],[Food Security and Livlihoods]]/tblPiNAnalysis[[#This Row],[Total Population]])</f>
        <v/>
      </c>
      <c r="W162" s="315" t="str">
        <f>IF(tblPiNAnalysis[[#This Row],[Health ]]="", "", tblPiNAnalysis[[#This Row],[Health ]]/tblPiNAnalysis[[#This Row],[Total Population]])</f>
        <v/>
      </c>
      <c r="X162" s="314" t="str">
        <f>IF(tblPiNAnalysis[[#This Row],[Nutrition]]="", "", tblPiNAnalysis[[#This Row],[Nutrition]]/tblPiNAnalysis[[#This Row],[Total Population]])</f>
        <v/>
      </c>
      <c r="Y162" s="314" t="str">
        <f>IF(tblPiNAnalysis[[#This Row],[Protection]]="", "", tblPiNAnalysis[[#This Row],[Protection]]/tblPiNAnalysis[[#This Row],[Total Population]])</f>
        <v/>
      </c>
      <c r="Z162" s="316">
        <f>IF(tblPiNAnalysis[[#This Row],[Shelter NFI ]]="", "", tblPiNAnalysis[[#This Row],[Shelter NFI ]]/tblPiNAnalysis[[#This Row],[Total Population]])</f>
        <v>0</v>
      </c>
      <c r="AA162" s="317" t="str">
        <f>IF(tblPiNAnalysis[[#This Row],[WASH]]="", "", tblPiNAnalysis[[#This Row],[WASH]]/tblPiNAnalysis[[#This Row],[Total Population]])</f>
        <v/>
      </c>
      <c r="AB162" s="318" t="str">
        <f>IFERROR(IF(tblPiNAnalysis[[#This Row],[CP]]="", "", MROUND(tblPiNAnalysis[[#This Row],[CP]]/tblPiNAnalysis[[#This Row],[Total Population]], 0.05)), "")</f>
        <v/>
      </c>
      <c r="AC162" s="314" t="str">
        <f>IFERROR(IF(tblPiNAnalysis[[#This Row],[GBV]]="", "", MROUND(tblPiNAnalysis[[#This Row],[GBV]]/tblPiNAnalysis[[#This Row],[Total Population]], 0.05)), "")</f>
        <v/>
      </c>
      <c r="AD162" s="314" t="str">
        <f>IFERROR(IF(tblPiNAnalysis[[#This Row],[Mine Action]]="", "", MROUND(tblPiNAnalysis[[#This Row],[Mine Action]]/tblPiNAnalysis[[#This Row],[Total Population]], 0.05)), "")</f>
        <v/>
      </c>
      <c r="AE162" s="314" t="str">
        <f>IFERROR(IF(tblPiNAnalysis[[#This Row],[General Protection]]="", "", MROUND(tblPiNAnalysis[[#This Row],[General Protection]]/tblPiNAnalysis[[#This Row],[Total Population]], 0.05)), "")</f>
        <v/>
      </c>
      <c r="AF162" s="319">
        <f>IFERROR(LARGE(tblPiNAnalysis[[#This Row],[Site Management ]:[General Protection]], 1), "")</f>
        <v>0</v>
      </c>
      <c r="AG162" s="320">
        <f>IF(tblPiNAnalysis[[#This Row],[Highest PiN]]="", "",tblPiNAnalysis[[#This Row],[Highest PiN]]/ tblPiNAnalysis[[#This Row],[Total Population]])</f>
        <v>0</v>
      </c>
      <c r="AH162" s="320" t="str">
        <f>IFERROR(IF(tblPiNAnalysis[[#This Row],[Highest PiN]]="", "", IF(tblPiNAnalysis[[#This Row],[Highest sector(s'') PiN %]]&gt;=flag_pin_perc, "Flagged", "")), "")</f>
        <v/>
      </c>
      <c r="AI162" s="321"/>
      <c r="AJ162" s="322"/>
      <c r="AK162" s="323">
        <f>COUNTIFS(tblPiNAnalysis[[#This Row],[Highest PiN greater than 90% of total affected population]:[Manual Flag]],"Flagged")</f>
        <v>0</v>
      </c>
      <c r="AL162" s="324" t="str">
        <f>IF(tblPiNAnalysis[[#This Row],['# Flags]]&gt;0, "Flagged", "")</f>
        <v/>
      </c>
    </row>
    <row r="163" spans="1:38" ht="23.1" hidden="1" customHeight="1" x14ac:dyDescent="0.2">
      <c r="A163" s="309" t="str">
        <f>_xlfn.CONCAT(IF(tblPiNAnalysis[[#This Row],[Population Group]]="", "",tblPiNAnalysis[[#This Row],[Population Group]] ), _xlfn.IFS(tblPiNAnalysis[[#This Row],[Admin 2 P-Code]]&lt;&gt;"", tblPiNAnalysis[[#This Row],[Admin 2 P-Code]], tblPiNAnalysis[[#This Row],[Admin 1 P-Code]]&lt;&gt;"", tblPiNAnalysis[[#This Row],[Admin 1 P-Code]]))</f>
        <v>Host CommunitySD05139</v>
      </c>
      <c r="B163" s="245" t="s">
        <v>155</v>
      </c>
      <c r="C163" s="246" t="s">
        <v>122</v>
      </c>
      <c r="D163" s="247" t="s">
        <v>169</v>
      </c>
      <c r="E163" s="246" t="s">
        <v>168</v>
      </c>
      <c r="F163" s="248">
        <v>56553</v>
      </c>
      <c r="G163" s="248" t="s">
        <v>87</v>
      </c>
      <c r="H163" s="310"/>
      <c r="I163" s="311"/>
      <c r="J163" s="312"/>
      <c r="K163" s="311"/>
      <c r="L163" s="311"/>
      <c r="M163" s="312"/>
      <c r="N163" s="312">
        <f>_xlfn.XLOOKUP(CONCATENATE(tblPiNAnalysis[[#This Row],[Admin 2 P-Code]],tblPiNAnalysis[[#This Row],[Population Group]]),'Overall severity &amp; PIN Analysis'!A:A,'Overall severity &amp; PIN Analysis'!P:P,0,0)</f>
        <v>24140</v>
      </c>
      <c r="O163" s="311"/>
      <c r="P163" s="312"/>
      <c r="Q163" s="312"/>
      <c r="R163" s="312"/>
      <c r="S163" s="312"/>
      <c r="T163" s="313" t="str">
        <f>IF(tblPiNAnalysis[[#This Row],[Site Management ]]="", "", tblPiNAnalysis[[#This Row],[Site Management ]]/tblPiNAnalysis[[#This Row],[Total Population]])</f>
        <v/>
      </c>
      <c r="U163" s="314" t="str">
        <f>IF(tblPiNAnalysis[[#This Row],[Education]]="", "", tblPiNAnalysis[[#This Row],[Education]]/tblPiNAnalysis[[#This Row],[Total Population]])</f>
        <v/>
      </c>
      <c r="V163" s="314" t="str">
        <f>IF(tblPiNAnalysis[[#This Row],[Food Security and Livlihoods]]="", "", tblPiNAnalysis[[#This Row],[Food Security and Livlihoods]]/tblPiNAnalysis[[#This Row],[Total Population]])</f>
        <v/>
      </c>
      <c r="W163" s="315" t="str">
        <f>IF(tblPiNAnalysis[[#This Row],[Health ]]="", "", tblPiNAnalysis[[#This Row],[Health ]]/tblPiNAnalysis[[#This Row],[Total Population]])</f>
        <v/>
      </c>
      <c r="X163" s="314" t="str">
        <f>IF(tblPiNAnalysis[[#This Row],[Nutrition]]="", "", tblPiNAnalysis[[#This Row],[Nutrition]]/tblPiNAnalysis[[#This Row],[Total Population]])</f>
        <v/>
      </c>
      <c r="Y163" s="314" t="str">
        <f>IF(tblPiNAnalysis[[#This Row],[Protection]]="", "", tblPiNAnalysis[[#This Row],[Protection]]/tblPiNAnalysis[[#This Row],[Total Population]])</f>
        <v/>
      </c>
      <c r="Z163" s="316">
        <f>IF(tblPiNAnalysis[[#This Row],[Shelter NFI ]]="", "", tblPiNAnalysis[[#This Row],[Shelter NFI ]]/tblPiNAnalysis[[#This Row],[Total Population]])</f>
        <v>0.42685622336569234</v>
      </c>
      <c r="AA163" s="317" t="str">
        <f>IF(tblPiNAnalysis[[#This Row],[WASH]]="", "", tblPiNAnalysis[[#This Row],[WASH]]/tblPiNAnalysis[[#This Row],[Total Population]])</f>
        <v/>
      </c>
      <c r="AB163" s="318" t="str">
        <f>IFERROR(IF(tblPiNAnalysis[[#This Row],[CP]]="", "", MROUND(tblPiNAnalysis[[#This Row],[CP]]/tblPiNAnalysis[[#This Row],[Total Population]], 0.05)), "")</f>
        <v/>
      </c>
      <c r="AC163" s="314" t="str">
        <f>IFERROR(IF(tblPiNAnalysis[[#This Row],[GBV]]="", "", MROUND(tblPiNAnalysis[[#This Row],[GBV]]/tblPiNAnalysis[[#This Row],[Total Population]], 0.05)), "")</f>
        <v/>
      </c>
      <c r="AD163" s="314" t="str">
        <f>IFERROR(IF(tblPiNAnalysis[[#This Row],[Mine Action]]="", "", MROUND(tblPiNAnalysis[[#This Row],[Mine Action]]/tblPiNAnalysis[[#This Row],[Total Population]], 0.05)), "")</f>
        <v/>
      </c>
      <c r="AE163" s="314" t="str">
        <f>IFERROR(IF(tblPiNAnalysis[[#This Row],[General Protection]]="", "", MROUND(tblPiNAnalysis[[#This Row],[General Protection]]/tblPiNAnalysis[[#This Row],[Total Population]], 0.05)), "")</f>
        <v/>
      </c>
      <c r="AF163" s="319">
        <f>IFERROR(LARGE(tblPiNAnalysis[[#This Row],[Site Management ]:[General Protection]], 1), "")</f>
        <v>24140</v>
      </c>
      <c r="AG163" s="320">
        <f>IF(tblPiNAnalysis[[#This Row],[Highest PiN]]="", "",tblPiNAnalysis[[#This Row],[Highest PiN]]/ tblPiNAnalysis[[#This Row],[Total Population]])</f>
        <v>0.42685622336569234</v>
      </c>
      <c r="AH163" s="320" t="str">
        <f>IFERROR(IF(tblPiNAnalysis[[#This Row],[Highest PiN]]="", "", IF(tblPiNAnalysis[[#This Row],[Highest sector(s'') PiN %]]&gt;=flag_pin_perc, "Flagged", "")), "")</f>
        <v/>
      </c>
      <c r="AI163" s="321"/>
      <c r="AJ163" s="322"/>
      <c r="AK163" s="323">
        <f>COUNTIFS(tblPiNAnalysis[[#This Row],[Highest PiN greater than 90% of total affected population]:[Manual Flag]],"Flagged")</f>
        <v>0</v>
      </c>
      <c r="AL163" s="324" t="str">
        <f>IF(tblPiNAnalysis[[#This Row],['# Flags]]&gt;0, "Flagged", "")</f>
        <v/>
      </c>
    </row>
    <row r="164" spans="1:38" ht="23.1" hidden="1" customHeight="1" x14ac:dyDescent="0.2">
      <c r="A164" s="309" t="str">
        <f>_xlfn.CONCAT(IF(tblPiNAnalysis[[#This Row],[Population Group]]="", "",tblPiNAnalysis[[#This Row],[Population Group]] ), _xlfn.IFS(tblPiNAnalysis[[#This Row],[Admin 2 P-Code]]&lt;&gt;"", tblPiNAnalysis[[#This Row],[Admin 2 P-Code]], tblPiNAnalysis[[#This Row],[Admin 1 P-Code]]&lt;&gt;"", tblPiNAnalysis[[#This Row],[Admin 1 P-Code]]))</f>
        <v>IDPsSD05139</v>
      </c>
      <c r="B164" s="245" t="s">
        <v>155</v>
      </c>
      <c r="C164" s="246" t="s">
        <v>122</v>
      </c>
      <c r="D164" s="247" t="s">
        <v>169</v>
      </c>
      <c r="E164" s="246" t="s">
        <v>168</v>
      </c>
      <c r="F164" s="248">
        <v>53737</v>
      </c>
      <c r="G164" s="248" t="s">
        <v>88</v>
      </c>
      <c r="H164" s="310"/>
      <c r="I164" s="311"/>
      <c r="J164" s="311"/>
      <c r="K164" s="311"/>
      <c r="L164" s="311"/>
      <c r="M164" s="311"/>
      <c r="N164" s="311">
        <f>_xlfn.XLOOKUP(CONCATENATE(tblPiNAnalysis[[#This Row],[Admin 2 P-Code]],tblPiNAnalysis[[#This Row],[Population Group]]),'Overall severity &amp; PIN Analysis'!A:A,'Overall severity &amp; PIN Analysis'!P:P,0,0)</f>
        <v>22938</v>
      </c>
      <c r="O164" s="311"/>
      <c r="P164" s="311"/>
      <c r="Q164" s="311"/>
      <c r="R164" s="311"/>
      <c r="S164" s="311"/>
      <c r="T164" s="326" t="str">
        <f>IF(tblPiNAnalysis[[#This Row],[Site Management ]]="", "", tblPiNAnalysis[[#This Row],[Site Management ]]/tblPiNAnalysis[[#This Row],[Total Population]])</f>
        <v/>
      </c>
      <c r="U164" s="315" t="str">
        <f>IF(tblPiNAnalysis[[#This Row],[Education]]="", "", tblPiNAnalysis[[#This Row],[Education]]/tblPiNAnalysis[[#This Row],[Total Population]])</f>
        <v/>
      </c>
      <c r="V164" s="315" t="str">
        <f>IF(tblPiNAnalysis[[#This Row],[Food Security and Livlihoods]]="", "", tblPiNAnalysis[[#This Row],[Food Security and Livlihoods]]/tblPiNAnalysis[[#This Row],[Total Population]])</f>
        <v/>
      </c>
      <c r="W164" s="315" t="str">
        <f>IF(tblPiNAnalysis[[#This Row],[Health ]]="", "", tblPiNAnalysis[[#This Row],[Health ]]/tblPiNAnalysis[[#This Row],[Total Population]])</f>
        <v/>
      </c>
      <c r="X164" s="315" t="str">
        <f>IF(tblPiNAnalysis[[#This Row],[Nutrition]]="", "", tblPiNAnalysis[[#This Row],[Nutrition]]/tblPiNAnalysis[[#This Row],[Total Population]])</f>
        <v/>
      </c>
      <c r="Y164" s="315" t="str">
        <f>IF(tblPiNAnalysis[[#This Row],[Protection]]="", "", tblPiNAnalysis[[#This Row],[Protection]]/tblPiNAnalysis[[#This Row],[Total Population]])</f>
        <v/>
      </c>
      <c r="Z164" s="327">
        <f>IF(tblPiNAnalysis[[#This Row],[Shelter NFI ]]="", "", tblPiNAnalysis[[#This Row],[Shelter NFI ]]/tblPiNAnalysis[[#This Row],[Total Population]])</f>
        <v>0.42685672813889869</v>
      </c>
      <c r="AA164" s="328" t="str">
        <f>IF(tblPiNAnalysis[[#This Row],[WASH]]="", "", tblPiNAnalysis[[#This Row],[WASH]]/tblPiNAnalysis[[#This Row],[Total Population]])</f>
        <v/>
      </c>
      <c r="AB164" s="329" t="str">
        <f>IFERROR(IF(tblPiNAnalysis[[#This Row],[CP]]="", "", MROUND(tblPiNAnalysis[[#This Row],[CP]]/tblPiNAnalysis[[#This Row],[Total Population]], 0.05)), "")</f>
        <v/>
      </c>
      <c r="AC164" s="315" t="str">
        <f>IFERROR(IF(tblPiNAnalysis[[#This Row],[GBV]]="", "", MROUND(tblPiNAnalysis[[#This Row],[GBV]]/tblPiNAnalysis[[#This Row],[Total Population]], 0.05)), "")</f>
        <v/>
      </c>
      <c r="AD164" s="315" t="str">
        <f>IFERROR(IF(tblPiNAnalysis[[#This Row],[Mine Action]]="", "", MROUND(tblPiNAnalysis[[#This Row],[Mine Action]]/tblPiNAnalysis[[#This Row],[Total Population]], 0.05)), "")</f>
        <v/>
      </c>
      <c r="AE164" s="315" t="str">
        <f>IFERROR(IF(tblPiNAnalysis[[#This Row],[General Protection]]="", "", MROUND(tblPiNAnalysis[[#This Row],[General Protection]]/tblPiNAnalysis[[#This Row],[Total Population]], 0.05)), "")</f>
        <v/>
      </c>
      <c r="AF164" s="319">
        <f>IFERROR(LARGE(tblPiNAnalysis[[#This Row],[Site Management ]:[General Protection]], 1), "")</f>
        <v>22938</v>
      </c>
      <c r="AG164" s="330">
        <f>IF(tblPiNAnalysis[[#This Row],[Highest PiN]]="", "",tblPiNAnalysis[[#This Row],[Highest PiN]]/ tblPiNAnalysis[[#This Row],[Total Population]])</f>
        <v>0.42685672813889869</v>
      </c>
      <c r="AH164" s="330" t="str">
        <f>IFERROR(IF(tblPiNAnalysis[[#This Row],[Highest PiN]]="", "", IF(tblPiNAnalysis[[#This Row],[Highest sector(s'') PiN %]]&gt;=flag_pin_perc, "Flagged", "")), "")</f>
        <v/>
      </c>
      <c r="AI164" s="321"/>
      <c r="AJ164" s="322"/>
      <c r="AK164" s="323">
        <f>COUNTIFS(tblPiNAnalysis[[#This Row],[Highest PiN greater than 90% of total affected population]:[Manual Flag]],"Flagged")</f>
        <v>0</v>
      </c>
      <c r="AL164" s="331" t="str">
        <f>IF(tblPiNAnalysis[[#This Row],['# Flags]]&gt;0, "Flagged", "")</f>
        <v/>
      </c>
    </row>
    <row r="165" spans="1:38" ht="23.1" customHeight="1" x14ac:dyDescent="0.2">
      <c r="A165" s="309" t="str">
        <f>_xlfn.CONCAT(IF(tblPiNAnalysis[[#This Row],[Population Group]]="", "",tblPiNAnalysis[[#This Row],[Population Group]] ), _xlfn.IFS(tblPiNAnalysis[[#This Row],[Admin 2 P-Code]]&lt;&gt;"", tblPiNAnalysis[[#This Row],[Admin 2 P-Code]], tblPiNAnalysis[[#This Row],[Admin 1 P-Code]]&lt;&gt;"", tblPiNAnalysis[[#This Row],[Admin 1 P-Code]]))</f>
        <v>Non-hosting PopulationSD05139</v>
      </c>
      <c r="B165" s="245" t="s">
        <v>155</v>
      </c>
      <c r="C165" s="246" t="s">
        <v>122</v>
      </c>
      <c r="D165" s="247" t="s">
        <v>169</v>
      </c>
      <c r="E165" s="246" t="s">
        <v>168</v>
      </c>
      <c r="F165" s="248">
        <v>152418</v>
      </c>
      <c r="G165" s="248" t="s">
        <v>568</v>
      </c>
      <c r="H165" s="310"/>
      <c r="I165" s="311"/>
      <c r="J165" s="312"/>
      <c r="K165" s="311"/>
      <c r="L165" s="311"/>
      <c r="M165" s="312"/>
      <c r="N165" s="312">
        <f>_xlfn.XLOOKUP(CONCATENATE(tblPiNAnalysis[[#This Row],[Admin 2 P-Code]],tblPiNAnalysis[[#This Row],[Population Group]]),'Overall severity &amp; PIN Analysis'!A:A,'Overall severity &amp; PIN Analysis'!P:P,0,0)</f>
        <v>9759</v>
      </c>
      <c r="O165" s="311"/>
      <c r="P165" s="312"/>
      <c r="Q165" s="312"/>
      <c r="R165" s="312"/>
      <c r="S165" s="312"/>
      <c r="T165" s="313" t="str">
        <f>IF(tblPiNAnalysis[[#This Row],[Site Management ]]="", "", tblPiNAnalysis[[#This Row],[Site Management ]]/tblPiNAnalysis[[#This Row],[Total Population]])</f>
        <v/>
      </c>
      <c r="U165" s="314" t="str">
        <f>IF(tblPiNAnalysis[[#This Row],[Education]]="", "", tblPiNAnalysis[[#This Row],[Education]]/tblPiNAnalysis[[#This Row],[Total Population]])</f>
        <v/>
      </c>
      <c r="V165" s="314" t="str">
        <f>IF(tblPiNAnalysis[[#This Row],[Food Security and Livlihoods]]="", "", tblPiNAnalysis[[#This Row],[Food Security and Livlihoods]]/tblPiNAnalysis[[#This Row],[Total Population]])</f>
        <v/>
      </c>
      <c r="W165" s="315" t="str">
        <f>IF(tblPiNAnalysis[[#This Row],[Health ]]="", "", tblPiNAnalysis[[#This Row],[Health ]]/tblPiNAnalysis[[#This Row],[Total Population]])</f>
        <v/>
      </c>
      <c r="X165" s="314" t="str">
        <f>IF(tblPiNAnalysis[[#This Row],[Nutrition]]="", "", tblPiNAnalysis[[#This Row],[Nutrition]]/tblPiNAnalysis[[#This Row],[Total Population]])</f>
        <v/>
      </c>
      <c r="Y165" s="314" t="str">
        <f>IF(tblPiNAnalysis[[#This Row],[Protection]]="", "", tblPiNAnalysis[[#This Row],[Protection]]/tblPiNAnalysis[[#This Row],[Total Population]])</f>
        <v/>
      </c>
      <c r="Z165" s="316">
        <f>IF(tblPiNAnalysis[[#This Row],[Shelter NFI ]]="", "", tblPiNAnalysis[[#This Row],[Shelter NFI ]]/tblPiNAnalysis[[#This Row],[Total Population]])</f>
        <v>6.402787072393025E-2</v>
      </c>
      <c r="AA165" s="317" t="str">
        <f>IF(tblPiNAnalysis[[#This Row],[WASH]]="", "", tblPiNAnalysis[[#This Row],[WASH]]/tblPiNAnalysis[[#This Row],[Total Population]])</f>
        <v/>
      </c>
      <c r="AB165" s="318" t="str">
        <f>IFERROR(IF(tblPiNAnalysis[[#This Row],[CP]]="", "", MROUND(tblPiNAnalysis[[#This Row],[CP]]/tblPiNAnalysis[[#This Row],[Total Population]], 0.05)), "")</f>
        <v/>
      </c>
      <c r="AC165" s="314" t="str">
        <f>IFERROR(IF(tblPiNAnalysis[[#This Row],[GBV]]="", "", MROUND(tblPiNAnalysis[[#This Row],[GBV]]/tblPiNAnalysis[[#This Row],[Total Population]], 0.05)), "")</f>
        <v/>
      </c>
      <c r="AD165" s="314" t="str">
        <f>IFERROR(IF(tblPiNAnalysis[[#This Row],[Mine Action]]="", "", MROUND(tblPiNAnalysis[[#This Row],[Mine Action]]/tblPiNAnalysis[[#This Row],[Total Population]], 0.05)), "")</f>
        <v/>
      </c>
      <c r="AE165" s="314" t="str">
        <f>IFERROR(IF(tblPiNAnalysis[[#This Row],[General Protection]]="", "", MROUND(tblPiNAnalysis[[#This Row],[General Protection]]/tblPiNAnalysis[[#This Row],[Total Population]], 0.05)), "")</f>
        <v/>
      </c>
      <c r="AF165" s="319">
        <f>IFERROR(LARGE(tblPiNAnalysis[[#This Row],[Site Management ]:[General Protection]], 1), "")</f>
        <v>9759</v>
      </c>
      <c r="AG165" s="320">
        <f>IF(tblPiNAnalysis[[#This Row],[Highest PiN]]="", "",tblPiNAnalysis[[#This Row],[Highest PiN]]/ tblPiNAnalysis[[#This Row],[Total Population]])</f>
        <v>6.402787072393025E-2</v>
      </c>
      <c r="AH165" s="320" t="str">
        <f>IFERROR(IF(tblPiNAnalysis[[#This Row],[Highest PiN]]="", "", IF(tblPiNAnalysis[[#This Row],[Highest sector(s'') PiN %]]&gt;=flag_pin_perc, "Flagged", "")), "")</f>
        <v/>
      </c>
      <c r="AI165" s="321"/>
      <c r="AJ165" s="322"/>
      <c r="AK165" s="323">
        <f>COUNTIFS(tblPiNAnalysis[[#This Row],[Highest PiN greater than 90% of total affected population]:[Manual Flag]],"Flagged")</f>
        <v>0</v>
      </c>
      <c r="AL165" s="324" t="str">
        <f>IF(tblPiNAnalysis[[#This Row],['# Flags]]&gt;0, "Flagged", "")</f>
        <v/>
      </c>
    </row>
    <row r="166" spans="1:38" ht="23.1" hidden="1" customHeight="1" x14ac:dyDescent="0.2">
      <c r="A166" s="309" t="str">
        <f>_xlfn.CONCAT(IF(tblPiNAnalysis[[#This Row],[Population Group]]="", "",tblPiNAnalysis[[#This Row],[Population Group]] ), _xlfn.IFS(tblPiNAnalysis[[#This Row],[Admin 2 P-Code]]&lt;&gt;"", tblPiNAnalysis[[#This Row],[Admin 2 P-Code]], tblPiNAnalysis[[#This Row],[Admin 1 P-Code]]&lt;&gt;"", tblPiNAnalysis[[#This Row],[Admin 1 P-Code]]))</f>
        <v>Host CommunitySD05140</v>
      </c>
      <c r="B166" s="245" t="s">
        <v>155</v>
      </c>
      <c r="C166" s="246" t="s">
        <v>122</v>
      </c>
      <c r="D166" s="247" t="s">
        <v>172</v>
      </c>
      <c r="E166" s="246" t="s">
        <v>171</v>
      </c>
      <c r="F166" s="248">
        <v>48571</v>
      </c>
      <c r="G166" s="248" t="s">
        <v>87</v>
      </c>
      <c r="H166" s="310"/>
      <c r="I166" s="311"/>
      <c r="J166" s="312"/>
      <c r="K166" s="311"/>
      <c r="L166" s="311"/>
      <c r="M166" s="312"/>
      <c r="N166" s="312">
        <f>_xlfn.XLOOKUP(CONCATENATE(tblPiNAnalysis[[#This Row],[Admin 2 P-Code]],tblPiNAnalysis[[#This Row],[Population Group]]),'Overall severity &amp; PIN Analysis'!A:A,'Overall severity &amp; PIN Analysis'!P:P,0,0)</f>
        <v>43540</v>
      </c>
      <c r="O166" s="311"/>
      <c r="P166" s="312"/>
      <c r="Q166" s="312"/>
      <c r="R166" s="312"/>
      <c r="S166" s="312"/>
      <c r="T166" s="313" t="str">
        <f>IF(tblPiNAnalysis[[#This Row],[Site Management ]]="", "", tblPiNAnalysis[[#This Row],[Site Management ]]/tblPiNAnalysis[[#This Row],[Total Population]])</f>
        <v/>
      </c>
      <c r="U166" s="314" t="str">
        <f>IF(tblPiNAnalysis[[#This Row],[Education]]="", "", tblPiNAnalysis[[#This Row],[Education]]/tblPiNAnalysis[[#This Row],[Total Population]])</f>
        <v/>
      </c>
      <c r="V166" s="314" t="str">
        <f>IF(tblPiNAnalysis[[#This Row],[Food Security and Livlihoods]]="", "", tblPiNAnalysis[[#This Row],[Food Security and Livlihoods]]/tblPiNAnalysis[[#This Row],[Total Population]])</f>
        <v/>
      </c>
      <c r="W166" s="315" t="str">
        <f>IF(tblPiNAnalysis[[#This Row],[Health ]]="", "", tblPiNAnalysis[[#This Row],[Health ]]/tblPiNAnalysis[[#This Row],[Total Population]])</f>
        <v/>
      </c>
      <c r="X166" s="314" t="str">
        <f>IF(tblPiNAnalysis[[#This Row],[Nutrition]]="", "", tblPiNAnalysis[[#This Row],[Nutrition]]/tblPiNAnalysis[[#This Row],[Total Population]])</f>
        <v/>
      </c>
      <c r="Y166" s="314" t="str">
        <f>IF(tblPiNAnalysis[[#This Row],[Protection]]="", "", tblPiNAnalysis[[#This Row],[Protection]]/tblPiNAnalysis[[#This Row],[Total Population]])</f>
        <v/>
      </c>
      <c r="Z166" s="316">
        <f>IF(tblPiNAnalysis[[#This Row],[Shelter NFI ]]="", "", tblPiNAnalysis[[#This Row],[Shelter NFI ]]/tblPiNAnalysis[[#This Row],[Total Population]])</f>
        <v>0.8964196742912437</v>
      </c>
      <c r="AA166" s="317" t="str">
        <f>IF(tblPiNAnalysis[[#This Row],[WASH]]="", "", tblPiNAnalysis[[#This Row],[WASH]]/tblPiNAnalysis[[#This Row],[Total Population]])</f>
        <v/>
      </c>
      <c r="AB166" s="318" t="str">
        <f>IFERROR(IF(tblPiNAnalysis[[#This Row],[CP]]="", "", MROUND(tblPiNAnalysis[[#This Row],[CP]]/tblPiNAnalysis[[#This Row],[Total Population]], 0.05)), "")</f>
        <v/>
      </c>
      <c r="AC166" s="314" t="str">
        <f>IFERROR(IF(tblPiNAnalysis[[#This Row],[GBV]]="", "", MROUND(tblPiNAnalysis[[#This Row],[GBV]]/tblPiNAnalysis[[#This Row],[Total Population]], 0.05)), "")</f>
        <v/>
      </c>
      <c r="AD166" s="314" t="str">
        <f>IFERROR(IF(tblPiNAnalysis[[#This Row],[Mine Action]]="", "", MROUND(tblPiNAnalysis[[#This Row],[Mine Action]]/tblPiNAnalysis[[#This Row],[Total Population]], 0.05)), "")</f>
        <v/>
      </c>
      <c r="AE166" s="314" t="str">
        <f>IFERROR(IF(tblPiNAnalysis[[#This Row],[General Protection]]="", "", MROUND(tblPiNAnalysis[[#This Row],[General Protection]]/tblPiNAnalysis[[#This Row],[Total Population]], 0.05)), "")</f>
        <v/>
      </c>
      <c r="AF166" s="319">
        <f>IFERROR(LARGE(tblPiNAnalysis[[#This Row],[Site Management ]:[General Protection]], 1), "")</f>
        <v>43540</v>
      </c>
      <c r="AG166" s="320">
        <f>IF(tblPiNAnalysis[[#This Row],[Highest PiN]]="", "",tblPiNAnalysis[[#This Row],[Highest PiN]]/ tblPiNAnalysis[[#This Row],[Total Population]])</f>
        <v>0.8964196742912437</v>
      </c>
      <c r="AH166" s="320" t="str">
        <f>IFERROR(IF(tblPiNAnalysis[[#This Row],[Highest PiN]]="", "", IF(tblPiNAnalysis[[#This Row],[Highest sector(s'') PiN %]]&gt;=flag_pin_perc, "Flagged", "")), "")</f>
        <v/>
      </c>
      <c r="AI166" s="321"/>
      <c r="AJ166" s="322"/>
      <c r="AK166" s="323">
        <f>COUNTIFS(tblPiNAnalysis[[#This Row],[Highest PiN greater than 90% of total affected population]:[Manual Flag]],"Flagged")</f>
        <v>0</v>
      </c>
      <c r="AL166" s="324" t="str">
        <f>IF(tblPiNAnalysis[[#This Row],['# Flags]]&gt;0, "Flagged", "")</f>
        <v/>
      </c>
    </row>
    <row r="167" spans="1:38" ht="23.1" hidden="1" customHeight="1" x14ac:dyDescent="0.2">
      <c r="A167" s="309" t="str">
        <f>_xlfn.CONCAT(IF(tblPiNAnalysis[[#This Row],[Population Group]]="", "",tblPiNAnalysis[[#This Row],[Population Group]] ), _xlfn.IFS(tblPiNAnalysis[[#This Row],[Admin 2 P-Code]]&lt;&gt;"", tblPiNAnalysis[[#This Row],[Admin 2 P-Code]], tblPiNAnalysis[[#This Row],[Admin 1 P-Code]]&lt;&gt;"", tblPiNAnalysis[[#This Row],[Admin 1 P-Code]]))</f>
        <v>IDPsSD05140</v>
      </c>
      <c r="B167" s="245" t="s">
        <v>155</v>
      </c>
      <c r="C167" s="246" t="s">
        <v>122</v>
      </c>
      <c r="D167" s="247" t="s">
        <v>172</v>
      </c>
      <c r="E167" s="246" t="s">
        <v>171</v>
      </c>
      <c r="F167" s="248">
        <v>43875</v>
      </c>
      <c r="G167" s="248" t="s">
        <v>88</v>
      </c>
      <c r="H167" s="310"/>
      <c r="I167" s="311"/>
      <c r="J167" s="311"/>
      <c r="K167" s="311"/>
      <c r="L167" s="311"/>
      <c r="M167" s="311"/>
      <c r="N167" s="311">
        <f>_xlfn.XLOOKUP(CONCATENATE(tblPiNAnalysis[[#This Row],[Admin 2 P-Code]],tblPiNAnalysis[[#This Row],[Population Group]]),'Overall severity &amp; PIN Analysis'!A:A,'Overall severity &amp; PIN Analysis'!P:P,0,0)</f>
        <v>39330</v>
      </c>
      <c r="O167" s="311"/>
      <c r="P167" s="311"/>
      <c r="Q167" s="311"/>
      <c r="R167" s="311"/>
      <c r="S167" s="311"/>
      <c r="T167" s="326" t="str">
        <f>IF(tblPiNAnalysis[[#This Row],[Site Management ]]="", "", tblPiNAnalysis[[#This Row],[Site Management ]]/tblPiNAnalysis[[#This Row],[Total Population]])</f>
        <v/>
      </c>
      <c r="U167" s="315" t="str">
        <f>IF(tblPiNAnalysis[[#This Row],[Education]]="", "", tblPiNAnalysis[[#This Row],[Education]]/tblPiNAnalysis[[#This Row],[Total Population]])</f>
        <v/>
      </c>
      <c r="V167" s="315" t="str">
        <f>IF(tblPiNAnalysis[[#This Row],[Food Security and Livlihoods]]="", "", tblPiNAnalysis[[#This Row],[Food Security and Livlihoods]]/tblPiNAnalysis[[#This Row],[Total Population]])</f>
        <v/>
      </c>
      <c r="W167" s="315" t="str">
        <f>IF(tblPiNAnalysis[[#This Row],[Health ]]="", "", tblPiNAnalysis[[#This Row],[Health ]]/tblPiNAnalysis[[#This Row],[Total Population]])</f>
        <v/>
      </c>
      <c r="X167" s="315" t="str">
        <f>IF(tblPiNAnalysis[[#This Row],[Nutrition]]="", "", tblPiNAnalysis[[#This Row],[Nutrition]]/tblPiNAnalysis[[#This Row],[Total Population]])</f>
        <v/>
      </c>
      <c r="Y167" s="315" t="str">
        <f>IF(tblPiNAnalysis[[#This Row],[Protection]]="", "", tblPiNAnalysis[[#This Row],[Protection]]/tblPiNAnalysis[[#This Row],[Total Population]])</f>
        <v/>
      </c>
      <c r="Z167" s="327">
        <f>IF(tblPiNAnalysis[[#This Row],[Shelter NFI ]]="", "", tblPiNAnalysis[[#This Row],[Shelter NFI ]]/tblPiNAnalysis[[#This Row],[Total Population]])</f>
        <v>0.8964102564102564</v>
      </c>
      <c r="AA167" s="328" t="str">
        <f>IF(tblPiNAnalysis[[#This Row],[WASH]]="", "", tblPiNAnalysis[[#This Row],[WASH]]/tblPiNAnalysis[[#This Row],[Total Population]])</f>
        <v/>
      </c>
      <c r="AB167" s="329" t="str">
        <f>IFERROR(IF(tblPiNAnalysis[[#This Row],[CP]]="", "", MROUND(tblPiNAnalysis[[#This Row],[CP]]/tblPiNAnalysis[[#This Row],[Total Population]], 0.05)), "")</f>
        <v/>
      </c>
      <c r="AC167" s="315" t="str">
        <f>IFERROR(IF(tblPiNAnalysis[[#This Row],[GBV]]="", "", MROUND(tblPiNAnalysis[[#This Row],[GBV]]/tblPiNAnalysis[[#This Row],[Total Population]], 0.05)), "")</f>
        <v/>
      </c>
      <c r="AD167" s="315" t="str">
        <f>IFERROR(IF(tblPiNAnalysis[[#This Row],[Mine Action]]="", "", MROUND(tblPiNAnalysis[[#This Row],[Mine Action]]/tblPiNAnalysis[[#This Row],[Total Population]], 0.05)), "")</f>
        <v/>
      </c>
      <c r="AE167" s="315" t="str">
        <f>IFERROR(IF(tblPiNAnalysis[[#This Row],[General Protection]]="", "", MROUND(tblPiNAnalysis[[#This Row],[General Protection]]/tblPiNAnalysis[[#This Row],[Total Population]], 0.05)), "")</f>
        <v/>
      </c>
      <c r="AF167" s="319">
        <f>IFERROR(LARGE(tblPiNAnalysis[[#This Row],[Site Management ]:[General Protection]], 1), "")</f>
        <v>39330</v>
      </c>
      <c r="AG167" s="330">
        <f>IF(tblPiNAnalysis[[#This Row],[Highest PiN]]="", "",tblPiNAnalysis[[#This Row],[Highest PiN]]/ tblPiNAnalysis[[#This Row],[Total Population]])</f>
        <v>0.8964102564102564</v>
      </c>
      <c r="AH167" s="330" t="str">
        <f>IFERROR(IF(tblPiNAnalysis[[#This Row],[Highest PiN]]="", "", IF(tblPiNAnalysis[[#This Row],[Highest sector(s'') PiN %]]&gt;=flag_pin_perc, "Flagged", "")), "")</f>
        <v/>
      </c>
      <c r="AI167" s="321"/>
      <c r="AJ167" s="322"/>
      <c r="AK167" s="323">
        <f>COUNTIFS(tblPiNAnalysis[[#This Row],[Highest PiN greater than 90% of total affected population]:[Manual Flag]],"Flagged")</f>
        <v>0</v>
      </c>
      <c r="AL167" s="331" t="str">
        <f>IF(tblPiNAnalysis[[#This Row],['# Flags]]&gt;0, "Flagged", "")</f>
        <v/>
      </c>
    </row>
    <row r="168" spans="1:38" ht="23.1" customHeight="1" x14ac:dyDescent="0.2">
      <c r="A168" s="309" t="str">
        <f>_xlfn.CONCAT(IF(tblPiNAnalysis[[#This Row],[Population Group]]="", "",tblPiNAnalysis[[#This Row],[Population Group]] ), _xlfn.IFS(tblPiNAnalysis[[#This Row],[Admin 2 P-Code]]&lt;&gt;"", tblPiNAnalysis[[#This Row],[Admin 2 P-Code]], tblPiNAnalysis[[#This Row],[Admin 1 P-Code]]&lt;&gt;"", tblPiNAnalysis[[#This Row],[Admin 1 P-Code]]))</f>
        <v>Non-hosting PopulationSD05140</v>
      </c>
      <c r="B168" s="245" t="s">
        <v>155</v>
      </c>
      <c r="C168" s="246" t="s">
        <v>122</v>
      </c>
      <c r="D168" s="247" t="s">
        <v>172</v>
      </c>
      <c r="E168" s="246" t="s">
        <v>171</v>
      </c>
      <c r="F168" s="248">
        <v>91830</v>
      </c>
      <c r="G168" s="248" t="s">
        <v>568</v>
      </c>
      <c r="H168" s="310"/>
      <c r="I168" s="311"/>
      <c r="J168" s="312"/>
      <c r="K168" s="311"/>
      <c r="L168" s="311"/>
      <c r="M168" s="312"/>
      <c r="N168" s="312">
        <f>_xlfn.XLOOKUP(CONCATENATE(tblPiNAnalysis[[#This Row],[Admin 2 P-Code]],tblPiNAnalysis[[#This Row],[Population Group]]),'Overall severity &amp; PIN Analysis'!A:A,'Overall severity &amp; PIN Analysis'!P:P,0,0)</f>
        <v>0</v>
      </c>
      <c r="O168" s="311"/>
      <c r="P168" s="312"/>
      <c r="Q168" s="312"/>
      <c r="R168" s="312"/>
      <c r="S168" s="312"/>
      <c r="T168" s="313" t="str">
        <f>IF(tblPiNAnalysis[[#This Row],[Site Management ]]="", "", tblPiNAnalysis[[#This Row],[Site Management ]]/tblPiNAnalysis[[#This Row],[Total Population]])</f>
        <v/>
      </c>
      <c r="U168" s="314" t="str">
        <f>IF(tblPiNAnalysis[[#This Row],[Education]]="", "", tblPiNAnalysis[[#This Row],[Education]]/tblPiNAnalysis[[#This Row],[Total Population]])</f>
        <v/>
      </c>
      <c r="V168" s="314" t="str">
        <f>IF(tblPiNAnalysis[[#This Row],[Food Security and Livlihoods]]="", "", tblPiNAnalysis[[#This Row],[Food Security and Livlihoods]]/tblPiNAnalysis[[#This Row],[Total Population]])</f>
        <v/>
      </c>
      <c r="W168" s="315" t="str">
        <f>IF(tblPiNAnalysis[[#This Row],[Health ]]="", "", tblPiNAnalysis[[#This Row],[Health ]]/tblPiNAnalysis[[#This Row],[Total Population]])</f>
        <v/>
      </c>
      <c r="X168" s="314" t="str">
        <f>IF(tblPiNAnalysis[[#This Row],[Nutrition]]="", "", tblPiNAnalysis[[#This Row],[Nutrition]]/tblPiNAnalysis[[#This Row],[Total Population]])</f>
        <v/>
      </c>
      <c r="Y168" s="314" t="str">
        <f>IF(tblPiNAnalysis[[#This Row],[Protection]]="", "", tblPiNAnalysis[[#This Row],[Protection]]/tblPiNAnalysis[[#This Row],[Total Population]])</f>
        <v/>
      </c>
      <c r="Z168" s="316">
        <f>IF(tblPiNAnalysis[[#This Row],[Shelter NFI ]]="", "", tblPiNAnalysis[[#This Row],[Shelter NFI ]]/tblPiNAnalysis[[#This Row],[Total Population]])</f>
        <v>0</v>
      </c>
      <c r="AA168" s="317" t="str">
        <f>IF(tblPiNAnalysis[[#This Row],[WASH]]="", "", tblPiNAnalysis[[#This Row],[WASH]]/tblPiNAnalysis[[#This Row],[Total Population]])</f>
        <v/>
      </c>
      <c r="AB168" s="318" t="str">
        <f>IFERROR(IF(tblPiNAnalysis[[#This Row],[CP]]="", "", MROUND(tblPiNAnalysis[[#This Row],[CP]]/tblPiNAnalysis[[#This Row],[Total Population]], 0.05)), "")</f>
        <v/>
      </c>
      <c r="AC168" s="314" t="str">
        <f>IFERROR(IF(tblPiNAnalysis[[#This Row],[GBV]]="", "", MROUND(tblPiNAnalysis[[#This Row],[GBV]]/tblPiNAnalysis[[#This Row],[Total Population]], 0.05)), "")</f>
        <v/>
      </c>
      <c r="AD168" s="314" t="str">
        <f>IFERROR(IF(tblPiNAnalysis[[#This Row],[Mine Action]]="", "", MROUND(tblPiNAnalysis[[#This Row],[Mine Action]]/tblPiNAnalysis[[#This Row],[Total Population]], 0.05)), "")</f>
        <v/>
      </c>
      <c r="AE168" s="314" t="str">
        <f>IFERROR(IF(tblPiNAnalysis[[#This Row],[General Protection]]="", "", MROUND(tblPiNAnalysis[[#This Row],[General Protection]]/tblPiNAnalysis[[#This Row],[Total Population]], 0.05)), "")</f>
        <v/>
      </c>
      <c r="AF168" s="319">
        <f>IFERROR(LARGE(tblPiNAnalysis[[#This Row],[Site Management ]:[General Protection]], 1), "")</f>
        <v>0</v>
      </c>
      <c r="AG168" s="320">
        <f>IF(tblPiNAnalysis[[#This Row],[Highest PiN]]="", "",tblPiNAnalysis[[#This Row],[Highest PiN]]/ tblPiNAnalysis[[#This Row],[Total Population]])</f>
        <v>0</v>
      </c>
      <c r="AH168" s="320" t="str">
        <f>IFERROR(IF(tblPiNAnalysis[[#This Row],[Highest PiN]]="", "", IF(tblPiNAnalysis[[#This Row],[Highest sector(s'') PiN %]]&gt;=flag_pin_perc, "Flagged", "")), "")</f>
        <v/>
      </c>
      <c r="AI168" s="321"/>
      <c r="AJ168" s="322"/>
      <c r="AK168" s="323">
        <f>COUNTIFS(tblPiNAnalysis[[#This Row],[Highest PiN greater than 90% of total affected population]:[Manual Flag]],"Flagged")</f>
        <v>0</v>
      </c>
      <c r="AL168" s="324" t="str">
        <f>IF(tblPiNAnalysis[[#This Row],['# Flags]]&gt;0, "Flagged", "")</f>
        <v/>
      </c>
    </row>
    <row r="169" spans="1:38" ht="23.1" hidden="1" customHeight="1" x14ac:dyDescent="0.2">
      <c r="A169" s="309" t="str">
        <f>_xlfn.CONCAT(IF(tblPiNAnalysis[[#This Row],[Population Group]]="", "",tblPiNAnalysis[[#This Row],[Population Group]] ), _xlfn.IFS(tblPiNAnalysis[[#This Row],[Admin 2 P-Code]]&lt;&gt;"", tblPiNAnalysis[[#This Row],[Admin 2 P-Code]], tblPiNAnalysis[[#This Row],[Admin 1 P-Code]]&lt;&gt;"", tblPiNAnalysis[[#This Row],[Admin 1 P-Code]]))</f>
        <v>Host CommunitySD05142</v>
      </c>
      <c r="B169" s="245" t="s">
        <v>155</v>
      </c>
      <c r="C169" s="246" t="s">
        <v>122</v>
      </c>
      <c r="D169" s="247" t="s">
        <v>175</v>
      </c>
      <c r="E169" s="246" t="s">
        <v>174</v>
      </c>
      <c r="F169" s="248">
        <v>62149</v>
      </c>
      <c r="G169" s="248" t="s">
        <v>87</v>
      </c>
      <c r="H169" s="310"/>
      <c r="I169" s="311"/>
      <c r="J169" s="312"/>
      <c r="K169" s="311"/>
      <c r="L169" s="311"/>
      <c r="M169" s="312"/>
      <c r="N169" s="312">
        <f>_xlfn.XLOOKUP(CONCATENATE(tblPiNAnalysis[[#This Row],[Admin 2 P-Code]],tblPiNAnalysis[[#This Row],[Population Group]]),'Overall severity &amp; PIN Analysis'!A:A,'Overall severity &amp; PIN Analysis'!P:P,0,0)</f>
        <v>42447</v>
      </c>
      <c r="O169" s="311"/>
      <c r="P169" s="312"/>
      <c r="Q169" s="312"/>
      <c r="R169" s="312"/>
      <c r="S169" s="312"/>
      <c r="T169" s="313" t="str">
        <f>IF(tblPiNAnalysis[[#This Row],[Site Management ]]="", "", tblPiNAnalysis[[#This Row],[Site Management ]]/tblPiNAnalysis[[#This Row],[Total Population]])</f>
        <v/>
      </c>
      <c r="U169" s="314" t="str">
        <f>IF(tblPiNAnalysis[[#This Row],[Education]]="", "", tblPiNAnalysis[[#This Row],[Education]]/tblPiNAnalysis[[#This Row],[Total Population]])</f>
        <v/>
      </c>
      <c r="V169" s="314" t="str">
        <f>IF(tblPiNAnalysis[[#This Row],[Food Security and Livlihoods]]="", "", tblPiNAnalysis[[#This Row],[Food Security and Livlihoods]]/tblPiNAnalysis[[#This Row],[Total Population]])</f>
        <v/>
      </c>
      <c r="W169" s="315" t="str">
        <f>IF(tblPiNAnalysis[[#This Row],[Health ]]="", "", tblPiNAnalysis[[#This Row],[Health ]]/tblPiNAnalysis[[#This Row],[Total Population]])</f>
        <v/>
      </c>
      <c r="X169" s="314" t="str">
        <f>IF(tblPiNAnalysis[[#This Row],[Nutrition]]="", "", tblPiNAnalysis[[#This Row],[Nutrition]]/tblPiNAnalysis[[#This Row],[Total Population]])</f>
        <v/>
      </c>
      <c r="Y169" s="314" t="str">
        <f>IF(tblPiNAnalysis[[#This Row],[Protection]]="", "", tblPiNAnalysis[[#This Row],[Protection]]/tblPiNAnalysis[[#This Row],[Total Population]])</f>
        <v/>
      </c>
      <c r="Z169" s="316">
        <f>IF(tblPiNAnalysis[[#This Row],[Shelter NFI ]]="", "", tblPiNAnalysis[[#This Row],[Shelter NFI ]]/tblPiNAnalysis[[#This Row],[Total Population]])</f>
        <v>0.68298765869120981</v>
      </c>
      <c r="AA169" s="317" t="str">
        <f>IF(tblPiNAnalysis[[#This Row],[WASH]]="", "", tblPiNAnalysis[[#This Row],[WASH]]/tblPiNAnalysis[[#This Row],[Total Population]])</f>
        <v/>
      </c>
      <c r="AB169" s="318" t="str">
        <f>IFERROR(IF(tblPiNAnalysis[[#This Row],[CP]]="", "", MROUND(tblPiNAnalysis[[#This Row],[CP]]/tblPiNAnalysis[[#This Row],[Total Population]], 0.05)), "")</f>
        <v/>
      </c>
      <c r="AC169" s="314" t="str">
        <f>IFERROR(IF(tblPiNAnalysis[[#This Row],[GBV]]="", "", MROUND(tblPiNAnalysis[[#This Row],[GBV]]/tblPiNAnalysis[[#This Row],[Total Population]], 0.05)), "")</f>
        <v/>
      </c>
      <c r="AD169" s="314" t="str">
        <f>IFERROR(IF(tblPiNAnalysis[[#This Row],[Mine Action]]="", "", MROUND(tblPiNAnalysis[[#This Row],[Mine Action]]/tblPiNAnalysis[[#This Row],[Total Population]], 0.05)), "")</f>
        <v/>
      </c>
      <c r="AE169" s="314" t="str">
        <f>IFERROR(IF(tblPiNAnalysis[[#This Row],[General Protection]]="", "", MROUND(tblPiNAnalysis[[#This Row],[General Protection]]/tblPiNAnalysis[[#This Row],[Total Population]], 0.05)), "")</f>
        <v/>
      </c>
      <c r="AF169" s="319">
        <f>IFERROR(LARGE(tblPiNAnalysis[[#This Row],[Site Management ]:[General Protection]], 1), "")</f>
        <v>42447</v>
      </c>
      <c r="AG169" s="320">
        <f>IF(tblPiNAnalysis[[#This Row],[Highest PiN]]="", "",tblPiNAnalysis[[#This Row],[Highest PiN]]/ tblPiNAnalysis[[#This Row],[Total Population]])</f>
        <v>0.68298765869120981</v>
      </c>
      <c r="AH169" s="320" t="str">
        <f>IFERROR(IF(tblPiNAnalysis[[#This Row],[Highest PiN]]="", "", IF(tblPiNAnalysis[[#This Row],[Highest sector(s'') PiN %]]&gt;=flag_pin_perc, "Flagged", "")), "")</f>
        <v/>
      </c>
      <c r="AI169" s="321"/>
      <c r="AJ169" s="322"/>
      <c r="AK169" s="323">
        <f>COUNTIFS(tblPiNAnalysis[[#This Row],[Highest PiN greater than 90% of total affected population]:[Manual Flag]],"Flagged")</f>
        <v>0</v>
      </c>
      <c r="AL169" s="324" t="str">
        <f>IF(tblPiNAnalysis[[#This Row],['# Flags]]&gt;0, "Flagged", "")</f>
        <v/>
      </c>
    </row>
    <row r="170" spans="1:38" ht="23.1" hidden="1" customHeight="1" x14ac:dyDescent="0.2">
      <c r="A170" s="309" t="str">
        <f>_xlfn.CONCAT(IF(tblPiNAnalysis[[#This Row],[Population Group]]="", "",tblPiNAnalysis[[#This Row],[Population Group]] ), _xlfn.IFS(tblPiNAnalysis[[#This Row],[Admin 2 P-Code]]&lt;&gt;"", tblPiNAnalysis[[#This Row],[Admin 2 P-Code]], tblPiNAnalysis[[#This Row],[Admin 1 P-Code]]&lt;&gt;"", tblPiNAnalysis[[#This Row],[Admin 1 P-Code]]))</f>
        <v>IDPsSD05142</v>
      </c>
      <c r="B170" s="245" t="s">
        <v>155</v>
      </c>
      <c r="C170" s="246" t="s">
        <v>122</v>
      </c>
      <c r="D170" s="247" t="s">
        <v>175</v>
      </c>
      <c r="E170" s="246" t="s">
        <v>174</v>
      </c>
      <c r="F170" s="248">
        <v>200270</v>
      </c>
      <c r="G170" s="248" t="s">
        <v>88</v>
      </c>
      <c r="H170" s="310"/>
      <c r="I170" s="311"/>
      <c r="J170" s="311"/>
      <c r="K170" s="311"/>
      <c r="L170" s="311"/>
      <c r="M170" s="311"/>
      <c r="N170" s="311">
        <f>_xlfn.XLOOKUP(CONCATENATE(tblPiNAnalysis[[#This Row],[Admin 2 P-Code]],tblPiNAnalysis[[#This Row],[Population Group]]),'Overall severity &amp; PIN Analysis'!A:A,'Overall severity &amp; PIN Analysis'!P:P,0,0)</f>
        <v>136782</v>
      </c>
      <c r="O170" s="311"/>
      <c r="P170" s="311"/>
      <c r="Q170" s="311"/>
      <c r="R170" s="311"/>
      <c r="S170" s="311"/>
      <c r="T170" s="326" t="str">
        <f>IF(tblPiNAnalysis[[#This Row],[Site Management ]]="", "", tblPiNAnalysis[[#This Row],[Site Management ]]/tblPiNAnalysis[[#This Row],[Total Population]])</f>
        <v/>
      </c>
      <c r="U170" s="315" t="str">
        <f>IF(tblPiNAnalysis[[#This Row],[Education]]="", "", tblPiNAnalysis[[#This Row],[Education]]/tblPiNAnalysis[[#This Row],[Total Population]])</f>
        <v/>
      </c>
      <c r="V170" s="315" t="str">
        <f>IF(tblPiNAnalysis[[#This Row],[Food Security and Livlihoods]]="", "", tblPiNAnalysis[[#This Row],[Food Security and Livlihoods]]/tblPiNAnalysis[[#This Row],[Total Population]])</f>
        <v/>
      </c>
      <c r="W170" s="315" t="str">
        <f>IF(tblPiNAnalysis[[#This Row],[Health ]]="", "", tblPiNAnalysis[[#This Row],[Health ]]/tblPiNAnalysis[[#This Row],[Total Population]])</f>
        <v/>
      </c>
      <c r="X170" s="315" t="str">
        <f>IF(tblPiNAnalysis[[#This Row],[Nutrition]]="", "", tblPiNAnalysis[[#This Row],[Nutrition]]/tblPiNAnalysis[[#This Row],[Total Population]])</f>
        <v/>
      </c>
      <c r="Y170" s="315" t="str">
        <f>IF(tblPiNAnalysis[[#This Row],[Protection]]="", "", tblPiNAnalysis[[#This Row],[Protection]]/tblPiNAnalysis[[#This Row],[Total Population]])</f>
        <v/>
      </c>
      <c r="Z170" s="327">
        <f>IF(tblPiNAnalysis[[#This Row],[Shelter NFI ]]="", "", tblPiNAnalysis[[#This Row],[Shelter NFI ]]/tblPiNAnalysis[[#This Row],[Total Population]])</f>
        <v>0.68298796624556846</v>
      </c>
      <c r="AA170" s="328" t="str">
        <f>IF(tblPiNAnalysis[[#This Row],[WASH]]="", "", tblPiNAnalysis[[#This Row],[WASH]]/tblPiNAnalysis[[#This Row],[Total Population]])</f>
        <v/>
      </c>
      <c r="AB170" s="329" t="str">
        <f>IFERROR(IF(tblPiNAnalysis[[#This Row],[CP]]="", "", MROUND(tblPiNAnalysis[[#This Row],[CP]]/tblPiNAnalysis[[#This Row],[Total Population]], 0.05)), "")</f>
        <v/>
      </c>
      <c r="AC170" s="315" t="str">
        <f>IFERROR(IF(tblPiNAnalysis[[#This Row],[GBV]]="", "", MROUND(tblPiNAnalysis[[#This Row],[GBV]]/tblPiNAnalysis[[#This Row],[Total Population]], 0.05)), "")</f>
        <v/>
      </c>
      <c r="AD170" s="315" t="str">
        <f>IFERROR(IF(tblPiNAnalysis[[#This Row],[Mine Action]]="", "", MROUND(tblPiNAnalysis[[#This Row],[Mine Action]]/tblPiNAnalysis[[#This Row],[Total Population]], 0.05)), "")</f>
        <v/>
      </c>
      <c r="AE170" s="315" t="str">
        <f>IFERROR(IF(tblPiNAnalysis[[#This Row],[General Protection]]="", "", MROUND(tblPiNAnalysis[[#This Row],[General Protection]]/tblPiNAnalysis[[#This Row],[Total Population]], 0.05)), "")</f>
        <v/>
      </c>
      <c r="AF170" s="319">
        <f>IFERROR(LARGE(tblPiNAnalysis[[#This Row],[Site Management ]:[General Protection]], 1), "")</f>
        <v>136782</v>
      </c>
      <c r="AG170" s="330">
        <f>IF(tblPiNAnalysis[[#This Row],[Highest PiN]]="", "",tblPiNAnalysis[[#This Row],[Highest PiN]]/ tblPiNAnalysis[[#This Row],[Total Population]])</f>
        <v>0.68298796624556846</v>
      </c>
      <c r="AH170" s="330" t="str">
        <f>IFERROR(IF(tblPiNAnalysis[[#This Row],[Highest PiN]]="", "", IF(tblPiNAnalysis[[#This Row],[Highest sector(s'') PiN %]]&gt;=flag_pin_perc, "Flagged", "")), "")</f>
        <v/>
      </c>
      <c r="AI170" s="321"/>
      <c r="AJ170" s="322"/>
      <c r="AK170" s="323">
        <f>COUNTIFS(tblPiNAnalysis[[#This Row],[Highest PiN greater than 90% of total affected population]:[Manual Flag]],"Flagged")</f>
        <v>0</v>
      </c>
      <c r="AL170" s="331" t="str">
        <f>IF(tblPiNAnalysis[[#This Row],['# Flags]]&gt;0, "Flagged", "")</f>
        <v/>
      </c>
    </row>
    <row r="171" spans="1:38" ht="23.1" customHeight="1" x14ac:dyDescent="0.2">
      <c r="A171" s="309" t="str">
        <f>_xlfn.CONCAT(IF(tblPiNAnalysis[[#This Row],[Population Group]]="", "",tblPiNAnalysis[[#This Row],[Population Group]] ), _xlfn.IFS(tblPiNAnalysis[[#This Row],[Admin 2 P-Code]]&lt;&gt;"", tblPiNAnalysis[[#This Row],[Admin 2 P-Code]], tblPiNAnalysis[[#This Row],[Admin 1 P-Code]]&lt;&gt;"", tblPiNAnalysis[[#This Row],[Admin 1 P-Code]]))</f>
        <v>Non-hosting PopulationSD05142</v>
      </c>
      <c r="B171" s="245" t="s">
        <v>155</v>
      </c>
      <c r="C171" s="246" t="s">
        <v>122</v>
      </c>
      <c r="D171" s="247" t="s">
        <v>175</v>
      </c>
      <c r="E171" s="246" t="s">
        <v>174</v>
      </c>
      <c r="F171" s="248">
        <v>0</v>
      </c>
      <c r="G171" s="248" t="s">
        <v>568</v>
      </c>
      <c r="H171" s="310"/>
      <c r="I171" s="311"/>
      <c r="J171" s="312"/>
      <c r="K171" s="311"/>
      <c r="L171" s="311"/>
      <c r="M171" s="312"/>
      <c r="N171" s="312">
        <f>_xlfn.XLOOKUP(CONCATENATE(tblPiNAnalysis[[#This Row],[Admin 2 P-Code]],tblPiNAnalysis[[#This Row],[Population Group]]),'Overall severity &amp; PIN Analysis'!A:A,'Overall severity &amp; PIN Analysis'!P:P,0,0)</f>
        <v>0</v>
      </c>
      <c r="O171" s="311"/>
      <c r="P171" s="312"/>
      <c r="Q171" s="312"/>
      <c r="R171" s="312"/>
      <c r="S171" s="312"/>
      <c r="T171" s="313" t="str">
        <f>IF(tblPiNAnalysis[[#This Row],[Site Management ]]="", "", tblPiNAnalysis[[#This Row],[Site Management ]]/tblPiNAnalysis[[#This Row],[Total Population]])</f>
        <v/>
      </c>
      <c r="U171" s="314" t="str">
        <f>IF(tblPiNAnalysis[[#This Row],[Education]]="", "", tblPiNAnalysis[[#This Row],[Education]]/tblPiNAnalysis[[#This Row],[Total Population]])</f>
        <v/>
      </c>
      <c r="V171" s="314" t="str">
        <f>IF(tblPiNAnalysis[[#This Row],[Food Security and Livlihoods]]="", "", tblPiNAnalysis[[#This Row],[Food Security and Livlihoods]]/tblPiNAnalysis[[#This Row],[Total Population]])</f>
        <v/>
      </c>
      <c r="W171" s="315" t="str">
        <f>IF(tblPiNAnalysis[[#This Row],[Health ]]="", "", tblPiNAnalysis[[#This Row],[Health ]]/tblPiNAnalysis[[#This Row],[Total Population]])</f>
        <v/>
      </c>
      <c r="X171" s="314" t="str">
        <f>IF(tblPiNAnalysis[[#This Row],[Nutrition]]="", "", tblPiNAnalysis[[#This Row],[Nutrition]]/tblPiNAnalysis[[#This Row],[Total Population]])</f>
        <v/>
      </c>
      <c r="Y171" s="314" t="str">
        <f>IF(tblPiNAnalysis[[#This Row],[Protection]]="", "", tblPiNAnalysis[[#This Row],[Protection]]/tblPiNAnalysis[[#This Row],[Total Population]])</f>
        <v/>
      </c>
      <c r="Z171" s="316" t="e">
        <f>IF(tblPiNAnalysis[[#This Row],[Shelter NFI ]]="", "", tblPiNAnalysis[[#This Row],[Shelter NFI ]]/tblPiNAnalysis[[#This Row],[Total Population]])</f>
        <v>#DIV/0!</v>
      </c>
      <c r="AA171" s="317" t="str">
        <f>IF(tblPiNAnalysis[[#This Row],[WASH]]="", "", tblPiNAnalysis[[#This Row],[WASH]]/tblPiNAnalysis[[#This Row],[Total Population]])</f>
        <v/>
      </c>
      <c r="AB171" s="318" t="str">
        <f>IFERROR(IF(tblPiNAnalysis[[#This Row],[CP]]="", "", MROUND(tblPiNAnalysis[[#This Row],[CP]]/tblPiNAnalysis[[#This Row],[Total Population]], 0.05)), "")</f>
        <v/>
      </c>
      <c r="AC171" s="314" t="str">
        <f>IFERROR(IF(tblPiNAnalysis[[#This Row],[GBV]]="", "", MROUND(tblPiNAnalysis[[#This Row],[GBV]]/tblPiNAnalysis[[#This Row],[Total Population]], 0.05)), "")</f>
        <v/>
      </c>
      <c r="AD171" s="314" t="str">
        <f>IFERROR(IF(tblPiNAnalysis[[#This Row],[Mine Action]]="", "", MROUND(tblPiNAnalysis[[#This Row],[Mine Action]]/tblPiNAnalysis[[#This Row],[Total Population]], 0.05)), "")</f>
        <v/>
      </c>
      <c r="AE171" s="314" t="str">
        <f>IFERROR(IF(tblPiNAnalysis[[#This Row],[General Protection]]="", "", MROUND(tblPiNAnalysis[[#This Row],[General Protection]]/tblPiNAnalysis[[#This Row],[Total Population]], 0.05)), "")</f>
        <v/>
      </c>
      <c r="AF171" s="319">
        <f>IFERROR(LARGE(tblPiNAnalysis[[#This Row],[Site Management ]:[General Protection]], 1), "")</f>
        <v>0</v>
      </c>
      <c r="AG171" s="320" t="e">
        <f>IF(tblPiNAnalysis[[#This Row],[Highest PiN]]="", "",tblPiNAnalysis[[#This Row],[Highest PiN]]/ tblPiNAnalysis[[#This Row],[Total Population]])</f>
        <v>#DIV/0!</v>
      </c>
      <c r="AH171" s="320" t="str">
        <f>IFERROR(IF(tblPiNAnalysis[[#This Row],[Highest PiN]]="", "", IF(tblPiNAnalysis[[#This Row],[Highest sector(s'') PiN %]]&gt;=flag_pin_perc, "Flagged", "")), "")</f>
        <v/>
      </c>
      <c r="AI171" s="321"/>
      <c r="AJ171" s="322"/>
      <c r="AK171" s="323">
        <f>COUNTIFS(tblPiNAnalysis[[#This Row],[Highest PiN greater than 90% of total affected population]:[Manual Flag]],"Flagged")</f>
        <v>0</v>
      </c>
      <c r="AL171" s="324" t="str">
        <f>IF(tblPiNAnalysis[[#This Row],['# Flags]]&gt;0, "Flagged", "")</f>
        <v/>
      </c>
    </row>
    <row r="172" spans="1:38" ht="23.1" hidden="1" customHeight="1" x14ac:dyDescent="0.2">
      <c r="A172" s="309" t="str">
        <f>_xlfn.CONCAT(IF(tblPiNAnalysis[[#This Row],[Population Group]]="", "",tblPiNAnalysis[[#This Row],[Population Group]] ), _xlfn.IFS(tblPiNAnalysis[[#This Row],[Admin 2 P-Code]]&lt;&gt;"", tblPiNAnalysis[[#This Row],[Admin 2 P-Code]], tblPiNAnalysis[[#This Row],[Admin 1 P-Code]]&lt;&gt;"", tblPiNAnalysis[[#This Row],[Admin 1 P-Code]]))</f>
        <v>Host CommunitySD05148</v>
      </c>
      <c r="B172" s="245" t="s">
        <v>155</v>
      </c>
      <c r="C172" s="246" t="s">
        <v>122</v>
      </c>
      <c r="D172" s="247" t="s">
        <v>178</v>
      </c>
      <c r="E172" s="246" t="s">
        <v>177</v>
      </c>
      <c r="F172" s="248">
        <v>120603</v>
      </c>
      <c r="G172" s="248" t="s">
        <v>87</v>
      </c>
      <c r="H172" s="310"/>
      <c r="I172" s="311"/>
      <c r="J172" s="312"/>
      <c r="K172" s="311"/>
      <c r="L172" s="311"/>
      <c r="M172" s="312"/>
      <c r="N172" s="312">
        <f>_xlfn.XLOOKUP(CONCATENATE(tblPiNAnalysis[[#This Row],[Admin 2 P-Code]],tblPiNAnalysis[[#This Row],[Population Group]]),'Overall severity &amp; PIN Analysis'!A:A,'Overall severity &amp; PIN Analysis'!P:P,0,0)</f>
        <v>86508</v>
      </c>
      <c r="O172" s="311"/>
      <c r="P172" s="312"/>
      <c r="Q172" s="312"/>
      <c r="R172" s="312"/>
      <c r="S172" s="312"/>
      <c r="T172" s="313" t="str">
        <f>IF(tblPiNAnalysis[[#This Row],[Site Management ]]="", "", tblPiNAnalysis[[#This Row],[Site Management ]]/tblPiNAnalysis[[#This Row],[Total Population]])</f>
        <v/>
      </c>
      <c r="U172" s="314" t="str">
        <f>IF(tblPiNAnalysis[[#This Row],[Education]]="", "", tblPiNAnalysis[[#This Row],[Education]]/tblPiNAnalysis[[#This Row],[Total Population]])</f>
        <v/>
      </c>
      <c r="V172" s="314" t="str">
        <f>IF(tblPiNAnalysis[[#This Row],[Food Security and Livlihoods]]="", "", tblPiNAnalysis[[#This Row],[Food Security and Livlihoods]]/tblPiNAnalysis[[#This Row],[Total Population]])</f>
        <v/>
      </c>
      <c r="W172" s="315" t="str">
        <f>IF(tblPiNAnalysis[[#This Row],[Health ]]="", "", tblPiNAnalysis[[#This Row],[Health ]]/tblPiNAnalysis[[#This Row],[Total Population]])</f>
        <v/>
      </c>
      <c r="X172" s="314" t="str">
        <f>IF(tblPiNAnalysis[[#This Row],[Nutrition]]="", "", tblPiNAnalysis[[#This Row],[Nutrition]]/tblPiNAnalysis[[#This Row],[Total Population]])</f>
        <v/>
      </c>
      <c r="Y172" s="314" t="str">
        <f>IF(tblPiNAnalysis[[#This Row],[Protection]]="", "", tblPiNAnalysis[[#This Row],[Protection]]/tblPiNAnalysis[[#This Row],[Total Population]])</f>
        <v/>
      </c>
      <c r="Z172" s="316">
        <f>IF(tblPiNAnalysis[[#This Row],[Shelter NFI ]]="", "", tblPiNAnalysis[[#This Row],[Shelter NFI ]]/tblPiNAnalysis[[#This Row],[Total Population]])</f>
        <v>0.71729558966194873</v>
      </c>
      <c r="AA172" s="317" t="str">
        <f>IF(tblPiNAnalysis[[#This Row],[WASH]]="", "", tblPiNAnalysis[[#This Row],[WASH]]/tblPiNAnalysis[[#This Row],[Total Population]])</f>
        <v/>
      </c>
      <c r="AB172" s="318" t="str">
        <f>IFERROR(IF(tblPiNAnalysis[[#This Row],[CP]]="", "", MROUND(tblPiNAnalysis[[#This Row],[CP]]/tblPiNAnalysis[[#This Row],[Total Population]], 0.05)), "")</f>
        <v/>
      </c>
      <c r="AC172" s="314" t="str">
        <f>IFERROR(IF(tblPiNAnalysis[[#This Row],[GBV]]="", "", MROUND(tblPiNAnalysis[[#This Row],[GBV]]/tblPiNAnalysis[[#This Row],[Total Population]], 0.05)), "")</f>
        <v/>
      </c>
      <c r="AD172" s="314" t="str">
        <f>IFERROR(IF(tblPiNAnalysis[[#This Row],[Mine Action]]="", "", MROUND(tblPiNAnalysis[[#This Row],[Mine Action]]/tblPiNAnalysis[[#This Row],[Total Population]], 0.05)), "")</f>
        <v/>
      </c>
      <c r="AE172" s="314" t="str">
        <f>IFERROR(IF(tblPiNAnalysis[[#This Row],[General Protection]]="", "", MROUND(tblPiNAnalysis[[#This Row],[General Protection]]/tblPiNAnalysis[[#This Row],[Total Population]], 0.05)), "")</f>
        <v/>
      </c>
      <c r="AF172" s="319">
        <f>IFERROR(LARGE(tblPiNAnalysis[[#This Row],[Site Management ]:[General Protection]], 1), "")</f>
        <v>86508</v>
      </c>
      <c r="AG172" s="320">
        <f>IF(tblPiNAnalysis[[#This Row],[Highest PiN]]="", "",tblPiNAnalysis[[#This Row],[Highest PiN]]/ tblPiNAnalysis[[#This Row],[Total Population]])</f>
        <v>0.71729558966194873</v>
      </c>
      <c r="AH172" s="320" t="str">
        <f>IFERROR(IF(tblPiNAnalysis[[#This Row],[Highest PiN]]="", "", IF(tblPiNAnalysis[[#This Row],[Highest sector(s'') PiN %]]&gt;=flag_pin_perc, "Flagged", "")), "")</f>
        <v/>
      </c>
      <c r="AI172" s="321"/>
      <c r="AJ172" s="322"/>
      <c r="AK172" s="323">
        <f>COUNTIFS(tblPiNAnalysis[[#This Row],[Highest PiN greater than 90% of total affected population]:[Manual Flag]],"Flagged")</f>
        <v>0</v>
      </c>
      <c r="AL172" s="324" t="str">
        <f>IF(tblPiNAnalysis[[#This Row],['# Flags]]&gt;0, "Flagged", "")</f>
        <v/>
      </c>
    </row>
    <row r="173" spans="1:38" ht="23.1" hidden="1" customHeight="1" x14ac:dyDescent="0.2">
      <c r="A173" s="309" t="str">
        <f>_xlfn.CONCAT(IF(tblPiNAnalysis[[#This Row],[Population Group]]="", "",tblPiNAnalysis[[#This Row],[Population Group]] ), _xlfn.IFS(tblPiNAnalysis[[#This Row],[Admin 2 P-Code]]&lt;&gt;"", tblPiNAnalysis[[#This Row],[Admin 2 P-Code]], tblPiNAnalysis[[#This Row],[Admin 1 P-Code]]&lt;&gt;"", tblPiNAnalysis[[#This Row],[Admin 1 P-Code]]))</f>
        <v>IDPsSD05148</v>
      </c>
      <c r="B173" s="245" t="s">
        <v>155</v>
      </c>
      <c r="C173" s="246" t="s">
        <v>122</v>
      </c>
      <c r="D173" s="247" t="s">
        <v>178</v>
      </c>
      <c r="E173" s="246" t="s">
        <v>177</v>
      </c>
      <c r="F173" s="248">
        <v>192090</v>
      </c>
      <c r="G173" s="248" t="s">
        <v>88</v>
      </c>
      <c r="H173" s="310"/>
      <c r="I173" s="311"/>
      <c r="J173" s="311"/>
      <c r="K173" s="311"/>
      <c r="L173" s="311"/>
      <c r="M173" s="311"/>
      <c r="N173" s="311">
        <f>_xlfn.XLOOKUP(CONCATENATE(tblPiNAnalysis[[#This Row],[Admin 2 P-Code]],tblPiNAnalysis[[#This Row],[Population Group]]),'Overall severity &amp; PIN Analysis'!A:A,'Overall severity &amp; PIN Analysis'!P:P,0,0)</f>
        <v>137785</v>
      </c>
      <c r="O173" s="311"/>
      <c r="P173" s="311"/>
      <c r="Q173" s="311"/>
      <c r="R173" s="311"/>
      <c r="S173" s="311"/>
      <c r="T173" s="326" t="str">
        <f>IF(tblPiNAnalysis[[#This Row],[Site Management ]]="", "", tblPiNAnalysis[[#This Row],[Site Management ]]/tblPiNAnalysis[[#This Row],[Total Population]])</f>
        <v/>
      </c>
      <c r="U173" s="315" t="str">
        <f>IF(tblPiNAnalysis[[#This Row],[Education]]="", "", tblPiNAnalysis[[#This Row],[Education]]/tblPiNAnalysis[[#This Row],[Total Population]])</f>
        <v/>
      </c>
      <c r="V173" s="315" t="str">
        <f>IF(tblPiNAnalysis[[#This Row],[Food Security and Livlihoods]]="", "", tblPiNAnalysis[[#This Row],[Food Security and Livlihoods]]/tblPiNAnalysis[[#This Row],[Total Population]])</f>
        <v/>
      </c>
      <c r="W173" s="315" t="str">
        <f>IF(tblPiNAnalysis[[#This Row],[Health ]]="", "", tblPiNAnalysis[[#This Row],[Health ]]/tblPiNAnalysis[[#This Row],[Total Population]])</f>
        <v/>
      </c>
      <c r="X173" s="315" t="str">
        <f>IF(tblPiNAnalysis[[#This Row],[Nutrition]]="", "", tblPiNAnalysis[[#This Row],[Nutrition]]/tblPiNAnalysis[[#This Row],[Total Population]])</f>
        <v/>
      </c>
      <c r="Y173" s="315" t="str">
        <f>IF(tblPiNAnalysis[[#This Row],[Protection]]="", "", tblPiNAnalysis[[#This Row],[Protection]]/tblPiNAnalysis[[#This Row],[Total Population]])</f>
        <v/>
      </c>
      <c r="Z173" s="327">
        <f>IF(tblPiNAnalysis[[#This Row],[Shelter NFI ]]="", "", tblPiNAnalysis[[#This Row],[Shelter NFI ]]/tblPiNAnalysis[[#This Row],[Total Population]])</f>
        <v>0.71729397678171691</v>
      </c>
      <c r="AA173" s="328" t="str">
        <f>IF(tblPiNAnalysis[[#This Row],[WASH]]="", "", tblPiNAnalysis[[#This Row],[WASH]]/tblPiNAnalysis[[#This Row],[Total Population]])</f>
        <v/>
      </c>
      <c r="AB173" s="329" t="str">
        <f>IFERROR(IF(tblPiNAnalysis[[#This Row],[CP]]="", "", MROUND(tblPiNAnalysis[[#This Row],[CP]]/tblPiNAnalysis[[#This Row],[Total Population]], 0.05)), "")</f>
        <v/>
      </c>
      <c r="AC173" s="315" t="str">
        <f>IFERROR(IF(tblPiNAnalysis[[#This Row],[GBV]]="", "", MROUND(tblPiNAnalysis[[#This Row],[GBV]]/tblPiNAnalysis[[#This Row],[Total Population]], 0.05)), "")</f>
        <v/>
      </c>
      <c r="AD173" s="315" t="str">
        <f>IFERROR(IF(tblPiNAnalysis[[#This Row],[Mine Action]]="", "", MROUND(tblPiNAnalysis[[#This Row],[Mine Action]]/tblPiNAnalysis[[#This Row],[Total Population]], 0.05)), "")</f>
        <v/>
      </c>
      <c r="AE173" s="315" t="str">
        <f>IFERROR(IF(tblPiNAnalysis[[#This Row],[General Protection]]="", "", MROUND(tblPiNAnalysis[[#This Row],[General Protection]]/tblPiNAnalysis[[#This Row],[Total Population]], 0.05)), "")</f>
        <v/>
      </c>
      <c r="AF173" s="319">
        <f>IFERROR(LARGE(tblPiNAnalysis[[#This Row],[Site Management ]:[General Protection]], 1), "")</f>
        <v>137785</v>
      </c>
      <c r="AG173" s="330">
        <f>IF(tblPiNAnalysis[[#This Row],[Highest PiN]]="", "",tblPiNAnalysis[[#This Row],[Highest PiN]]/ tblPiNAnalysis[[#This Row],[Total Population]])</f>
        <v>0.71729397678171691</v>
      </c>
      <c r="AH173" s="330" t="str">
        <f>IFERROR(IF(tblPiNAnalysis[[#This Row],[Highest PiN]]="", "", IF(tblPiNAnalysis[[#This Row],[Highest sector(s'') PiN %]]&gt;=flag_pin_perc, "Flagged", "")), "")</f>
        <v/>
      </c>
      <c r="AI173" s="321"/>
      <c r="AJ173" s="322"/>
      <c r="AK173" s="323">
        <f>COUNTIFS(tblPiNAnalysis[[#This Row],[Highest PiN greater than 90% of total affected population]:[Manual Flag]],"Flagged")</f>
        <v>0</v>
      </c>
      <c r="AL173" s="331" t="str">
        <f>IF(tblPiNAnalysis[[#This Row],['# Flags]]&gt;0, "Flagged", "")</f>
        <v/>
      </c>
    </row>
    <row r="174" spans="1:38" ht="23.1" customHeight="1" x14ac:dyDescent="0.2">
      <c r="A174" s="309" t="str">
        <f>_xlfn.CONCAT(IF(tblPiNAnalysis[[#This Row],[Population Group]]="", "",tblPiNAnalysis[[#This Row],[Population Group]] ), _xlfn.IFS(tblPiNAnalysis[[#This Row],[Admin 2 P-Code]]&lt;&gt;"", tblPiNAnalysis[[#This Row],[Admin 2 P-Code]], tblPiNAnalysis[[#This Row],[Admin 1 P-Code]]&lt;&gt;"", tblPiNAnalysis[[#This Row],[Admin 1 P-Code]]))</f>
        <v>Non-hosting PopulationSD05148</v>
      </c>
      <c r="B174" s="245" t="s">
        <v>155</v>
      </c>
      <c r="C174" s="246" t="s">
        <v>122</v>
      </c>
      <c r="D174" s="247" t="s">
        <v>178</v>
      </c>
      <c r="E174" s="246" t="s">
        <v>177</v>
      </c>
      <c r="F174" s="248">
        <v>0</v>
      </c>
      <c r="G174" s="248" t="s">
        <v>568</v>
      </c>
      <c r="H174" s="310"/>
      <c r="I174" s="311"/>
      <c r="J174" s="312"/>
      <c r="K174" s="311"/>
      <c r="L174" s="311"/>
      <c r="M174" s="312"/>
      <c r="N174" s="312">
        <f>_xlfn.XLOOKUP(CONCATENATE(tblPiNAnalysis[[#This Row],[Admin 2 P-Code]],tblPiNAnalysis[[#This Row],[Population Group]]),'Overall severity &amp; PIN Analysis'!A:A,'Overall severity &amp; PIN Analysis'!P:P,0,0)</f>
        <v>0</v>
      </c>
      <c r="O174" s="311"/>
      <c r="P174" s="312"/>
      <c r="Q174" s="312"/>
      <c r="R174" s="312"/>
      <c r="S174" s="312"/>
      <c r="T174" s="313" t="str">
        <f>IF(tblPiNAnalysis[[#This Row],[Site Management ]]="", "", tblPiNAnalysis[[#This Row],[Site Management ]]/tblPiNAnalysis[[#This Row],[Total Population]])</f>
        <v/>
      </c>
      <c r="U174" s="314" t="str">
        <f>IF(tblPiNAnalysis[[#This Row],[Education]]="", "", tblPiNAnalysis[[#This Row],[Education]]/tblPiNAnalysis[[#This Row],[Total Population]])</f>
        <v/>
      </c>
      <c r="V174" s="314" t="str">
        <f>IF(tblPiNAnalysis[[#This Row],[Food Security and Livlihoods]]="", "", tblPiNAnalysis[[#This Row],[Food Security and Livlihoods]]/tblPiNAnalysis[[#This Row],[Total Population]])</f>
        <v/>
      </c>
      <c r="W174" s="315" t="str">
        <f>IF(tblPiNAnalysis[[#This Row],[Health ]]="", "", tblPiNAnalysis[[#This Row],[Health ]]/tblPiNAnalysis[[#This Row],[Total Population]])</f>
        <v/>
      </c>
      <c r="X174" s="314" t="str">
        <f>IF(tblPiNAnalysis[[#This Row],[Nutrition]]="", "", tblPiNAnalysis[[#This Row],[Nutrition]]/tblPiNAnalysis[[#This Row],[Total Population]])</f>
        <v/>
      </c>
      <c r="Y174" s="314" t="str">
        <f>IF(tblPiNAnalysis[[#This Row],[Protection]]="", "", tblPiNAnalysis[[#This Row],[Protection]]/tblPiNAnalysis[[#This Row],[Total Population]])</f>
        <v/>
      </c>
      <c r="Z174" s="316" t="e">
        <f>IF(tblPiNAnalysis[[#This Row],[Shelter NFI ]]="", "", tblPiNAnalysis[[#This Row],[Shelter NFI ]]/tblPiNAnalysis[[#This Row],[Total Population]])</f>
        <v>#DIV/0!</v>
      </c>
      <c r="AA174" s="317" t="str">
        <f>IF(tblPiNAnalysis[[#This Row],[WASH]]="", "", tblPiNAnalysis[[#This Row],[WASH]]/tblPiNAnalysis[[#This Row],[Total Population]])</f>
        <v/>
      </c>
      <c r="AB174" s="318" t="str">
        <f>IFERROR(IF(tblPiNAnalysis[[#This Row],[CP]]="", "", MROUND(tblPiNAnalysis[[#This Row],[CP]]/tblPiNAnalysis[[#This Row],[Total Population]], 0.05)), "")</f>
        <v/>
      </c>
      <c r="AC174" s="314" t="str">
        <f>IFERROR(IF(tblPiNAnalysis[[#This Row],[GBV]]="", "", MROUND(tblPiNAnalysis[[#This Row],[GBV]]/tblPiNAnalysis[[#This Row],[Total Population]], 0.05)), "")</f>
        <v/>
      </c>
      <c r="AD174" s="314" t="str">
        <f>IFERROR(IF(tblPiNAnalysis[[#This Row],[Mine Action]]="", "", MROUND(tblPiNAnalysis[[#This Row],[Mine Action]]/tblPiNAnalysis[[#This Row],[Total Population]], 0.05)), "")</f>
        <v/>
      </c>
      <c r="AE174" s="314" t="str">
        <f>IFERROR(IF(tblPiNAnalysis[[#This Row],[General Protection]]="", "", MROUND(tblPiNAnalysis[[#This Row],[General Protection]]/tblPiNAnalysis[[#This Row],[Total Population]], 0.05)), "")</f>
        <v/>
      </c>
      <c r="AF174" s="319">
        <f>IFERROR(LARGE(tblPiNAnalysis[[#This Row],[Site Management ]:[General Protection]], 1), "")</f>
        <v>0</v>
      </c>
      <c r="AG174" s="320" t="e">
        <f>IF(tblPiNAnalysis[[#This Row],[Highest PiN]]="", "",tblPiNAnalysis[[#This Row],[Highest PiN]]/ tblPiNAnalysis[[#This Row],[Total Population]])</f>
        <v>#DIV/0!</v>
      </c>
      <c r="AH174" s="320" t="str">
        <f>IFERROR(IF(tblPiNAnalysis[[#This Row],[Highest PiN]]="", "", IF(tblPiNAnalysis[[#This Row],[Highest sector(s'') PiN %]]&gt;=flag_pin_perc, "Flagged", "")), "")</f>
        <v/>
      </c>
      <c r="AI174" s="321"/>
      <c r="AJ174" s="322"/>
      <c r="AK174" s="323">
        <f>COUNTIFS(tblPiNAnalysis[[#This Row],[Highest PiN greater than 90% of total affected population]:[Manual Flag]],"Flagged")</f>
        <v>0</v>
      </c>
      <c r="AL174" s="324" t="str">
        <f>IF(tblPiNAnalysis[[#This Row],['# Flags]]&gt;0, "Flagged", "")</f>
        <v/>
      </c>
    </row>
    <row r="175" spans="1:38" ht="23.1" hidden="1" customHeight="1" x14ac:dyDescent="0.2">
      <c r="A175" s="309" t="str">
        <f>_xlfn.CONCAT(IF(tblPiNAnalysis[[#This Row],[Population Group]]="", "",tblPiNAnalysis[[#This Row],[Population Group]] ), _xlfn.IFS(tblPiNAnalysis[[#This Row],[Admin 2 P-Code]]&lt;&gt;"", tblPiNAnalysis[[#This Row],[Admin 2 P-Code]], tblPiNAnalysis[[#This Row],[Admin 1 P-Code]]&lt;&gt;"", tblPiNAnalysis[[#This Row],[Admin 1 P-Code]]))</f>
        <v>Host CommunitySD05152</v>
      </c>
      <c r="B175" s="245" t="s">
        <v>155</v>
      </c>
      <c r="C175" s="246" t="s">
        <v>122</v>
      </c>
      <c r="D175" s="247" t="s">
        <v>181</v>
      </c>
      <c r="E175" s="246" t="s">
        <v>180</v>
      </c>
      <c r="F175" s="248">
        <v>64116</v>
      </c>
      <c r="G175" s="248" t="s">
        <v>87</v>
      </c>
      <c r="H175" s="310"/>
      <c r="I175" s="311"/>
      <c r="J175" s="312"/>
      <c r="K175" s="311"/>
      <c r="L175" s="311"/>
      <c r="M175" s="312"/>
      <c r="N175" s="312">
        <f>_xlfn.XLOOKUP(CONCATENATE(tblPiNAnalysis[[#This Row],[Admin 2 P-Code]],tblPiNAnalysis[[#This Row],[Population Group]]),'Overall severity &amp; PIN Analysis'!A:A,'Overall severity &amp; PIN Analysis'!P:P,0,0)</f>
        <v>32544</v>
      </c>
      <c r="O175" s="311"/>
      <c r="P175" s="312"/>
      <c r="Q175" s="312"/>
      <c r="R175" s="312"/>
      <c r="S175" s="312"/>
      <c r="T175" s="313" t="str">
        <f>IF(tblPiNAnalysis[[#This Row],[Site Management ]]="", "", tblPiNAnalysis[[#This Row],[Site Management ]]/tblPiNAnalysis[[#This Row],[Total Population]])</f>
        <v/>
      </c>
      <c r="U175" s="314" t="str">
        <f>IF(tblPiNAnalysis[[#This Row],[Education]]="", "", tblPiNAnalysis[[#This Row],[Education]]/tblPiNAnalysis[[#This Row],[Total Population]])</f>
        <v/>
      </c>
      <c r="V175" s="314" t="str">
        <f>IF(tblPiNAnalysis[[#This Row],[Food Security and Livlihoods]]="", "", tblPiNAnalysis[[#This Row],[Food Security and Livlihoods]]/tblPiNAnalysis[[#This Row],[Total Population]])</f>
        <v/>
      </c>
      <c r="W175" s="315" t="str">
        <f>IF(tblPiNAnalysis[[#This Row],[Health ]]="", "", tblPiNAnalysis[[#This Row],[Health ]]/tblPiNAnalysis[[#This Row],[Total Population]])</f>
        <v/>
      </c>
      <c r="X175" s="314" t="str">
        <f>IF(tblPiNAnalysis[[#This Row],[Nutrition]]="", "", tblPiNAnalysis[[#This Row],[Nutrition]]/tblPiNAnalysis[[#This Row],[Total Population]])</f>
        <v/>
      </c>
      <c r="Y175" s="314" t="str">
        <f>IF(tblPiNAnalysis[[#This Row],[Protection]]="", "", tblPiNAnalysis[[#This Row],[Protection]]/tblPiNAnalysis[[#This Row],[Total Population]])</f>
        <v/>
      </c>
      <c r="Z175" s="316">
        <f>IF(tblPiNAnalysis[[#This Row],[Shelter NFI ]]="", "", tblPiNAnalysis[[#This Row],[Shelter NFI ]]/tblPiNAnalysis[[#This Row],[Total Population]])</f>
        <v>0.50758001122964624</v>
      </c>
      <c r="AA175" s="317" t="str">
        <f>IF(tblPiNAnalysis[[#This Row],[WASH]]="", "", tblPiNAnalysis[[#This Row],[WASH]]/tblPiNAnalysis[[#This Row],[Total Population]])</f>
        <v/>
      </c>
      <c r="AB175" s="318" t="str">
        <f>IFERROR(IF(tblPiNAnalysis[[#This Row],[CP]]="", "", MROUND(tblPiNAnalysis[[#This Row],[CP]]/tblPiNAnalysis[[#This Row],[Total Population]], 0.05)), "")</f>
        <v/>
      </c>
      <c r="AC175" s="314" t="str">
        <f>IFERROR(IF(tblPiNAnalysis[[#This Row],[GBV]]="", "", MROUND(tblPiNAnalysis[[#This Row],[GBV]]/tblPiNAnalysis[[#This Row],[Total Population]], 0.05)), "")</f>
        <v/>
      </c>
      <c r="AD175" s="314" t="str">
        <f>IFERROR(IF(tblPiNAnalysis[[#This Row],[Mine Action]]="", "", MROUND(tblPiNAnalysis[[#This Row],[Mine Action]]/tblPiNAnalysis[[#This Row],[Total Population]], 0.05)), "")</f>
        <v/>
      </c>
      <c r="AE175" s="314" t="str">
        <f>IFERROR(IF(tblPiNAnalysis[[#This Row],[General Protection]]="", "", MROUND(tblPiNAnalysis[[#This Row],[General Protection]]/tblPiNAnalysis[[#This Row],[Total Population]], 0.05)), "")</f>
        <v/>
      </c>
      <c r="AF175" s="319">
        <f>IFERROR(LARGE(tblPiNAnalysis[[#This Row],[Site Management ]:[General Protection]], 1), "")</f>
        <v>32544</v>
      </c>
      <c r="AG175" s="320">
        <f>IF(tblPiNAnalysis[[#This Row],[Highest PiN]]="", "",tblPiNAnalysis[[#This Row],[Highest PiN]]/ tblPiNAnalysis[[#This Row],[Total Population]])</f>
        <v>0.50758001122964624</v>
      </c>
      <c r="AH175" s="320" t="str">
        <f>IFERROR(IF(tblPiNAnalysis[[#This Row],[Highest PiN]]="", "", IF(tblPiNAnalysis[[#This Row],[Highest sector(s'') PiN %]]&gt;=flag_pin_perc, "Flagged", "")), "")</f>
        <v/>
      </c>
      <c r="AI175" s="321"/>
      <c r="AJ175" s="322"/>
      <c r="AK175" s="323">
        <f>COUNTIFS(tblPiNAnalysis[[#This Row],[Highest PiN greater than 90% of total affected population]:[Manual Flag]],"Flagged")</f>
        <v>0</v>
      </c>
      <c r="AL175" s="324" t="str">
        <f>IF(tblPiNAnalysis[[#This Row],['# Flags]]&gt;0, "Flagged", "")</f>
        <v/>
      </c>
    </row>
    <row r="176" spans="1:38" ht="23.1" hidden="1" customHeight="1" x14ac:dyDescent="0.2">
      <c r="A176" s="309" t="str">
        <f>_xlfn.CONCAT(IF(tblPiNAnalysis[[#This Row],[Population Group]]="", "",tblPiNAnalysis[[#This Row],[Population Group]] ), _xlfn.IFS(tblPiNAnalysis[[#This Row],[Admin 2 P-Code]]&lt;&gt;"", tblPiNAnalysis[[#This Row],[Admin 2 P-Code]], tblPiNAnalysis[[#This Row],[Admin 1 P-Code]]&lt;&gt;"", tblPiNAnalysis[[#This Row],[Admin 1 P-Code]]))</f>
        <v>IDPsSD05152</v>
      </c>
      <c r="B176" s="245" t="s">
        <v>155</v>
      </c>
      <c r="C176" s="246" t="s">
        <v>122</v>
      </c>
      <c r="D176" s="247" t="s">
        <v>181</v>
      </c>
      <c r="E176" s="246" t="s">
        <v>180</v>
      </c>
      <c r="F176" s="248">
        <v>59700</v>
      </c>
      <c r="G176" s="248" t="s">
        <v>88</v>
      </c>
      <c r="H176" s="310"/>
      <c r="I176" s="311"/>
      <c r="J176" s="311"/>
      <c r="K176" s="311"/>
      <c r="L176" s="311"/>
      <c r="M176" s="311"/>
      <c r="N176" s="311">
        <f>_xlfn.XLOOKUP(CONCATENATE(tblPiNAnalysis[[#This Row],[Admin 2 P-Code]],tblPiNAnalysis[[#This Row],[Population Group]]),'Overall severity &amp; PIN Analysis'!A:A,'Overall severity &amp; PIN Analysis'!P:P,0,0)</f>
        <v>30302</v>
      </c>
      <c r="O176" s="311"/>
      <c r="P176" s="311"/>
      <c r="Q176" s="311"/>
      <c r="R176" s="311"/>
      <c r="S176" s="311"/>
      <c r="T176" s="326" t="str">
        <f>IF(tblPiNAnalysis[[#This Row],[Site Management ]]="", "", tblPiNAnalysis[[#This Row],[Site Management ]]/tblPiNAnalysis[[#This Row],[Total Population]])</f>
        <v/>
      </c>
      <c r="U176" s="315" t="str">
        <f>IF(tblPiNAnalysis[[#This Row],[Education]]="", "", tblPiNAnalysis[[#This Row],[Education]]/tblPiNAnalysis[[#This Row],[Total Population]])</f>
        <v/>
      </c>
      <c r="V176" s="315" t="str">
        <f>IF(tblPiNAnalysis[[#This Row],[Food Security and Livlihoods]]="", "", tblPiNAnalysis[[#This Row],[Food Security and Livlihoods]]/tblPiNAnalysis[[#This Row],[Total Population]])</f>
        <v/>
      </c>
      <c r="W176" s="315" t="str">
        <f>IF(tblPiNAnalysis[[#This Row],[Health ]]="", "", tblPiNAnalysis[[#This Row],[Health ]]/tblPiNAnalysis[[#This Row],[Total Population]])</f>
        <v/>
      </c>
      <c r="X176" s="315" t="str">
        <f>IF(tblPiNAnalysis[[#This Row],[Nutrition]]="", "", tblPiNAnalysis[[#This Row],[Nutrition]]/tblPiNAnalysis[[#This Row],[Total Population]])</f>
        <v/>
      </c>
      <c r="Y176" s="315" t="str">
        <f>IF(tblPiNAnalysis[[#This Row],[Protection]]="", "", tblPiNAnalysis[[#This Row],[Protection]]/tblPiNAnalysis[[#This Row],[Total Population]])</f>
        <v/>
      </c>
      <c r="Z176" s="327">
        <f>IF(tblPiNAnalysis[[#This Row],[Shelter NFI ]]="", "", tblPiNAnalysis[[#This Row],[Shelter NFI ]]/tblPiNAnalysis[[#This Row],[Total Population]])</f>
        <v>0.50757118927973199</v>
      </c>
      <c r="AA176" s="328" t="str">
        <f>IF(tblPiNAnalysis[[#This Row],[WASH]]="", "", tblPiNAnalysis[[#This Row],[WASH]]/tblPiNAnalysis[[#This Row],[Total Population]])</f>
        <v/>
      </c>
      <c r="AB176" s="329" t="str">
        <f>IFERROR(IF(tblPiNAnalysis[[#This Row],[CP]]="", "", MROUND(tblPiNAnalysis[[#This Row],[CP]]/tblPiNAnalysis[[#This Row],[Total Population]], 0.05)), "")</f>
        <v/>
      </c>
      <c r="AC176" s="315" t="str">
        <f>IFERROR(IF(tblPiNAnalysis[[#This Row],[GBV]]="", "", MROUND(tblPiNAnalysis[[#This Row],[GBV]]/tblPiNAnalysis[[#This Row],[Total Population]], 0.05)), "")</f>
        <v/>
      </c>
      <c r="AD176" s="315" t="str">
        <f>IFERROR(IF(tblPiNAnalysis[[#This Row],[Mine Action]]="", "", MROUND(tblPiNAnalysis[[#This Row],[Mine Action]]/tblPiNAnalysis[[#This Row],[Total Population]], 0.05)), "")</f>
        <v/>
      </c>
      <c r="AE176" s="315" t="str">
        <f>IFERROR(IF(tblPiNAnalysis[[#This Row],[General Protection]]="", "", MROUND(tblPiNAnalysis[[#This Row],[General Protection]]/tblPiNAnalysis[[#This Row],[Total Population]], 0.05)), "")</f>
        <v/>
      </c>
      <c r="AF176" s="319">
        <f>IFERROR(LARGE(tblPiNAnalysis[[#This Row],[Site Management ]:[General Protection]], 1), "")</f>
        <v>30302</v>
      </c>
      <c r="AG176" s="330">
        <f>IF(tblPiNAnalysis[[#This Row],[Highest PiN]]="", "",tblPiNAnalysis[[#This Row],[Highest PiN]]/ tblPiNAnalysis[[#This Row],[Total Population]])</f>
        <v>0.50757118927973199</v>
      </c>
      <c r="AH176" s="330" t="str">
        <f>IFERROR(IF(tblPiNAnalysis[[#This Row],[Highest PiN]]="", "", IF(tblPiNAnalysis[[#This Row],[Highest sector(s'') PiN %]]&gt;=flag_pin_perc, "Flagged", "")), "")</f>
        <v/>
      </c>
      <c r="AI176" s="321"/>
      <c r="AJ176" s="322"/>
      <c r="AK176" s="323">
        <f>COUNTIFS(tblPiNAnalysis[[#This Row],[Highest PiN greater than 90% of total affected population]:[Manual Flag]],"Flagged")</f>
        <v>0</v>
      </c>
      <c r="AL176" s="331" t="str">
        <f>IF(tblPiNAnalysis[[#This Row],['# Flags]]&gt;0, "Flagged", "")</f>
        <v/>
      </c>
    </row>
    <row r="177" spans="1:38" ht="23.1" customHeight="1" x14ac:dyDescent="0.2">
      <c r="A177" s="309" t="str">
        <f>_xlfn.CONCAT(IF(tblPiNAnalysis[[#This Row],[Population Group]]="", "",tblPiNAnalysis[[#This Row],[Population Group]] ), _xlfn.IFS(tblPiNAnalysis[[#This Row],[Admin 2 P-Code]]&lt;&gt;"", tblPiNAnalysis[[#This Row],[Admin 2 P-Code]], tblPiNAnalysis[[#This Row],[Admin 1 P-Code]]&lt;&gt;"", tblPiNAnalysis[[#This Row],[Admin 1 P-Code]]))</f>
        <v>Non-hosting PopulationSD05152</v>
      </c>
      <c r="B177" s="245" t="s">
        <v>155</v>
      </c>
      <c r="C177" s="246" t="s">
        <v>122</v>
      </c>
      <c r="D177" s="247" t="s">
        <v>181</v>
      </c>
      <c r="E177" s="246" t="s">
        <v>180</v>
      </c>
      <c r="F177" s="248">
        <v>105960</v>
      </c>
      <c r="G177" s="248" t="s">
        <v>568</v>
      </c>
      <c r="H177" s="310"/>
      <c r="I177" s="311"/>
      <c r="J177" s="312"/>
      <c r="K177" s="311"/>
      <c r="L177" s="311"/>
      <c r="M177" s="312"/>
      <c r="N177" s="312">
        <f>_xlfn.XLOOKUP(CONCATENATE(tblPiNAnalysis[[#This Row],[Admin 2 P-Code]],tblPiNAnalysis[[#This Row],[Population Group]]),'Overall severity &amp; PIN Analysis'!A:A,'Overall severity &amp; PIN Analysis'!P:P,0,0)</f>
        <v>2373</v>
      </c>
      <c r="O177" s="311"/>
      <c r="P177" s="312"/>
      <c r="Q177" s="312"/>
      <c r="R177" s="312"/>
      <c r="S177" s="312"/>
      <c r="T177" s="313" t="str">
        <f>IF(tblPiNAnalysis[[#This Row],[Site Management ]]="", "", tblPiNAnalysis[[#This Row],[Site Management ]]/tblPiNAnalysis[[#This Row],[Total Population]])</f>
        <v/>
      </c>
      <c r="U177" s="314" t="str">
        <f>IF(tblPiNAnalysis[[#This Row],[Education]]="", "", tblPiNAnalysis[[#This Row],[Education]]/tblPiNAnalysis[[#This Row],[Total Population]])</f>
        <v/>
      </c>
      <c r="V177" s="314" t="str">
        <f>IF(tblPiNAnalysis[[#This Row],[Food Security and Livlihoods]]="", "", tblPiNAnalysis[[#This Row],[Food Security and Livlihoods]]/tblPiNAnalysis[[#This Row],[Total Population]])</f>
        <v/>
      </c>
      <c r="W177" s="315" t="str">
        <f>IF(tblPiNAnalysis[[#This Row],[Health ]]="", "", tblPiNAnalysis[[#This Row],[Health ]]/tblPiNAnalysis[[#This Row],[Total Population]])</f>
        <v/>
      </c>
      <c r="X177" s="314" t="str">
        <f>IF(tblPiNAnalysis[[#This Row],[Nutrition]]="", "", tblPiNAnalysis[[#This Row],[Nutrition]]/tblPiNAnalysis[[#This Row],[Total Population]])</f>
        <v/>
      </c>
      <c r="Y177" s="314" t="str">
        <f>IF(tblPiNAnalysis[[#This Row],[Protection]]="", "", tblPiNAnalysis[[#This Row],[Protection]]/tblPiNAnalysis[[#This Row],[Total Population]])</f>
        <v/>
      </c>
      <c r="Z177" s="316">
        <f>IF(tblPiNAnalysis[[#This Row],[Shelter NFI ]]="", "", tblPiNAnalysis[[#This Row],[Shelter NFI ]]/tblPiNAnalysis[[#This Row],[Total Population]])</f>
        <v>2.2395243488108719E-2</v>
      </c>
      <c r="AA177" s="317" t="str">
        <f>IF(tblPiNAnalysis[[#This Row],[WASH]]="", "", tblPiNAnalysis[[#This Row],[WASH]]/tblPiNAnalysis[[#This Row],[Total Population]])</f>
        <v/>
      </c>
      <c r="AB177" s="318" t="str">
        <f>IFERROR(IF(tblPiNAnalysis[[#This Row],[CP]]="", "", MROUND(tblPiNAnalysis[[#This Row],[CP]]/tblPiNAnalysis[[#This Row],[Total Population]], 0.05)), "")</f>
        <v/>
      </c>
      <c r="AC177" s="314" t="str">
        <f>IFERROR(IF(tblPiNAnalysis[[#This Row],[GBV]]="", "", MROUND(tblPiNAnalysis[[#This Row],[GBV]]/tblPiNAnalysis[[#This Row],[Total Population]], 0.05)), "")</f>
        <v/>
      </c>
      <c r="AD177" s="314" t="str">
        <f>IFERROR(IF(tblPiNAnalysis[[#This Row],[Mine Action]]="", "", MROUND(tblPiNAnalysis[[#This Row],[Mine Action]]/tblPiNAnalysis[[#This Row],[Total Population]], 0.05)), "")</f>
        <v/>
      </c>
      <c r="AE177" s="314" t="str">
        <f>IFERROR(IF(tblPiNAnalysis[[#This Row],[General Protection]]="", "", MROUND(tblPiNAnalysis[[#This Row],[General Protection]]/tblPiNAnalysis[[#This Row],[Total Population]], 0.05)), "")</f>
        <v/>
      </c>
      <c r="AF177" s="319">
        <f>IFERROR(LARGE(tblPiNAnalysis[[#This Row],[Site Management ]:[General Protection]], 1), "")</f>
        <v>2373</v>
      </c>
      <c r="AG177" s="320">
        <f>IF(tblPiNAnalysis[[#This Row],[Highest PiN]]="", "",tblPiNAnalysis[[#This Row],[Highest PiN]]/ tblPiNAnalysis[[#This Row],[Total Population]])</f>
        <v>2.2395243488108719E-2</v>
      </c>
      <c r="AH177" s="320" t="str">
        <f>IFERROR(IF(tblPiNAnalysis[[#This Row],[Highest PiN]]="", "", IF(tblPiNAnalysis[[#This Row],[Highest sector(s'') PiN %]]&gt;=flag_pin_perc, "Flagged", "")), "")</f>
        <v/>
      </c>
      <c r="AI177" s="321"/>
      <c r="AJ177" s="322"/>
      <c r="AK177" s="323">
        <f>COUNTIFS(tblPiNAnalysis[[#This Row],[Highest PiN greater than 90% of total affected population]:[Manual Flag]],"Flagged")</f>
        <v>0</v>
      </c>
      <c r="AL177" s="324" t="str">
        <f>IF(tblPiNAnalysis[[#This Row],['# Flags]]&gt;0, "Flagged", "")</f>
        <v/>
      </c>
    </row>
    <row r="178" spans="1:38" ht="23.1" hidden="1" customHeight="1" x14ac:dyDescent="0.2">
      <c r="A178" s="309" t="str">
        <f>_xlfn.CONCAT(IF(tblPiNAnalysis[[#This Row],[Population Group]]="", "",tblPiNAnalysis[[#This Row],[Population Group]] ), _xlfn.IFS(tblPiNAnalysis[[#This Row],[Admin 2 P-Code]]&lt;&gt;"", tblPiNAnalysis[[#This Row],[Admin 2 P-Code]], tblPiNAnalysis[[#This Row],[Admin 1 P-Code]]&lt;&gt;"", tblPiNAnalysis[[#This Row],[Admin 1 P-Code]]))</f>
        <v>Host CommunitySD05155</v>
      </c>
      <c r="B178" s="245" t="s">
        <v>155</v>
      </c>
      <c r="C178" s="246" t="s">
        <v>122</v>
      </c>
      <c r="D178" s="247" t="s">
        <v>184</v>
      </c>
      <c r="E178" s="246" t="s">
        <v>183</v>
      </c>
      <c r="F178" s="248">
        <v>46868</v>
      </c>
      <c r="G178" s="248" t="s">
        <v>87</v>
      </c>
      <c r="H178" s="310"/>
      <c r="I178" s="311"/>
      <c r="J178" s="312"/>
      <c r="K178" s="311"/>
      <c r="L178" s="311"/>
      <c r="M178" s="312"/>
      <c r="N178" s="312">
        <f>_xlfn.XLOOKUP(CONCATENATE(tblPiNAnalysis[[#This Row],[Admin 2 P-Code]],tblPiNAnalysis[[#This Row],[Population Group]]),'Overall severity &amp; PIN Analysis'!A:A,'Overall severity &amp; PIN Analysis'!P:P,0,0)</f>
        <v>33943</v>
      </c>
      <c r="O178" s="311"/>
      <c r="P178" s="312"/>
      <c r="Q178" s="312"/>
      <c r="R178" s="312"/>
      <c r="S178" s="312"/>
      <c r="T178" s="313" t="str">
        <f>IF(tblPiNAnalysis[[#This Row],[Site Management ]]="", "", tblPiNAnalysis[[#This Row],[Site Management ]]/tblPiNAnalysis[[#This Row],[Total Population]])</f>
        <v/>
      </c>
      <c r="U178" s="314" t="str">
        <f>IF(tblPiNAnalysis[[#This Row],[Education]]="", "", tblPiNAnalysis[[#This Row],[Education]]/tblPiNAnalysis[[#This Row],[Total Population]])</f>
        <v/>
      </c>
      <c r="V178" s="314" t="str">
        <f>IF(tblPiNAnalysis[[#This Row],[Food Security and Livlihoods]]="", "", tblPiNAnalysis[[#This Row],[Food Security and Livlihoods]]/tblPiNAnalysis[[#This Row],[Total Population]])</f>
        <v/>
      </c>
      <c r="W178" s="315" t="str">
        <f>IF(tblPiNAnalysis[[#This Row],[Health ]]="", "", tblPiNAnalysis[[#This Row],[Health ]]/tblPiNAnalysis[[#This Row],[Total Population]])</f>
        <v/>
      </c>
      <c r="X178" s="314" t="str">
        <f>IF(tblPiNAnalysis[[#This Row],[Nutrition]]="", "", tblPiNAnalysis[[#This Row],[Nutrition]]/tblPiNAnalysis[[#This Row],[Total Population]])</f>
        <v/>
      </c>
      <c r="Y178" s="314" t="str">
        <f>IF(tblPiNAnalysis[[#This Row],[Protection]]="", "", tblPiNAnalysis[[#This Row],[Protection]]/tblPiNAnalysis[[#This Row],[Total Population]])</f>
        <v/>
      </c>
      <c r="Z178" s="316">
        <f>IF(tblPiNAnalysis[[#This Row],[Shelter NFI ]]="", "", tblPiNAnalysis[[#This Row],[Shelter NFI ]]/tblPiNAnalysis[[#This Row],[Total Population]])</f>
        <v>0.72422548433899459</v>
      </c>
      <c r="AA178" s="317" t="str">
        <f>IF(tblPiNAnalysis[[#This Row],[WASH]]="", "", tblPiNAnalysis[[#This Row],[WASH]]/tblPiNAnalysis[[#This Row],[Total Population]])</f>
        <v/>
      </c>
      <c r="AB178" s="318" t="str">
        <f>IFERROR(IF(tblPiNAnalysis[[#This Row],[CP]]="", "", MROUND(tblPiNAnalysis[[#This Row],[CP]]/tblPiNAnalysis[[#This Row],[Total Population]], 0.05)), "")</f>
        <v/>
      </c>
      <c r="AC178" s="314" t="str">
        <f>IFERROR(IF(tblPiNAnalysis[[#This Row],[GBV]]="", "", MROUND(tblPiNAnalysis[[#This Row],[GBV]]/tblPiNAnalysis[[#This Row],[Total Population]], 0.05)), "")</f>
        <v/>
      </c>
      <c r="AD178" s="314" t="str">
        <f>IFERROR(IF(tblPiNAnalysis[[#This Row],[Mine Action]]="", "", MROUND(tblPiNAnalysis[[#This Row],[Mine Action]]/tblPiNAnalysis[[#This Row],[Total Population]], 0.05)), "")</f>
        <v/>
      </c>
      <c r="AE178" s="314" t="str">
        <f>IFERROR(IF(tblPiNAnalysis[[#This Row],[General Protection]]="", "", MROUND(tblPiNAnalysis[[#This Row],[General Protection]]/tblPiNAnalysis[[#This Row],[Total Population]], 0.05)), "")</f>
        <v/>
      </c>
      <c r="AF178" s="319">
        <f>IFERROR(LARGE(tblPiNAnalysis[[#This Row],[Site Management ]:[General Protection]], 1), "")</f>
        <v>33943</v>
      </c>
      <c r="AG178" s="320">
        <f>IF(tblPiNAnalysis[[#This Row],[Highest PiN]]="", "",tblPiNAnalysis[[#This Row],[Highest PiN]]/ tblPiNAnalysis[[#This Row],[Total Population]])</f>
        <v>0.72422548433899459</v>
      </c>
      <c r="AH178" s="320" t="str">
        <f>IFERROR(IF(tblPiNAnalysis[[#This Row],[Highest PiN]]="", "", IF(tblPiNAnalysis[[#This Row],[Highest sector(s'') PiN %]]&gt;=flag_pin_perc, "Flagged", "")), "")</f>
        <v/>
      </c>
      <c r="AI178" s="321"/>
      <c r="AJ178" s="322"/>
      <c r="AK178" s="323">
        <f>COUNTIFS(tblPiNAnalysis[[#This Row],[Highest PiN greater than 90% of total affected population]:[Manual Flag]],"Flagged")</f>
        <v>0</v>
      </c>
      <c r="AL178" s="324" t="str">
        <f>IF(tblPiNAnalysis[[#This Row],['# Flags]]&gt;0, "Flagged", "")</f>
        <v/>
      </c>
    </row>
    <row r="179" spans="1:38" ht="23.1" hidden="1" customHeight="1" x14ac:dyDescent="0.2">
      <c r="A179" s="309" t="str">
        <f>_xlfn.CONCAT(IF(tblPiNAnalysis[[#This Row],[Population Group]]="", "",tblPiNAnalysis[[#This Row],[Population Group]] ), _xlfn.IFS(tblPiNAnalysis[[#This Row],[Admin 2 P-Code]]&lt;&gt;"", tblPiNAnalysis[[#This Row],[Admin 2 P-Code]], tblPiNAnalysis[[#This Row],[Admin 1 P-Code]]&lt;&gt;"", tblPiNAnalysis[[#This Row],[Admin 1 P-Code]]))</f>
        <v>IDPsSD05155</v>
      </c>
      <c r="B179" s="245" t="s">
        <v>155</v>
      </c>
      <c r="C179" s="246" t="s">
        <v>122</v>
      </c>
      <c r="D179" s="247" t="s">
        <v>184</v>
      </c>
      <c r="E179" s="246" t="s">
        <v>183</v>
      </c>
      <c r="F179" s="248">
        <v>45046</v>
      </c>
      <c r="G179" s="248" t="s">
        <v>88</v>
      </c>
      <c r="H179" s="310"/>
      <c r="I179" s="311"/>
      <c r="J179" s="311"/>
      <c r="K179" s="311"/>
      <c r="L179" s="311"/>
      <c r="M179" s="311"/>
      <c r="N179" s="311">
        <f>_xlfn.XLOOKUP(CONCATENATE(tblPiNAnalysis[[#This Row],[Admin 2 P-Code]],tblPiNAnalysis[[#This Row],[Population Group]]),'Overall severity &amp; PIN Analysis'!A:A,'Overall severity &amp; PIN Analysis'!P:P,0,0)</f>
        <v>32623</v>
      </c>
      <c r="O179" s="311"/>
      <c r="P179" s="311"/>
      <c r="Q179" s="311"/>
      <c r="R179" s="311"/>
      <c r="S179" s="311"/>
      <c r="T179" s="326" t="str">
        <f>IF(tblPiNAnalysis[[#This Row],[Site Management ]]="", "", tblPiNAnalysis[[#This Row],[Site Management ]]/tblPiNAnalysis[[#This Row],[Total Population]])</f>
        <v/>
      </c>
      <c r="U179" s="315" t="str">
        <f>IF(tblPiNAnalysis[[#This Row],[Education]]="", "", tblPiNAnalysis[[#This Row],[Education]]/tblPiNAnalysis[[#This Row],[Total Population]])</f>
        <v/>
      </c>
      <c r="V179" s="315" t="str">
        <f>IF(tblPiNAnalysis[[#This Row],[Food Security and Livlihoods]]="", "", tblPiNAnalysis[[#This Row],[Food Security and Livlihoods]]/tblPiNAnalysis[[#This Row],[Total Population]])</f>
        <v/>
      </c>
      <c r="W179" s="315" t="str">
        <f>IF(tblPiNAnalysis[[#This Row],[Health ]]="", "", tblPiNAnalysis[[#This Row],[Health ]]/tblPiNAnalysis[[#This Row],[Total Population]])</f>
        <v/>
      </c>
      <c r="X179" s="315" t="str">
        <f>IF(tblPiNAnalysis[[#This Row],[Nutrition]]="", "", tblPiNAnalysis[[#This Row],[Nutrition]]/tblPiNAnalysis[[#This Row],[Total Population]])</f>
        <v/>
      </c>
      <c r="Y179" s="315" t="str">
        <f>IF(tblPiNAnalysis[[#This Row],[Protection]]="", "", tblPiNAnalysis[[#This Row],[Protection]]/tblPiNAnalysis[[#This Row],[Total Population]])</f>
        <v/>
      </c>
      <c r="Z179" s="327">
        <f>IF(tblPiNAnalysis[[#This Row],[Shelter NFI ]]="", "", tblPiNAnalysis[[#This Row],[Shelter NFI ]]/tblPiNAnalysis[[#This Row],[Total Population]])</f>
        <v>0.72421524663677128</v>
      </c>
      <c r="AA179" s="328" t="str">
        <f>IF(tblPiNAnalysis[[#This Row],[WASH]]="", "", tblPiNAnalysis[[#This Row],[WASH]]/tblPiNAnalysis[[#This Row],[Total Population]])</f>
        <v/>
      </c>
      <c r="AB179" s="329" t="str">
        <f>IFERROR(IF(tblPiNAnalysis[[#This Row],[CP]]="", "", MROUND(tblPiNAnalysis[[#This Row],[CP]]/tblPiNAnalysis[[#This Row],[Total Population]], 0.05)), "")</f>
        <v/>
      </c>
      <c r="AC179" s="315" t="str">
        <f>IFERROR(IF(tblPiNAnalysis[[#This Row],[GBV]]="", "", MROUND(tblPiNAnalysis[[#This Row],[GBV]]/tblPiNAnalysis[[#This Row],[Total Population]], 0.05)), "")</f>
        <v/>
      </c>
      <c r="AD179" s="315" t="str">
        <f>IFERROR(IF(tblPiNAnalysis[[#This Row],[Mine Action]]="", "", MROUND(tblPiNAnalysis[[#This Row],[Mine Action]]/tblPiNAnalysis[[#This Row],[Total Population]], 0.05)), "")</f>
        <v/>
      </c>
      <c r="AE179" s="315" t="str">
        <f>IFERROR(IF(tblPiNAnalysis[[#This Row],[General Protection]]="", "", MROUND(tblPiNAnalysis[[#This Row],[General Protection]]/tblPiNAnalysis[[#This Row],[Total Population]], 0.05)), "")</f>
        <v/>
      </c>
      <c r="AF179" s="319">
        <f>IFERROR(LARGE(tblPiNAnalysis[[#This Row],[Site Management ]:[General Protection]], 1), "")</f>
        <v>32623</v>
      </c>
      <c r="AG179" s="330">
        <f>IF(tblPiNAnalysis[[#This Row],[Highest PiN]]="", "",tblPiNAnalysis[[#This Row],[Highest PiN]]/ tblPiNAnalysis[[#This Row],[Total Population]])</f>
        <v>0.72421524663677128</v>
      </c>
      <c r="AH179" s="330" t="str">
        <f>IFERROR(IF(tblPiNAnalysis[[#This Row],[Highest PiN]]="", "", IF(tblPiNAnalysis[[#This Row],[Highest sector(s'') PiN %]]&gt;=flag_pin_perc, "Flagged", "")), "")</f>
        <v/>
      </c>
      <c r="AI179" s="321"/>
      <c r="AJ179" s="322"/>
      <c r="AK179" s="323">
        <f>COUNTIFS(tblPiNAnalysis[[#This Row],[Highest PiN greater than 90% of total affected population]:[Manual Flag]],"Flagged")</f>
        <v>0</v>
      </c>
      <c r="AL179" s="331" t="str">
        <f>IF(tblPiNAnalysis[[#This Row],['# Flags]]&gt;0, "Flagged", "")</f>
        <v/>
      </c>
    </row>
    <row r="180" spans="1:38" ht="23.1" customHeight="1" x14ac:dyDescent="0.2">
      <c r="A180" s="309" t="str">
        <f>_xlfn.CONCAT(IF(tblPiNAnalysis[[#This Row],[Population Group]]="", "",tblPiNAnalysis[[#This Row],[Population Group]] ), _xlfn.IFS(tblPiNAnalysis[[#This Row],[Admin 2 P-Code]]&lt;&gt;"", tblPiNAnalysis[[#This Row],[Admin 2 P-Code]], tblPiNAnalysis[[#This Row],[Admin 1 P-Code]]&lt;&gt;"", tblPiNAnalysis[[#This Row],[Admin 1 P-Code]]))</f>
        <v>Non-hosting PopulationSD05155</v>
      </c>
      <c r="B180" s="245" t="s">
        <v>155</v>
      </c>
      <c r="C180" s="246" t="s">
        <v>122</v>
      </c>
      <c r="D180" s="247" t="s">
        <v>184</v>
      </c>
      <c r="E180" s="246" t="s">
        <v>183</v>
      </c>
      <c r="F180" s="248">
        <v>225032</v>
      </c>
      <c r="G180" s="248" t="s">
        <v>568</v>
      </c>
      <c r="H180" s="310"/>
      <c r="I180" s="311"/>
      <c r="J180" s="312"/>
      <c r="K180" s="311"/>
      <c r="L180" s="311"/>
      <c r="M180" s="312"/>
      <c r="N180" s="312">
        <f>_xlfn.XLOOKUP(CONCATENATE(tblPiNAnalysis[[#This Row],[Admin 2 P-Code]],tblPiNAnalysis[[#This Row],[Population Group]]),'Overall severity &amp; PIN Analysis'!A:A,'Overall severity &amp; PIN Analysis'!P:P,0,0)</f>
        <v>1614</v>
      </c>
      <c r="O180" s="311"/>
      <c r="P180" s="312"/>
      <c r="Q180" s="312"/>
      <c r="R180" s="312"/>
      <c r="S180" s="312"/>
      <c r="T180" s="313" t="str">
        <f>IF(tblPiNAnalysis[[#This Row],[Site Management ]]="", "", tblPiNAnalysis[[#This Row],[Site Management ]]/tblPiNAnalysis[[#This Row],[Total Population]])</f>
        <v/>
      </c>
      <c r="U180" s="314" t="str">
        <f>IF(tblPiNAnalysis[[#This Row],[Education]]="", "", tblPiNAnalysis[[#This Row],[Education]]/tblPiNAnalysis[[#This Row],[Total Population]])</f>
        <v/>
      </c>
      <c r="V180" s="314" t="str">
        <f>IF(tblPiNAnalysis[[#This Row],[Food Security and Livlihoods]]="", "", tblPiNAnalysis[[#This Row],[Food Security and Livlihoods]]/tblPiNAnalysis[[#This Row],[Total Population]])</f>
        <v/>
      </c>
      <c r="W180" s="315" t="str">
        <f>IF(tblPiNAnalysis[[#This Row],[Health ]]="", "", tblPiNAnalysis[[#This Row],[Health ]]/tblPiNAnalysis[[#This Row],[Total Population]])</f>
        <v/>
      </c>
      <c r="X180" s="314" t="str">
        <f>IF(tblPiNAnalysis[[#This Row],[Nutrition]]="", "", tblPiNAnalysis[[#This Row],[Nutrition]]/tblPiNAnalysis[[#This Row],[Total Population]])</f>
        <v/>
      </c>
      <c r="Y180" s="314" t="str">
        <f>IF(tblPiNAnalysis[[#This Row],[Protection]]="", "", tblPiNAnalysis[[#This Row],[Protection]]/tblPiNAnalysis[[#This Row],[Total Population]])</f>
        <v/>
      </c>
      <c r="Z180" s="316">
        <f>IF(tblPiNAnalysis[[#This Row],[Shelter NFI ]]="", "", tblPiNAnalysis[[#This Row],[Shelter NFI ]]/tblPiNAnalysis[[#This Row],[Total Population]])</f>
        <v>7.1723132710014579E-3</v>
      </c>
      <c r="AA180" s="317" t="str">
        <f>IF(tblPiNAnalysis[[#This Row],[WASH]]="", "", tblPiNAnalysis[[#This Row],[WASH]]/tblPiNAnalysis[[#This Row],[Total Population]])</f>
        <v/>
      </c>
      <c r="AB180" s="318" t="str">
        <f>IFERROR(IF(tblPiNAnalysis[[#This Row],[CP]]="", "", MROUND(tblPiNAnalysis[[#This Row],[CP]]/tblPiNAnalysis[[#This Row],[Total Population]], 0.05)), "")</f>
        <v/>
      </c>
      <c r="AC180" s="314" t="str">
        <f>IFERROR(IF(tblPiNAnalysis[[#This Row],[GBV]]="", "", MROUND(tblPiNAnalysis[[#This Row],[GBV]]/tblPiNAnalysis[[#This Row],[Total Population]], 0.05)), "")</f>
        <v/>
      </c>
      <c r="AD180" s="314" t="str">
        <f>IFERROR(IF(tblPiNAnalysis[[#This Row],[Mine Action]]="", "", MROUND(tblPiNAnalysis[[#This Row],[Mine Action]]/tblPiNAnalysis[[#This Row],[Total Population]], 0.05)), "")</f>
        <v/>
      </c>
      <c r="AE180" s="314" t="str">
        <f>IFERROR(IF(tblPiNAnalysis[[#This Row],[General Protection]]="", "", MROUND(tblPiNAnalysis[[#This Row],[General Protection]]/tblPiNAnalysis[[#This Row],[Total Population]], 0.05)), "")</f>
        <v/>
      </c>
      <c r="AF180" s="319">
        <f>IFERROR(LARGE(tblPiNAnalysis[[#This Row],[Site Management ]:[General Protection]], 1), "")</f>
        <v>1614</v>
      </c>
      <c r="AG180" s="320">
        <f>IF(tblPiNAnalysis[[#This Row],[Highest PiN]]="", "",tblPiNAnalysis[[#This Row],[Highest PiN]]/ tblPiNAnalysis[[#This Row],[Total Population]])</f>
        <v>7.1723132710014579E-3</v>
      </c>
      <c r="AH180" s="320" t="str">
        <f>IFERROR(IF(tblPiNAnalysis[[#This Row],[Highest PiN]]="", "", IF(tblPiNAnalysis[[#This Row],[Highest sector(s'') PiN %]]&gt;=flag_pin_perc, "Flagged", "")), "")</f>
        <v/>
      </c>
      <c r="AI180" s="321"/>
      <c r="AJ180" s="322"/>
      <c r="AK180" s="323">
        <f>COUNTIFS(tblPiNAnalysis[[#This Row],[Highest PiN greater than 90% of total affected population]:[Manual Flag]],"Flagged")</f>
        <v>0</v>
      </c>
      <c r="AL180" s="324" t="str">
        <f>IF(tblPiNAnalysis[[#This Row],['# Flags]]&gt;0, "Flagged", "")</f>
        <v/>
      </c>
    </row>
    <row r="181" spans="1:38" ht="23.1" hidden="1" customHeight="1" x14ac:dyDescent="0.2">
      <c r="A181" s="309" t="str">
        <f>_xlfn.CONCAT(IF(tblPiNAnalysis[[#This Row],[Population Group]]="", "",tblPiNAnalysis[[#This Row],[Population Group]] ), _xlfn.IFS(tblPiNAnalysis[[#This Row],[Admin 2 P-Code]]&lt;&gt;"", tblPiNAnalysis[[#This Row],[Admin 2 P-Code]], tblPiNAnalysis[[#This Row],[Admin 1 P-Code]]&lt;&gt;"", tblPiNAnalysis[[#This Row],[Admin 1 P-Code]]))</f>
        <v>Host CommunitySD05160</v>
      </c>
      <c r="B181" s="245" t="s">
        <v>155</v>
      </c>
      <c r="C181" s="246" t="s">
        <v>122</v>
      </c>
      <c r="D181" s="247" t="s">
        <v>187</v>
      </c>
      <c r="E181" s="246" t="s">
        <v>186</v>
      </c>
      <c r="F181" s="248">
        <v>85220</v>
      </c>
      <c r="G181" s="248" t="s">
        <v>87</v>
      </c>
      <c r="H181" s="310"/>
      <c r="I181" s="311"/>
      <c r="J181" s="312"/>
      <c r="K181" s="311"/>
      <c r="L181" s="311"/>
      <c r="M181" s="312"/>
      <c r="N181" s="312">
        <f>_xlfn.XLOOKUP(CONCATENATE(tblPiNAnalysis[[#This Row],[Admin 2 P-Code]],tblPiNAnalysis[[#This Row],[Population Group]]),'Overall severity &amp; PIN Analysis'!A:A,'Overall severity &amp; PIN Analysis'!P:P,0,0)</f>
        <v>63798</v>
      </c>
      <c r="O181" s="311"/>
      <c r="P181" s="312"/>
      <c r="Q181" s="312"/>
      <c r="R181" s="312"/>
      <c r="S181" s="312"/>
      <c r="T181" s="313" t="str">
        <f>IF(tblPiNAnalysis[[#This Row],[Site Management ]]="", "", tblPiNAnalysis[[#This Row],[Site Management ]]/tblPiNAnalysis[[#This Row],[Total Population]])</f>
        <v/>
      </c>
      <c r="U181" s="314" t="str">
        <f>IF(tblPiNAnalysis[[#This Row],[Education]]="", "", tblPiNAnalysis[[#This Row],[Education]]/tblPiNAnalysis[[#This Row],[Total Population]])</f>
        <v/>
      </c>
      <c r="V181" s="314" t="str">
        <f>IF(tblPiNAnalysis[[#This Row],[Food Security and Livlihoods]]="", "", tblPiNAnalysis[[#This Row],[Food Security and Livlihoods]]/tblPiNAnalysis[[#This Row],[Total Population]])</f>
        <v/>
      </c>
      <c r="W181" s="315" t="str">
        <f>IF(tblPiNAnalysis[[#This Row],[Health ]]="", "", tblPiNAnalysis[[#This Row],[Health ]]/tblPiNAnalysis[[#This Row],[Total Population]])</f>
        <v/>
      </c>
      <c r="X181" s="314" t="str">
        <f>IF(tblPiNAnalysis[[#This Row],[Nutrition]]="", "", tblPiNAnalysis[[#This Row],[Nutrition]]/tblPiNAnalysis[[#This Row],[Total Population]])</f>
        <v/>
      </c>
      <c r="Y181" s="314" t="str">
        <f>IF(tblPiNAnalysis[[#This Row],[Protection]]="", "", tblPiNAnalysis[[#This Row],[Protection]]/tblPiNAnalysis[[#This Row],[Total Population]])</f>
        <v/>
      </c>
      <c r="Z181" s="316">
        <f>IF(tblPiNAnalysis[[#This Row],[Shelter NFI ]]="", "", tblPiNAnalysis[[#This Row],[Shelter NFI ]]/tblPiNAnalysis[[#This Row],[Total Population]])</f>
        <v>0.74862708284440271</v>
      </c>
      <c r="AA181" s="317" t="str">
        <f>IF(tblPiNAnalysis[[#This Row],[WASH]]="", "", tblPiNAnalysis[[#This Row],[WASH]]/tblPiNAnalysis[[#This Row],[Total Population]])</f>
        <v/>
      </c>
      <c r="AB181" s="318" t="str">
        <f>IFERROR(IF(tblPiNAnalysis[[#This Row],[CP]]="", "", MROUND(tblPiNAnalysis[[#This Row],[CP]]/tblPiNAnalysis[[#This Row],[Total Population]], 0.05)), "")</f>
        <v/>
      </c>
      <c r="AC181" s="314" t="str">
        <f>IFERROR(IF(tblPiNAnalysis[[#This Row],[GBV]]="", "", MROUND(tblPiNAnalysis[[#This Row],[GBV]]/tblPiNAnalysis[[#This Row],[Total Population]], 0.05)), "")</f>
        <v/>
      </c>
      <c r="AD181" s="314" t="str">
        <f>IFERROR(IF(tblPiNAnalysis[[#This Row],[Mine Action]]="", "", MROUND(tblPiNAnalysis[[#This Row],[Mine Action]]/tblPiNAnalysis[[#This Row],[Total Population]], 0.05)), "")</f>
        <v/>
      </c>
      <c r="AE181" s="314" t="str">
        <f>IFERROR(IF(tblPiNAnalysis[[#This Row],[General Protection]]="", "", MROUND(tblPiNAnalysis[[#This Row],[General Protection]]/tblPiNAnalysis[[#This Row],[Total Population]], 0.05)), "")</f>
        <v/>
      </c>
      <c r="AF181" s="319">
        <f>IFERROR(LARGE(tblPiNAnalysis[[#This Row],[Site Management ]:[General Protection]], 1), "")</f>
        <v>63798</v>
      </c>
      <c r="AG181" s="320">
        <f>IF(tblPiNAnalysis[[#This Row],[Highest PiN]]="", "",tblPiNAnalysis[[#This Row],[Highest PiN]]/ tblPiNAnalysis[[#This Row],[Total Population]])</f>
        <v>0.74862708284440271</v>
      </c>
      <c r="AH181" s="320" t="str">
        <f>IFERROR(IF(tblPiNAnalysis[[#This Row],[Highest PiN]]="", "", IF(tblPiNAnalysis[[#This Row],[Highest sector(s'') PiN %]]&gt;=flag_pin_perc, "Flagged", "")), "")</f>
        <v/>
      </c>
      <c r="AI181" s="321"/>
      <c r="AJ181" s="322"/>
      <c r="AK181" s="323">
        <f>COUNTIFS(tblPiNAnalysis[[#This Row],[Highest PiN greater than 90% of total affected population]:[Manual Flag]],"Flagged")</f>
        <v>0</v>
      </c>
      <c r="AL181" s="324" t="str">
        <f>IF(tblPiNAnalysis[[#This Row],['# Flags]]&gt;0, "Flagged", "")</f>
        <v/>
      </c>
    </row>
    <row r="182" spans="1:38" ht="23.1" hidden="1" customHeight="1" x14ac:dyDescent="0.2">
      <c r="A182" s="309" t="str">
        <f>_xlfn.CONCAT(IF(tblPiNAnalysis[[#This Row],[Population Group]]="", "",tblPiNAnalysis[[#This Row],[Population Group]] ), _xlfn.IFS(tblPiNAnalysis[[#This Row],[Admin 2 P-Code]]&lt;&gt;"", tblPiNAnalysis[[#This Row],[Admin 2 P-Code]], tblPiNAnalysis[[#This Row],[Admin 1 P-Code]]&lt;&gt;"", tblPiNAnalysis[[#This Row],[Admin 1 P-Code]]))</f>
        <v>IDPsSD05160</v>
      </c>
      <c r="B182" s="245" t="s">
        <v>155</v>
      </c>
      <c r="C182" s="246" t="s">
        <v>122</v>
      </c>
      <c r="D182" s="247" t="s">
        <v>187</v>
      </c>
      <c r="E182" s="246" t="s">
        <v>186</v>
      </c>
      <c r="F182" s="248">
        <v>67220</v>
      </c>
      <c r="G182" s="248" t="s">
        <v>88</v>
      </c>
      <c r="H182" s="310"/>
      <c r="I182" s="311"/>
      <c r="J182" s="311"/>
      <c r="K182" s="311"/>
      <c r="L182" s="311"/>
      <c r="M182" s="311"/>
      <c r="N182" s="311">
        <f>_xlfn.XLOOKUP(CONCATENATE(tblPiNAnalysis[[#This Row],[Admin 2 P-Code]],tblPiNAnalysis[[#This Row],[Population Group]]),'Overall severity &amp; PIN Analysis'!A:A,'Overall severity &amp; PIN Analysis'!P:P,0,0)</f>
        <v>50323</v>
      </c>
      <c r="O182" s="311"/>
      <c r="P182" s="311"/>
      <c r="Q182" s="311"/>
      <c r="R182" s="311"/>
      <c r="S182" s="311"/>
      <c r="T182" s="326" t="str">
        <f>IF(tblPiNAnalysis[[#This Row],[Site Management ]]="", "", tblPiNAnalysis[[#This Row],[Site Management ]]/tblPiNAnalysis[[#This Row],[Total Population]])</f>
        <v/>
      </c>
      <c r="U182" s="315" t="str">
        <f>IF(tblPiNAnalysis[[#This Row],[Education]]="", "", tblPiNAnalysis[[#This Row],[Education]]/tblPiNAnalysis[[#This Row],[Total Population]])</f>
        <v/>
      </c>
      <c r="V182" s="315" t="str">
        <f>IF(tblPiNAnalysis[[#This Row],[Food Security and Livlihoods]]="", "", tblPiNAnalysis[[#This Row],[Food Security and Livlihoods]]/tblPiNAnalysis[[#This Row],[Total Population]])</f>
        <v/>
      </c>
      <c r="W182" s="315" t="str">
        <f>IF(tblPiNAnalysis[[#This Row],[Health ]]="", "", tblPiNAnalysis[[#This Row],[Health ]]/tblPiNAnalysis[[#This Row],[Total Population]])</f>
        <v/>
      </c>
      <c r="X182" s="315" t="str">
        <f>IF(tblPiNAnalysis[[#This Row],[Nutrition]]="", "", tblPiNAnalysis[[#This Row],[Nutrition]]/tblPiNAnalysis[[#This Row],[Total Population]])</f>
        <v/>
      </c>
      <c r="Y182" s="315" t="str">
        <f>IF(tblPiNAnalysis[[#This Row],[Protection]]="", "", tblPiNAnalysis[[#This Row],[Protection]]/tblPiNAnalysis[[#This Row],[Total Population]])</f>
        <v/>
      </c>
      <c r="Z182" s="327">
        <f>IF(tblPiNAnalysis[[#This Row],[Shelter NFI ]]="", "", tblPiNAnalysis[[#This Row],[Shelter NFI ]]/tblPiNAnalysis[[#This Row],[Total Population]])</f>
        <v>0.74863135971437067</v>
      </c>
      <c r="AA182" s="328" t="str">
        <f>IF(tblPiNAnalysis[[#This Row],[WASH]]="", "", tblPiNAnalysis[[#This Row],[WASH]]/tblPiNAnalysis[[#This Row],[Total Population]])</f>
        <v/>
      </c>
      <c r="AB182" s="329" t="str">
        <f>IFERROR(IF(tblPiNAnalysis[[#This Row],[CP]]="", "", MROUND(tblPiNAnalysis[[#This Row],[CP]]/tblPiNAnalysis[[#This Row],[Total Population]], 0.05)), "")</f>
        <v/>
      </c>
      <c r="AC182" s="315" t="str">
        <f>IFERROR(IF(tblPiNAnalysis[[#This Row],[GBV]]="", "", MROUND(tblPiNAnalysis[[#This Row],[GBV]]/tblPiNAnalysis[[#This Row],[Total Population]], 0.05)), "")</f>
        <v/>
      </c>
      <c r="AD182" s="315" t="str">
        <f>IFERROR(IF(tblPiNAnalysis[[#This Row],[Mine Action]]="", "", MROUND(tblPiNAnalysis[[#This Row],[Mine Action]]/tblPiNAnalysis[[#This Row],[Total Population]], 0.05)), "")</f>
        <v/>
      </c>
      <c r="AE182" s="315" t="str">
        <f>IFERROR(IF(tblPiNAnalysis[[#This Row],[General Protection]]="", "", MROUND(tblPiNAnalysis[[#This Row],[General Protection]]/tblPiNAnalysis[[#This Row],[Total Population]], 0.05)), "")</f>
        <v/>
      </c>
      <c r="AF182" s="319">
        <f>IFERROR(LARGE(tblPiNAnalysis[[#This Row],[Site Management ]:[General Protection]], 1), "")</f>
        <v>50323</v>
      </c>
      <c r="AG182" s="330">
        <f>IF(tblPiNAnalysis[[#This Row],[Highest PiN]]="", "",tblPiNAnalysis[[#This Row],[Highest PiN]]/ tblPiNAnalysis[[#This Row],[Total Population]])</f>
        <v>0.74863135971437067</v>
      </c>
      <c r="AH182" s="330" t="str">
        <f>IFERROR(IF(tblPiNAnalysis[[#This Row],[Highest PiN]]="", "", IF(tblPiNAnalysis[[#This Row],[Highest sector(s'') PiN %]]&gt;=flag_pin_perc, "Flagged", "")), "")</f>
        <v/>
      </c>
      <c r="AI182" s="321"/>
      <c r="AJ182" s="322"/>
      <c r="AK182" s="323">
        <f>COUNTIFS(tblPiNAnalysis[[#This Row],[Highest PiN greater than 90% of total affected population]:[Manual Flag]],"Flagged")</f>
        <v>0</v>
      </c>
      <c r="AL182" s="331" t="str">
        <f>IF(tblPiNAnalysis[[#This Row],['# Flags]]&gt;0, "Flagged", "")</f>
        <v/>
      </c>
    </row>
    <row r="183" spans="1:38" ht="23.1" customHeight="1" x14ac:dyDescent="0.2">
      <c r="A183" s="309" t="str">
        <f>_xlfn.CONCAT(IF(tblPiNAnalysis[[#This Row],[Population Group]]="", "",tblPiNAnalysis[[#This Row],[Population Group]] ), _xlfn.IFS(tblPiNAnalysis[[#This Row],[Admin 2 P-Code]]&lt;&gt;"", tblPiNAnalysis[[#This Row],[Admin 2 P-Code]], tblPiNAnalysis[[#This Row],[Admin 1 P-Code]]&lt;&gt;"", tblPiNAnalysis[[#This Row],[Admin 1 P-Code]]))</f>
        <v>Non-hosting PopulationSD05160</v>
      </c>
      <c r="B183" s="245" t="s">
        <v>155</v>
      </c>
      <c r="C183" s="246" t="s">
        <v>122</v>
      </c>
      <c r="D183" s="247" t="s">
        <v>187</v>
      </c>
      <c r="E183" s="246" t="s">
        <v>186</v>
      </c>
      <c r="F183" s="248">
        <v>217630</v>
      </c>
      <c r="G183" s="248" t="s">
        <v>568</v>
      </c>
      <c r="H183" s="310"/>
      <c r="I183" s="311"/>
      <c r="J183" s="312"/>
      <c r="K183" s="311"/>
      <c r="L183" s="311"/>
      <c r="M183" s="312"/>
      <c r="N183" s="312">
        <f>_xlfn.XLOOKUP(CONCATENATE(tblPiNAnalysis[[#This Row],[Admin 2 P-Code]],tblPiNAnalysis[[#This Row],[Population Group]]),'Overall severity &amp; PIN Analysis'!A:A,'Overall severity &amp; PIN Analysis'!P:P,0,0)</f>
        <v>2431</v>
      </c>
      <c r="O183" s="311"/>
      <c r="P183" s="312"/>
      <c r="Q183" s="312"/>
      <c r="R183" s="312"/>
      <c r="S183" s="312"/>
      <c r="T183" s="313" t="str">
        <f>IF(tblPiNAnalysis[[#This Row],[Site Management ]]="", "", tblPiNAnalysis[[#This Row],[Site Management ]]/tblPiNAnalysis[[#This Row],[Total Population]])</f>
        <v/>
      </c>
      <c r="U183" s="314" t="str">
        <f>IF(tblPiNAnalysis[[#This Row],[Education]]="", "", tblPiNAnalysis[[#This Row],[Education]]/tblPiNAnalysis[[#This Row],[Total Population]])</f>
        <v/>
      </c>
      <c r="V183" s="314" t="str">
        <f>IF(tblPiNAnalysis[[#This Row],[Food Security and Livlihoods]]="", "", tblPiNAnalysis[[#This Row],[Food Security and Livlihoods]]/tblPiNAnalysis[[#This Row],[Total Population]])</f>
        <v/>
      </c>
      <c r="W183" s="315" t="str">
        <f>IF(tblPiNAnalysis[[#This Row],[Health ]]="", "", tblPiNAnalysis[[#This Row],[Health ]]/tblPiNAnalysis[[#This Row],[Total Population]])</f>
        <v/>
      </c>
      <c r="X183" s="314" t="str">
        <f>IF(tblPiNAnalysis[[#This Row],[Nutrition]]="", "", tblPiNAnalysis[[#This Row],[Nutrition]]/tblPiNAnalysis[[#This Row],[Total Population]])</f>
        <v/>
      </c>
      <c r="Y183" s="314" t="str">
        <f>IF(tblPiNAnalysis[[#This Row],[Protection]]="", "", tblPiNAnalysis[[#This Row],[Protection]]/tblPiNAnalysis[[#This Row],[Total Population]])</f>
        <v/>
      </c>
      <c r="Z183" s="316">
        <f>IF(tblPiNAnalysis[[#This Row],[Shelter NFI ]]="", "", tblPiNAnalysis[[#This Row],[Shelter NFI ]]/tblPiNAnalysis[[#This Row],[Total Population]])</f>
        <v>1.1170334972200524E-2</v>
      </c>
      <c r="AA183" s="317" t="str">
        <f>IF(tblPiNAnalysis[[#This Row],[WASH]]="", "", tblPiNAnalysis[[#This Row],[WASH]]/tblPiNAnalysis[[#This Row],[Total Population]])</f>
        <v/>
      </c>
      <c r="AB183" s="318" t="str">
        <f>IFERROR(IF(tblPiNAnalysis[[#This Row],[CP]]="", "", MROUND(tblPiNAnalysis[[#This Row],[CP]]/tblPiNAnalysis[[#This Row],[Total Population]], 0.05)), "")</f>
        <v/>
      </c>
      <c r="AC183" s="314" t="str">
        <f>IFERROR(IF(tblPiNAnalysis[[#This Row],[GBV]]="", "", MROUND(tblPiNAnalysis[[#This Row],[GBV]]/tblPiNAnalysis[[#This Row],[Total Population]], 0.05)), "")</f>
        <v/>
      </c>
      <c r="AD183" s="314" t="str">
        <f>IFERROR(IF(tblPiNAnalysis[[#This Row],[Mine Action]]="", "", MROUND(tblPiNAnalysis[[#This Row],[Mine Action]]/tblPiNAnalysis[[#This Row],[Total Population]], 0.05)), "")</f>
        <v/>
      </c>
      <c r="AE183" s="314" t="str">
        <f>IFERROR(IF(tblPiNAnalysis[[#This Row],[General Protection]]="", "", MROUND(tblPiNAnalysis[[#This Row],[General Protection]]/tblPiNAnalysis[[#This Row],[Total Population]], 0.05)), "")</f>
        <v/>
      </c>
      <c r="AF183" s="319">
        <f>IFERROR(LARGE(tblPiNAnalysis[[#This Row],[Site Management ]:[General Protection]], 1), "")</f>
        <v>2431</v>
      </c>
      <c r="AG183" s="320">
        <f>IF(tblPiNAnalysis[[#This Row],[Highest PiN]]="", "",tblPiNAnalysis[[#This Row],[Highest PiN]]/ tblPiNAnalysis[[#This Row],[Total Population]])</f>
        <v>1.1170334972200524E-2</v>
      </c>
      <c r="AH183" s="320" t="str">
        <f>IFERROR(IF(tblPiNAnalysis[[#This Row],[Highest PiN]]="", "", IF(tblPiNAnalysis[[#This Row],[Highest sector(s'') PiN %]]&gt;=flag_pin_perc, "Flagged", "")), "")</f>
        <v/>
      </c>
      <c r="AI183" s="321"/>
      <c r="AJ183" s="322"/>
      <c r="AK183" s="323">
        <f>COUNTIFS(tblPiNAnalysis[[#This Row],[Highest PiN greater than 90% of total affected population]:[Manual Flag]],"Flagged")</f>
        <v>0</v>
      </c>
      <c r="AL183" s="324" t="str">
        <f>IF(tblPiNAnalysis[[#This Row],['# Flags]]&gt;0, "Flagged", "")</f>
        <v/>
      </c>
    </row>
    <row r="184" spans="1:38" ht="23.1" hidden="1" customHeight="1" x14ac:dyDescent="0.2">
      <c r="A184" s="309" t="str">
        <f>_xlfn.CONCAT(IF(tblPiNAnalysis[[#This Row],[Population Group]]="", "",tblPiNAnalysis[[#This Row],[Population Group]] ), _xlfn.IFS(tblPiNAnalysis[[#This Row],[Admin 2 P-Code]]&lt;&gt;"", tblPiNAnalysis[[#This Row],[Admin 2 P-Code]], tblPiNAnalysis[[#This Row],[Admin 1 P-Code]]&lt;&gt;"", tblPiNAnalysis[[#This Row],[Admin 1 P-Code]]))</f>
        <v>Host CommunitySD05163</v>
      </c>
      <c r="B184" s="245" t="s">
        <v>155</v>
      </c>
      <c r="C184" s="246" t="s">
        <v>122</v>
      </c>
      <c r="D184" s="247" t="s">
        <v>190</v>
      </c>
      <c r="E184" s="246" t="s">
        <v>189</v>
      </c>
      <c r="F184" s="248">
        <v>30544</v>
      </c>
      <c r="G184" s="248" t="s">
        <v>87</v>
      </c>
      <c r="H184" s="310"/>
      <c r="I184" s="311"/>
      <c r="J184" s="312"/>
      <c r="K184" s="311"/>
      <c r="L184" s="311"/>
      <c r="M184" s="312"/>
      <c r="N184" s="312">
        <f>_xlfn.XLOOKUP(CONCATENATE(tblPiNAnalysis[[#This Row],[Admin 2 P-Code]],tblPiNAnalysis[[#This Row],[Population Group]]),'Overall severity &amp; PIN Analysis'!A:A,'Overall severity &amp; PIN Analysis'!P:P,0,0)</f>
        <v>24000</v>
      </c>
      <c r="O184" s="311"/>
      <c r="P184" s="312"/>
      <c r="Q184" s="312"/>
      <c r="R184" s="312"/>
      <c r="S184" s="312"/>
      <c r="T184" s="313" t="str">
        <f>IF(tblPiNAnalysis[[#This Row],[Site Management ]]="", "", tblPiNAnalysis[[#This Row],[Site Management ]]/tblPiNAnalysis[[#This Row],[Total Population]])</f>
        <v/>
      </c>
      <c r="U184" s="314" t="str">
        <f>IF(tblPiNAnalysis[[#This Row],[Education]]="", "", tblPiNAnalysis[[#This Row],[Education]]/tblPiNAnalysis[[#This Row],[Total Population]])</f>
        <v/>
      </c>
      <c r="V184" s="314" t="str">
        <f>IF(tblPiNAnalysis[[#This Row],[Food Security and Livlihoods]]="", "", tblPiNAnalysis[[#This Row],[Food Security and Livlihoods]]/tblPiNAnalysis[[#This Row],[Total Population]])</f>
        <v/>
      </c>
      <c r="W184" s="315" t="str">
        <f>IF(tblPiNAnalysis[[#This Row],[Health ]]="", "", tblPiNAnalysis[[#This Row],[Health ]]/tblPiNAnalysis[[#This Row],[Total Population]])</f>
        <v/>
      </c>
      <c r="X184" s="314" t="str">
        <f>IF(tblPiNAnalysis[[#This Row],[Nutrition]]="", "", tblPiNAnalysis[[#This Row],[Nutrition]]/tblPiNAnalysis[[#This Row],[Total Population]])</f>
        <v/>
      </c>
      <c r="Y184" s="314" t="str">
        <f>IF(tblPiNAnalysis[[#This Row],[Protection]]="", "", tblPiNAnalysis[[#This Row],[Protection]]/tblPiNAnalysis[[#This Row],[Total Population]])</f>
        <v/>
      </c>
      <c r="Z184" s="316">
        <f>IF(tblPiNAnalysis[[#This Row],[Shelter NFI ]]="", "", tblPiNAnalysis[[#This Row],[Shelter NFI ]]/tblPiNAnalysis[[#This Row],[Total Population]])</f>
        <v>0.78575170246202197</v>
      </c>
      <c r="AA184" s="317" t="str">
        <f>IF(tblPiNAnalysis[[#This Row],[WASH]]="", "", tblPiNAnalysis[[#This Row],[WASH]]/tblPiNAnalysis[[#This Row],[Total Population]])</f>
        <v/>
      </c>
      <c r="AB184" s="318" t="str">
        <f>IFERROR(IF(tblPiNAnalysis[[#This Row],[CP]]="", "", MROUND(tblPiNAnalysis[[#This Row],[CP]]/tblPiNAnalysis[[#This Row],[Total Population]], 0.05)), "")</f>
        <v/>
      </c>
      <c r="AC184" s="314" t="str">
        <f>IFERROR(IF(tblPiNAnalysis[[#This Row],[GBV]]="", "", MROUND(tblPiNAnalysis[[#This Row],[GBV]]/tblPiNAnalysis[[#This Row],[Total Population]], 0.05)), "")</f>
        <v/>
      </c>
      <c r="AD184" s="314" t="str">
        <f>IFERROR(IF(tblPiNAnalysis[[#This Row],[Mine Action]]="", "", MROUND(tblPiNAnalysis[[#This Row],[Mine Action]]/tblPiNAnalysis[[#This Row],[Total Population]], 0.05)), "")</f>
        <v/>
      </c>
      <c r="AE184" s="314" t="str">
        <f>IFERROR(IF(tblPiNAnalysis[[#This Row],[General Protection]]="", "", MROUND(tblPiNAnalysis[[#This Row],[General Protection]]/tblPiNAnalysis[[#This Row],[Total Population]], 0.05)), "")</f>
        <v/>
      </c>
      <c r="AF184" s="319">
        <f>IFERROR(LARGE(tblPiNAnalysis[[#This Row],[Site Management ]:[General Protection]], 1), "")</f>
        <v>24000</v>
      </c>
      <c r="AG184" s="320">
        <f>IF(tblPiNAnalysis[[#This Row],[Highest PiN]]="", "",tblPiNAnalysis[[#This Row],[Highest PiN]]/ tblPiNAnalysis[[#This Row],[Total Population]])</f>
        <v>0.78575170246202197</v>
      </c>
      <c r="AH184" s="320" t="str">
        <f>IFERROR(IF(tblPiNAnalysis[[#This Row],[Highest PiN]]="", "", IF(tblPiNAnalysis[[#This Row],[Highest sector(s'') PiN %]]&gt;=flag_pin_perc, "Flagged", "")), "")</f>
        <v/>
      </c>
      <c r="AI184" s="321"/>
      <c r="AJ184" s="322"/>
      <c r="AK184" s="323">
        <f>COUNTIFS(tblPiNAnalysis[[#This Row],[Highest PiN greater than 90% of total affected population]:[Manual Flag]],"Flagged")</f>
        <v>0</v>
      </c>
      <c r="AL184" s="324" t="str">
        <f>IF(tblPiNAnalysis[[#This Row],['# Flags]]&gt;0, "Flagged", "")</f>
        <v/>
      </c>
    </row>
    <row r="185" spans="1:38" ht="23.1" hidden="1" customHeight="1" x14ac:dyDescent="0.2">
      <c r="A185" s="309" t="str">
        <f>_xlfn.CONCAT(IF(tblPiNAnalysis[[#This Row],[Population Group]]="", "",tblPiNAnalysis[[#This Row],[Population Group]] ), _xlfn.IFS(tblPiNAnalysis[[#This Row],[Admin 2 P-Code]]&lt;&gt;"", tblPiNAnalysis[[#This Row],[Admin 2 P-Code]], tblPiNAnalysis[[#This Row],[Admin 1 P-Code]]&lt;&gt;"", tblPiNAnalysis[[#This Row],[Admin 1 P-Code]]))</f>
        <v>IDPsSD05163</v>
      </c>
      <c r="B185" s="245" t="s">
        <v>155</v>
      </c>
      <c r="C185" s="246" t="s">
        <v>122</v>
      </c>
      <c r="D185" s="247" t="s">
        <v>190</v>
      </c>
      <c r="E185" s="246" t="s">
        <v>189</v>
      </c>
      <c r="F185" s="248">
        <v>25240</v>
      </c>
      <c r="G185" s="248" t="s">
        <v>88</v>
      </c>
      <c r="H185" s="310"/>
      <c r="I185" s="311"/>
      <c r="J185" s="311"/>
      <c r="K185" s="311"/>
      <c r="L185" s="311"/>
      <c r="M185" s="311"/>
      <c r="N185" s="311">
        <f>_xlfn.XLOOKUP(CONCATENATE(tblPiNAnalysis[[#This Row],[Admin 2 P-Code]],tblPiNAnalysis[[#This Row],[Population Group]]),'Overall severity &amp; PIN Analysis'!A:A,'Overall severity &amp; PIN Analysis'!P:P,0,0)</f>
        <v>19833</v>
      </c>
      <c r="O185" s="311"/>
      <c r="P185" s="311"/>
      <c r="Q185" s="311"/>
      <c r="R185" s="311"/>
      <c r="S185" s="311"/>
      <c r="T185" s="326" t="str">
        <f>IF(tblPiNAnalysis[[#This Row],[Site Management ]]="", "", tblPiNAnalysis[[#This Row],[Site Management ]]/tblPiNAnalysis[[#This Row],[Total Population]])</f>
        <v/>
      </c>
      <c r="U185" s="315" t="str">
        <f>IF(tblPiNAnalysis[[#This Row],[Education]]="", "", tblPiNAnalysis[[#This Row],[Education]]/tblPiNAnalysis[[#This Row],[Total Population]])</f>
        <v/>
      </c>
      <c r="V185" s="315" t="str">
        <f>IF(tblPiNAnalysis[[#This Row],[Food Security and Livlihoods]]="", "", tblPiNAnalysis[[#This Row],[Food Security and Livlihoods]]/tblPiNAnalysis[[#This Row],[Total Population]])</f>
        <v/>
      </c>
      <c r="W185" s="315" t="str">
        <f>IF(tblPiNAnalysis[[#This Row],[Health ]]="", "", tblPiNAnalysis[[#This Row],[Health ]]/tblPiNAnalysis[[#This Row],[Total Population]])</f>
        <v/>
      </c>
      <c r="X185" s="315" t="str">
        <f>IF(tblPiNAnalysis[[#This Row],[Nutrition]]="", "", tblPiNAnalysis[[#This Row],[Nutrition]]/tblPiNAnalysis[[#This Row],[Total Population]])</f>
        <v/>
      </c>
      <c r="Y185" s="315" t="str">
        <f>IF(tblPiNAnalysis[[#This Row],[Protection]]="", "", tblPiNAnalysis[[#This Row],[Protection]]/tblPiNAnalysis[[#This Row],[Total Population]])</f>
        <v/>
      </c>
      <c r="Z185" s="327">
        <f>IF(tblPiNAnalysis[[#This Row],[Shelter NFI ]]="", "", tblPiNAnalysis[[#This Row],[Shelter NFI ]]/tblPiNAnalysis[[#This Row],[Total Population]])</f>
        <v>0.7857765451664025</v>
      </c>
      <c r="AA185" s="328" t="str">
        <f>IF(tblPiNAnalysis[[#This Row],[WASH]]="", "", tblPiNAnalysis[[#This Row],[WASH]]/tblPiNAnalysis[[#This Row],[Total Population]])</f>
        <v/>
      </c>
      <c r="AB185" s="329" t="str">
        <f>IFERROR(IF(tblPiNAnalysis[[#This Row],[CP]]="", "", MROUND(tblPiNAnalysis[[#This Row],[CP]]/tblPiNAnalysis[[#This Row],[Total Population]], 0.05)), "")</f>
        <v/>
      </c>
      <c r="AC185" s="315" t="str">
        <f>IFERROR(IF(tblPiNAnalysis[[#This Row],[GBV]]="", "", MROUND(tblPiNAnalysis[[#This Row],[GBV]]/tblPiNAnalysis[[#This Row],[Total Population]], 0.05)), "")</f>
        <v/>
      </c>
      <c r="AD185" s="315" t="str">
        <f>IFERROR(IF(tblPiNAnalysis[[#This Row],[Mine Action]]="", "", MROUND(tblPiNAnalysis[[#This Row],[Mine Action]]/tblPiNAnalysis[[#This Row],[Total Population]], 0.05)), "")</f>
        <v/>
      </c>
      <c r="AE185" s="315" t="str">
        <f>IFERROR(IF(tblPiNAnalysis[[#This Row],[General Protection]]="", "", MROUND(tblPiNAnalysis[[#This Row],[General Protection]]/tblPiNAnalysis[[#This Row],[Total Population]], 0.05)), "")</f>
        <v/>
      </c>
      <c r="AF185" s="319">
        <f>IFERROR(LARGE(tblPiNAnalysis[[#This Row],[Site Management ]:[General Protection]], 1), "")</f>
        <v>19833</v>
      </c>
      <c r="AG185" s="330">
        <f>IF(tblPiNAnalysis[[#This Row],[Highest PiN]]="", "",tblPiNAnalysis[[#This Row],[Highest PiN]]/ tblPiNAnalysis[[#This Row],[Total Population]])</f>
        <v>0.7857765451664025</v>
      </c>
      <c r="AH185" s="330" t="str">
        <f>IFERROR(IF(tblPiNAnalysis[[#This Row],[Highest PiN]]="", "", IF(tblPiNAnalysis[[#This Row],[Highest sector(s'') PiN %]]&gt;=flag_pin_perc, "Flagged", "")), "")</f>
        <v/>
      </c>
      <c r="AI185" s="321"/>
      <c r="AJ185" s="322"/>
      <c r="AK185" s="323">
        <f>COUNTIFS(tblPiNAnalysis[[#This Row],[Highest PiN greater than 90% of total affected population]:[Manual Flag]],"Flagged")</f>
        <v>0</v>
      </c>
      <c r="AL185" s="331" t="str">
        <f>IF(tblPiNAnalysis[[#This Row],['# Flags]]&gt;0, "Flagged", "")</f>
        <v/>
      </c>
    </row>
    <row r="186" spans="1:38" ht="23.1" customHeight="1" x14ac:dyDescent="0.2">
      <c r="A186" s="309" t="str">
        <f>_xlfn.CONCAT(IF(tblPiNAnalysis[[#This Row],[Population Group]]="", "",tblPiNAnalysis[[#This Row],[Population Group]] ), _xlfn.IFS(tblPiNAnalysis[[#This Row],[Admin 2 P-Code]]&lt;&gt;"", tblPiNAnalysis[[#This Row],[Admin 2 P-Code]], tblPiNAnalysis[[#This Row],[Admin 1 P-Code]]&lt;&gt;"", tblPiNAnalysis[[#This Row],[Admin 1 P-Code]]))</f>
        <v>Non-hosting PopulationSD05163</v>
      </c>
      <c r="B186" s="245" t="s">
        <v>155</v>
      </c>
      <c r="C186" s="246" t="s">
        <v>122</v>
      </c>
      <c r="D186" s="247" t="s">
        <v>190</v>
      </c>
      <c r="E186" s="246" t="s">
        <v>189</v>
      </c>
      <c r="F186" s="248">
        <v>206551</v>
      </c>
      <c r="G186" s="248" t="s">
        <v>568</v>
      </c>
      <c r="H186" s="310"/>
      <c r="I186" s="311"/>
      <c r="J186" s="312"/>
      <c r="K186" s="311"/>
      <c r="L186" s="311"/>
      <c r="M186" s="312"/>
      <c r="N186" s="312">
        <f>_xlfn.XLOOKUP(CONCATENATE(tblPiNAnalysis[[#This Row],[Admin 2 P-Code]],tblPiNAnalysis[[#This Row],[Population Group]]),'Overall severity &amp; PIN Analysis'!A:A,'Overall severity &amp; PIN Analysis'!P:P,0,0)</f>
        <v>3225</v>
      </c>
      <c r="O186" s="311"/>
      <c r="P186" s="312"/>
      <c r="Q186" s="312"/>
      <c r="R186" s="312"/>
      <c r="S186" s="312"/>
      <c r="T186" s="313" t="str">
        <f>IF(tblPiNAnalysis[[#This Row],[Site Management ]]="", "", tblPiNAnalysis[[#This Row],[Site Management ]]/tblPiNAnalysis[[#This Row],[Total Population]])</f>
        <v/>
      </c>
      <c r="U186" s="314" t="str">
        <f>IF(tblPiNAnalysis[[#This Row],[Education]]="", "", tblPiNAnalysis[[#This Row],[Education]]/tblPiNAnalysis[[#This Row],[Total Population]])</f>
        <v/>
      </c>
      <c r="V186" s="314" t="str">
        <f>IF(tblPiNAnalysis[[#This Row],[Food Security and Livlihoods]]="", "", tblPiNAnalysis[[#This Row],[Food Security and Livlihoods]]/tblPiNAnalysis[[#This Row],[Total Population]])</f>
        <v/>
      </c>
      <c r="W186" s="315" t="str">
        <f>IF(tblPiNAnalysis[[#This Row],[Health ]]="", "", tblPiNAnalysis[[#This Row],[Health ]]/tblPiNAnalysis[[#This Row],[Total Population]])</f>
        <v/>
      </c>
      <c r="X186" s="314" t="str">
        <f>IF(tblPiNAnalysis[[#This Row],[Nutrition]]="", "", tblPiNAnalysis[[#This Row],[Nutrition]]/tblPiNAnalysis[[#This Row],[Total Population]])</f>
        <v/>
      </c>
      <c r="Y186" s="314" t="str">
        <f>IF(tblPiNAnalysis[[#This Row],[Protection]]="", "", tblPiNAnalysis[[#This Row],[Protection]]/tblPiNAnalysis[[#This Row],[Total Population]])</f>
        <v/>
      </c>
      <c r="Z186" s="316">
        <f>IF(tblPiNAnalysis[[#This Row],[Shelter NFI ]]="", "", tblPiNAnalysis[[#This Row],[Shelter NFI ]]/tblPiNAnalysis[[#This Row],[Total Population]])</f>
        <v>1.5613577276314324E-2</v>
      </c>
      <c r="AA186" s="317" t="str">
        <f>IF(tblPiNAnalysis[[#This Row],[WASH]]="", "", tblPiNAnalysis[[#This Row],[WASH]]/tblPiNAnalysis[[#This Row],[Total Population]])</f>
        <v/>
      </c>
      <c r="AB186" s="318" t="str">
        <f>IFERROR(IF(tblPiNAnalysis[[#This Row],[CP]]="", "", MROUND(tblPiNAnalysis[[#This Row],[CP]]/tblPiNAnalysis[[#This Row],[Total Population]], 0.05)), "")</f>
        <v/>
      </c>
      <c r="AC186" s="314" t="str">
        <f>IFERROR(IF(tblPiNAnalysis[[#This Row],[GBV]]="", "", MROUND(tblPiNAnalysis[[#This Row],[GBV]]/tblPiNAnalysis[[#This Row],[Total Population]], 0.05)), "")</f>
        <v/>
      </c>
      <c r="AD186" s="314" t="str">
        <f>IFERROR(IF(tblPiNAnalysis[[#This Row],[Mine Action]]="", "", MROUND(tblPiNAnalysis[[#This Row],[Mine Action]]/tblPiNAnalysis[[#This Row],[Total Population]], 0.05)), "")</f>
        <v/>
      </c>
      <c r="AE186" s="314" t="str">
        <f>IFERROR(IF(tblPiNAnalysis[[#This Row],[General Protection]]="", "", MROUND(tblPiNAnalysis[[#This Row],[General Protection]]/tblPiNAnalysis[[#This Row],[Total Population]], 0.05)), "")</f>
        <v/>
      </c>
      <c r="AF186" s="319">
        <f>IFERROR(LARGE(tblPiNAnalysis[[#This Row],[Site Management ]:[General Protection]], 1), "")</f>
        <v>3225</v>
      </c>
      <c r="AG186" s="320">
        <f>IF(tblPiNAnalysis[[#This Row],[Highest PiN]]="", "",tblPiNAnalysis[[#This Row],[Highest PiN]]/ tblPiNAnalysis[[#This Row],[Total Population]])</f>
        <v>1.5613577276314324E-2</v>
      </c>
      <c r="AH186" s="320" t="str">
        <f>IFERROR(IF(tblPiNAnalysis[[#This Row],[Highest PiN]]="", "", IF(tblPiNAnalysis[[#This Row],[Highest sector(s'') PiN %]]&gt;=flag_pin_perc, "Flagged", "")), "")</f>
        <v/>
      </c>
      <c r="AI186" s="321"/>
      <c r="AJ186" s="322"/>
      <c r="AK186" s="323">
        <f>COUNTIFS(tblPiNAnalysis[[#This Row],[Highest PiN greater than 90% of total affected population]:[Manual Flag]],"Flagged")</f>
        <v>0</v>
      </c>
      <c r="AL186" s="324" t="str">
        <f>IF(tblPiNAnalysis[[#This Row],['# Flags]]&gt;0, "Flagged", "")</f>
        <v/>
      </c>
    </row>
    <row r="187" spans="1:38" ht="23.1" hidden="1" customHeight="1" x14ac:dyDescent="0.2">
      <c r="A187" s="309" t="str">
        <f>_xlfn.CONCAT(IF(tblPiNAnalysis[[#This Row],[Population Group]]="", "",tblPiNAnalysis[[#This Row],[Population Group]] ), _xlfn.IFS(tblPiNAnalysis[[#This Row],[Admin 2 P-Code]]&lt;&gt;"", tblPiNAnalysis[[#This Row],[Admin 2 P-Code]], tblPiNAnalysis[[#This Row],[Admin 1 P-Code]]&lt;&gt;"", tblPiNAnalysis[[#This Row],[Admin 1 P-Code]]))</f>
        <v>Host CommunitySD05165</v>
      </c>
      <c r="B187" s="245" t="s">
        <v>155</v>
      </c>
      <c r="C187" s="246" t="s">
        <v>122</v>
      </c>
      <c r="D187" s="247" t="s">
        <v>193</v>
      </c>
      <c r="E187" s="246" t="s">
        <v>192</v>
      </c>
      <c r="F187" s="248">
        <v>71747</v>
      </c>
      <c r="G187" s="248" t="s">
        <v>87</v>
      </c>
      <c r="H187" s="310"/>
      <c r="I187" s="311"/>
      <c r="J187" s="312"/>
      <c r="K187" s="311"/>
      <c r="L187" s="311"/>
      <c r="M187" s="312"/>
      <c r="N187" s="312">
        <f>_xlfn.XLOOKUP(CONCATENATE(tblPiNAnalysis[[#This Row],[Admin 2 P-Code]],tblPiNAnalysis[[#This Row],[Population Group]]),'Overall severity &amp; PIN Analysis'!A:A,'Overall severity &amp; PIN Analysis'!P:P,0,0)</f>
        <v>37850</v>
      </c>
      <c r="O187" s="311"/>
      <c r="P187" s="312"/>
      <c r="Q187" s="312"/>
      <c r="R187" s="312"/>
      <c r="S187" s="312"/>
      <c r="T187" s="313" t="str">
        <f>IF(tblPiNAnalysis[[#This Row],[Site Management ]]="", "", tblPiNAnalysis[[#This Row],[Site Management ]]/tblPiNAnalysis[[#This Row],[Total Population]])</f>
        <v/>
      </c>
      <c r="U187" s="314" t="str">
        <f>IF(tblPiNAnalysis[[#This Row],[Education]]="", "", tblPiNAnalysis[[#This Row],[Education]]/tblPiNAnalysis[[#This Row],[Total Population]])</f>
        <v/>
      </c>
      <c r="V187" s="314" t="str">
        <f>IF(tblPiNAnalysis[[#This Row],[Food Security and Livlihoods]]="", "", tblPiNAnalysis[[#This Row],[Food Security and Livlihoods]]/tblPiNAnalysis[[#This Row],[Total Population]])</f>
        <v/>
      </c>
      <c r="W187" s="315" t="str">
        <f>IF(tblPiNAnalysis[[#This Row],[Health ]]="", "", tblPiNAnalysis[[#This Row],[Health ]]/tblPiNAnalysis[[#This Row],[Total Population]])</f>
        <v/>
      </c>
      <c r="X187" s="314" t="str">
        <f>IF(tblPiNAnalysis[[#This Row],[Nutrition]]="", "", tblPiNAnalysis[[#This Row],[Nutrition]]/tblPiNAnalysis[[#This Row],[Total Population]])</f>
        <v/>
      </c>
      <c r="Y187" s="314" t="str">
        <f>IF(tblPiNAnalysis[[#This Row],[Protection]]="", "", tblPiNAnalysis[[#This Row],[Protection]]/tblPiNAnalysis[[#This Row],[Total Population]])</f>
        <v/>
      </c>
      <c r="Z187" s="316">
        <f>IF(tblPiNAnalysis[[#This Row],[Shelter NFI ]]="", "", tblPiNAnalysis[[#This Row],[Shelter NFI ]]/tblPiNAnalysis[[#This Row],[Total Population]])</f>
        <v>0.52754819016823007</v>
      </c>
      <c r="AA187" s="317" t="str">
        <f>IF(tblPiNAnalysis[[#This Row],[WASH]]="", "", tblPiNAnalysis[[#This Row],[WASH]]/tblPiNAnalysis[[#This Row],[Total Population]])</f>
        <v/>
      </c>
      <c r="AB187" s="318" t="str">
        <f>IFERROR(IF(tblPiNAnalysis[[#This Row],[CP]]="", "", MROUND(tblPiNAnalysis[[#This Row],[CP]]/tblPiNAnalysis[[#This Row],[Total Population]], 0.05)), "")</f>
        <v/>
      </c>
      <c r="AC187" s="314" t="str">
        <f>IFERROR(IF(tblPiNAnalysis[[#This Row],[GBV]]="", "", MROUND(tblPiNAnalysis[[#This Row],[GBV]]/tblPiNAnalysis[[#This Row],[Total Population]], 0.05)), "")</f>
        <v/>
      </c>
      <c r="AD187" s="314" t="str">
        <f>IFERROR(IF(tblPiNAnalysis[[#This Row],[Mine Action]]="", "", MROUND(tblPiNAnalysis[[#This Row],[Mine Action]]/tblPiNAnalysis[[#This Row],[Total Population]], 0.05)), "")</f>
        <v/>
      </c>
      <c r="AE187" s="314" t="str">
        <f>IFERROR(IF(tblPiNAnalysis[[#This Row],[General Protection]]="", "", MROUND(tblPiNAnalysis[[#This Row],[General Protection]]/tblPiNAnalysis[[#This Row],[Total Population]], 0.05)), "")</f>
        <v/>
      </c>
      <c r="AF187" s="319">
        <f>IFERROR(LARGE(tblPiNAnalysis[[#This Row],[Site Management ]:[General Protection]], 1), "")</f>
        <v>37850</v>
      </c>
      <c r="AG187" s="320">
        <f>IF(tblPiNAnalysis[[#This Row],[Highest PiN]]="", "",tblPiNAnalysis[[#This Row],[Highest PiN]]/ tblPiNAnalysis[[#This Row],[Total Population]])</f>
        <v>0.52754819016823007</v>
      </c>
      <c r="AH187" s="320" t="str">
        <f>IFERROR(IF(tblPiNAnalysis[[#This Row],[Highest PiN]]="", "", IF(tblPiNAnalysis[[#This Row],[Highest sector(s'') PiN %]]&gt;=flag_pin_perc, "Flagged", "")), "")</f>
        <v/>
      </c>
      <c r="AI187" s="321"/>
      <c r="AJ187" s="322"/>
      <c r="AK187" s="323">
        <f>COUNTIFS(tblPiNAnalysis[[#This Row],[Highest PiN greater than 90% of total affected population]:[Manual Flag]],"Flagged")</f>
        <v>0</v>
      </c>
      <c r="AL187" s="324" t="str">
        <f>IF(tblPiNAnalysis[[#This Row],['# Flags]]&gt;0, "Flagged", "")</f>
        <v/>
      </c>
    </row>
    <row r="188" spans="1:38" ht="23.1" hidden="1" customHeight="1" x14ac:dyDescent="0.2">
      <c r="A188" s="309" t="str">
        <f>_xlfn.CONCAT(IF(tblPiNAnalysis[[#This Row],[Population Group]]="", "",tblPiNAnalysis[[#This Row],[Population Group]] ), _xlfn.IFS(tblPiNAnalysis[[#This Row],[Admin 2 P-Code]]&lt;&gt;"", tblPiNAnalysis[[#This Row],[Admin 2 P-Code]], tblPiNAnalysis[[#This Row],[Admin 1 P-Code]]&lt;&gt;"", tblPiNAnalysis[[#This Row],[Admin 1 P-Code]]))</f>
        <v>IDPsSD05165</v>
      </c>
      <c r="B188" s="245" t="s">
        <v>155</v>
      </c>
      <c r="C188" s="246" t="s">
        <v>122</v>
      </c>
      <c r="D188" s="247" t="s">
        <v>193</v>
      </c>
      <c r="E188" s="246" t="s">
        <v>192</v>
      </c>
      <c r="F188" s="248">
        <v>79110</v>
      </c>
      <c r="G188" s="248" t="s">
        <v>88</v>
      </c>
      <c r="H188" s="310"/>
      <c r="I188" s="311"/>
      <c r="J188" s="311"/>
      <c r="K188" s="311"/>
      <c r="L188" s="311"/>
      <c r="M188" s="311"/>
      <c r="N188" s="311">
        <f>_xlfn.XLOOKUP(CONCATENATE(tblPiNAnalysis[[#This Row],[Admin 2 P-Code]],tblPiNAnalysis[[#This Row],[Population Group]]),'Overall severity &amp; PIN Analysis'!A:A,'Overall severity &amp; PIN Analysis'!P:P,0,0)</f>
        <v>41734</v>
      </c>
      <c r="O188" s="311"/>
      <c r="P188" s="311"/>
      <c r="Q188" s="311"/>
      <c r="R188" s="311"/>
      <c r="S188" s="311"/>
      <c r="T188" s="326" t="str">
        <f>IF(tblPiNAnalysis[[#This Row],[Site Management ]]="", "", tblPiNAnalysis[[#This Row],[Site Management ]]/tblPiNAnalysis[[#This Row],[Total Population]])</f>
        <v/>
      </c>
      <c r="U188" s="315" t="str">
        <f>IF(tblPiNAnalysis[[#This Row],[Education]]="", "", tblPiNAnalysis[[#This Row],[Education]]/tblPiNAnalysis[[#This Row],[Total Population]])</f>
        <v/>
      </c>
      <c r="V188" s="315" t="str">
        <f>IF(tblPiNAnalysis[[#This Row],[Food Security and Livlihoods]]="", "", tblPiNAnalysis[[#This Row],[Food Security and Livlihoods]]/tblPiNAnalysis[[#This Row],[Total Population]])</f>
        <v/>
      </c>
      <c r="W188" s="315" t="str">
        <f>IF(tblPiNAnalysis[[#This Row],[Health ]]="", "", tblPiNAnalysis[[#This Row],[Health ]]/tblPiNAnalysis[[#This Row],[Total Population]])</f>
        <v/>
      </c>
      <c r="X188" s="315" t="str">
        <f>IF(tblPiNAnalysis[[#This Row],[Nutrition]]="", "", tblPiNAnalysis[[#This Row],[Nutrition]]/tblPiNAnalysis[[#This Row],[Total Population]])</f>
        <v/>
      </c>
      <c r="Y188" s="315" t="str">
        <f>IF(tblPiNAnalysis[[#This Row],[Protection]]="", "", tblPiNAnalysis[[#This Row],[Protection]]/tblPiNAnalysis[[#This Row],[Total Population]])</f>
        <v/>
      </c>
      <c r="Z188" s="327">
        <f>IF(tblPiNAnalysis[[#This Row],[Shelter NFI ]]="", "", tblPiNAnalysis[[#This Row],[Shelter NFI ]]/tblPiNAnalysis[[#This Row],[Total Population]])</f>
        <v>0.52754392617873846</v>
      </c>
      <c r="AA188" s="328" t="str">
        <f>IF(tblPiNAnalysis[[#This Row],[WASH]]="", "", tblPiNAnalysis[[#This Row],[WASH]]/tblPiNAnalysis[[#This Row],[Total Population]])</f>
        <v/>
      </c>
      <c r="AB188" s="329" t="str">
        <f>IFERROR(IF(tblPiNAnalysis[[#This Row],[CP]]="", "", MROUND(tblPiNAnalysis[[#This Row],[CP]]/tblPiNAnalysis[[#This Row],[Total Population]], 0.05)), "")</f>
        <v/>
      </c>
      <c r="AC188" s="315" t="str">
        <f>IFERROR(IF(tblPiNAnalysis[[#This Row],[GBV]]="", "", MROUND(tblPiNAnalysis[[#This Row],[GBV]]/tblPiNAnalysis[[#This Row],[Total Population]], 0.05)), "")</f>
        <v/>
      </c>
      <c r="AD188" s="315" t="str">
        <f>IFERROR(IF(tblPiNAnalysis[[#This Row],[Mine Action]]="", "", MROUND(tblPiNAnalysis[[#This Row],[Mine Action]]/tblPiNAnalysis[[#This Row],[Total Population]], 0.05)), "")</f>
        <v/>
      </c>
      <c r="AE188" s="315" t="str">
        <f>IFERROR(IF(tblPiNAnalysis[[#This Row],[General Protection]]="", "", MROUND(tblPiNAnalysis[[#This Row],[General Protection]]/tblPiNAnalysis[[#This Row],[Total Population]], 0.05)), "")</f>
        <v/>
      </c>
      <c r="AF188" s="319">
        <f>IFERROR(LARGE(tblPiNAnalysis[[#This Row],[Site Management ]:[General Protection]], 1), "")</f>
        <v>41734</v>
      </c>
      <c r="AG188" s="330">
        <f>IF(tblPiNAnalysis[[#This Row],[Highest PiN]]="", "",tblPiNAnalysis[[#This Row],[Highest PiN]]/ tblPiNAnalysis[[#This Row],[Total Population]])</f>
        <v>0.52754392617873846</v>
      </c>
      <c r="AH188" s="330" t="str">
        <f>IFERROR(IF(tblPiNAnalysis[[#This Row],[Highest PiN]]="", "", IF(tblPiNAnalysis[[#This Row],[Highest sector(s'') PiN %]]&gt;=flag_pin_perc, "Flagged", "")), "")</f>
        <v/>
      </c>
      <c r="AI188" s="321"/>
      <c r="AJ188" s="322"/>
      <c r="AK188" s="323">
        <f>COUNTIFS(tblPiNAnalysis[[#This Row],[Highest PiN greater than 90% of total affected population]:[Manual Flag]],"Flagged")</f>
        <v>0</v>
      </c>
      <c r="AL188" s="331" t="str">
        <f>IF(tblPiNAnalysis[[#This Row],['# Flags]]&gt;0, "Flagged", "")</f>
        <v/>
      </c>
    </row>
    <row r="189" spans="1:38" ht="23.1" customHeight="1" x14ac:dyDescent="0.2">
      <c r="A189" s="309" t="str">
        <f>_xlfn.CONCAT(IF(tblPiNAnalysis[[#This Row],[Population Group]]="", "",tblPiNAnalysis[[#This Row],[Population Group]] ), _xlfn.IFS(tblPiNAnalysis[[#This Row],[Admin 2 P-Code]]&lt;&gt;"", tblPiNAnalysis[[#This Row],[Admin 2 P-Code]], tblPiNAnalysis[[#This Row],[Admin 1 P-Code]]&lt;&gt;"", tblPiNAnalysis[[#This Row],[Admin 1 P-Code]]))</f>
        <v>Non-hosting PopulationSD05165</v>
      </c>
      <c r="B189" s="245" t="s">
        <v>155</v>
      </c>
      <c r="C189" s="246" t="s">
        <v>122</v>
      </c>
      <c r="D189" s="247" t="s">
        <v>193</v>
      </c>
      <c r="E189" s="246" t="s">
        <v>192</v>
      </c>
      <c r="F189" s="248">
        <v>0</v>
      </c>
      <c r="G189" s="248" t="s">
        <v>568</v>
      </c>
      <c r="H189" s="310"/>
      <c r="I189" s="311"/>
      <c r="J189" s="312"/>
      <c r="K189" s="311"/>
      <c r="L189" s="311"/>
      <c r="M189" s="312"/>
      <c r="N189" s="312">
        <f>_xlfn.XLOOKUP(CONCATENATE(tblPiNAnalysis[[#This Row],[Admin 2 P-Code]],tblPiNAnalysis[[#This Row],[Population Group]]),'Overall severity &amp; PIN Analysis'!A:A,'Overall severity &amp; PIN Analysis'!P:P,0,0)</f>
        <v>0</v>
      </c>
      <c r="O189" s="311"/>
      <c r="P189" s="312"/>
      <c r="Q189" s="312"/>
      <c r="R189" s="312"/>
      <c r="S189" s="312"/>
      <c r="T189" s="313" t="str">
        <f>IF(tblPiNAnalysis[[#This Row],[Site Management ]]="", "", tblPiNAnalysis[[#This Row],[Site Management ]]/tblPiNAnalysis[[#This Row],[Total Population]])</f>
        <v/>
      </c>
      <c r="U189" s="314" t="str">
        <f>IF(tblPiNAnalysis[[#This Row],[Education]]="", "", tblPiNAnalysis[[#This Row],[Education]]/tblPiNAnalysis[[#This Row],[Total Population]])</f>
        <v/>
      </c>
      <c r="V189" s="314" t="str">
        <f>IF(tblPiNAnalysis[[#This Row],[Food Security and Livlihoods]]="", "", tblPiNAnalysis[[#This Row],[Food Security and Livlihoods]]/tblPiNAnalysis[[#This Row],[Total Population]])</f>
        <v/>
      </c>
      <c r="W189" s="315" t="str">
        <f>IF(tblPiNAnalysis[[#This Row],[Health ]]="", "", tblPiNAnalysis[[#This Row],[Health ]]/tblPiNAnalysis[[#This Row],[Total Population]])</f>
        <v/>
      </c>
      <c r="X189" s="314" t="str">
        <f>IF(tblPiNAnalysis[[#This Row],[Nutrition]]="", "", tblPiNAnalysis[[#This Row],[Nutrition]]/tblPiNAnalysis[[#This Row],[Total Population]])</f>
        <v/>
      </c>
      <c r="Y189" s="314" t="str">
        <f>IF(tblPiNAnalysis[[#This Row],[Protection]]="", "", tblPiNAnalysis[[#This Row],[Protection]]/tblPiNAnalysis[[#This Row],[Total Population]])</f>
        <v/>
      </c>
      <c r="Z189" s="316" t="e">
        <f>IF(tblPiNAnalysis[[#This Row],[Shelter NFI ]]="", "", tblPiNAnalysis[[#This Row],[Shelter NFI ]]/tblPiNAnalysis[[#This Row],[Total Population]])</f>
        <v>#DIV/0!</v>
      </c>
      <c r="AA189" s="317" t="str">
        <f>IF(tblPiNAnalysis[[#This Row],[WASH]]="", "", tblPiNAnalysis[[#This Row],[WASH]]/tblPiNAnalysis[[#This Row],[Total Population]])</f>
        <v/>
      </c>
      <c r="AB189" s="318" t="str">
        <f>IFERROR(IF(tblPiNAnalysis[[#This Row],[CP]]="", "", MROUND(tblPiNAnalysis[[#This Row],[CP]]/tblPiNAnalysis[[#This Row],[Total Population]], 0.05)), "")</f>
        <v/>
      </c>
      <c r="AC189" s="314" t="str">
        <f>IFERROR(IF(tblPiNAnalysis[[#This Row],[GBV]]="", "", MROUND(tblPiNAnalysis[[#This Row],[GBV]]/tblPiNAnalysis[[#This Row],[Total Population]], 0.05)), "")</f>
        <v/>
      </c>
      <c r="AD189" s="314" t="str">
        <f>IFERROR(IF(tblPiNAnalysis[[#This Row],[Mine Action]]="", "", MROUND(tblPiNAnalysis[[#This Row],[Mine Action]]/tblPiNAnalysis[[#This Row],[Total Population]], 0.05)), "")</f>
        <v/>
      </c>
      <c r="AE189" s="314" t="str">
        <f>IFERROR(IF(tblPiNAnalysis[[#This Row],[General Protection]]="", "", MROUND(tblPiNAnalysis[[#This Row],[General Protection]]/tblPiNAnalysis[[#This Row],[Total Population]], 0.05)), "")</f>
        <v/>
      </c>
      <c r="AF189" s="319">
        <f>IFERROR(LARGE(tblPiNAnalysis[[#This Row],[Site Management ]:[General Protection]], 1), "")</f>
        <v>0</v>
      </c>
      <c r="AG189" s="320" t="e">
        <f>IF(tblPiNAnalysis[[#This Row],[Highest PiN]]="", "",tblPiNAnalysis[[#This Row],[Highest PiN]]/ tblPiNAnalysis[[#This Row],[Total Population]])</f>
        <v>#DIV/0!</v>
      </c>
      <c r="AH189" s="320" t="str">
        <f>IFERROR(IF(tblPiNAnalysis[[#This Row],[Highest PiN]]="", "", IF(tblPiNAnalysis[[#This Row],[Highest sector(s'') PiN %]]&gt;=flag_pin_perc, "Flagged", "")), "")</f>
        <v/>
      </c>
      <c r="AI189" s="321"/>
      <c r="AJ189" s="322"/>
      <c r="AK189" s="323">
        <f>COUNTIFS(tblPiNAnalysis[[#This Row],[Highest PiN greater than 90% of total affected population]:[Manual Flag]],"Flagged")</f>
        <v>0</v>
      </c>
      <c r="AL189" s="324" t="str">
        <f>IF(tblPiNAnalysis[[#This Row],['# Flags]]&gt;0, "Flagged", "")</f>
        <v/>
      </c>
    </row>
    <row r="190" spans="1:38" ht="23.1" hidden="1" customHeight="1" x14ac:dyDescent="0.2">
      <c r="A190" s="309" t="str">
        <f>_xlfn.CONCAT(IF(tblPiNAnalysis[[#This Row],[Population Group]]="", "",tblPiNAnalysis[[#This Row],[Population Group]] ), _xlfn.IFS(tblPiNAnalysis[[#This Row],[Admin 2 P-Code]]&lt;&gt;"", tblPiNAnalysis[[#This Row],[Admin 2 P-Code]], tblPiNAnalysis[[#This Row],[Admin 1 P-Code]]&lt;&gt;"", tblPiNAnalysis[[#This Row],[Admin 1 P-Code]]))</f>
        <v>Host CommunitySD06110</v>
      </c>
      <c r="B190" s="245" t="s">
        <v>141</v>
      </c>
      <c r="C190" s="246" t="s">
        <v>123</v>
      </c>
      <c r="D190" s="247" t="s">
        <v>143</v>
      </c>
      <c r="E190" s="246" t="s">
        <v>142</v>
      </c>
      <c r="F190" s="248">
        <v>0</v>
      </c>
      <c r="G190" s="248" t="s">
        <v>87</v>
      </c>
      <c r="H190" s="310"/>
      <c r="I190" s="311"/>
      <c r="J190" s="312"/>
      <c r="K190" s="311"/>
      <c r="L190" s="311"/>
      <c r="M190" s="312"/>
      <c r="N190" s="312">
        <f>_xlfn.XLOOKUP(CONCATENATE(tblPiNAnalysis[[#This Row],[Admin 2 P-Code]],tblPiNAnalysis[[#This Row],[Population Group]]),'Overall severity &amp; PIN Analysis'!A:A,'Overall severity &amp; PIN Analysis'!P:P,0,0)</f>
        <v>0</v>
      </c>
      <c r="O190" s="311"/>
      <c r="P190" s="312"/>
      <c r="Q190" s="312"/>
      <c r="R190" s="312"/>
      <c r="S190" s="312"/>
      <c r="T190" s="313" t="str">
        <f>IF(tblPiNAnalysis[[#This Row],[Site Management ]]="", "", tblPiNAnalysis[[#This Row],[Site Management ]]/tblPiNAnalysis[[#This Row],[Total Population]])</f>
        <v/>
      </c>
      <c r="U190" s="314" t="str">
        <f>IF(tblPiNAnalysis[[#This Row],[Education]]="", "", tblPiNAnalysis[[#This Row],[Education]]/tblPiNAnalysis[[#This Row],[Total Population]])</f>
        <v/>
      </c>
      <c r="V190" s="314" t="str">
        <f>IF(tblPiNAnalysis[[#This Row],[Food Security and Livlihoods]]="", "", tblPiNAnalysis[[#This Row],[Food Security and Livlihoods]]/tblPiNAnalysis[[#This Row],[Total Population]])</f>
        <v/>
      </c>
      <c r="W190" s="315" t="str">
        <f>IF(tblPiNAnalysis[[#This Row],[Health ]]="", "", tblPiNAnalysis[[#This Row],[Health ]]/tblPiNAnalysis[[#This Row],[Total Population]])</f>
        <v/>
      </c>
      <c r="X190" s="314" t="str">
        <f>IF(tblPiNAnalysis[[#This Row],[Nutrition]]="", "", tblPiNAnalysis[[#This Row],[Nutrition]]/tblPiNAnalysis[[#This Row],[Total Population]])</f>
        <v/>
      </c>
      <c r="Y190" s="314" t="str">
        <f>IF(tblPiNAnalysis[[#This Row],[Protection]]="", "", tblPiNAnalysis[[#This Row],[Protection]]/tblPiNAnalysis[[#This Row],[Total Population]])</f>
        <v/>
      </c>
      <c r="Z190" s="316" t="e">
        <f>IF(tblPiNAnalysis[[#This Row],[Shelter NFI ]]="", "", tblPiNAnalysis[[#This Row],[Shelter NFI ]]/tblPiNAnalysis[[#This Row],[Total Population]])</f>
        <v>#DIV/0!</v>
      </c>
      <c r="AA190" s="317" t="str">
        <f>IF(tblPiNAnalysis[[#This Row],[WASH]]="", "", tblPiNAnalysis[[#This Row],[WASH]]/tblPiNAnalysis[[#This Row],[Total Population]])</f>
        <v/>
      </c>
      <c r="AB190" s="318" t="str">
        <f>IFERROR(IF(tblPiNAnalysis[[#This Row],[CP]]="", "", MROUND(tblPiNAnalysis[[#This Row],[CP]]/tblPiNAnalysis[[#This Row],[Total Population]], 0.05)), "")</f>
        <v/>
      </c>
      <c r="AC190" s="314" t="str">
        <f>IFERROR(IF(tblPiNAnalysis[[#This Row],[GBV]]="", "", MROUND(tblPiNAnalysis[[#This Row],[GBV]]/tblPiNAnalysis[[#This Row],[Total Population]], 0.05)), "")</f>
        <v/>
      </c>
      <c r="AD190" s="314" t="str">
        <f>IFERROR(IF(tblPiNAnalysis[[#This Row],[Mine Action]]="", "", MROUND(tblPiNAnalysis[[#This Row],[Mine Action]]/tblPiNAnalysis[[#This Row],[Total Population]], 0.05)), "")</f>
        <v/>
      </c>
      <c r="AE190" s="314" t="str">
        <f>IFERROR(IF(tblPiNAnalysis[[#This Row],[General Protection]]="", "", MROUND(tblPiNAnalysis[[#This Row],[General Protection]]/tblPiNAnalysis[[#This Row],[Total Population]], 0.05)), "")</f>
        <v/>
      </c>
      <c r="AF190" s="319">
        <f>IFERROR(LARGE(tblPiNAnalysis[[#This Row],[Site Management ]:[General Protection]], 1), "")</f>
        <v>0</v>
      </c>
      <c r="AG190" s="320" t="e">
        <f>IF(tblPiNAnalysis[[#This Row],[Highest PiN]]="", "",tblPiNAnalysis[[#This Row],[Highest PiN]]/ tblPiNAnalysis[[#This Row],[Total Population]])</f>
        <v>#DIV/0!</v>
      </c>
      <c r="AH190" s="320" t="str">
        <f>IFERROR(IF(tblPiNAnalysis[[#This Row],[Highest PiN]]="", "", IF(tblPiNAnalysis[[#This Row],[Highest sector(s'') PiN %]]&gt;=flag_pin_perc, "Flagged", "")), "")</f>
        <v/>
      </c>
      <c r="AI190" s="321"/>
      <c r="AJ190" s="322"/>
      <c r="AK190" s="323">
        <f>COUNTIFS(tblPiNAnalysis[[#This Row],[Highest PiN greater than 90% of total affected population]:[Manual Flag]],"Flagged")</f>
        <v>0</v>
      </c>
      <c r="AL190" s="324" t="str">
        <f>IF(tblPiNAnalysis[[#This Row],['# Flags]]&gt;0, "Flagged", "")</f>
        <v/>
      </c>
    </row>
    <row r="191" spans="1:38" ht="23.1" hidden="1" customHeight="1" x14ac:dyDescent="0.2">
      <c r="A191" s="309" t="str">
        <f>_xlfn.CONCAT(IF(tblPiNAnalysis[[#This Row],[Population Group]]="", "",tblPiNAnalysis[[#This Row],[Population Group]] ), _xlfn.IFS(tblPiNAnalysis[[#This Row],[Admin 2 P-Code]]&lt;&gt;"", tblPiNAnalysis[[#This Row],[Admin 2 P-Code]], tblPiNAnalysis[[#This Row],[Admin 1 P-Code]]&lt;&gt;"", tblPiNAnalysis[[#This Row],[Admin 1 P-Code]]))</f>
        <v>IDPsSD06110</v>
      </c>
      <c r="B191" s="245" t="s">
        <v>141</v>
      </c>
      <c r="C191" s="246" t="s">
        <v>123</v>
      </c>
      <c r="D191" s="247" t="s">
        <v>143</v>
      </c>
      <c r="E191" s="246" t="s">
        <v>142</v>
      </c>
      <c r="F191" s="248">
        <v>67400</v>
      </c>
      <c r="G191" s="248" t="s">
        <v>88</v>
      </c>
      <c r="H191" s="310"/>
      <c r="I191" s="311"/>
      <c r="J191" s="311"/>
      <c r="K191" s="311"/>
      <c r="L191" s="311"/>
      <c r="M191" s="311"/>
      <c r="N191" s="311">
        <f>_xlfn.XLOOKUP(CONCATENATE(tblPiNAnalysis[[#This Row],[Admin 2 P-Code]],tblPiNAnalysis[[#This Row],[Population Group]]),'Overall severity &amp; PIN Analysis'!A:A,'Overall severity &amp; PIN Analysis'!P:P,0,0)</f>
        <v>57065</v>
      </c>
      <c r="O191" s="311"/>
      <c r="P191" s="311"/>
      <c r="Q191" s="311"/>
      <c r="R191" s="311"/>
      <c r="S191" s="311"/>
      <c r="T191" s="326" t="str">
        <f>IF(tblPiNAnalysis[[#This Row],[Site Management ]]="", "", tblPiNAnalysis[[#This Row],[Site Management ]]/tblPiNAnalysis[[#This Row],[Total Population]])</f>
        <v/>
      </c>
      <c r="U191" s="315" t="str">
        <f>IF(tblPiNAnalysis[[#This Row],[Education]]="", "", tblPiNAnalysis[[#This Row],[Education]]/tblPiNAnalysis[[#This Row],[Total Population]])</f>
        <v/>
      </c>
      <c r="V191" s="315" t="str">
        <f>IF(tblPiNAnalysis[[#This Row],[Food Security and Livlihoods]]="", "", tblPiNAnalysis[[#This Row],[Food Security and Livlihoods]]/tblPiNAnalysis[[#This Row],[Total Population]])</f>
        <v/>
      </c>
      <c r="W191" s="315" t="str">
        <f>IF(tblPiNAnalysis[[#This Row],[Health ]]="", "", tblPiNAnalysis[[#This Row],[Health ]]/tblPiNAnalysis[[#This Row],[Total Population]])</f>
        <v/>
      </c>
      <c r="X191" s="315" t="str">
        <f>IF(tblPiNAnalysis[[#This Row],[Nutrition]]="", "", tblPiNAnalysis[[#This Row],[Nutrition]]/tblPiNAnalysis[[#This Row],[Total Population]])</f>
        <v/>
      </c>
      <c r="Y191" s="315" t="str">
        <f>IF(tblPiNAnalysis[[#This Row],[Protection]]="", "", tblPiNAnalysis[[#This Row],[Protection]]/tblPiNAnalysis[[#This Row],[Total Population]])</f>
        <v/>
      </c>
      <c r="Z191" s="327">
        <f>IF(tblPiNAnalysis[[#This Row],[Shelter NFI ]]="", "", tblPiNAnalysis[[#This Row],[Shelter NFI ]]/tblPiNAnalysis[[#This Row],[Total Population]])</f>
        <v>0.84666172106824922</v>
      </c>
      <c r="AA191" s="328" t="str">
        <f>IF(tblPiNAnalysis[[#This Row],[WASH]]="", "", tblPiNAnalysis[[#This Row],[WASH]]/tblPiNAnalysis[[#This Row],[Total Population]])</f>
        <v/>
      </c>
      <c r="AB191" s="329" t="str">
        <f>IFERROR(IF(tblPiNAnalysis[[#This Row],[CP]]="", "", MROUND(tblPiNAnalysis[[#This Row],[CP]]/tblPiNAnalysis[[#This Row],[Total Population]], 0.05)), "")</f>
        <v/>
      </c>
      <c r="AC191" s="315" t="str">
        <f>IFERROR(IF(tblPiNAnalysis[[#This Row],[GBV]]="", "", MROUND(tblPiNAnalysis[[#This Row],[GBV]]/tblPiNAnalysis[[#This Row],[Total Population]], 0.05)), "")</f>
        <v/>
      </c>
      <c r="AD191" s="315" t="str">
        <f>IFERROR(IF(tblPiNAnalysis[[#This Row],[Mine Action]]="", "", MROUND(tblPiNAnalysis[[#This Row],[Mine Action]]/tblPiNAnalysis[[#This Row],[Total Population]], 0.05)), "")</f>
        <v/>
      </c>
      <c r="AE191" s="315" t="str">
        <f>IFERROR(IF(tblPiNAnalysis[[#This Row],[General Protection]]="", "", MROUND(tblPiNAnalysis[[#This Row],[General Protection]]/tblPiNAnalysis[[#This Row],[Total Population]], 0.05)), "")</f>
        <v/>
      </c>
      <c r="AF191" s="319">
        <f>IFERROR(LARGE(tblPiNAnalysis[[#This Row],[Site Management ]:[General Protection]], 1), "")</f>
        <v>57065</v>
      </c>
      <c r="AG191" s="330">
        <f>IF(tblPiNAnalysis[[#This Row],[Highest PiN]]="", "",tblPiNAnalysis[[#This Row],[Highest PiN]]/ tblPiNAnalysis[[#This Row],[Total Population]])</f>
        <v>0.84666172106824922</v>
      </c>
      <c r="AH191" s="330" t="str">
        <f>IFERROR(IF(tblPiNAnalysis[[#This Row],[Highest PiN]]="", "", IF(tblPiNAnalysis[[#This Row],[Highest sector(s'') PiN %]]&gt;=flag_pin_perc, "Flagged", "")), "")</f>
        <v/>
      </c>
      <c r="AI191" s="321"/>
      <c r="AJ191" s="322"/>
      <c r="AK191" s="323">
        <f>COUNTIFS(tblPiNAnalysis[[#This Row],[Highest PiN greater than 90% of total affected population]:[Manual Flag]],"Flagged")</f>
        <v>0</v>
      </c>
      <c r="AL191" s="331" t="str">
        <f>IF(tblPiNAnalysis[[#This Row],['# Flags]]&gt;0, "Flagged", "")</f>
        <v/>
      </c>
    </row>
    <row r="192" spans="1:38" ht="23.1" customHeight="1" x14ac:dyDescent="0.2">
      <c r="A192" s="309" t="str">
        <f>_xlfn.CONCAT(IF(tblPiNAnalysis[[#This Row],[Population Group]]="", "",tblPiNAnalysis[[#This Row],[Population Group]] ), _xlfn.IFS(tblPiNAnalysis[[#This Row],[Admin 2 P-Code]]&lt;&gt;"", tblPiNAnalysis[[#This Row],[Admin 2 P-Code]], tblPiNAnalysis[[#This Row],[Admin 1 P-Code]]&lt;&gt;"", tblPiNAnalysis[[#This Row],[Admin 1 P-Code]]))</f>
        <v>Non-hosting PopulationSD06110</v>
      </c>
      <c r="B192" s="245" t="s">
        <v>141</v>
      </c>
      <c r="C192" s="246" t="s">
        <v>123</v>
      </c>
      <c r="D192" s="247" t="s">
        <v>143</v>
      </c>
      <c r="E192" s="246" t="s">
        <v>142</v>
      </c>
      <c r="F192" s="248">
        <v>0</v>
      </c>
      <c r="G192" s="248" t="s">
        <v>568</v>
      </c>
      <c r="H192" s="310"/>
      <c r="I192" s="311"/>
      <c r="J192" s="312"/>
      <c r="K192" s="311"/>
      <c r="L192" s="311"/>
      <c r="M192" s="312"/>
      <c r="N192" s="312">
        <f>_xlfn.XLOOKUP(CONCATENATE(tblPiNAnalysis[[#This Row],[Admin 2 P-Code]],tblPiNAnalysis[[#This Row],[Population Group]]),'Overall severity &amp; PIN Analysis'!A:A,'Overall severity &amp; PIN Analysis'!P:P,0,0)</f>
        <v>0</v>
      </c>
      <c r="O192" s="311"/>
      <c r="P192" s="312"/>
      <c r="Q192" s="312"/>
      <c r="R192" s="312"/>
      <c r="S192" s="312"/>
      <c r="T192" s="313" t="str">
        <f>IF(tblPiNAnalysis[[#This Row],[Site Management ]]="", "", tblPiNAnalysis[[#This Row],[Site Management ]]/tblPiNAnalysis[[#This Row],[Total Population]])</f>
        <v/>
      </c>
      <c r="U192" s="314" t="str">
        <f>IF(tblPiNAnalysis[[#This Row],[Education]]="", "", tblPiNAnalysis[[#This Row],[Education]]/tblPiNAnalysis[[#This Row],[Total Population]])</f>
        <v/>
      </c>
      <c r="V192" s="314" t="str">
        <f>IF(tblPiNAnalysis[[#This Row],[Food Security and Livlihoods]]="", "", tblPiNAnalysis[[#This Row],[Food Security and Livlihoods]]/tblPiNAnalysis[[#This Row],[Total Population]])</f>
        <v/>
      </c>
      <c r="W192" s="315" t="str">
        <f>IF(tblPiNAnalysis[[#This Row],[Health ]]="", "", tblPiNAnalysis[[#This Row],[Health ]]/tblPiNAnalysis[[#This Row],[Total Population]])</f>
        <v/>
      </c>
      <c r="X192" s="314" t="str">
        <f>IF(tblPiNAnalysis[[#This Row],[Nutrition]]="", "", tblPiNAnalysis[[#This Row],[Nutrition]]/tblPiNAnalysis[[#This Row],[Total Population]])</f>
        <v/>
      </c>
      <c r="Y192" s="314" t="str">
        <f>IF(tblPiNAnalysis[[#This Row],[Protection]]="", "", tblPiNAnalysis[[#This Row],[Protection]]/tblPiNAnalysis[[#This Row],[Total Population]])</f>
        <v/>
      </c>
      <c r="Z192" s="316" t="e">
        <f>IF(tblPiNAnalysis[[#This Row],[Shelter NFI ]]="", "", tblPiNAnalysis[[#This Row],[Shelter NFI ]]/tblPiNAnalysis[[#This Row],[Total Population]])</f>
        <v>#DIV/0!</v>
      </c>
      <c r="AA192" s="317" t="str">
        <f>IF(tblPiNAnalysis[[#This Row],[WASH]]="", "", tblPiNAnalysis[[#This Row],[WASH]]/tblPiNAnalysis[[#This Row],[Total Population]])</f>
        <v/>
      </c>
      <c r="AB192" s="318" t="str">
        <f>IFERROR(IF(tblPiNAnalysis[[#This Row],[CP]]="", "", MROUND(tblPiNAnalysis[[#This Row],[CP]]/tblPiNAnalysis[[#This Row],[Total Population]], 0.05)), "")</f>
        <v/>
      </c>
      <c r="AC192" s="314" t="str">
        <f>IFERROR(IF(tblPiNAnalysis[[#This Row],[GBV]]="", "", MROUND(tblPiNAnalysis[[#This Row],[GBV]]/tblPiNAnalysis[[#This Row],[Total Population]], 0.05)), "")</f>
        <v/>
      </c>
      <c r="AD192" s="314" t="str">
        <f>IFERROR(IF(tblPiNAnalysis[[#This Row],[Mine Action]]="", "", MROUND(tblPiNAnalysis[[#This Row],[Mine Action]]/tblPiNAnalysis[[#This Row],[Total Population]], 0.05)), "")</f>
        <v/>
      </c>
      <c r="AE192" s="314" t="str">
        <f>IFERROR(IF(tblPiNAnalysis[[#This Row],[General Protection]]="", "", MROUND(tblPiNAnalysis[[#This Row],[General Protection]]/tblPiNAnalysis[[#This Row],[Total Population]], 0.05)), "")</f>
        <v/>
      </c>
      <c r="AF192" s="319">
        <f>IFERROR(LARGE(tblPiNAnalysis[[#This Row],[Site Management ]:[General Protection]], 1), "")</f>
        <v>0</v>
      </c>
      <c r="AG192" s="320" t="e">
        <f>IF(tblPiNAnalysis[[#This Row],[Highest PiN]]="", "",tblPiNAnalysis[[#This Row],[Highest PiN]]/ tblPiNAnalysis[[#This Row],[Total Population]])</f>
        <v>#DIV/0!</v>
      </c>
      <c r="AH192" s="320" t="str">
        <f>IFERROR(IF(tblPiNAnalysis[[#This Row],[Highest PiN]]="", "", IF(tblPiNAnalysis[[#This Row],[Highest sector(s'') PiN %]]&gt;=flag_pin_perc, "Flagged", "")), "")</f>
        <v/>
      </c>
      <c r="AI192" s="321"/>
      <c r="AJ192" s="322"/>
      <c r="AK192" s="323">
        <f>COUNTIFS(tblPiNAnalysis[[#This Row],[Highest PiN greater than 90% of total affected population]:[Manual Flag]],"Flagged")</f>
        <v>0</v>
      </c>
      <c r="AL192" s="324" t="str">
        <f>IF(tblPiNAnalysis[[#This Row],['# Flags]]&gt;0, "Flagged", "")</f>
        <v/>
      </c>
    </row>
    <row r="193" spans="1:38" ht="23.1" hidden="1" customHeight="1" x14ac:dyDescent="0.2">
      <c r="A193" s="309" t="str">
        <f>_xlfn.CONCAT(IF(tblPiNAnalysis[[#This Row],[Population Group]]="", "",tblPiNAnalysis[[#This Row],[Population Group]] ), _xlfn.IFS(tblPiNAnalysis[[#This Row],[Admin 2 P-Code]]&lt;&gt;"", tblPiNAnalysis[[#This Row],[Admin 2 P-Code]], tblPiNAnalysis[[#This Row],[Admin 1 P-Code]]&lt;&gt;"", tblPiNAnalysis[[#This Row],[Admin 1 P-Code]]))</f>
        <v>Host CommunitySD06112</v>
      </c>
      <c r="B193" s="245" t="s">
        <v>141</v>
      </c>
      <c r="C193" s="246" t="s">
        <v>123</v>
      </c>
      <c r="D193" s="247" t="s">
        <v>146</v>
      </c>
      <c r="E193" s="246" t="s">
        <v>145</v>
      </c>
      <c r="F193" s="248">
        <v>28525</v>
      </c>
      <c r="G193" s="248" t="s">
        <v>87</v>
      </c>
      <c r="H193" s="310"/>
      <c r="I193" s="311"/>
      <c r="J193" s="312"/>
      <c r="K193" s="311"/>
      <c r="L193" s="311"/>
      <c r="M193" s="312"/>
      <c r="N193" s="312">
        <f>_xlfn.XLOOKUP(CONCATENATE(tblPiNAnalysis[[#This Row],[Admin 2 P-Code]],tblPiNAnalysis[[#This Row],[Population Group]]),'Overall severity &amp; PIN Analysis'!A:A,'Overall severity &amp; PIN Analysis'!P:P,0,0)</f>
        <v>17107</v>
      </c>
      <c r="O193" s="311"/>
      <c r="P193" s="312"/>
      <c r="Q193" s="312"/>
      <c r="R193" s="312"/>
      <c r="S193" s="312"/>
      <c r="T193" s="313" t="str">
        <f>IF(tblPiNAnalysis[[#This Row],[Site Management ]]="", "", tblPiNAnalysis[[#This Row],[Site Management ]]/tblPiNAnalysis[[#This Row],[Total Population]])</f>
        <v/>
      </c>
      <c r="U193" s="314" t="str">
        <f>IF(tblPiNAnalysis[[#This Row],[Education]]="", "", tblPiNAnalysis[[#This Row],[Education]]/tblPiNAnalysis[[#This Row],[Total Population]])</f>
        <v/>
      </c>
      <c r="V193" s="314" t="str">
        <f>IF(tblPiNAnalysis[[#This Row],[Food Security and Livlihoods]]="", "", tblPiNAnalysis[[#This Row],[Food Security and Livlihoods]]/tblPiNAnalysis[[#This Row],[Total Population]])</f>
        <v/>
      </c>
      <c r="W193" s="315" t="str">
        <f>IF(tblPiNAnalysis[[#This Row],[Health ]]="", "", tblPiNAnalysis[[#This Row],[Health ]]/tblPiNAnalysis[[#This Row],[Total Population]])</f>
        <v/>
      </c>
      <c r="X193" s="314" t="str">
        <f>IF(tblPiNAnalysis[[#This Row],[Nutrition]]="", "", tblPiNAnalysis[[#This Row],[Nutrition]]/tblPiNAnalysis[[#This Row],[Total Population]])</f>
        <v/>
      </c>
      <c r="Y193" s="314" t="str">
        <f>IF(tblPiNAnalysis[[#This Row],[Protection]]="", "", tblPiNAnalysis[[#This Row],[Protection]]/tblPiNAnalysis[[#This Row],[Total Population]])</f>
        <v/>
      </c>
      <c r="Z193" s="316">
        <f>IF(tblPiNAnalysis[[#This Row],[Shelter NFI ]]="", "", tblPiNAnalysis[[#This Row],[Shelter NFI ]]/tblPiNAnalysis[[#This Row],[Total Population]])</f>
        <v>0.59971954425942153</v>
      </c>
      <c r="AA193" s="317" t="str">
        <f>IF(tblPiNAnalysis[[#This Row],[WASH]]="", "", tblPiNAnalysis[[#This Row],[WASH]]/tblPiNAnalysis[[#This Row],[Total Population]])</f>
        <v/>
      </c>
      <c r="AB193" s="318" t="str">
        <f>IFERROR(IF(tblPiNAnalysis[[#This Row],[CP]]="", "", MROUND(tblPiNAnalysis[[#This Row],[CP]]/tblPiNAnalysis[[#This Row],[Total Population]], 0.05)), "")</f>
        <v/>
      </c>
      <c r="AC193" s="314" t="str">
        <f>IFERROR(IF(tblPiNAnalysis[[#This Row],[GBV]]="", "", MROUND(tblPiNAnalysis[[#This Row],[GBV]]/tblPiNAnalysis[[#This Row],[Total Population]], 0.05)), "")</f>
        <v/>
      </c>
      <c r="AD193" s="314" t="str">
        <f>IFERROR(IF(tblPiNAnalysis[[#This Row],[Mine Action]]="", "", MROUND(tblPiNAnalysis[[#This Row],[Mine Action]]/tblPiNAnalysis[[#This Row],[Total Population]], 0.05)), "")</f>
        <v/>
      </c>
      <c r="AE193" s="314" t="str">
        <f>IFERROR(IF(tblPiNAnalysis[[#This Row],[General Protection]]="", "", MROUND(tblPiNAnalysis[[#This Row],[General Protection]]/tblPiNAnalysis[[#This Row],[Total Population]], 0.05)), "")</f>
        <v/>
      </c>
      <c r="AF193" s="319">
        <f>IFERROR(LARGE(tblPiNAnalysis[[#This Row],[Site Management ]:[General Protection]], 1), "")</f>
        <v>17107</v>
      </c>
      <c r="AG193" s="320">
        <f>IF(tblPiNAnalysis[[#This Row],[Highest PiN]]="", "",tblPiNAnalysis[[#This Row],[Highest PiN]]/ tblPiNAnalysis[[#This Row],[Total Population]])</f>
        <v>0.59971954425942153</v>
      </c>
      <c r="AH193" s="320" t="str">
        <f>IFERROR(IF(tblPiNAnalysis[[#This Row],[Highest PiN]]="", "", IF(tblPiNAnalysis[[#This Row],[Highest sector(s'') PiN %]]&gt;=flag_pin_perc, "Flagged", "")), "")</f>
        <v/>
      </c>
      <c r="AI193" s="321"/>
      <c r="AJ193" s="322"/>
      <c r="AK193" s="323">
        <f>COUNTIFS(tblPiNAnalysis[[#This Row],[Highest PiN greater than 90% of total affected population]:[Manual Flag]],"Flagged")</f>
        <v>0</v>
      </c>
      <c r="AL193" s="324" t="str">
        <f>IF(tblPiNAnalysis[[#This Row],['# Flags]]&gt;0, "Flagged", "")</f>
        <v/>
      </c>
    </row>
    <row r="194" spans="1:38" ht="23.1" hidden="1" customHeight="1" x14ac:dyDescent="0.2">
      <c r="A194" s="309" t="str">
        <f>_xlfn.CONCAT(IF(tblPiNAnalysis[[#This Row],[Population Group]]="", "",tblPiNAnalysis[[#This Row],[Population Group]] ), _xlfn.IFS(tblPiNAnalysis[[#This Row],[Admin 2 P-Code]]&lt;&gt;"", tblPiNAnalysis[[#This Row],[Admin 2 P-Code]], tblPiNAnalysis[[#This Row],[Admin 1 P-Code]]&lt;&gt;"", tblPiNAnalysis[[#This Row],[Admin 1 P-Code]]))</f>
        <v>IDPsSD06112</v>
      </c>
      <c r="B194" s="245" t="s">
        <v>141</v>
      </c>
      <c r="C194" s="246" t="s">
        <v>123</v>
      </c>
      <c r="D194" s="247" t="s">
        <v>146</v>
      </c>
      <c r="E194" s="246" t="s">
        <v>145</v>
      </c>
      <c r="F194" s="248">
        <v>28525</v>
      </c>
      <c r="G194" s="248" t="s">
        <v>88</v>
      </c>
      <c r="H194" s="310"/>
      <c r="I194" s="311"/>
      <c r="J194" s="311"/>
      <c r="K194" s="311"/>
      <c r="L194" s="311"/>
      <c r="M194" s="311"/>
      <c r="N194" s="311">
        <f>_xlfn.XLOOKUP(CONCATENATE(tblPiNAnalysis[[#This Row],[Admin 2 P-Code]],tblPiNAnalysis[[#This Row],[Population Group]]),'Overall severity &amp; PIN Analysis'!A:A,'Overall severity &amp; PIN Analysis'!P:P,0,0)</f>
        <v>17107</v>
      </c>
      <c r="O194" s="311"/>
      <c r="P194" s="311"/>
      <c r="Q194" s="311"/>
      <c r="R194" s="311"/>
      <c r="S194" s="311"/>
      <c r="T194" s="326" t="str">
        <f>IF(tblPiNAnalysis[[#This Row],[Site Management ]]="", "", tblPiNAnalysis[[#This Row],[Site Management ]]/tblPiNAnalysis[[#This Row],[Total Population]])</f>
        <v/>
      </c>
      <c r="U194" s="315" t="str">
        <f>IF(tblPiNAnalysis[[#This Row],[Education]]="", "", tblPiNAnalysis[[#This Row],[Education]]/tblPiNAnalysis[[#This Row],[Total Population]])</f>
        <v/>
      </c>
      <c r="V194" s="315" t="str">
        <f>IF(tblPiNAnalysis[[#This Row],[Food Security and Livlihoods]]="", "", tblPiNAnalysis[[#This Row],[Food Security and Livlihoods]]/tblPiNAnalysis[[#This Row],[Total Population]])</f>
        <v/>
      </c>
      <c r="W194" s="315" t="str">
        <f>IF(tblPiNAnalysis[[#This Row],[Health ]]="", "", tblPiNAnalysis[[#This Row],[Health ]]/tblPiNAnalysis[[#This Row],[Total Population]])</f>
        <v/>
      </c>
      <c r="X194" s="315" t="str">
        <f>IF(tblPiNAnalysis[[#This Row],[Nutrition]]="", "", tblPiNAnalysis[[#This Row],[Nutrition]]/tblPiNAnalysis[[#This Row],[Total Population]])</f>
        <v/>
      </c>
      <c r="Y194" s="315" t="str">
        <f>IF(tblPiNAnalysis[[#This Row],[Protection]]="", "", tblPiNAnalysis[[#This Row],[Protection]]/tblPiNAnalysis[[#This Row],[Total Population]])</f>
        <v/>
      </c>
      <c r="Z194" s="327">
        <f>IF(tblPiNAnalysis[[#This Row],[Shelter NFI ]]="", "", tblPiNAnalysis[[#This Row],[Shelter NFI ]]/tblPiNAnalysis[[#This Row],[Total Population]])</f>
        <v>0.59971954425942153</v>
      </c>
      <c r="AA194" s="328" t="str">
        <f>IF(tblPiNAnalysis[[#This Row],[WASH]]="", "", tblPiNAnalysis[[#This Row],[WASH]]/tblPiNAnalysis[[#This Row],[Total Population]])</f>
        <v/>
      </c>
      <c r="AB194" s="329" t="str">
        <f>IFERROR(IF(tblPiNAnalysis[[#This Row],[CP]]="", "", MROUND(tblPiNAnalysis[[#This Row],[CP]]/tblPiNAnalysis[[#This Row],[Total Population]], 0.05)), "")</f>
        <v/>
      </c>
      <c r="AC194" s="315" t="str">
        <f>IFERROR(IF(tblPiNAnalysis[[#This Row],[GBV]]="", "", MROUND(tblPiNAnalysis[[#This Row],[GBV]]/tblPiNAnalysis[[#This Row],[Total Population]], 0.05)), "")</f>
        <v/>
      </c>
      <c r="AD194" s="315" t="str">
        <f>IFERROR(IF(tblPiNAnalysis[[#This Row],[Mine Action]]="", "", MROUND(tblPiNAnalysis[[#This Row],[Mine Action]]/tblPiNAnalysis[[#This Row],[Total Population]], 0.05)), "")</f>
        <v/>
      </c>
      <c r="AE194" s="315" t="str">
        <f>IFERROR(IF(tblPiNAnalysis[[#This Row],[General Protection]]="", "", MROUND(tblPiNAnalysis[[#This Row],[General Protection]]/tblPiNAnalysis[[#This Row],[Total Population]], 0.05)), "")</f>
        <v/>
      </c>
      <c r="AF194" s="319">
        <f>IFERROR(LARGE(tblPiNAnalysis[[#This Row],[Site Management ]:[General Protection]], 1), "")</f>
        <v>17107</v>
      </c>
      <c r="AG194" s="330">
        <f>IF(tblPiNAnalysis[[#This Row],[Highest PiN]]="", "",tblPiNAnalysis[[#This Row],[Highest PiN]]/ tblPiNAnalysis[[#This Row],[Total Population]])</f>
        <v>0.59971954425942153</v>
      </c>
      <c r="AH194" s="330" t="str">
        <f>IFERROR(IF(tblPiNAnalysis[[#This Row],[Highest PiN]]="", "", IF(tblPiNAnalysis[[#This Row],[Highest sector(s'') PiN %]]&gt;=flag_pin_perc, "Flagged", "")), "")</f>
        <v/>
      </c>
      <c r="AI194" s="321"/>
      <c r="AJ194" s="322"/>
      <c r="AK194" s="323">
        <f>COUNTIFS(tblPiNAnalysis[[#This Row],[Highest PiN greater than 90% of total affected population]:[Manual Flag]],"Flagged")</f>
        <v>0</v>
      </c>
      <c r="AL194" s="331" t="str">
        <f>IF(tblPiNAnalysis[[#This Row],['# Flags]]&gt;0, "Flagged", "")</f>
        <v/>
      </c>
    </row>
    <row r="195" spans="1:38" ht="23.1" customHeight="1" x14ac:dyDescent="0.2">
      <c r="A195" s="309" t="str">
        <f>_xlfn.CONCAT(IF(tblPiNAnalysis[[#This Row],[Population Group]]="", "",tblPiNAnalysis[[#This Row],[Population Group]] ), _xlfn.IFS(tblPiNAnalysis[[#This Row],[Admin 2 P-Code]]&lt;&gt;"", tblPiNAnalysis[[#This Row],[Admin 2 P-Code]], tblPiNAnalysis[[#This Row],[Admin 1 P-Code]]&lt;&gt;"", tblPiNAnalysis[[#This Row],[Admin 1 P-Code]]))</f>
        <v>Non-hosting PopulationSD06112</v>
      </c>
      <c r="B195" s="245" t="s">
        <v>141</v>
      </c>
      <c r="C195" s="246" t="s">
        <v>123</v>
      </c>
      <c r="D195" s="247" t="s">
        <v>146</v>
      </c>
      <c r="E195" s="246" t="s">
        <v>145</v>
      </c>
      <c r="F195" s="248">
        <v>13133</v>
      </c>
      <c r="G195" s="248" t="s">
        <v>568</v>
      </c>
      <c r="H195" s="310"/>
      <c r="I195" s="311"/>
      <c r="J195" s="312"/>
      <c r="K195" s="311"/>
      <c r="L195" s="311"/>
      <c r="M195" s="312"/>
      <c r="N195" s="312">
        <f>_xlfn.XLOOKUP(CONCATENATE(tblPiNAnalysis[[#This Row],[Admin 2 P-Code]],tblPiNAnalysis[[#This Row],[Population Group]]),'Overall severity &amp; PIN Analysis'!A:A,'Overall severity &amp; PIN Analysis'!P:P,0,0)</f>
        <v>117</v>
      </c>
      <c r="O195" s="311"/>
      <c r="P195" s="312"/>
      <c r="Q195" s="312"/>
      <c r="R195" s="312"/>
      <c r="S195" s="312"/>
      <c r="T195" s="313" t="str">
        <f>IF(tblPiNAnalysis[[#This Row],[Site Management ]]="", "", tblPiNAnalysis[[#This Row],[Site Management ]]/tblPiNAnalysis[[#This Row],[Total Population]])</f>
        <v/>
      </c>
      <c r="U195" s="314" t="str">
        <f>IF(tblPiNAnalysis[[#This Row],[Education]]="", "", tblPiNAnalysis[[#This Row],[Education]]/tblPiNAnalysis[[#This Row],[Total Population]])</f>
        <v/>
      </c>
      <c r="V195" s="314" t="str">
        <f>IF(tblPiNAnalysis[[#This Row],[Food Security and Livlihoods]]="", "", tblPiNAnalysis[[#This Row],[Food Security and Livlihoods]]/tblPiNAnalysis[[#This Row],[Total Population]])</f>
        <v/>
      </c>
      <c r="W195" s="315" t="str">
        <f>IF(tblPiNAnalysis[[#This Row],[Health ]]="", "", tblPiNAnalysis[[#This Row],[Health ]]/tblPiNAnalysis[[#This Row],[Total Population]])</f>
        <v/>
      </c>
      <c r="X195" s="314" t="str">
        <f>IF(tblPiNAnalysis[[#This Row],[Nutrition]]="", "", tblPiNAnalysis[[#This Row],[Nutrition]]/tblPiNAnalysis[[#This Row],[Total Population]])</f>
        <v/>
      </c>
      <c r="Y195" s="314" t="str">
        <f>IF(tblPiNAnalysis[[#This Row],[Protection]]="", "", tblPiNAnalysis[[#This Row],[Protection]]/tblPiNAnalysis[[#This Row],[Total Population]])</f>
        <v/>
      </c>
      <c r="Z195" s="316">
        <f>IF(tblPiNAnalysis[[#This Row],[Shelter NFI ]]="", "", tblPiNAnalysis[[#This Row],[Shelter NFI ]]/tblPiNAnalysis[[#This Row],[Total Population]])</f>
        <v>8.9088555547095112E-3</v>
      </c>
      <c r="AA195" s="317" t="str">
        <f>IF(tblPiNAnalysis[[#This Row],[WASH]]="", "", tblPiNAnalysis[[#This Row],[WASH]]/tblPiNAnalysis[[#This Row],[Total Population]])</f>
        <v/>
      </c>
      <c r="AB195" s="318" t="str">
        <f>IFERROR(IF(tblPiNAnalysis[[#This Row],[CP]]="", "", MROUND(tblPiNAnalysis[[#This Row],[CP]]/tblPiNAnalysis[[#This Row],[Total Population]], 0.05)), "")</f>
        <v/>
      </c>
      <c r="AC195" s="314" t="str">
        <f>IFERROR(IF(tblPiNAnalysis[[#This Row],[GBV]]="", "", MROUND(tblPiNAnalysis[[#This Row],[GBV]]/tblPiNAnalysis[[#This Row],[Total Population]], 0.05)), "")</f>
        <v/>
      </c>
      <c r="AD195" s="314" t="str">
        <f>IFERROR(IF(tblPiNAnalysis[[#This Row],[Mine Action]]="", "", MROUND(tblPiNAnalysis[[#This Row],[Mine Action]]/tblPiNAnalysis[[#This Row],[Total Population]], 0.05)), "")</f>
        <v/>
      </c>
      <c r="AE195" s="314" t="str">
        <f>IFERROR(IF(tblPiNAnalysis[[#This Row],[General Protection]]="", "", MROUND(tblPiNAnalysis[[#This Row],[General Protection]]/tblPiNAnalysis[[#This Row],[Total Population]], 0.05)), "")</f>
        <v/>
      </c>
      <c r="AF195" s="319">
        <f>IFERROR(LARGE(tblPiNAnalysis[[#This Row],[Site Management ]:[General Protection]], 1), "")</f>
        <v>117</v>
      </c>
      <c r="AG195" s="320">
        <f>IF(tblPiNAnalysis[[#This Row],[Highest PiN]]="", "",tblPiNAnalysis[[#This Row],[Highest PiN]]/ tblPiNAnalysis[[#This Row],[Total Population]])</f>
        <v>8.9088555547095112E-3</v>
      </c>
      <c r="AH195" s="320" t="str">
        <f>IFERROR(IF(tblPiNAnalysis[[#This Row],[Highest PiN]]="", "", IF(tblPiNAnalysis[[#This Row],[Highest sector(s'') PiN %]]&gt;=flag_pin_perc, "Flagged", "")), "")</f>
        <v/>
      </c>
      <c r="AI195" s="321"/>
      <c r="AJ195" s="322"/>
      <c r="AK195" s="323">
        <f>COUNTIFS(tblPiNAnalysis[[#This Row],[Highest PiN greater than 90% of total affected population]:[Manual Flag]],"Flagged")</f>
        <v>0</v>
      </c>
      <c r="AL195" s="324" t="str">
        <f>IF(tblPiNAnalysis[[#This Row],['# Flags]]&gt;0, "Flagged", "")</f>
        <v/>
      </c>
    </row>
    <row r="196" spans="1:38" ht="23.1" hidden="1" customHeight="1" x14ac:dyDescent="0.2">
      <c r="A196" s="309" t="str">
        <f>_xlfn.CONCAT(IF(tblPiNAnalysis[[#This Row],[Population Group]]="", "",tblPiNAnalysis[[#This Row],[Population Group]] ), _xlfn.IFS(tblPiNAnalysis[[#This Row],[Admin 2 P-Code]]&lt;&gt;"", tblPiNAnalysis[[#This Row],[Admin 2 P-Code]], tblPiNAnalysis[[#This Row],[Admin 1 P-Code]]&lt;&gt;"", tblPiNAnalysis[[#This Row],[Admin 1 P-Code]]))</f>
        <v>Host CommunitySD06130</v>
      </c>
      <c r="B196" s="245" t="s">
        <v>141</v>
      </c>
      <c r="C196" s="246" t="s">
        <v>123</v>
      </c>
      <c r="D196" s="247" t="s">
        <v>149</v>
      </c>
      <c r="E196" s="246" t="s">
        <v>148</v>
      </c>
      <c r="F196" s="248">
        <v>15932</v>
      </c>
      <c r="G196" s="248" t="s">
        <v>87</v>
      </c>
      <c r="H196" s="310"/>
      <c r="I196" s="311"/>
      <c r="J196" s="312"/>
      <c r="K196" s="311"/>
      <c r="L196" s="311"/>
      <c r="M196" s="312"/>
      <c r="N196" s="312">
        <f>_xlfn.XLOOKUP(CONCATENATE(tblPiNAnalysis[[#This Row],[Admin 2 P-Code]],tblPiNAnalysis[[#This Row],[Population Group]]),'Overall severity &amp; PIN Analysis'!A:A,'Overall severity &amp; PIN Analysis'!P:P,0,0)</f>
        <v>3340</v>
      </c>
      <c r="O196" s="311"/>
      <c r="P196" s="312"/>
      <c r="Q196" s="312"/>
      <c r="R196" s="312"/>
      <c r="S196" s="312"/>
      <c r="T196" s="313" t="str">
        <f>IF(tblPiNAnalysis[[#This Row],[Site Management ]]="", "", tblPiNAnalysis[[#This Row],[Site Management ]]/tblPiNAnalysis[[#This Row],[Total Population]])</f>
        <v/>
      </c>
      <c r="U196" s="314" t="str">
        <f>IF(tblPiNAnalysis[[#This Row],[Education]]="", "", tblPiNAnalysis[[#This Row],[Education]]/tblPiNAnalysis[[#This Row],[Total Population]])</f>
        <v/>
      </c>
      <c r="V196" s="314" t="str">
        <f>IF(tblPiNAnalysis[[#This Row],[Food Security and Livlihoods]]="", "", tblPiNAnalysis[[#This Row],[Food Security and Livlihoods]]/tblPiNAnalysis[[#This Row],[Total Population]])</f>
        <v/>
      </c>
      <c r="W196" s="315" t="str">
        <f>IF(tblPiNAnalysis[[#This Row],[Health ]]="", "", tblPiNAnalysis[[#This Row],[Health ]]/tblPiNAnalysis[[#This Row],[Total Population]])</f>
        <v/>
      </c>
      <c r="X196" s="314" t="str">
        <f>IF(tblPiNAnalysis[[#This Row],[Nutrition]]="", "", tblPiNAnalysis[[#This Row],[Nutrition]]/tblPiNAnalysis[[#This Row],[Total Population]])</f>
        <v/>
      </c>
      <c r="Y196" s="314" t="str">
        <f>IF(tblPiNAnalysis[[#This Row],[Protection]]="", "", tblPiNAnalysis[[#This Row],[Protection]]/tblPiNAnalysis[[#This Row],[Total Population]])</f>
        <v/>
      </c>
      <c r="Z196" s="316">
        <f>IF(tblPiNAnalysis[[#This Row],[Shelter NFI ]]="", "", tblPiNAnalysis[[#This Row],[Shelter NFI ]]/tblPiNAnalysis[[#This Row],[Total Population]])</f>
        <v>0.20964097414009542</v>
      </c>
      <c r="AA196" s="317" t="str">
        <f>IF(tblPiNAnalysis[[#This Row],[WASH]]="", "", tblPiNAnalysis[[#This Row],[WASH]]/tblPiNAnalysis[[#This Row],[Total Population]])</f>
        <v/>
      </c>
      <c r="AB196" s="318" t="str">
        <f>IFERROR(IF(tblPiNAnalysis[[#This Row],[CP]]="", "", MROUND(tblPiNAnalysis[[#This Row],[CP]]/tblPiNAnalysis[[#This Row],[Total Population]], 0.05)), "")</f>
        <v/>
      </c>
      <c r="AC196" s="314" t="str">
        <f>IFERROR(IF(tblPiNAnalysis[[#This Row],[GBV]]="", "", MROUND(tblPiNAnalysis[[#This Row],[GBV]]/tblPiNAnalysis[[#This Row],[Total Population]], 0.05)), "")</f>
        <v/>
      </c>
      <c r="AD196" s="314" t="str">
        <f>IFERROR(IF(tblPiNAnalysis[[#This Row],[Mine Action]]="", "", MROUND(tblPiNAnalysis[[#This Row],[Mine Action]]/tblPiNAnalysis[[#This Row],[Total Population]], 0.05)), "")</f>
        <v/>
      </c>
      <c r="AE196" s="314" t="str">
        <f>IFERROR(IF(tblPiNAnalysis[[#This Row],[General Protection]]="", "", MROUND(tblPiNAnalysis[[#This Row],[General Protection]]/tblPiNAnalysis[[#This Row],[Total Population]], 0.05)), "")</f>
        <v/>
      </c>
      <c r="AF196" s="319">
        <f>IFERROR(LARGE(tblPiNAnalysis[[#This Row],[Site Management ]:[General Protection]], 1), "")</f>
        <v>3340</v>
      </c>
      <c r="AG196" s="320">
        <f>IF(tblPiNAnalysis[[#This Row],[Highest PiN]]="", "",tblPiNAnalysis[[#This Row],[Highest PiN]]/ tblPiNAnalysis[[#This Row],[Total Population]])</f>
        <v>0.20964097414009542</v>
      </c>
      <c r="AH196" s="320" t="str">
        <f>IFERROR(IF(tblPiNAnalysis[[#This Row],[Highest PiN]]="", "", IF(tblPiNAnalysis[[#This Row],[Highest sector(s'') PiN %]]&gt;=flag_pin_perc, "Flagged", "")), "")</f>
        <v/>
      </c>
      <c r="AI196" s="321"/>
      <c r="AJ196" s="322"/>
      <c r="AK196" s="323">
        <f>COUNTIFS(tblPiNAnalysis[[#This Row],[Highest PiN greater than 90% of total affected population]:[Manual Flag]],"Flagged")</f>
        <v>0</v>
      </c>
      <c r="AL196" s="324" t="str">
        <f>IF(tblPiNAnalysis[[#This Row],['# Flags]]&gt;0, "Flagged", "")</f>
        <v/>
      </c>
    </row>
    <row r="197" spans="1:38" ht="23.1" hidden="1" customHeight="1" x14ac:dyDescent="0.2">
      <c r="A197" s="309" t="str">
        <f>_xlfn.CONCAT(IF(tblPiNAnalysis[[#This Row],[Population Group]]="", "",tblPiNAnalysis[[#This Row],[Population Group]] ), _xlfn.IFS(tblPiNAnalysis[[#This Row],[Admin 2 P-Code]]&lt;&gt;"", tblPiNAnalysis[[#This Row],[Admin 2 P-Code]], tblPiNAnalysis[[#This Row],[Admin 1 P-Code]]&lt;&gt;"", tblPiNAnalysis[[#This Row],[Admin 1 P-Code]]))</f>
        <v>IDPsSD06130</v>
      </c>
      <c r="B197" s="245" t="s">
        <v>141</v>
      </c>
      <c r="C197" s="246" t="s">
        <v>123</v>
      </c>
      <c r="D197" s="247" t="s">
        <v>149</v>
      </c>
      <c r="E197" s="246" t="s">
        <v>148</v>
      </c>
      <c r="F197" s="248">
        <v>28750</v>
      </c>
      <c r="G197" s="248" t="s">
        <v>88</v>
      </c>
      <c r="H197" s="310"/>
      <c r="I197" s="311"/>
      <c r="J197" s="311"/>
      <c r="K197" s="311"/>
      <c r="L197" s="311"/>
      <c r="M197" s="311"/>
      <c r="N197" s="311">
        <f>_xlfn.XLOOKUP(CONCATENATE(tblPiNAnalysis[[#This Row],[Admin 2 P-Code]],tblPiNAnalysis[[#This Row],[Population Group]]),'Overall severity &amp; PIN Analysis'!A:A,'Overall severity &amp; PIN Analysis'!P:P,0,0)</f>
        <v>6028</v>
      </c>
      <c r="O197" s="311"/>
      <c r="P197" s="311"/>
      <c r="Q197" s="311"/>
      <c r="R197" s="311"/>
      <c r="S197" s="311"/>
      <c r="T197" s="326" t="str">
        <f>IF(tblPiNAnalysis[[#This Row],[Site Management ]]="", "", tblPiNAnalysis[[#This Row],[Site Management ]]/tblPiNAnalysis[[#This Row],[Total Population]])</f>
        <v/>
      </c>
      <c r="U197" s="315" t="str">
        <f>IF(tblPiNAnalysis[[#This Row],[Education]]="", "", tblPiNAnalysis[[#This Row],[Education]]/tblPiNAnalysis[[#This Row],[Total Population]])</f>
        <v/>
      </c>
      <c r="V197" s="315" t="str">
        <f>IF(tblPiNAnalysis[[#This Row],[Food Security and Livlihoods]]="", "", tblPiNAnalysis[[#This Row],[Food Security and Livlihoods]]/tblPiNAnalysis[[#This Row],[Total Population]])</f>
        <v/>
      </c>
      <c r="W197" s="315" t="str">
        <f>IF(tblPiNAnalysis[[#This Row],[Health ]]="", "", tblPiNAnalysis[[#This Row],[Health ]]/tblPiNAnalysis[[#This Row],[Total Population]])</f>
        <v/>
      </c>
      <c r="X197" s="315" t="str">
        <f>IF(tblPiNAnalysis[[#This Row],[Nutrition]]="", "", tblPiNAnalysis[[#This Row],[Nutrition]]/tblPiNAnalysis[[#This Row],[Total Population]])</f>
        <v/>
      </c>
      <c r="Y197" s="315" t="str">
        <f>IF(tblPiNAnalysis[[#This Row],[Protection]]="", "", tblPiNAnalysis[[#This Row],[Protection]]/tblPiNAnalysis[[#This Row],[Total Population]])</f>
        <v/>
      </c>
      <c r="Z197" s="327">
        <f>IF(tblPiNAnalysis[[#This Row],[Shelter NFI ]]="", "", tblPiNAnalysis[[#This Row],[Shelter NFI ]]/tblPiNAnalysis[[#This Row],[Total Population]])</f>
        <v>0.2096695652173913</v>
      </c>
      <c r="AA197" s="328" t="str">
        <f>IF(tblPiNAnalysis[[#This Row],[WASH]]="", "", tblPiNAnalysis[[#This Row],[WASH]]/tblPiNAnalysis[[#This Row],[Total Population]])</f>
        <v/>
      </c>
      <c r="AB197" s="329" t="str">
        <f>IFERROR(IF(tblPiNAnalysis[[#This Row],[CP]]="", "", MROUND(tblPiNAnalysis[[#This Row],[CP]]/tblPiNAnalysis[[#This Row],[Total Population]], 0.05)), "")</f>
        <v/>
      </c>
      <c r="AC197" s="315" t="str">
        <f>IFERROR(IF(tblPiNAnalysis[[#This Row],[GBV]]="", "", MROUND(tblPiNAnalysis[[#This Row],[GBV]]/tblPiNAnalysis[[#This Row],[Total Population]], 0.05)), "")</f>
        <v/>
      </c>
      <c r="AD197" s="315" t="str">
        <f>IFERROR(IF(tblPiNAnalysis[[#This Row],[Mine Action]]="", "", MROUND(tblPiNAnalysis[[#This Row],[Mine Action]]/tblPiNAnalysis[[#This Row],[Total Population]], 0.05)), "")</f>
        <v/>
      </c>
      <c r="AE197" s="315" t="str">
        <f>IFERROR(IF(tblPiNAnalysis[[#This Row],[General Protection]]="", "", MROUND(tblPiNAnalysis[[#This Row],[General Protection]]/tblPiNAnalysis[[#This Row],[Total Population]], 0.05)), "")</f>
        <v/>
      </c>
      <c r="AF197" s="319">
        <f>IFERROR(LARGE(tblPiNAnalysis[[#This Row],[Site Management ]:[General Protection]], 1), "")</f>
        <v>6028</v>
      </c>
      <c r="AG197" s="330">
        <f>IF(tblPiNAnalysis[[#This Row],[Highest PiN]]="", "",tblPiNAnalysis[[#This Row],[Highest PiN]]/ tblPiNAnalysis[[#This Row],[Total Population]])</f>
        <v>0.2096695652173913</v>
      </c>
      <c r="AH197" s="330" t="str">
        <f>IFERROR(IF(tblPiNAnalysis[[#This Row],[Highest PiN]]="", "", IF(tblPiNAnalysis[[#This Row],[Highest sector(s'') PiN %]]&gt;=flag_pin_perc, "Flagged", "")), "")</f>
        <v/>
      </c>
      <c r="AI197" s="321"/>
      <c r="AJ197" s="322"/>
      <c r="AK197" s="323">
        <f>COUNTIFS(tblPiNAnalysis[[#This Row],[Highest PiN greater than 90% of total affected population]:[Manual Flag]],"Flagged")</f>
        <v>0</v>
      </c>
      <c r="AL197" s="331" t="str">
        <f>IF(tblPiNAnalysis[[#This Row],['# Flags]]&gt;0, "Flagged", "")</f>
        <v/>
      </c>
    </row>
    <row r="198" spans="1:38" ht="23.1" customHeight="1" x14ac:dyDescent="0.2">
      <c r="A198" s="309" t="str">
        <f>_xlfn.CONCAT(IF(tblPiNAnalysis[[#This Row],[Population Group]]="", "",tblPiNAnalysis[[#This Row],[Population Group]] ), _xlfn.IFS(tblPiNAnalysis[[#This Row],[Admin 2 P-Code]]&lt;&gt;"", tblPiNAnalysis[[#This Row],[Admin 2 P-Code]], tblPiNAnalysis[[#This Row],[Admin 1 P-Code]]&lt;&gt;"", tblPiNAnalysis[[#This Row],[Admin 1 P-Code]]))</f>
        <v>Non-hosting PopulationSD06130</v>
      </c>
      <c r="B198" s="245" t="s">
        <v>141</v>
      </c>
      <c r="C198" s="246" t="s">
        <v>123</v>
      </c>
      <c r="D198" s="247" t="s">
        <v>149</v>
      </c>
      <c r="E198" s="246" t="s">
        <v>148</v>
      </c>
      <c r="F198" s="248">
        <v>0</v>
      </c>
      <c r="G198" s="248" t="s">
        <v>568</v>
      </c>
      <c r="H198" s="310"/>
      <c r="I198" s="311"/>
      <c r="J198" s="312"/>
      <c r="K198" s="311"/>
      <c r="L198" s="311"/>
      <c r="M198" s="312"/>
      <c r="N198" s="312">
        <f>_xlfn.XLOOKUP(CONCATENATE(tblPiNAnalysis[[#This Row],[Admin 2 P-Code]],tblPiNAnalysis[[#This Row],[Population Group]]),'Overall severity &amp; PIN Analysis'!A:A,'Overall severity &amp; PIN Analysis'!P:P,0,0)</f>
        <v>0</v>
      </c>
      <c r="O198" s="311"/>
      <c r="P198" s="312"/>
      <c r="Q198" s="312"/>
      <c r="R198" s="312"/>
      <c r="S198" s="312"/>
      <c r="T198" s="313" t="str">
        <f>IF(tblPiNAnalysis[[#This Row],[Site Management ]]="", "", tblPiNAnalysis[[#This Row],[Site Management ]]/tblPiNAnalysis[[#This Row],[Total Population]])</f>
        <v/>
      </c>
      <c r="U198" s="314" t="str">
        <f>IF(tblPiNAnalysis[[#This Row],[Education]]="", "", tblPiNAnalysis[[#This Row],[Education]]/tblPiNAnalysis[[#This Row],[Total Population]])</f>
        <v/>
      </c>
      <c r="V198" s="314" t="str">
        <f>IF(tblPiNAnalysis[[#This Row],[Food Security and Livlihoods]]="", "", tblPiNAnalysis[[#This Row],[Food Security and Livlihoods]]/tblPiNAnalysis[[#This Row],[Total Population]])</f>
        <v/>
      </c>
      <c r="W198" s="315" t="str">
        <f>IF(tblPiNAnalysis[[#This Row],[Health ]]="", "", tblPiNAnalysis[[#This Row],[Health ]]/tblPiNAnalysis[[#This Row],[Total Population]])</f>
        <v/>
      </c>
      <c r="X198" s="314" t="str">
        <f>IF(tblPiNAnalysis[[#This Row],[Nutrition]]="", "", tblPiNAnalysis[[#This Row],[Nutrition]]/tblPiNAnalysis[[#This Row],[Total Population]])</f>
        <v/>
      </c>
      <c r="Y198" s="314" t="str">
        <f>IF(tblPiNAnalysis[[#This Row],[Protection]]="", "", tblPiNAnalysis[[#This Row],[Protection]]/tblPiNAnalysis[[#This Row],[Total Population]])</f>
        <v/>
      </c>
      <c r="Z198" s="316" t="e">
        <f>IF(tblPiNAnalysis[[#This Row],[Shelter NFI ]]="", "", tblPiNAnalysis[[#This Row],[Shelter NFI ]]/tblPiNAnalysis[[#This Row],[Total Population]])</f>
        <v>#DIV/0!</v>
      </c>
      <c r="AA198" s="317" t="str">
        <f>IF(tblPiNAnalysis[[#This Row],[WASH]]="", "", tblPiNAnalysis[[#This Row],[WASH]]/tblPiNAnalysis[[#This Row],[Total Population]])</f>
        <v/>
      </c>
      <c r="AB198" s="318" t="str">
        <f>IFERROR(IF(tblPiNAnalysis[[#This Row],[CP]]="", "", MROUND(tblPiNAnalysis[[#This Row],[CP]]/tblPiNAnalysis[[#This Row],[Total Population]], 0.05)), "")</f>
        <v/>
      </c>
      <c r="AC198" s="314" t="str">
        <f>IFERROR(IF(tblPiNAnalysis[[#This Row],[GBV]]="", "", MROUND(tblPiNAnalysis[[#This Row],[GBV]]/tblPiNAnalysis[[#This Row],[Total Population]], 0.05)), "")</f>
        <v/>
      </c>
      <c r="AD198" s="314" t="str">
        <f>IFERROR(IF(tblPiNAnalysis[[#This Row],[Mine Action]]="", "", MROUND(tblPiNAnalysis[[#This Row],[Mine Action]]/tblPiNAnalysis[[#This Row],[Total Population]], 0.05)), "")</f>
        <v/>
      </c>
      <c r="AE198" s="314" t="str">
        <f>IFERROR(IF(tblPiNAnalysis[[#This Row],[General Protection]]="", "", MROUND(tblPiNAnalysis[[#This Row],[General Protection]]/tblPiNAnalysis[[#This Row],[Total Population]], 0.05)), "")</f>
        <v/>
      </c>
      <c r="AF198" s="319">
        <f>IFERROR(LARGE(tblPiNAnalysis[[#This Row],[Site Management ]:[General Protection]], 1), "")</f>
        <v>0</v>
      </c>
      <c r="AG198" s="320" t="e">
        <f>IF(tblPiNAnalysis[[#This Row],[Highest PiN]]="", "",tblPiNAnalysis[[#This Row],[Highest PiN]]/ tblPiNAnalysis[[#This Row],[Total Population]])</f>
        <v>#DIV/0!</v>
      </c>
      <c r="AH198" s="320" t="str">
        <f>IFERROR(IF(tblPiNAnalysis[[#This Row],[Highest PiN]]="", "", IF(tblPiNAnalysis[[#This Row],[Highest sector(s'') PiN %]]&gt;=flag_pin_perc, "Flagged", "")), "")</f>
        <v/>
      </c>
      <c r="AI198" s="321"/>
      <c r="AJ198" s="322"/>
      <c r="AK198" s="323">
        <f>COUNTIFS(tblPiNAnalysis[[#This Row],[Highest PiN greater than 90% of total affected population]:[Manual Flag]],"Flagged")</f>
        <v>0</v>
      </c>
      <c r="AL198" s="324" t="str">
        <f>IF(tblPiNAnalysis[[#This Row],['# Flags]]&gt;0, "Flagged", "")</f>
        <v/>
      </c>
    </row>
    <row r="199" spans="1:38" ht="23.1" hidden="1" customHeight="1" x14ac:dyDescent="0.2">
      <c r="A199" s="309" t="str">
        <f>_xlfn.CONCAT(IF(tblPiNAnalysis[[#This Row],[Population Group]]="", "",tblPiNAnalysis[[#This Row],[Population Group]] ), _xlfn.IFS(tblPiNAnalysis[[#This Row],[Admin 2 P-Code]]&lt;&gt;"", tblPiNAnalysis[[#This Row],[Admin 2 P-Code]], tblPiNAnalysis[[#This Row],[Admin 1 P-Code]]&lt;&gt;"", tblPiNAnalysis[[#This Row],[Admin 1 P-Code]]))</f>
        <v>Host CommunitySD06131</v>
      </c>
      <c r="B199" s="245" t="s">
        <v>141</v>
      </c>
      <c r="C199" s="246" t="s">
        <v>123</v>
      </c>
      <c r="D199" s="247" t="s">
        <v>152</v>
      </c>
      <c r="E199" s="246" t="s">
        <v>151</v>
      </c>
      <c r="F199" s="248">
        <v>32249</v>
      </c>
      <c r="G199" s="248" t="s">
        <v>87</v>
      </c>
      <c r="H199" s="310"/>
      <c r="I199" s="311"/>
      <c r="J199" s="312"/>
      <c r="K199" s="311"/>
      <c r="L199" s="311"/>
      <c r="M199" s="312"/>
      <c r="N199" s="312">
        <f>_xlfn.XLOOKUP(CONCATENATE(tblPiNAnalysis[[#This Row],[Admin 2 P-Code]],tblPiNAnalysis[[#This Row],[Population Group]]),'Overall severity &amp; PIN Analysis'!A:A,'Overall severity &amp; PIN Analysis'!P:P,0,0)</f>
        <v>12839</v>
      </c>
      <c r="O199" s="311"/>
      <c r="P199" s="312"/>
      <c r="Q199" s="312"/>
      <c r="R199" s="312"/>
      <c r="S199" s="312"/>
      <c r="T199" s="313" t="str">
        <f>IF(tblPiNAnalysis[[#This Row],[Site Management ]]="", "", tblPiNAnalysis[[#This Row],[Site Management ]]/tblPiNAnalysis[[#This Row],[Total Population]])</f>
        <v/>
      </c>
      <c r="U199" s="314" t="str">
        <f>IF(tblPiNAnalysis[[#This Row],[Education]]="", "", tblPiNAnalysis[[#This Row],[Education]]/tblPiNAnalysis[[#This Row],[Total Population]])</f>
        <v/>
      </c>
      <c r="V199" s="314" t="str">
        <f>IF(tblPiNAnalysis[[#This Row],[Food Security and Livlihoods]]="", "", tblPiNAnalysis[[#This Row],[Food Security and Livlihoods]]/tblPiNAnalysis[[#This Row],[Total Population]])</f>
        <v/>
      </c>
      <c r="W199" s="315" t="str">
        <f>IF(tblPiNAnalysis[[#This Row],[Health ]]="", "", tblPiNAnalysis[[#This Row],[Health ]]/tblPiNAnalysis[[#This Row],[Total Population]])</f>
        <v/>
      </c>
      <c r="X199" s="314" t="str">
        <f>IF(tblPiNAnalysis[[#This Row],[Nutrition]]="", "", tblPiNAnalysis[[#This Row],[Nutrition]]/tblPiNAnalysis[[#This Row],[Total Population]])</f>
        <v/>
      </c>
      <c r="Y199" s="314" t="str">
        <f>IF(tblPiNAnalysis[[#This Row],[Protection]]="", "", tblPiNAnalysis[[#This Row],[Protection]]/tblPiNAnalysis[[#This Row],[Total Population]])</f>
        <v/>
      </c>
      <c r="Z199" s="316">
        <f>IF(tblPiNAnalysis[[#This Row],[Shelter NFI ]]="", "", tblPiNAnalysis[[#This Row],[Shelter NFI ]]/tblPiNAnalysis[[#This Row],[Total Population]])</f>
        <v>0.39812087196502216</v>
      </c>
      <c r="AA199" s="317" t="str">
        <f>IF(tblPiNAnalysis[[#This Row],[WASH]]="", "", tblPiNAnalysis[[#This Row],[WASH]]/tblPiNAnalysis[[#This Row],[Total Population]])</f>
        <v/>
      </c>
      <c r="AB199" s="318" t="str">
        <f>IFERROR(IF(tblPiNAnalysis[[#This Row],[CP]]="", "", MROUND(tblPiNAnalysis[[#This Row],[CP]]/tblPiNAnalysis[[#This Row],[Total Population]], 0.05)), "")</f>
        <v/>
      </c>
      <c r="AC199" s="314" t="str">
        <f>IFERROR(IF(tblPiNAnalysis[[#This Row],[GBV]]="", "", MROUND(tblPiNAnalysis[[#This Row],[GBV]]/tblPiNAnalysis[[#This Row],[Total Population]], 0.05)), "")</f>
        <v/>
      </c>
      <c r="AD199" s="314" t="str">
        <f>IFERROR(IF(tblPiNAnalysis[[#This Row],[Mine Action]]="", "", MROUND(tblPiNAnalysis[[#This Row],[Mine Action]]/tblPiNAnalysis[[#This Row],[Total Population]], 0.05)), "")</f>
        <v/>
      </c>
      <c r="AE199" s="314" t="str">
        <f>IFERROR(IF(tblPiNAnalysis[[#This Row],[General Protection]]="", "", MROUND(tblPiNAnalysis[[#This Row],[General Protection]]/tblPiNAnalysis[[#This Row],[Total Population]], 0.05)), "")</f>
        <v/>
      </c>
      <c r="AF199" s="319">
        <f>IFERROR(LARGE(tblPiNAnalysis[[#This Row],[Site Management ]:[General Protection]], 1), "")</f>
        <v>12839</v>
      </c>
      <c r="AG199" s="320">
        <f>IF(tblPiNAnalysis[[#This Row],[Highest PiN]]="", "",tblPiNAnalysis[[#This Row],[Highest PiN]]/ tblPiNAnalysis[[#This Row],[Total Population]])</f>
        <v>0.39812087196502216</v>
      </c>
      <c r="AH199" s="320" t="str">
        <f>IFERROR(IF(tblPiNAnalysis[[#This Row],[Highest PiN]]="", "", IF(tblPiNAnalysis[[#This Row],[Highest sector(s'') PiN %]]&gt;=flag_pin_perc, "Flagged", "")), "")</f>
        <v/>
      </c>
      <c r="AI199" s="321"/>
      <c r="AJ199" s="322"/>
      <c r="AK199" s="323">
        <f>COUNTIFS(tblPiNAnalysis[[#This Row],[Highest PiN greater than 90% of total affected population]:[Manual Flag]],"Flagged")</f>
        <v>0</v>
      </c>
      <c r="AL199" s="324" t="str">
        <f>IF(tblPiNAnalysis[[#This Row],['# Flags]]&gt;0, "Flagged", "")</f>
        <v/>
      </c>
    </row>
    <row r="200" spans="1:38" ht="23.1" hidden="1" customHeight="1" x14ac:dyDescent="0.2">
      <c r="A200" s="309" t="str">
        <f>_xlfn.CONCAT(IF(tblPiNAnalysis[[#This Row],[Population Group]]="", "",tblPiNAnalysis[[#This Row],[Population Group]] ), _xlfn.IFS(tblPiNAnalysis[[#This Row],[Admin 2 P-Code]]&lt;&gt;"", tblPiNAnalysis[[#This Row],[Admin 2 P-Code]], tblPiNAnalysis[[#This Row],[Admin 1 P-Code]]&lt;&gt;"", tblPiNAnalysis[[#This Row],[Admin 1 P-Code]]))</f>
        <v>IDPsSD06131</v>
      </c>
      <c r="B200" s="245" t="s">
        <v>141</v>
      </c>
      <c r="C200" s="246" t="s">
        <v>123</v>
      </c>
      <c r="D200" s="247" t="s">
        <v>152</v>
      </c>
      <c r="E200" s="246" t="s">
        <v>151</v>
      </c>
      <c r="F200" s="248">
        <v>82610</v>
      </c>
      <c r="G200" s="248" t="s">
        <v>88</v>
      </c>
      <c r="H200" s="310"/>
      <c r="I200" s="311"/>
      <c r="J200" s="311"/>
      <c r="K200" s="311"/>
      <c r="L200" s="311"/>
      <c r="M200" s="311"/>
      <c r="N200" s="311">
        <f>_xlfn.XLOOKUP(CONCATENATE(tblPiNAnalysis[[#This Row],[Admin 2 P-Code]],tblPiNAnalysis[[#This Row],[Population Group]]),'Overall severity &amp; PIN Analysis'!A:A,'Overall severity &amp; PIN Analysis'!P:P,0,0)</f>
        <v>32889</v>
      </c>
      <c r="O200" s="311"/>
      <c r="P200" s="311"/>
      <c r="Q200" s="311"/>
      <c r="R200" s="311"/>
      <c r="S200" s="311"/>
      <c r="T200" s="326" t="str">
        <f>IF(tblPiNAnalysis[[#This Row],[Site Management ]]="", "", tblPiNAnalysis[[#This Row],[Site Management ]]/tblPiNAnalysis[[#This Row],[Total Population]])</f>
        <v/>
      </c>
      <c r="U200" s="315" t="str">
        <f>IF(tblPiNAnalysis[[#This Row],[Education]]="", "", tblPiNAnalysis[[#This Row],[Education]]/tblPiNAnalysis[[#This Row],[Total Population]])</f>
        <v/>
      </c>
      <c r="V200" s="315" t="str">
        <f>IF(tblPiNAnalysis[[#This Row],[Food Security and Livlihoods]]="", "", tblPiNAnalysis[[#This Row],[Food Security and Livlihoods]]/tblPiNAnalysis[[#This Row],[Total Population]])</f>
        <v/>
      </c>
      <c r="W200" s="315" t="str">
        <f>IF(tblPiNAnalysis[[#This Row],[Health ]]="", "", tblPiNAnalysis[[#This Row],[Health ]]/tblPiNAnalysis[[#This Row],[Total Population]])</f>
        <v/>
      </c>
      <c r="X200" s="315" t="str">
        <f>IF(tblPiNAnalysis[[#This Row],[Nutrition]]="", "", tblPiNAnalysis[[#This Row],[Nutrition]]/tblPiNAnalysis[[#This Row],[Total Population]])</f>
        <v/>
      </c>
      <c r="Y200" s="315" t="str">
        <f>IF(tblPiNAnalysis[[#This Row],[Protection]]="", "", tblPiNAnalysis[[#This Row],[Protection]]/tblPiNAnalysis[[#This Row],[Total Population]])</f>
        <v/>
      </c>
      <c r="Z200" s="327">
        <f>IF(tblPiNAnalysis[[#This Row],[Shelter NFI ]]="", "", tblPiNAnalysis[[#This Row],[Shelter NFI ]]/tblPiNAnalysis[[#This Row],[Total Population]])</f>
        <v>0.39812371383609735</v>
      </c>
      <c r="AA200" s="328" t="str">
        <f>IF(tblPiNAnalysis[[#This Row],[WASH]]="", "", tblPiNAnalysis[[#This Row],[WASH]]/tblPiNAnalysis[[#This Row],[Total Population]])</f>
        <v/>
      </c>
      <c r="AB200" s="329" t="str">
        <f>IFERROR(IF(tblPiNAnalysis[[#This Row],[CP]]="", "", MROUND(tblPiNAnalysis[[#This Row],[CP]]/tblPiNAnalysis[[#This Row],[Total Population]], 0.05)), "")</f>
        <v/>
      </c>
      <c r="AC200" s="315" t="str">
        <f>IFERROR(IF(tblPiNAnalysis[[#This Row],[GBV]]="", "", MROUND(tblPiNAnalysis[[#This Row],[GBV]]/tblPiNAnalysis[[#This Row],[Total Population]], 0.05)), "")</f>
        <v/>
      </c>
      <c r="AD200" s="315" t="str">
        <f>IFERROR(IF(tblPiNAnalysis[[#This Row],[Mine Action]]="", "", MROUND(tblPiNAnalysis[[#This Row],[Mine Action]]/tblPiNAnalysis[[#This Row],[Total Population]], 0.05)), "")</f>
        <v/>
      </c>
      <c r="AE200" s="315" t="str">
        <f>IFERROR(IF(tblPiNAnalysis[[#This Row],[General Protection]]="", "", MROUND(tblPiNAnalysis[[#This Row],[General Protection]]/tblPiNAnalysis[[#This Row],[Total Population]], 0.05)), "")</f>
        <v/>
      </c>
      <c r="AF200" s="319">
        <f>IFERROR(LARGE(tblPiNAnalysis[[#This Row],[Site Management ]:[General Protection]], 1), "")</f>
        <v>32889</v>
      </c>
      <c r="AG200" s="330">
        <f>IF(tblPiNAnalysis[[#This Row],[Highest PiN]]="", "",tblPiNAnalysis[[#This Row],[Highest PiN]]/ tblPiNAnalysis[[#This Row],[Total Population]])</f>
        <v>0.39812371383609735</v>
      </c>
      <c r="AH200" s="330" t="str">
        <f>IFERROR(IF(tblPiNAnalysis[[#This Row],[Highest PiN]]="", "", IF(tblPiNAnalysis[[#This Row],[Highest sector(s'') PiN %]]&gt;=flag_pin_perc, "Flagged", "")), "")</f>
        <v/>
      </c>
      <c r="AI200" s="321"/>
      <c r="AJ200" s="322"/>
      <c r="AK200" s="323">
        <f>COUNTIFS(tblPiNAnalysis[[#This Row],[Highest PiN greater than 90% of total affected population]:[Manual Flag]],"Flagged")</f>
        <v>0</v>
      </c>
      <c r="AL200" s="331" t="str">
        <f>IF(tblPiNAnalysis[[#This Row],['# Flags]]&gt;0, "Flagged", "")</f>
        <v/>
      </c>
    </row>
    <row r="201" spans="1:38" ht="23.1" customHeight="1" x14ac:dyDescent="0.2">
      <c r="A201" s="309" t="str">
        <f>_xlfn.CONCAT(IF(tblPiNAnalysis[[#This Row],[Population Group]]="", "",tblPiNAnalysis[[#This Row],[Population Group]] ), _xlfn.IFS(tblPiNAnalysis[[#This Row],[Admin 2 P-Code]]&lt;&gt;"", tblPiNAnalysis[[#This Row],[Admin 2 P-Code]], tblPiNAnalysis[[#This Row],[Admin 1 P-Code]]&lt;&gt;"", tblPiNAnalysis[[#This Row],[Admin 1 P-Code]]))</f>
        <v>Non-hosting PopulationSD06131</v>
      </c>
      <c r="B201" s="245" t="s">
        <v>141</v>
      </c>
      <c r="C201" s="246" t="s">
        <v>123</v>
      </c>
      <c r="D201" s="247" t="s">
        <v>152</v>
      </c>
      <c r="E201" s="246" t="s">
        <v>151</v>
      </c>
      <c r="F201" s="248">
        <v>0</v>
      </c>
      <c r="G201" s="248" t="s">
        <v>568</v>
      </c>
      <c r="H201" s="310"/>
      <c r="I201" s="311"/>
      <c r="J201" s="312"/>
      <c r="K201" s="311"/>
      <c r="L201" s="311"/>
      <c r="M201" s="312"/>
      <c r="N201" s="312">
        <f>_xlfn.XLOOKUP(CONCATENATE(tblPiNAnalysis[[#This Row],[Admin 2 P-Code]],tblPiNAnalysis[[#This Row],[Population Group]]),'Overall severity &amp; PIN Analysis'!A:A,'Overall severity &amp; PIN Analysis'!P:P,0,0)</f>
        <v>0</v>
      </c>
      <c r="O201" s="311"/>
      <c r="P201" s="312"/>
      <c r="Q201" s="312"/>
      <c r="R201" s="312"/>
      <c r="S201" s="312"/>
      <c r="T201" s="313" t="str">
        <f>IF(tblPiNAnalysis[[#This Row],[Site Management ]]="", "", tblPiNAnalysis[[#This Row],[Site Management ]]/tblPiNAnalysis[[#This Row],[Total Population]])</f>
        <v/>
      </c>
      <c r="U201" s="314" t="str">
        <f>IF(tblPiNAnalysis[[#This Row],[Education]]="", "", tblPiNAnalysis[[#This Row],[Education]]/tblPiNAnalysis[[#This Row],[Total Population]])</f>
        <v/>
      </c>
      <c r="V201" s="314" t="str">
        <f>IF(tblPiNAnalysis[[#This Row],[Food Security and Livlihoods]]="", "", tblPiNAnalysis[[#This Row],[Food Security and Livlihoods]]/tblPiNAnalysis[[#This Row],[Total Population]])</f>
        <v/>
      </c>
      <c r="W201" s="315" t="str">
        <f>IF(tblPiNAnalysis[[#This Row],[Health ]]="", "", tblPiNAnalysis[[#This Row],[Health ]]/tblPiNAnalysis[[#This Row],[Total Population]])</f>
        <v/>
      </c>
      <c r="X201" s="314" t="str">
        <f>IF(tblPiNAnalysis[[#This Row],[Nutrition]]="", "", tblPiNAnalysis[[#This Row],[Nutrition]]/tblPiNAnalysis[[#This Row],[Total Population]])</f>
        <v/>
      </c>
      <c r="Y201" s="314" t="str">
        <f>IF(tblPiNAnalysis[[#This Row],[Protection]]="", "", tblPiNAnalysis[[#This Row],[Protection]]/tblPiNAnalysis[[#This Row],[Total Population]])</f>
        <v/>
      </c>
      <c r="Z201" s="316" t="e">
        <f>IF(tblPiNAnalysis[[#This Row],[Shelter NFI ]]="", "", tblPiNAnalysis[[#This Row],[Shelter NFI ]]/tblPiNAnalysis[[#This Row],[Total Population]])</f>
        <v>#DIV/0!</v>
      </c>
      <c r="AA201" s="317" t="str">
        <f>IF(tblPiNAnalysis[[#This Row],[WASH]]="", "", tblPiNAnalysis[[#This Row],[WASH]]/tblPiNAnalysis[[#This Row],[Total Population]])</f>
        <v/>
      </c>
      <c r="AB201" s="318" t="str">
        <f>IFERROR(IF(tblPiNAnalysis[[#This Row],[CP]]="", "", MROUND(tblPiNAnalysis[[#This Row],[CP]]/tblPiNAnalysis[[#This Row],[Total Population]], 0.05)), "")</f>
        <v/>
      </c>
      <c r="AC201" s="314" t="str">
        <f>IFERROR(IF(tblPiNAnalysis[[#This Row],[GBV]]="", "", MROUND(tblPiNAnalysis[[#This Row],[GBV]]/tblPiNAnalysis[[#This Row],[Total Population]], 0.05)), "")</f>
        <v/>
      </c>
      <c r="AD201" s="314" t="str">
        <f>IFERROR(IF(tblPiNAnalysis[[#This Row],[Mine Action]]="", "", MROUND(tblPiNAnalysis[[#This Row],[Mine Action]]/tblPiNAnalysis[[#This Row],[Total Population]], 0.05)), "")</f>
        <v/>
      </c>
      <c r="AE201" s="314" t="str">
        <f>IFERROR(IF(tblPiNAnalysis[[#This Row],[General Protection]]="", "", MROUND(tblPiNAnalysis[[#This Row],[General Protection]]/tblPiNAnalysis[[#This Row],[Total Population]], 0.05)), "")</f>
        <v/>
      </c>
      <c r="AF201" s="319">
        <f>IFERROR(LARGE(tblPiNAnalysis[[#This Row],[Site Management ]:[General Protection]], 1), "")</f>
        <v>0</v>
      </c>
      <c r="AG201" s="320" t="e">
        <f>IF(tblPiNAnalysis[[#This Row],[Highest PiN]]="", "",tblPiNAnalysis[[#This Row],[Highest PiN]]/ tblPiNAnalysis[[#This Row],[Total Population]])</f>
        <v>#DIV/0!</v>
      </c>
      <c r="AH201" s="320" t="str">
        <f>IFERROR(IF(tblPiNAnalysis[[#This Row],[Highest PiN]]="", "", IF(tblPiNAnalysis[[#This Row],[Highest sector(s'') PiN %]]&gt;=flag_pin_perc, "Flagged", "")), "")</f>
        <v/>
      </c>
      <c r="AI201" s="321"/>
      <c r="AJ201" s="322"/>
      <c r="AK201" s="323">
        <f>COUNTIFS(tblPiNAnalysis[[#This Row],[Highest PiN greater than 90% of total affected population]:[Manual Flag]],"Flagged")</f>
        <v>0</v>
      </c>
      <c r="AL201" s="324" t="str">
        <f>IF(tblPiNAnalysis[[#This Row],['# Flags]]&gt;0, "Flagged", "")</f>
        <v/>
      </c>
    </row>
    <row r="202" spans="1:38" ht="23.1" hidden="1" customHeight="1" x14ac:dyDescent="0.2">
      <c r="A202" s="309" t="str">
        <f>_xlfn.CONCAT(IF(tblPiNAnalysis[[#This Row],[Population Group]]="", "",tblPiNAnalysis[[#This Row],[Population Group]] ), _xlfn.IFS(tblPiNAnalysis[[#This Row],[Admin 2 P-Code]]&lt;&gt;"", tblPiNAnalysis[[#This Row],[Admin 2 P-Code]], tblPiNAnalysis[[#This Row],[Admin 1 P-Code]]&lt;&gt;"", tblPiNAnalysis[[#This Row],[Admin 1 P-Code]]))</f>
        <v>Host CommunitySD06132</v>
      </c>
      <c r="B202" s="245" t="s">
        <v>141</v>
      </c>
      <c r="C202" s="246" t="s">
        <v>123</v>
      </c>
      <c r="D202" s="247" t="s">
        <v>154</v>
      </c>
      <c r="E202" s="246" t="s">
        <v>153</v>
      </c>
      <c r="F202" s="248">
        <v>0</v>
      </c>
      <c r="G202" s="248" t="s">
        <v>87</v>
      </c>
      <c r="H202" s="310"/>
      <c r="I202" s="311"/>
      <c r="J202" s="312"/>
      <c r="K202" s="311"/>
      <c r="L202" s="311"/>
      <c r="M202" s="312"/>
      <c r="N202" s="312">
        <f>_xlfn.XLOOKUP(CONCATENATE(tblPiNAnalysis[[#This Row],[Admin 2 P-Code]],tblPiNAnalysis[[#This Row],[Population Group]]),'Overall severity &amp; PIN Analysis'!A:A,'Overall severity &amp; PIN Analysis'!P:P,0,0)</f>
        <v>0</v>
      </c>
      <c r="O202" s="311"/>
      <c r="P202" s="312"/>
      <c r="Q202" s="312"/>
      <c r="R202" s="312"/>
      <c r="S202" s="312"/>
      <c r="T202" s="313" t="str">
        <f>IF(tblPiNAnalysis[[#This Row],[Site Management ]]="", "", tblPiNAnalysis[[#This Row],[Site Management ]]/tblPiNAnalysis[[#This Row],[Total Population]])</f>
        <v/>
      </c>
      <c r="U202" s="314" t="str">
        <f>IF(tblPiNAnalysis[[#This Row],[Education]]="", "", tblPiNAnalysis[[#This Row],[Education]]/tblPiNAnalysis[[#This Row],[Total Population]])</f>
        <v/>
      </c>
      <c r="V202" s="314" t="str">
        <f>IF(tblPiNAnalysis[[#This Row],[Food Security and Livlihoods]]="", "", tblPiNAnalysis[[#This Row],[Food Security and Livlihoods]]/tblPiNAnalysis[[#This Row],[Total Population]])</f>
        <v/>
      </c>
      <c r="W202" s="315" t="str">
        <f>IF(tblPiNAnalysis[[#This Row],[Health ]]="", "", tblPiNAnalysis[[#This Row],[Health ]]/tblPiNAnalysis[[#This Row],[Total Population]])</f>
        <v/>
      </c>
      <c r="X202" s="314" t="str">
        <f>IF(tblPiNAnalysis[[#This Row],[Nutrition]]="", "", tblPiNAnalysis[[#This Row],[Nutrition]]/tblPiNAnalysis[[#This Row],[Total Population]])</f>
        <v/>
      </c>
      <c r="Y202" s="314" t="str">
        <f>IF(tblPiNAnalysis[[#This Row],[Protection]]="", "", tblPiNAnalysis[[#This Row],[Protection]]/tblPiNAnalysis[[#This Row],[Total Population]])</f>
        <v/>
      </c>
      <c r="Z202" s="316" t="e">
        <f>IF(tblPiNAnalysis[[#This Row],[Shelter NFI ]]="", "", tblPiNAnalysis[[#This Row],[Shelter NFI ]]/tblPiNAnalysis[[#This Row],[Total Population]])</f>
        <v>#DIV/0!</v>
      </c>
      <c r="AA202" s="317" t="str">
        <f>IF(tblPiNAnalysis[[#This Row],[WASH]]="", "", tblPiNAnalysis[[#This Row],[WASH]]/tblPiNAnalysis[[#This Row],[Total Population]])</f>
        <v/>
      </c>
      <c r="AB202" s="318" t="str">
        <f>IFERROR(IF(tblPiNAnalysis[[#This Row],[CP]]="", "", MROUND(tblPiNAnalysis[[#This Row],[CP]]/tblPiNAnalysis[[#This Row],[Total Population]], 0.05)), "")</f>
        <v/>
      </c>
      <c r="AC202" s="314" t="str">
        <f>IFERROR(IF(tblPiNAnalysis[[#This Row],[GBV]]="", "", MROUND(tblPiNAnalysis[[#This Row],[GBV]]/tblPiNAnalysis[[#This Row],[Total Population]], 0.05)), "")</f>
        <v/>
      </c>
      <c r="AD202" s="314" t="str">
        <f>IFERROR(IF(tblPiNAnalysis[[#This Row],[Mine Action]]="", "", MROUND(tblPiNAnalysis[[#This Row],[Mine Action]]/tblPiNAnalysis[[#This Row],[Total Population]], 0.05)), "")</f>
        <v/>
      </c>
      <c r="AE202" s="314" t="str">
        <f>IFERROR(IF(tblPiNAnalysis[[#This Row],[General Protection]]="", "", MROUND(tblPiNAnalysis[[#This Row],[General Protection]]/tblPiNAnalysis[[#This Row],[Total Population]], 0.05)), "")</f>
        <v/>
      </c>
      <c r="AF202" s="319">
        <f>IFERROR(LARGE(tblPiNAnalysis[[#This Row],[Site Management ]:[General Protection]], 1), "")</f>
        <v>0</v>
      </c>
      <c r="AG202" s="320" t="e">
        <f>IF(tblPiNAnalysis[[#This Row],[Highest PiN]]="", "",tblPiNAnalysis[[#This Row],[Highest PiN]]/ tblPiNAnalysis[[#This Row],[Total Population]])</f>
        <v>#DIV/0!</v>
      </c>
      <c r="AH202" s="320" t="str">
        <f>IFERROR(IF(tblPiNAnalysis[[#This Row],[Highest PiN]]="", "", IF(tblPiNAnalysis[[#This Row],[Highest sector(s'') PiN %]]&gt;=flag_pin_perc, "Flagged", "")), "")</f>
        <v/>
      </c>
      <c r="AI202" s="321"/>
      <c r="AJ202" s="322"/>
      <c r="AK202" s="323">
        <f>COUNTIFS(tblPiNAnalysis[[#This Row],[Highest PiN greater than 90% of total affected population]:[Manual Flag]],"Flagged")</f>
        <v>0</v>
      </c>
      <c r="AL202" s="324" t="str">
        <f>IF(tblPiNAnalysis[[#This Row],['# Flags]]&gt;0, "Flagged", "")</f>
        <v/>
      </c>
    </row>
    <row r="203" spans="1:38" ht="23.1" hidden="1" customHeight="1" x14ac:dyDescent="0.2">
      <c r="A203" s="309" t="str">
        <f>_xlfn.CONCAT(IF(tblPiNAnalysis[[#This Row],[Population Group]]="", "",tblPiNAnalysis[[#This Row],[Population Group]] ), _xlfn.IFS(tblPiNAnalysis[[#This Row],[Admin 2 P-Code]]&lt;&gt;"", tblPiNAnalysis[[#This Row],[Admin 2 P-Code]], tblPiNAnalysis[[#This Row],[Admin 1 P-Code]]&lt;&gt;"", tblPiNAnalysis[[#This Row],[Admin 1 P-Code]]))</f>
        <v>IDPsSD06132</v>
      </c>
      <c r="B203" s="245" t="s">
        <v>141</v>
      </c>
      <c r="C203" s="246" t="s">
        <v>123</v>
      </c>
      <c r="D203" s="247" t="s">
        <v>154</v>
      </c>
      <c r="E203" s="246" t="s">
        <v>153</v>
      </c>
      <c r="F203" s="248">
        <v>131357</v>
      </c>
      <c r="G203" s="248" t="s">
        <v>88</v>
      </c>
      <c r="H203" s="310"/>
      <c r="I203" s="311"/>
      <c r="J203" s="311"/>
      <c r="K203" s="311"/>
      <c r="L203" s="311"/>
      <c r="M203" s="311"/>
      <c r="N203" s="311">
        <f>_xlfn.XLOOKUP(CONCATENATE(tblPiNAnalysis[[#This Row],[Admin 2 P-Code]],tblPiNAnalysis[[#This Row],[Population Group]]),'Overall severity &amp; PIN Analysis'!A:A,'Overall severity &amp; PIN Analysis'!P:P,0,0)</f>
        <v>70815</v>
      </c>
      <c r="O203" s="311"/>
      <c r="P203" s="311"/>
      <c r="Q203" s="311"/>
      <c r="R203" s="311"/>
      <c r="S203" s="311"/>
      <c r="T203" s="326" t="str">
        <f>IF(tblPiNAnalysis[[#This Row],[Site Management ]]="", "", tblPiNAnalysis[[#This Row],[Site Management ]]/tblPiNAnalysis[[#This Row],[Total Population]])</f>
        <v/>
      </c>
      <c r="U203" s="315" t="str">
        <f>IF(tblPiNAnalysis[[#This Row],[Education]]="", "", tblPiNAnalysis[[#This Row],[Education]]/tblPiNAnalysis[[#This Row],[Total Population]])</f>
        <v/>
      </c>
      <c r="V203" s="315" t="str">
        <f>IF(tblPiNAnalysis[[#This Row],[Food Security and Livlihoods]]="", "", tblPiNAnalysis[[#This Row],[Food Security and Livlihoods]]/tblPiNAnalysis[[#This Row],[Total Population]])</f>
        <v/>
      </c>
      <c r="W203" s="315" t="str">
        <f>IF(tblPiNAnalysis[[#This Row],[Health ]]="", "", tblPiNAnalysis[[#This Row],[Health ]]/tblPiNAnalysis[[#This Row],[Total Population]])</f>
        <v/>
      </c>
      <c r="X203" s="315" t="str">
        <f>IF(tblPiNAnalysis[[#This Row],[Nutrition]]="", "", tblPiNAnalysis[[#This Row],[Nutrition]]/tblPiNAnalysis[[#This Row],[Total Population]])</f>
        <v/>
      </c>
      <c r="Y203" s="315" t="str">
        <f>IF(tblPiNAnalysis[[#This Row],[Protection]]="", "", tblPiNAnalysis[[#This Row],[Protection]]/tblPiNAnalysis[[#This Row],[Total Population]])</f>
        <v/>
      </c>
      <c r="Z203" s="327">
        <f>IF(tblPiNAnalysis[[#This Row],[Shelter NFI ]]="", "", tblPiNAnalysis[[#This Row],[Shelter NFI ]]/tblPiNAnalysis[[#This Row],[Total Population]])</f>
        <v>0.53910335954688371</v>
      </c>
      <c r="AA203" s="328" t="str">
        <f>IF(tblPiNAnalysis[[#This Row],[WASH]]="", "", tblPiNAnalysis[[#This Row],[WASH]]/tblPiNAnalysis[[#This Row],[Total Population]])</f>
        <v/>
      </c>
      <c r="AB203" s="329" t="str">
        <f>IFERROR(IF(tblPiNAnalysis[[#This Row],[CP]]="", "", MROUND(tblPiNAnalysis[[#This Row],[CP]]/tblPiNAnalysis[[#This Row],[Total Population]], 0.05)), "")</f>
        <v/>
      </c>
      <c r="AC203" s="315" t="str">
        <f>IFERROR(IF(tblPiNAnalysis[[#This Row],[GBV]]="", "", MROUND(tblPiNAnalysis[[#This Row],[GBV]]/tblPiNAnalysis[[#This Row],[Total Population]], 0.05)), "")</f>
        <v/>
      </c>
      <c r="AD203" s="315" t="str">
        <f>IFERROR(IF(tblPiNAnalysis[[#This Row],[Mine Action]]="", "", MROUND(tblPiNAnalysis[[#This Row],[Mine Action]]/tblPiNAnalysis[[#This Row],[Total Population]], 0.05)), "")</f>
        <v/>
      </c>
      <c r="AE203" s="315" t="str">
        <f>IFERROR(IF(tblPiNAnalysis[[#This Row],[General Protection]]="", "", MROUND(tblPiNAnalysis[[#This Row],[General Protection]]/tblPiNAnalysis[[#This Row],[Total Population]], 0.05)), "")</f>
        <v/>
      </c>
      <c r="AF203" s="319">
        <f>IFERROR(LARGE(tblPiNAnalysis[[#This Row],[Site Management ]:[General Protection]], 1), "")</f>
        <v>70815</v>
      </c>
      <c r="AG203" s="330">
        <f>IF(tblPiNAnalysis[[#This Row],[Highest PiN]]="", "",tblPiNAnalysis[[#This Row],[Highest PiN]]/ tblPiNAnalysis[[#This Row],[Total Population]])</f>
        <v>0.53910335954688371</v>
      </c>
      <c r="AH203" s="330" t="str">
        <f>IFERROR(IF(tblPiNAnalysis[[#This Row],[Highest PiN]]="", "", IF(tblPiNAnalysis[[#This Row],[Highest sector(s'') PiN %]]&gt;=flag_pin_perc, "Flagged", "")), "")</f>
        <v/>
      </c>
      <c r="AI203" s="321"/>
      <c r="AJ203" s="322"/>
      <c r="AK203" s="323">
        <f>COUNTIFS(tblPiNAnalysis[[#This Row],[Highest PiN greater than 90% of total affected population]:[Manual Flag]],"Flagged")</f>
        <v>0</v>
      </c>
      <c r="AL203" s="331" t="str">
        <f>IF(tblPiNAnalysis[[#This Row],['# Flags]]&gt;0, "Flagged", "")</f>
        <v/>
      </c>
    </row>
    <row r="204" spans="1:38" ht="23.1" customHeight="1" x14ac:dyDescent="0.2">
      <c r="A204" s="309" t="str">
        <f>_xlfn.CONCAT(IF(tblPiNAnalysis[[#This Row],[Population Group]]="", "",tblPiNAnalysis[[#This Row],[Population Group]] ), _xlfn.IFS(tblPiNAnalysis[[#This Row],[Admin 2 P-Code]]&lt;&gt;"", tblPiNAnalysis[[#This Row],[Admin 2 P-Code]], tblPiNAnalysis[[#This Row],[Admin 1 P-Code]]&lt;&gt;"", tblPiNAnalysis[[#This Row],[Admin 1 P-Code]]))</f>
        <v>Non-hosting PopulationSD06132</v>
      </c>
      <c r="B204" s="245" t="s">
        <v>141</v>
      </c>
      <c r="C204" s="246" t="s">
        <v>123</v>
      </c>
      <c r="D204" s="247" t="s">
        <v>154</v>
      </c>
      <c r="E204" s="246" t="s">
        <v>153</v>
      </c>
      <c r="F204" s="248">
        <v>0</v>
      </c>
      <c r="G204" s="248" t="s">
        <v>568</v>
      </c>
      <c r="H204" s="310"/>
      <c r="I204" s="311"/>
      <c r="J204" s="312"/>
      <c r="K204" s="311"/>
      <c r="L204" s="311"/>
      <c r="M204" s="312"/>
      <c r="N204" s="312">
        <f>_xlfn.XLOOKUP(CONCATENATE(tblPiNAnalysis[[#This Row],[Admin 2 P-Code]],tblPiNAnalysis[[#This Row],[Population Group]]),'Overall severity &amp; PIN Analysis'!A:A,'Overall severity &amp; PIN Analysis'!P:P,0,0)</f>
        <v>0</v>
      </c>
      <c r="O204" s="311"/>
      <c r="P204" s="312"/>
      <c r="Q204" s="312"/>
      <c r="R204" s="312"/>
      <c r="S204" s="312"/>
      <c r="T204" s="313" t="str">
        <f>IF(tblPiNAnalysis[[#This Row],[Site Management ]]="", "", tblPiNAnalysis[[#This Row],[Site Management ]]/tblPiNAnalysis[[#This Row],[Total Population]])</f>
        <v/>
      </c>
      <c r="U204" s="314" t="str">
        <f>IF(tblPiNAnalysis[[#This Row],[Education]]="", "", tblPiNAnalysis[[#This Row],[Education]]/tblPiNAnalysis[[#This Row],[Total Population]])</f>
        <v/>
      </c>
      <c r="V204" s="314" t="str">
        <f>IF(tblPiNAnalysis[[#This Row],[Food Security and Livlihoods]]="", "", tblPiNAnalysis[[#This Row],[Food Security and Livlihoods]]/tblPiNAnalysis[[#This Row],[Total Population]])</f>
        <v/>
      </c>
      <c r="W204" s="315" t="str">
        <f>IF(tblPiNAnalysis[[#This Row],[Health ]]="", "", tblPiNAnalysis[[#This Row],[Health ]]/tblPiNAnalysis[[#This Row],[Total Population]])</f>
        <v/>
      </c>
      <c r="X204" s="314" t="str">
        <f>IF(tblPiNAnalysis[[#This Row],[Nutrition]]="", "", tblPiNAnalysis[[#This Row],[Nutrition]]/tblPiNAnalysis[[#This Row],[Total Population]])</f>
        <v/>
      </c>
      <c r="Y204" s="314" t="str">
        <f>IF(tblPiNAnalysis[[#This Row],[Protection]]="", "", tblPiNAnalysis[[#This Row],[Protection]]/tblPiNAnalysis[[#This Row],[Total Population]])</f>
        <v/>
      </c>
      <c r="Z204" s="316" t="e">
        <f>IF(tblPiNAnalysis[[#This Row],[Shelter NFI ]]="", "", tblPiNAnalysis[[#This Row],[Shelter NFI ]]/tblPiNAnalysis[[#This Row],[Total Population]])</f>
        <v>#DIV/0!</v>
      </c>
      <c r="AA204" s="317" t="str">
        <f>IF(tblPiNAnalysis[[#This Row],[WASH]]="", "", tblPiNAnalysis[[#This Row],[WASH]]/tblPiNAnalysis[[#This Row],[Total Population]])</f>
        <v/>
      </c>
      <c r="AB204" s="318" t="str">
        <f>IFERROR(IF(tblPiNAnalysis[[#This Row],[CP]]="", "", MROUND(tblPiNAnalysis[[#This Row],[CP]]/tblPiNAnalysis[[#This Row],[Total Population]], 0.05)), "")</f>
        <v/>
      </c>
      <c r="AC204" s="314" t="str">
        <f>IFERROR(IF(tblPiNAnalysis[[#This Row],[GBV]]="", "", MROUND(tblPiNAnalysis[[#This Row],[GBV]]/tblPiNAnalysis[[#This Row],[Total Population]], 0.05)), "")</f>
        <v/>
      </c>
      <c r="AD204" s="314" t="str">
        <f>IFERROR(IF(tblPiNAnalysis[[#This Row],[Mine Action]]="", "", MROUND(tblPiNAnalysis[[#This Row],[Mine Action]]/tblPiNAnalysis[[#This Row],[Total Population]], 0.05)), "")</f>
        <v/>
      </c>
      <c r="AE204" s="314" t="str">
        <f>IFERROR(IF(tblPiNAnalysis[[#This Row],[General Protection]]="", "", MROUND(tblPiNAnalysis[[#This Row],[General Protection]]/tblPiNAnalysis[[#This Row],[Total Population]], 0.05)), "")</f>
        <v/>
      </c>
      <c r="AF204" s="319">
        <f>IFERROR(LARGE(tblPiNAnalysis[[#This Row],[Site Management ]:[General Protection]], 1), "")</f>
        <v>0</v>
      </c>
      <c r="AG204" s="320" t="e">
        <f>IF(tblPiNAnalysis[[#This Row],[Highest PiN]]="", "",tblPiNAnalysis[[#This Row],[Highest PiN]]/ tblPiNAnalysis[[#This Row],[Total Population]])</f>
        <v>#DIV/0!</v>
      </c>
      <c r="AH204" s="320" t="str">
        <f>IFERROR(IF(tblPiNAnalysis[[#This Row],[Highest PiN]]="", "", IF(tblPiNAnalysis[[#This Row],[Highest sector(s'') PiN %]]&gt;=flag_pin_perc, "Flagged", "")), "")</f>
        <v/>
      </c>
      <c r="AI204" s="321"/>
      <c r="AJ204" s="322"/>
      <c r="AK204" s="323">
        <f>COUNTIFS(tblPiNAnalysis[[#This Row],[Highest PiN greater than 90% of total affected population]:[Manual Flag]],"Flagged")</f>
        <v>0</v>
      </c>
      <c r="AL204" s="324" t="str">
        <f>IF(tblPiNAnalysis[[#This Row],['# Flags]]&gt;0, "Flagged", "")</f>
        <v/>
      </c>
    </row>
    <row r="205" spans="1:38" ht="23.1" hidden="1" customHeight="1" x14ac:dyDescent="0.2">
      <c r="A205" s="309" t="str">
        <f>_xlfn.CONCAT(IF(tblPiNAnalysis[[#This Row],[Population Group]]="", "",tblPiNAnalysis[[#This Row],[Population Group]] ), _xlfn.IFS(tblPiNAnalysis[[#This Row],[Admin 2 P-Code]]&lt;&gt;"", tblPiNAnalysis[[#This Row],[Admin 2 P-Code]], tblPiNAnalysis[[#This Row],[Admin 1 P-Code]]&lt;&gt;"", tblPiNAnalysis[[#This Row],[Admin 1 P-Code]]))</f>
        <v>Host CommunitySD06135</v>
      </c>
      <c r="B205" s="245" t="s">
        <v>141</v>
      </c>
      <c r="C205" s="246" t="s">
        <v>123</v>
      </c>
      <c r="D205" s="247" t="s">
        <v>157</v>
      </c>
      <c r="E205" s="246" t="s">
        <v>156</v>
      </c>
      <c r="F205" s="248">
        <v>37755</v>
      </c>
      <c r="G205" s="248" t="s">
        <v>87</v>
      </c>
      <c r="H205" s="310"/>
      <c r="I205" s="311"/>
      <c r="J205" s="312"/>
      <c r="K205" s="311"/>
      <c r="L205" s="311"/>
      <c r="M205" s="312"/>
      <c r="N205" s="312">
        <f>_xlfn.XLOOKUP(CONCATENATE(tblPiNAnalysis[[#This Row],[Admin 2 P-Code]],tblPiNAnalysis[[#This Row],[Population Group]]),'Overall severity &amp; PIN Analysis'!A:A,'Overall severity &amp; PIN Analysis'!P:P,0,0)</f>
        <v>18444</v>
      </c>
      <c r="O205" s="311"/>
      <c r="P205" s="312"/>
      <c r="Q205" s="312"/>
      <c r="R205" s="312"/>
      <c r="S205" s="312"/>
      <c r="T205" s="313" t="str">
        <f>IF(tblPiNAnalysis[[#This Row],[Site Management ]]="", "", tblPiNAnalysis[[#This Row],[Site Management ]]/tblPiNAnalysis[[#This Row],[Total Population]])</f>
        <v/>
      </c>
      <c r="U205" s="314" t="str">
        <f>IF(tblPiNAnalysis[[#This Row],[Education]]="", "", tblPiNAnalysis[[#This Row],[Education]]/tblPiNAnalysis[[#This Row],[Total Population]])</f>
        <v/>
      </c>
      <c r="V205" s="314" t="str">
        <f>IF(tblPiNAnalysis[[#This Row],[Food Security and Livlihoods]]="", "", tblPiNAnalysis[[#This Row],[Food Security and Livlihoods]]/tblPiNAnalysis[[#This Row],[Total Population]])</f>
        <v/>
      </c>
      <c r="W205" s="315" t="str">
        <f>IF(tblPiNAnalysis[[#This Row],[Health ]]="", "", tblPiNAnalysis[[#This Row],[Health ]]/tblPiNAnalysis[[#This Row],[Total Population]])</f>
        <v/>
      </c>
      <c r="X205" s="314" t="str">
        <f>IF(tblPiNAnalysis[[#This Row],[Nutrition]]="", "", tblPiNAnalysis[[#This Row],[Nutrition]]/tblPiNAnalysis[[#This Row],[Total Population]])</f>
        <v/>
      </c>
      <c r="Y205" s="314" t="str">
        <f>IF(tblPiNAnalysis[[#This Row],[Protection]]="", "", tblPiNAnalysis[[#This Row],[Protection]]/tblPiNAnalysis[[#This Row],[Total Population]])</f>
        <v/>
      </c>
      <c r="Z205" s="316">
        <f>IF(tblPiNAnalysis[[#This Row],[Shelter NFI ]]="", "", tblPiNAnalysis[[#This Row],[Shelter NFI ]]/tblPiNAnalysis[[#This Row],[Total Population]])</f>
        <v>0.48851807707588402</v>
      </c>
      <c r="AA205" s="317" t="str">
        <f>IF(tblPiNAnalysis[[#This Row],[WASH]]="", "", tblPiNAnalysis[[#This Row],[WASH]]/tblPiNAnalysis[[#This Row],[Total Population]])</f>
        <v/>
      </c>
      <c r="AB205" s="318" t="str">
        <f>IFERROR(IF(tblPiNAnalysis[[#This Row],[CP]]="", "", MROUND(tblPiNAnalysis[[#This Row],[CP]]/tblPiNAnalysis[[#This Row],[Total Population]], 0.05)), "")</f>
        <v/>
      </c>
      <c r="AC205" s="314" t="str">
        <f>IFERROR(IF(tblPiNAnalysis[[#This Row],[GBV]]="", "", MROUND(tblPiNAnalysis[[#This Row],[GBV]]/tblPiNAnalysis[[#This Row],[Total Population]], 0.05)), "")</f>
        <v/>
      </c>
      <c r="AD205" s="314" t="str">
        <f>IFERROR(IF(tblPiNAnalysis[[#This Row],[Mine Action]]="", "", MROUND(tblPiNAnalysis[[#This Row],[Mine Action]]/tblPiNAnalysis[[#This Row],[Total Population]], 0.05)), "")</f>
        <v/>
      </c>
      <c r="AE205" s="314" t="str">
        <f>IFERROR(IF(tblPiNAnalysis[[#This Row],[General Protection]]="", "", MROUND(tblPiNAnalysis[[#This Row],[General Protection]]/tblPiNAnalysis[[#This Row],[Total Population]], 0.05)), "")</f>
        <v/>
      </c>
      <c r="AF205" s="319">
        <f>IFERROR(LARGE(tblPiNAnalysis[[#This Row],[Site Management ]:[General Protection]], 1), "")</f>
        <v>18444</v>
      </c>
      <c r="AG205" s="320">
        <f>IF(tblPiNAnalysis[[#This Row],[Highest PiN]]="", "",tblPiNAnalysis[[#This Row],[Highest PiN]]/ tblPiNAnalysis[[#This Row],[Total Population]])</f>
        <v>0.48851807707588402</v>
      </c>
      <c r="AH205" s="320" t="str">
        <f>IFERROR(IF(tblPiNAnalysis[[#This Row],[Highest PiN]]="", "", IF(tblPiNAnalysis[[#This Row],[Highest sector(s'') PiN %]]&gt;=flag_pin_perc, "Flagged", "")), "")</f>
        <v/>
      </c>
      <c r="AI205" s="321"/>
      <c r="AJ205" s="322"/>
      <c r="AK205" s="323">
        <f>COUNTIFS(tblPiNAnalysis[[#This Row],[Highest PiN greater than 90% of total affected population]:[Manual Flag]],"Flagged")</f>
        <v>0</v>
      </c>
      <c r="AL205" s="324" t="str">
        <f>IF(tblPiNAnalysis[[#This Row],['# Flags]]&gt;0, "Flagged", "")</f>
        <v/>
      </c>
    </row>
    <row r="206" spans="1:38" ht="23.1" hidden="1" customHeight="1" x14ac:dyDescent="0.2">
      <c r="A206" s="309" t="str">
        <f>_xlfn.CONCAT(IF(tblPiNAnalysis[[#This Row],[Population Group]]="", "",tblPiNAnalysis[[#This Row],[Population Group]] ), _xlfn.IFS(tblPiNAnalysis[[#This Row],[Admin 2 P-Code]]&lt;&gt;"", tblPiNAnalysis[[#This Row],[Admin 2 P-Code]], tblPiNAnalysis[[#This Row],[Admin 1 P-Code]]&lt;&gt;"", tblPiNAnalysis[[#This Row],[Admin 1 P-Code]]))</f>
        <v>IDPsSD06135</v>
      </c>
      <c r="B206" s="245" t="s">
        <v>141</v>
      </c>
      <c r="C206" s="246" t="s">
        <v>123</v>
      </c>
      <c r="D206" s="247" t="s">
        <v>157</v>
      </c>
      <c r="E206" s="246" t="s">
        <v>156</v>
      </c>
      <c r="F206" s="248">
        <v>62030</v>
      </c>
      <c r="G206" s="248" t="s">
        <v>88</v>
      </c>
      <c r="H206" s="310"/>
      <c r="I206" s="311"/>
      <c r="J206" s="311"/>
      <c r="K206" s="311"/>
      <c r="L206" s="311"/>
      <c r="M206" s="311"/>
      <c r="N206" s="311">
        <f>_xlfn.XLOOKUP(CONCATENATE(tblPiNAnalysis[[#This Row],[Admin 2 P-Code]],tblPiNAnalysis[[#This Row],[Population Group]]),'Overall severity &amp; PIN Analysis'!A:A,'Overall severity &amp; PIN Analysis'!P:P,0,0)</f>
        <v>30304</v>
      </c>
      <c r="O206" s="311"/>
      <c r="P206" s="311"/>
      <c r="Q206" s="311"/>
      <c r="R206" s="311"/>
      <c r="S206" s="311"/>
      <c r="T206" s="326" t="str">
        <f>IF(tblPiNAnalysis[[#This Row],[Site Management ]]="", "", tblPiNAnalysis[[#This Row],[Site Management ]]/tblPiNAnalysis[[#This Row],[Total Population]])</f>
        <v/>
      </c>
      <c r="U206" s="315" t="str">
        <f>IF(tblPiNAnalysis[[#This Row],[Education]]="", "", tblPiNAnalysis[[#This Row],[Education]]/tblPiNAnalysis[[#This Row],[Total Population]])</f>
        <v/>
      </c>
      <c r="V206" s="315" t="str">
        <f>IF(tblPiNAnalysis[[#This Row],[Food Security and Livlihoods]]="", "", tblPiNAnalysis[[#This Row],[Food Security and Livlihoods]]/tblPiNAnalysis[[#This Row],[Total Population]])</f>
        <v/>
      </c>
      <c r="W206" s="315" t="str">
        <f>IF(tblPiNAnalysis[[#This Row],[Health ]]="", "", tblPiNAnalysis[[#This Row],[Health ]]/tblPiNAnalysis[[#This Row],[Total Population]])</f>
        <v/>
      </c>
      <c r="X206" s="315" t="str">
        <f>IF(tblPiNAnalysis[[#This Row],[Nutrition]]="", "", tblPiNAnalysis[[#This Row],[Nutrition]]/tblPiNAnalysis[[#This Row],[Total Population]])</f>
        <v/>
      </c>
      <c r="Y206" s="315" t="str">
        <f>IF(tblPiNAnalysis[[#This Row],[Protection]]="", "", tblPiNAnalysis[[#This Row],[Protection]]/tblPiNAnalysis[[#This Row],[Total Population]])</f>
        <v/>
      </c>
      <c r="Z206" s="327">
        <f>IF(tblPiNAnalysis[[#This Row],[Shelter NFI ]]="", "", tblPiNAnalysis[[#This Row],[Shelter NFI ]]/tblPiNAnalysis[[#This Row],[Total Population]])</f>
        <v>0.48853780428824761</v>
      </c>
      <c r="AA206" s="328" t="str">
        <f>IF(tblPiNAnalysis[[#This Row],[WASH]]="", "", tblPiNAnalysis[[#This Row],[WASH]]/tblPiNAnalysis[[#This Row],[Total Population]])</f>
        <v/>
      </c>
      <c r="AB206" s="329" t="str">
        <f>IFERROR(IF(tblPiNAnalysis[[#This Row],[CP]]="", "", MROUND(tblPiNAnalysis[[#This Row],[CP]]/tblPiNAnalysis[[#This Row],[Total Population]], 0.05)), "")</f>
        <v/>
      </c>
      <c r="AC206" s="315" t="str">
        <f>IFERROR(IF(tblPiNAnalysis[[#This Row],[GBV]]="", "", MROUND(tblPiNAnalysis[[#This Row],[GBV]]/tblPiNAnalysis[[#This Row],[Total Population]], 0.05)), "")</f>
        <v/>
      </c>
      <c r="AD206" s="315" t="str">
        <f>IFERROR(IF(tblPiNAnalysis[[#This Row],[Mine Action]]="", "", MROUND(tblPiNAnalysis[[#This Row],[Mine Action]]/tblPiNAnalysis[[#This Row],[Total Population]], 0.05)), "")</f>
        <v/>
      </c>
      <c r="AE206" s="315" t="str">
        <f>IFERROR(IF(tblPiNAnalysis[[#This Row],[General Protection]]="", "", MROUND(tblPiNAnalysis[[#This Row],[General Protection]]/tblPiNAnalysis[[#This Row],[Total Population]], 0.05)), "")</f>
        <v/>
      </c>
      <c r="AF206" s="319">
        <f>IFERROR(LARGE(tblPiNAnalysis[[#This Row],[Site Management ]:[General Protection]], 1), "")</f>
        <v>30304</v>
      </c>
      <c r="AG206" s="330">
        <f>IF(tblPiNAnalysis[[#This Row],[Highest PiN]]="", "",tblPiNAnalysis[[#This Row],[Highest PiN]]/ tblPiNAnalysis[[#This Row],[Total Population]])</f>
        <v>0.48853780428824761</v>
      </c>
      <c r="AH206" s="330" t="str">
        <f>IFERROR(IF(tblPiNAnalysis[[#This Row],[Highest PiN]]="", "", IF(tblPiNAnalysis[[#This Row],[Highest sector(s'') PiN %]]&gt;=flag_pin_perc, "Flagged", "")), "")</f>
        <v/>
      </c>
      <c r="AI206" s="321"/>
      <c r="AJ206" s="322"/>
      <c r="AK206" s="323">
        <f>COUNTIFS(tblPiNAnalysis[[#This Row],[Highest PiN greater than 90% of total affected population]:[Manual Flag]],"Flagged")</f>
        <v>0</v>
      </c>
      <c r="AL206" s="331" t="str">
        <f>IF(tblPiNAnalysis[[#This Row],['# Flags]]&gt;0, "Flagged", "")</f>
        <v/>
      </c>
    </row>
    <row r="207" spans="1:38" ht="23.1" customHeight="1" x14ac:dyDescent="0.2">
      <c r="A207" s="309" t="str">
        <f>_xlfn.CONCAT(IF(tblPiNAnalysis[[#This Row],[Population Group]]="", "",tblPiNAnalysis[[#This Row],[Population Group]] ), _xlfn.IFS(tblPiNAnalysis[[#This Row],[Admin 2 P-Code]]&lt;&gt;"", tblPiNAnalysis[[#This Row],[Admin 2 P-Code]], tblPiNAnalysis[[#This Row],[Admin 1 P-Code]]&lt;&gt;"", tblPiNAnalysis[[#This Row],[Admin 1 P-Code]]))</f>
        <v>Non-hosting PopulationSD06135</v>
      </c>
      <c r="B207" s="245" t="s">
        <v>141</v>
      </c>
      <c r="C207" s="246" t="s">
        <v>123</v>
      </c>
      <c r="D207" s="247" t="s">
        <v>157</v>
      </c>
      <c r="E207" s="246" t="s">
        <v>156</v>
      </c>
      <c r="F207" s="248">
        <v>0</v>
      </c>
      <c r="G207" s="248" t="s">
        <v>568</v>
      </c>
      <c r="H207" s="310"/>
      <c r="I207" s="311"/>
      <c r="J207" s="312"/>
      <c r="K207" s="311"/>
      <c r="L207" s="311"/>
      <c r="M207" s="312"/>
      <c r="N207" s="312">
        <f>_xlfn.XLOOKUP(CONCATENATE(tblPiNAnalysis[[#This Row],[Admin 2 P-Code]],tblPiNAnalysis[[#This Row],[Population Group]]),'Overall severity &amp; PIN Analysis'!A:A,'Overall severity &amp; PIN Analysis'!P:P,0,0)</f>
        <v>0</v>
      </c>
      <c r="O207" s="311"/>
      <c r="P207" s="312"/>
      <c r="Q207" s="312"/>
      <c r="R207" s="312"/>
      <c r="S207" s="312"/>
      <c r="T207" s="313" t="str">
        <f>IF(tblPiNAnalysis[[#This Row],[Site Management ]]="", "", tblPiNAnalysis[[#This Row],[Site Management ]]/tblPiNAnalysis[[#This Row],[Total Population]])</f>
        <v/>
      </c>
      <c r="U207" s="314" t="str">
        <f>IF(tblPiNAnalysis[[#This Row],[Education]]="", "", tblPiNAnalysis[[#This Row],[Education]]/tblPiNAnalysis[[#This Row],[Total Population]])</f>
        <v/>
      </c>
      <c r="V207" s="314" t="str">
        <f>IF(tblPiNAnalysis[[#This Row],[Food Security and Livlihoods]]="", "", tblPiNAnalysis[[#This Row],[Food Security and Livlihoods]]/tblPiNAnalysis[[#This Row],[Total Population]])</f>
        <v/>
      </c>
      <c r="W207" s="315" t="str">
        <f>IF(tblPiNAnalysis[[#This Row],[Health ]]="", "", tblPiNAnalysis[[#This Row],[Health ]]/tblPiNAnalysis[[#This Row],[Total Population]])</f>
        <v/>
      </c>
      <c r="X207" s="314" t="str">
        <f>IF(tblPiNAnalysis[[#This Row],[Nutrition]]="", "", tblPiNAnalysis[[#This Row],[Nutrition]]/tblPiNAnalysis[[#This Row],[Total Population]])</f>
        <v/>
      </c>
      <c r="Y207" s="314" t="str">
        <f>IF(tblPiNAnalysis[[#This Row],[Protection]]="", "", tblPiNAnalysis[[#This Row],[Protection]]/tblPiNAnalysis[[#This Row],[Total Population]])</f>
        <v/>
      </c>
      <c r="Z207" s="316" t="e">
        <f>IF(tblPiNAnalysis[[#This Row],[Shelter NFI ]]="", "", tblPiNAnalysis[[#This Row],[Shelter NFI ]]/tblPiNAnalysis[[#This Row],[Total Population]])</f>
        <v>#DIV/0!</v>
      </c>
      <c r="AA207" s="317" t="str">
        <f>IF(tblPiNAnalysis[[#This Row],[WASH]]="", "", tblPiNAnalysis[[#This Row],[WASH]]/tblPiNAnalysis[[#This Row],[Total Population]])</f>
        <v/>
      </c>
      <c r="AB207" s="318" t="str">
        <f>IFERROR(IF(tblPiNAnalysis[[#This Row],[CP]]="", "", MROUND(tblPiNAnalysis[[#This Row],[CP]]/tblPiNAnalysis[[#This Row],[Total Population]], 0.05)), "")</f>
        <v/>
      </c>
      <c r="AC207" s="314" t="str">
        <f>IFERROR(IF(tblPiNAnalysis[[#This Row],[GBV]]="", "", MROUND(tblPiNAnalysis[[#This Row],[GBV]]/tblPiNAnalysis[[#This Row],[Total Population]], 0.05)), "")</f>
        <v/>
      </c>
      <c r="AD207" s="314" t="str">
        <f>IFERROR(IF(tblPiNAnalysis[[#This Row],[Mine Action]]="", "", MROUND(tblPiNAnalysis[[#This Row],[Mine Action]]/tblPiNAnalysis[[#This Row],[Total Population]], 0.05)), "")</f>
        <v/>
      </c>
      <c r="AE207" s="314" t="str">
        <f>IFERROR(IF(tblPiNAnalysis[[#This Row],[General Protection]]="", "", MROUND(tblPiNAnalysis[[#This Row],[General Protection]]/tblPiNAnalysis[[#This Row],[Total Population]], 0.05)), "")</f>
        <v/>
      </c>
      <c r="AF207" s="319">
        <f>IFERROR(LARGE(tblPiNAnalysis[[#This Row],[Site Management ]:[General Protection]], 1), "")</f>
        <v>0</v>
      </c>
      <c r="AG207" s="320" t="e">
        <f>IF(tblPiNAnalysis[[#This Row],[Highest PiN]]="", "",tblPiNAnalysis[[#This Row],[Highest PiN]]/ tblPiNAnalysis[[#This Row],[Total Population]])</f>
        <v>#DIV/0!</v>
      </c>
      <c r="AH207" s="320" t="str">
        <f>IFERROR(IF(tblPiNAnalysis[[#This Row],[Highest PiN]]="", "", IF(tblPiNAnalysis[[#This Row],[Highest sector(s'') PiN %]]&gt;=flag_pin_perc, "Flagged", "")), "")</f>
        <v/>
      </c>
      <c r="AI207" s="321"/>
      <c r="AJ207" s="322"/>
      <c r="AK207" s="323">
        <f>COUNTIFS(tblPiNAnalysis[[#This Row],[Highest PiN greater than 90% of total affected population]:[Manual Flag]],"Flagged")</f>
        <v>0</v>
      </c>
      <c r="AL207" s="324" t="str">
        <f>IF(tblPiNAnalysis[[#This Row],['# Flags]]&gt;0, "Flagged", "")</f>
        <v/>
      </c>
    </row>
    <row r="208" spans="1:38" ht="23.1" hidden="1" customHeight="1" x14ac:dyDescent="0.2">
      <c r="A208" s="309" t="str">
        <f>_xlfn.CONCAT(IF(tblPiNAnalysis[[#This Row],[Population Group]]="", "",tblPiNAnalysis[[#This Row],[Population Group]] ), _xlfn.IFS(tblPiNAnalysis[[#This Row],[Admin 2 P-Code]]&lt;&gt;"", tblPiNAnalysis[[#This Row],[Admin 2 P-Code]], tblPiNAnalysis[[#This Row],[Admin 1 P-Code]]&lt;&gt;"", tblPiNAnalysis[[#This Row],[Admin 1 P-Code]]))</f>
        <v>Host CommunitySD06137</v>
      </c>
      <c r="B208" s="245" t="s">
        <v>141</v>
      </c>
      <c r="C208" s="246" t="s">
        <v>123</v>
      </c>
      <c r="D208" s="247" t="s">
        <v>160</v>
      </c>
      <c r="E208" s="246" t="s">
        <v>159</v>
      </c>
      <c r="F208" s="248">
        <v>0</v>
      </c>
      <c r="G208" s="248" t="s">
        <v>87</v>
      </c>
      <c r="H208" s="310"/>
      <c r="I208" s="311"/>
      <c r="J208" s="312"/>
      <c r="K208" s="311"/>
      <c r="L208" s="311"/>
      <c r="M208" s="312"/>
      <c r="N208" s="312">
        <f>_xlfn.XLOOKUP(CONCATENATE(tblPiNAnalysis[[#This Row],[Admin 2 P-Code]],tblPiNAnalysis[[#This Row],[Population Group]]),'Overall severity &amp; PIN Analysis'!A:A,'Overall severity &amp; PIN Analysis'!P:P,0,0)</f>
        <v>0</v>
      </c>
      <c r="O208" s="311"/>
      <c r="P208" s="312"/>
      <c r="Q208" s="312"/>
      <c r="R208" s="312"/>
      <c r="S208" s="312"/>
      <c r="T208" s="313" t="str">
        <f>IF(tblPiNAnalysis[[#This Row],[Site Management ]]="", "", tblPiNAnalysis[[#This Row],[Site Management ]]/tblPiNAnalysis[[#This Row],[Total Population]])</f>
        <v/>
      </c>
      <c r="U208" s="314" t="str">
        <f>IF(tblPiNAnalysis[[#This Row],[Education]]="", "", tblPiNAnalysis[[#This Row],[Education]]/tblPiNAnalysis[[#This Row],[Total Population]])</f>
        <v/>
      </c>
      <c r="V208" s="314" t="str">
        <f>IF(tblPiNAnalysis[[#This Row],[Food Security and Livlihoods]]="", "", tblPiNAnalysis[[#This Row],[Food Security and Livlihoods]]/tblPiNAnalysis[[#This Row],[Total Population]])</f>
        <v/>
      </c>
      <c r="W208" s="315" t="str">
        <f>IF(tblPiNAnalysis[[#This Row],[Health ]]="", "", tblPiNAnalysis[[#This Row],[Health ]]/tblPiNAnalysis[[#This Row],[Total Population]])</f>
        <v/>
      </c>
      <c r="X208" s="314" t="str">
        <f>IF(tblPiNAnalysis[[#This Row],[Nutrition]]="", "", tblPiNAnalysis[[#This Row],[Nutrition]]/tblPiNAnalysis[[#This Row],[Total Population]])</f>
        <v/>
      </c>
      <c r="Y208" s="314" t="str">
        <f>IF(tblPiNAnalysis[[#This Row],[Protection]]="", "", tblPiNAnalysis[[#This Row],[Protection]]/tblPiNAnalysis[[#This Row],[Total Population]])</f>
        <v/>
      </c>
      <c r="Z208" s="316" t="e">
        <f>IF(tblPiNAnalysis[[#This Row],[Shelter NFI ]]="", "", tblPiNAnalysis[[#This Row],[Shelter NFI ]]/tblPiNAnalysis[[#This Row],[Total Population]])</f>
        <v>#DIV/0!</v>
      </c>
      <c r="AA208" s="317" t="str">
        <f>IF(tblPiNAnalysis[[#This Row],[WASH]]="", "", tblPiNAnalysis[[#This Row],[WASH]]/tblPiNAnalysis[[#This Row],[Total Population]])</f>
        <v/>
      </c>
      <c r="AB208" s="318" t="str">
        <f>IFERROR(IF(tblPiNAnalysis[[#This Row],[CP]]="", "", MROUND(tblPiNAnalysis[[#This Row],[CP]]/tblPiNAnalysis[[#This Row],[Total Population]], 0.05)), "")</f>
        <v/>
      </c>
      <c r="AC208" s="314" t="str">
        <f>IFERROR(IF(tblPiNAnalysis[[#This Row],[GBV]]="", "", MROUND(tblPiNAnalysis[[#This Row],[GBV]]/tblPiNAnalysis[[#This Row],[Total Population]], 0.05)), "")</f>
        <v/>
      </c>
      <c r="AD208" s="314" t="str">
        <f>IFERROR(IF(tblPiNAnalysis[[#This Row],[Mine Action]]="", "", MROUND(tblPiNAnalysis[[#This Row],[Mine Action]]/tblPiNAnalysis[[#This Row],[Total Population]], 0.05)), "")</f>
        <v/>
      </c>
      <c r="AE208" s="314" t="str">
        <f>IFERROR(IF(tblPiNAnalysis[[#This Row],[General Protection]]="", "", MROUND(tblPiNAnalysis[[#This Row],[General Protection]]/tblPiNAnalysis[[#This Row],[Total Population]], 0.05)), "")</f>
        <v/>
      </c>
      <c r="AF208" s="319">
        <f>IFERROR(LARGE(tblPiNAnalysis[[#This Row],[Site Management ]:[General Protection]], 1), "")</f>
        <v>0</v>
      </c>
      <c r="AG208" s="320" t="e">
        <f>IF(tblPiNAnalysis[[#This Row],[Highest PiN]]="", "",tblPiNAnalysis[[#This Row],[Highest PiN]]/ tblPiNAnalysis[[#This Row],[Total Population]])</f>
        <v>#DIV/0!</v>
      </c>
      <c r="AH208" s="320" t="str">
        <f>IFERROR(IF(tblPiNAnalysis[[#This Row],[Highest PiN]]="", "", IF(tblPiNAnalysis[[#This Row],[Highest sector(s'') PiN %]]&gt;=flag_pin_perc, "Flagged", "")), "")</f>
        <v/>
      </c>
      <c r="AI208" s="321"/>
      <c r="AJ208" s="322"/>
      <c r="AK208" s="323">
        <f>COUNTIFS(tblPiNAnalysis[[#This Row],[Highest PiN greater than 90% of total affected population]:[Manual Flag]],"Flagged")</f>
        <v>0</v>
      </c>
      <c r="AL208" s="324" t="str">
        <f>IF(tblPiNAnalysis[[#This Row],['# Flags]]&gt;0, "Flagged", "")</f>
        <v/>
      </c>
    </row>
    <row r="209" spans="1:38" ht="23.1" hidden="1" customHeight="1" x14ac:dyDescent="0.2">
      <c r="A209" s="309" t="str">
        <f>_xlfn.CONCAT(IF(tblPiNAnalysis[[#This Row],[Population Group]]="", "",tblPiNAnalysis[[#This Row],[Population Group]] ), _xlfn.IFS(tblPiNAnalysis[[#This Row],[Admin 2 P-Code]]&lt;&gt;"", tblPiNAnalysis[[#This Row],[Admin 2 P-Code]], tblPiNAnalysis[[#This Row],[Admin 1 P-Code]]&lt;&gt;"", tblPiNAnalysis[[#This Row],[Admin 1 P-Code]]))</f>
        <v>IDPsSD06137</v>
      </c>
      <c r="B209" s="245" t="s">
        <v>141</v>
      </c>
      <c r="C209" s="246" t="s">
        <v>123</v>
      </c>
      <c r="D209" s="247" t="s">
        <v>160</v>
      </c>
      <c r="E209" s="246" t="s">
        <v>159</v>
      </c>
      <c r="F209" s="248">
        <v>85993</v>
      </c>
      <c r="G209" s="248" t="s">
        <v>88</v>
      </c>
      <c r="H209" s="310"/>
      <c r="I209" s="311"/>
      <c r="J209" s="311"/>
      <c r="K209" s="311"/>
      <c r="L209" s="311"/>
      <c r="M209" s="311"/>
      <c r="N209" s="311">
        <f>_xlfn.XLOOKUP(CONCATENATE(tblPiNAnalysis[[#This Row],[Admin 2 P-Code]],tblPiNAnalysis[[#This Row],[Population Group]]),'Overall severity &amp; PIN Analysis'!A:A,'Overall severity &amp; PIN Analysis'!P:P,0,0)</f>
        <v>34456</v>
      </c>
      <c r="O209" s="311"/>
      <c r="P209" s="311"/>
      <c r="Q209" s="311"/>
      <c r="R209" s="311"/>
      <c r="S209" s="311"/>
      <c r="T209" s="326" t="str">
        <f>IF(tblPiNAnalysis[[#This Row],[Site Management ]]="", "", tblPiNAnalysis[[#This Row],[Site Management ]]/tblPiNAnalysis[[#This Row],[Total Population]])</f>
        <v/>
      </c>
      <c r="U209" s="315" t="str">
        <f>IF(tblPiNAnalysis[[#This Row],[Education]]="", "", tblPiNAnalysis[[#This Row],[Education]]/tblPiNAnalysis[[#This Row],[Total Population]])</f>
        <v/>
      </c>
      <c r="V209" s="315" t="str">
        <f>IF(tblPiNAnalysis[[#This Row],[Food Security and Livlihoods]]="", "", tblPiNAnalysis[[#This Row],[Food Security and Livlihoods]]/tblPiNAnalysis[[#This Row],[Total Population]])</f>
        <v/>
      </c>
      <c r="W209" s="315" t="str">
        <f>IF(tblPiNAnalysis[[#This Row],[Health ]]="", "", tblPiNAnalysis[[#This Row],[Health ]]/tblPiNAnalysis[[#This Row],[Total Population]])</f>
        <v/>
      </c>
      <c r="X209" s="315" t="str">
        <f>IF(tblPiNAnalysis[[#This Row],[Nutrition]]="", "", tblPiNAnalysis[[#This Row],[Nutrition]]/tblPiNAnalysis[[#This Row],[Total Population]])</f>
        <v/>
      </c>
      <c r="Y209" s="315" t="str">
        <f>IF(tblPiNAnalysis[[#This Row],[Protection]]="", "", tblPiNAnalysis[[#This Row],[Protection]]/tblPiNAnalysis[[#This Row],[Total Population]])</f>
        <v/>
      </c>
      <c r="Z209" s="327">
        <f>IF(tblPiNAnalysis[[#This Row],[Shelter NFI ]]="", "", tblPiNAnalysis[[#This Row],[Shelter NFI ]]/tblPiNAnalysis[[#This Row],[Total Population]])</f>
        <v>0.40068377658646637</v>
      </c>
      <c r="AA209" s="328" t="str">
        <f>IF(tblPiNAnalysis[[#This Row],[WASH]]="", "", tblPiNAnalysis[[#This Row],[WASH]]/tblPiNAnalysis[[#This Row],[Total Population]])</f>
        <v/>
      </c>
      <c r="AB209" s="329" t="str">
        <f>IFERROR(IF(tblPiNAnalysis[[#This Row],[CP]]="", "", MROUND(tblPiNAnalysis[[#This Row],[CP]]/tblPiNAnalysis[[#This Row],[Total Population]], 0.05)), "")</f>
        <v/>
      </c>
      <c r="AC209" s="315" t="str">
        <f>IFERROR(IF(tblPiNAnalysis[[#This Row],[GBV]]="", "", MROUND(tblPiNAnalysis[[#This Row],[GBV]]/tblPiNAnalysis[[#This Row],[Total Population]], 0.05)), "")</f>
        <v/>
      </c>
      <c r="AD209" s="315" t="str">
        <f>IFERROR(IF(tblPiNAnalysis[[#This Row],[Mine Action]]="", "", MROUND(tblPiNAnalysis[[#This Row],[Mine Action]]/tblPiNAnalysis[[#This Row],[Total Population]], 0.05)), "")</f>
        <v/>
      </c>
      <c r="AE209" s="315" t="str">
        <f>IFERROR(IF(tblPiNAnalysis[[#This Row],[General Protection]]="", "", MROUND(tblPiNAnalysis[[#This Row],[General Protection]]/tblPiNAnalysis[[#This Row],[Total Population]], 0.05)), "")</f>
        <v/>
      </c>
      <c r="AF209" s="319">
        <f>IFERROR(LARGE(tblPiNAnalysis[[#This Row],[Site Management ]:[General Protection]], 1), "")</f>
        <v>34456</v>
      </c>
      <c r="AG209" s="330">
        <f>IF(tblPiNAnalysis[[#This Row],[Highest PiN]]="", "",tblPiNAnalysis[[#This Row],[Highest PiN]]/ tblPiNAnalysis[[#This Row],[Total Population]])</f>
        <v>0.40068377658646637</v>
      </c>
      <c r="AH209" s="330" t="str">
        <f>IFERROR(IF(tblPiNAnalysis[[#This Row],[Highest PiN]]="", "", IF(tblPiNAnalysis[[#This Row],[Highest sector(s'') PiN %]]&gt;=flag_pin_perc, "Flagged", "")), "")</f>
        <v/>
      </c>
      <c r="AI209" s="321"/>
      <c r="AJ209" s="322"/>
      <c r="AK209" s="323">
        <f>COUNTIFS(tblPiNAnalysis[[#This Row],[Highest PiN greater than 90% of total affected population]:[Manual Flag]],"Flagged")</f>
        <v>0</v>
      </c>
      <c r="AL209" s="331" t="str">
        <f>IF(tblPiNAnalysis[[#This Row],['# Flags]]&gt;0, "Flagged", "")</f>
        <v/>
      </c>
    </row>
    <row r="210" spans="1:38" ht="23.1" customHeight="1" x14ac:dyDescent="0.2">
      <c r="A210" s="309" t="str">
        <f>_xlfn.CONCAT(IF(tblPiNAnalysis[[#This Row],[Population Group]]="", "",tblPiNAnalysis[[#This Row],[Population Group]] ), _xlfn.IFS(tblPiNAnalysis[[#This Row],[Admin 2 P-Code]]&lt;&gt;"", tblPiNAnalysis[[#This Row],[Admin 2 P-Code]], tblPiNAnalysis[[#This Row],[Admin 1 P-Code]]&lt;&gt;"", tblPiNAnalysis[[#This Row],[Admin 1 P-Code]]))</f>
        <v>Non-hosting PopulationSD06137</v>
      </c>
      <c r="B210" s="245" t="s">
        <v>141</v>
      </c>
      <c r="C210" s="246" t="s">
        <v>123</v>
      </c>
      <c r="D210" s="247" t="s">
        <v>160</v>
      </c>
      <c r="E210" s="246" t="s">
        <v>159</v>
      </c>
      <c r="F210" s="248">
        <v>0</v>
      </c>
      <c r="G210" s="248" t="s">
        <v>568</v>
      </c>
      <c r="H210" s="310"/>
      <c r="I210" s="311"/>
      <c r="J210" s="312"/>
      <c r="K210" s="311"/>
      <c r="L210" s="311"/>
      <c r="M210" s="312"/>
      <c r="N210" s="312">
        <f>_xlfn.XLOOKUP(CONCATENATE(tblPiNAnalysis[[#This Row],[Admin 2 P-Code]],tblPiNAnalysis[[#This Row],[Population Group]]),'Overall severity &amp; PIN Analysis'!A:A,'Overall severity &amp; PIN Analysis'!P:P,0,0)</f>
        <v>0</v>
      </c>
      <c r="O210" s="311"/>
      <c r="P210" s="312"/>
      <c r="Q210" s="312"/>
      <c r="R210" s="312"/>
      <c r="S210" s="312"/>
      <c r="T210" s="313" t="str">
        <f>IF(tblPiNAnalysis[[#This Row],[Site Management ]]="", "", tblPiNAnalysis[[#This Row],[Site Management ]]/tblPiNAnalysis[[#This Row],[Total Population]])</f>
        <v/>
      </c>
      <c r="U210" s="314" t="str">
        <f>IF(tblPiNAnalysis[[#This Row],[Education]]="", "", tblPiNAnalysis[[#This Row],[Education]]/tblPiNAnalysis[[#This Row],[Total Population]])</f>
        <v/>
      </c>
      <c r="V210" s="314" t="str">
        <f>IF(tblPiNAnalysis[[#This Row],[Food Security and Livlihoods]]="", "", tblPiNAnalysis[[#This Row],[Food Security and Livlihoods]]/tblPiNAnalysis[[#This Row],[Total Population]])</f>
        <v/>
      </c>
      <c r="W210" s="315" t="str">
        <f>IF(tblPiNAnalysis[[#This Row],[Health ]]="", "", tblPiNAnalysis[[#This Row],[Health ]]/tblPiNAnalysis[[#This Row],[Total Population]])</f>
        <v/>
      </c>
      <c r="X210" s="314" t="str">
        <f>IF(tblPiNAnalysis[[#This Row],[Nutrition]]="", "", tblPiNAnalysis[[#This Row],[Nutrition]]/tblPiNAnalysis[[#This Row],[Total Population]])</f>
        <v/>
      </c>
      <c r="Y210" s="314" t="str">
        <f>IF(tblPiNAnalysis[[#This Row],[Protection]]="", "", tblPiNAnalysis[[#This Row],[Protection]]/tblPiNAnalysis[[#This Row],[Total Population]])</f>
        <v/>
      </c>
      <c r="Z210" s="316" t="e">
        <f>IF(tblPiNAnalysis[[#This Row],[Shelter NFI ]]="", "", tblPiNAnalysis[[#This Row],[Shelter NFI ]]/tblPiNAnalysis[[#This Row],[Total Population]])</f>
        <v>#DIV/0!</v>
      </c>
      <c r="AA210" s="317" t="str">
        <f>IF(tblPiNAnalysis[[#This Row],[WASH]]="", "", tblPiNAnalysis[[#This Row],[WASH]]/tblPiNAnalysis[[#This Row],[Total Population]])</f>
        <v/>
      </c>
      <c r="AB210" s="318" t="str">
        <f>IFERROR(IF(tblPiNAnalysis[[#This Row],[CP]]="", "", MROUND(tblPiNAnalysis[[#This Row],[CP]]/tblPiNAnalysis[[#This Row],[Total Population]], 0.05)), "")</f>
        <v/>
      </c>
      <c r="AC210" s="314" t="str">
        <f>IFERROR(IF(tblPiNAnalysis[[#This Row],[GBV]]="", "", MROUND(tblPiNAnalysis[[#This Row],[GBV]]/tblPiNAnalysis[[#This Row],[Total Population]], 0.05)), "")</f>
        <v/>
      </c>
      <c r="AD210" s="314" t="str">
        <f>IFERROR(IF(tblPiNAnalysis[[#This Row],[Mine Action]]="", "", MROUND(tblPiNAnalysis[[#This Row],[Mine Action]]/tblPiNAnalysis[[#This Row],[Total Population]], 0.05)), "")</f>
        <v/>
      </c>
      <c r="AE210" s="314" t="str">
        <f>IFERROR(IF(tblPiNAnalysis[[#This Row],[General Protection]]="", "", MROUND(tblPiNAnalysis[[#This Row],[General Protection]]/tblPiNAnalysis[[#This Row],[Total Population]], 0.05)), "")</f>
        <v/>
      </c>
      <c r="AF210" s="319">
        <f>IFERROR(LARGE(tblPiNAnalysis[[#This Row],[Site Management ]:[General Protection]], 1), "")</f>
        <v>0</v>
      </c>
      <c r="AG210" s="320" t="e">
        <f>IF(tblPiNAnalysis[[#This Row],[Highest PiN]]="", "",tblPiNAnalysis[[#This Row],[Highest PiN]]/ tblPiNAnalysis[[#This Row],[Total Population]])</f>
        <v>#DIV/0!</v>
      </c>
      <c r="AH210" s="320" t="str">
        <f>IFERROR(IF(tblPiNAnalysis[[#This Row],[Highest PiN]]="", "", IF(tblPiNAnalysis[[#This Row],[Highest sector(s'') PiN %]]&gt;=flag_pin_perc, "Flagged", "")), "")</f>
        <v/>
      </c>
      <c r="AI210" s="321"/>
      <c r="AJ210" s="322"/>
      <c r="AK210" s="323">
        <f>COUNTIFS(tblPiNAnalysis[[#This Row],[Highest PiN greater than 90% of total affected population]:[Manual Flag]],"Flagged")</f>
        <v>0</v>
      </c>
      <c r="AL210" s="324" t="str">
        <f>IF(tblPiNAnalysis[[#This Row],['# Flags]]&gt;0, "Flagged", "")</f>
        <v/>
      </c>
    </row>
    <row r="211" spans="1:38" ht="23.1" hidden="1" customHeight="1" x14ac:dyDescent="0.2">
      <c r="A211" s="309" t="str">
        <f>_xlfn.CONCAT(IF(tblPiNAnalysis[[#This Row],[Population Group]]="", "",tblPiNAnalysis[[#This Row],[Population Group]] ), _xlfn.IFS(tblPiNAnalysis[[#This Row],[Admin 2 P-Code]]&lt;&gt;"", tblPiNAnalysis[[#This Row],[Admin 2 P-Code]], tblPiNAnalysis[[#This Row],[Admin 1 P-Code]]&lt;&gt;"", tblPiNAnalysis[[#This Row],[Admin 1 P-Code]]))</f>
        <v>Host CommunitySD06138</v>
      </c>
      <c r="B211" s="245" t="s">
        <v>141</v>
      </c>
      <c r="C211" s="246" t="s">
        <v>123</v>
      </c>
      <c r="D211" s="247" t="s">
        <v>163</v>
      </c>
      <c r="E211" s="246" t="s">
        <v>162</v>
      </c>
      <c r="F211" s="248">
        <v>0</v>
      </c>
      <c r="G211" s="248" t="s">
        <v>87</v>
      </c>
      <c r="H211" s="310"/>
      <c r="I211" s="311"/>
      <c r="J211" s="312"/>
      <c r="K211" s="311"/>
      <c r="L211" s="311"/>
      <c r="M211" s="312"/>
      <c r="N211" s="312">
        <f>_xlfn.XLOOKUP(CONCATENATE(tblPiNAnalysis[[#This Row],[Admin 2 P-Code]],tblPiNAnalysis[[#This Row],[Population Group]]),'Overall severity &amp; PIN Analysis'!A:A,'Overall severity &amp; PIN Analysis'!P:P,0,0)</f>
        <v>0</v>
      </c>
      <c r="O211" s="311"/>
      <c r="P211" s="312"/>
      <c r="Q211" s="312"/>
      <c r="R211" s="312"/>
      <c r="S211" s="312"/>
      <c r="T211" s="313" t="str">
        <f>IF(tblPiNAnalysis[[#This Row],[Site Management ]]="", "", tblPiNAnalysis[[#This Row],[Site Management ]]/tblPiNAnalysis[[#This Row],[Total Population]])</f>
        <v/>
      </c>
      <c r="U211" s="314" t="str">
        <f>IF(tblPiNAnalysis[[#This Row],[Education]]="", "", tblPiNAnalysis[[#This Row],[Education]]/tblPiNAnalysis[[#This Row],[Total Population]])</f>
        <v/>
      </c>
      <c r="V211" s="314" t="str">
        <f>IF(tblPiNAnalysis[[#This Row],[Food Security and Livlihoods]]="", "", tblPiNAnalysis[[#This Row],[Food Security and Livlihoods]]/tblPiNAnalysis[[#This Row],[Total Population]])</f>
        <v/>
      </c>
      <c r="W211" s="315" t="str">
        <f>IF(tblPiNAnalysis[[#This Row],[Health ]]="", "", tblPiNAnalysis[[#This Row],[Health ]]/tblPiNAnalysis[[#This Row],[Total Population]])</f>
        <v/>
      </c>
      <c r="X211" s="314" t="str">
        <f>IF(tblPiNAnalysis[[#This Row],[Nutrition]]="", "", tblPiNAnalysis[[#This Row],[Nutrition]]/tblPiNAnalysis[[#This Row],[Total Population]])</f>
        <v/>
      </c>
      <c r="Y211" s="314" t="str">
        <f>IF(tblPiNAnalysis[[#This Row],[Protection]]="", "", tblPiNAnalysis[[#This Row],[Protection]]/tblPiNAnalysis[[#This Row],[Total Population]])</f>
        <v/>
      </c>
      <c r="Z211" s="316" t="e">
        <f>IF(tblPiNAnalysis[[#This Row],[Shelter NFI ]]="", "", tblPiNAnalysis[[#This Row],[Shelter NFI ]]/tblPiNAnalysis[[#This Row],[Total Population]])</f>
        <v>#DIV/0!</v>
      </c>
      <c r="AA211" s="317" t="str">
        <f>IF(tblPiNAnalysis[[#This Row],[WASH]]="", "", tblPiNAnalysis[[#This Row],[WASH]]/tblPiNAnalysis[[#This Row],[Total Population]])</f>
        <v/>
      </c>
      <c r="AB211" s="318" t="str">
        <f>IFERROR(IF(tblPiNAnalysis[[#This Row],[CP]]="", "", MROUND(tblPiNAnalysis[[#This Row],[CP]]/tblPiNAnalysis[[#This Row],[Total Population]], 0.05)), "")</f>
        <v/>
      </c>
      <c r="AC211" s="314" t="str">
        <f>IFERROR(IF(tblPiNAnalysis[[#This Row],[GBV]]="", "", MROUND(tblPiNAnalysis[[#This Row],[GBV]]/tblPiNAnalysis[[#This Row],[Total Population]], 0.05)), "")</f>
        <v/>
      </c>
      <c r="AD211" s="314" t="str">
        <f>IFERROR(IF(tblPiNAnalysis[[#This Row],[Mine Action]]="", "", MROUND(tblPiNAnalysis[[#This Row],[Mine Action]]/tblPiNAnalysis[[#This Row],[Total Population]], 0.05)), "")</f>
        <v/>
      </c>
      <c r="AE211" s="314" t="str">
        <f>IFERROR(IF(tblPiNAnalysis[[#This Row],[General Protection]]="", "", MROUND(tblPiNAnalysis[[#This Row],[General Protection]]/tblPiNAnalysis[[#This Row],[Total Population]], 0.05)), "")</f>
        <v/>
      </c>
      <c r="AF211" s="319">
        <f>IFERROR(LARGE(tblPiNAnalysis[[#This Row],[Site Management ]:[General Protection]], 1), "")</f>
        <v>0</v>
      </c>
      <c r="AG211" s="320" t="e">
        <f>IF(tblPiNAnalysis[[#This Row],[Highest PiN]]="", "",tblPiNAnalysis[[#This Row],[Highest PiN]]/ tblPiNAnalysis[[#This Row],[Total Population]])</f>
        <v>#DIV/0!</v>
      </c>
      <c r="AH211" s="320" t="str">
        <f>IFERROR(IF(tblPiNAnalysis[[#This Row],[Highest PiN]]="", "", IF(tblPiNAnalysis[[#This Row],[Highest sector(s'') PiN %]]&gt;=flag_pin_perc, "Flagged", "")), "")</f>
        <v/>
      </c>
      <c r="AI211" s="321"/>
      <c r="AJ211" s="322"/>
      <c r="AK211" s="323">
        <f>COUNTIFS(tblPiNAnalysis[[#This Row],[Highest PiN greater than 90% of total affected population]:[Manual Flag]],"Flagged")</f>
        <v>0</v>
      </c>
      <c r="AL211" s="324" t="str">
        <f>IF(tblPiNAnalysis[[#This Row],['# Flags]]&gt;0, "Flagged", "")</f>
        <v/>
      </c>
    </row>
    <row r="212" spans="1:38" ht="23.1" hidden="1" customHeight="1" x14ac:dyDescent="0.2">
      <c r="A212" s="309" t="str">
        <f>_xlfn.CONCAT(IF(tblPiNAnalysis[[#This Row],[Population Group]]="", "",tblPiNAnalysis[[#This Row],[Population Group]] ), _xlfn.IFS(tblPiNAnalysis[[#This Row],[Admin 2 P-Code]]&lt;&gt;"", tblPiNAnalysis[[#This Row],[Admin 2 P-Code]], tblPiNAnalysis[[#This Row],[Admin 1 P-Code]]&lt;&gt;"", tblPiNAnalysis[[#This Row],[Admin 1 P-Code]]))</f>
        <v>IDPsSD06138</v>
      </c>
      <c r="B212" s="245" t="s">
        <v>141</v>
      </c>
      <c r="C212" s="246" t="s">
        <v>123</v>
      </c>
      <c r="D212" s="247" t="s">
        <v>163</v>
      </c>
      <c r="E212" s="246" t="s">
        <v>162</v>
      </c>
      <c r="F212" s="248">
        <v>216688</v>
      </c>
      <c r="G212" s="248" t="s">
        <v>88</v>
      </c>
      <c r="H212" s="310"/>
      <c r="I212" s="311"/>
      <c r="J212" s="311"/>
      <c r="K212" s="311"/>
      <c r="L212" s="311"/>
      <c r="M212" s="311"/>
      <c r="N212" s="311">
        <f>_xlfn.XLOOKUP(CONCATENATE(tblPiNAnalysis[[#This Row],[Admin 2 P-Code]],tblPiNAnalysis[[#This Row],[Population Group]]),'Overall severity &amp; PIN Analysis'!A:A,'Overall severity &amp; PIN Analysis'!P:P,0,0)</f>
        <v>138246</v>
      </c>
      <c r="O212" s="311"/>
      <c r="P212" s="311"/>
      <c r="Q212" s="311"/>
      <c r="R212" s="311"/>
      <c r="S212" s="311"/>
      <c r="T212" s="326" t="str">
        <f>IF(tblPiNAnalysis[[#This Row],[Site Management ]]="", "", tblPiNAnalysis[[#This Row],[Site Management ]]/tblPiNAnalysis[[#This Row],[Total Population]])</f>
        <v/>
      </c>
      <c r="U212" s="315" t="str">
        <f>IF(tblPiNAnalysis[[#This Row],[Education]]="", "", tblPiNAnalysis[[#This Row],[Education]]/tblPiNAnalysis[[#This Row],[Total Population]])</f>
        <v/>
      </c>
      <c r="V212" s="315" t="str">
        <f>IF(tblPiNAnalysis[[#This Row],[Food Security and Livlihoods]]="", "", tblPiNAnalysis[[#This Row],[Food Security and Livlihoods]]/tblPiNAnalysis[[#This Row],[Total Population]])</f>
        <v/>
      </c>
      <c r="W212" s="315" t="str">
        <f>IF(tblPiNAnalysis[[#This Row],[Health ]]="", "", tblPiNAnalysis[[#This Row],[Health ]]/tblPiNAnalysis[[#This Row],[Total Population]])</f>
        <v/>
      </c>
      <c r="X212" s="315" t="str">
        <f>IF(tblPiNAnalysis[[#This Row],[Nutrition]]="", "", tblPiNAnalysis[[#This Row],[Nutrition]]/tblPiNAnalysis[[#This Row],[Total Population]])</f>
        <v/>
      </c>
      <c r="Y212" s="315" t="str">
        <f>IF(tblPiNAnalysis[[#This Row],[Protection]]="", "", tblPiNAnalysis[[#This Row],[Protection]]/tblPiNAnalysis[[#This Row],[Total Population]])</f>
        <v/>
      </c>
      <c r="Z212" s="327">
        <f>IF(tblPiNAnalysis[[#This Row],[Shelter NFI ]]="", "", tblPiNAnalysis[[#This Row],[Shelter NFI ]]/tblPiNAnalysis[[#This Row],[Total Population]])</f>
        <v>0.63799564350587024</v>
      </c>
      <c r="AA212" s="328" t="str">
        <f>IF(tblPiNAnalysis[[#This Row],[WASH]]="", "", tblPiNAnalysis[[#This Row],[WASH]]/tblPiNAnalysis[[#This Row],[Total Population]])</f>
        <v/>
      </c>
      <c r="AB212" s="329" t="str">
        <f>IFERROR(IF(tblPiNAnalysis[[#This Row],[CP]]="", "", MROUND(tblPiNAnalysis[[#This Row],[CP]]/tblPiNAnalysis[[#This Row],[Total Population]], 0.05)), "")</f>
        <v/>
      </c>
      <c r="AC212" s="315" t="str">
        <f>IFERROR(IF(tblPiNAnalysis[[#This Row],[GBV]]="", "", MROUND(tblPiNAnalysis[[#This Row],[GBV]]/tblPiNAnalysis[[#This Row],[Total Population]], 0.05)), "")</f>
        <v/>
      </c>
      <c r="AD212" s="315" t="str">
        <f>IFERROR(IF(tblPiNAnalysis[[#This Row],[Mine Action]]="", "", MROUND(tblPiNAnalysis[[#This Row],[Mine Action]]/tblPiNAnalysis[[#This Row],[Total Population]], 0.05)), "")</f>
        <v/>
      </c>
      <c r="AE212" s="315" t="str">
        <f>IFERROR(IF(tblPiNAnalysis[[#This Row],[General Protection]]="", "", MROUND(tblPiNAnalysis[[#This Row],[General Protection]]/tblPiNAnalysis[[#This Row],[Total Population]], 0.05)), "")</f>
        <v/>
      </c>
      <c r="AF212" s="319">
        <f>IFERROR(LARGE(tblPiNAnalysis[[#This Row],[Site Management ]:[General Protection]], 1), "")</f>
        <v>138246</v>
      </c>
      <c r="AG212" s="330">
        <f>IF(tblPiNAnalysis[[#This Row],[Highest PiN]]="", "",tblPiNAnalysis[[#This Row],[Highest PiN]]/ tblPiNAnalysis[[#This Row],[Total Population]])</f>
        <v>0.63799564350587024</v>
      </c>
      <c r="AH212" s="330" t="str">
        <f>IFERROR(IF(tblPiNAnalysis[[#This Row],[Highest PiN]]="", "", IF(tblPiNAnalysis[[#This Row],[Highest sector(s'') PiN %]]&gt;=flag_pin_perc, "Flagged", "")), "")</f>
        <v/>
      </c>
      <c r="AI212" s="321"/>
      <c r="AJ212" s="322"/>
      <c r="AK212" s="323">
        <f>COUNTIFS(tblPiNAnalysis[[#This Row],[Highest PiN greater than 90% of total affected population]:[Manual Flag]],"Flagged")</f>
        <v>0</v>
      </c>
      <c r="AL212" s="331" t="str">
        <f>IF(tblPiNAnalysis[[#This Row],['# Flags]]&gt;0, "Flagged", "")</f>
        <v/>
      </c>
    </row>
    <row r="213" spans="1:38" ht="23.1" customHeight="1" x14ac:dyDescent="0.2">
      <c r="A213" s="309" t="str">
        <f>_xlfn.CONCAT(IF(tblPiNAnalysis[[#This Row],[Population Group]]="", "",tblPiNAnalysis[[#This Row],[Population Group]] ), _xlfn.IFS(tblPiNAnalysis[[#This Row],[Admin 2 P-Code]]&lt;&gt;"", tblPiNAnalysis[[#This Row],[Admin 2 P-Code]], tblPiNAnalysis[[#This Row],[Admin 1 P-Code]]&lt;&gt;"", tblPiNAnalysis[[#This Row],[Admin 1 P-Code]]))</f>
        <v>Non-hosting PopulationSD06138</v>
      </c>
      <c r="B213" s="245" t="s">
        <v>141</v>
      </c>
      <c r="C213" s="246" t="s">
        <v>123</v>
      </c>
      <c r="D213" s="247" t="s">
        <v>163</v>
      </c>
      <c r="E213" s="246" t="s">
        <v>162</v>
      </c>
      <c r="F213" s="248">
        <v>0</v>
      </c>
      <c r="G213" s="248" t="s">
        <v>568</v>
      </c>
      <c r="H213" s="310"/>
      <c r="I213" s="311"/>
      <c r="J213" s="312"/>
      <c r="K213" s="311"/>
      <c r="L213" s="311"/>
      <c r="M213" s="312"/>
      <c r="N213" s="312">
        <f>_xlfn.XLOOKUP(CONCATENATE(tblPiNAnalysis[[#This Row],[Admin 2 P-Code]],tblPiNAnalysis[[#This Row],[Population Group]]),'Overall severity &amp; PIN Analysis'!A:A,'Overall severity &amp; PIN Analysis'!P:P,0,0)</f>
        <v>0</v>
      </c>
      <c r="O213" s="311"/>
      <c r="P213" s="312"/>
      <c r="Q213" s="312"/>
      <c r="R213" s="312"/>
      <c r="S213" s="312"/>
      <c r="T213" s="313" t="str">
        <f>IF(tblPiNAnalysis[[#This Row],[Site Management ]]="", "", tblPiNAnalysis[[#This Row],[Site Management ]]/tblPiNAnalysis[[#This Row],[Total Population]])</f>
        <v/>
      </c>
      <c r="U213" s="314" t="str">
        <f>IF(tblPiNAnalysis[[#This Row],[Education]]="", "", tblPiNAnalysis[[#This Row],[Education]]/tblPiNAnalysis[[#This Row],[Total Population]])</f>
        <v/>
      </c>
      <c r="V213" s="314" t="str">
        <f>IF(tblPiNAnalysis[[#This Row],[Food Security and Livlihoods]]="", "", tblPiNAnalysis[[#This Row],[Food Security and Livlihoods]]/tblPiNAnalysis[[#This Row],[Total Population]])</f>
        <v/>
      </c>
      <c r="W213" s="315" t="str">
        <f>IF(tblPiNAnalysis[[#This Row],[Health ]]="", "", tblPiNAnalysis[[#This Row],[Health ]]/tblPiNAnalysis[[#This Row],[Total Population]])</f>
        <v/>
      </c>
      <c r="X213" s="314" t="str">
        <f>IF(tblPiNAnalysis[[#This Row],[Nutrition]]="", "", tblPiNAnalysis[[#This Row],[Nutrition]]/tblPiNAnalysis[[#This Row],[Total Population]])</f>
        <v/>
      </c>
      <c r="Y213" s="314" t="str">
        <f>IF(tblPiNAnalysis[[#This Row],[Protection]]="", "", tblPiNAnalysis[[#This Row],[Protection]]/tblPiNAnalysis[[#This Row],[Total Population]])</f>
        <v/>
      </c>
      <c r="Z213" s="316" t="e">
        <f>IF(tblPiNAnalysis[[#This Row],[Shelter NFI ]]="", "", tblPiNAnalysis[[#This Row],[Shelter NFI ]]/tblPiNAnalysis[[#This Row],[Total Population]])</f>
        <v>#DIV/0!</v>
      </c>
      <c r="AA213" s="317" t="str">
        <f>IF(tblPiNAnalysis[[#This Row],[WASH]]="", "", tblPiNAnalysis[[#This Row],[WASH]]/tblPiNAnalysis[[#This Row],[Total Population]])</f>
        <v/>
      </c>
      <c r="AB213" s="318" t="str">
        <f>IFERROR(IF(tblPiNAnalysis[[#This Row],[CP]]="", "", MROUND(tblPiNAnalysis[[#This Row],[CP]]/tblPiNAnalysis[[#This Row],[Total Population]], 0.05)), "")</f>
        <v/>
      </c>
      <c r="AC213" s="314" t="str">
        <f>IFERROR(IF(tblPiNAnalysis[[#This Row],[GBV]]="", "", MROUND(tblPiNAnalysis[[#This Row],[GBV]]/tblPiNAnalysis[[#This Row],[Total Population]], 0.05)), "")</f>
        <v/>
      </c>
      <c r="AD213" s="314" t="str">
        <f>IFERROR(IF(tblPiNAnalysis[[#This Row],[Mine Action]]="", "", MROUND(tblPiNAnalysis[[#This Row],[Mine Action]]/tblPiNAnalysis[[#This Row],[Total Population]], 0.05)), "")</f>
        <v/>
      </c>
      <c r="AE213" s="314" t="str">
        <f>IFERROR(IF(tblPiNAnalysis[[#This Row],[General Protection]]="", "", MROUND(tblPiNAnalysis[[#This Row],[General Protection]]/tblPiNAnalysis[[#This Row],[Total Population]], 0.05)), "")</f>
        <v/>
      </c>
      <c r="AF213" s="319">
        <f>IFERROR(LARGE(tblPiNAnalysis[[#This Row],[Site Management ]:[General Protection]], 1), "")</f>
        <v>0</v>
      </c>
      <c r="AG213" s="320" t="e">
        <f>IF(tblPiNAnalysis[[#This Row],[Highest PiN]]="", "",tblPiNAnalysis[[#This Row],[Highest PiN]]/ tblPiNAnalysis[[#This Row],[Total Population]])</f>
        <v>#DIV/0!</v>
      </c>
      <c r="AH213" s="320" t="str">
        <f>IFERROR(IF(tblPiNAnalysis[[#This Row],[Highest PiN]]="", "", IF(tblPiNAnalysis[[#This Row],[Highest sector(s'') PiN %]]&gt;=flag_pin_perc, "Flagged", "")), "")</f>
        <v/>
      </c>
      <c r="AI213" s="321"/>
      <c r="AJ213" s="322"/>
      <c r="AK213" s="323">
        <f>COUNTIFS(tblPiNAnalysis[[#This Row],[Highest PiN greater than 90% of total affected population]:[Manual Flag]],"Flagged")</f>
        <v>0</v>
      </c>
      <c r="AL213" s="324" t="str">
        <f>IF(tblPiNAnalysis[[#This Row],['# Flags]]&gt;0, "Flagged", "")</f>
        <v/>
      </c>
    </row>
    <row r="214" spans="1:38" ht="23.1" hidden="1" customHeight="1" x14ac:dyDescent="0.2">
      <c r="A214" s="309" t="str">
        <f>_xlfn.CONCAT(IF(tblPiNAnalysis[[#This Row],[Population Group]]="", "",tblPiNAnalysis[[#This Row],[Population Group]] ), _xlfn.IFS(tblPiNAnalysis[[#This Row],[Admin 2 P-Code]]&lt;&gt;"", tblPiNAnalysis[[#This Row],[Admin 2 P-Code]], tblPiNAnalysis[[#This Row],[Admin 1 P-Code]]&lt;&gt;"", tblPiNAnalysis[[#This Row],[Admin 1 P-Code]]))</f>
        <v>Host CommunitySD06139</v>
      </c>
      <c r="B214" s="245" t="s">
        <v>141</v>
      </c>
      <c r="C214" s="246" t="s">
        <v>123</v>
      </c>
      <c r="D214" s="247" t="s">
        <v>166</v>
      </c>
      <c r="E214" s="246" t="s">
        <v>165</v>
      </c>
      <c r="F214" s="248">
        <v>0</v>
      </c>
      <c r="G214" s="248" t="s">
        <v>87</v>
      </c>
      <c r="H214" s="310"/>
      <c r="I214" s="311"/>
      <c r="J214" s="248"/>
      <c r="K214" s="248"/>
      <c r="L214" s="311"/>
      <c r="M214" s="312"/>
      <c r="N214" s="312">
        <f>_xlfn.XLOOKUP(CONCATENATE(tblPiNAnalysis[[#This Row],[Admin 2 P-Code]],tblPiNAnalysis[[#This Row],[Population Group]]),'Overall severity &amp; PIN Analysis'!A:A,'Overall severity &amp; PIN Analysis'!P:P,0,0)</f>
        <v>0</v>
      </c>
      <c r="O214" s="311"/>
      <c r="P214" s="312"/>
      <c r="Q214" s="312"/>
      <c r="R214" s="312"/>
      <c r="S214" s="312"/>
      <c r="T214" s="313" t="str">
        <f>IF(tblPiNAnalysis[[#This Row],[Site Management ]]="", "", tblPiNAnalysis[[#This Row],[Site Management ]]/tblPiNAnalysis[[#This Row],[Total Population]])</f>
        <v/>
      </c>
      <c r="U214" s="314" t="str">
        <f>IF(tblPiNAnalysis[[#This Row],[Education]]="", "", tblPiNAnalysis[[#This Row],[Education]]/tblPiNAnalysis[[#This Row],[Total Population]])</f>
        <v/>
      </c>
      <c r="V214" s="314" t="str">
        <f>IF(tblPiNAnalysis[[#This Row],[Food Security and Livlihoods]]="", "", tblPiNAnalysis[[#This Row],[Food Security and Livlihoods]]/tblPiNAnalysis[[#This Row],[Total Population]])</f>
        <v/>
      </c>
      <c r="W214" s="315" t="str">
        <f>IF(tblPiNAnalysis[[#This Row],[Health ]]="", "", tblPiNAnalysis[[#This Row],[Health ]]/tblPiNAnalysis[[#This Row],[Total Population]])</f>
        <v/>
      </c>
      <c r="X214" s="314" t="str">
        <f>IF(tblPiNAnalysis[[#This Row],[Nutrition]]="", "", tblPiNAnalysis[[#This Row],[Nutrition]]/tblPiNAnalysis[[#This Row],[Total Population]])</f>
        <v/>
      </c>
      <c r="Y214" s="314" t="str">
        <f>IF(tblPiNAnalysis[[#This Row],[Protection]]="", "", tblPiNAnalysis[[#This Row],[Protection]]/tblPiNAnalysis[[#This Row],[Total Population]])</f>
        <v/>
      </c>
      <c r="Z214" s="316" t="e">
        <f>IF(tblPiNAnalysis[[#This Row],[Shelter NFI ]]="", "", tblPiNAnalysis[[#This Row],[Shelter NFI ]]/tblPiNAnalysis[[#This Row],[Total Population]])</f>
        <v>#DIV/0!</v>
      </c>
      <c r="AA214" s="317" t="str">
        <f>IF(tblPiNAnalysis[[#This Row],[WASH]]="", "", tblPiNAnalysis[[#This Row],[WASH]]/tblPiNAnalysis[[#This Row],[Total Population]])</f>
        <v/>
      </c>
      <c r="AB214" s="318" t="str">
        <f>IFERROR(IF(tblPiNAnalysis[[#This Row],[CP]]="", "", MROUND(tblPiNAnalysis[[#This Row],[CP]]/tblPiNAnalysis[[#This Row],[Total Population]], 0.05)), "")</f>
        <v/>
      </c>
      <c r="AC214" s="314" t="str">
        <f>IFERROR(IF(tblPiNAnalysis[[#This Row],[GBV]]="", "", MROUND(tblPiNAnalysis[[#This Row],[GBV]]/tblPiNAnalysis[[#This Row],[Total Population]], 0.05)), "")</f>
        <v/>
      </c>
      <c r="AD214" s="314" t="str">
        <f>IFERROR(IF(tblPiNAnalysis[[#This Row],[Mine Action]]="", "", MROUND(tblPiNAnalysis[[#This Row],[Mine Action]]/tblPiNAnalysis[[#This Row],[Total Population]], 0.05)), "")</f>
        <v/>
      </c>
      <c r="AE214" s="314" t="str">
        <f>IFERROR(IF(tblPiNAnalysis[[#This Row],[General Protection]]="", "", MROUND(tblPiNAnalysis[[#This Row],[General Protection]]/tblPiNAnalysis[[#This Row],[Total Population]], 0.05)), "")</f>
        <v/>
      </c>
      <c r="AF214" s="319">
        <f>IFERROR(LARGE(tblPiNAnalysis[[#This Row],[Site Management ]:[General Protection]], 1), "")</f>
        <v>0</v>
      </c>
      <c r="AG214" s="320" t="e">
        <f>IF(tblPiNAnalysis[[#This Row],[Highest PiN]]="", "",tblPiNAnalysis[[#This Row],[Highest PiN]]/ tblPiNAnalysis[[#This Row],[Total Population]])</f>
        <v>#DIV/0!</v>
      </c>
      <c r="AH214" s="320" t="str">
        <f>IFERROR(IF(tblPiNAnalysis[[#This Row],[Highest PiN]]="", "", IF(tblPiNAnalysis[[#This Row],[Highest sector(s'') PiN %]]&gt;=flag_pin_perc, "Flagged", "")), "")</f>
        <v/>
      </c>
      <c r="AI214" s="321"/>
      <c r="AJ214" s="322"/>
      <c r="AK214" s="323">
        <f>COUNTIFS(tblPiNAnalysis[[#This Row],[Highest PiN greater than 90% of total affected population]:[Manual Flag]],"Flagged")</f>
        <v>0</v>
      </c>
      <c r="AL214" s="324" t="str">
        <f>IF(tblPiNAnalysis[[#This Row],['# Flags]]&gt;0, "Flagged", "")</f>
        <v/>
      </c>
    </row>
    <row r="215" spans="1:38" ht="23.1" hidden="1" customHeight="1" x14ac:dyDescent="0.2">
      <c r="A215" s="309" t="str">
        <f>_xlfn.CONCAT(IF(tblPiNAnalysis[[#This Row],[Population Group]]="", "",tblPiNAnalysis[[#This Row],[Population Group]] ), _xlfn.IFS(tblPiNAnalysis[[#This Row],[Admin 2 P-Code]]&lt;&gt;"", tblPiNAnalysis[[#This Row],[Admin 2 P-Code]], tblPiNAnalysis[[#This Row],[Admin 1 P-Code]]&lt;&gt;"", tblPiNAnalysis[[#This Row],[Admin 1 P-Code]]))</f>
        <v>IDPsSD06139</v>
      </c>
      <c r="B215" s="245" t="s">
        <v>141</v>
      </c>
      <c r="C215" s="246" t="s">
        <v>123</v>
      </c>
      <c r="D215" s="247" t="s">
        <v>166</v>
      </c>
      <c r="E215" s="246" t="s">
        <v>165</v>
      </c>
      <c r="F215" s="248">
        <v>169210</v>
      </c>
      <c r="G215" s="248" t="s">
        <v>88</v>
      </c>
      <c r="H215" s="310"/>
      <c r="I215" s="311"/>
      <c r="J215" s="311"/>
      <c r="K215" s="311"/>
      <c r="L215" s="311"/>
      <c r="M215" s="311"/>
      <c r="N215" s="311">
        <f>_xlfn.XLOOKUP(CONCATENATE(tblPiNAnalysis[[#This Row],[Admin 2 P-Code]],tblPiNAnalysis[[#This Row],[Population Group]]),'Overall severity &amp; PIN Analysis'!A:A,'Overall severity &amp; PIN Analysis'!P:P,0,0)</f>
        <v>139538</v>
      </c>
      <c r="O215" s="311"/>
      <c r="P215" s="311"/>
      <c r="Q215" s="311"/>
      <c r="R215" s="311"/>
      <c r="S215" s="311"/>
      <c r="T215" s="326" t="str">
        <f>IF(tblPiNAnalysis[[#This Row],[Site Management ]]="", "", tblPiNAnalysis[[#This Row],[Site Management ]]/tblPiNAnalysis[[#This Row],[Total Population]])</f>
        <v/>
      </c>
      <c r="U215" s="315" t="str">
        <f>IF(tblPiNAnalysis[[#This Row],[Education]]="", "", tblPiNAnalysis[[#This Row],[Education]]/tblPiNAnalysis[[#This Row],[Total Population]])</f>
        <v/>
      </c>
      <c r="V215" s="315" t="str">
        <f>IF(tblPiNAnalysis[[#This Row],[Food Security and Livlihoods]]="", "", tblPiNAnalysis[[#This Row],[Food Security and Livlihoods]]/tblPiNAnalysis[[#This Row],[Total Population]])</f>
        <v/>
      </c>
      <c r="W215" s="315" t="str">
        <f>IF(tblPiNAnalysis[[#This Row],[Health ]]="", "", tblPiNAnalysis[[#This Row],[Health ]]/tblPiNAnalysis[[#This Row],[Total Population]])</f>
        <v/>
      </c>
      <c r="X215" s="315" t="str">
        <f>IF(tblPiNAnalysis[[#This Row],[Nutrition]]="", "", tblPiNAnalysis[[#This Row],[Nutrition]]/tblPiNAnalysis[[#This Row],[Total Population]])</f>
        <v/>
      </c>
      <c r="Y215" s="315" t="str">
        <f>IF(tblPiNAnalysis[[#This Row],[Protection]]="", "", tblPiNAnalysis[[#This Row],[Protection]]/tblPiNAnalysis[[#This Row],[Total Population]])</f>
        <v/>
      </c>
      <c r="Z215" s="327">
        <f>IF(tblPiNAnalysis[[#This Row],[Shelter NFI ]]="", "", tblPiNAnalysis[[#This Row],[Shelter NFI ]]/tblPiNAnalysis[[#This Row],[Total Population]])</f>
        <v>0.82464393357366583</v>
      </c>
      <c r="AA215" s="328" t="str">
        <f>IF(tblPiNAnalysis[[#This Row],[WASH]]="", "", tblPiNAnalysis[[#This Row],[WASH]]/tblPiNAnalysis[[#This Row],[Total Population]])</f>
        <v/>
      </c>
      <c r="AB215" s="329" t="str">
        <f>IFERROR(IF(tblPiNAnalysis[[#This Row],[CP]]="", "", MROUND(tblPiNAnalysis[[#This Row],[CP]]/tblPiNAnalysis[[#This Row],[Total Population]], 0.05)), "")</f>
        <v/>
      </c>
      <c r="AC215" s="315" t="str">
        <f>IFERROR(IF(tblPiNAnalysis[[#This Row],[GBV]]="", "", MROUND(tblPiNAnalysis[[#This Row],[GBV]]/tblPiNAnalysis[[#This Row],[Total Population]], 0.05)), "")</f>
        <v/>
      </c>
      <c r="AD215" s="315" t="str">
        <f>IFERROR(IF(tblPiNAnalysis[[#This Row],[Mine Action]]="", "", MROUND(tblPiNAnalysis[[#This Row],[Mine Action]]/tblPiNAnalysis[[#This Row],[Total Population]], 0.05)), "")</f>
        <v/>
      </c>
      <c r="AE215" s="315" t="str">
        <f>IFERROR(IF(tblPiNAnalysis[[#This Row],[General Protection]]="", "", MROUND(tblPiNAnalysis[[#This Row],[General Protection]]/tblPiNAnalysis[[#This Row],[Total Population]], 0.05)), "")</f>
        <v/>
      </c>
      <c r="AF215" s="319">
        <f>IFERROR(LARGE(tblPiNAnalysis[[#This Row],[Site Management ]:[General Protection]], 1), "")</f>
        <v>139538</v>
      </c>
      <c r="AG215" s="330">
        <f>IF(tblPiNAnalysis[[#This Row],[Highest PiN]]="", "",tblPiNAnalysis[[#This Row],[Highest PiN]]/ tblPiNAnalysis[[#This Row],[Total Population]])</f>
        <v>0.82464393357366583</v>
      </c>
      <c r="AH215" s="330" t="str">
        <f>IFERROR(IF(tblPiNAnalysis[[#This Row],[Highest PiN]]="", "", IF(tblPiNAnalysis[[#This Row],[Highest sector(s'') PiN %]]&gt;=flag_pin_perc, "Flagged", "")), "")</f>
        <v/>
      </c>
      <c r="AI215" s="321"/>
      <c r="AJ215" s="322"/>
      <c r="AK215" s="323">
        <f>COUNTIFS(tblPiNAnalysis[[#This Row],[Highest PiN greater than 90% of total affected population]:[Manual Flag]],"Flagged")</f>
        <v>0</v>
      </c>
      <c r="AL215" s="331" t="str">
        <f>IF(tblPiNAnalysis[[#This Row],['# Flags]]&gt;0, "Flagged", "")</f>
        <v/>
      </c>
    </row>
    <row r="216" spans="1:38" ht="23.1" customHeight="1" x14ac:dyDescent="0.2">
      <c r="A216" s="309" t="str">
        <f>_xlfn.CONCAT(IF(tblPiNAnalysis[[#This Row],[Population Group]]="", "",tblPiNAnalysis[[#This Row],[Population Group]] ), _xlfn.IFS(tblPiNAnalysis[[#This Row],[Admin 2 P-Code]]&lt;&gt;"", tblPiNAnalysis[[#This Row],[Admin 2 P-Code]], tblPiNAnalysis[[#This Row],[Admin 1 P-Code]]&lt;&gt;"", tblPiNAnalysis[[#This Row],[Admin 1 P-Code]]))</f>
        <v>Non-hosting PopulationSD06139</v>
      </c>
      <c r="B216" s="245" t="s">
        <v>141</v>
      </c>
      <c r="C216" s="246" t="s">
        <v>123</v>
      </c>
      <c r="D216" s="247" t="s">
        <v>166</v>
      </c>
      <c r="E216" s="246" t="s">
        <v>165</v>
      </c>
      <c r="F216" s="248">
        <v>0</v>
      </c>
      <c r="G216" s="248" t="s">
        <v>568</v>
      </c>
      <c r="H216" s="310"/>
      <c r="I216" s="311"/>
      <c r="J216" s="312"/>
      <c r="K216" s="311"/>
      <c r="L216" s="311"/>
      <c r="M216" s="312"/>
      <c r="N216" s="312">
        <f>_xlfn.XLOOKUP(CONCATENATE(tblPiNAnalysis[[#This Row],[Admin 2 P-Code]],tblPiNAnalysis[[#This Row],[Population Group]]),'Overall severity &amp; PIN Analysis'!A:A,'Overall severity &amp; PIN Analysis'!P:P,0,0)</f>
        <v>0</v>
      </c>
      <c r="O216" s="311"/>
      <c r="P216" s="312"/>
      <c r="Q216" s="312"/>
      <c r="R216" s="312"/>
      <c r="S216" s="312"/>
      <c r="T216" s="313" t="str">
        <f>IF(tblPiNAnalysis[[#This Row],[Site Management ]]="", "", tblPiNAnalysis[[#This Row],[Site Management ]]/tblPiNAnalysis[[#This Row],[Total Population]])</f>
        <v/>
      </c>
      <c r="U216" s="314" t="str">
        <f>IF(tblPiNAnalysis[[#This Row],[Education]]="", "", tblPiNAnalysis[[#This Row],[Education]]/tblPiNAnalysis[[#This Row],[Total Population]])</f>
        <v/>
      </c>
      <c r="V216" s="314" t="str">
        <f>IF(tblPiNAnalysis[[#This Row],[Food Security and Livlihoods]]="", "", tblPiNAnalysis[[#This Row],[Food Security and Livlihoods]]/tblPiNAnalysis[[#This Row],[Total Population]])</f>
        <v/>
      </c>
      <c r="W216" s="315" t="str">
        <f>IF(tblPiNAnalysis[[#This Row],[Health ]]="", "", tblPiNAnalysis[[#This Row],[Health ]]/tblPiNAnalysis[[#This Row],[Total Population]])</f>
        <v/>
      </c>
      <c r="X216" s="314" t="str">
        <f>IF(tblPiNAnalysis[[#This Row],[Nutrition]]="", "", tblPiNAnalysis[[#This Row],[Nutrition]]/tblPiNAnalysis[[#This Row],[Total Population]])</f>
        <v/>
      </c>
      <c r="Y216" s="314" t="str">
        <f>IF(tblPiNAnalysis[[#This Row],[Protection]]="", "", tblPiNAnalysis[[#This Row],[Protection]]/tblPiNAnalysis[[#This Row],[Total Population]])</f>
        <v/>
      </c>
      <c r="Z216" s="316" t="e">
        <f>IF(tblPiNAnalysis[[#This Row],[Shelter NFI ]]="", "", tblPiNAnalysis[[#This Row],[Shelter NFI ]]/tblPiNAnalysis[[#This Row],[Total Population]])</f>
        <v>#DIV/0!</v>
      </c>
      <c r="AA216" s="317" t="str">
        <f>IF(tblPiNAnalysis[[#This Row],[WASH]]="", "", tblPiNAnalysis[[#This Row],[WASH]]/tblPiNAnalysis[[#This Row],[Total Population]])</f>
        <v/>
      </c>
      <c r="AB216" s="318" t="str">
        <f>IFERROR(IF(tblPiNAnalysis[[#This Row],[CP]]="", "", MROUND(tblPiNAnalysis[[#This Row],[CP]]/tblPiNAnalysis[[#This Row],[Total Population]], 0.05)), "")</f>
        <v/>
      </c>
      <c r="AC216" s="314" t="str">
        <f>IFERROR(IF(tblPiNAnalysis[[#This Row],[GBV]]="", "", MROUND(tblPiNAnalysis[[#This Row],[GBV]]/tblPiNAnalysis[[#This Row],[Total Population]], 0.05)), "")</f>
        <v/>
      </c>
      <c r="AD216" s="314" t="str">
        <f>IFERROR(IF(tblPiNAnalysis[[#This Row],[Mine Action]]="", "", MROUND(tblPiNAnalysis[[#This Row],[Mine Action]]/tblPiNAnalysis[[#This Row],[Total Population]], 0.05)), "")</f>
        <v/>
      </c>
      <c r="AE216" s="314" t="str">
        <f>IFERROR(IF(tblPiNAnalysis[[#This Row],[General Protection]]="", "", MROUND(tblPiNAnalysis[[#This Row],[General Protection]]/tblPiNAnalysis[[#This Row],[Total Population]], 0.05)), "")</f>
        <v/>
      </c>
      <c r="AF216" s="319">
        <f>IFERROR(LARGE(tblPiNAnalysis[[#This Row],[Site Management ]:[General Protection]], 1), "")</f>
        <v>0</v>
      </c>
      <c r="AG216" s="320" t="e">
        <f>IF(tblPiNAnalysis[[#This Row],[Highest PiN]]="", "",tblPiNAnalysis[[#This Row],[Highest PiN]]/ tblPiNAnalysis[[#This Row],[Total Population]])</f>
        <v>#DIV/0!</v>
      </c>
      <c r="AH216" s="320" t="str">
        <f>IFERROR(IF(tblPiNAnalysis[[#This Row],[Highest PiN]]="", "", IF(tblPiNAnalysis[[#This Row],[Highest sector(s'') PiN %]]&gt;=flag_pin_perc, "Flagged", "")), "")</f>
        <v/>
      </c>
      <c r="AI216" s="321"/>
      <c r="AJ216" s="322"/>
      <c r="AK216" s="323">
        <f>COUNTIFS(tblPiNAnalysis[[#This Row],[Highest PiN greater than 90% of total affected population]:[Manual Flag]],"Flagged")</f>
        <v>0</v>
      </c>
      <c r="AL216" s="324" t="str">
        <f>IF(tblPiNAnalysis[[#This Row],['# Flags]]&gt;0, "Flagged", "")</f>
        <v/>
      </c>
    </row>
    <row r="217" spans="1:38" ht="23.1" hidden="1" customHeight="1" x14ac:dyDescent="0.2">
      <c r="A217" s="309" t="str">
        <f>_xlfn.CONCAT(IF(tblPiNAnalysis[[#This Row],[Population Group]]="", "",tblPiNAnalysis[[#This Row],[Population Group]] ), _xlfn.IFS(tblPiNAnalysis[[#This Row],[Admin 2 P-Code]]&lt;&gt;"", tblPiNAnalysis[[#This Row],[Admin 2 P-Code]], tblPiNAnalysis[[#This Row],[Admin 1 P-Code]]&lt;&gt;"", tblPiNAnalysis[[#This Row],[Admin 1 P-Code]]))</f>
        <v>Host CommunitySD07088</v>
      </c>
      <c r="B217" s="245" t="s">
        <v>188</v>
      </c>
      <c r="C217" s="246" t="s">
        <v>124</v>
      </c>
      <c r="D217" s="247" t="s">
        <v>336</v>
      </c>
      <c r="E217" s="246" t="s">
        <v>337</v>
      </c>
      <c r="F217" s="248">
        <v>67940</v>
      </c>
      <c r="G217" s="248" t="s">
        <v>87</v>
      </c>
      <c r="H217" s="310"/>
      <c r="I217" s="311"/>
      <c r="J217" s="312"/>
      <c r="K217" s="311"/>
      <c r="L217" s="311"/>
      <c r="M217" s="312"/>
      <c r="N217" s="312">
        <f>_xlfn.XLOOKUP(CONCATENATE(tblPiNAnalysis[[#This Row],[Admin 2 P-Code]],tblPiNAnalysis[[#This Row],[Population Group]]),'Overall severity &amp; PIN Analysis'!A:A,'Overall severity &amp; PIN Analysis'!P:P,0,0)</f>
        <v>32653</v>
      </c>
      <c r="O217" s="311"/>
      <c r="P217" s="312"/>
      <c r="Q217" s="312"/>
      <c r="R217" s="312"/>
      <c r="S217" s="312"/>
      <c r="T217" s="313" t="str">
        <f>IF(tblPiNAnalysis[[#This Row],[Site Management ]]="", "", tblPiNAnalysis[[#This Row],[Site Management ]]/tblPiNAnalysis[[#This Row],[Total Population]])</f>
        <v/>
      </c>
      <c r="U217" s="314" t="str">
        <f>IF(tblPiNAnalysis[[#This Row],[Education]]="", "", tblPiNAnalysis[[#This Row],[Education]]/tblPiNAnalysis[[#This Row],[Total Population]])</f>
        <v/>
      </c>
      <c r="V217" s="314" t="str">
        <f>IF(tblPiNAnalysis[[#This Row],[Food Security and Livlihoods]]="", "", tblPiNAnalysis[[#This Row],[Food Security and Livlihoods]]/tblPiNAnalysis[[#This Row],[Total Population]])</f>
        <v/>
      </c>
      <c r="W217" s="315" t="str">
        <f>IF(tblPiNAnalysis[[#This Row],[Health ]]="", "", tblPiNAnalysis[[#This Row],[Health ]]/tblPiNAnalysis[[#This Row],[Total Population]])</f>
        <v/>
      </c>
      <c r="X217" s="314" t="str">
        <f>IF(tblPiNAnalysis[[#This Row],[Nutrition]]="", "", tblPiNAnalysis[[#This Row],[Nutrition]]/tblPiNAnalysis[[#This Row],[Total Population]])</f>
        <v/>
      </c>
      <c r="Y217" s="314" t="str">
        <f>IF(tblPiNAnalysis[[#This Row],[Protection]]="", "", tblPiNAnalysis[[#This Row],[Protection]]/tblPiNAnalysis[[#This Row],[Total Population]])</f>
        <v/>
      </c>
      <c r="Z217" s="316">
        <f>IF(tblPiNAnalysis[[#This Row],[Shelter NFI ]]="", "", tblPiNAnalysis[[#This Row],[Shelter NFI ]]/tblPiNAnalysis[[#This Row],[Total Population]])</f>
        <v>0.48061524874889611</v>
      </c>
      <c r="AA217" s="317" t="str">
        <f>IF(tblPiNAnalysis[[#This Row],[WASH]]="", "", tblPiNAnalysis[[#This Row],[WASH]]/tblPiNAnalysis[[#This Row],[Total Population]])</f>
        <v/>
      </c>
      <c r="AB217" s="318" t="str">
        <f>IFERROR(IF(tblPiNAnalysis[[#This Row],[CP]]="", "", MROUND(tblPiNAnalysis[[#This Row],[CP]]/tblPiNAnalysis[[#This Row],[Total Population]], 0.05)), "")</f>
        <v/>
      </c>
      <c r="AC217" s="314" t="str">
        <f>IFERROR(IF(tblPiNAnalysis[[#This Row],[GBV]]="", "", MROUND(tblPiNAnalysis[[#This Row],[GBV]]/tblPiNAnalysis[[#This Row],[Total Population]], 0.05)), "")</f>
        <v/>
      </c>
      <c r="AD217" s="314" t="str">
        <f>IFERROR(IF(tblPiNAnalysis[[#This Row],[Mine Action]]="", "", MROUND(tblPiNAnalysis[[#This Row],[Mine Action]]/tblPiNAnalysis[[#This Row],[Total Population]], 0.05)), "")</f>
        <v/>
      </c>
      <c r="AE217" s="314" t="str">
        <f>IFERROR(IF(tblPiNAnalysis[[#This Row],[General Protection]]="", "", MROUND(tblPiNAnalysis[[#This Row],[General Protection]]/tblPiNAnalysis[[#This Row],[Total Population]], 0.05)), "")</f>
        <v/>
      </c>
      <c r="AF217" s="319">
        <f>IFERROR(LARGE(tblPiNAnalysis[[#This Row],[Site Management ]:[General Protection]], 1), "")</f>
        <v>32653</v>
      </c>
      <c r="AG217" s="320">
        <f>IF(tblPiNAnalysis[[#This Row],[Highest PiN]]="", "",tblPiNAnalysis[[#This Row],[Highest PiN]]/ tblPiNAnalysis[[#This Row],[Total Population]])</f>
        <v>0.48061524874889611</v>
      </c>
      <c r="AH217" s="320" t="str">
        <f>IFERROR(IF(tblPiNAnalysis[[#This Row],[Highest PiN]]="", "", IF(tblPiNAnalysis[[#This Row],[Highest sector(s'') PiN %]]&gt;=flag_pin_perc, "Flagged", "")), "")</f>
        <v/>
      </c>
      <c r="AI217" s="321"/>
      <c r="AJ217" s="322"/>
      <c r="AK217" s="323">
        <f>COUNTIFS(tblPiNAnalysis[[#This Row],[Highest PiN greater than 90% of total affected population]:[Manual Flag]],"Flagged")</f>
        <v>0</v>
      </c>
      <c r="AL217" s="324" t="str">
        <f>IF(tblPiNAnalysis[[#This Row],['# Flags]]&gt;0, "Flagged", "")</f>
        <v/>
      </c>
    </row>
    <row r="218" spans="1:38" ht="23.1" hidden="1" customHeight="1" x14ac:dyDescent="0.2">
      <c r="A218" s="309" t="str">
        <f>_xlfn.CONCAT(IF(tblPiNAnalysis[[#This Row],[Population Group]]="", "",tblPiNAnalysis[[#This Row],[Population Group]] ), _xlfn.IFS(tblPiNAnalysis[[#This Row],[Admin 2 P-Code]]&lt;&gt;"", tblPiNAnalysis[[#This Row],[Admin 2 P-Code]], tblPiNAnalysis[[#This Row],[Admin 1 P-Code]]&lt;&gt;"", tblPiNAnalysis[[#This Row],[Admin 1 P-Code]]))</f>
        <v>IDPsSD07088</v>
      </c>
      <c r="B218" s="245" t="s">
        <v>188</v>
      </c>
      <c r="C218" s="246" t="s">
        <v>124</v>
      </c>
      <c r="D218" s="247" t="s">
        <v>336</v>
      </c>
      <c r="E218" s="246" t="s">
        <v>337</v>
      </c>
      <c r="F218" s="248">
        <v>58100</v>
      </c>
      <c r="G218" s="248" t="s">
        <v>88</v>
      </c>
      <c r="H218" s="310"/>
      <c r="I218" s="311"/>
      <c r="J218" s="312"/>
      <c r="K218" s="311"/>
      <c r="L218" s="311"/>
      <c r="M218" s="312"/>
      <c r="N218" s="312">
        <f>_xlfn.XLOOKUP(CONCATENATE(tblPiNAnalysis[[#This Row],[Admin 2 P-Code]],tblPiNAnalysis[[#This Row],[Population Group]]),'Overall severity &amp; PIN Analysis'!A:A,'Overall severity &amp; PIN Analysis'!P:P,0,0)</f>
        <v>27924</v>
      </c>
      <c r="O218" s="311"/>
      <c r="P218" s="312"/>
      <c r="Q218" s="312"/>
      <c r="R218" s="312"/>
      <c r="S218" s="312"/>
      <c r="T218" s="313" t="str">
        <f>IF(tblPiNAnalysis[[#This Row],[Site Management ]]="", "", tblPiNAnalysis[[#This Row],[Site Management ]]/tblPiNAnalysis[[#This Row],[Total Population]])</f>
        <v/>
      </c>
      <c r="U218" s="314" t="str">
        <f>IF(tblPiNAnalysis[[#This Row],[Education]]="", "", tblPiNAnalysis[[#This Row],[Education]]/tblPiNAnalysis[[#This Row],[Total Population]])</f>
        <v/>
      </c>
      <c r="V218" s="314" t="str">
        <f>IF(tblPiNAnalysis[[#This Row],[Food Security and Livlihoods]]="", "", tblPiNAnalysis[[#This Row],[Food Security and Livlihoods]]/tblPiNAnalysis[[#This Row],[Total Population]])</f>
        <v/>
      </c>
      <c r="W218" s="315" t="str">
        <f>IF(tblPiNAnalysis[[#This Row],[Health ]]="", "", tblPiNAnalysis[[#This Row],[Health ]]/tblPiNAnalysis[[#This Row],[Total Population]])</f>
        <v/>
      </c>
      <c r="X218" s="314" t="str">
        <f>IF(tblPiNAnalysis[[#This Row],[Nutrition]]="", "", tblPiNAnalysis[[#This Row],[Nutrition]]/tblPiNAnalysis[[#This Row],[Total Population]])</f>
        <v/>
      </c>
      <c r="Y218" s="314" t="str">
        <f>IF(tblPiNAnalysis[[#This Row],[Protection]]="", "", tblPiNAnalysis[[#This Row],[Protection]]/tblPiNAnalysis[[#This Row],[Total Population]])</f>
        <v/>
      </c>
      <c r="Z218" s="316">
        <f>IF(tblPiNAnalysis[[#This Row],[Shelter NFI ]]="", "", tblPiNAnalysis[[#This Row],[Shelter NFI ]]/tblPiNAnalysis[[#This Row],[Total Population]])</f>
        <v>0.4806196213425129</v>
      </c>
      <c r="AA218" s="317" t="str">
        <f>IF(tblPiNAnalysis[[#This Row],[WASH]]="", "", tblPiNAnalysis[[#This Row],[WASH]]/tblPiNAnalysis[[#This Row],[Total Population]])</f>
        <v/>
      </c>
      <c r="AB218" s="318" t="str">
        <f>IFERROR(IF(tblPiNAnalysis[[#This Row],[CP]]="", "", MROUND(tblPiNAnalysis[[#This Row],[CP]]/tblPiNAnalysis[[#This Row],[Total Population]], 0.05)), "")</f>
        <v/>
      </c>
      <c r="AC218" s="314" t="str">
        <f>IFERROR(IF(tblPiNAnalysis[[#This Row],[GBV]]="", "", MROUND(tblPiNAnalysis[[#This Row],[GBV]]/tblPiNAnalysis[[#This Row],[Total Population]], 0.05)), "")</f>
        <v/>
      </c>
      <c r="AD218" s="314" t="str">
        <f>IFERROR(IF(tblPiNAnalysis[[#This Row],[Mine Action]]="", "", MROUND(tblPiNAnalysis[[#This Row],[Mine Action]]/tblPiNAnalysis[[#This Row],[Total Population]], 0.05)), "")</f>
        <v/>
      </c>
      <c r="AE218" s="314" t="str">
        <f>IFERROR(IF(tblPiNAnalysis[[#This Row],[General Protection]]="", "", MROUND(tblPiNAnalysis[[#This Row],[General Protection]]/tblPiNAnalysis[[#This Row],[Total Population]], 0.05)), "")</f>
        <v/>
      </c>
      <c r="AF218" s="319">
        <f>IFERROR(LARGE(tblPiNAnalysis[[#This Row],[Site Management ]:[General Protection]], 1), "")</f>
        <v>27924</v>
      </c>
      <c r="AG218" s="320">
        <f>IF(tblPiNAnalysis[[#This Row],[Highest PiN]]="", "",tblPiNAnalysis[[#This Row],[Highest PiN]]/ tblPiNAnalysis[[#This Row],[Total Population]])</f>
        <v>0.4806196213425129</v>
      </c>
      <c r="AH218" s="320" t="str">
        <f>IFERROR(IF(tblPiNAnalysis[[#This Row],[Highest PiN]]="", "", IF(tblPiNAnalysis[[#This Row],[Highest sector(s'') PiN %]]&gt;=flag_pin_perc, "Flagged", "")), "")</f>
        <v/>
      </c>
      <c r="AI218" s="321"/>
      <c r="AJ218" s="322"/>
      <c r="AK218" s="323">
        <f>COUNTIFS(tblPiNAnalysis[[#This Row],[Highest PiN greater than 90% of total affected population]:[Manual Flag]],"Flagged")</f>
        <v>0</v>
      </c>
      <c r="AL218" s="324" t="str">
        <f>IF(tblPiNAnalysis[[#This Row],['# Flags]]&gt;0, "Flagged", "")</f>
        <v/>
      </c>
    </row>
    <row r="219" spans="1:38" ht="23.1" customHeight="1" x14ac:dyDescent="0.2">
      <c r="A219" s="309" t="str">
        <f>_xlfn.CONCAT(IF(tblPiNAnalysis[[#This Row],[Population Group]]="", "",tblPiNAnalysis[[#This Row],[Population Group]] ), _xlfn.IFS(tblPiNAnalysis[[#This Row],[Admin 2 P-Code]]&lt;&gt;"", tblPiNAnalysis[[#This Row],[Admin 2 P-Code]], tblPiNAnalysis[[#This Row],[Admin 1 P-Code]]&lt;&gt;"", tblPiNAnalysis[[#This Row],[Admin 1 P-Code]]))</f>
        <v>Non-hosting PopulationSD07088</v>
      </c>
      <c r="B219" s="245" t="s">
        <v>188</v>
      </c>
      <c r="C219" s="246" t="s">
        <v>124</v>
      </c>
      <c r="D219" s="247" t="s">
        <v>336</v>
      </c>
      <c r="E219" s="246" t="s">
        <v>337</v>
      </c>
      <c r="F219" s="248">
        <v>17941</v>
      </c>
      <c r="G219" s="248" t="s">
        <v>568</v>
      </c>
      <c r="H219" s="310"/>
      <c r="I219" s="311"/>
      <c r="J219" s="312"/>
      <c r="K219" s="311"/>
      <c r="L219" s="311"/>
      <c r="M219" s="312"/>
      <c r="N219" s="312">
        <f>_xlfn.XLOOKUP(CONCATENATE(tblPiNAnalysis[[#This Row],[Admin 2 P-Code]],tblPiNAnalysis[[#This Row],[Population Group]]),'Overall severity &amp; PIN Analysis'!A:A,'Overall severity &amp; PIN Analysis'!P:P,0,0)</f>
        <v>908</v>
      </c>
      <c r="O219" s="311"/>
      <c r="P219" s="312"/>
      <c r="Q219" s="312"/>
      <c r="R219" s="312"/>
      <c r="S219" s="312"/>
      <c r="T219" s="313" t="str">
        <f>IF(tblPiNAnalysis[[#This Row],[Site Management ]]="", "", tblPiNAnalysis[[#This Row],[Site Management ]]/tblPiNAnalysis[[#This Row],[Total Population]])</f>
        <v/>
      </c>
      <c r="U219" s="314" t="str">
        <f>IF(tblPiNAnalysis[[#This Row],[Education]]="", "", tblPiNAnalysis[[#This Row],[Education]]/tblPiNAnalysis[[#This Row],[Total Population]])</f>
        <v/>
      </c>
      <c r="V219" s="314" t="str">
        <f>IF(tblPiNAnalysis[[#This Row],[Food Security and Livlihoods]]="", "", tblPiNAnalysis[[#This Row],[Food Security and Livlihoods]]/tblPiNAnalysis[[#This Row],[Total Population]])</f>
        <v/>
      </c>
      <c r="W219" s="315" t="str">
        <f>IF(tblPiNAnalysis[[#This Row],[Health ]]="", "", tblPiNAnalysis[[#This Row],[Health ]]/tblPiNAnalysis[[#This Row],[Total Population]])</f>
        <v/>
      </c>
      <c r="X219" s="314" t="str">
        <f>IF(tblPiNAnalysis[[#This Row],[Nutrition]]="", "", tblPiNAnalysis[[#This Row],[Nutrition]]/tblPiNAnalysis[[#This Row],[Total Population]])</f>
        <v/>
      </c>
      <c r="Y219" s="314" t="str">
        <f>IF(tblPiNAnalysis[[#This Row],[Protection]]="", "", tblPiNAnalysis[[#This Row],[Protection]]/tblPiNAnalysis[[#This Row],[Total Population]])</f>
        <v/>
      </c>
      <c r="Z219" s="316">
        <f>IF(tblPiNAnalysis[[#This Row],[Shelter NFI ]]="", "", tblPiNAnalysis[[#This Row],[Shelter NFI ]]/tblPiNAnalysis[[#This Row],[Total Population]])</f>
        <v>5.0610333872136447E-2</v>
      </c>
      <c r="AA219" s="317" t="str">
        <f>IF(tblPiNAnalysis[[#This Row],[WASH]]="", "", tblPiNAnalysis[[#This Row],[WASH]]/tblPiNAnalysis[[#This Row],[Total Population]])</f>
        <v/>
      </c>
      <c r="AB219" s="318" t="str">
        <f>IFERROR(IF(tblPiNAnalysis[[#This Row],[CP]]="", "", MROUND(tblPiNAnalysis[[#This Row],[CP]]/tblPiNAnalysis[[#This Row],[Total Population]], 0.05)), "")</f>
        <v/>
      </c>
      <c r="AC219" s="314" t="str">
        <f>IFERROR(IF(tblPiNAnalysis[[#This Row],[GBV]]="", "", MROUND(tblPiNAnalysis[[#This Row],[GBV]]/tblPiNAnalysis[[#This Row],[Total Population]], 0.05)), "")</f>
        <v/>
      </c>
      <c r="AD219" s="314" t="str">
        <f>IFERROR(IF(tblPiNAnalysis[[#This Row],[Mine Action]]="", "", MROUND(tblPiNAnalysis[[#This Row],[Mine Action]]/tblPiNAnalysis[[#This Row],[Total Population]], 0.05)), "")</f>
        <v/>
      </c>
      <c r="AE219" s="314" t="str">
        <f>IFERROR(IF(tblPiNAnalysis[[#This Row],[General Protection]]="", "", MROUND(tblPiNAnalysis[[#This Row],[General Protection]]/tblPiNAnalysis[[#This Row],[Total Population]], 0.05)), "")</f>
        <v/>
      </c>
      <c r="AF219" s="319">
        <f>IFERROR(LARGE(tblPiNAnalysis[[#This Row],[Site Management ]:[General Protection]], 1), "")</f>
        <v>908</v>
      </c>
      <c r="AG219" s="320">
        <f>IF(tblPiNAnalysis[[#This Row],[Highest PiN]]="", "",tblPiNAnalysis[[#This Row],[Highest PiN]]/ tblPiNAnalysis[[#This Row],[Total Population]])</f>
        <v>5.0610333872136447E-2</v>
      </c>
      <c r="AH219" s="320" t="str">
        <f>IFERROR(IF(tblPiNAnalysis[[#This Row],[Highest PiN]]="", "", IF(tblPiNAnalysis[[#This Row],[Highest sector(s'') PiN %]]&gt;=flag_pin_perc, "Flagged", "")), "")</f>
        <v/>
      </c>
      <c r="AI219" s="321"/>
      <c r="AJ219" s="322"/>
      <c r="AK219" s="323">
        <f>COUNTIFS(tblPiNAnalysis[[#This Row],[Highest PiN greater than 90% of total affected population]:[Manual Flag]],"Flagged")</f>
        <v>0</v>
      </c>
      <c r="AL219" s="324" t="str">
        <f>IF(tblPiNAnalysis[[#This Row],['# Flags]]&gt;0, "Flagged", "")</f>
        <v/>
      </c>
    </row>
    <row r="220" spans="1:38" ht="23.1" hidden="1" customHeight="1" x14ac:dyDescent="0.2">
      <c r="A220" s="309" t="str">
        <f>_xlfn.CONCAT(IF(tblPiNAnalysis[[#This Row],[Population Group]]="", "",tblPiNAnalysis[[#This Row],[Population Group]] ), _xlfn.IFS(tblPiNAnalysis[[#This Row],[Admin 2 P-Code]]&lt;&gt;"", tblPiNAnalysis[[#This Row],[Admin 2 P-Code]], tblPiNAnalysis[[#This Row],[Admin 1 P-Code]]&lt;&gt;"", tblPiNAnalysis[[#This Row],[Admin 1 P-Code]]))</f>
        <v>Host CommunitySD07089</v>
      </c>
      <c r="B220" s="245" t="s">
        <v>188</v>
      </c>
      <c r="C220" s="246" t="s">
        <v>124</v>
      </c>
      <c r="D220" s="247" t="s">
        <v>338</v>
      </c>
      <c r="E220" s="246" t="s">
        <v>339</v>
      </c>
      <c r="F220" s="248">
        <v>0</v>
      </c>
      <c r="G220" s="248" t="s">
        <v>87</v>
      </c>
      <c r="H220" s="310"/>
      <c r="I220" s="311"/>
      <c r="J220" s="312"/>
      <c r="K220" s="311"/>
      <c r="L220" s="311"/>
      <c r="M220" s="312"/>
      <c r="N220" s="312">
        <f>_xlfn.XLOOKUP(CONCATENATE(tblPiNAnalysis[[#This Row],[Admin 2 P-Code]],tblPiNAnalysis[[#This Row],[Population Group]]),'Overall severity &amp; PIN Analysis'!A:A,'Overall severity &amp; PIN Analysis'!P:P,0,0)</f>
        <v>0</v>
      </c>
      <c r="O220" s="311"/>
      <c r="P220" s="312"/>
      <c r="Q220" s="312"/>
      <c r="R220" s="312"/>
      <c r="S220" s="312"/>
      <c r="T220" s="313" t="str">
        <f>IF(tblPiNAnalysis[[#This Row],[Site Management ]]="", "", tblPiNAnalysis[[#This Row],[Site Management ]]/tblPiNAnalysis[[#This Row],[Total Population]])</f>
        <v/>
      </c>
      <c r="U220" s="314" t="str">
        <f>IF(tblPiNAnalysis[[#This Row],[Education]]="", "", tblPiNAnalysis[[#This Row],[Education]]/tblPiNAnalysis[[#This Row],[Total Population]])</f>
        <v/>
      </c>
      <c r="V220" s="314" t="str">
        <f>IF(tblPiNAnalysis[[#This Row],[Food Security and Livlihoods]]="", "", tblPiNAnalysis[[#This Row],[Food Security and Livlihoods]]/tblPiNAnalysis[[#This Row],[Total Population]])</f>
        <v/>
      </c>
      <c r="W220" s="315" t="str">
        <f>IF(tblPiNAnalysis[[#This Row],[Health ]]="", "", tblPiNAnalysis[[#This Row],[Health ]]/tblPiNAnalysis[[#This Row],[Total Population]])</f>
        <v/>
      </c>
      <c r="X220" s="314" t="str">
        <f>IF(tblPiNAnalysis[[#This Row],[Nutrition]]="", "", tblPiNAnalysis[[#This Row],[Nutrition]]/tblPiNAnalysis[[#This Row],[Total Population]])</f>
        <v/>
      </c>
      <c r="Y220" s="314" t="str">
        <f>IF(tblPiNAnalysis[[#This Row],[Protection]]="", "", tblPiNAnalysis[[#This Row],[Protection]]/tblPiNAnalysis[[#This Row],[Total Population]])</f>
        <v/>
      </c>
      <c r="Z220" s="316" t="e">
        <f>IF(tblPiNAnalysis[[#This Row],[Shelter NFI ]]="", "", tblPiNAnalysis[[#This Row],[Shelter NFI ]]/tblPiNAnalysis[[#This Row],[Total Population]])</f>
        <v>#DIV/0!</v>
      </c>
      <c r="AA220" s="317" t="str">
        <f>IF(tblPiNAnalysis[[#This Row],[WASH]]="", "", tblPiNAnalysis[[#This Row],[WASH]]/tblPiNAnalysis[[#This Row],[Total Population]])</f>
        <v/>
      </c>
      <c r="AB220" s="318" t="str">
        <f>IFERROR(IF(tblPiNAnalysis[[#This Row],[CP]]="", "", MROUND(tblPiNAnalysis[[#This Row],[CP]]/tblPiNAnalysis[[#This Row],[Total Population]], 0.05)), "")</f>
        <v/>
      </c>
      <c r="AC220" s="314" t="str">
        <f>IFERROR(IF(tblPiNAnalysis[[#This Row],[GBV]]="", "", MROUND(tblPiNAnalysis[[#This Row],[GBV]]/tblPiNAnalysis[[#This Row],[Total Population]], 0.05)), "")</f>
        <v/>
      </c>
      <c r="AD220" s="314" t="str">
        <f>IFERROR(IF(tblPiNAnalysis[[#This Row],[Mine Action]]="", "", MROUND(tblPiNAnalysis[[#This Row],[Mine Action]]/tblPiNAnalysis[[#This Row],[Total Population]], 0.05)), "")</f>
        <v/>
      </c>
      <c r="AE220" s="314" t="str">
        <f>IFERROR(IF(tblPiNAnalysis[[#This Row],[General Protection]]="", "", MROUND(tblPiNAnalysis[[#This Row],[General Protection]]/tblPiNAnalysis[[#This Row],[Total Population]], 0.05)), "")</f>
        <v/>
      </c>
      <c r="AF220" s="319">
        <f>IFERROR(LARGE(tblPiNAnalysis[[#This Row],[Site Management ]:[General Protection]], 1), "")</f>
        <v>0</v>
      </c>
      <c r="AG220" s="320" t="e">
        <f>IF(tblPiNAnalysis[[#This Row],[Highest PiN]]="", "",tblPiNAnalysis[[#This Row],[Highest PiN]]/ tblPiNAnalysis[[#This Row],[Total Population]])</f>
        <v>#DIV/0!</v>
      </c>
      <c r="AH220" s="320" t="str">
        <f>IFERROR(IF(tblPiNAnalysis[[#This Row],[Highest PiN]]="", "", IF(tblPiNAnalysis[[#This Row],[Highest sector(s'') PiN %]]&gt;=flag_pin_perc, "Flagged", "")), "")</f>
        <v/>
      </c>
      <c r="AI220" s="321"/>
      <c r="AJ220" s="322"/>
      <c r="AK220" s="323">
        <f>COUNTIFS(tblPiNAnalysis[[#This Row],[Highest PiN greater than 90% of total affected population]:[Manual Flag]],"Flagged")</f>
        <v>0</v>
      </c>
      <c r="AL220" s="324" t="str">
        <f>IF(tblPiNAnalysis[[#This Row],['# Flags]]&gt;0, "Flagged", "")</f>
        <v/>
      </c>
    </row>
    <row r="221" spans="1:38" ht="23.1" hidden="1" customHeight="1" x14ac:dyDescent="0.2">
      <c r="A221" s="309" t="str">
        <f>_xlfn.CONCAT(IF(tblPiNAnalysis[[#This Row],[Population Group]]="", "",tblPiNAnalysis[[#This Row],[Population Group]] ), _xlfn.IFS(tblPiNAnalysis[[#This Row],[Admin 2 P-Code]]&lt;&gt;"", tblPiNAnalysis[[#This Row],[Admin 2 P-Code]], tblPiNAnalysis[[#This Row],[Admin 1 P-Code]]&lt;&gt;"", tblPiNAnalysis[[#This Row],[Admin 1 P-Code]]))</f>
        <v>IDPsSD07089</v>
      </c>
      <c r="B221" s="245" t="s">
        <v>188</v>
      </c>
      <c r="C221" s="246" t="s">
        <v>124</v>
      </c>
      <c r="D221" s="247" t="s">
        <v>338</v>
      </c>
      <c r="E221" s="246" t="s">
        <v>339</v>
      </c>
      <c r="F221" s="248">
        <v>10407</v>
      </c>
      <c r="G221" s="248" t="s">
        <v>88</v>
      </c>
      <c r="H221" s="310"/>
      <c r="I221" s="311"/>
      <c r="J221" s="312"/>
      <c r="K221" s="311"/>
      <c r="L221" s="311"/>
      <c r="M221" s="312"/>
      <c r="N221" s="312">
        <f>_xlfn.XLOOKUP(CONCATENATE(tblPiNAnalysis[[#This Row],[Admin 2 P-Code]],tblPiNAnalysis[[#This Row],[Population Group]]),'Overall severity &amp; PIN Analysis'!A:A,'Overall severity &amp; PIN Analysis'!P:P,0,0)</f>
        <v>4535</v>
      </c>
      <c r="O221" s="311"/>
      <c r="P221" s="312"/>
      <c r="Q221" s="312"/>
      <c r="R221" s="312"/>
      <c r="S221" s="312"/>
      <c r="T221" s="313" t="str">
        <f>IF(tblPiNAnalysis[[#This Row],[Site Management ]]="", "", tblPiNAnalysis[[#This Row],[Site Management ]]/tblPiNAnalysis[[#This Row],[Total Population]])</f>
        <v/>
      </c>
      <c r="U221" s="314" t="str">
        <f>IF(tblPiNAnalysis[[#This Row],[Education]]="", "", tblPiNAnalysis[[#This Row],[Education]]/tblPiNAnalysis[[#This Row],[Total Population]])</f>
        <v/>
      </c>
      <c r="V221" s="314" t="str">
        <f>IF(tblPiNAnalysis[[#This Row],[Food Security and Livlihoods]]="", "", tblPiNAnalysis[[#This Row],[Food Security and Livlihoods]]/tblPiNAnalysis[[#This Row],[Total Population]])</f>
        <v/>
      </c>
      <c r="W221" s="315" t="str">
        <f>IF(tblPiNAnalysis[[#This Row],[Health ]]="", "", tblPiNAnalysis[[#This Row],[Health ]]/tblPiNAnalysis[[#This Row],[Total Population]])</f>
        <v/>
      </c>
      <c r="X221" s="314" t="str">
        <f>IF(tblPiNAnalysis[[#This Row],[Nutrition]]="", "", tblPiNAnalysis[[#This Row],[Nutrition]]/tblPiNAnalysis[[#This Row],[Total Population]])</f>
        <v/>
      </c>
      <c r="Y221" s="314" t="str">
        <f>IF(tblPiNAnalysis[[#This Row],[Protection]]="", "", tblPiNAnalysis[[#This Row],[Protection]]/tblPiNAnalysis[[#This Row],[Total Population]])</f>
        <v/>
      </c>
      <c r="Z221" s="316">
        <f>IF(tblPiNAnalysis[[#This Row],[Shelter NFI ]]="", "", tblPiNAnalysis[[#This Row],[Shelter NFI ]]/tblPiNAnalysis[[#This Row],[Total Population]])</f>
        <v>0.4357643893533199</v>
      </c>
      <c r="AA221" s="317" t="str">
        <f>IF(tblPiNAnalysis[[#This Row],[WASH]]="", "", tblPiNAnalysis[[#This Row],[WASH]]/tblPiNAnalysis[[#This Row],[Total Population]])</f>
        <v/>
      </c>
      <c r="AB221" s="318" t="str">
        <f>IFERROR(IF(tblPiNAnalysis[[#This Row],[CP]]="", "", MROUND(tblPiNAnalysis[[#This Row],[CP]]/tblPiNAnalysis[[#This Row],[Total Population]], 0.05)), "")</f>
        <v/>
      </c>
      <c r="AC221" s="314" t="str">
        <f>IFERROR(IF(tblPiNAnalysis[[#This Row],[GBV]]="", "", MROUND(tblPiNAnalysis[[#This Row],[GBV]]/tblPiNAnalysis[[#This Row],[Total Population]], 0.05)), "")</f>
        <v/>
      </c>
      <c r="AD221" s="314" t="str">
        <f>IFERROR(IF(tblPiNAnalysis[[#This Row],[Mine Action]]="", "", MROUND(tblPiNAnalysis[[#This Row],[Mine Action]]/tblPiNAnalysis[[#This Row],[Total Population]], 0.05)), "")</f>
        <v/>
      </c>
      <c r="AE221" s="314" t="str">
        <f>IFERROR(IF(tblPiNAnalysis[[#This Row],[General Protection]]="", "", MROUND(tblPiNAnalysis[[#This Row],[General Protection]]/tblPiNAnalysis[[#This Row],[Total Population]], 0.05)), "")</f>
        <v/>
      </c>
      <c r="AF221" s="319">
        <f>IFERROR(LARGE(tblPiNAnalysis[[#This Row],[Site Management ]:[General Protection]], 1), "")</f>
        <v>4535</v>
      </c>
      <c r="AG221" s="320">
        <f>IF(tblPiNAnalysis[[#This Row],[Highest PiN]]="", "",tblPiNAnalysis[[#This Row],[Highest PiN]]/ tblPiNAnalysis[[#This Row],[Total Population]])</f>
        <v>0.4357643893533199</v>
      </c>
      <c r="AH221" s="320" t="str">
        <f>IFERROR(IF(tblPiNAnalysis[[#This Row],[Highest PiN]]="", "", IF(tblPiNAnalysis[[#This Row],[Highest sector(s'') PiN %]]&gt;=flag_pin_perc, "Flagged", "")), "")</f>
        <v/>
      </c>
      <c r="AI221" s="321"/>
      <c r="AJ221" s="322"/>
      <c r="AK221" s="323">
        <f>COUNTIFS(tblPiNAnalysis[[#This Row],[Highest PiN greater than 90% of total affected population]:[Manual Flag]],"Flagged")</f>
        <v>0</v>
      </c>
      <c r="AL221" s="324" t="str">
        <f>IF(tblPiNAnalysis[[#This Row],['# Flags]]&gt;0, "Flagged", "")</f>
        <v/>
      </c>
    </row>
    <row r="222" spans="1:38" ht="23.1" customHeight="1" x14ac:dyDescent="0.2">
      <c r="A222" s="309" t="str">
        <f>_xlfn.CONCAT(IF(tblPiNAnalysis[[#This Row],[Population Group]]="", "",tblPiNAnalysis[[#This Row],[Population Group]] ), _xlfn.IFS(tblPiNAnalysis[[#This Row],[Admin 2 P-Code]]&lt;&gt;"", tblPiNAnalysis[[#This Row],[Admin 2 P-Code]], tblPiNAnalysis[[#This Row],[Admin 1 P-Code]]&lt;&gt;"", tblPiNAnalysis[[#This Row],[Admin 1 P-Code]]))</f>
        <v>Non-hosting PopulationSD07089</v>
      </c>
      <c r="B222" s="245" t="s">
        <v>188</v>
      </c>
      <c r="C222" s="246" t="s">
        <v>124</v>
      </c>
      <c r="D222" s="247" t="s">
        <v>338</v>
      </c>
      <c r="E222" s="246" t="s">
        <v>339</v>
      </c>
      <c r="F222" s="248">
        <v>0</v>
      </c>
      <c r="G222" s="248" t="s">
        <v>568</v>
      </c>
      <c r="H222" s="310"/>
      <c r="I222" s="311"/>
      <c r="J222" s="312"/>
      <c r="K222" s="311"/>
      <c r="L222" s="311"/>
      <c r="M222" s="312"/>
      <c r="N222" s="312">
        <f>_xlfn.XLOOKUP(CONCATENATE(tblPiNAnalysis[[#This Row],[Admin 2 P-Code]],tblPiNAnalysis[[#This Row],[Population Group]]),'Overall severity &amp; PIN Analysis'!A:A,'Overall severity &amp; PIN Analysis'!P:P,0,0)</f>
        <v>0</v>
      </c>
      <c r="O222" s="311"/>
      <c r="P222" s="312"/>
      <c r="Q222" s="312"/>
      <c r="R222" s="312"/>
      <c r="S222" s="312"/>
      <c r="T222" s="313" t="str">
        <f>IF(tblPiNAnalysis[[#This Row],[Site Management ]]="", "", tblPiNAnalysis[[#This Row],[Site Management ]]/tblPiNAnalysis[[#This Row],[Total Population]])</f>
        <v/>
      </c>
      <c r="U222" s="314" t="str">
        <f>IF(tblPiNAnalysis[[#This Row],[Education]]="", "", tblPiNAnalysis[[#This Row],[Education]]/tblPiNAnalysis[[#This Row],[Total Population]])</f>
        <v/>
      </c>
      <c r="V222" s="314" t="str">
        <f>IF(tblPiNAnalysis[[#This Row],[Food Security and Livlihoods]]="", "", tblPiNAnalysis[[#This Row],[Food Security and Livlihoods]]/tblPiNAnalysis[[#This Row],[Total Population]])</f>
        <v/>
      </c>
      <c r="W222" s="315" t="str">
        <f>IF(tblPiNAnalysis[[#This Row],[Health ]]="", "", tblPiNAnalysis[[#This Row],[Health ]]/tblPiNAnalysis[[#This Row],[Total Population]])</f>
        <v/>
      </c>
      <c r="X222" s="314" t="str">
        <f>IF(tblPiNAnalysis[[#This Row],[Nutrition]]="", "", tblPiNAnalysis[[#This Row],[Nutrition]]/tblPiNAnalysis[[#This Row],[Total Population]])</f>
        <v/>
      </c>
      <c r="Y222" s="314" t="str">
        <f>IF(tblPiNAnalysis[[#This Row],[Protection]]="", "", tblPiNAnalysis[[#This Row],[Protection]]/tblPiNAnalysis[[#This Row],[Total Population]])</f>
        <v/>
      </c>
      <c r="Z222" s="316" t="e">
        <f>IF(tblPiNAnalysis[[#This Row],[Shelter NFI ]]="", "", tblPiNAnalysis[[#This Row],[Shelter NFI ]]/tblPiNAnalysis[[#This Row],[Total Population]])</f>
        <v>#DIV/0!</v>
      </c>
      <c r="AA222" s="317" t="str">
        <f>IF(tblPiNAnalysis[[#This Row],[WASH]]="", "", tblPiNAnalysis[[#This Row],[WASH]]/tblPiNAnalysis[[#This Row],[Total Population]])</f>
        <v/>
      </c>
      <c r="AB222" s="318" t="str">
        <f>IFERROR(IF(tblPiNAnalysis[[#This Row],[CP]]="", "", MROUND(tblPiNAnalysis[[#This Row],[CP]]/tblPiNAnalysis[[#This Row],[Total Population]], 0.05)), "")</f>
        <v/>
      </c>
      <c r="AC222" s="314" t="str">
        <f>IFERROR(IF(tblPiNAnalysis[[#This Row],[GBV]]="", "", MROUND(tblPiNAnalysis[[#This Row],[GBV]]/tblPiNAnalysis[[#This Row],[Total Population]], 0.05)), "")</f>
        <v/>
      </c>
      <c r="AD222" s="314" t="str">
        <f>IFERROR(IF(tblPiNAnalysis[[#This Row],[Mine Action]]="", "", MROUND(tblPiNAnalysis[[#This Row],[Mine Action]]/tblPiNAnalysis[[#This Row],[Total Population]], 0.05)), "")</f>
        <v/>
      </c>
      <c r="AE222" s="314" t="str">
        <f>IFERROR(IF(tblPiNAnalysis[[#This Row],[General Protection]]="", "", MROUND(tblPiNAnalysis[[#This Row],[General Protection]]/tblPiNAnalysis[[#This Row],[Total Population]], 0.05)), "")</f>
        <v/>
      </c>
      <c r="AF222" s="319">
        <f>IFERROR(LARGE(tblPiNAnalysis[[#This Row],[Site Management ]:[General Protection]], 1), "")</f>
        <v>0</v>
      </c>
      <c r="AG222" s="320" t="e">
        <f>IF(tblPiNAnalysis[[#This Row],[Highest PiN]]="", "",tblPiNAnalysis[[#This Row],[Highest PiN]]/ tblPiNAnalysis[[#This Row],[Total Population]])</f>
        <v>#DIV/0!</v>
      </c>
      <c r="AH222" s="320" t="str">
        <f>IFERROR(IF(tblPiNAnalysis[[#This Row],[Highest PiN]]="", "", IF(tblPiNAnalysis[[#This Row],[Highest sector(s'') PiN %]]&gt;=flag_pin_perc, "Flagged", "")), "")</f>
        <v/>
      </c>
      <c r="AI222" s="321"/>
      <c r="AJ222" s="322"/>
      <c r="AK222" s="323">
        <f>COUNTIFS(tblPiNAnalysis[[#This Row],[Highest PiN greater than 90% of total affected population]:[Manual Flag]],"Flagged")</f>
        <v>0</v>
      </c>
      <c r="AL222" s="324" t="str">
        <f>IF(tblPiNAnalysis[[#This Row],['# Flags]]&gt;0, "Flagged", "")</f>
        <v/>
      </c>
    </row>
    <row r="223" spans="1:38" ht="23.1" hidden="1" customHeight="1" x14ac:dyDescent="0.2">
      <c r="A223" s="309" t="str">
        <f>_xlfn.CONCAT(IF(tblPiNAnalysis[[#This Row],[Population Group]]="", "",tblPiNAnalysis[[#This Row],[Population Group]] ), _xlfn.IFS(tblPiNAnalysis[[#This Row],[Admin 2 P-Code]]&lt;&gt;"", tblPiNAnalysis[[#This Row],[Admin 2 P-Code]], tblPiNAnalysis[[#This Row],[Admin 1 P-Code]]&lt;&gt;"", tblPiNAnalysis[[#This Row],[Admin 1 P-Code]]))</f>
        <v>Host CommunitySD07090</v>
      </c>
      <c r="B223" s="245" t="s">
        <v>188</v>
      </c>
      <c r="C223" s="246" t="s">
        <v>124</v>
      </c>
      <c r="D223" s="247" t="s">
        <v>340</v>
      </c>
      <c r="E223" s="246" t="s">
        <v>341</v>
      </c>
      <c r="F223" s="248">
        <v>26911</v>
      </c>
      <c r="G223" s="248" t="s">
        <v>87</v>
      </c>
      <c r="H223" s="310"/>
      <c r="I223" s="311"/>
      <c r="J223" s="312"/>
      <c r="K223" s="311"/>
      <c r="L223" s="311"/>
      <c r="M223" s="312"/>
      <c r="N223" s="312">
        <f>_xlfn.XLOOKUP(CONCATENATE(tblPiNAnalysis[[#This Row],[Admin 2 P-Code]],tblPiNAnalysis[[#This Row],[Population Group]]),'Overall severity &amp; PIN Analysis'!A:A,'Overall severity &amp; PIN Analysis'!P:P,0,0)</f>
        <v>23298</v>
      </c>
      <c r="O223" s="311"/>
      <c r="P223" s="312"/>
      <c r="Q223" s="312"/>
      <c r="R223" s="312"/>
      <c r="S223" s="312"/>
      <c r="T223" s="313" t="str">
        <f>IF(tblPiNAnalysis[[#This Row],[Site Management ]]="", "", tblPiNAnalysis[[#This Row],[Site Management ]]/tblPiNAnalysis[[#This Row],[Total Population]])</f>
        <v/>
      </c>
      <c r="U223" s="314" t="str">
        <f>IF(tblPiNAnalysis[[#This Row],[Education]]="", "", tblPiNAnalysis[[#This Row],[Education]]/tblPiNAnalysis[[#This Row],[Total Population]])</f>
        <v/>
      </c>
      <c r="V223" s="314" t="str">
        <f>IF(tblPiNAnalysis[[#This Row],[Food Security and Livlihoods]]="", "", tblPiNAnalysis[[#This Row],[Food Security and Livlihoods]]/tblPiNAnalysis[[#This Row],[Total Population]])</f>
        <v/>
      </c>
      <c r="W223" s="315" t="str">
        <f>IF(tblPiNAnalysis[[#This Row],[Health ]]="", "", tblPiNAnalysis[[#This Row],[Health ]]/tblPiNAnalysis[[#This Row],[Total Population]])</f>
        <v/>
      </c>
      <c r="X223" s="314" t="str">
        <f>IF(tblPiNAnalysis[[#This Row],[Nutrition]]="", "", tblPiNAnalysis[[#This Row],[Nutrition]]/tblPiNAnalysis[[#This Row],[Total Population]])</f>
        <v/>
      </c>
      <c r="Y223" s="314" t="str">
        <f>IF(tblPiNAnalysis[[#This Row],[Protection]]="", "", tblPiNAnalysis[[#This Row],[Protection]]/tblPiNAnalysis[[#This Row],[Total Population]])</f>
        <v/>
      </c>
      <c r="Z223" s="316">
        <f>IF(tblPiNAnalysis[[#This Row],[Shelter NFI ]]="", "", tblPiNAnalysis[[#This Row],[Shelter NFI ]]/tblPiNAnalysis[[#This Row],[Total Population]])</f>
        <v>0.86574263312400135</v>
      </c>
      <c r="AA223" s="317" t="str">
        <f>IF(tblPiNAnalysis[[#This Row],[WASH]]="", "", tblPiNAnalysis[[#This Row],[WASH]]/tblPiNAnalysis[[#This Row],[Total Population]])</f>
        <v/>
      </c>
      <c r="AB223" s="318" t="str">
        <f>IFERROR(IF(tblPiNAnalysis[[#This Row],[CP]]="", "", MROUND(tblPiNAnalysis[[#This Row],[CP]]/tblPiNAnalysis[[#This Row],[Total Population]], 0.05)), "")</f>
        <v/>
      </c>
      <c r="AC223" s="314" t="str">
        <f>IFERROR(IF(tblPiNAnalysis[[#This Row],[GBV]]="", "", MROUND(tblPiNAnalysis[[#This Row],[GBV]]/tblPiNAnalysis[[#This Row],[Total Population]], 0.05)), "")</f>
        <v/>
      </c>
      <c r="AD223" s="314" t="str">
        <f>IFERROR(IF(tblPiNAnalysis[[#This Row],[Mine Action]]="", "", MROUND(tblPiNAnalysis[[#This Row],[Mine Action]]/tblPiNAnalysis[[#This Row],[Total Population]], 0.05)), "")</f>
        <v/>
      </c>
      <c r="AE223" s="314" t="str">
        <f>IFERROR(IF(tblPiNAnalysis[[#This Row],[General Protection]]="", "", MROUND(tblPiNAnalysis[[#This Row],[General Protection]]/tblPiNAnalysis[[#This Row],[Total Population]], 0.05)), "")</f>
        <v/>
      </c>
      <c r="AF223" s="319">
        <f>IFERROR(LARGE(tblPiNAnalysis[[#This Row],[Site Management ]:[General Protection]], 1), "")</f>
        <v>23298</v>
      </c>
      <c r="AG223" s="320">
        <f>IF(tblPiNAnalysis[[#This Row],[Highest PiN]]="", "",tblPiNAnalysis[[#This Row],[Highest PiN]]/ tblPiNAnalysis[[#This Row],[Total Population]])</f>
        <v>0.86574263312400135</v>
      </c>
      <c r="AH223" s="320" t="str">
        <f>IFERROR(IF(tblPiNAnalysis[[#This Row],[Highest PiN]]="", "", IF(tblPiNAnalysis[[#This Row],[Highest sector(s'') PiN %]]&gt;=flag_pin_perc, "Flagged", "")), "")</f>
        <v/>
      </c>
      <c r="AI223" s="321"/>
      <c r="AJ223" s="322"/>
      <c r="AK223" s="323">
        <f>COUNTIFS(tblPiNAnalysis[[#This Row],[Highest PiN greater than 90% of total affected population]:[Manual Flag]],"Flagged")</f>
        <v>0</v>
      </c>
      <c r="AL223" s="324" t="str">
        <f>IF(tblPiNAnalysis[[#This Row],['# Flags]]&gt;0, "Flagged", "")</f>
        <v/>
      </c>
    </row>
    <row r="224" spans="1:38" ht="23.1" hidden="1" customHeight="1" x14ac:dyDescent="0.2">
      <c r="A224" s="309" t="str">
        <f>_xlfn.CONCAT(IF(tblPiNAnalysis[[#This Row],[Population Group]]="", "",tblPiNAnalysis[[#This Row],[Population Group]] ), _xlfn.IFS(tblPiNAnalysis[[#This Row],[Admin 2 P-Code]]&lt;&gt;"", tblPiNAnalysis[[#This Row],[Admin 2 P-Code]], tblPiNAnalysis[[#This Row],[Admin 1 P-Code]]&lt;&gt;"", tblPiNAnalysis[[#This Row],[Admin 1 P-Code]]))</f>
        <v>IDPsSD07090</v>
      </c>
      <c r="B224" s="245" t="s">
        <v>188</v>
      </c>
      <c r="C224" s="246" t="s">
        <v>124</v>
      </c>
      <c r="D224" s="247" t="s">
        <v>340</v>
      </c>
      <c r="E224" s="246" t="s">
        <v>341</v>
      </c>
      <c r="F224" s="248">
        <v>62991</v>
      </c>
      <c r="G224" s="248" t="s">
        <v>88</v>
      </c>
      <c r="H224" s="310"/>
      <c r="I224" s="311"/>
      <c r="J224" s="312"/>
      <c r="K224" s="311"/>
      <c r="L224" s="311"/>
      <c r="M224" s="312"/>
      <c r="N224" s="312">
        <f>_xlfn.XLOOKUP(CONCATENATE(tblPiNAnalysis[[#This Row],[Admin 2 P-Code]],tblPiNAnalysis[[#This Row],[Population Group]]),'Overall severity &amp; PIN Analysis'!A:A,'Overall severity &amp; PIN Analysis'!P:P,0,0)</f>
        <v>54535</v>
      </c>
      <c r="O224" s="311"/>
      <c r="P224" s="312"/>
      <c r="Q224" s="312"/>
      <c r="R224" s="312"/>
      <c r="S224" s="312"/>
      <c r="T224" s="313" t="str">
        <f>IF(tblPiNAnalysis[[#This Row],[Site Management ]]="", "", tblPiNAnalysis[[#This Row],[Site Management ]]/tblPiNAnalysis[[#This Row],[Total Population]])</f>
        <v/>
      </c>
      <c r="U224" s="314" t="str">
        <f>IF(tblPiNAnalysis[[#This Row],[Education]]="", "", tblPiNAnalysis[[#This Row],[Education]]/tblPiNAnalysis[[#This Row],[Total Population]])</f>
        <v/>
      </c>
      <c r="V224" s="314" t="str">
        <f>IF(tblPiNAnalysis[[#This Row],[Food Security and Livlihoods]]="", "", tblPiNAnalysis[[#This Row],[Food Security and Livlihoods]]/tblPiNAnalysis[[#This Row],[Total Population]])</f>
        <v/>
      </c>
      <c r="W224" s="315" t="str">
        <f>IF(tblPiNAnalysis[[#This Row],[Health ]]="", "", tblPiNAnalysis[[#This Row],[Health ]]/tblPiNAnalysis[[#This Row],[Total Population]])</f>
        <v/>
      </c>
      <c r="X224" s="314" t="str">
        <f>IF(tblPiNAnalysis[[#This Row],[Nutrition]]="", "", tblPiNAnalysis[[#This Row],[Nutrition]]/tblPiNAnalysis[[#This Row],[Total Population]])</f>
        <v/>
      </c>
      <c r="Y224" s="314" t="str">
        <f>IF(tblPiNAnalysis[[#This Row],[Protection]]="", "", tblPiNAnalysis[[#This Row],[Protection]]/tblPiNAnalysis[[#This Row],[Total Population]])</f>
        <v/>
      </c>
      <c r="Z224" s="316">
        <f>IF(tblPiNAnalysis[[#This Row],[Shelter NFI ]]="", "", tblPiNAnalysis[[#This Row],[Shelter NFI ]]/tblPiNAnalysis[[#This Row],[Total Population]])</f>
        <v>0.86575860043498276</v>
      </c>
      <c r="AA224" s="317" t="str">
        <f>IF(tblPiNAnalysis[[#This Row],[WASH]]="", "", tblPiNAnalysis[[#This Row],[WASH]]/tblPiNAnalysis[[#This Row],[Total Population]])</f>
        <v/>
      </c>
      <c r="AB224" s="318" t="str">
        <f>IFERROR(IF(tblPiNAnalysis[[#This Row],[CP]]="", "", MROUND(tblPiNAnalysis[[#This Row],[CP]]/tblPiNAnalysis[[#This Row],[Total Population]], 0.05)), "")</f>
        <v/>
      </c>
      <c r="AC224" s="314" t="str">
        <f>IFERROR(IF(tblPiNAnalysis[[#This Row],[GBV]]="", "", MROUND(tblPiNAnalysis[[#This Row],[GBV]]/tblPiNAnalysis[[#This Row],[Total Population]], 0.05)), "")</f>
        <v/>
      </c>
      <c r="AD224" s="314" t="str">
        <f>IFERROR(IF(tblPiNAnalysis[[#This Row],[Mine Action]]="", "", MROUND(tblPiNAnalysis[[#This Row],[Mine Action]]/tblPiNAnalysis[[#This Row],[Total Population]], 0.05)), "")</f>
        <v/>
      </c>
      <c r="AE224" s="314" t="str">
        <f>IFERROR(IF(tblPiNAnalysis[[#This Row],[General Protection]]="", "", MROUND(tblPiNAnalysis[[#This Row],[General Protection]]/tblPiNAnalysis[[#This Row],[Total Population]], 0.05)), "")</f>
        <v/>
      </c>
      <c r="AF224" s="319">
        <f>IFERROR(LARGE(tblPiNAnalysis[[#This Row],[Site Management ]:[General Protection]], 1), "")</f>
        <v>54535</v>
      </c>
      <c r="AG224" s="320">
        <f>IF(tblPiNAnalysis[[#This Row],[Highest PiN]]="", "",tblPiNAnalysis[[#This Row],[Highest PiN]]/ tblPiNAnalysis[[#This Row],[Total Population]])</f>
        <v>0.86575860043498276</v>
      </c>
      <c r="AH224" s="320" t="str">
        <f>IFERROR(IF(tblPiNAnalysis[[#This Row],[Highest PiN]]="", "", IF(tblPiNAnalysis[[#This Row],[Highest sector(s'') PiN %]]&gt;=flag_pin_perc, "Flagged", "")), "")</f>
        <v/>
      </c>
      <c r="AI224" s="321"/>
      <c r="AJ224" s="322"/>
      <c r="AK224" s="323">
        <f>COUNTIFS(tblPiNAnalysis[[#This Row],[Highest PiN greater than 90% of total affected population]:[Manual Flag]],"Flagged")</f>
        <v>0</v>
      </c>
      <c r="AL224" s="324" t="str">
        <f>IF(tblPiNAnalysis[[#This Row],['# Flags]]&gt;0, "Flagged", "")</f>
        <v/>
      </c>
    </row>
    <row r="225" spans="1:38" ht="23.1" customHeight="1" x14ac:dyDescent="0.2">
      <c r="A225" s="309" t="str">
        <f>_xlfn.CONCAT(IF(tblPiNAnalysis[[#This Row],[Population Group]]="", "",tblPiNAnalysis[[#This Row],[Population Group]] ), _xlfn.IFS(tblPiNAnalysis[[#This Row],[Admin 2 P-Code]]&lt;&gt;"", tblPiNAnalysis[[#This Row],[Admin 2 P-Code]], tblPiNAnalysis[[#This Row],[Admin 1 P-Code]]&lt;&gt;"", tblPiNAnalysis[[#This Row],[Admin 1 P-Code]]))</f>
        <v>Non-hosting PopulationSD07090</v>
      </c>
      <c r="B225" s="245" t="s">
        <v>188</v>
      </c>
      <c r="C225" s="246" t="s">
        <v>124</v>
      </c>
      <c r="D225" s="247" t="s">
        <v>340</v>
      </c>
      <c r="E225" s="246" t="s">
        <v>341</v>
      </c>
      <c r="F225" s="248">
        <v>0</v>
      </c>
      <c r="G225" s="248" t="s">
        <v>568</v>
      </c>
      <c r="H225" s="310"/>
      <c r="I225" s="311"/>
      <c r="J225" s="312"/>
      <c r="K225" s="311"/>
      <c r="L225" s="311"/>
      <c r="M225" s="312"/>
      <c r="N225" s="312">
        <f>_xlfn.XLOOKUP(CONCATENATE(tblPiNAnalysis[[#This Row],[Admin 2 P-Code]],tblPiNAnalysis[[#This Row],[Population Group]]),'Overall severity &amp; PIN Analysis'!A:A,'Overall severity &amp; PIN Analysis'!P:P,0,0)</f>
        <v>0</v>
      </c>
      <c r="O225" s="311"/>
      <c r="P225" s="312"/>
      <c r="Q225" s="312"/>
      <c r="R225" s="312"/>
      <c r="S225" s="312"/>
      <c r="T225" s="313" t="str">
        <f>IF(tblPiNAnalysis[[#This Row],[Site Management ]]="", "", tblPiNAnalysis[[#This Row],[Site Management ]]/tblPiNAnalysis[[#This Row],[Total Population]])</f>
        <v/>
      </c>
      <c r="U225" s="314" t="str">
        <f>IF(tblPiNAnalysis[[#This Row],[Education]]="", "", tblPiNAnalysis[[#This Row],[Education]]/tblPiNAnalysis[[#This Row],[Total Population]])</f>
        <v/>
      </c>
      <c r="V225" s="314" t="str">
        <f>IF(tblPiNAnalysis[[#This Row],[Food Security and Livlihoods]]="", "", tblPiNAnalysis[[#This Row],[Food Security and Livlihoods]]/tblPiNAnalysis[[#This Row],[Total Population]])</f>
        <v/>
      </c>
      <c r="W225" s="315" t="str">
        <f>IF(tblPiNAnalysis[[#This Row],[Health ]]="", "", tblPiNAnalysis[[#This Row],[Health ]]/tblPiNAnalysis[[#This Row],[Total Population]])</f>
        <v/>
      </c>
      <c r="X225" s="314" t="str">
        <f>IF(tblPiNAnalysis[[#This Row],[Nutrition]]="", "", tblPiNAnalysis[[#This Row],[Nutrition]]/tblPiNAnalysis[[#This Row],[Total Population]])</f>
        <v/>
      </c>
      <c r="Y225" s="314" t="str">
        <f>IF(tblPiNAnalysis[[#This Row],[Protection]]="", "", tblPiNAnalysis[[#This Row],[Protection]]/tblPiNAnalysis[[#This Row],[Total Population]])</f>
        <v/>
      </c>
      <c r="Z225" s="316" t="e">
        <f>IF(tblPiNAnalysis[[#This Row],[Shelter NFI ]]="", "", tblPiNAnalysis[[#This Row],[Shelter NFI ]]/tblPiNAnalysis[[#This Row],[Total Population]])</f>
        <v>#DIV/0!</v>
      </c>
      <c r="AA225" s="317" t="str">
        <f>IF(tblPiNAnalysis[[#This Row],[WASH]]="", "", tblPiNAnalysis[[#This Row],[WASH]]/tblPiNAnalysis[[#This Row],[Total Population]])</f>
        <v/>
      </c>
      <c r="AB225" s="318" t="str">
        <f>IFERROR(IF(tblPiNAnalysis[[#This Row],[CP]]="", "", MROUND(tblPiNAnalysis[[#This Row],[CP]]/tblPiNAnalysis[[#This Row],[Total Population]], 0.05)), "")</f>
        <v/>
      </c>
      <c r="AC225" s="314" t="str">
        <f>IFERROR(IF(tblPiNAnalysis[[#This Row],[GBV]]="", "", MROUND(tblPiNAnalysis[[#This Row],[GBV]]/tblPiNAnalysis[[#This Row],[Total Population]], 0.05)), "")</f>
        <v/>
      </c>
      <c r="AD225" s="314" t="str">
        <f>IFERROR(IF(tblPiNAnalysis[[#This Row],[Mine Action]]="", "", MROUND(tblPiNAnalysis[[#This Row],[Mine Action]]/tblPiNAnalysis[[#This Row],[Total Population]], 0.05)), "")</f>
        <v/>
      </c>
      <c r="AE225" s="314" t="str">
        <f>IFERROR(IF(tblPiNAnalysis[[#This Row],[General Protection]]="", "", MROUND(tblPiNAnalysis[[#This Row],[General Protection]]/tblPiNAnalysis[[#This Row],[Total Population]], 0.05)), "")</f>
        <v/>
      </c>
      <c r="AF225" s="319">
        <f>IFERROR(LARGE(tblPiNAnalysis[[#This Row],[Site Management ]:[General Protection]], 1), "")</f>
        <v>0</v>
      </c>
      <c r="AG225" s="320" t="e">
        <f>IF(tblPiNAnalysis[[#This Row],[Highest PiN]]="", "",tblPiNAnalysis[[#This Row],[Highest PiN]]/ tblPiNAnalysis[[#This Row],[Total Population]])</f>
        <v>#DIV/0!</v>
      </c>
      <c r="AH225" s="320" t="str">
        <f>IFERROR(IF(tblPiNAnalysis[[#This Row],[Highest PiN]]="", "", IF(tblPiNAnalysis[[#This Row],[Highest sector(s'') PiN %]]&gt;=flag_pin_perc, "Flagged", "")), "")</f>
        <v/>
      </c>
      <c r="AI225" s="321"/>
      <c r="AJ225" s="322"/>
      <c r="AK225" s="323">
        <f>COUNTIFS(tblPiNAnalysis[[#This Row],[Highest PiN greater than 90% of total affected population]:[Manual Flag]],"Flagged")</f>
        <v>0</v>
      </c>
      <c r="AL225" s="324" t="str">
        <f>IF(tblPiNAnalysis[[#This Row],['# Flags]]&gt;0, "Flagged", "")</f>
        <v/>
      </c>
    </row>
    <row r="226" spans="1:38" ht="23.1" hidden="1" customHeight="1" x14ac:dyDescent="0.2">
      <c r="A226" s="309" t="str">
        <f>_xlfn.CONCAT(IF(tblPiNAnalysis[[#This Row],[Population Group]]="", "",tblPiNAnalysis[[#This Row],[Population Group]] ), _xlfn.IFS(tblPiNAnalysis[[#This Row],[Admin 2 P-Code]]&lt;&gt;"", tblPiNAnalysis[[#This Row],[Admin 2 P-Code]], tblPiNAnalysis[[#This Row],[Admin 1 P-Code]]&lt;&gt;"", tblPiNAnalysis[[#This Row],[Admin 1 P-Code]]))</f>
        <v>Host CommunitySD07091</v>
      </c>
      <c r="B226" s="245" t="s">
        <v>188</v>
      </c>
      <c r="C226" s="246" t="s">
        <v>124</v>
      </c>
      <c r="D226" s="247" t="s">
        <v>342</v>
      </c>
      <c r="E226" s="246" t="s">
        <v>343</v>
      </c>
      <c r="F226" s="248">
        <v>0</v>
      </c>
      <c r="G226" s="248" t="s">
        <v>87</v>
      </c>
      <c r="H226" s="310"/>
      <c r="I226" s="311"/>
      <c r="J226" s="312"/>
      <c r="K226" s="311"/>
      <c r="L226" s="311"/>
      <c r="M226" s="312"/>
      <c r="N226" s="312">
        <f>_xlfn.XLOOKUP(CONCATENATE(tblPiNAnalysis[[#This Row],[Admin 2 P-Code]],tblPiNAnalysis[[#This Row],[Population Group]]),'Overall severity &amp; PIN Analysis'!A:A,'Overall severity &amp; PIN Analysis'!P:P,0,0)</f>
        <v>0</v>
      </c>
      <c r="O226" s="311"/>
      <c r="P226" s="312"/>
      <c r="Q226" s="312"/>
      <c r="R226" s="312"/>
      <c r="S226" s="312"/>
      <c r="T226" s="313" t="str">
        <f>IF(tblPiNAnalysis[[#This Row],[Site Management ]]="", "", tblPiNAnalysis[[#This Row],[Site Management ]]/tblPiNAnalysis[[#This Row],[Total Population]])</f>
        <v/>
      </c>
      <c r="U226" s="314" t="str">
        <f>IF(tblPiNAnalysis[[#This Row],[Education]]="", "", tblPiNAnalysis[[#This Row],[Education]]/tblPiNAnalysis[[#This Row],[Total Population]])</f>
        <v/>
      </c>
      <c r="V226" s="314" t="str">
        <f>IF(tblPiNAnalysis[[#This Row],[Food Security and Livlihoods]]="", "", tblPiNAnalysis[[#This Row],[Food Security and Livlihoods]]/tblPiNAnalysis[[#This Row],[Total Population]])</f>
        <v/>
      </c>
      <c r="W226" s="315" t="str">
        <f>IF(tblPiNAnalysis[[#This Row],[Health ]]="", "", tblPiNAnalysis[[#This Row],[Health ]]/tblPiNAnalysis[[#This Row],[Total Population]])</f>
        <v/>
      </c>
      <c r="X226" s="314" t="str">
        <f>IF(tblPiNAnalysis[[#This Row],[Nutrition]]="", "", tblPiNAnalysis[[#This Row],[Nutrition]]/tblPiNAnalysis[[#This Row],[Total Population]])</f>
        <v/>
      </c>
      <c r="Y226" s="314" t="str">
        <f>IF(tblPiNAnalysis[[#This Row],[Protection]]="", "", tblPiNAnalysis[[#This Row],[Protection]]/tblPiNAnalysis[[#This Row],[Total Population]])</f>
        <v/>
      </c>
      <c r="Z226" s="316" t="e">
        <f>IF(tblPiNAnalysis[[#This Row],[Shelter NFI ]]="", "", tblPiNAnalysis[[#This Row],[Shelter NFI ]]/tblPiNAnalysis[[#This Row],[Total Population]])</f>
        <v>#DIV/0!</v>
      </c>
      <c r="AA226" s="317" t="str">
        <f>IF(tblPiNAnalysis[[#This Row],[WASH]]="", "", tblPiNAnalysis[[#This Row],[WASH]]/tblPiNAnalysis[[#This Row],[Total Population]])</f>
        <v/>
      </c>
      <c r="AB226" s="318" t="str">
        <f>IFERROR(IF(tblPiNAnalysis[[#This Row],[CP]]="", "", MROUND(tblPiNAnalysis[[#This Row],[CP]]/tblPiNAnalysis[[#This Row],[Total Population]], 0.05)), "")</f>
        <v/>
      </c>
      <c r="AC226" s="314" t="str">
        <f>IFERROR(IF(tblPiNAnalysis[[#This Row],[GBV]]="", "", MROUND(tblPiNAnalysis[[#This Row],[GBV]]/tblPiNAnalysis[[#This Row],[Total Population]], 0.05)), "")</f>
        <v/>
      </c>
      <c r="AD226" s="314" t="str">
        <f>IFERROR(IF(tblPiNAnalysis[[#This Row],[Mine Action]]="", "", MROUND(tblPiNAnalysis[[#This Row],[Mine Action]]/tblPiNAnalysis[[#This Row],[Total Population]], 0.05)), "")</f>
        <v/>
      </c>
      <c r="AE226" s="314" t="str">
        <f>IFERROR(IF(tblPiNAnalysis[[#This Row],[General Protection]]="", "", MROUND(tblPiNAnalysis[[#This Row],[General Protection]]/tblPiNAnalysis[[#This Row],[Total Population]], 0.05)), "")</f>
        <v/>
      </c>
      <c r="AF226" s="319">
        <f>IFERROR(LARGE(tblPiNAnalysis[[#This Row],[Site Management ]:[General Protection]], 1), "")</f>
        <v>0</v>
      </c>
      <c r="AG226" s="320" t="e">
        <f>IF(tblPiNAnalysis[[#This Row],[Highest PiN]]="", "",tblPiNAnalysis[[#This Row],[Highest PiN]]/ tblPiNAnalysis[[#This Row],[Total Population]])</f>
        <v>#DIV/0!</v>
      </c>
      <c r="AH226" s="320" t="str">
        <f>IFERROR(IF(tblPiNAnalysis[[#This Row],[Highest PiN]]="", "", IF(tblPiNAnalysis[[#This Row],[Highest sector(s'') PiN %]]&gt;=flag_pin_perc, "Flagged", "")), "")</f>
        <v/>
      </c>
      <c r="AI226" s="321"/>
      <c r="AJ226" s="322"/>
      <c r="AK226" s="323">
        <f>COUNTIFS(tblPiNAnalysis[[#This Row],[Highest PiN greater than 90% of total affected population]:[Manual Flag]],"Flagged")</f>
        <v>0</v>
      </c>
      <c r="AL226" s="324" t="str">
        <f>IF(tblPiNAnalysis[[#This Row],['# Flags]]&gt;0, "Flagged", "")</f>
        <v/>
      </c>
    </row>
    <row r="227" spans="1:38" ht="23.1" hidden="1" customHeight="1" x14ac:dyDescent="0.2">
      <c r="A227" s="309" t="str">
        <f>_xlfn.CONCAT(IF(tblPiNAnalysis[[#This Row],[Population Group]]="", "",tblPiNAnalysis[[#This Row],[Population Group]] ), _xlfn.IFS(tblPiNAnalysis[[#This Row],[Admin 2 P-Code]]&lt;&gt;"", tblPiNAnalysis[[#This Row],[Admin 2 P-Code]], tblPiNAnalysis[[#This Row],[Admin 1 P-Code]]&lt;&gt;"", tblPiNAnalysis[[#This Row],[Admin 1 P-Code]]))</f>
        <v>IDPsSD07091</v>
      </c>
      <c r="B227" s="245" t="s">
        <v>188</v>
      </c>
      <c r="C227" s="246" t="s">
        <v>124</v>
      </c>
      <c r="D227" s="247" t="s">
        <v>342</v>
      </c>
      <c r="E227" s="246" t="s">
        <v>343</v>
      </c>
      <c r="F227" s="248">
        <v>0</v>
      </c>
      <c r="G227" s="248" t="s">
        <v>88</v>
      </c>
      <c r="H227" s="310"/>
      <c r="I227" s="311"/>
      <c r="J227" s="312"/>
      <c r="K227" s="311"/>
      <c r="L227" s="311"/>
      <c r="M227" s="312"/>
      <c r="N227" s="312">
        <f>_xlfn.XLOOKUP(CONCATENATE(tblPiNAnalysis[[#This Row],[Admin 2 P-Code]],tblPiNAnalysis[[#This Row],[Population Group]]),'Overall severity &amp; PIN Analysis'!A:A,'Overall severity &amp; PIN Analysis'!P:P,0,0)</f>
        <v>0</v>
      </c>
      <c r="O227" s="311"/>
      <c r="P227" s="312"/>
      <c r="Q227" s="312"/>
      <c r="R227" s="312"/>
      <c r="S227" s="312"/>
      <c r="T227" s="313" t="str">
        <f>IF(tblPiNAnalysis[[#This Row],[Site Management ]]="", "", tblPiNAnalysis[[#This Row],[Site Management ]]/tblPiNAnalysis[[#This Row],[Total Population]])</f>
        <v/>
      </c>
      <c r="U227" s="314" t="str">
        <f>IF(tblPiNAnalysis[[#This Row],[Education]]="", "", tblPiNAnalysis[[#This Row],[Education]]/tblPiNAnalysis[[#This Row],[Total Population]])</f>
        <v/>
      </c>
      <c r="V227" s="314" t="str">
        <f>IF(tblPiNAnalysis[[#This Row],[Food Security and Livlihoods]]="", "", tblPiNAnalysis[[#This Row],[Food Security and Livlihoods]]/tblPiNAnalysis[[#This Row],[Total Population]])</f>
        <v/>
      </c>
      <c r="W227" s="315" t="str">
        <f>IF(tblPiNAnalysis[[#This Row],[Health ]]="", "", tblPiNAnalysis[[#This Row],[Health ]]/tblPiNAnalysis[[#This Row],[Total Population]])</f>
        <v/>
      </c>
      <c r="X227" s="314" t="str">
        <f>IF(tblPiNAnalysis[[#This Row],[Nutrition]]="", "", tblPiNAnalysis[[#This Row],[Nutrition]]/tblPiNAnalysis[[#This Row],[Total Population]])</f>
        <v/>
      </c>
      <c r="Y227" s="314" t="str">
        <f>IF(tblPiNAnalysis[[#This Row],[Protection]]="", "", tblPiNAnalysis[[#This Row],[Protection]]/tblPiNAnalysis[[#This Row],[Total Population]])</f>
        <v/>
      </c>
      <c r="Z227" s="316" t="e">
        <f>IF(tblPiNAnalysis[[#This Row],[Shelter NFI ]]="", "", tblPiNAnalysis[[#This Row],[Shelter NFI ]]/tblPiNAnalysis[[#This Row],[Total Population]])</f>
        <v>#DIV/0!</v>
      </c>
      <c r="AA227" s="317" t="str">
        <f>IF(tblPiNAnalysis[[#This Row],[WASH]]="", "", tblPiNAnalysis[[#This Row],[WASH]]/tblPiNAnalysis[[#This Row],[Total Population]])</f>
        <v/>
      </c>
      <c r="AB227" s="318" t="str">
        <f>IFERROR(IF(tblPiNAnalysis[[#This Row],[CP]]="", "", MROUND(tblPiNAnalysis[[#This Row],[CP]]/tblPiNAnalysis[[#This Row],[Total Population]], 0.05)), "")</f>
        <v/>
      </c>
      <c r="AC227" s="314" t="str">
        <f>IFERROR(IF(tblPiNAnalysis[[#This Row],[GBV]]="", "", MROUND(tblPiNAnalysis[[#This Row],[GBV]]/tblPiNAnalysis[[#This Row],[Total Population]], 0.05)), "")</f>
        <v/>
      </c>
      <c r="AD227" s="314" t="str">
        <f>IFERROR(IF(tblPiNAnalysis[[#This Row],[Mine Action]]="", "", MROUND(tblPiNAnalysis[[#This Row],[Mine Action]]/tblPiNAnalysis[[#This Row],[Total Population]], 0.05)), "")</f>
        <v/>
      </c>
      <c r="AE227" s="314" t="str">
        <f>IFERROR(IF(tblPiNAnalysis[[#This Row],[General Protection]]="", "", MROUND(tblPiNAnalysis[[#This Row],[General Protection]]/tblPiNAnalysis[[#This Row],[Total Population]], 0.05)), "")</f>
        <v/>
      </c>
      <c r="AF227" s="319">
        <f>IFERROR(LARGE(tblPiNAnalysis[[#This Row],[Site Management ]:[General Protection]], 1), "")</f>
        <v>0</v>
      </c>
      <c r="AG227" s="320" t="e">
        <f>IF(tblPiNAnalysis[[#This Row],[Highest PiN]]="", "",tblPiNAnalysis[[#This Row],[Highest PiN]]/ tblPiNAnalysis[[#This Row],[Total Population]])</f>
        <v>#DIV/0!</v>
      </c>
      <c r="AH227" s="320" t="str">
        <f>IFERROR(IF(tblPiNAnalysis[[#This Row],[Highest PiN]]="", "", IF(tblPiNAnalysis[[#This Row],[Highest sector(s'') PiN %]]&gt;=flag_pin_perc, "Flagged", "")), "")</f>
        <v/>
      </c>
      <c r="AI227" s="321"/>
      <c r="AJ227" s="322"/>
      <c r="AK227" s="323">
        <f>COUNTIFS(tblPiNAnalysis[[#This Row],[Highest PiN greater than 90% of total affected population]:[Manual Flag]],"Flagged")</f>
        <v>0</v>
      </c>
      <c r="AL227" s="324" t="str">
        <f>IF(tblPiNAnalysis[[#This Row],['# Flags]]&gt;0, "Flagged", "")</f>
        <v/>
      </c>
    </row>
    <row r="228" spans="1:38" ht="23.1" customHeight="1" x14ac:dyDescent="0.2">
      <c r="A228" s="309" t="str">
        <f>_xlfn.CONCAT(IF(tblPiNAnalysis[[#This Row],[Population Group]]="", "",tblPiNAnalysis[[#This Row],[Population Group]] ), _xlfn.IFS(tblPiNAnalysis[[#This Row],[Admin 2 P-Code]]&lt;&gt;"", tblPiNAnalysis[[#This Row],[Admin 2 P-Code]], tblPiNAnalysis[[#This Row],[Admin 1 P-Code]]&lt;&gt;"", tblPiNAnalysis[[#This Row],[Admin 1 P-Code]]))</f>
        <v>Non-hosting PopulationSD07091</v>
      </c>
      <c r="B228" s="245" t="s">
        <v>188</v>
      </c>
      <c r="C228" s="246" t="s">
        <v>124</v>
      </c>
      <c r="D228" s="247" t="s">
        <v>342</v>
      </c>
      <c r="E228" s="246" t="s">
        <v>343</v>
      </c>
      <c r="F228" s="248">
        <v>71757</v>
      </c>
      <c r="G228" s="248" t="s">
        <v>568</v>
      </c>
      <c r="H228" s="310"/>
      <c r="I228" s="311"/>
      <c r="J228" s="312"/>
      <c r="K228" s="311"/>
      <c r="L228" s="311"/>
      <c r="M228" s="312"/>
      <c r="N228" s="312">
        <f>_xlfn.XLOOKUP(CONCATENATE(tblPiNAnalysis[[#This Row],[Admin 2 P-Code]],tblPiNAnalysis[[#This Row],[Population Group]]),'Overall severity &amp; PIN Analysis'!A:A,'Overall severity &amp; PIN Analysis'!P:P,0,0)</f>
        <v>9802</v>
      </c>
      <c r="O228" s="311"/>
      <c r="P228" s="312"/>
      <c r="Q228" s="312"/>
      <c r="R228" s="312"/>
      <c r="S228" s="312"/>
      <c r="T228" s="313" t="str">
        <f>IF(tblPiNAnalysis[[#This Row],[Site Management ]]="", "", tblPiNAnalysis[[#This Row],[Site Management ]]/tblPiNAnalysis[[#This Row],[Total Population]])</f>
        <v/>
      </c>
      <c r="U228" s="314" t="str">
        <f>IF(tblPiNAnalysis[[#This Row],[Education]]="", "", tblPiNAnalysis[[#This Row],[Education]]/tblPiNAnalysis[[#This Row],[Total Population]])</f>
        <v/>
      </c>
      <c r="V228" s="314" t="str">
        <f>IF(tblPiNAnalysis[[#This Row],[Food Security and Livlihoods]]="", "", tblPiNAnalysis[[#This Row],[Food Security and Livlihoods]]/tblPiNAnalysis[[#This Row],[Total Population]])</f>
        <v/>
      </c>
      <c r="W228" s="315" t="str">
        <f>IF(tblPiNAnalysis[[#This Row],[Health ]]="", "", tblPiNAnalysis[[#This Row],[Health ]]/tblPiNAnalysis[[#This Row],[Total Population]])</f>
        <v/>
      </c>
      <c r="X228" s="314" t="str">
        <f>IF(tblPiNAnalysis[[#This Row],[Nutrition]]="", "", tblPiNAnalysis[[#This Row],[Nutrition]]/tblPiNAnalysis[[#This Row],[Total Population]])</f>
        <v/>
      </c>
      <c r="Y228" s="314" t="str">
        <f>IF(tblPiNAnalysis[[#This Row],[Protection]]="", "", tblPiNAnalysis[[#This Row],[Protection]]/tblPiNAnalysis[[#This Row],[Total Population]])</f>
        <v/>
      </c>
      <c r="Z228" s="316">
        <f>IF(tblPiNAnalysis[[#This Row],[Shelter NFI ]]="", "", tblPiNAnalysis[[#This Row],[Shelter NFI ]]/tblPiNAnalysis[[#This Row],[Total Population]])</f>
        <v>0.13659991359727972</v>
      </c>
      <c r="AA228" s="317" t="str">
        <f>IF(tblPiNAnalysis[[#This Row],[WASH]]="", "", tblPiNAnalysis[[#This Row],[WASH]]/tblPiNAnalysis[[#This Row],[Total Population]])</f>
        <v/>
      </c>
      <c r="AB228" s="318" t="str">
        <f>IFERROR(IF(tblPiNAnalysis[[#This Row],[CP]]="", "", MROUND(tblPiNAnalysis[[#This Row],[CP]]/tblPiNAnalysis[[#This Row],[Total Population]], 0.05)), "")</f>
        <v/>
      </c>
      <c r="AC228" s="314" t="str">
        <f>IFERROR(IF(tblPiNAnalysis[[#This Row],[GBV]]="", "", MROUND(tblPiNAnalysis[[#This Row],[GBV]]/tblPiNAnalysis[[#This Row],[Total Population]], 0.05)), "")</f>
        <v/>
      </c>
      <c r="AD228" s="314" t="str">
        <f>IFERROR(IF(tblPiNAnalysis[[#This Row],[Mine Action]]="", "", MROUND(tblPiNAnalysis[[#This Row],[Mine Action]]/tblPiNAnalysis[[#This Row],[Total Population]], 0.05)), "")</f>
        <v/>
      </c>
      <c r="AE228" s="314" t="str">
        <f>IFERROR(IF(tblPiNAnalysis[[#This Row],[General Protection]]="", "", MROUND(tblPiNAnalysis[[#This Row],[General Protection]]/tblPiNAnalysis[[#This Row],[Total Population]], 0.05)), "")</f>
        <v/>
      </c>
      <c r="AF228" s="319">
        <f>IFERROR(LARGE(tblPiNAnalysis[[#This Row],[Site Management ]:[General Protection]], 1), "")</f>
        <v>9802</v>
      </c>
      <c r="AG228" s="320">
        <f>IF(tblPiNAnalysis[[#This Row],[Highest PiN]]="", "",tblPiNAnalysis[[#This Row],[Highest PiN]]/ tblPiNAnalysis[[#This Row],[Total Population]])</f>
        <v>0.13659991359727972</v>
      </c>
      <c r="AH228" s="320" t="str">
        <f>IFERROR(IF(tblPiNAnalysis[[#This Row],[Highest PiN]]="", "", IF(tblPiNAnalysis[[#This Row],[Highest sector(s'') PiN %]]&gt;=flag_pin_perc, "Flagged", "")), "")</f>
        <v/>
      </c>
      <c r="AI228" s="321"/>
      <c r="AJ228" s="322"/>
      <c r="AK228" s="323">
        <f>COUNTIFS(tblPiNAnalysis[[#This Row],[Highest PiN greater than 90% of total affected population]:[Manual Flag]],"Flagged")</f>
        <v>0</v>
      </c>
      <c r="AL228" s="324" t="str">
        <f>IF(tblPiNAnalysis[[#This Row],['# Flags]]&gt;0, "Flagged", "")</f>
        <v/>
      </c>
    </row>
    <row r="229" spans="1:38" ht="23.1" hidden="1" customHeight="1" x14ac:dyDescent="0.2">
      <c r="A229" s="309" t="str">
        <f>_xlfn.CONCAT(IF(tblPiNAnalysis[[#This Row],[Population Group]]="", "",tblPiNAnalysis[[#This Row],[Population Group]] ), _xlfn.IFS(tblPiNAnalysis[[#This Row],[Admin 2 P-Code]]&lt;&gt;"", tblPiNAnalysis[[#This Row],[Admin 2 P-Code]], tblPiNAnalysis[[#This Row],[Admin 1 P-Code]]&lt;&gt;"", tblPiNAnalysis[[#This Row],[Admin 1 P-Code]]))</f>
        <v>Host CommunitySD07093</v>
      </c>
      <c r="B229" s="245" t="s">
        <v>188</v>
      </c>
      <c r="C229" s="246" t="s">
        <v>124</v>
      </c>
      <c r="D229" s="247" t="s">
        <v>344</v>
      </c>
      <c r="E229" s="246" t="s">
        <v>345</v>
      </c>
      <c r="F229" s="248">
        <v>22213</v>
      </c>
      <c r="G229" s="248" t="s">
        <v>87</v>
      </c>
      <c r="H229" s="310"/>
      <c r="I229" s="311"/>
      <c r="J229" s="312"/>
      <c r="K229" s="311"/>
      <c r="L229" s="311"/>
      <c r="M229" s="312"/>
      <c r="N229" s="312">
        <f>_xlfn.XLOOKUP(CONCATENATE(tblPiNAnalysis[[#This Row],[Admin 2 P-Code]],tblPiNAnalysis[[#This Row],[Population Group]]),'Overall severity &amp; PIN Analysis'!A:A,'Overall severity &amp; PIN Analysis'!P:P,0,0)</f>
        <v>11206</v>
      </c>
      <c r="O229" s="311"/>
      <c r="P229" s="312"/>
      <c r="Q229" s="312"/>
      <c r="R229" s="312"/>
      <c r="S229" s="312"/>
      <c r="T229" s="313" t="str">
        <f>IF(tblPiNAnalysis[[#This Row],[Site Management ]]="", "", tblPiNAnalysis[[#This Row],[Site Management ]]/tblPiNAnalysis[[#This Row],[Total Population]])</f>
        <v/>
      </c>
      <c r="U229" s="314" t="str">
        <f>IF(tblPiNAnalysis[[#This Row],[Education]]="", "", tblPiNAnalysis[[#This Row],[Education]]/tblPiNAnalysis[[#This Row],[Total Population]])</f>
        <v/>
      </c>
      <c r="V229" s="314" t="str">
        <f>IF(tblPiNAnalysis[[#This Row],[Food Security and Livlihoods]]="", "", tblPiNAnalysis[[#This Row],[Food Security and Livlihoods]]/tblPiNAnalysis[[#This Row],[Total Population]])</f>
        <v/>
      </c>
      <c r="W229" s="315" t="str">
        <f>IF(tblPiNAnalysis[[#This Row],[Health ]]="", "", tblPiNAnalysis[[#This Row],[Health ]]/tblPiNAnalysis[[#This Row],[Total Population]])</f>
        <v/>
      </c>
      <c r="X229" s="314" t="str">
        <f>IF(tblPiNAnalysis[[#This Row],[Nutrition]]="", "", tblPiNAnalysis[[#This Row],[Nutrition]]/tblPiNAnalysis[[#This Row],[Total Population]])</f>
        <v/>
      </c>
      <c r="Y229" s="314" t="str">
        <f>IF(tblPiNAnalysis[[#This Row],[Protection]]="", "", tblPiNAnalysis[[#This Row],[Protection]]/tblPiNAnalysis[[#This Row],[Total Population]])</f>
        <v/>
      </c>
      <c r="Z229" s="316">
        <f>IF(tblPiNAnalysis[[#This Row],[Shelter NFI ]]="", "", tblPiNAnalysis[[#This Row],[Shelter NFI ]]/tblPiNAnalysis[[#This Row],[Total Population]])</f>
        <v>0.50447935893395757</v>
      </c>
      <c r="AA229" s="317" t="str">
        <f>IF(tblPiNAnalysis[[#This Row],[WASH]]="", "", tblPiNAnalysis[[#This Row],[WASH]]/tblPiNAnalysis[[#This Row],[Total Population]])</f>
        <v/>
      </c>
      <c r="AB229" s="318" t="str">
        <f>IFERROR(IF(tblPiNAnalysis[[#This Row],[CP]]="", "", MROUND(tblPiNAnalysis[[#This Row],[CP]]/tblPiNAnalysis[[#This Row],[Total Population]], 0.05)), "")</f>
        <v/>
      </c>
      <c r="AC229" s="314" t="str">
        <f>IFERROR(IF(tblPiNAnalysis[[#This Row],[GBV]]="", "", MROUND(tblPiNAnalysis[[#This Row],[GBV]]/tblPiNAnalysis[[#This Row],[Total Population]], 0.05)), "")</f>
        <v/>
      </c>
      <c r="AD229" s="314" t="str">
        <f>IFERROR(IF(tblPiNAnalysis[[#This Row],[Mine Action]]="", "", MROUND(tblPiNAnalysis[[#This Row],[Mine Action]]/tblPiNAnalysis[[#This Row],[Total Population]], 0.05)), "")</f>
        <v/>
      </c>
      <c r="AE229" s="314" t="str">
        <f>IFERROR(IF(tblPiNAnalysis[[#This Row],[General Protection]]="", "", MROUND(tblPiNAnalysis[[#This Row],[General Protection]]/tblPiNAnalysis[[#This Row],[Total Population]], 0.05)), "")</f>
        <v/>
      </c>
      <c r="AF229" s="319">
        <f>IFERROR(LARGE(tblPiNAnalysis[[#This Row],[Site Management ]:[General Protection]], 1), "")</f>
        <v>11206</v>
      </c>
      <c r="AG229" s="320">
        <f>IF(tblPiNAnalysis[[#This Row],[Highest PiN]]="", "",tblPiNAnalysis[[#This Row],[Highest PiN]]/ tblPiNAnalysis[[#This Row],[Total Population]])</f>
        <v>0.50447935893395757</v>
      </c>
      <c r="AH229" s="320" t="str">
        <f>IFERROR(IF(tblPiNAnalysis[[#This Row],[Highest PiN]]="", "", IF(tblPiNAnalysis[[#This Row],[Highest sector(s'') PiN %]]&gt;=flag_pin_perc, "Flagged", "")), "")</f>
        <v/>
      </c>
      <c r="AI229" s="321"/>
      <c r="AJ229" s="322"/>
      <c r="AK229" s="323">
        <f>COUNTIFS(tblPiNAnalysis[[#This Row],[Highest PiN greater than 90% of total affected population]:[Manual Flag]],"Flagged")</f>
        <v>0</v>
      </c>
      <c r="AL229" s="324" t="str">
        <f>IF(tblPiNAnalysis[[#This Row],['# Flags]]&gt;0, "Flagged", "")</f>
        <v/>
      </c>
    </row>
    <row r="230" spans="1:38" ht="23.1" hidden="1" customHeight="1" x14ac:dyDescent="0.2">
      <c r="A230" s="309" t="str">
        <f>_xlfn.CONCAT(IF(tblPiNAnalysis[[#This Row],[Population Group]]="", "",tblPiNAnalysis[[#This Row],[Population Group]] ), _xlfn.IFS(tblPiNAnalysis[[#This Row],[Admin 2 P-Code]]&lt;&gt;"", tblPiNAnalysis[[#This Row],[Admin 2 P-Code]], tblPiNAnalysis[[#This Row],[Admin 1 P-Code]]&lt;&gt;"", tblPiNAnalysis[[#This Row],[Admin 1 P-Code]]))</f>
        <v>IDPsSD07093</v>
      </c>
      <c r="B230" s="245" t="s">
        <v>188</v>
      </c>
      <c r="C230" s="246" t="s">
        <v>124</v>
      </c>
      <c r="D230" s="247" t="s">
        <v>344</v>
      </c>
      <c r="E230" s="246" t="s">
        <v>345</v>
      </c>
      <c r="F230" s="248">
        <v>22054</v>
      </c>
      <c r="G230" s="248" t="s">
        <v>88</v>
      </c>
      <c r="H230" s="310"/>
      <c r="I230" s="311"/>
      <c r="J230" s="312"/>
      <c r="K230" s="311"/>
      <c r="L230" s="311"/>
      <c r="M230" s="312"/>
      <c r="N230" s="312">
        <f>_xlfn.XLOOKUP(CONCATENATE(tblPiNAnalysis[[#This Row],[Admin 2 P-Code]],tblPiNAnalysis[[#This Row],[Population Group]]),'Overall severity &amp; PIN Analysis'!A:A,'Overall severity &amp; PIN Analysis'!P:P,0,0)</f>
        <v>11125</v>
      </c>
      <c r="O230" s="311"/>
      <c r="P230" s="312"/>
      <c r="Q230" s="312"/>
      <c r="R230" s="312"/>
      <c r="S230" s="312"/>
      <c r="T230" s="313" t="str">
        <f>IF(tblPiNAnalysis[[#This Row],[Site Management ]]="", "", tblPiNAnalysis[[#This Row],[Site Management ]]/tblPiNAnalysis[[#This Row],[Total Population]])</f>
        <v/>
      </c>
      <c r="U230" s="314" t="str">
        <f>IF(tblPiNAnalysis[[#This Row],[Education]]="", "", tblPiNAnalysis[[#This Row],[Education]]/tblPiNAnalysis[[#This Row],[Total Population]])</f>
        <v/>
      </c>
      <c r="V230" s="314" t="str">
        <f>IF(tblPiNAnalysis[[#This Row],[Food Security and Livlihoods]]="", "", tblPiNAnalysis[[#This Row],[Food Security and Livlihoods]]/tblPiNAnalysis[[#This Row],[Total Population]])</f>
        <v/>
      </c>
      <c r="W230" s="315" t="str">
        <f>IF(tblPiNAnalysis[[#This Row],[Health ]]="", "", tblPiNAnalysis[[#This Row],[Health ]]/tblPiNAnalysis[[#This Row],[Total Population]])</f>
        <v/>
      </c>
      <c r="X230" s="314" t="str">
        <f>IF(tblPiNAnalysis[[#This Row],[Nutrition]]="", "", tblPiNAnalysis[[#This Row],[Nutrition]]/tblPiNAnalysis[[#This Row],[Total Population]])</f>
        <v/>
      </c>
      <c r="Y230" s="314" t="str">
        <f>IF(tblPiNAnalysis[[#This Row],[Protection]]="", "", tblPiNAnalysis[[#This Row],[Protection]]/tblPiNAnalysis[[#This Row],[Total Population]])</f>
        <v/>
      </c>
      <c r="Z230" s="316">
        <f>IF(tblPiNAnalysis[[#This Row],[Shelter NFI ]]="", "", tblPiNAnalysis[[#This Row],[Shelter NFI ]]/tblPiNAnalysis[[#This Row],[Total Population]])</f>
        <v>0.50444363834225081</v>
      </c>
      <c r="AA230" s="317" t="str">
        <f>IF(tblPiNAnalysis[[#This Row],[WASH]]="", "", tblPiNAnalysis[[#This Row],[WASH]]/tblPiNAnalysis[[#This Row],[Total Population]])</f>
        <v/>
      </c>
      <c r="AB230" s="318" t="str">
        <f>IFERROR(IF(tblPiNAnalysis[[#This Row],[CP]]="", "", MROUND(tblPiNAnalysis[[#This Row],[CP]]/tblPiNAnalysis[[#This Row],[Total Population]], 0.05)), "")</f>
        <v/>
      </c>
      <c r="AC230" s="314" t="str">
        <f>IFERROR(IF(tblPiNAnalysis[[#This Row],[GBV]]="", "", MROUND(tblPiNAnalysis[[#This Row],[GBV]]/tblPiNAnalysis[[#This Row],[Total Population]], 0.05)), "")</f>
        <v/>
      </c>
      <c r="AD230" s="314" t="str">
        <f>IFERROR(IF(tblPiNAnalysis[[#This Row],[Mine Action]]="", "", MROUND(tblPiNAnalysis[[#This Row],[Mine Action]]/tblPiNAnalysis[[#This Row],[Total Population]], 0.05)), "")</f>
        <v/>
      </c>
      <c r="AE230" s="314" t="str">
        <f>IFERROR(IF(tblPiNAnalysis[[#This Row],[General Protection]]="", "", MROUND(tblPiNAnalysis[[#This Row],[General Protection]]/tblPiNAnalysis[[#This Row],[Total Population]], 0.05)), "")</f>
        <v/>
      </c>
      <c r="AF230" s="319">
        <f>IFERROR(LARGE(tblPiNAnalysis[[#This Row],[Site Management ]:[General Protection]], 1), "")</f>
        <v>11125</v>
      </c>
      <c r="AG230" s="320">
        <f>IF(tblPiNAnalysis[[#This Row],[Highest PiN]]="", "",tblPiNAnalysis[[#This Row],[Highest PiN]]/ tblPiNAnalysis[[#This Row],[Total Population]])</f>
        <v>0.50444363834225081</v>
      </c>
      <c r="AH230" s="320" t="str">
        <f>IFERROR(IF(tblPiNAnalysis[[#This Row],[Highest PiN]]="", "", IF(tblPiNAnalysis[[#This Row],[Highest sector(s'') PiN %]]&gt;=flag_pin_perc, "Flagged", "")), "")</f>
        <v/>
      </c>
      <c r="AI230" s="321"/>
      <c r="AJ230" s="322"/>
      <c r="AK230" s="323">
        <f>COUNTIFS(tblPiNAnalysis[[#This Row],[Highest PiN greater than 90% of total affected population]:[Manual Flag]],"Flagged")</f>
        <v>0</v>
      </c>
      <c r="AL230" s="324" t="str">
        <f>IF(tblPiNAnalysis[[#This Row],['# Flags]]&gt;0, "Flagged", "")</f>
        <v/>
      </c>
    </row>
    <row r="231" spans="1:38" ht="23.1" customHeight="1" x14ac:dyDescent="0.2">
      <c r="A231" s="309" t="str">
        <f>_xlfn.CONCAT(IF(tblPiNAnalysis[[#This Row],[Population Group]]="", "",tblPiNAnalysis[[#This Row],[Population Group]] ), _xlfn.IFS(tblPiNAnalysis[[#This Row],[Admin 2 P-Code]]&lt;&gt;"", tblPiNAnalysis[[#This Row],[Admin 2 P-Code]], tblPiNAnalysis[[#This Row],[Admin 1 P-Code]]&lt;&gt;"", tblPiNAnalysis[[#This Row],[Admin 1 P-Code]]))</f>
        <v>Non-hosting PopulationSD07093</v>
      </c>
      <c r="B231" s="245" t="s">
        <v>188</v>
      </c>
      <c r="C231" s="246" t="s">
        <v>124</v>
      </c>
      <c r="D231" s="247" t="s">
        <v>344</v>
      </c>
      <c r="E231" s="246" t="s">
        <v>345</v>
      </c>
      <c r="F231" s="248">
        <v>2418</v>
      </c>
      <c r="G231" s="248" t="s">
        <v>568</v>
      </c>
      <c r="H231" s="310"/>
      <c r="I231" s="311"/>
      <c r="J231" s="312"/>
      <c r="K231" s="311"/>
      <c r="L231" s="311"/>
      <c r="M231" s="312"/>
      <c r="N231" s="312">
        <f>_xlfn.XLOOKUP(CONCATENATE(tblPiNAnalysis[[#This Row],[Admin 2 P-Code]],tblPiNAnalysis[[#This Row],[Population Group]]),'Overall severity &amp; PIN Analysis'!A:A,'Overall severity &amp; PIN Analysis'!P:P,0,0)</f>
        <v>0</v>
      </c>
      <c r="O231" s="311"/>
      <c r="P231" s="312"/>
      <c r="Q231" s="312"/>
      <c r="R231" s="312"/>
      <c r="S231" s="312"/>
      <c r="T231" s="313" t="str">
        <f>IF(tblPiNAnalysis[[#This Row],[Site Management ]]="", "", tblPiNAnalysis[[#This Row],[Site Management ]]/tblPiNAnalysis[[#This Row],[Total Population]])</f>
        <v/>
      </c>
      <c r="U231" s="314" t="str">
        <f>IF(tblPiNAnalysis[[#This Row],[Education]]="", "", tblPiNAnalysis[[#This Row],[Education]]/tblPiNAnalysis[[#This Row],[Total Population]])</f>
        <v/>
      </c>
      <c r="V231" s="314" t="str">
        <f>IF(tblPiNAnalysis[[#This Row],[Food Security and Livlihoods]]="", "", tblPiNAnalysis[[#This Row],[Food Security and Livlihoods]]/tblPiNAnalysis[[#This Row],[Total Population]])</f>
        <v/>
      </c>
      <c r="W231" s="315" t="str">
        <f>IF(tblPiNAnalysis[[#This Row],[Health ]]="", "", tblPiNAnalysis[[#This Row],[Health ]]/tblPiNAnalysis[[#This Row],[Total Population]])</f>
        <v/>
      </c>
      <c r="X231" s="314" t="str">
        <f>IF(tblPiNAnalysis[[#This Row],[Nutrition]]="", "", tblPiNAnalysis[[#This Row],[Nutrition]]/tblPiNAnalysis[[#This Row],[Total Population]])</f>
        <v/>
      </c>
      <c r="Y231" s="314" t="str">
        <f>IF(tblPiNAnalysis[[#This Row],[Protection]]="", "", tblPiNAnalysis[[#This Row],[Protection]]/tblPiNAnalysis[[#This Row],[Total Population]])</f>
        <v/>
      </c>
      <c r="Z231" s="316">
        <f>IF(tblPiNAnalysis[[#This Row],[Shelter NFI ]]="", "", tblPiNAnalysis[[#This Row],[Shelter NFI ]]/tblPiNAnalysis[[#This Row],[Total Population]])</f>
        <v>0</v>
      </c>
      <c r="AA231" s="317" t="str">
        <f>IF(tblPiNAnalysis[[#This Row],[WASH]]="", "", tblPiNAnalysis[[#This Row],[WASH]]/tblPiNAnalysis[[#This Row],[Total Population]])</f>
        <v/>
      </c>
      <c r="AB231" s="318" t="str">
        <f>IFERROR(IF(tblPiNAnalysis[[#This Row],[CP]]="", "", MROUND(tblPiNAnalysis[[#This Row],[CP]]/tblPiNAnalysis[[#This Row],[Total Population]], 0.05)), "")</f>
        <v/>
      </c>
      <c r="AC231" s="314" t="str">
        <f>IFERROR(IF(tblPiNAnalysis[[#This Row],[GBV]]="", "", MROUND(tblPiNAnalysis[[#This Row],[GBV]]/tblPiNAnalysis[[#This Row],[Total Population]], 0.05)), "")</f>
        <v/>
      </c>
      <c r="AD231" s="314" t="str">
        <f>IFERROR(IF(tblPiNAnalysis[[#This Row],[Mine Action]]="", "", MROUND(tblPiNAnalysis[[#This Row],[Mine Action]]/tblPiNAnalysis[[#This Row],[Total Population]], 0.05)), "")</f>
        <v/>
      </c>
      <c r="AE231" s="314" t="str">
        <f>IFERROR(IF(tblPiNAnalysis[[#This Row],[General Protection]]="", "", MROUND(tblPiNAnalysis[[#This Row],[General Protection]]/tblPiNAnalysis[[#This Row],[Total Population]], 0.05)), "")</f>
        <v/>
      </c>
      <c r="AF231" s="319">
        <f>IFERROR(LARGE(tblPiNAnalysis[[#This Row],[Site Management ]:[General Protection]], 1), "")</f>
        <v>0</v>
      </c>
      <c r="AG231" s="320">
        <f>IF(tblPiNAnalysis[[#This Row],[Highest PiN]]="", "",tblPiNAnalysis[[#This Row],[Highest PiN]]/ tblPiNAnalysis[[#This Row],[Total Population]])</f>
        <v>0</v>
      </c>
      <c r="AH231" s="320" t="str">
        <f>IFERROR(IF(tblPiNAnalysis[[#This Row],[Highest PiN]]="", "", IF(tblPiNAnalysis[[#This Row],[Highest sector(s'') PiN %]]&gt;=flag_pin_perc, "Flagged", "")), "")</f>
        <v/>
      </c>
      <c r="AI231" s="321"/>
      <c r="AJ231" s="322"/>
      <c r="AK231" s="323">
        <f>COUNTIFS(tblPiNAnalysis[[#This Row],[Highest PiN greater than 90% of total affected population]:[Manual Flag]],"Flagged")</f>
        <v>0</v>
      </c>
      <c r="AL231" s="324" t="str">
        <f>IF(tblPiNAnalysis[[#This Row],['# Flags]]&gt;0, "Flagged", "")</f>
        <v/>
      </c>
    </row>
    <row r="232" spans="1:38" ht="23.1" hidden="1" customHeight="1" x14ac:dyDescent="0.2">
      <c r="A232" s="309" t="str">
        <f>_xlfn.CONCAT(IF(tblPiNAnalysis[[#This Row],[Population Group]]="", "",tblPiNAnalysis[[#This Row],[Population Group]] ), _xlfn.IFS(tblPiNAnalysis[[#This Row],[Admin 2 P-Code]]&lt;&gt;"", tblPiNAnalysis[[#This Row],[Admin 2 P-Code]], tblPiNAnalysis[[#This Row],[Admin 1 P-Code]]&lt;&gt;"", tblPiNAnalysis[[#This Row],[Admin 1 P-Code]]))</f>
        <v>Host CommunitySD07094</v>
      </c>
      <c r="B232" s="245" t="s">
        <v>188</v>
      </c>
      <c r="C232" s="246" t="s">
        <v>124</v>
      </c>
      <c r="D232" s="247" t="s">
        <v>346</v>
      </c>
      <c r="E232" s="246" t="s">
        <v>347</v>
      </c>
      <c r="F232" s="248">
        <v>8964</v>
      </c>
      <c r="G232" s="248" t="s">
        <v>87</v>
      </c>
      <c r="H232" s="310"/>
      <c r="I232" s="311"/>
      <c r="J232" s="312"/>
      <c r="K232" s="311"/>
      <c r="L232" s="311"/>
      <c r="M232" s="312"/>
      <c r="N232" s="312">
        <f>_xlfn.XLOOKUP(CONCATENATE(tblPiNAnalysis[[#This Row],[Admin 2 P-Code]],tblPiNAnalysis[[#This Row],[Population Group]]),'Overall severity &amp; PIN Analysis'!A:A,'Overall severity &amp; PIN Analysis'!P:P,0,0)</f>
        <v>4574</v>
      </c>
      <c r="O232" s="311"/>
      <c r="P232" s="312"/>
      <c r="Q232" s="312"/>
      <c r="R232" s="312"/>
      <c r="S232" s="312"/>
      <c r="T232" s="313" t="str">
        <f>IF(tblPiNAnalysis[[#This Row],[Site Management ]]="", "", tblPiNAnalysis[[#This Row],[Site Management ]]/tblPiNAnalysis[[#This Row],[Total Population]])</f>
        <v/>
      </c>
      <c r="U232" s="314" t="str">
        <f>IF(tblPiNAnalysis[[#This Row],[Education]]="", "", tblPiNAnalysis[[#This Row],[Education]]/tblPiNAnalysis[[#This Row],[Total Population]])</f>
        <v/>
      </c>
      <c r="V232" s="314" t="str">
        <f>IF(tblPiNAnalysis[[#This Row],[Food Security and Livlihoods]]="", "", tblPiNAnalysis[[#This Row],[Food Security and Livlihoods]]/tblPiNAnalysis[[#This Row],[Total Population]])</f>
        <v/>
      </c>
      <c r="W232" s="315" t="str">
        <f>IF(tblPiNAnalysis[[#This Row],[Health ]]="", "", tblPiNAnalysis[[#This Row],[Health ]]/tblPiNAnalysis[[#This Row],[Total Population]])</f>
        <v/>
      </c>
      <c r="X232" s="314" t="str">
        <f>IF(tblPiNAnalysis[[#This Row],[Nutrition]]="", "", tblPiNAnalysis[[#This Row],[Nutrition]]/tblPiNAnalysis[[#This Row],[Total Population]])</f>
        <v/>
      </c>
      <c r="Y232" s="314" t="str">
        <f>IF(tblPiNAnalysis[[#This Row],[Protection]]="", "", tblPiNAnalysis[[#This Row],[Protection]]/tblPiNAnalysis[[#This Row],[Total Population]])</f>
        <v/>
      </c>
      <c r="Z232" s="316">
        <f>IF(tblPiNAnalysis[[#This Row],[Shelter NFI ]]="", "", tblPiNAnalysis[[#This Row],[Shelter NFI ]]/tblPiNAnalysis[[#This Row],[Total Population]])</f>
        <v>0.51026327532351634</v>
      </c>
      <c r="AA232" s="317" t="str">
        <f>IF(tblPiNAnalysis[[#This Row],[WASH]]="", "", tblPiNAnalysis[[#This Row],[WASH]]/tblPiNAnalysis[[#This Row],[Total Population]])</f>
        <v/>
      </c>
      <c r="AB232" s="318" t="str">
        <f>IFERROR(IF(tblPiNAnalysis[[#This Row],[CP]]="", "", MROUND(tblPiNAnalysis[[#This Row],[CP]]/tblPiNAnalysis[[#This Row],[Total Population]], 0.05)), "")</f>
        <v/>
      </c>
      <c r="AC232" s="314" t="str">
        <f>IFERROR(IF(tblPiNAnalysis[[#This Row],[GBV]]="", "", MROUND(tblPiNAnalysis[[#This Row],[GBV]]/tblPiNAnalysis[[#This Row],[Total Population]], 0.05)), "")</f>
        <v/>
      </c>
      <c r="AD232" s="314" t="str">
        <f>IFERROR(IF(tblPiNAnalysis[[#This Row],[Mine Action]]="", "", MROUND(tblPiNAnalysis[[#This Row],[Mine Action]]/tblPiNAnalysis[[#This Row],[Total Population]], 0.05)), "")</f>
        <v/>
      </c>
      <c r="AE232" s="314" t="str">
        <f>IFERROR(IF(tblPiNAnalysis[[#This Row],[General Protection]]="", "", MROUND(tblPiNAnalysis[[#This Row],[General Protection]]/tblPiNAnalysis[[#This Row],[Total Population]], 0.05)), "")</f>
        <v/>
      </c>
      <c r="AF232" s="319">
        <f>IFERROR(LARGE(tblPiNAnalysis[[#This Row],[Site Management ]:[General Protection]], 1), "")</f>
        <v>4574</v>
      </c>
      <c r="AG232" s="320">
        <f>IF(tblPiNAnalysis[[#This Row],[Highest PiN]]="", "",tblPiNAnalysis[[#This Row],[Highest PiN]]/ tblPiNAnalysis[[#This Row],[Total Population]])</f>
        <v>0.51026327532351634</v>
      </c>
      <c r="AH232" s="320" t="str">
        <f>IFERROR(IF(tblPiNAnalysis[[#This Row],[Highest PiN]]="", "", IF(tblPiNAnalysis[[#This Row],[Highest sector(s'') PiN %]]&gt;=flag_pin_perc, "Flagged", "")), "")</f>
        <v/>
      </c>
      <c r="AI232" s="321"/>
      <c r="AJ232" s="322"/>
      <c r="AK232" s="323">
        <f>COUNTIFS(tblPiNAnalysis[[#This Row],[Highest PiN greater than 90% of total affected population]:[Manual Flag]],"Flagged")</f>
        <v>0</v>
      </c>
      <c r="AL232" s="324" t="str">
        <f>IF(tblPiNAnalysis[[#This Row],['# Flags]]&gt;0, "Flagged", "")</f>
        <v/>
      </c>
    </row>
    <row r="233" spans="1:38" ht="23.1" hidden="1" customHeight="1" x14ac:dyDescent="0.2">
      <c r="A233" s="309" t="str">
        <f>_xlfn.CONCAT(IF(tblPiNAnalysis[[#This Row],[Population Group]]="", "",tblPiNAnalysis[[#This Row],[Population Group]] ), _xlfn.IFS(tblPiNAnalysis[[#This Row],[Admin 2 P-Code]]&lt;&gt;"", tblPiNAnalysis[[#This Row],[Admin 2 P-Code]], tblPiNAnalysis[[#This Row],[Admin 1 P-Code]]&lt;&gt;"", tblPiNAnalysis[[#This Row],[Admin 1 P-Code]]))</f>
        <v>IDPsSD07094</v>
      </c>
      <c r="B233" s="245" t="s">
        <v>188</v>
      </c>
      <c r="C233" s="246" t="s">
        <v>124</v>
      </c>
      <c r="D233" s="247" t="s">
        <v>346</v>
      </c>
      <c r="E233" s="246" t="s">
        <v>347</v>
      </c>
      <c r="F233" s="248">
        <v>8677</v>
      </c>
      <c r="G233" s="248" t="s">
        <v>88</v>
      </c>
      <c r="H233" s="310"/>
      <c r="I233" s="311"/>
      <c r="J233" s="312"/>
      <c r="K233" s="311"/>
      <c r="L233" s="311"/>
      <c r="M233" s="312"/>
      <c r="N233" s="312">
        <f>_xlfn.XLOOKUP(CONCATENATE(tblPiNAnalysis[[#This Row],[Admin 2 P-Code]],tblPiNAnalysis[[#This Row],[Population Group]]),'Overall severity &amp; PIN Analysis'!A:A,'Overall severity &amp; PIN Analysis'!P:P,0,0)</f>
        <v>4428</v>
      </c>
      <c r="O233" s="311"/>
      <c r="P233" s="312"/>
      <c r="Q233" s="312"/>
      <c r="R233" s="312"/>
      <c r="S233" s="312"/>
      <c r="T233" s="313" t="str">
        <f>IF(tblPiNAnalysis[[#This Row],[Site Management ]]="", "", tblPiNAnalysis[[#This Row],[Site Management ]]/tblPiNAnalysis[[#This Row],[Total Population]])</f>
        <v/>
      </c>
      <c r="U233" s="314" t="str">
        <f>IF(tblPiNAnalysis[[#This Row],[Education]]="", "", tblPiNAnalysis[[#This Row],[Education]]/tblPiNAnalysis[[#This Row],[Total Population]])</f>
        <v/>
      </c>
      <c r="V233" s="314" t="str">
        <f>IF(tblPiNAnalysis[[#This Row],[Food Security and Livlihoods]]="", "", tblPiNAnalysis[[#This Row],[Food Security and Livlihoods]]/tblPiNAnalysis[[#This Row],[Total Population]])</f>
        <v/>
      </c>
      <c r="W233" s="315" t="str">
        <f>IF(tblPiNAnalysis[[#This Row],[Health ]]="", "", tblPiNAnalysis[[#This Row],[Health ]]/tblPiNAnalysis[[#This Row],[Total Population]])</f>
        <v/>
      </c>
      <c r="X233" s="314" t="str">
        <f>IF(tblPiNAnalysis[[#This Row],[Nutrition]]="", "", tblPiNAnalysis[[#This Row],[Nutrition]]/tblPiNAnalysis[[#This Row],[Total Population]])</f>
        <v/>
      </c>
      <c r="Y233" s="314" t="str">
        <f>IF(tblPiNAnalysis[[#This Row],[Protection]]="", "", tblPiNAnalysis[[#This Row],[Protection]]/tblPiNAnalysis[[#This Row],[Total Population]])</f>
        <v/>
      </c>
      <c r="Z233" s="316">
        <f>IF(tblPiNAnalysis[[#This Row],[Shelter NFI ]]="", "", tblPiNAnalysis[[#This Row],[Shelter NFI ]]/tblPiNAnalysis[[#This Row],[Total Population]])</f>
        <v>0.51031462487034684</v>
      </c>
      <c r="AA233" s="317" t="str">
        <f>IF(tblPiNAnalysis[[#This Row],[WASH]]="", "", tblPiNAnalysis[[#This Row],[WASH]]/tblPiNAnalysis[[#This Row],[Total Population]])</f>
        <v/>
      </c>
      <c r="AB233" s="318" t="str">
        <f>IFERROR(IF(tblPiNAnalysis[[#This Row],[CP]]="", "", MROUND(tblPiNAnalysis[[#This Row],[CP]]/tblPiNAnalysis[[#This Row],[Total Population]], 0.05)), "")</f>
        <v/>
      </c>
      <c r="AC233" s="314" t="str">
        <f>IFERROR(IF(tblPiNAnalysis[[#This Row],[GBV]]="", "", MROUND(tblPiNAnalysis[[#This Row],[GBV]]/tblPiNAnalysis[[#This Row],[Total Population]], 0.05)), "")</f>
        <v/>
      </c>
      <c r="AD233" s="314" t="str">
        <f>IFERROR(IF(tblPiNAnalysis[[#This Row],[Mine Action]]="", "", MROUND(tblPiNAnalysis[[#This Row],[Mine Action]]/tblPiNAnalysis[[#This Row],[Total Population]], 0.05)), "")</f>
        <v/>
      </c>
      <c r="AE233" s="314" t="str">
        <f>IFERROR(IF(tblPiNAnalysis[[#This Row],[General Protection]]="", "", MROUND(tblPiNAnalysis[[#This Row],[General Protection]]/tblPiNAnalysis[[#This Row],[Total Population]], 0.05)), "")</f>
        <v/>
      </c>
      <c r="AF233" s="319">
        <f>IFERROR(LARGE(tblPiNAnalysis[[#This Row],[Site Management ]:[General Protection]], 1), "")</f>
        <v>4428</v>
      </c>
      <c r="AG233" s="320">
        <f>IF(tblPiNAnalysis[[#This Row],[Highest PiN]]="", "",tblPiNAnalysis[[#This Row],[Highest PiN]]/ tblPiNAnalysis[[#This Row],[Total Population]])</f>
        <v>0.51031462487034684</v>
      </c>
      <c r="AH233" s="320" t="str">
        <f>IFERROR(IF(tblPiNAnalysis[[#This Row],[Highest PiN]]="", "", IF(tblPiNAnalysis[[#This Row],[Highest sector(s'') PiN %]]&gt;=flag_pin_perc, "Flagged", "")), "")</f>
        <v/>
      </c>
      <c r="AI233" s="321"/>
      <c r="AJ233" s="322"/>
      <c r="AK233" s="323">
        <f>COUNTIFS(tblPiNAnalysis[[#This Row],[Highest PiN greater than 90% of total affected population]:[Manual Flag]],"Flagged")</f>
        <v>0</v>
      </c>
      <c r="AL233" s="324" t="str">
        <f>IF(tblPiNAnalysis[[#This Row],['# Flags]]&gt;0, "Flagged", "")</f>
        <v/>
      </c>
    </row>
    <row r="234" spans="1:38" ht="23.1" customHeight="1" x14ac:dyDescent="0.2">
      <c r="A234" s="309" t="str">
        <f>_xlfn.CONCAT(IF(tblPiNAnalysis[[#This Row],[Population Group]]="", "",tblPiNAnalysis[[#This Row],[Population Group]] ), _xlfn.IFS(tblPiNAnalysis[[#This Row],[Admin 2 P-Code]]&lt;&gt;"", tblPiNAnalysis[[#This Row],[Admin 2 P-Code]], tblPiNAnalysis[[#This Row],[Admin 1 P-Code]]&lt;&gt;"", tblPiNAnalysis[[#This Row],[Admin 1 P-Code]]))</f>
        <v>Non-hosting PopulationSD07094</v>
      </c>
      <c r="B234" s="245" t="s">
        <v>188</v>
      </c>
      <c r="C234" s="246" t="s">
        <v>124</v>
      </c>
      <c r="D234" s="247" t="s">
        <v>346</v>
      </c>
      <c r="E234" s="246" t="s">
        <v>347</v>
      </c>
      <c r="F234" s="248">
        <v>59917</v>
      </c>
      <c r="G234" s="248" t="s">
        <v>568</v>
      </c>
      <c r="H234" s="310"/>
      <c r="I234" s="311"/>
      <c r="J234" s="312"/>
      <c r="K234" s="311"/>
      <c r="L234" s="311"/>
      <c r="M234" s="312"/>
      <c r="N234" s="312">
        <f>_xlfn.XLOOKUP(CONCATENATE(tblPiNAnalysis[[#This Row],[Admin 2 P-Code]],tblPiNAnalysis[[#This Row],[Population Group]]),'Overall severity &amp; PIN Analysis'!A:A,'Overall severity &amp; PIN Analysis'!P:P,0,0)</f>
        <v>471</v>
      </c>
      <c r="O234" s="311"/>
      <c r="P234" s="312"/>
      <c r="Q234" s="312"/>
      <c r="R234" s="312"/>
      <c r="S234" s="312"/>
      <c r="T234" s="313" t="str">
        <f>IF(tblPiNAnalysis[[#This Row],[Site Management ]]="", "", tblPiNAnalysis[[#This Row],[Site Management ]]/tblPiNAnalysis[[#This Row],[Total Population]])</f>
        <v/>
      </c>
      <c r="U234" s="314" t="str">
        <f>IF(tblPiNAnalysis[[#This Row],[Education]]="", "", tblPiNAnalysis[[#This Row],[Education]]/tblPiNAnalysis[[#This Row],[Total Population]])</f>
        <v/>
      </c>
      <c r="V234" s="314" t="str">
        <f>IF(tblPiNAnalysis[[#This Row],[Food Security and Livlihoods]]="", "", tblPiNAnalysis[[#This Row],[Food Security and Livlihoods]]/tblPiNAnalysis[[#This Row],[Total Population]])</f>
        <v/>
      </c>
      <c r="W234" s="315" t="str">
        <f>IF(tblPiNAnalysis[[#This Row],[Health ]]="", "", tblPiNAnalysis[[#This Row],[Health ]]/tblPiNAnalysis[[#This Row],[Total Population]])</f>
        <v/>
      </c>
      <c r="X234" s="314" t="str">
        <f>IF(tblPiNAnalysis[[#This Row],[Nutrition]]="", "", tblPiNAnalysis[[#This Row],[Nutrition]]/tblPiNAnalysis[[#This Row],[Total Population]])</f>
        <v/>
      </c>
      <c r="Y234" s="314" t="str">
        <f>IF(tblPiNAnalysis[[#This Row],[Protection]]="", "", tblPiNAnalysis[[#This Row],[Protection]]/tblPiNAnalysis[[#This Row],[Total Population]])</f>
        <v/>
      </c>
      <c r="Z234" s="316">
        <f>IF(tblPiNAnalysis[[#This Row],[Shelter NFI ]]="", "", tblPiNAnalysis[[#This Row],[Shelter NFI ]]/tblPiNAnalysis[[#This Row],[Total Population]])</f>
        <v>7.8608742093228962E-3</v>
      </c>
      <c r="AA234" s="317" t="str">
        <f>IF(tblPiNAnalysis[[#This Row],[WASH]]="", "", tblPiNAnalysis[[#This Row],[WASH]]/tblPiNAnalysis[[#This Row],[Total Population]])</f>
        <v/>
      </c>
      <c r="AB234" s="318" t="str">
        <f>IFERROR(IF(tblPiNAnalysis[[#This Row],[CP]]="", "", MROUND(tblPiNAnalysis[[#This Row],[CP]]/tblPiNAnalysis[[#This Row],[Total Population]], 0.05)), "")</f>
        <v/>
      </c>
      <c r="AC234" s="314" t="str">
        <f>IFERROR(IF(tblPiNAnalysis[[#This Row],[GBV]]="", "", MROUND(tblPiNAnalysis[[#This Row],[GBV]]/tblPiNAnalysis[[#This Row],[Total Population]], 0.05)), "")</f>
        <v/>
      </c>
      <c r="AD234" s="314" t="str">
        <f>IFERROR(IF(tblPiNAnalysis[[#This Row],[Mine Action]]="", "", MROUND(tblPiNAnalysis[[#This Row],[Mine Action]]/tblPiNAnalysis[[#This Row],[Total Population]], 0.05)), "")</f>
        <v/>
      </c>
      <c r="AE234" s="314" t="str">
        <f>IFERROR(IF(tblPiNAnalysis[[#This Row],[General Protection]]="", "", MROUND(tblPiNAnalysis[[#This Row],[General Protection]]/tblPiNAnalysis[[#This Row],[Total Population]], 0.05)), "")</f>
        <v/>
      </c>
      <c r="AF234" s="319">
        <f>IFERROR(LARGE(tblPiNAnalysis[[#This Row],[Site Management ]:[General Protection]], 1), "")</f>
        <v>471</v>
      </c>
      <c r="AG234" s="320">
        <f>IF(tblPiNAnalysis[[#This Row],[Highest PiN]]="", "",tblPiNAnalysis[[#This Row],[Highest PiN]]/ tblPiNAnalysis[[#This Row],[Total Population]])</f>
        <v>7.8608742093228962E-3</v>
      </c>
      <c r="AH234" s="320" t="str">
        <f>IFERROR(IF(tblPiNAnalysis[[#This Row],[Highest PiN]]="", "", IF(tblPiNAnalysis[[#This Row],[Highest sector(s'') PiN %]]&gt;=flag_pin_perc, "Flagged", "")), "")</f>
        <v/>
      </c>
      <c r="AI234" s="321"/>
      <c r="AJ234" s="322"/>
      <c r="AK234" s="323">
        <f>COUNTIFS(tblPiNAnalysis[[#This Row],[Highest PiN greater than 90% of total affected population]:[Manual Flag]],"Flagged")</f>
        <v>0</v>
      </c>
      <c r="AL234" s="324" t="str">
        <f>IF(tblPiNAnalysis[[#This Row],['# Flags]]&gt;0, "Flagged", "")</f>
        <v/>
      </c>
    </row>
    <row r="235" spans="1:38" ht="23.1" hidden="1" customHeight="1" x14ac:dyDescent="0.2">
      <c r="A235" s="309" t="str">
        <f>_xlfn.CONCAT(IF(tblPiNAnalysis[[#This Row],[Population Group]]="", "",tblPiNAnalysis[[#This Row],[Population Group]] ), _xlfn.IFS(tblPiNAnalysis[[#This Row],[Admin 2 P-Code]]&lt;&gt;"", tblPiNAnalysis[[#This Row],[Admin 2 P-Code]], tblPiNAnalysis[[#This Row],[Admin 1 P-Code]]&lt;&gt;"", tblPiNAnalysis[[#This Row],[Admin 1 P-Code]]))</f>
        <v>Host CommunitySD07095</v>
      </c>
      <c r="B235" s="245" t="s">
        <v>188</v>
      </c>
      <c r="C235" s="246" t="s">
        <v>124</v>
      </c>
      <c r="D235" s="247" t="s">
        <v>348</v>
      </c>
      <c r="E235" s="246" t="s">
        <v>349</v>
      </c>
      <c r="F235" s="248">
        <v>44909</v>
      </c>
      <c r="G235" s="248" t="s">
        <v>87</v>
      </c>
      <c r="H235" s="310"/>
      <c r="I235" s="311"/>
      <c r="J235" s="312"/>
      <c r="K235" s="311"/>
      <c r="L235" s="311"/>
      <c r="M235" s="312"/>
      <c r="N235" s="312">
        <f>_xlfn.XLOOKUP(CONCATENATE(tblPiNAnalysis[[#This Row],[Admin 2 P-Code]],tblPiNAnalysis[[#This Row],[Population Group]]),'Overall severity &amp; PIN Analysis'!A:A,'Overall severity &amp; PIN Analysis'!P:P,0,0)</f>
        <v>16056</v>
      </c>
      <c r="O235" s="311"/>
      <c r="P235" s="312"/>
      <c r="Q235" s="312"/>
      <c r="R235" s="312"/>
      <c r="S235" s="312"/>
      <c r="T235" s="313" t="str">
        <f>IF(tblPiNAnalysis[[#This Row],[Site Management ]]="", "", tblPiNAnalysis[[#This Row],[Site Management ]]/tblPiNAnalysis[[#This Row],[Total Population]])</f>
        <v/>
      </c>
      <c r="U235" s="314" t="str">
        <f>IF(tblPiNAnalysis[[#This Row],[Education]]="", "", tblPiNAnalysis[[#This Row],[Education]]/tblPiNAnalysis[[#This Row],[Total Population]])</f>
        <v/>
      </c>
      <c r="V235" s="314" t="str">
        <f>IF(tblPiNAnalysis[[#This Row],[Food Security and Livlihoods]]="", "", tblPiNAnalysis[[#This Row],[Food Security and Livlihoods]]/tblPiNAnalysis[[#This Row],[Total Population]])</f>
        <v/>
      </c>
      <c r="W235" s="315" t="str">
        <f>IF(tblPiNAnalysis[[#This Row],[Health ]]="", "", tblPiNAnalysis[[#This Row],[Health ]]/tblPiNAnalysis[[#This Row],[Total Population]])</f>
        <v/>
      </c>
      <c r="X235" s="314" t="str">
        <f>IF(tblPiNAnalysis[[#This Row],[Nutrition]]="", "", tblPiNAnalysis[[#This Row],[Nutrition]]/tblPiNAnalysis[[#This Row],[Total Population]])</f>
        <v/>
      </c>
      <c r="Y235" s="314" t="str">
        <f>IF(tblPiNAnalysis[[#This Row],[Protection]]="", "", tblPiNAnalysis[[#This Row],[Protection]]/tblPiNAnalysis[[#This Row],[Total Population]])</f>
        <v/>
      </c>
      <c r="Z235" s="316">
        <f>IF(tblPiNAnalysis[[#This Row],[Shelter NFI ]]="", "", tblPiNAnalysis[[#This Row],[Shelter NFI ]]/tblPiNAnalysis[[#This Row],[Total Population]])</f>
        <v>0.35752299093722861</v>
      </c>
      <c r="AA235" s="317" t="str">
        <f>IF(tblPiNAnalysis[[#This Row],[WASH]]="", "", tblPiNAnalysis[[#This Row],[WASH]]/tblPiNAnalysis[[#This Row],[Total Population]])</f>
        <v/>
      </c>
      <c r="AB235" s="318" t="str">
        <f>IFERROR(IF(tblPiNAnalysis[[#This Row],[CP]]="", "", MROUND(tblPiNAnalysis[[#This Row],[CP]]/tblPiNAnalysis[[#This Row],[Total Population]], 0.05)), "")</f>
        <v/>
      </c>
      <c r="AC235" s="314" t="str">
        <f>IFERROR(IF(tblPiNAnalysis[[#This Row],[GBV]]="", "", MROUND(tblPiNAnalysis[[#This Row],[GBV]]/tblPiNAnalysis[[#This Row],[Total Population]], 0.05)), "")</f>
        <v/>
      </c>
      <c r="AD235" s="314" t="str">
        <f>IFERROR(IF(tblPiNAnalysis[[#This Row],[Mine Action]]="", "", MROUND(tblPiNAnalysis[[#This Row],[Mine Action]]/tblPiNAnalysis[[#This Row],[Total Population]], 0.05)), "")</f>
        <v/>
      </c>
      <c r="AE235" s="314" t="str">
        <f>IFERROR(IF(tblPiNAnalysis[[#This Row],[General Protection]]="", "", MROUND(tblPiNAnalysis[[#This Row],[General Protection]]/tblPiNAnalysis[[#This Row],[Total Population]], 0.05)), "")</f>
        <v/>
      </c>
      <c r="AF235" s="319">
        <f>IFERROR(LARGE(tblPiNAnalysis[[#This Row],[Site Management ]:[General Protection]], 1), "")</f>
        <v>16056</v>
      </c>
      <c r="AG235" s="320">
        <f>IF(tblPiNAnalysis[[#This Row],[Highest PiN]]="", "",tblPiNAnalysis[[#This Row],[Highest PiN]]/ tblPiNAnalysis[[#This Row],[Total Population]])</f>
        <v>0.35752299093722861</v>
      </c>
      <c r="AH235" s="320" t="str">
        <f>IFERROR(IF(tblPiNAnalysis[[#This Row],[Highest PiN]]="", "", IF(tblPiNAnalysis[[#This Row],[Highest sector(s'') PiN %]]&gt;=flag_pin_perc, "Flagged", "")), "")</f>
        <v/>
      </c>
      <c r="AI235" s="321"/>
      <c r="AJ235" s="322"/>
      <c r="AK235" s="323">
        <f>COUNTIFS(tblPiNAnalysis[[#This Row],[Highest PiN greater than 90% of total affected population]:[Manual Flag]],"Flagged")</f>
        <v>0</v>
      </c>
      <c r="AL235" s="324" t="str">
        <f>IF(tblPiNAnalysis[[#This Row],['# Flags]]&gt;0, "Flagged", "")</f>
        <v/>
      </c>
    </row>
    <row r="236" spans="1:38" ht="23.1" hidden="1" customHeight="1" x14ac:dyDescent="0.2">
      <c r="A236" s="309" t="str">
        <f>_xlfn.CONCAT(IF(tblPiNAnalysis[[#This Row],[Population Group]]="", "",tblPiNAnalysis[[#This Row],[Population Group]] ), _xlfn.IFS(tblPiNAnalysis[[#This Row],[Admin 2 P-Code]]&lt;&gt;"", tblPiNAnalysis[[#This Row],[Admin 2 P-Code]], tblPiNAnalysis[[#This Row],[Admin 1 P-Code]]&lt;&gt;"", tblPiNAnalysis[[#This Row],[Admin 1 P-Code]]))</f>
        <v>IDPsSD07095</v>
      </c>
      <c r="B236" s="245" t="s">
        <v>188</v>
      </c>
      <c r="C236" s="246" t="s">
        <v>124</v>
      </c>
      <c r="D236" s="247" t="s">
        <v>348</v>
      </c>
      <c r="E236" s="246" t="s">
        <v>349</v>
      </c>
      <c r="F236" s="248">
        <v>44297</v>
      </c>
      <c r="G236" s="248" t="s">
        <v>88</v>
      </c>
      <c r="H236" s="310"/>
      <c r="I236" s="311"/>
      <c r="J236" s="312"/>
      <c r="K236" s="311"/>
      <c r="L236" s="311"/>
      <c r="M236" s="312"/>
      <c r="N236" s="312">
        <f>_xlfn.XLOOKUP(CONCATENATE(tblPiNAnalysis[[#This Row],[Admin 2 P-Code]],tblPiNAnalysis[[#This Row],[Population Group]]),'Overall severity &amp; PIN Analysis'!A:A,'Overall severity &amp; PIN Analysis'!P:P,0,0)</f>
        <v>15837</v>
      </c>
      <c r="O236" s="311"/>
      <c r="P236" s="312"/>
      <c r="Q236" s="312"/>
      <c r="R236" s="312"/>
      <c r="S236" s="312"/>
      <c r="T236" s="313" t="str">
        <f>IF(tblPiNAnalysis[[#This Row],[Site Management ]]="", "", tblPiNAnalysis[[#This Row],[Site Management ]]/tblPiNAnalysis[[#This Row],[Total Population]])</f>
        <v/>
      </c>
      <c r="U236" s="314" t="str">
        <f>IF(tblPiNAnalysis[[#This Row],[Education]]="", "", tblPiNAnalysis[[#This Row],[Education]]/tblPiNAnalysis[[#This Row],[Total Population]])</f>
        <v/>
      </c>
      <c r="V236" s="314" t="str">
        <f>IF(tblPiNAnalysis[[#This Row],[Food Security and Livlihoods]]="", "", tblPiNAnalysis[[#This Row],[Food Security and Livlihoods]]/tblPiNAnalysis[[#This Row],[Total Population]])</f>
        <v/>
      </c>
      <c r="W236" s="315" t="str">
        <f>IF(tblPiNAnalysis[[#This Row],[Health ]]="", "", tblPiNAnalysis[[#This Row],[Health ]]/tblPiNAnalysis[[#This Row],[Total Population]])</f>
        <v/>
      </c>
      <c r="X236" s="314" t="str">
        <f>IF(tblPiNAnalysis[[#This Row],[Nutrition]]="", "", tblPiNAnalysis[[#This Row],[Nutrition]]/tblPiNAnalysis[[#This Row],[Total Population]])</f>
        <v/>
      </c>
      <c r="Y236" s="314" t="str">
        <f>IF(tblPiNAnalysis[[#This Row],[Protection]]="", "", tblPiNAnalysis[[#This Row],[Protection]]/tblPiNAnalysis[[#This Row],[Total Population]])</f>
        <v/>
      </c>
      <c r="Z236" s="316">
        <f>IF(tblPiNAnalysis[[#This Row],[Shelter NFI ]]="", "", tblPiNAnalysis[[#This Row],[Shelter NFI ]]/tblPiNAnalysis[[#This Row],[Total Population]])</f>
        <v>0.35751856784883851</v>
      </c>
      <c r="AA236" s="317" t="str">
        <f>IF(tblPiNAnalysis[[#This Row],[WASH]]="", "", tblPiNAnalysis[[#This Row],[WASH]]/tblPiNAnalysis[[#This Row],[Total Population]])</f>
        <v/>
      </c>
      <c r="AB236" s="318" t="str">
        <f>IFERROR(IF(tblPiNAnalysis[[#This Row],[CP]]="", "", MROUND(tblPiNAnalysis[[#This Row],[CP]]/tblPiNAnalysis[[#This Row],[Total Population]], 0.05)), "")</f>
        <v/>
      </c>
      <c r="AC236" s="314" t="str">
        <f>IFERROR(IF(tblPiNAnalysis[[#This Row],[GBV]]="", "", MROUND(tblPiNAnalysis[[#This Row],[GBV]]/tblPiNAnalysis[[#This Row],[Total Population]], 0.05)), "")</f>
        <v/>
      </c>
      <c r="AD236" s="314" t="str">
        <f>IFERROR(IF(tblPiNAnalysis[[#This Row],[Mine Action]]="", "", MROUND(tblPiNAnalysis[[#This Row],[Mine Action]]/tblPiNAnalysis[[#This Row],[Total Population]], 0.05)), "")</f>
        <v/>
      </c>
      <c r="AE236" s="314" t="str">
        <f>IFERROR(IF(tblPiNAnalysis[[#This Row],[General Protection]]="", "", MROUND(tblPiNAnalysis[[#This Row],[General Protection]]/tblPiNAnalysis[[#This Row],[Total Population]], 0.05)), "")</f>
        <v/>
      </c>
      <c r="AF236" s="319">
        <f>IFERROR(LARGE(tblPiNAnalysis[[#This Row],[Site Management ]:[General Protection]], 1), "")</f>
        <v>15837</v>
      </c>
      <c r="AG236" s="320">
        <f>IF(tblPiNAnalysis[[#This Row],[Highest PiN]]="", "",tblPiNAnalysis[[#This Row],[Highest PiN]]/ tblPiNAnalysis[[#This Row],[Total Population]])</f>
        <v>0.35751856784883851</v>
      </c>
      <c r="AH236" s="320" t="str">
        <f>IFERROR(IF(tblPiNAnalysis[[#This Row],[Highest PiN]]="", "", IF(tblPiNAnalysis[[#This Row],[Highest sector(s'') PiN %]]&gt;=flag_pin_perc, "Flagged", "")), "")</f>
        <v/>
      </c>
      <c r="AI236" s="321"/>
      <c r="AJ236" s="322"/>
      <c r="AK236" s="323">
        <f>COUNTIFS(tblPiNAnalysis[[#This Row],[Highest PiN greater than 90% of total affected population]:[Manual Flag]],"Flagged")</f>
        <v>0</v>
      </c>
      <c r="AL236" s="324" t="str">
        <f>IF(tblPiNAnalysis[[#This Row],['# Flags]]&gt;0, "Flagged", "")</f>
        <v/>
      </c>
    </row>
    <row r="237" spans="1:38" ht="23.1" customHeight="1" x14ac:dyDescent="0.2">
      <c r="A237" s="309" t="str">
        <f>_xlfn.CONCAT(IF(tblPiNAnalysis[[#This Row],[Population Group]]="", "",tblPiNAnalysis[[#This Row],[Population Group]] ), _xlfn.IFS(tblPiNAnalysis[[#This Row],[Admin 2 P-Code]]&lt;&gt;"", tblPiNAnalysis[[#This Row],[Admin 2 P-Code]], tblPiNAnalysis[[#This Row],[Admin 1 P-Code]]&lt;&gt;"", tblPiNAnalysis[[#This Row],[Admin 1 P-Code]]))</f>
        <v>Non-hosting PopulationSD07095</v>
      </c>
      <c r="B237" s="245" t="s">
        <v>188</v>
      </c>
      <c r="C237" s="246" t="s">
        <v>124</v>
      </c>
      <c r="D237" s="247" t="s">
        <v>348</v>
      </c>
      <c r="E237" s="246" t="s">
        <v>349</v>
      </c>
      <c r="F237" s="248">
        <v>27905</v>
      </c>
      <c r="G237" s="248" t="s">
        <v>568</v>
      </c>
      <c r="H237" s="310"/>
      <c r="I237" s="311"/>
      <c r="J237" s="312"/>
      <c r="K237" s="311"/>
      <c r="L237" s="311"/>
      <c r="M237" s="312"/>
      <c r="N237" s="312">
        <f>_xlfn.XLOOKUP(CONCATENATE(tblPiNAnalysis[[#This Row],[Admin 2 P-Code]],tblPiNAnalysis[[#This Row],[Population Group]]),'Overall severity &amp; PIN Analysis'!A:A,'Overall severity &amp; PIN Analysis'!P:P,0,0)</f>
        <v>565</v>
      </c>
      <c r="O237" s="311"/>
      <c r="P237" s="312"/>
      <c r="Q237" s="312"/>
      <c r="R237" s="312"/>
      <c r="S237" s="312"/>
      <c r="T237" s="313" t="str">
        <f>IF(tblPiNAnalysis[[#This Row],[Site Management ]]="", "", tblPiNAnalysis[[#This Row],[Site Management ]]/tblPiNAnalysis[[#This Row],[Total Population]])</f>
        <v/>
      </c>
      <c r="U237" s="314" t="str">
        <f>IF(tblPiNAnalysis[[#This Row],[Education]]="", "", tblPiNAnalysis[[#This Row],[Education]]/tblPiNAnalysis[[#This Row],[Total Population]])</f>
        <v/>
      </c>
      <c r="V237" s="314" t="str">
        <f>IF(tblPiNAnalysis[[#This Row],[Food Security and Livlihoods]]="", "", tblPiNAnalysis[[#This Row],[Food Security and Livlihoods]]/tblPiNAnalysis[[#This Row],[Total Population]])</f>
        <v/>
      </c>
      <c r="W237" s="315" t="str">
        <f>IF(tblPiNAnalysis[[#This Row],[Health ]]="", "", tblPiNAnalysis[[#This Row],[Health ]]/tblPiNAnalysis[[#This Row],[Total Population]])</f>
        <v/>
      </c>
      <c r="X237" s="314" t="str">
        <f>IF(tblPiNAnalysis[[#This Row],[Nutrition]]="", "", tblPiNAnalysis[[#This Row],[Nutrition]]/tblPiNAnalysis[[#This Row],[Total Population]])</f>
        <v/>
      </c>
      <c r="Y237" s="314" t="str">
        <f>IF(tblPiNAnalysis[[#This Row],[Protection]]="", "", tblPiNAnalysis[[#This Row],[Protection]]/tblPiNAnalysis[[#This Row],[Total Population]])</f>
        <v/>
      </c>
      <c r="Z237" s="316">
        <f>IF(tblPiNAnalysis[[#This Row],[Shelter NFI ]]="", "", tblPiNAnalysis[[#This Row],[Shelter NFI ]]/tblPiNAnalysis[[#This Row],[Total Population]])</f>
        <v>2.0247267514782296E-2</v>
      </c>
      <c r="AA237" s="317" t="str">
        <f>IF(tblPiNAnalysis[[#This Row],[WASH]]="", "", tblPiNAnalysis[[#This Row],[WASH]]/tblPiNAnalysis[[#This Row],[Total Population]])</f>
        <v/>
      </c>
      <c r="AB237" s="318" t="str">
        <f>IFERROR(IF(tblPiNAnalysis[[#This Row],[CP]]="", "", MROUND(tblPiNAnalysis[[#This Row],[CP]]/tblPiNAnalysis[[#This Row],[Total Population]], 0.05)), "")</f>
        <v/>
      </c>
      <c r="AC237" s="314" t="str">
        <f>IFERROR(IF(tblPiNAnalysis[[#This Row],[GBV]]="", "", MROUND(tblPiNAnalysis[[#This Row],[GBV]]/tblPiNAnalysis[[#This Row],[Total Population]], 0.05)), "")</f>
        <v/>
      </c>
      <c r="AD237" s="314" t="str">
        <f>IFERROR(IF(tblPiNAnalysis[[#This Row],[Mine Action]]="", "", MROUND(tblPiNAnalysis[[#This Row],[Mine Action]]/tblPiNAnalysis[[#This Row],[Total Population]], 0.05)), "")</f>
        <v/>
      </c>
      <c r="AE237" s="314" t="str">
        <f>IFERROR(IF(tblPiNAnalysis[[#This Row],[General Protection]]="", "", MROUND(tblPiNAnalysis[[#This Row],[General Protection]]/tblPiNAnalysis[[#This Row],[Total Population]], 0.05)), "")</f>
        <v/>
      </c>
      <c r="AF237" s="319">
        <f>IFERROR(LARGE(tblPiNAnalysis[[#This Row],[Site Management ]:[General Protection]], 1), "")</f>
        <v>565</v>
      </c>
      <c r="AG237" s="320">
        <f>IF(tblPiNAnalysis[[#This Row],[Highest PiN]]="", "",tblPiNAnalysis[[#This Row],[Highest PiN]]/ tblPiNAnalysis[[#This Row],[Total Population]])</f>
        <v>2.0247267514782296E-2</v>
      </c>
      <c r="AH237" s="320" t="str">
        <f>IFERROR(IF(tblPiNAnalysis[[#This Row],[Highest PiN]]="", "", IF(tblPiNAnalysis[[#This Row],[Highest sector(s'') PiN %]]&gt;=flag_pin_perc, "Flagged", "")), "")</f>
        <v/>
      </c>
      <c r="AI237" s="321"/>
      <c r="AJ237" s="322"/>
      <c r="AK237" s="323">
        <f>COUNTIFS(tblPiNAnalysis[[#This Row],[Highest PiN greater than 90% of total affected population]:[Manual Flag]],"Flagged")</f>
        <v>0</v>
      </c>
      <c r="AL237" s="324" t="str">
        <f>IF(tblPiNAnalysis[[#This Row],['# Flags]]&gt;0, "Flagged", "")</f>
        <v/>
      </c>
    </row>
    <row r="238" spans="1:38" ht="23.1" hidden="1" customHeight="1" x14ac:dyDescent="0.2">
      <c r="A238" s="309" t="str">
        <f>_xlfn.CONCAT(IF(tblPiNAnalysis[[#This Row],[Population Group]]="", "",tblPiNAnalysis[[#This Row],[Population Group]] ), _xlfn.IFS(tblPiNAnalysis[[#This Row],[Admin 2 P-Code]]&lt;&gt;"", tblPiNAnalysis[[#This Row],[Admin 2 P-Code]], tblPiNAnalysis[[#This Row],[Admin 1 P-Code]]&lt;&gt;"", tblPiNAnalysis[[#This Row],[Admin 1 P-Code]]))</f>
        <v>Host CommunitySD07096</v>
      </c>
      <c r="B238" s="245" t="s">
        <v>188</v>
      </c>
      <c r="C238" s="246" t="s">
        <v>124</v>
      </c>
      <c r="D238" s="247" t="s">
        <v>350</v>
      </c>
      <c r="E238" s="246" t="s">
        <v>351</v>
      </c>
      <c r="F238" s="248">
        <v>0</v>
      </c>
      <c r="G238" s="248" t="s">
        <v>87</v>
      </c>
      <c r="H238" s="310"/>
      <c r="I238" s="311"/>
      <c r="J238" s="312"/>
      <c r="K238" s="311"/>
      <c r="L238" s="311"/>
      <c r="M238" s="312"/>
      <c r="N238" s="312">
        <f>_xlfn.XLOOKUP(CONCATENATE(tblPiNAnalysis[[#This Row],[Admin 2 P-Code]],tblPiNAnalysis[[#This Row],[Population Group]]),'Overall severity &amp; PIN Analysis'!A:A,'Overall severity &amp; PIN Analysis'!P:P,0,0)</f>
        <v>0</v>
      </c>
      <c r="O238" s="311"/>
      <c r="P238" s="312"/>
      <c r="Q238" s="312"/>
      <c r="R238" s="312"/>
      <c r="S238" s="312"/>
      <c r="T238" s="313" t="str">
        <f>IF(tblPiNAnalysis[[#This Row],[Site Management ]]="", "", tblPiNAnalysis[[#This Row],[Site Management ]]/tblPiNAnalysis[[#This Row],[Total Population]])</f>
        <v/>
      </c>
      <c r="U238" s="314" t="str">
        <f>IF(tblPiNAnalysis[[#This Row],[Education]]="", "", tblPiNAnalysis[[#This Row],[Education]]/tblPiNAnalysis[[#This Row],[Total Population]])</f>
        <v/>
      </c>
      <c r="V238" s="314" t="str">
        <f>IF(tblPiNAnalysis[[#This Row],[Food Security and Livlihoods]]="", "", tblPiNAnalysis[[#This Row],[Food Security and Livlihoods]]/tblPiNAnalysis[[#This Row],[Total Population]])</f>
        <v/>
      </c>
      <c r="W238" s="315" t="str">
        <f>IF(tblPiNAnalysis[[#This Row],[Health ]]="", "", tblPiNAnalysis[[#This Row],[Health ]]/tblPiNAnalysis[[#This Row],[Total Population]])</f>
        <v/>
      </c>
      <c r="X238" s="314" t="str">
        <f>IF(tblPiNAnalysis[[#This Row],[Nutrition]]="", "", tblPiNAnalysis[[#This Row],[Nutrition]]/tblPiNAnalysis[[#This Row],[Total Population]])</f>
        <v/>
      </c>
      <c r="Y238" s="314" t="str">
        <f>IF(tblPiNAnalysis[[#This Row],[Protection]]="", "", tblPiNAnalysis[[#This Row],[Protection]]/tblPiNAnalysis[[#This Row],[Total Population]])</f>
        <v/>
      </c>
      <c r="Z238" s="316" t="e">
        <f>IF(tblPiNAnalysis[[#This Row],[Shelter NFI ]]="", "", tblPiNAnalysis[[#This Row],[Shelter NFI ]]/tblPiNAnalysis[[#This Row],[Total Population]])</f>
        <v>#DIV/0!</v>
      </c>
      <c r="AA238" s="317" t="str">
        <f>IF(tblPiNAnalysis[[#This Row],[WASH]]="", "", tblPiNAnalysis[[#This Row],[WASH]]/tblPiNAnalysis[[#This Row],[Total Population]])</f>
        <v/>
      </c>
      <c r="AB238" s="318" t="str">
        <f>IFERROR(IF(tblPiNAnalysis[[#This Row],[CP]]="", "", MROUND(tblPiNAnalysis[[#This Row],[CP]]/tblPiNAnalysis[[#This Row],[Total Population]], 0.05)), "")</f>
        <v/>
      </c>
      <c r="AC238" s="314" t="str">
        <f>IFERROR(IF(tblPiNAnalysis[[#This Row],[GBV]]="", "", MROUND(tblPiNAnalysis[[#This Row],[GBV]]/tblPiNAnalysis[[#This Row],[Total Population]], 0.05)), "")</f>
        <v/>
      </c>
      <c r="AD238" s="314" t="str">
        <f>IFERROR(IF(tblPiNAnalysis[[#This Row],[Mine Action]]="", "", MROUND(tblPiNAnalysis[[#This Row],[Mine Action]]/tblPiNAnalysis[[#This Row],[Total Population]], 0.05)), "")</f>
        <v/>
      </c>
      <c r="AE238" s="314" t="str">
        <f>IFERROR(IF(tblPiNAnalysis[[#This Row],[General Protection]]="", "", MROUND(tblPiNAnalysis[[#This Row],[General Protection]]/tblPiNAnalysis[[#This Row],[Total Population]], 0.05)), "")</f>
        <v/>
      </c>
      <c r="AF238" s="319">
        <f>IFERROR(LARGE(tblPiNAnalysis[[#This Row],[Site Management ]:[General Protection]], 1), "")</f>
        <v>0</v>
      </c>
      <c r="AG238" s="320" t="e">
        <f>IF(tblPiNAnalysis[[#This Row],[Highest PiN]]="", "",tblPiNAnalysis[[#This Row],[Highest PiN]]/ tblPiNAnalysis[[#This Row],[Total Population]])</f>
        <v>#DIV/0!</v>
      </c>
      <c r="AH238" s="320" t="str">
        <f>IFERROR(IF(tblPiNAnalysis[[#This Row],[Highest PiN]]="", "", IF(tblPiNAnalysis[[#This Row],[Highest sector(s'') PiN %]]&gt;=flag_pin_perc, "Flagged", "")), "")</f>
        <v/>
      </c>
      <c r="AI238" s="321"/>
      <c r="AJ238" s="322"/>
      <c r="AK238" s="323">
        <f>COUNTIFS(tblPiNAnalysis[[#This Row],[Highest PiN greater than 90% of total affected population]:[Manual Flag]],"Flagged")</f>
        <v>0</v>
      </c>
      <c r="AL238" s="324" t="str">
        <f>IF(tblPiNAnalysis[[#This Row],['# Flags]]&gt;0, "Flagged", "")</f>
        <v/>
      </c>
    </row>
    <row r="239" spans="1:38" ht="23.1" hidden="1" customHeight="1" x14ac:dyDescent="0.2">
      <c r="A239" s="309" t="str">
        <f>_xlfn.CONCAT(IF(tblPiNAnalysis[[#This Row],[Population Group]]="", "",tblPiNAnalysis[[#This Row],[Population Group]] ), _xlfn.IFS(tblPiNAnalysis[[#This Row],[Admin 2 P-Code]]&lt;&gt;"", tblPiNAnalysis[[#This Row],[Admin 2 P-Code]], tblPiNAnalysis[[#This Row],[Admin 1 P-Code]]&lt;&gt;"", tblPiNAnalysis[[#This Row],[Admin 1 P-Code]]))</f>
        <v>IDPsSD07096</v>
      </c>
      <c r="B239" s="245" t="s">
        <v>188</v>
      </c>
      <c r="C239" s="246" t="s">
        <v>124</v>
      </c>
      <c r="D239" s="247" t="s">
        <v>350</v>
      </c>
      <c r="E239" s="246" t="s">
        <v>351</v>
      </c>
      <c r="F239" s="248">
        <v>0</v>
      </c>
      <c r="G239" s="248" t="s">
        <v>88</v>
      </c>
      <c r="H239" s="310"/>
      <c r="I239" s="311"/>
      <c r="J239" s="312"/>
      <c r="K239" s="311"/>
      <c r="L239" s="311"/>
      <c r="M239" s="312"/>
      <c r="N239" s="312">
        <f>_xlfn.XLOOKUP(CONCATENATE(tblPiNAnalysis[[#This Row],[Admin 2 P-Code]],tblPiNAnalysis[[#This Row],[Population Group]]),'Overall severity &amp; PIN Analysis'!A:A,'Overall severity &amp; PIN Analysis'!P:P,0,0)</f>
        <v>0</v>
      </c>
      <c r="O239" s="311"/>
      <c r="P239" s="312"/>
      <c r="Q239" s="312"/>
      <c r="R239" s="312"/>
      <c r="S239" s="312"/>
      <c r="T239" s="313" t="str">
        <f>IF(tblPiNAnalysis[[#This Row],[Site Management ]]="", "", tblPiNAnalysis[[#This Row],[Site Management ]]/tblPiNAnalysis[[#This Row],[Total Population]])</f>
        <v/>
      </c>
      <c r="U239" s="314" t="str">
        <f>IF(tblPiNAnalysis[[#This Row],[Education]]="", "", tblPiNAnalysis[[#This Row],[Education]]/tblPiNAnalysis[[#This Row],[Total Population]])</f>
        <v/>
      </c>
      <c r="V239" s="314" t="str">
        <f>IF(tblPiNAnalysis[[#This Row],[Food Security and Livlihoods]]="", "", tblPiNAnalysis[[#This Row],[Food Security and Livlihoods]]/tblPiNAnalysis[[#This Row],[Total Population]])</f>
        <v/>
      </c>
      <c r="W239" s="315" t="str">
        <f>IF(tblPiNAnalysis[[#This Row],[Health ]]="", "", tblPiNAnalysis[[#This Row],[Health ]]/tblPiNAnalysis[[#This Row],[Total Population]])</f>
        <v/>
      </c>
      <c r="X239" s="314" t="str">
        <f>IF(tblPiNAnalysis[[#This Row],[Nutrition]]="", "", tblPiNAnalysis[[#This Row],[Nutrition]]/tblPiNAnalysis[[#This Row],[Total Population]])</f>
        <v/>
      </c>
      <c r="Y239" s="314" t="str">
        <f>IF(tblPiNAnalysis[[#This Row],[Protection]]="", "", tblPiNAnalysis[[#This Row],[Protection]]/tblPiNAnalysis[[#This Row],[Total Population]])</f>
        <v/>
      </c>
      <c r="Z239" s="316" t="e">
        <f>IF(tblPiNAnalysis[[#This Row],[Shelter NFI ]]="", "", tblPiNAnalysis[[#This Row],[Shelter NFI ]]/tblPiNAnalysis[[#This Row],[Total Population]])</f>
        <v>#DIV/0!</v>
      </c>
      <c r="AA239" s="317" t="str">
        <f>IF(tblPiNAnalysis[[#This Row],[WASH]]="", "", tblPiNAnalysis[[#This Row],[WASH]]/tblPiNAnalysis[[#This Row],[Total Population]])</f>
        <v/>
      </c>
      <c r="AB239" s="318" t="str">
        <f>IFERROR(IF(tblPiNAnalysis[[#This Row],[CP]]="", "", MROUND(tblPiNAnalysis[[#This Row],[CP]]/tblPiNAnalysis[[#This Row],[Total Population]], 0.05)), "")</f>
        <v/>
      </c>
      <c r="AC239" s="314" t="str">
        <f>IFERROR(IF(tblPiNAnalysis[[#This Row],[GBV]]="", "", MROUND(tblPiNAnalysis[[#This Row],[GBV]]/tblPiNAnalysis[[#This Row],[Total Population]], 0.05)), "")</f>
        <v/>
      </c>
      <c r="AD239" s="314" t="str">
        <f>IFERROR(IF(tblPiNAnalysis[[#This Row],[Mine Action]]="", "", MROUND(tblPiNAnalysis[[#This Row],[Mine Action]]/tblPiNAnalysis[[#This Row],[Total Population]], 0.05)), "")</f>
        <v/>
      </c>
      <c r="AE239" s="314" t="str">
        <f>IFERROR(IF(tblPiNAnalysis[[#This Row],[General Protection]]="", "", MROUND(tblPiNAnalysis[[#This Row],[General Protection]]/tblPiNAnalysis[[#This Row],[Total Population]], 0.05)), "")</f>
        <v/>
      </c>
      <c r="AF239" s="319">
        <f>IFERROR(LARGE(tblPiNAnalysis[[#This Row],[Site Management ]:[General Protection]], 1), "")</f>
        <v>0</v>
      </c>
      <c r="AG239" s="320" t="e">
        <f>IF(tblPiNAnalysis[[#This Row],[Highest PiN]]="", "",tblPiNAnalysis[[#This Row],[Highest PiN]]/ tblPiNAnalysis[[#This Row],[Total Population]])</f>
        <v>#DIV/0!</v>
      </c>
      <c r="AH239" s="320" t="str">
        <f>IFERROR(IF(tblPiNAnalysis[[#This Row],[Highest PiN]]="", "", IF(tblPiNAnalysis[[#This Row],[Highest sector(s'') PiN %]]&gt;=flag_pin_perc, "Flagged", "")), "")</f>
        <v/>
      </c>
      <c r="AI239" s="321"/>
      <c r="AJ239" s="322"/>
      <c r="AK239" s="323">
        <f>COUNTIFS(tblPiNAnalysis[[#This Row],[Highest PiN greater than 90% of total affected population]:[Manual Flag]],"Flagged")</f>
        <v>0</v>
      </c>
      <c r="AL239" s="324" t="str">
        <f>IF(tblPiNAnalysis[[#This Row],['# Flags]]&gt;0, "Flagged", "")</f>
        <v/>
      </c>
    </row>
    <row r="240" spans="1:38" ht="23.1" customHeight="1" x14ac:dyDescent="0.2">
      <c r="A240" s="309" t="str">
        <f>_xlfn.CONCAT(IF(tblPiNAnalysis[[#This Row],[Population Group]]="", "",tblPiNAnalysis[[#This Row],[Population Group]] ), _xlfn.IFS(tblPiNAnalysis[[#This Row],[Admin 2 P-Code]]&lt;&gt;"", tblPiNAnalysis[[#This Row],[Admin 2 P-Code]], tblPiNAnalysis[[#This Row],[Admin 1 P-Code]]&lt;&gt;"", tblPiNAnalysis[[#This Row],[Admin 1 P-Code]]))</f>
        <v>Non-hosting PopulationSD07096</v>
      </c>
      <c r="B240" s="245" t="s">
        <v>188</v>
      </c>
      <c r="C240" s="246" t="s">
        <v>124</v>
      </c>
      <c r="D240" s="247" t="s">
        <v>350</v>
      </c>
      <c r="E240" s="246" t="s">
        <v>351</v>
      </c>
      <c r="F240" s="248">
        <v>138054</v>
      </c>
      <c r="G240" s="248" t="s">
        <v>568</v>
      </c>
      <c r="H240" s="310"/>
      <c r="I240" s="311"/>
      <c r="J240" s="312"/>
      <c r="K240" s="311"/>
      <c r="L240" s="311"/>
      <c r="M240" s="312"/>
      <c r="N240" s="312">
        <f>_xlfn.XLOOKUP(CONCATENATE(tblPiNAnalysis[[#This Row],[Admin 2 P-Code]],tblPiNAnalysis[[#This Row],[Population Group]]),'Overall severity &amp; PIN Analysis'!A:A,'Overall severity &amp; PIN Analysis'!P:P,0,0)</f>
        <v>18858</v>
      </c>
      <c r="O240" s="311"/>
      <c r="P240" s="312"/>
      <c r="Q240" s="312"/>
      <c r="R240" s="312"/>
      <c r="S240" s="312"/>
      <c r="T240" s="313" t="str">
        <f>IF(tblPiNAnalysis[[#This Row],[Site Management ]]="", "", tblPiNAnalysis[[#This Row],[Site Management ]]/tblPiNAnalysis[[#This Row],[Total Population]])</f>
        <v/>
      </c>
      <c r="U240" s="314" t="str">
        <f>IF(tblPiNAnalysis[[#This Row],[Education]]="", "", tblPiNAnalysis[[#This Row],[Education]]/tblPiNAnalysis[[#This Row],[Total Population]])</f>
        <v/>
      </c>
      <c r="V240" s="314" t="str">
        <f>IF(tblPiNAnalysis[[#This Row],[Food Security and Livlihoods]]="", "", tblPiNAnalysis[[#This Row],[Food Security and Livlihoods]]/tblPiNAnalysis[[#This Row],[Total Population]])</f>
        <v/>
      </c>
      <c r="W240" s="315" t="str">
        <f>IF(tblPiNAnalysis[[#This Row],[Health ]]="", "", tblPiNAnalysis[[#This Row],[Health ]]/tblPiNAnalysis[[#This Row],[Total Population]])</f>
        <v/>
      </c>
      <c r="X240" s="314" t="str">
        <f>IF(tblPiNAnalysis[[#This Row],[Nutrition]]="", "", tblPiNAnalysis[[#This Row],[Nutrition]]/tblPiNAnalysis[[#This Row],[Total Population]])</f>
        <v/>
      </c>
      <c r="Y240" s="314" t="str">
        <f>IF(tblPiNAnalysis[[#This Row],[Protection]]="", "", tblPiNAnalysis[[#This Row],[Protection]]/tblPiNAnalysis[[#This Row],[Total Population]])</f>
        <v/>
      </c>
      <c r="Z240" s="316">
        <f>IF(tblPiNAnalysis[[#This Row],[Shelter NFI ]]="", "", tblPiNAnalysis[[#This Row],[Shelter NFI ]]/tblPiNAnalysis[[#This Row],[Total Population]])</f>
        <v>0.13659872223912381</v>
      </c>
      <c r="AA240" s="317" t="str">
        <f>IF(tblPiNAnalysis[[#This Row],[WASH]]="", "", tblPiNAnalysis[[#This Row],[WASH]]/tblPiNAnalysis[[#This Row],[Total Population]])</f>
        <v/>
      </c>
      <c r="AB240" s="318" t="str">
        <f>IFERROR(IF(tblPiNAnalysis[[#This Row],[CP]]="", "", MROUND(tblPiNAnalysis[[#This Row],[CP]]/tblPiNAnalysis[[#This Row],[Total Population]], 0.05)), "")</f>
        <v/>
      </c>
      <c r="AC240" s="314" t="str">
        <f>IFERROR(IF(tblPiNAnalysis[[#This Row],[GBV]]="", "", MROUND(tblPiNAnalysis[[#This Row],[GBV]]/tblPiNAnalysis[[#This Row],[Total Population]], 0.05)), "")</f>
        <v/>
      </c>
      <c r="AD240" s="314" t="str">
        <f>IFERROR(IF(tblPiNAnalysis[[#This Row],[Mine Action]]="", "", MROUND(tblPiNAnalysis[[#This Row],[Mine Action]]/tblPiNAnalysis[[#This Row],[Total Population]], 0.05)), "")</f>
        <v/>
      </c>
      <c r="AE240" s="314" t="str">
        <f>IFERROR(IF(tblPiNAnalysis[[#This Row],[General Protection]]="", "", MROUND(tblPiNAnalysis[[#This Row],[General Protection]]/tblPiNAnalysis[[#This Row],[Total Population]], 0.05)), "")</f>
        <v/>
      </c>
      <c r="AF240" s="319">
        <f>IFERROR(LARGE(tblPiNAnalysis[[#This Row],[Site Management ]:[General Protection]], 1), "")</f>
        <v>18858</v>
      </c>
      <c r="AG240" s="320">
        <f>IF(tblPiNAnalysis[[#This Row],[Highest PiN]]="", "",tblPiNAnalysis[[#This Row],[Highest PiN]]/ tblPiNAnalysis[[#This Row],[Total Population]])</f>
        <v>0.13659872223912381</v>
      </c>
      <c r="AH240" s="320" t="str">
        <f>IFERROR(IF(tblPiNAnalysis[[#This Row],[Highest PiN]]="", "", IF(tblPiNAnalysis[[#This Row],[Highest sector(s'') PiN %]]&gt;=flag_pin_perc, "Flagged", "")), "")</f>
        <v/>
      </c>
      <c r="AI240" s="321"/>
      <c r="AJ240" s="322"/>
      <c r="AK240" s="323">
        <f>COUNTIFS(tblPiNAnalysis[[#This Row],[Highest PiN greater than 90% of total affected population]:[Manual Flag]],"Flagged")</f>
        <v>0</v>
      </c>
      <c r="AL240" s="324" t="str">
        <f>IF(tblPiNAnalysis[[#This Row],['# Flags]]&gt;0, "Flagged", "")</f>
        <v/>
      </c>
    </row>
    <row r="241" spans="1:38" ht="23.1" hidden="1" customHeight="1" x14ac:dyDescent="0.2">
      <c r="A241" s="309" t="str">
        <f>_xlfn.CONCAT(IF(tblPiNAnalysis[[#This Row],[Population Group]]="", "",tblPiNAnalysis[[#This Row],[Population Group]] ), _xlfn.IFS(tblPiNAnalysis[[#This Row],[Admin 2 P-Code]]&lt;&gt;"", tblPiNAnalysis[[#This Row],[Admin 2 P-Code]], tblPiNAnalysis[[#This Row],[Admin 1 P-Code]]&lt;&gt;"", tblPiNAnalysis[[#This Row],[Admin 1 P-Code]]))</f>
        <v>Host CommunitySD07097</v>
      </c>
      <c r="B241" s="245" t="s">
        <v>188</v>
      </c>
      <c r="C241" s="246" t="s">
        <v>124</v>
      </c>
      <c r="D241" s="247" t="s">
        <v>352</v>
      </c>
      <c r="E241" s="246" t="s">
        <v>353</v>
      </c>
      <c r="F241" s="248">
        <v>477</v>
      </c>
      <c r="G241" s="248" t="s">
        <v>87</v>
      </c>
      <c r="H241" s="310"/>
      <c r="I241" s="311"/>
      <c r="J241" s="312"/>
      <c r="K241" s="311"/>
      <c r="L241" s="311"/>
      <c r="M241" s="312"/>
      <c r="N241" s="312">
        <f>_xlfn.XLOOKUP(CONCATENATE(tblPiNAnalysis[[#This Row],[Admin 2 P-Code]],tblPiNAnalysis[[#This Row],[Population Group]]),'Overall severity &amp; PIN Analysis'!A:A,'Overall severity &amp; PIN Analysis'!P:P,0,0)</f>
        <v>369</v>
      </c>
      <c r="O241" s="311"/>
      <c r="P241" s="312"/>
      <c r="Q241" s="312"/>
      <c r="R241" s="312"/>
      <c r="S241" s="312"/>
      <c r="T241" s="313" t="str">
        <f>IF(tblPiNAnalysis[[#This Row],[Site Management ]]="", "", tblPiNAnalysis[[#This Row],[Site Management ]]/tblPiNAnalysis[[#This Row],[Total Population]])</f>
        <v/>
      </c>
      <c r="U241" s="314" t="str">
        <f>IF(tblPiNAnalysis[[#This Row],[Education]]="", "", tblPiNAnalysis[[#This Row],[Education]]/tblPiNAnalysis[[#This Row],[Total Population]])</f>
        <v/>
      </c>
      <c r="V241" s="314" t="str">
        <f>IF(tblPiNAnalysis[[#This Row],[Food Security and Livlihoods]]="", "", tblPiNAnalysis[[#This Row],[Food Security and Livlihoods]]/tblPiNAnalysis[[#This Row],[Total Population]])</f>
        <v/>
      </c>
      <c r="W241" s="315" t="str">
        <f>IF(tblPiNAnalysis[[#This Row],[Health ]]="", "", tblPiNAnalysis[[#This Row],[Health ]]/tblPiNAnalysis[[#This Row],[Total Population]])</f>
        <v/>
      </c>
      <c r="X241" s="314" t="str">
        <f>IF(tblPiNAnalysis[[#This Row],[Nutrition]]="", "", tblPiNAnalysis[[#This Row],[Nutrition]]/tblPiNAnalysis[[#This Row],[Total Population]])</f>
        <v/>
      </c>
      <c r="Y241" s="314" t="str">
        <f>IF(tblPiNAnalysis[[#This Row],[Protection]]="", "", tblPiNAnalysis[[#This Row],[Protection]]/tblPiNAnalysis[[#This Row],[Total Population]])</f>
        <v/>
      </c>
      <c r="Z241" s="316">
        <f>IF(tblPiNAnalysis[[#This Row],[Shelter NFI ]]="", "", tblPiNAnalysis[[#This Row],[Shelter NFI ]]/tblPiNAnalysis[[#This Row],[Total Population]])</f>
        <v>0.77358490566037741</v>
      </c>
      <c r="AA241" s="317" t="str">
        <f>IF(tblPiNAnalysis[[#This Row],[WASH]]="", "", tblPiNAnalysis[[#This Row],[WASH]]/tblPiNAnalysis[[#This Row],[Total Population]])</f>
        <v/>
      </c>
      <c r="AB241" s="318" t="str">
        <f>IFERROR(IF(tblPiNAnalysis[[#This Row],[CP]]="", "", MROUND(tblPiNAnalysis[[#This Row],[CP]]/tblPiNAnalysis[[#This Row],[Total Population]], 0.05)), "")</f>
        <v/>
      </c>
      <c r="AC241" s="314" t="str">
        <f>IFERROR(IF(tblPiNAnalysis[[#This Row],[GBV]]="", "", MROUND(tblPiNAnalysis[[#This Row],[GBV]]/tblPiNAnalysis[[#This Row],[Total Population]], 0.05)), "")</f>
        <v/>
      </c>
      <c r="AD241" s="314" t="str">
        <f>IFERROR(IF(tblPiNAnalysis[[#This Row],[Mine Action]]="", "", MROUND(tblPiNAnalysis[[#This Row],[Mine Action]]/tblPiNAnalysis[[#This Row],[Total Population]], 0.05)), "")</f>
        <v/>
      </c>
      <c r="AE241" s="314" t="str">
        <f>IFERROR(IF(tblPiNAnalysis[[#This Row],[General Protection]]="", "", MROUND(tblPiNAnalysis[[#This Row],[General Protection]]/tblPiNAnalysis[[#This Row],[Total Population]], 0.05)), "")</f>
        <v/>
      </c>
      <c r="AF241" s="319">
        <f>IFERROR(LARGE(tblPiNAnalysis[[#This Row],[Site Management ]:[General Protection]], 1), "")</f>
        <v>369</v>
      </c>
      <c r="AG241" s="320">
        <f>IF(tblPiNAnalysis[[#This Row],[Highest PiN]]="", "",tblPiNAnalysis[[#This Row],[Highest PiN]]/ tblPiNAnalysis[[#This Row],[Total Population]])</f>
        <v>0.77358490566037741</v>
      </c>
      <c r="AH241" s="320" t="str">
        <f>IFERROR(IF(tblPiNAnalysis[[#This Row],[Highest PiN]]="", "", IF(tblPiNAnalysis[[#This Row],[Highest sector(s'') PiN %]]&gt;=flag_pin_perc, "Flagged", "")), "")</f>
        <v/>
      </c>
      <c r="AI241" s="321"/>
      <c r="AJ241" s="322"/>
      <c r="AK241" s="323">
        <f>COUNTIFS(tblPiNAnalysis[[#This Row],[Highest PiN greater than 90% of total affected population]:[Manual Flag]],"Flagged")</f>
        <v>0</v>
      </c>
      <c r="AL241" s="324" t="str">
        <f>IF(tblPiNAnalysis[[#This Row],['# Flags]]&gt;0, "Flagged", "")</f>
        <v/>
      </c>
    </row>
    <row r="242" spans="1:38" ht="23.1" hidden="1" customHeight="1" x14ac:dyDescent="0.2">
      <c r="A242" s="309" t="str">
        <f>_xlfn.CONCAT(IF(tblPiNAnalysis[[#This Row],[Population Group]]="", "",tblPiNAnalysis[[#This Row],[Population Group]] ), _xlfn.IFS(tblPiNAnalysis[[#This Row],[Admin 2 P-Code]]&lt;&gt;"", tblPiNAnalysis[[#This Row],[Admin 2 P-Code]], tblPiNAnalysis[[#This Row],[Admin 1 P-Code]]&lt;&gt;"", tblPiNAnalysis[[#This Row],[Admin 1 P-Code]]))</f>
        <v>IDPsSD07097</v>
      </c>
      <c r="B242" s="245" t="s">
        <v>188</v>
      </c>
      <c r="C242" s="246" t="s">
        <v>124</v>
      </c>
      <c r="D242" s="247" t="s">
        <v>352</v>
      </c>
      <c r="E242" s="246" t="s">
        <v>353</v>
      </c>
      <c r="F242" s="248">
        <v>39030</v>
      </c>
      <c r="G242" s="248" t="s">
        <v>88</v>
      </c>
      <c r="H242" s="310"/>
      <c r="I242" s="311"/>
      <c r="J242" s="312"/>
      <c r="K242" s="311"/>
      <c r="L242" s="311"/>
      <c r="M242" s="312"/>
      <c r="N242" s="312">
        <f>_xlfn.XLOOKUP(CONCATENATE(tblPiNAnalysis[[#This Row],[Admin 2 P-Code]],tblPiNAnalysis[[#This Row],[Population Group]]),'Overall severity &amp; PIN Analysis'!A:A,'Overall severity &amp; PIN Analysis'!P:P,0,0)</f>
        <v>30198</v>
      </c>
      <c r="O242" s="311"/>
      <c r="P242" s="312"/>
      <c r="Q242" s="312"/>
      <c r="R242" s="312"/>
      <c r="S242" s="312"/>
      <c r="T242" s="313" t="str">
        <f>IF(tblPiNAnalysis[[#This Row],[Site Management ]]="", "", tblPiNAnalysis[[#This Row],[Site Management ]]/tblPiNAnalysis[[#This Row],[Total Population]])</f>
        <v/>
      </c>
      <c r="U242" s="314" t="str">
        <f>IF(tblPiNAnalysis[[#This Row],[Education]]="", "", tblPiNAnalysis[[#This Row],[Education]]/tblPiNAnalysis[[#This Row],[Total Population]])</f>
        <v/>
      </c>
      <c r="V242" s="314" t="str">
        <f>IF(tblPiNAnalysis[[#This Row],[Food Security and Livlihoods]]="", "", tblPiNAnalysis[[#This Row],[Food Security and Livlihoods]]/tblPiNAnalysis[[#This Row],[Total Population]])</f>
        <v/>
      </c>
      <c r="W242" s="315" t="str">
        <f>IF(tblPiNAnalysis[[#This Row],[Health ]]="", "", tblPiNAnalysis[[#This Row],[Health ]]/tblPiNAnalysis[[#This Row],[Total Population]])</f>
        <v/>
      </c>
      <c r="X242" s="314" t="str">
        <f>IF(tblPiNAnalysis[[#This Row],[Nutrition]]="", "", tblPiNAnalysis[[#This Row],[Nutrition]]/tblPiNAnalysis[[#This Row],[Total Population]])</f>
        <v/>
      </c>
      <c r="Y242" s="314" t="str">
        <f>IF(tblPiNAnalysis[[#This Row],[Protection]]="", "", tblPiNAnalysis[[#This Row],[Protection]]/tblPiNAnalysis[[#This Row],[Total Population]])</f>
        <v/>
      </c>
      <c r="Z242" s="316">
        <f>IF(tblPiNAnalysis[[#This Row],[Shelter NFI ]]="", "", tblPiNAnalysis[[#This Row],[Shelter NFI ]]/tblPiNAnalysis[[#This Row],[Total Population]])</f>
        <v>0.77371252882398156</v>
      </c>
      <c r="AA242" s="317" t="str">
        <f>IF(tblPiNAnalysis[[#This Row],[WASH]]="", "", tblPiNAnalysis[[#This Row],[WASH]]/tblPiNAnalysis[[#This Row],[Total Population]])</f>
        <v/>
      </c>
      <c r="AB242" s="318" t="str">
        <f>IFERROR(IF(tblPiNAnalysis[[#This Row],[CP]]="", "", MROUND(tblPiNAnalysis[[#This Row],[CP]]/tblPiNAnalysis[[#This Row],[Total Population]], 0.05)), "")</f>
        <v/>
      </c>
      <c r="AC242" s="314" t="str">
        <f>IFERROR(IF(tblPiNAnalysis[[#This Row],[GBV]]="", "", MROUND(tblPiNAnalysis[[#This Row],[GBV]]/tblPiNAnalysis[[#This Row],[Total Population]], 0.05)), "")</f>
        <v/>
      </c>
      <c r="AD242" s="314" t="str">
        <f>IFERROR(IF(tblPiNAnalysis[[#This Row],[Mine Action]]="", "", MROUND(tblPiNAnalysis[[#This Row],[Mine Action]]/tblPiNAnalysis[[#This Row],[Total Population]], 0.05)), "")</f>
        <v/>
      </c>
      <c r="AE242" s="314" t="str">
        <f>IFERROR(IF(tblPiNAnalysis[[#This Row],[General Protection]]="", "", MROUND(tblPiNAnalysis[[#This Row],[General Protection]]/tblPiNAnalysis[[#This Row],[Total Population]], 0.05)), "")</f>
        <v/>
      </c>
      <c r="AF242" s="319">
        <f>IFERROR(LARGE(tblPiNAnalysis[[#This Row],[Site Management ]:[General Protection]], 1), "")</f>
        <v>30198</v>
      </c>
      <c r="AG242" s="320">
        <f>IF(tblPiNAnalysis[[#This Row],[Highest PiN]]="", "",tblPiNAnalysis[[#This Row],[Highest PiN]]/ tblPiNAnalysis[[#This Row],[Total Population]])</f>
        <v>0.77371252882398156</v>
      </c>
      <c r="AH242" s="320" t="str">
        <f>IFERROR(IF(tblPiNAnalysis[[#This Row],[Highest PiN]]="", "", IF(tblPiNAnalysis[[#This Row],[Highest sector(s'') PiN %]]&gt;=flag_pin_perc, "Flagged", "")), "")</f>
        <v/>
      </c>
      <c r="AI242" s="321"/>
      <c r="AJ242" s="322"/>
      <c r="AK242" s="323">
        <f>COUNTIFS(tblPiNAnalysis[[#This Row],[Highest PiN greater than 90% of total affected population]:[Manual Flag]],"Flagged")</f>
        <v>0</v>
      </c>
      <c r="AL242" s="324" t="str">
        <f>IF(tblPiNAnalysis[[#This Row],['# Flags]]&gt;0, "Flagged", "")</f>
        <v/>
      </c>
    </row>
    <row r="243" spans="1:38" ht="23.1" customHeight="1" x14ac:dyDescent="0.2">
      <c r="A243" s="309" t="str">
        <f>_xlfn.CONCAT(IF(tblPiNAnalysis[[#This Row],[Population Group]]="", "",tblPiNAnalysis[[#This Row],[Population Group]] ), _xlfn.IFS(tblPiNAnalysis[[#This Row],[Admin 2 P-Code]]&lt;&gt;"", tblPiNAnalysis[[#This Row],[Admin 2 P-Code]], tblPiNAnalysis[[#This Row],[Admin 1 P-Code]]&lt;&gt;"", tblPiNAnalysis[[#This Row],[Admin 1 P-Code]]))</f>
        <v>Non-hosting PopulationSD07097</v>
      </c>
      <c r="B243" s="245" t="s">
        <v>188</v>
      </c>
      <c r="C243" s="246" t="s">
        <v>124</v>
      </c>
      <c r="D243" s="247" t="s">
        <v>352</v>
      </c>
      <c r="E243" s="246" t="s">
        <v>353</v>
      </c>
      <c r="F243" s="248">
        <v>0</v>
      </c>
      <c r="G243" s="248" t="s">
        <v>568</v>
      </c>
      <c r="H243" s="310"/>
      <c r="I243" s="311"/>
      <c r="J243" s="312"/>
      <c r="K243" s="311"/>
      <c r="L243" s="311"/>
      <c r="M243" s="312"/>
      <c r="N243" s="312">
        <f>_xlfn.XLOOKUP(CONCATENATE(tblPiNAnalysis[[#This Row],[Admin 2 P-Code]],tblPiNAnalysis[[#This Row],[Population Group]]),'Overall severity &amp; PIN Analysis'!A:A,'Overall severity &amp; PIN Analysis'!P:P,0,0)</f>
        <v>0</v>
      </c>
      <c r="O243" s="311"/>
      <c r="P243" s="312"/>
      <c r="Q243" s="312"/>
      <c r="R243" s="312"/>
      <c r="S243" s="312"/>
      <c r="T243" s="313" t="str">
        <f>IF(tblPiNAnalysis[[#This Row],[Site Management ]]="", "", tblPiNAnalysis[[#This Row],[Site Management ]]/tblPiNAnalysis[[#This Row],[Total Population]])</f>
        <v/>
      </c>
      <c r="U243" s="314" t="str">
        <f>IF(tblPiNAnalysis[[#This Row],[Education]]="", "", tblPiNAnalysis[[#This Row],[Education]]/tblPiNAnalysis[[#This Row],[Total Population]])</f>
        <v/>
      </c>
      <c r="V243" s="314" t="str">
        <f>IF(tblPiNAnalysis[[#This Row],[Food Security and Livlihoods]]="", "", tblPiNAnalysis[[#This Row],[Food Security and Livlihoods]]/tblPiNAnalysis[[#This Row],[Total Population]])</f>
        <v/>
      </c>
      <c r="W243" s="315" t="str">
        <f>IF(tblPiNAnalysis[[#This Row],[Health ]]="", "", tblPiNAnalysis[[#This Row],[Health ]]/tblPiNAnalysis[[#This Row],[Total Population]])</f>
        <v/>
      </c>
      <c r="X243" s="314" t="str">
        <f>IF(tblPiNAnalysis[[#This Row],[Nutrition]]="", "", tblPiNAnalysis[[#This Row],[Nutrition]]/tblPiNAnalysis[[#This Row],[Total Population]])</f>
        <v/>
      </c>
      <c r="Y243" s="314" t="str">
        <f>IF(tblPiNAnalysis[[#This Row],[Protection]]="", "", tblPiNAnalysis[[#This Row],[Protection]]/tblPiNAnalysis[[#This Row],[Total Population]])</f>
        <v/>
      </c>
      <c r="Z243" s="316" t="e">
        <f>IF(tblPiNAnalysis[[#This Row],[Shelter NFI ]]="", "", tblPiNAnalysis[[#This Row],[Shelter NFI ]]/tblPiNAnalysis[[#This Row],[Total Population]])</f>
        <v>#DIV/0!</v>
      </c>
      <c r="AA243" s="317" t="str">
        <f>IF(tblPiNAnalysis[[#This Row],[WASH]]="", "", tblPiNAnalysis[[#This Row],[WASH]]/tblPiNAnalysis[[#This Row],[Total Population]])</f>
        <v/>
      </c>
      <c r="AB243" s="318" t="str">
        <f>IFERROR(IF(tblPiNAnalysis[[#This Row],[CP]]="", "", MROUND(tblPiNAnalysis[[#This Row],[CP]]/tblPiNAnalysis[[#This Row],[Total Population]], 0.05)), "")</f>
        <v/>
      </c>
      <c r="AC243" s="314" t="str">
        <f>IFERROR(IF(tblPiNAnalysis[[#This Row],[GBV]]="", "", MROUND(tblPiNAnalysis[[#This Row],[GBV]]/tblPiNAnalysis[[#This Row],[Total Population]], 0.05)), "")</f>
        <v/>
      </c>
      <c r="AD243" s="314" t="str">
        <f>IFERROR(IF(tblPiNAnalysis[[#This Row],[Mine Action]]="", "", MROUND(tblPiNAnalysis[[#This Row],[Mine Action]]/tblPiNAnalysis[[#This Row],[Total Population]], 0.05)), "")</f>
        <v/>
      </c>
      <c r="AE243" s="314" t="str">
        <f>IFERROR(IF(tblPiNAnalysis[[#This Row],[General Protection]]="", "", MROUND(tblPiNAnalysis[[#This Row],[General Protection]]/tblPiNAnalysis[[#This Row],[Total Population]], 0.05)), "")</f>
        <v/>
      </c>
      <c r="AF243" s="319">
        <f>IFERROR(LARGE(tblPiNAnalysis[[#This Row],[Site Management ]:[General Protection]], 1), "")</f>
        <v>0</v>
      </c>
      <c r="AG243" s="320" t="e">
        <f>IF(tblPiNAnalysis[[#This Row],[Highest PiN]]="", "",tblPiNAnalysis[[#This Row],[Highest PiN]]/ tblPiNAnalysis[[#This Row],[Total Population]])</f>
        <v>#DIV/0!</v>
      </c>
      <c r="AH243" s="320" t="str">
        <f>IFERROR(IF(tblPiNAnalysis[[#This Row],[Highest PiN]]="", "", IF(tblPiNAnalysis[[#This Row],[Highest sector(s'') PiN %]]&gt;=flag_pin_perc, "Flagged", "")), "")</f>
        <v/>
      </c>
      <c r="AI243" s="321"/>
      <c r="AJ243" s="322"/>
      <c r="AK243" s="323">
        <f>COUNTIFS(tblPiNAnalysis[[#This Row],[Highest PiN greater than 90% of total affected population]:[Manual Flag]],"Flagged")</f>
        <v>0</v>
      </c>
      <c r="AL243" s="324" t="str">
        <f>IF(tblPiNAnalysis[[#This Row],['# Flags]]&gt;0, "Flagged", "")</f>
        <v/>
      </c>
    </row>
    <row r="244" spans="1:38" ht="23.1" hidden="1" customHeight="1" x14ac:dyDescent="0.2">
      <c r="A244" s="309" t="str">
        <f>_xlfn.CONCAT(IF(tblPiNAnalysis[[#This Row],[Population Group]]="", "",tblPiNAnalysis[[#This Row],[Population Group]] ), _xlfn.IFS(tblPiNAnalysis[[#This Row],[Admin 2 P-Code]]&lt;&gt;"", tblPiNAnalysis[[#This Row],[Admin 2 P-Code]], tblPiNAnalysis[[#This Row],[Admin 1 P-Code]]&lt;&gt;"", tblPiNAnalysis[[#This Row],[Admin 1 P-Code]]))</f>
        <v>Host CommunitySD07098</v>
      </c>
      <c r="B244" s="245" t="s">
        <v>188</v>
      </c>
      <c r="C244" s="246" t="s">
        <v>124</v>
      </c>
      <c r="D244" s="247" t="s">
        <v>354</v>
      </c>
      <c r="E244" s="246" t="s">
        <v>355</v>
      </c>
      <c r="F244" s="248">
        <v>0</v>
      </c>
      <c r="G244" s="248" t="s">
        <v>87</v>
      </c>
      <c r="H244" s="310"/>
      <c r="I244" s="311"/>
      <c r="J244" s="312"/>
      <c r="K244" s="311"/>
      <c r="L244" s="311"/>
      <c r="M244" s="312"/>
      <c r="N244" s="312">
        <f>_xlfn.XLOOKUP(CONCATENATE(tblPiNAnalysis[[#This Row],[Admin 2 P-Code]],tblPiNAnalysis[[#This Row],[Population Group]]),'Overall severity &amp; PIN Analysis'!A:A,'Overall severity &amp; PIN Analysis'!P:P,0,0)</f>
        <v>0</v>
      </c>
      <c r="O244" s="311"/>
      <c r="P244" s="312"/>
      <c r="Q244" s="312"/>
      <c r="R244" s="312"/>
      <c r="S244" s="312"/>
      <c r="T244" s="313" t="str">
        <f>IF(tblPiNAnalysis[[#This Row],[Site Management ]]="", "", tblPiNAnalysis[[#This Row],[Site Management ]]/tblPiNAnalysis[[#This Row],[Total Population]])</f>
        <v/>
      </c>
      <c r="U244" s="314" t="str">
        <f>IF(tblPiNAnalysis[[#This Row],[Education]]="", "", tblPiNAnalysis[[#This Row],[Education]]/tblPiNAnalysis[[#This Row],[Total Population]])</f>
        <v/>
      </c>
      <c r="V244" s="314" t="str">
        <f>IF(tblPiNAnalysis[[#This Row],[Food Security and Livlihoods]]="", "", tblPiNAnalysis[[#This Row],[Food Security and Livlihoods]]/tblPiNAnalysis[[#This Row],[Total Population]])</f>
        <v/>
      </c>
      <c r="W244" s="315" t="str">
        <f>IF(tblPiNAnalysis[[#This Row],[Health ]]="", "", tblPiNAnalysis[[#This Row],[Health ]]/tblPiNAnalysis[[#This Row],[Total Population]])</f>
        <v/>
      </c>
      <c r="X244" s="314" t="str">
        <f>IF(tblPiNAnalysis[[#This Row],[Nutrition]]="", "", tblPiNAnalysis[[#This Row],[Nutrition]]/tblPiNAnalysis[[#This Row],[Total Population]])</f>
        <v/>
      </c>
      <c r="Y244" s="314" t="str">
        <f>IF(tblPiNAnalysis[[#This Row],[Protection]]="", "", tblPiNAnalysis[[#This Row],[Protection]]/tblPiNAnalysis[[#This Row],[Total Population]])</f>
        <v/>
      </c>
      <c r="Z244" s="316" t="e">
        <f>IF(tblPiNAnalysis[[#This Row],[Shelter NFI ]]="", "", tblPiNAnalysis[[#This Row],[Shelter NFI ]]/tblPiNAnalysis[[#This Row],[Total Population]])</f>
        <v>#DIV/0!</v>
      </c>
      <c r="AA244" s="317" t="str">
        <f>IF(tblPiNAnalysis[[#This Row],[WASH]]="", "", tblPiNAnalysis[[#This Row],[WASH]]/tblPiNAnalysis[[#This Row],[Total Population]])</f>
        <v/>
      </c>
      <c r="AB244" s="318" t="str">
        <f>IFERROR(IF(tblPiNAnalysis[[#This Row],[CP]]="", "", MROUND(tblPiNAnalysis[[#This Row],[CP]]/tblPiNAnalysis[[#This Row],[Total Population]], 0.05)), "")</f>
        <v/>
      </c>
      <c r="AC244" s="314" t="str">
        <f>IFERROR(IF(tblPiNAnalysis[[#This Row],[GBV]]="", "", MROUND(tblPiNAnalysis[[#This Row],[GBV]]/tblPiNAnalysis[[#This Row],[Total Population]], 0.05)), "")</f>
        <v/>
      </c>
      <c r="AD244" s="314" t="str">
        <f>IFERROR(IF(tblPiNAnalysis[[#This Row],[Mine Action]]="", "", MROUND(tblPiNAnalysis[[#This Row],[Mine Action]]/tblPiNAnalysis[[#This Row],[Total Population]], 0.05)), "")</f>
        <v/>
      </c>
      <c r="AE244" s="314" t="str">
        <f>IFERROR(IF(tblPiNAnalysis[[#This Row],[General Protection]]="", "", MROUND(tblPiNAnalysis[[#This Row],[General Protection]]/tblPiNAnalysis[[#This Row],[Total Population]], 0.05)), "")</f>
        <v/>
      </c>
      <c r="AF244" s="319">
        <f>IFERROR(LARGE(tblPiNAnalysis[[#This Row],[Site Management ]:[General Protection]], 1), "")</f>
        <v>0</v>
      </c>
      <c r="AG244" s="320" t="e">
        <f>IF(tblPiNAnalysis[[#This Row],[Highest PiN]]="", "",tblPiNAnalysis[[#This Row],[Highest PiN]]/ tblPiNAnalysis[[#This Row],[Total Population]])</f>
        <v>#DIV/0!</v>
      </c>
      <c r="AH244" s="320" t="str">
        <f>IFERROR(IF(tblPiNAnalysis[[#This Row],[Highest PiN]]="", "", IF(tblPiNAnalysis[[#This Row],[Highest sector(s'') PiN %]]&gt;=flag_pin_perc, "Flagged", "")), "")</f>
        <v/>
      </c>
      <c r="AI244" s="321"/>
      <c r="AJ244" s="322"/>
      <c r="AK244" s="323">
        <f>COUNTIFS(tblPiNAnalysis[[#This Row],[Highest PiN greater than 90% of total affected population]:[Manual Flag]],"Flagged")</f>
        <v>0</v>
      </c>
      <c r="AL244" s="324" t="str">
        <f>IF(tblPiNAnalysis[[#This Row],['# Flags]]&gt;0, "Flagged", "")</f>
        <v/>
      </c>
    </row>
    <row r="245" spans="1:38" ht="23.1" hidden="1" customHeight="1" x14ac:dyDescent="0.2">
      <c r="A245" s="309" t="str">
        <f>_xlfn.CONCAT(IF(tblPiNAnalysis[[#This Row],[Population Group]]="", "",tblPiNAnalysis[[#This Row],[Population Group]] ), _xlfn.IFS(tblPiNAnalysis[[#This Row],[Admin 2 P-Code]]&lt;&gt;"", tblPiNAnalysis[[#This Row],[Admin 2 P-Code]], tblPiNAnalysis[[#This Row],[Admin 1 P-Code]]&lt;&gt;"", tblPiNAnalysis[[#This Row],[Admin 1 P-Code]]))</f>
        <v>IDPsSD07098</v>
      </c>
      <c r="B245" s="245" t="s">
        <v>188</v>
      </c>
      <c r="C245" s="246" t="s">
        <v>124</v>
      </c>
      <c r="D245" s="247" t="s">
        <v>354</v>
      </c>
      <c r="E245" s="246" t="s">
        <v>355</v>
      </c>
      <c r="F245" s="248">
        <v>84600</v>
      </c>
      <c r="G245" s="248" t="s">
        <v>88</v>
      </c>
      <c r="H245" s="310"/>
      <c r="I245" s="311"/>
      <c r="J245" s="312"/>
      <c r="K245" s="311"/>
      <c r="L245" s="311"/>
      <c r="M245" s="312"/>
      <c r="N245" s="312">
        <f>_xlfn.XLOOKUP(CONCATENATE(tblPiNAnalysis[[#This Row],[Admin 2 P-Code]],tblPiNAnalysis[[#This Row],[Population Group]]),'Overall severity &amp; PIN Analysis'!A:A,'Overall severity &amp; PIN Analysis'!P:P,0,0)</f>
        <v>45083</v>
      </c>
      <c r="O245" s="311"/>
      <c r="P245" s="312"/>
      <c r="Q245" s="312"/>
      <c r="R245" s="312"/>
      <c r="S245" s="312"/>
      <c r="T245" s="313" t="str">
        <f>IF(tblPiNAnalysis[[#This Row],[Site Management ]]="", "", tblPiNAnalysis[[#This Row],[Site Management ]]/tblPiNAnalysis[[#This Row],[Total Population]])</f>
        <v/>
      </c>
      <c r="U245" s="314" t="str">
        <f>IF(tblPiNAnalysis[[#This Row],[Education]]="", "", tblPiNAnalysis[[#This Row],[Education]]/tblPiNAnalysis[[#This Row],[Total Population]])</f>
        <v/>
      </c>
      <c r="V245" s="314" t="str">
        <f>IF(tblPiNAnalysis[[#This Row],[Food Security and Livlihoods]]="", "", tblPiNAnalysis[[#This Row],[Food Security and Livlihoods]]/tblPiNAnalysis[[#This Row],[Total Population]])</f>
        <v/>
      </c>
      <c r="W245" s="315" t="str">
        <f>IF(tblPiNAnalysis[[#This Row],[Health ]]="", "", tblPiNAnalysis[[#This Row],[Health ]]/tblPiNAnalysis[[#This Row],[Total Population]])</f>
        <v/>
      </c>
      <c r="X245" s="314" t="str">
        <f>IF(tblPiNAnalysis[[#This Row],[Nutrition]]="", "", tblPiNAnalysis[[#This Row],[Nutrition]]/tblPiNAnalysis[[#This Row],[Total Population]])</f>
        <v/>
      </c>
      <c r="Y245" s="314" t="str">
        <f>IF(tblPiNAnalysis[[#This Row],[Protection]]="", "", tblPiNAnalysis[[#This Row],[Protection]]/tblPiNAnalysis[[#This Row],[Total Population]])</f>
        <v/>
      </c>
      <c r="Z245" s="316">
        <f>IF(tblPiNAnalysis[[#This Row],[Shelter NFI ]]="", "", tblPiNAnalysis[[#This Row],[Shelter NFI ]]/tblPiNAnalysis[[#This Row],[Total Population]])</f>
        <v>0.53289598108747049</v>
      </c>
      <c r="AA245" s="317" t="str">
        <f>IF(tblPiNAnalysis[[#This Row],[WASH]]="", "", tblPiNAnalysis[[#This Row],[WASH]]/tblPiNAnalysis[[#This Row],[Total Population]])</f>
        <v/>
      </c>
      <c r="AB245" s="318" t="str">
        <f>IFERROR(IF(tblPiNAnalysis[[#This Row],[CP]]="", "", MROUND(tblPiNAnalysis[[#This Row],[CP]]/tblPiNAnalysis[[#This Row],[Total Population]], 0.05)), "")</f>
        <v/>
      </c>
      <c r="AC245" s="314" t="str">
        <f>IFERROR(IF(tblPiNAnalysis[[#This Row],[GBV]]="", "", MROUND(tblPiNAnalysis[[#This Row],[GBV]]/tblPiNAnalysis[[#This Row],[Total Population]], 0.05)), "")</f>
        <v/>
      </c>
      <c r="AD245" s="314" t="str">
        <f>IFERROR(IF(tblPiNAnalysis[[#This Row],[Mine Action]]="", "", MROUND(tblPiNAnalysis[[#This Row],[Mine Action]]/tblPiNAnalysis[[#This Row],[Total Population]], 0.05)), "")</f>
        <v/>
      </c>
      <c r="AE245" s="314" t="str">
        <f>IFERROR(IF(tblPiNAnalysis[[#This Row],[General Protection]]="", "", MROUND(tblPiNAnalysis[[#This Row],[General Protection]]/tblPiNAnalysis[[#This Row],[Total Population]], 0.05)), "")</f>
        <v/>
      </c>
      <c r="AF245" s="319">
        <f>IFERROR(LARGE(tblPiNAnalysis[[#This Row],[Site Management ]:[General Protection]], 1), "")</f>
        <v>45083</v>
      </c>
      <c r="AG245" s="320">
        <f>IF(tblPiNAnalysis[[#This Row],[Highest PiN]]="", "",tblPiNAnalysis[[#This Row],[Highest PiN]]/ tblPiNAnalysis[[#This Row],[Total Population]])</f>
        <v>0.53289598108747049</v>
      </c>
      <c r="AH245" s="320" t="str">
        <f>IFERROR(IF(tblPiNAnalysis[[#This Row],[Highest PiN]]="", "", IF(tblPiNAnalysis[[#This Row],[Highest sector(s'') PiN %]]&gt;=flag_pin_perc, "Flagged", "")), "")</f>
        <v/>
      </c>
      <c r="AI245" s="321"/>
      <c r="AJ245" s="322"/>
      <c r="AK245" s="323">
        <f>COUNTIFS(tblPiNAnalysis[[#This Row],[Highest PiN greater than 90% of total affected population]:[Manual Flag]],"Flagged")</f>
        <v>0</v>
      </c>
      <c r="AL245" s="324" t="str">
        <f>IF(tblPiNAnalysis[[#This Row],['# Flags]]&gt;0, "Flagged", "")</f>
        <v/>
      </c>
    </row>
    <row r="246" spans="1:38" ht="23.1" customHeight="1" x14ac:dyDescent="0.2">
      <c r="A246" s="309" t="str">
        <f>_xlfn.CONCAT(IF(tblPiNAnalysis[[#This Row],[Population Group]]="", "",tblPiNAnalysis[[#This Row],[Population Group]] ), _xlfn.IFS(tblPiNAnalysis[[#This Row],[Admin 2 P-Code]]&lt;&gt;"", tblPiNAnalysis[[#This Row],[Admin 2 P-Code]], tblPiNAnalysis[[#This Row],[Admin 1 P-Code]]&lt;&gt;"", tblPiNAnalysis[[#This Row],[Admin 1 P-Code]]))</f>
        <v>Non-hosting PopulationSD07098</v>
      </c>
      <c r="B246" s="245" t="s">
        <v>188</v>
      </c>
      <c r="C246" s="246" t="s">
        <v>124</v>
      </c>
      <c r="D246" s="247" t="s">
        <v>354</v>
      </c>
      <c r="E246" s="246" t="s">
        <v>355</v>
      </c>
      <c r="F246" s="248">
        <v>240</v>
      </c>
      <c r="G246" s="248" t="s">
        <v>568</v>
      </c>
      <c r="H246" s="310"/>
      <c r="I246" s="311"/>
      <c r="J246" s="312"/>
      <c r="K246" s="311"/>
      <c r="L246" s="311"/>
      <c r="M246" s="312"/>
      <c r="N246" s="312">
        <f>_xlfn.XLOOKUP(CONCATENATE(tblPiNAnalysis[[#This Row],[Admin 2 P-Code]],tblPiNAnalysis[[#This Row],[Population Group]]),'Overall severity &amp; PIN Analysis'!A:A,'Overall severity &amp; PIN Analysis'!P:P,0,0)</f>
        <v>8</v>
      </c>
      <c r="O246" s="311"/>
      <c r="P246" s="312"/>
      <c r="Q246" s="312"/>
      <c r="R246" s="312"/>
      <c r="S246" s="312"/>
      <c r="T246" s="313" t="str">
        <f>IF(tblPiNAnalysis[[#This Row],[Site Management ]]="", "", tblPiNAnalysis[[#This Row],[Site Management ]]/tblPiNAnalysis[[#This Row],[Total Population]])</f>
        <v/>
      </c>
      <c r="U246" s="314" t="str">
        <f>IF(tblPiNAnalysis[[#This Row],[Education]]="", "", tblPiNAnalysis[[#This Row],[Education]]/tblPiNAnalysis[[#This Row],[Total Population]])</f>
        <v/>
      </c>
      <c r="V246" s="314" t="str">
        <f>IF(tblPiNAnalysis[[#This Row],[Food Security and Livlihoods]]="", "", tblPiNAnalysis[[#This Row],[Food Security and Livlihoods]]/tblPiNAnalysis[[#This Row],[Total Population]])</f>
        <v/>
      </c>
      <c r="W246" s="315" t="str">
        <f>IF(tblPiNAnalysis[[#This Row],[Health ]]="", "", tblPiNAnalysis[[#This Row],[Health ]]/tblPiNAnalysis[[#This Row],[Total Population]])</f>
        <v/>
      </c>
      <c r="X246" s="314" t="str">
        <f>IF(tblPiNAnalysis[[#This Row],[Nutrition]]="", "", tblPiNAnalysis[[#This Row],[Nutrition]]/tblPiNAnalysis[[#This Row],[Total Population]])</f>
        <v/>
      </c>
      <c r="Y246" s="314" t="str">
        <f>IF(tblPiNAnalysis[[#This Row],[Protection]]="", "", tblPiNAnalysis[[#This Row],[Protection]]/tblPiNAnalysis[[#This Row],[Total Population]])</f>
        <v/>
      </c>
      <c r="Z246" s="316">
        <f>IF(tblPiNAnalysis[[#This Row],[Shelter NFI ]]="", "", tblPiNAnalysis[[#This Row],[Shelter NFI ]]/tblPiNAnalysis[[#This Row],[Total Population]])</f>
        <v>3.3333333333333333E-2</v>
      </c>
      <c r="AA246" s="317" t="str">
        <f>IF(tblPiNAnalysis[[#This Row],[WASH]]="", "", tblPiNAnalysis[[#This Row],[WASH]]/tblPiNAnalysis[[#This Row],[Total Population]])</f>
        <v/>
      </c>
      <c r="AB246" s="318" t="str">
        <f>IFERROR(IF(tblPiNAnalysis[[#This Row],[CP]]="", "", MROUND(tblPiNAnalysis[[#This Row],[CP]]/tblPiNAnalysis[[#This Row],[Total Population]], 0.05)), "")</f>
        <v/>
      </c>
      <c r="AC246" s="314" t="str">
        <f>IFERROR(IF(tblPiNAnalysis[[#This Row],[GBV]]="", "", MROUND(tblPiNAnalysis[[#This Row],[GBV]]/tblPiNAnalysis[[#This Row],[Total Population]], 0.05)), "")</f>
        <v/>
      </c>
      <c r="AD246" s="314" t="str">
        <f>IFERROR(IF(tblPiNAnalysis[[#This Row],[Mine Action]]="", "", MROUND(tblPiNAnalysis[[#This Row],[Mine Action]]/tblPiNAnalysis[[#This Row],[Total Population]], 0.05)), "")</f>
        <v/>
      </c>
      <c r="AE246" s="314" t="str">
        <f>IFERROR(IF(tblPiNAnalysis[[#This Row],[General Protection]]="", "", MROUND(tblPiNAnalysis[[#This Row],[General Protection]]/tblPiNAnalysis[[#This Row],[Total Population]], 0.05)), "")</f>
        <v/>
      </c>
      <c r="AF246" s="319">
        <f>IFERROR(LARGE(tblPiNAnalysis[[#This Row],[Site Management ]:[General Protection]], 1), "")</f>
        <v>8</v>
      </c>
      <c r="AG246" s="320">
        <f>IF(tblPiNAnalysis[[#This Row],[Highest PiN]]="", "",tblPiNAnalysis[[#This Row],[Highest PiN]]/ tblPiNAnalysis[[#This Row],[Total Population]])</f>
        <v>3.3333333333333333E-2</v>
      </c>
      <c r="AH246" s="320" t="str">
        <f>IFERROR(IF(tblPiNAnalysis[[#This Row],[Highest PiN]]="", "", IF(tblPiNAnalysis[[#This Row],[Highest sector(s'') PiN %]]&gt;=flag_pin_perc, "Flagged", "")), "")</f>
        <v/>
      </c>
      <c r="AI246" s="321"/>
      <c r="AJ246" s="322"/>
      <c r="AK246" s="323">
        <f>COUNTIFS(tblPiNAnalysis[[#This Row],[Highest PiN greater than 90% of total affected population]:[Manual Flag]],"Flagged")</f>
        <v>0</v>
      </c>
      <c r="AL246" s="324" t="str">
        <f>IF(tblPiNAnalysis[[#This Row],['# Flags]]&gt;0, "Flagged", "")</f>
        <v/>
      </c>
    </row>
    <row r="247" spans="1:38" ht="23.1" hidden="1" customHeight="1" x14ac:dyDescent="0.2">
      <c r="A247" s="309" t="str">
        <f>_xlfn.CONCAT(IF(tblPiNAnalysis[[#This Row],[Population Group]]="", "",tblPiNAnalysis[[#This Row],[Population Group]] ), _xlfn.IFS(tblPiNAnalysis[[#This Row],[Admin 2 P-Code]]&lt;&gt;"", tblPiNAnalysis[[#This Row],[Admin 2 P-Code]], tblPiNAnalysis[[#This Row],[Admin 1 P-Code]]&lt;&gt;"", tblPiNAnalysis[[#This Row],[Admin 1 P-Code]]))</f>
        <v>Host CommunitySD07099</v>
      </c>
      <c r="B247" s="245" t="s">
        <v>188</v>
      </c>
      <c r="C247" s="246" t="s">
        <v>124</v>
      </c>
      <c r="D247" s="247" t="s">
        <v>356</v>
      </c>
      <c r="E247" s="246" t="s">
        <v>357</v>
      </c>
      <c r="F247" s="248">
        <v>0</v>
      </c>
      <c r="G247" s="248" t="s">
        <v>87</v>
      </c>
      <c r="H247" s="310"/>
      <c r="I247" s="311"/>
      <c r="J247" s="312"/>
      <c r="K247" s="311"/>
      <c r="L247" s="311"/>
      <c r="M247" s="312"/>
      <c r="N247" s="312">
        <f>_xlfn.XLOOKUP(CONCATENATE(tblPiNAnalysis[[#This Row],[Admin 2 P-Code]],tblPiNAnalysis[[#This Row],[Population Group]]),'Overall severity &amp; PIN Analysis'!A:A,'Overall severity &amp; PIN Analysis'!P:P,0,0)</f>
        <v>0</v>
      </c>
      <c r="O247" s="311"/>
      <c r="P247" s="312"/>
      <c r="Q247" s="312"/>
      <c r="R247" s="312"/>
      <c r="S247" s="312"/>
      <c r="T247" s="313" t="str">
        <f>IF(tblPiNAnalysis[[#This Row],[Site Management ]]="", "", tblPiNAnalysis[[#This Row],[Site Management ]]/tblPiNAnalysis[[#This Row],[Total Population]])</f>
        <v/>
      </c>
      <c r="U247" s="314" t="str">
        <f>IF(tblPiNAnalysis[[#This Row],[Education]]="", "", tblPiNAnalysis[[#This Row],[Education]]/tblPiNAnalysis[[#This Row],[Total Population]])</f>
        <v/>
      </c>
      <c r="V247" s="314" t="str">
        <f>IF(tblPiNAnalysis[[#This Row],[Food Security and Livlihoods]]="", "", tblPiNAnalysis[[#This Row],[Food Security and Livlihoods]]/tblPiNAnalysis[[#This Row],[Total Population]])</f>
        <v/>
      </c>
      <c r="W247" s="315" t="str">
        <f>IF(tblPiNAnalysis[[#This Row],[Health ]]="", "", tblPiNAnalysis[[#This Row],[Health ]]/tblPiNAnalysis[[#This Row],[Total Population]])</f>
        <v/>
      </c>
      <c r="X247" s="314" t="str">
        <f>IF(tblPiNAnalysis[[#This Row],[Nutrition]]="", "", tblPiNAnalysis[[#This Row],[Nutrition]]/tblPiNAnalysis[[#This Row],[Total Population]])</f>
        <v/>
      </c>
      <c r="Y247" s="314" t="str">
        <f>IF(tblPiNAnalysis[[#This Row],[Protection]]="", "", tblPiNAnalysis[[#This Row],[Protection]]/tblPiNAnalysis[[#This Row],[Total Population]])</f>
        <v/>
      </c>
      <c r="Z247" s="316" t="e">
        <f>IF(tblPiNAnalysis[[#This Row],[Shelter NFI ]]="", "", tblPiNAnalysis[[#This Row],[Shelter NFI ]]/tblPiNAnalysis[[#This Row],[Total Population]])</f>
        <v>#DIV/0!</v>
      </c>
      <c r="AA247" s="317" t="str">
        <f>IF(tblPiNAnalysis[[#This Row],[WASH]]="", "", tblPiNAnalysis[[#This Row],[WASH]]/tblPiNAnalysis[[#This Row],[Total Population]])</f>
        <v/>
      </c>
      <c r="AB247" s="318" t="str">
        <f>IFERROR(IF(tblPiNAnalysis[[#This Row],[CP]]="", "", MROUND(tblPiNAnalysis[[#This Row],[CP]]/tblPiNAnalysis[[#This Row],[Total Population]], 0.05)), "")</f>
        <v/>
      </c>
      <c r="AC247" s="314" t="str">
        <f>IFERROR(IF(tblPiNAnalysis[[#This Row],[GBV]]="", "", MROUND(tblPiNAnalysis[[#This Row],[GBV]]/tblPiNAnalysis[[#This Row],[Total Population]], 0.05)), "")</f>
        <v/>
      </c>
      <c r="AD247" s="314" t="str">
        <f>IFERROR(IF(tblPiNAnalysis[[#This Row],[Mine Action]]="", "", MROUND(tblPiNAnalysis[[#This Row],[Mine Action]]/tblPiNAnalysis[[#This Row],[Total Population]], 0.05)), "")</f>
        <v/>
      </c>
      <c r="AE247" s="314" t="str">
        <f>IFERROR(IF(tblPiNAnalysis[[#This Row],[General Protection]]="", "", MROUND(tblPiNAnalysis[[#This Row],[General Protection]]/tblPiNAnalysis[[#This Row],[Total Population]], 0.05)), "")</f>
        <v/>
      </c>
      <c r="AF247" s="319">
        <f>IFERROR(LARGE(tblPiNAnalysis[[#This Row],[Site Management ]:[General Protection]], 1), "")</f>
        <v>0</v>
      </c>
      <c r="AG247" s="320" t="e">
        <f>IF(tblPiNAnalysis[[#This Row],[Highest PiN]]="", "",tblPiNAnalysis[[#This Row],[Highest PiN]]/ tblPiNAnalysis[[#This Row],[Total Population]])</f>
        <v>#DIV/0!</v>
      </c>
      <c r="AH247" s="320" t="str">
        <f>IFERROR(IF(tblPiNAnalysis[[#This Row],[Highest PiN]]="", "", IF(tblPiNAnalysis[[#This Row],[Highest sector(s'') PiN %]]&gt;=flag_pin_perc, "Flagged", "")), "")</f>
        <v/>
      </c>
      <c r="AI247" s="321"/>
      <c r="AJ247" s="322"/>
      <c r="AK247" s="323">
        <f>COUNTIFS(tblPiNAnalysis[[#This Row],[Highest PiN greater than 90% of total affected population]:[Manual Flag]],"Flagged")</f>
        <v>0</v>
      </c>
      <c r="AL247" s="324" t="str">
        <f>IF(tblPiNAnalysis[[#This Row],['# Flags]]&gt;0, "Flagged", "")</f>
        <v/>
      </c>
    </row>
    <row r="248" spans="1:38" ht="23.1" hidden="1" customHeight="1" x14ac:dyDescent="0.2">
      <c r="A248" s="309" t="str">
        <f>_xlfn.CONCAT(IF(tblPiNAnalysis[[#This Row],[Population Group]]="", "",tblPiNAnalysis[[#This Row],[Population Group]] ), _xlfn.IFS(tblPiNAnalysis[[#This Row],[Admin 2 P-Code]]&lt;&gt;"", tblPiNAnalysis[[#This Row],[Admin 2 P-Code]], tblPiNAnalysis[[#This Row],[Admin 1 P-Code]]&lt;&gt;"", tblPiNAnalysis[[#This Row],[Admin 1 P-Code]]))</f>
        <v>IDPsSD07099</v>
      </c>
      <c r="B248" s="245" t="s">
        <v>188</v>
      </c>
      <c r="C248" s="246" t="s">
        <v>124</v>
      </c>
      <c r="D248" s="247" t="s">
        <v>356</v>
      </c>
      <c r="E248" s="246" t="s">
        <v>357</v>
      </c>
      <c r="F248" s="248">
        <v>0</v>
      </c>
      <c r="G248" s="248" t="s">
        <v>88</v>
      </c>
      <c r="H248" s="310"/>
      <c r="I248" s="311"/>
      <c r="J248" s="312"/>
      <c r="K248" s="311"/>
      <c r="L248" s="311"/>
      <c r="M248" s="312"/>
      <c r="N248" s="312">
        <f>_xlfn.XLOOKUP(CONCATENATE(tblPiNAnalysis[[#This Row],[Admin 2 P-Code]],tblPiNAnalysis[[#This Row],[Population Group]]),'Overall severity &amp; PIN Analysis'!A:A,'Overall severity &amp; PIN Analysis'!P:P,0,0)</f>
        <v>0</v>
      </c>
      <c r="O248" s="311"/>
      <c r="P248" s="312"/>
      <c r="Q248" s="312"/>
      <c r="R248" s="312"/>
      <c r="S248" s="312"/>
      <c r="T248" s="313" t="str">
        <f>IF(tblPiNAnalysis[[#This Row],[Site Management ]]="", "", tblPiNAnalysis[[#This Row],[Site Management ]]/tblPiNAnalysis[[#This Row],[Total Population]])</f>
        <v/>
      </c>
      <c r="U248" s="314" t="str">
        <f>IF(tblPiNAnalysis[[#This Row],[Education]]="", "", tblPiNAnalysis[[#This Row],[Education]]/tblPiNAnalysis[[#This Row],[Total Population]])</f>
        <v/>
      </c>
      <c r="V248" s="314" t="str">
        <f>IF(tblPiNAnalysis[[#This Row],[Food Security and Livlihoods]]="", "", tblPiNAnalysis[[#This Row],[Food Security and Livlihoods]]/tblPiNAnalysis[[#This Row],[Total Population]])</f>
        <v/>
      </c>
      <c r="W248" s="315" t="str">
        <f>IF(tblPiNAnalysis[[#This Row],[Health ]]="", "", tblPiNAnalysis[[#This Row],[Health ]]/tblPiNAnalysis[[#This Row],[Total Population]])</f>
        <v/>
      </c>
      <c r="X248" s="314" t="str">
        <f>IF(tblPiNAnalysis[[#This Row],[Nutrition]]="", "", tblPiNAnalysis[[#This Row],[Nutrition]]/tblPiNAnalysis[[#This Row],[Total Population]])</f>
        <v/>
      </c>
      <c r="Y248" s="314" t="str">
        <f>IF(tblPiNAnalysis[[#This Row],[Protection]]="", "", tblPiNAnalysis[[#This Row],[Protection]]/tblPiNAnalysis[[#This Row],[Total Population]])</f>
        <v/>
      </c>
      <c r="Z248" s="316" t="e">
        <f>IF(tblPiNAnalysis[[#This Row],[Shelter NFI ]]="", "", tblPiNAnalysis[[#This Row],[Shelter NFI ]]/tblPiNAnalysis[[#This Row],[Total Population]])</f>
        <v>#DIV/0!</v>
      </c>
      <c r="AA248" s="317" t="str">
        <f>IF(tblPiNAnalysis[[#This Row],[WASH]]="", "", tblPiNAnalysis[[#This Row],[WASH]]/tblPiNAnalysis[[#This Row],[Total Population]])</f>
        <v/>
      </c>
      <c r="AB248" s="318" t="str">
        <f>IFERROR(IF(tblPiNAnalysis[[#This Row],[CP]]="", "", MROUND(tblPiNAnalysis[[#This Row],[CP]]/tblPiNAnalysis[[#This Row],[Total Population]], 0.05)), "")</f>
        <v/>
      </c>
      <c r="AC248" s="314" t="str">
        <f>IFERROR(IF(tblPiNAnalysis[[#This Row],[GBV]]="", "", MROUND(tblPiNAnalysis[[#This Row],[GBV]]/tblPiNAnalysis[[#This Row],[Total Population]], 0.05)), "")</f>
        <v/>
      </c>
      <c r="AD248" s="314" t="str">
        <f>IFERROR(IF(tblPiNAnalysis[[#This Row],[Mine Action]]="", "", MROUND(tblPiNAnalysis[[#This Row],[Mine Action]]/tblPiNAnalysis[[#This Row],[Total Population]], 0.05)), "")</f>
        <v/>
      </c>
      <c r="AE248" s="314" t="str">
        <f>IFERROR(IF(tblPiNAnalysis[[#This Row],[General Protection]]="", "", MROUND(tblPiNAnalysis[[#This Row],[General Protection]]/tblPiNAnalysis[[#This Row],[Total Population]], 0.05)), "")</f>
        <v/>
      </c>
      <c r="AF248" s="319">
        <f>IFERROR(LARGE(tblPiNAnalysis[[#This Row],[Site Management ]:[General Protection]], 1), "")</f>
        <v>0</v>
      </c>
      <c r="AG248" s="320" t="e">
        <f>IF(tblPiNAnalysis[[#This Row],[Highest PiN]]="", "",tblPiNAnalysis[[#This Row],[Highest PiN]]/ tblPiNAnalysis[[#This Row],[Total Population]])</f>
        <v>#DIV/0!</v>
      </c>
      <c r="AH248" s="320" t="str">
        <f>IFERROR(IF(tblPiNAnalysis[[#This Row],[Highest PiN]]="", "", IF(tblPiNAnalysis[[#This Row],[Highest sector(s'') PiN %]]&gt;=flag_pin_perc, "Flagged", "")), "")</f>
        <v/>
      </c>
      <c r="AI248" s="321"/>
      <c r="AJ248" s="322"/>
      <c r="AK248" s="323">
        <f>COUNTIFS(tblPiNAnalysis[[#This Row],[Highest PiN greater than 90% of total affected population]:[Manual Flag]],"Flagged")</f>
        <v>0</v>
      </c>
      <c r="AL248" s="324" t="str">
        <f>IF(tblPiNAnalysis[[#This Row],['# Flags]]&gt;0, "Flagged", "")</f>
        <v/>
      </c>
    </row>
    <row r="249" spans="1:38" ht="23.1" customHeight="1" x14ac:dyDescent="0.2">
      <c r="A249" s="309" t="str">
        <f>_xlfn.CONCAT(IF(tblPiNAnalysis[[#This Row],[Population Group]]="", "",tblPiNAnalysis[[#This Row],[Population Group]] ), _xlfn.IFS(tblPiNAnalysis[[#This Row],[Admin 2 P-Code]]&lt;&gt;"", tblPiNAnalysis[[#This Row],[Admin 2 P-Code]], tblPiNAnalysis[[#This Row],[Admin 1 P-Code]]&lt;&gt;"", tblPiNAnalysis[[#This Row],[Admin 1 P-Code]]))</f>
        <v>Non-hosting PopulationSD07099</v>
      </c>
      <c r="B249" s="245" t="s">
        <v>188</v>
      </c>
      <c r="C249" s="246" t="s">
        <v>124</v>
      </c>
      <c r="D249" s="247" t="s">
        <v>356</v>
      </c>
      <c r="E249" s="246" t="s">
        <v>357</v>
      </c>
      <c r="F249" s="248">
        <v>97552</v>
      </c>
      <c r="G249" s="248" t="s">
        <v>568</v>
      </c>
      <c r="H249" s="310"/>
      <c r="I249" s="311"/>
      <c r="J249" s="312"/>
      <c r="K249" s="311"/>
      <c r="L249" s="311"/>
      <c r="M249" s="312"/>
      <c r="N249" s="312">
        <f>_xlfn.XLOOKUP(CONCATENATE(tblPiNAnalysis[[#This Row],[Admin 2 P-Code]],tblPiNAnalysis[[#This Row],[Population Group]]),'Overall severity &amp; PIN Analysis'!A:A,'Overall severity &amp; PIN Analysis'!P:P,0,0)</f>
        <v>17767</v>
      </c>
      <c r="O249" s="311"/>
      <c r="P249" s="312"/>
      <c r="Q249" s="312"/>
      <c r="R249" s="312"/>
      <c r="S249" s="312"/>
      <c r="T249" s="313" t="str">
        <f>IF(tblPiNAnalysis[[#This Row],[Site Management ]]="", "", tblPiNAnalysis[[#This Row],[Site Management ]]/tblPiNAnalysis[[#This Row],[Total Population]])</f>
        <v/>
      </c>
      <c r="U249" s="314" t="str">
        <f>IF(tblPiNAnalysis[[#This Row],[Education]]="", "", tblPiNAnalysis[[#This Row],[Education]]/tblPiNAnalysis[[#This Row],[Total Population]])</f>
        <v/>
      </c>
      <c r="V249" s="314" t="str">
        <f>IF(tblPiNAnalysis[[#This Row],[Food Security and Livlihoods]]="", "", tblPiNAnalysis[[#This Row],[Food Security and Livlihoods]]/tblPiNAnalysis[[#This Row],[Total Population]])</f>
        <v/>
      </c>
      <c r="W249" s="315" t="str">
        <f>IF(tblPiNAnalysis[[#This Row],[Health ]]="", "", tblPiNAnalysis[[#This Row],[Health ]]/tblPiNAnalysis[[#This Row],[Total Population]])</f>
        <v/>
      </c>
      <c r="X249" s="314" t="str">
        <f>IF(tblPiNAnalysis[[#This Row],[Nutrition]]="", "", tblPiNAnalysis[[#This Row],[Nutrition]]/tblPiNAnalysis[[#This Row],[Total Population]])</f>
        <v/>
      </c>
      <c r="Y249" s="314" t="str">
        <f>IF(tblPiNAnalysis[[#This Row],[Protection]]="", "", tblPiNAnalysis[[#This Row],[Protection]]/tblPiNAnalysis[[#This Row],[Total Population]])</f>
        <v/>
      </c>
      <c r="Z249" s="316">
        <f>IF(tblPiNAnalysis[[#This Row],[Shelter NFI ]]="", "", tblPiNAnalysis[[#This Row],[Shelter NFI ]]/tblPiNAnalysis[[#This Row],[Total Population]])</f>
        <v>0.18212850582253567</v>
      </c>
      <c r="AA249" s="317" t="str">
        <f>IF(tblPiNAnalysis[[#This Row],[WASH]]="", "", tblPiNAnalysis[[#This Row],[WASH]]/tblPiNAnalysis[[#This Row],[Total Population]])</f>
        <v/>
      </c>
      <c r="AB249" s="318" t="str">
        <f>IFERROR(IF(tblPiNAnalysis[[#This Row],[CP]]="", "", MROUND(tblPiNAnalysis[[#This Row],[CP]]/tblPiNAnalysis[[#This Row],[Total Population]], 0.05)), "")</f>
        <v/>
      </c>
      <c r="AC249" s="314" t="str">
        <f>IFERROR(IF(tblPiNAnalysis[[#This Row],[GBV]]="", "", MROUND(tblPiNAnalysis[[#This Row],[GBV]]/tblPiNAnalysis[[#This Row],[Total Population]], 0.05)), "")</f>
        <v/>
      </c>
      <c r="AD249" s="314" t="str">
        <f>IFERROR(IF(tblPiNAnalysis[[#This Row],[Mine Action]]="", "", MROUND(tblPiNAnalysis[[#This Row],[Mine Action]]/tblPiNAnalysis[[#This Row],[Total Population]], 0.05)), "")</f>
        <v/>
      </c>
      <c r="AE249" s="314" t="str">
        <f>IFERROR(IF(tblPiNAnalysis[[#This Row],[General Protection]]="", "", MROUND(tblPiNAnalysis[[#This Row],[General Protection]]/tblPiNAnalysis[[#This Row],[Total Population]], 0.05)), "")</f>
        <v/>
      </c>
      <c r="AF249" s="319">
        <f>IFERROR(LARGE(tblPiNAnalysis[[#This Row],[Site Management ]:[General Protection]], 1), "")</f>
        <v>17767</v>
      </c>
      <c r="AG249" s="320">
        <f>IF(tblPiNAnalysis[[#This Row],[Highest PiN]]="", "",tblPiNAnalysis[[#This Row],[Highest PiN]]/ tblPiNAnalysis[[#This Row],[Total Population]])</f>
        <v>0.18212850582253567</v>
      </c>
      <c r="AH249" s="320" t="str">
        <f>IFERROR(IF(tblPiNAnalysis[[#This Row],[Highest PiN]]="", "", IF(tblPiNAnalysis[[#This Row],[Highest sector(s'') PiN %]]&gt;=flag_pin_perc, "Flagged", "")), "")</f>
        <v/>
      </c>
      <c r="AI249" s="321"/>
      <c r="AJ249" s="322"/>
      <c r="AK249" s="323">
        <f>COUNTIFS(tblPiNAnalysis[[#This Row],[Highest PiN greater than 90% of total affected population]:[Manual Flag]],"Flagged")</f>
        <v>0</v>
      </c>
      <c r="AL249" s="324" t="str">
        <f>IF(tblPiNAnalysis[[#This Row],['# Flags]]&gt;0, "Flagged", "")</f>
        <v/>
      </c>
    </row>
    <row r="250" spans="1:38" ht="23.1" hidden="1" customHeight="1" x14ac:dyDescent="0.2">
      <c r="A250" s="309" t="str">
        <f>_xlfn.CONCAT(IF(tblPiNAnalysis[[#This Row],[Population Group]]="", "",tblPiNAnalysis[[#This Row],[Population Group]] ), _xlfn.IFS(tblPiNAnalysis[[#This Row],[Admin 2 P-Code]]&lt;&gt;"", tblPiNAnalysis[[#This Row],[Admin 2 P-Code]], tblPiNAnalysis[[#This Row],[Admin 1 P-Code]]&lt;&gt;"", tblPiNAnalysis[[#This Row],[Admin 1 P-Code]]))</f>
        <v>Host CommunitySD07103</v>
      </c>
      <c r="B250" s="245" t="s">
        <v>188</v>
      </c>
      <c r="C250" s="246" t="s">
        <v>124</v>
      </c>
      <c r="D250" s="247" t="s">
        <v>358</v>
      </c>
      <c r="E250" s="246" t="s">
        <v>359</v>
      </c>
      <c r="F250" s="248">
        <v>483</v>
      </c>
      <c r="G250" s="248" t="s">
        <v>87</v>
      </c>
      <c r="H250" s="310"/>
      <c r="I250" s="311"/>
      <c r="J250" s="248"/>
      <c r="K250" s="248"/>
      <c r="L250" s="311"/>
      <c r="M250" s="312"/>
      <c r="N250" s="312">
        <f>_xlfn.XLOOKUP(CONCATENATE(tblPiNAnalysis[[#This Row],[Admin 2 P-Code]],tblPiNAnalysis[[#This Row],[Population Group]]),'Overall severity &amp; PIN Analysis'!A:A,'Overall severity &amp; PIN Analysis'!P:P,0,0)</f>
        <v>411</v>
      </c>
      <c r="O250" s="311"/>
      <c r="P250" s="312"/>
      <c r="Q250" s="312"/>
      <c r="R250" s="312"/>
      <c r="S250" s="312"/>
      <c r="T250" s="313" t="str">
        <f>IF(tblPiNAnalysis[[#This Row],[Site Management ]]="", "", tblPiNAnalysis[[#This Row],[Site Management ]]/tblPiNAnalysis[[#This Row],[Total Population]])</f>
        <v/>
      </c>
      <c r="U250" s="314" t="str">
        <f>IF(tblPiNAnalysis[[#This Row],[Education]]="", "", tblPiNAnalysis[[#This Row],[Education]]/tblPiNAnalysis[[#This Row],[Total Population]])</f>
        <v/>
      </c>
      <c r="V250" s="314" t="str">
        <f>IF(tblPiNAnalysis[[#This Row],[Food Security and Livlihoods]]="", "", tblPiNAnalysis[[#This Row],[Food Security and Livlihoods]]/tblPiNAnalysis[[#This Row],[Total Population]])</f>
        <v/>
      </c>
      <c r="W250" s="315" t="str">
        <f>IF(tblPiNAnalysis[[#This Row],[Health ]]="", "", tblPiNAnalysis[[#This Row],[Health ]]/tblPiNAnalysis[[#This Row],[Total Population]])</f>
        <v/>
      </c>
      <c r="X250" s="314" t="str">
        <f>IF(tblPiNAnalysis[[#This Row],[Nutrition]]="", "", tblPiNAnalysis[[#This Row],[Nutrition]]/tblPiNAnalysis[[#This Row],[Total Population]])</f>
        <v/>
      </c>
      <c r="Y250" s="314" t="str">
        <f>IF(tblPiNAnalysis[[#This Row],[Protection]]="", "", tblPiNAnalysis[[#This Row],[Protection]]/tblPiNAnalysis[[#This Row],[Total Population]])</f>
        <v/>
      </c>
      <c r="Z250" s="316">
        <f>IF(tblPiNAnalysis[[#This Row],[Shelter NFI ]]="", "", tblPiNAnalysis[[#This Row],[Shelter NFI ]]/tblPiNAnalysis[[#This Row],[Total Population]])</f>
        <v>0.85093167701863359</v>
      </c>
      <c r="AA250" s="317" t="str">
        <f>IF(tblPiNAnalysis[[#This Row],[WASH]]="", "", tblPiNAnalysis[[#This Row],[WASH]]/tblPiNAnalysis[[#This Row],[Total Population]])</f>
        <v/>
      </c>
      <c r="AB250" s="318" t="str">
        <f>IFERROR(IF(tblPiNAnalysis[[#This Row],[CP]]="", "", MROUND(tblPiNAnalysis[[#This Row],[CP]]/tblPiNAnalysis[[#This Row],[Total Population]], 0.05)), "")</f>
        <v/>
      </c>
      <c r="AC250" s="314" t="str">
        <f>IFERROR(IF(tblPiNAnalysis[[#This Row],[GBV]]="", "", MROUND(tblPiNAnalysis[[#This Row],[GBV]]/tblPiNAnalysis[[#This Row],[Total Population]], 0.05)), "")</f>
        <v/>
      </c>
      <c r="AD250" s="314" t="str">
        <f>IFERROR(IF(tblPiNAnalysis[[#This Row],[Mine Action]]="", "", MROUND(tblPiNAnalysis[[#This Row],[Mine Action]]/tblPiNAnalysis[[#This Row],[Total Population]], 0.05)), "")</f>
        <v/>
      </c>
      <c r="AE250" s="314" t="str">
        <f>IFERROR(IF(tblPiNAnalysis[[#This Row],[General Protection]]="", "", MROUND(tblPiNAnalysis[[#This Row],[General Protection]]/tblPiNAnalysis[[#This Row],[Total Population]], 0.05)), "")</f>
        <v/>
      </c>
      <c r="AF250" s="319">
        <f>IFERROR(LARGE(tblPiNAnalysis[[#This Row],[Site Management ]:[General Protection]], 1), "")</f>
        <v>411</v>
      </c>
      <c r="AG250" s="320">
        <f>IF(tblPiNAnalysis[[#This Row],[Highest PiN]]="", "",tblPiNAnalysis[[#This Row],[Highest PiN]]/ tblPiNAnalysis[[#This Row],[Total Population]])</f>
        <v>0.85093167701863359</v>
      </c>
      <c r="AH250" s="320" t="str">
        <f>IFERROR(IF(tblPiNAnalysis[[#This Row],[Highest PiN]]="", "", IF(tblPiNAnalysis[[#This Row],[Highest sector(s'') PiN %]]&gt;=flag_pin_perc, "Flagged", "")), "")</f>
        <v/>
      </c>
      <c r="AI250" s="321"/>
      <c r="AJ250" s="322"/>
      <c r="AK250" s="323">
        <f>COUNTIFS(tblPiNAnalysis[[#This Row],[Highest PiN greater than 90% of total affected population]:[Manual Flag]],"Flagged")</f>
        <v>0</v>
      </c>
      <c r="AL250" s="324" t="str">
        <f>IF(tblPiNAnalysis[[#This Row],['# Flags]]&gt;0, "Flagged", "")</f>
        <v/>
      </c>
    </row>
    <row r="251" spans="1:38" ht="23.1" hidden="1" customHeight="1" x14ac:dyDescent="0.2">
      <c r="A251" s="309" t="str">
        <f>_xlfn.CONCAT(IF(tblPiNAnalysis[[#This Row],[Population Group]]="", "",tblPiNAnalysis[[#This Row],[Population Group]] ), _xlfn.IFS(tblPiNAnalysis[[#This Row],[Admin 2 P-Code]]&lt;&gt;"", tblPiNAnalysis[[#This Row],[Admin 2 P-Code]], tblPiNAnalysis[[#This Row],[Admin 1 P-Code]]&lt;&gt;"", tblPiNAnalysis[[#This Row],[Admin 1 P-Code]]))</f>
        <v>IDPsSD07103</v>
      </c>
      <c r="B251" s="245" t="s">
        <v>188</v>
      </c>
      <c r="C251" s="246" t="s">
        <v>124</v>
      </c>
      <c r="D251" s="247" t="s">
        <v>358</v>
      </c>
      <c r="E251" s="246" t="s">
        <v>359</v>
      </c>
      <c r="F251" s="248">
        <v>59211</v>
      </c>
      <c r="G251" s="248" t="s">
        <v>88</v>
      </c>
      <c r="H251" s="310"/>
      <c r="I251" s="311"/>
      <c r="J251" s="248"/>
      <c r="K251" s="248"/>
      <c r="L251" s="311"/>
      <c r="M251" s="312"/>
      <c r="N251" s="312">
        <f>_xlfn.XLOOKUP(CONCATENATE(tblPiNAnalysis[[#This Row],[Admin 2 P-Code]],tblPiNAnalysis[[#This Row],[Population Group]]),'Overall severity &amp; PIN Analysis'!A:A,'Overall severity &amp; PIN Analysis'!P:P,0,0)</f>
        <v>50326</v>
      </c>
      <c r="O251" s="311"/>
      <c r="P251" s="312"/>
      <c r="Q251" s="312"/>
      <c r="R251" s="312"/>
      <c r="S251" s="312"/>
      <c r="T251" s="313" t="str">
        <f>IF(tblPiNAnalysis[[#This Row],[Site Management ]]="", "", tblPiNAnalysis[[#This Row],[Site Management ]]/tblPiNAnalysis[[#This Row],[Total Population]])</f>
        <v/>
      </c>
      <c r="U251" s="314" t="str">
        <f>IF(tblPiNAnalysis[[#This Row],[Education]]="", "", tblPiNAnalysis[[#This Row],[Education]]/tblPiNAnalysis[[#This Row],[Total Population]])</f>
        <v/>
      </c>
      <c r="V251" s="314" t="str">
        <f>IF(tblPiNAnalysis[[#This Row],[Food Security and Livlihoods]]="", "", tblPiNAnalysis[[#This Row],[Food Security and Livlihoods]]/tblPiNAnalysis[[#This Row],[Total Population]])</f>
        <v/>
      </c>
      <c r="W251" s="315" t="str">
        <f>IF(tblPiNAnalysis[[#This Row],[Health ]]="", "", tblPiNAnalysis[[#This Row],[Health ]]/tblPiNAnalysis[[#This Row],[Total Population]])</f>
        <v/>
      </c>
      <c r="X251" s="314" t="str">
        <f>IF(tblPiNAnalysis[[#This Row],[Nutrition]]="", "", tblPiNAnalysis[[#This Row],[Nutrition]]/tblPiNAnalysis[[#This Row],[Total Population]])</f>
        <v/>
      </c>
      <c r="Y251" s="314" t="str">
        <f>IF(tblPiNAnalysis[[#This Row],[Protection]]="", "", tblPiNAnalysis[[#This Row],[Protection]]/tblPiNAnalysis[[#This Row],[Total Population]])</f>
        <v/>
      </c>
      <c r="Z251" s="316">
        <f>IF(tblPiNAnalysis[[#This Row],[Shelter NFI ]]="", "", tblPiNAnalysis[[#This Row],[Shelter NFI ]]/tblPiNAnalysis[[#This Row],[Total Population]])</f>
        <v>0.8499434226748408</v>
      </c>
      <c r="AA251" s="317" t="str">
        <f>IF(tblPiNAnalysis[[#This Row],[WASH]]="", "", tblPiNAnalysis[[#This Row],[WASH]]/tblPiNAnalysis[[#This Row],[Total Population]])</f>
        <v/>
      </c>
      <c r="AB251" s="318" t="str">
        <f>IFERROR(IF(tblPiNAnalysis[[#This Row],[CP]]="", "", MROUND(tblPiNAnalysis[[#This Row],[CP]]/tblPiNAnalysis[[#This Row],[Total Population]], 0.05)), "")</f>
        <v/>
      </c>
      <c r="AC251" s="314" t="str">
        <f>IFERROR(IF(tblPiNAnalysis[[#This Row],[GBV]]="", "", MROUND(tblPiNAnalysis[[#This Row],[GBV]]/tblPiNAnalysis[[#This Row],[Total Population]], 0.05)), "")</f>
        <v/>
      </c>
      <c r="AD251" s="314" t="str">
        <f>IFERROR(IF(tblPiNAnalysis[[#This Row],[Mine Action]]="", "", MROUND(tblPiNAnalysis[[#This Row],[Mine Action]]/tblPiNAnalysis[[#This Row],[Total Population]], 0.05)), "")</f>
        <v/>
      </c>
      <c r="AE251" s="314" t="str">
        <f>IFERROR(IF(tblPiNAnalysis[[#This Row],[General Protection]]="", "", MROUND(tblPiNAnalysis[[#This Row],[General Protection]]/tblPiNAnalysis[[#This Row],[Total Population]], 0.05)), "")</f>
        <v/>
      </c>
      <c r="AF251" s="319">
        <f>IFERROR(LARGE(tblPiNAnalysis[[#This Row],[Site Management ]:[General Protection]], 1), "")</f>
        <v>50326</v>
      </c>
      <c r="AG251" s="320">
        <f>IF(tblPiNAnalysis[[#This Row],[Highest PiN]]="", "",tblPiNAnalysis[[#This Row],[Highest PiN]]/ tblPiNAnalysis[[#This Row],[Total Population]])</f>
        <v>0.8499434226748408</v>
      </c>
      <c r="AH251" s="320" t="str">
        <f>IFERROR(IF(tblPiNAnalysis[[#This Row],[Highest PiN]]="", "", IF(tblPiNAnalysis[[#This Row],[Highest sector(s'') PiN %]]&gt;=flag_pin_perc, "Flagged", "")), "")</f>
        <v/>
      </c>
      <c r="AI251" s="321"/>
      <c r="AJ251" s="322"/>
      <c r="AK251" s="323">
        <f>COUNTIFS(tblPiNAnalysis[[#This Row],[Highest PiN greater than 90% of total affected population]:[Manual Flag]],"Flagged")</f>
        <v>0</v>
      </c>
      <c r="AL251" s="324" t="str">
        <f>IF(tblPiNAnalysis[[#This Row],['# Flags]]&gt;0, "Flagged", "")</f>
        <v/>
      </c>
    </row>
    <row r="252" spans="1:38" ht="23.1" customHeight="1" x14ac:dyDescent="0.2">
      <c r="A252" s="309" t="str">
        <f>_xlfn.CONCAT(IF(tblPiNAnalysis[[#This Row],[Population Group]]="", "",tblPiNAnalysis[[#This Row],[Population Group]] ), _xlfn.IFS(tblPiNAnalysis[[#This Row],[Admin 2 P-Code]]&lt;&gt;"", tblPiNAnalysis[[#This Row],[Admin 2 P-Code]], tblPiNAnalysis[[#This Row],[Admin 1 P-Code]]&lt;&gt;"", tblPiNAnalysis[[#This Row],[Admin 1 P-Code]]))</f>
        <v>Non-hosting PopulationSD07103</v>
      </c>
      <c r="B252" s="245" t="s">
        <v>188</v>
      </c>
      <c r="C252" s="246" t="s">
        <v>124</v>
      </c>
      <c r="D252" s="247" t="s">
        <v>358</v>
      </c>
      <c r="E252" s="246" t="s">
        <v>359</v>
      </c>
      <c r="F252" s="248">
        <v>0</v>
      </c>
      <c r="G252" s="248" t="s">
        <v>568</v>
      </c>
      <c r="H252" s="310"/>
      <c r="I252" s="311"/>
      <c r="J252" s="312"/>
      <c r="K252" s="311"/>
      <c r="L252" s="311"/>
      <c r="M252" s="312"/>
      <c r="N252" s="312">
        <f>_xlfn.XLOOKUP(CONCATENATE(tblPiNAnalysis[[#This Row],[Admin 2 P-Code]],tblPiNAnalysis[[#This Row],[Population Group]]),'Overall severity &amp; PIN Analysis'!A:A,'Overall severity &amp; PIN Analysis'!P:P,0,0)</f>
        <v>0</v>
      </c>
      <c r="O252" s="311"/>
      <c r="P252" s="312"/>
      <c r="Q252" s="312"/>
      <c r="R252" s="312"/>
      <c r="S252" s="312"/>
      <c r="T252" s="313" t="str">
        <f>IF(tblPiNAnalysis[[#This Row],[Site Management ]]="", "", tblPiNAnalysis[[#This Row],[Site Management ]]/tblPiNAnalysis[[#This Row],[Total Population]])</f>
        <v/>
      </c>
      <c r="U252" s="314" t="str">
        <f>IF(tblPiNAnalysis[[#This Row],[Education]]="", "", tblPiNAnalysis[[#This Row],[Education]]/tblPiNAnalysis[[#This Row],[Total Population]])</f>
        <v/>
      </c>
      <c r="V252" s="314" t="str">
        <f>IF(tblPiNAnalysis[[#This Row],[Food Security and Livlihoods]]="", "", tblPiNAnalysis[[#This Row],[Food Security and Livlihoods]]/tblPiNAnalysis[[#This Row],[Total Population]])</f>
        <v/>
      </c>
      <c r="W252" s="315" t="str">
        <f>IF(tblPiNAnalysis[[#This Row],[Health ]]="", "", tblPiNAnalysis[[#This Row],[Health ]]/tblPiNAnalysis[[#This Row],[Total Population]])</f>
        <v/>
      </c>
      <c r="X252" s="314" t="str">
        <f>IF(tblPiNAnalysis[[#This Row],[Nutrition]]="", "", tblPiNAnalysis[[#This Row],[Nutrition]]/tblPiNAnalysis[[#This Row],[Total Population]])</f>
        <v/>
      </c>
      <c r="Y252" s="314" t="str">
        <f>IF(tblPiNAnalysis[[#This Row],[Protection]]="", "", tblPiNAnalysis[[#This Row],[Protection]]/tblPiNAnalysis[[#This Row],[Total Population]])</f>
        <v/>
      </c>
      <c r="Z252" s="316" t="e">
        <f>IF(tblPiNAnalysis[[#This Row],[Shelter NFI ]]="", "", tblPiNAnalysis[[#This Row],[Shelter NFI ]]/tblPiNAnalysis[[#This Row],[Total Population]])</f>
        <v>#DIV/0!</v>
      </c>
      <c r="AA252" s="317" t="str">
        <f>IF(tblPiNAnalysis[[#This Row],[WASH]]="", "", tblPiNAnalysis[[#This Row],[WASH]]/tblPiNAnalysis[[#This Row],[Total Population]])</f>
        <v/>
      </c>
      <c r="AB252" s="318" t="str">
        <f>IFERROR(IF(tblPiNAnalysis[[#This Row],[CP]]="", "", MROUND(tblPiNAnalysis[[#This Row],[CP]]/tblPiNAnalysis[[#This Row],[Total Population]], 0.05)), "")</f>
        <v/>
      </c>
      <c r="AC252" s="314" t="str">
        <f>IFERROR(IF(tblPiNAnalysis[[#This Row],[GBV]]="", "", MROUND(tblPiNAnalysis[[#This Row],[GBV]]/tblPiNAnalysis[[#This Row],[Total Population]], 0.05)), "")</f>
        <v/>
      </c>
      <c r="AD252" s="314" t="str">
        <f>IFERROR(IF(tblPiNAnalysis[[#This Row],[Mine Action]]="", "", MROUND(tblPiNAnalysis[[#This Row],[Mine Action]]/tblPiNAnalysis[[#This Row],[Total Population]], 0.05)), "")</f>
        <v/>
      </c>
      <c r="AE252" s="314" t="str">
        <f>IFERROR(IF(tblPiNAnalysis[[#This Row],[General Protection]]="", "", MROUND(tblPiNAnalysis[[#This Row],[General Protection]]/tblPiNAnalysis[[#This Row],[Total Population]], 0.05)), "")</f>
        <v/>
      </c>
      <c r="AF252" s="319">
        <f>IFERROR(LARGE(tblPiNAnalysis[[#This Row],[Site Management ]:[General Protection]], 1), "")</f>
        <v>0</v>
      </c>
      <c r="AG252" s="320" t="e">
        <f>IF(tblPiNAnalysis[[#This Row],[Highest PiN]]="", "",tblPiNAnalysis[[#This Row],[Highest PiN]]/ tblPiNAnalysis[[#This Row],[Total Population]])</f>
        <v>#DIV/0!</v>
      </c>
      <c r="AH252" s="320" t="str">
        <f>IFERROR(IF(tblPiNAnalysis[[#This Row],[Highest PiN]]="", "", IF(tblPiNAnalysis[[#This Row],[Highest sector(s'') PiN %]]&gt;=flag_pin_perc, "Flagged", "")), "")</f>
        <v/>
      </c>
      <c r="AI252" s="321"/>
      <c r="AJ252" s="322"/>
      <c r="AK252" s="323">
        <f>COUNTIFS(tblPiNAnalysis[[#This Row],[Highest PiN greater than 90% of total affected population]:[Manual Flag]],"Flagged")</f>
        <v>0</v>
      </c>
      <c r="AL252" s="324" t="str">
        <f>IF(tblPiNAnalysis[[#This Row],['# Flags]]&gt;0, "Flagged", "")</f>
        <v/>
      </c>
    </row>
    <row r="253" spans="1:38" ht="23.1" hidden="1" customHeight="1" x14ac:dyDescent="0.2">
      <c r="A253" s="309" t="str">
        <f>_xlfn.CONCAT(IF(tblPiNAnalysis[[#This Row],[Population Group]]="", "",tblPiNAnalysis[[#This Row],[Population Group]] ), _xlfn.IFS(tblPiNAnalysis[[#This Row],[Admin 2 P-Code]]&lt;&gt;"", tblPiNAnalysis[[#This Row],[Admin 2 P-Code]], tblPiNAnalysis[[#This Row],[Admin 1 P-Code]]&lt;&gt;"", tblPiNAnalysis[[#This Row],[Admin 1 P-Code]]))</f>
        <v>Host CommunitySD07104</v>
      </c>
      <c r="B253" s="245" t="s">
        <v>188</v>
      </c>
      <c r="C253" s="246" t="s">
        <v>124</v>
      </c>
      <c r="D253" s="247" t="s">
        <v>360</v>
      </c>
      <c r="E253" s="246" t="s">
        <v>361</v>
      </c>
      <c r="F253" s="248">
        <v>22620</v>
      </c>
      <c r="G253" s="248" t="s">
        <v>87</v>
      </c>
      <c r="H253" s="310"/>
      <c r="I253" s="311"/>
      <c r="J253" s="312"/>
      <c r="K253" s="311"/>
      <c r="L253" s="311"/>
      <c r="M253" s="312"/>
      <c r="N253" s="312">
        <f>_xlfn.XLOOKUP(CONCATENATE(tblPiNAnalysis[[#This Row],[Admin 2 P-Code]],tblPiNAnalysis[[#This Row],[Population Group]]),'Overall severity &amp; PIN Analysis'!A:A,'Overall severity &amp; PIN Analysis'!P:P,0,0)</f>
        <v>13778</v>
      </c>
      <c r="O253" s="311"/>
      <c r="P253" s="312"/>
      <c r="Q253" s="312"/>
      <c r="R253" s="312"/>
      <c r="S253" s="312"/>
      <c r="T253" s="313" t="str">
        <f>IF(tblPiNAnalysis[[#This Row],[Site Management ]]="", "", tblPiNAnalysis[[#This Row],[Site Management ]]/tblPiNAnalysis[[#This Row],[Total Population]])</f>
        <v/>
      </c>
      <c r="U253" s="314" t="str">
        <f>IF(tblPiNAnalysis[[#This Row],[Education]]="", "", tblPiNAnalysis[[#This Row],[Education]]/tblPiNAnalysis[[#This Row],[Total Population]])</f>
        <v/>
      </c>
      <c r="V253" s="314" t="str">
        <f>IF(tblPiNAnalysis[[#This Row],[Food Security and Livlihoods]]="", "", tblPiNAnalysis[[#This Row],[Food Security and Livlihoods]]/tblPiNAnalysis[[#This Row],[Total Population]])</f>
        <v/>
      </c>
      <c r="W253" s="315" t="str">
        <f>IF(tblPiNAnalysis[[#This Row],[Health ]]="", "", tblPiNAnalysis[[#This Row],[Health ]]/tblPiNAnalysis[[#This Row],[Total Population]])</f>
        <v/>
      </c>
      <c r="X253" s="314" t="str">
        <f>IF(tblPiNAnalysis[[#This Row],[Nutrition]]="", "", tblPiNAnalysis[[#This Row],[Nutrition]]/tblPiNAnalysis[[#This Row],[Total Population]])</f>
        <v/>
      </c>
      <c r="Y253" s="314" t="str">
        <f>IF(tblPiNAnalysis[[#This Row],[Protection]]="", "", tblPiNAnalysis[[#This Row],[Protection]]/tblPiNAnalysis[[#This Row],[Total Population]])</f>
        <v/>
      </c>
      <c r="Z253" s="316">
        <f>IF(tblPiNAnalysis[[#This Row],[Shelter NFI ]]="", "", tblPiNAnalysis[[#This Row],[Shelter NFI ]]/tblPiNAnalysis[[#This Row],[Total Population]])</f>
        <v>0.60910698496905391</v>
      </c>
      <c r="AA253" s="317" t="str">
        <f>IF(tblPiNAnalysis[[#This Row],[WASH]]="", "", tblPiNAnalysis[[#This Row],[WASH]]/tblPiNAnalysis[[#This Row],[Total Population]])</f>
        <v/>
      </c>
      <c r="AB253" s="318" t="str">
        <f>IFERROR(IF(tblPiNAnalysis[[#This Row],[CP]]="", "", MROUND(tblPiNAnalysis[[#This Row],[CP]]/tblPiNAnalysis[[#This Row],[Total Population]], 0.05)), "")</f>
        <v/>
      </c>
      <c r="AC253" s="314" t="str">
        <f>IFERROR(IF(tblPiNAnalysis[[#This Row],[GBV]]="", "", MROUND(tblPiNAnalysis[[#This Row],[GBV]]/tblPiNAnalysis[[#This Row],[Total Population]], 0.05)), "")</f>
        <v/>
      </c>
      <c r="AD253" s="314" t="str">
        <f>IFERROR(IF(tblPiNAnalysis[[#This Row],[Mine Action]]="", "", MROUND(tblPiNAnalysis[[#This Row],[Mine Action]]/tblPiNAnalysis[[#This Row],[Total Population]], 0.05)), "")</f>
        <v/>
      </c>
      <c r="AE253" s="314" t="str">
        <f>IFERROR(IF(tblPiNAnalysis[[#This Row],[General Protection]]="", "", MROUND(tblPiNAnalysis[[#This Row],[General Protection]]/tblPiNAnalysis[[#This Row],[Total Population]], 0.05)), "")</f>
        <v/>
      </c>
      <c r="AF253" s="319">
        <f>IFERROR(LARGE(tblPiNAnalysis[[#This Row],[Site Management ]:[General Protection]], 1), "")</f>
        <v>13778</v>
      </c>
      <c r="AG253" s="320">
        <f>IF(tblPiNAnalysis[[#This Row],[Highest PiN]]="", "",tblPiNAnalysis[[#This Row],[Highest PiN]]/ tblPiNAnalysis[[#This Row],[Total Population]])</f>
        <v>0.60910698496905391</v>
      </c>
      <c r="AH253" s="320" t="str">
        <f>IFERROR(IF(tblPiNAnalysis[[#This Row],[Highest PiN]]="", "", IF(tblPiNAnalysis[[#This Row],[Highest sector(s'') PiN %]]&gt;=flag_pin_perc, "Flagged", "")), "")</f>
        <v/>
      </c>
      <c r="AI253" s="321"/>
      <c r="AJ253" s="322"/>
      <c r="AK253" s="323">
        <f>COUNTIFS(tblPiNAnalysis[[#This Row],[Highest PiN greater than 90% of total affected population]:[Manual Flag]],"Flagged")</f>
        <v>0</v>
      </c>
      <c r="AL253" s="324" t="str">
        <f>IF(tblPiNAnalysis[[#This Row],['# Flags]]&gt;0, "Flagged", "")</f>
        <v/>
      </c>
    </row>
    <row r="254" spans="1:38" ht="23.1" hidden="1" customHeight="1" x14ac:dyDescent="0.2">
      <c r="A254" s="309" t="str">
        <f>_xlfn.CONCAT(IF(tblPiNAnalysis[[#This Row],[Population Group]]="", "",tblPiNAnalysis[[#This Row],[Population Group]] ), _xlfn.IFS(tblPiNAnalysis[[#This Row],[Admin 2 P-Code]]&lt;&gt;"", tblPiNAnalysis[[#This Row],[Admin 2 P-Code]], tblPiNAnalysis[[#This Row],[Admin 1 P-Code]]&lt;&gt;"", tblPiNAnalysis[[#This Row],[Admin 1 P-Code]]))</f>
        <v>IDPsSD07104</v>
      </c>
      <c r="B254" s="245" t="s">
        <v>188</v>
      </c>
      <c r="C254" s="246" t="s">
        <v>124</v>
      </c>
      <c r="D254" s="247" t="s">
        <v>360</v>
      </c>
      <c r="E254" s="246" t="s">
        <v>361</v>
      </c>
      <c r="F254" s="248">
        <v>26703</v>
      </c>
      <c r="G254" s="248" t="s">
        <v>88</v>
      </c>
      <c r="H254" s="310"/>
      <c r="I254" s="311"/>
      <c r="J254" s="312"/>
      <c r="K254" s="311"/>
      <c r="L254" s="311"/>
      <c r="M254" s="312"/>
      <c r="N254" s="312">
        <f>_xlfn.XLOOKUP(CONCATENATE(tblPiNAnalysis[[#This Row],[Admin 2 P-Code]],tblPiNAnalysis[[#This Row],[Population Group]]),'Overall severity &amp; PIN Analysis'!A:A,'Overall severity &amp; PIN Analysis'!P:P,0,0)</f>
        <v>16265</v>
      </c>
      <c r="O254" s="311"/>
      <c r="P254" s="312"/>
      <c r="Q254" s="312"/>
      <c r="R254" s="312"/>
      <c r="S254" s="312"/>
      <c r="T254" s="313" t="str">
        <f>IF(tblPiNAnalysis[[#This Row],[Site Management ]]="", "", tblPiNAnalysis[[#This Row],[Site Management ]]/tblPiNAnalysis[[#This Row],[Total Population]])</f>
        <v/>
      </c>
      <c r="U254" s="314" t="str">
        <f>IF(tblPiNAnalysis[[#This Row],[Education]]="", "", tblPiNAnalysis[[#This Row],[Education]]/tblPiNAnalysis[[#This Row],[Total Population]])</f>
        <v/>
      </c>
      <c r="V254" s="314" t="str">
        <f>IF(tblPiNAnalysis[[#This Row],[Food Security and Livlihoods]]="", "", tblPiNAnalysis[[#This Row],[Food Security and Livlihoods]]/tblPiNAnalysis[[#This Row],[Total Population]])</f>
        <v/>
      </c>
      <c r="W254" s="315" t="str">
        <f>IF(tblPiNAnalysis[[#This Row],[Health ]]="", "", tblPiNAnalysis[[#This Row],[Health ]]/tblPiNAnalysis[[#This Row],[Total Population]])</f>
        <v/>
      </c>
      <c r="X254" s="314" t="str">
        <f>IF(tblPiNAnalysis[[#This Row],[Nutrition]]="", "", tblPiNAnalysis[[#This Row],[Nutrition]]/tblPiNAnalysis[[#This Row],[Total Population]])</f>
        <v/>
      </c>
      <c r="Y254" s="314" t="str">
        <f>IF(tblPiNAnalysis[[#This Row],[Protection]]="", "", tblPiNAnalysis[[#This Row],[Protection]]/tblPiNAnalysis[[#This Row],[Total Population]])</f>
        <v/>
      </c>
      <c r="Z254" s="316">
        <f>IF(tblPiNAnalysis[[#This Row],[Shelter NFI ]]="", "", tblPiNAnalysis[[#This Row],[Shelter NFI ]]/tblPiNAnalysis[[#This Row],[Total Population]])</f>
        <v>0.60910759090738864</v>
      </c>
      <c r="AA254" s="317" t="str">
        <f>IF(tblPiNAnalysis[[#This Row],[WASH]]="", "", tblPiNAnalysis[[#This Row],[WASH]]/tblPiNAnalysis[[#This Row],[Total Population]])</f>
        <v/>
      </c>
      <c r="AB254" s="318" t="str">
        <f>IFERROR(IF(tblPiNAnalysis[[#This Row],[CP]]="", "", MROUND(tblPiNAnalysis[[#This Row],[CP]]/tblPiNAnalysis[[#This Row],[Total Population]], 0.05)), "")</f>
        <v/>
      </c>
      <c r="AC254" s="314" t="str">
        <f>IFERROR(IF(tblPiNAnalysis[[#This Row],[GBV]]="", "", MROUND(tblPiNAnalysis[[#This Row],[GBV]]/tblPiNAnalysis[[#This Row],[Total Population]], 0.05)), "")</f>
        <v/>
      </c>
      <c r="AD254" s="314" t="str">
        <f>IFERROR(IF(tblPiNAnalysis[[#This Row],[Mine Action]]="", "", MROUND(tblPiNAnalysis[[#This Row],[Mine Action]]/tblPiNAnalysis[[#This Row],[Total Population]], 0.05)), "")</f>
        <v/>
      </c>
      <c r="AE254" s="314" t="str">
        <f>IFERROR(IF(tblPiNAnalysis[[#This Row],[General Protection]]="", "", MROUND(tblPiNAnalysis[[#This Row],[General Protection]]/tblPiNAnalysis[[#This Row],[Total Population]], 0.05)), "")</f>
        <v/>
      </c>
      <c r="AF254" s="319">
        <f>IFERROR(LARGE(tblPiNAnalysis[[#This Row],[Site Management ]:[General Protection]], 1), "")</f>
        <v>16265</v>
      </c>
      <c r="AG254" s="320">
        <f>IF(tblPiNAnalysis[[#This Row],[Highest PiN]]="", "",tblPiNAnalysis[[#This Row],[Highest PiN]]/ tblPiNAnalysis[[#This Row],[Total Population]])</f>
        <v>0.60910759090738864</v>
      </c>
      <c r="AH254" s="320" t="str">
        <f>IFERROR(IF(tblPiNAnalysis[[#This Row],[Highest PiN]]="", "", IF(tblPiNAnalysis[[#This Row],[Highest sector(s'') PiN %]]&gt;=flag_pin_perc, "Flagged", "")), "")</f>
        <v/>
      </c>
      <c r="AI254" s="321"/>
      <c r="AJ254" s="322"/>
      <c r="AK254" s="323">
        <f>COUNTIFS(tblPiNAnalysis[[#This Row],[Highest PiN greater than 90% of total affected population]:[Manual Flag]],"Flagged")</f>
        <v>0</v>
      </c>
      <c r="AL254" s="324" t="str">
        <f>IF(tblPiNAnalysis[[#This Row],['# Flags]]&gt;0, "Flagged", "")</f>
        <v/>
      </c>
    </row>
    <row r="255" spans="1:38" ht="23.1" customHeight="1" x14ac:dyDescent="0.2">
      <c r="A255" s="309" t="str">
        <f>_xlfn.CONCAT(IF(tblPiNAnalysis[[#This Row],[Population Group]]="", "",tblPiNAnalysis[[#This Row],[Population Group]] ), _xlfn.IFS(tblPiNAnalysis[[#This Row],[Admin 2 P-Code]]&lt;&gt;"", tblPiNAnalysis[[#This Row],[Admin 2 P-Code]], tblPiNAnalysis[[#This Row],[Admin 1 P-Code]]&lt;&gt;"", tblPiNAnalysis[[#This Row],[Admin 1 P-Code]]))</f>
        <v>Non-hosting PopulationSD07104</v>
      </c>
      <c r="B255" s="245" t="s">
        <v>188</v>
      </c>
      <c r="C255" s="246" t="s">
        <v>124</v>
      </c>
      <c r="D255" s="247" t="s">
        <v>360</v>
      </c>
      <c r="E255" s="246" t="s">
        <v>361</v>
      </c>
      <c r="F255" s="248">
        <v>0</v>
      </c>
      <c r="G255" s="248" t="s">
        <v>568</v>
      </c>
      <c r="H255" s="310"/>
      <c r="I255" s="311"/>
      <c r="J255" s="312"/>
      <c r="K255" s="311"/>
      <c r="L255" s="311"/>
      <c r="M255" s="312"/>
      <c r="N255" s="312">
        <f>_xlfn.XLOOKUP(CONCATENATE(tblPiNAnalysis[[#This Row],[Admin 2 P-Code]],tblPiNAnalysis[[#This Row],[Population Group]]),'Overall severity &amp; PIN Analysis'!A:A,'Overall severity &amp; PIN Analysis'!P:P,0,0)</f>
        <v>0</v>
      </c>
      <c r="O255" s="311"/>
      <c r="P255" s="312"/>
      <c r="Q255" s="312"/>
      <c r="R255" s="312"/>
      <c r="S255" s="312"/>
      <c r="T255" s="313" t="str">
        <f>IF(tblPiNAnalysis[[#This Row],[Site Management ]]="", "", tblPiNAnalysis[[#This Row],[Site Management ]]/tblPiNAnalysis[[#This Row],[Total Population]])</f>
        <v/>
      </c>
      <c r="U255" s="314" t="str">
        <f>IF(tblPiNAnalysis[[#This Row],[Education]]="", "", tblPiNAnalysis[[#This Row],[Education]]/tblPiNAnalysis[[#This Row],[Total Population]])</f>
        <v/>
      </c>
      <c r="V255" s="314" t="str">
        <f>IF(tblPiNAnalysis[[#This Row],[Food Security and Livlihoods]]="", "", tblPiNAnalysis[[#This Row],[Food Security and Livlihoods]]/tblPiNAnalysis[[#This Row],[Total Population]])</f>
        <v/>
      </c>
      <c r="W255" s="315" t="str">
        <f>IF(tblPiNAnalysis[[#This Row],[Health ]]="", "", tblPiNAnalysis[[#This Row],[Health ]]/tblPiNAnalysis[[#This Row],[Total Population]])</f>
        <v/>
      </c>
      <c r="X255" s="314" t="str">
        <f>IF(tblPiNAnalysis[[#This Row],[Nutrition]]="", "", tblPiNAnalysis[[#This Row],[Nutrition]]/tblPiNAnalysis[[#This Row],[Total Population]])</f>
        <v/>
      </c>
      <c r="Y255" s="314" t="str">
        <f>IF(tblPiNAnalysis[[#This Row],[Protection]]="", "", tblPiNAnalysis[[#This Row],[Protection]]/tblPiNAnalysis[[#This Row],[Total Population]])</f>
        <v/>
      </c>
      <c r="Z255" s="316" t="e">
        <f>IF(tblPiNAnalysis[[#This Row],[Shelter NFI ]]="", "", tblPiNAnalysis[[#This Row],[Shelter NFI ]]/tblPiNAnalysis[[#This Row],[Total Population]])</f>
        <v>#DIV/0!</v>
      </c>
      <c r="AA255" s="317" t="str">
        <f>IF(tblPiNAnalysis[[#This Row],[WASH]]="", "", tblPiNAnalysis[[#This Row],[WASH]]/tblPiNAnalysis[[#This Row],[Total Population]])</f>
        <v/>
      </c>
      <c r="AB255" s="318" t="str">
        <f>IFERROR(IF(tblPiNAnalysis[[#This Row],[CP]]="", "", MROUND(tblPiNAnalysis[[#This Row],[CP]]/tblPiNAnalysis[[#This Row],[Total Population]], 0.05)), "")</f>
        <v/>
      </c>
      <c r="AC255" s="314" t="str">
        <f>IFERROR(IF(tblPiNAnalysis[[#This Row],[GBV]]="", "", MROUND(tblPiNAnalysis[[#This Row],[GBV]]/tblPiNAnalysis[[#This Row],[Total Population]], 0.05)), "")</f>
        <v/>
      </c>
      <c r="AD255" s="314" t="str">
        <f>IFERROR(IF(tblPiNAnalysis[[#This Row],[Mine Action]]="", "", MROUND(tblPiNAnalysis[[#This Row],[Mine Action]]/tblPiNAnalysis[[#This Row],[Total Population]], 0.05)), "")</f>
        <v/>
      </c>
      <c r="AE255" s="314" t="str">
        <f>IFERROR(IF(tblPiNAnalysis[[#This Row],[General Protection]]="", "", MROUND(tblPiNAnalysis[[#This Row],[General Protection]]/tblPiNAnalysis[[#This Row],[Total Population]], 0.05)), "")</f>
        <v/>
      </c>
      <c r="AF255" s="319">
        <f>IFERROR(LARGE(tblPiNAnalysis[[#This Row],[Site Management ]:[General Protection]], 1), "")</f>
        <v>0</v>
      </c>
      <c r="AG255" s="320" t="e">
        <f>IF(tblPiNAnalysis[[#This Row],[Highest PiN]]="", "",tblPiNAnalysis[[#This Row],[Highest PiN]]/ tblPiNAnalysis[[#This Row],[Total Population]])</f>
        <v>#DIV/0!</v>
      </c>
      <c r="AH255" s="320" t="str">
        <f>IFERROR(IF(tblPiNAnalysis[[#This Row],[Highest PiN]]="", "", IF(tblPiNAnalysis[[#This Row],[Highest sector(s'') PiN %]]&gt;=flag_pin_perc, "Flagged", "")), "")</f>
        <v/>
      </c>
      <c r="AI255" s="321"/>
      <c r="AJ255" s="322"/>
      <c r="AK255" s="323">
        <f>COUNTIFS(tblPiNAnalysis[[#This Row],[Highest PiN greater than 90% of total affected population]:[Manual Flag]],"Flagged")</f>
        <v>0</v>
      </c>
      <c r="AL255" s="324" t="str">
        <f>IF(tblPiNAnalysis[[#This Row],['# Flags]]&gt;0, "Flagged", "")</f>
        <v/>
      </c>
    </row>
    <row r="256" spans="1:38" ht="23.1" hidden="1" customHeight="1" x14ac:dyDescent="0.2">
      <c r="A256" s="309" t="str">
        <f>_xlfn.CONCAT(IF(tblPiNAnalysis[[#This Row],[Population Group]]="", "",tblPiNAnalysis[[#This Row],[Population Group]] ), _xlfn.IFS(tblPiNAnalysis[[#This Row],[Admin 2 P-Code]]&lt;&gt;"", tblPiNAnalysis[[#This Row],[Admin 2 P-Code]], tblPiNAnalysis[[#This Row],[Admin 1 P-Code]]&lt;&gt;"", tblPiNAnalysis[[#This Row],[Admin 1 P-Code]]))</f>
        <v>Host CommunitySD07105</v>
      </c>
      <c r="B256" s="245" t="s">
        <v>188</v>
      </c>
      <c r="C256" s="246" t="s">
        <v>124</v>
      </c>
      <c r="D256" s="247" t="s">
        <v>362</v>
      </c>
      <c r="E256" s="246" t="s">
        <v>363</v>
      </c>
      <c r="F256" s="248">
        <v>8373</v>
      </c>
      <c r="G256" s="248" t="s">
        <v>87</v>
      </c>
      <c r="H256" s="310"/>
      <c r="I256" s="311"/>
      <c r="J256" s="312"/>
      <c r="K256" s="311"/>
      <c r="L256" s="311"/>
      <c r="M256" s="312"/>
      <c r="N256" s="312">
        <f>_xlfn.XLOOKUP(CONCATENATE(tblPiNAnalysis[[#This Row],[Admin 2 P-Code]],tblPiNAnalysis[[#This Row],[Population Group]]),'Overall severity &amp; PIN Analysis'!A:A,'Overall severity &amp; PIN Analysis'!P:P,0,0)</f>
        <v>7151</v>
      </c>
      <c r="O256" s="311"/>
      <c r="P256" s="312"/>
      <c r="Q256" s="312"/>
      <c r="R256" s="312"/>
      <c r="S256" s="312"/>
      <c r="T256" s="313" t="str">
        <f>IF(tblPiNAnalysis[[#This Row],[Site Management ]]="", "", tblPiNAnalysis[[#This Row],[Site Management ]]/tblPiNAnalysis[[#This Row],[Total Population]])</f>
        <v/>
      </c>
      <c r="U256" s="314" t="str">
        <f>IF(tblPiNAnalysis[[#This Row],[Education]]="", "", tblPiNAnalysis[[#This Row],[Education]]/tblPiNAnalysis[[#This Row],[Total Population]])</f>
        <v/>
      </c>
      <c r="V256" s="314" t="str">
        <f>IF(tblPiNAnalysis[[#This Row],[Food Security and Livlihoods]]="", "", tblPiNAnalysis[[#This Row],[Food Security and Livlihoods]]/tblPiNAnalysis[[#This Row],[Total Population]])</f>
        <v/>
      </c>
      <c r="W256" s="315" t="str">
        <f>IF(tblPiNAnalysis[[#This Row],[Health ]]="", "", tblPiNAnalysis[[#This Row],[Health ]]/tblPiNAnalysis[[#This Row],[Total Population]])</f>
        <v/>
      </c>
      <c r="X256" s="314" t="str">
        <f>IF(tblPiNAnalysis[[#This Row],[Nutrition]]="", "", tblPiNAnalysis[[#This Row],[Nutrition]]/tblPiNAnalysis[[#This Row],[Total Population]])</f>
        <v/>
      </c>
      <c r="Y256" s="314" t="str">
        <f>IF(tblPiNAnalysis[[#This Row],[Protection]]="", "", tblPiNAnalysis[[#This Row],[Protection]]/tblPiNAnalysis[[#This Row],[Total Population]])</f>
        <v/>
      </c>
      <c r="Z256" s="316">
        <f>IF(tblPiNAnalysis[[#This Row],[Shelter NFI ]]="", "", tblPiNAnalysis[[#This Row],[Shelter NFI ]]/tblPiNAnalysis[[#This Row],[Total Population]])</f>
        <v>0.85405469962976233</v>
      </c>
      <c r="AA256" s="317" t="str">
        <f>IF(tblPiNAnalysis[[#This Row],[WASH]]="", "", tblPiNAnalysis[[#This Row],[WASH]]/tblPiNAnalysis[[#This Row],[Total Population]])</f>
        <v/>
      </c>
      <c r="AB256" s="318" t="str">
        <f>IFERROR(IF(tblPiNAnalysis[[#This Row],[CP]]="", "", MROUND(tblPiNAnalysis[[#This Row],[CP]]/tblPiNAnalysis[[#This Row],[Total Population]], 0.05)), "")</f>
        <v/>
      </c>
      <c r="AC256" s="314" t="str">
        <f>IFERROR(IF(tblPiNAnalysis[[#This Row],[GBV]]="", "", MROUND(tblPiNAnalysis[[#This Row],[GBV]]/tblPiNAnalysis[[#This Row],[Total Population]], 0.05)), "")</f>
        <v/>
      </c>
      <c r="AD256" s="314" t="str">
        <f>IFERROR(IF(tblPiNAnalysis[[#This Row],[Mine Action]]="", "", MROUND(tblPiNAnalysis[[#This Row],[Mine Action]]/tblPiNAnalysis[[#This Row],[Total Population]], 0.05)), "")</f>
        <v/>
      </c>
      <c r="AE256" s="314" t="str">
        <f>IFERROR(IF(tblPiNAnalysis[[#This Row],[General Protection]]="", "", MROUND(tblPiNAnalysis[[#This Row],[General Protection]]/tblPiNAnalysis[[#This Row],[Total Population]], 0.05)), "")</f>
        <v/>
      </c>
      <c r="AF256" s="319">
        <f>IFERROR(LARGE(tblPiNAnalysis[[#This Row],[Site Management ]:[General Protection]], 1), "")</f>
        <v>7151</v>
      </c>
      <c r="AG256" s="320">
        <f>IF(tblPiNAnalysis[[#This Row],[Highest PiN]]="", "",tblPiNAnalysis[[#This Row],[Highest PiN]]/ tblPiNAnalysis[[#This Row],[Total Population]])</f>
        <v>0.85405469962976233</v>
      </c>
      <c r="AH256" s="320" t="str">
        <f>IFERROR(IF(tblPiNAnalysis[[#This Row],[Highest PiN]]="", "", IF(tblPiNAnalysis[[#This Row],[Highest sector(s'') PiN %]]&gt;=flag_pin_perc, "Flagged", "")), "")</f>
        <v/>
      </c>
      <c r="AI256" s="321"/>
      <c r="AJ256" s="322"/>
      <c r="AK256" s="323">
        <f>COUNTIFS(tblPiNAnalysis[[#This Row],[Highest PiN greater than 90% of total affected population]:[Manual Flag]],"Flagged")</f>
        <v>0</v>
      </c>
      <c r="AL256" s="324" t="str">
        <f>IF(tblPiNAnalysis[[#This Row],['# Flags]]&gt;0, "Flagged", "")</f>
        <v/>
      </c>
    </row>
    <row r="257" spans="1:38" ht="23.1" hidden="1" customHeight="1" x14ac:dyDescent="0.2">
      <c r="A257" s="309" t="str">
        <f>_xlfn.CONCAT(IF(tblPiNAnalysis[[#This Row],[Population Group]]="", "",tblPiNAnalysis[[#This Row],[Population Group]] ), _xlfn.IFS(tblPiNAnalysis[[#This Row],[Admin 2 P-Code]]&lt;&gt;"", tblPiNAnalysis[[#This Row],[Admin 2 P-Code]], tblPiNAnalysis[[#This Row],[Admin 1 P-Code]]&lt;&gt;"", tblPiNAnalysis[[#This Row],[Admin 1 P-Code]]))</f>
        <v>IDPsSD07105</v>
      </c>
      <c r="B257" s="245" t="s">
        <v>188</v>
      </c>
      <c r="C257" s="246" t="s">
        <v>124</v>
      </c>
      <c r="D257" s="247" t="s">
        <v>362</v>
      </c>
      <c r="E257" s="246" t="s">
        <v>363</v>
      </c>
      <c r="F257" s="248">
        <v>6641</v>
      </c>
      <c r="G257" s="248" t="s">
        <v>88</v>
      </c>
      <c r="H257" s="310"/>
      <c r="I257" s="311"/>
      <c r="J257" s="312"/>
      <c r="K257" s="311"/>
      <c r="L257" s="311"/>
      <c r="M257" s="312"/>
      <c r="N257" s="312">
        <f>_xlfn.XLOOKUP(CONCATENATE(tblPiNAnalysis[[#This Row],[Admin 2 P-Code]],tblPiNAnalysis[[#This Row],[Population Group]]),'Overall severity &amp; PIN Analysis'!A:A,'Overall severity &amp; PIN Analysis'!P:P,0,0)</f>
        <v>5672</v>
      </c>
      <c r="O257" s="311"/>
      <c r="P257" s="312"/>
      <c r="Q257" s="312"/>
      <c r="R257" s="312"/>
      <c r="S257" s="312"/>
      <c r="T257" s="313" t="str">
        <f>IF(tblPiNAnalysis[[#This Row],[Site Management ]]="", "", tblPiNAnalysis[[#This Row],[Site Management ]]/tblPiNAnalysis[[#This Row],[Total Population]])</f>
        <v/>
      </c>
      <c r="U257" s="314" t="str">
        <f>IF(tblPiNAnalysis[[#This Row],[Education]]="", "", tblPiNAnalysis[[#This Row],[Education]]/tblPiNAnalysis[[#This Row],[Total Population]])</f>
        <v/>
      </c>
      <c r="V257" s="314" t="str">
        <f>IF(tblPiNAnalysis[[#This Row],[Food Security and Livlihoods]]="", "", tblPiNAnalysis[[#This Row],[Food Security and Livlihoods]]/tblPiNAnalysis[[#This Row],[Total Population]])</f>
        <v/>
      </c>
      <c r="W257" s="315" t="str">
        <f>IF(tblPiNAnalysis[[#This Row],[Health ]]="", "", tblPiNAnalysis[[#This Row],[Health ]]/tblPiNAnalysis[[#This Row],[Total Population]])</f>
        <v/>
      </c>
      <c r="X257" s="314" t="str">
        <f>IF(tblPiNAnalysis[[#This Row],[Nutrition]]="", "", tblPiNAnalysis[[#This Row],[Nutrition]]/tblPiNAnalysis[[#This Row],[Total Population]])</f>
        <v/>
      </c>
      <c r="Y257" s="314" t="str">
        <f>IF(tblPiNAnalysis[[#This Row],[Protection]]="", "", tblPiNAnalysis[[#This Row],[Protection]]/tblPiNAnalysis[[#This Row],[Total Population]])</f>
        <v/>
      </c>
      <c r="Z257" s="316">
        <f>IF(tblPiNAnalysis[[#This Row],[Shelter NFI ]]="", "", tblPiNAnalysis[[#This Row],[Shelter NFI ]]/tblPiNAnalysis[[#This Row],[Total Population]])</f>
        <v>0.85408823972293324</v>
      </c>
      <c r="AA257" s="317" t="str">
        <f>IF(tblPiNAnalysis[[#This Row],[WASH]]="", "", tblPiNAnalysis[[#This Row],[WASH]]/tblPiNAnalysis[[#This Row],[Total Population]])</f>
        <v/>
      </c>
      <c r="AB257" s="318" t="str">
        <f>IFERROR(IF(tblPiNAnalysis[[#This Row],[CP]]="", "", MROUND(tblPiNAnalysis[[#This Row],[CP]]/tblPiNAnalysis[[#This Row],[Total Population]], 0.05)), "")</f>
        <v/>
      </c>
      <c r="AC257" s="314" t="str">
        <f>IFERROR(IF(tblPiNAnalysis[[#This Row],[GBV]]="", "", MROUND(tblPiNAnalysis[[#This Row],[GBV]]/tblPiNAnalysis[[#This Row],[Total Population]], 0.05)), "")</f>
        <v/>
      </c>
      <c r="AD257" s="314" t="str">
        <f>IFERROR(IF(tblPiNAnalysis[[#This Row],[Mine Action]]="", "", MROUND(tblPiNAnalysis[[#This Row],[Mine Action]]/tblPiNAnalysis[[#This Row],[Total Population]], 0.05)), "")</f>
        <v/>
      </c>
      <c r="AE257" s="314" t="str">
        <f>IFERROR(IF(tblPiNAnalysis[[#This Row],[General Protection]]="", "", MROUND(tblPiNAnalysis[[#This Row],[General Protection]]/tblPiNAnalysis[[#This Row],[Total Population]], 0.05)), "")</f>
        <v/>
      </c>
      <c r="AF257" s="319">
        <f>IFERROR(LARGE(tblPiNAnalysis[[#This Row],[Site Management ]:[General Protection]], 1), "")</f>
        <v>5672</v>
      </c>
      <c r="AG257" s="320">
        <f>IF(tblPiNAnalysis[[#This Row],[Highest PiN]]="", "",tblPiNAnalysis[[#This Row],[Highest PiN]]/ tblPiNAnalysis[[#This Row],[Total Population]])</f>
        <v>0.85408823972293324</v>
      </c>
      <c r="AH257" s="320" t="str">
        <f>IFERROR(IF(tblPiNAnalysis[[#This Row],[Highest PiN]]="", "", IF(tblPiNAnalysis[[#This Row],[Highest sector(s'') PiN %]]&gt;=flag_pin_perc, "Flagged", "")), "")</f>
        <v/>
      </c>
      <c r="AI257" s="321"/>
      <c r="AJ257" s="322"/>
      <c r="AK257" s="323">
        <f>COUNTIFS(tblPiNAnalysis[[#This Row],[Highest PiN greater than 90% of total affected population]:[Manual Flag]],"Flagged")</f>
        <v>0</v>
      </c>
      <c r="AL257" s="324" t="str">
        <f>IF(tblPiNAnalysis[[#This Row],['# Flags]]&gt;0, "Flagged", "")</f>
        <v/>
      </c>
    </row>
    <row r="258" spans="1:38" ht="23.1" customHeight="1" x14ac:dyDescent="0.2">
      <c r="A258" s="309" t="str">
        <f>_xlfn.CONCAT(IF(tblPiNAnalysis[[#This Row],[Population Group]]="", "",tblPiNAnalysis[[#This Row],[Population Group]] ), _xlfn.IFS(tblPiNAnalysis[[#This Row],[Admin 2 P-Code]]&lt;&gt;"", tblPiNAnalysis[[#This Row],[Admin 2 P-Code]], tblPiNAnalysis[[#This Row],[Admin 1 P-Code]]&lt;&gt;"", tblPiNAnalysis[[#This Row],[Admin 1 P-Code]]))</f>
        <v>Non-hosting PopulationSD07105</v>
      </c>
      <c r="B258" s="245" t="s">
        <v>188</v>
      </c>
      <c r="C258" s="246" t="s">
        <v>124</v>
      </c>
      <c r="D258" s="247" t="s">
        <v>362</v>
      </c>
      <c r="E258" s="246" t="s">
        <v>363</v>
      </c>
      <c r="F258" s="248">
        <v>11654</v>
      </c>
      <c r="G258" s="248" t="s">
        <v>568</v>
      </c>
      <c r="H258" s="310"/>
      <c r="I258" s="311"/>
      <c r="J258" s="312"/>
      <c r="K258" s="311"/>
      <c r="L258" s="311"/>
      <c r="M258" s="312"/>
      <c r="N258" s="312">
        <f>_xlfn.XLOOKUP(CONCATENATE(tblPiNAnalysis[[#This Row],[Admin 2 P-Code]],tblPiNAnalysis[[#This Row],[Population Group]]),'Overall severity &amp; PIN Analysis'!A:A,'Overall severity &amp; PIN Analysis'!P:P,0,0)</f>
        <v>66</v>
      </c>
      <c r="O258" s="311"/>
      <c r="P258" s="312"/>
      <c r="Q258" s="312"/>
      <c r="R258" s="312"/>
      <c r="S258" s="312"/>
      <c r="T258" s="313" t="str">
        <f>IF(tblPiNAnalysis[[#This Row],[Site Management ]]="", "", tblPiNAnalysis[[#This Row],[Site Management ]]/tblPiNAnalysis[[#This Row],[Total Population]])</f>
        <v/>
      </c>
      <c r="U258" s="314" t="str">
        <f>IF(tblPiNAnalysis[[#This Row],[Education]]="", "", tblPiNAnalysis[[#This Row],[Education]]/tblPiNAnalysis[[#This Row],[Total Population]])</f>
        <v/>
      </c>
      <c r="V258" s="314" t="str">
        <f>IF(tblPiNAnalysis[[#This Row],[Food Security and Livlihoods]]="", "", tblPiNAnalysis[[#This Row],[Food Security and Livlihoods]]/tblPiNAnalysis[[#This Row],[Total Population]])</f>
        <v/>
      </c>
      <c r="W258" s="315" t="str">
        <f>IF(tblPiNAnalysis[[#This Row],[Health ]]="", "", tblPiNAnalysis[[#This Row],[Health ]]/tblPiNAnalysis[[#This Row],[Total Population]])</f>
        <v/>
      </c>
      <c r="X258" s="314" t="str">
        <f>IF(tblPiNAnalysis[[#This Row],[Nutrition]]="", "", tblPiNAnalysis[[#This Row],[Nutrition]]/tblPiNAnalysis[[#This Row],[Total Population]])</f>
        <v/>
      </c>
      <c r="Y258" s="314" t="str">
        <f>IF(tblPiNAnalysis[[#This Row],[Protection]]="", "", tblPiNAnalysis[[#This Row],[Protection]]/tblPiNAnalysis[[#This Row],[Total Population]])</f>
        <v/>
      </c>
      <c r="Z258" s="316">
        <f>IF(tblPiNAnalysis[[#This Row],[Shelter NFI ]]="", "", tblPiNAnalysis[[#This Row],[Shelter NFI ]]/tblPiNAnalysis[[#This Row],[Total Population]])</f>
        <v>5.663291573708598E-3</v>
      </c>
      <c r="AA258" s="317" t="str">
        <f>IF(tblPiNAnalysis[[#This Row],[WASH]]="", "", tblPiNAnalysis[[#This Row],[WASH]]/tblPiNAnalysis[[#This Row],[Total Population]])</f>
        <v/>
      </c>
      <c r="AB258" s="318" t="str">
        <f>IFERROR(IF(tblPiNAnalysis[[#This Row],[CP]]="", "", MROUND(tblPiNAnalysis[[#This Row],[CP]]/tblPiNAnalysis[[#This Row],[Total Population]], 0.05)), "")</f>
        <v/>
      </c>
      <c r="AC258" s="314" t="str">
        <f>IFERROR(IF(tblPiNAnalysis[[#This Row],[GBV]]="", "", MROUND(tblPiNAnalysis[[#This Row],[GBV]]/tblPiNAnalysis[[#This Row],[Total Population]], 0.05)), "")</f>
        <v/>
      </c>
      <c r="AD258" s="314" t="str">
        <f>IFERROR(IF(tblPiNAnalysis[[#This Row],[Mine Action]]="", "", MROUND(tblPiNAnalysis[[#This Row],[Mine Action]]/tblPiNAnalysis[[#This Row],[Total Population]], 0.05)), "")</f>
        <v/>
      </c>
      <c r="AE258" s="314" t="str">
        <f>IFERROR(IF(tblPiNAnalysis[[#This Row],[General Protection]]="", "", MROUND(tblPiNAnalysis[[#This Row],[General Protection]]/tblPiNAnalysis[[#This Row],[Total Population]], 0.05)), "")</f>
        <v/>
      </c>
      <c r="AF258" s="319">
        <f>IFERROR(LARGE(tblPiNAnalysis[[#This Row],[Site Management ]:[General Protection]], 1), "")</f>
        <v>66</v>
      </c>
      <c r="AG258" s="320">
        <f>IF(tblPiNAnalysis[[#This Row],[Highest PiN]]="", "",tblPiNAnalysis[[#This Row],[Highest PiN]]/ tblPiNAnalysis[[#This Row],[Total Population]])</f>
        <v>5.663291573708598E-3</v>
      </c>
      <c r="AH258" s="320" t="str">
        <f>IFERROR(IF(tblPiNAnalysis[[#This Row],[Highest PiN]]="", "", IF(tblPiNAnalysis[[#This Row],[Highest sector(s'') PiN %]]&gt;=flag_pin_perc, "Flagged", "")), "")</f>
        <v/>
      </c>
      <c r="AI258" s="321"/>
      <c r="AJ258" s="322"/>
      <c r="AK258" s="323">
        <f>COUNTIFS(tblPiNAnalysis[[#This Row],[Highest PiN greater than 90% of total affected population]:[Manual Flag]],"Flagged")</f>
        <v>0</v>
      </c>
      <c r="AL258" s="324" t="str">
        <f>IF(tblPiNAnalysis[[#This Row],['# Flags]]&gt;0, "Flagged", "")</f>
        <v/>
      </c>
    </row>
    <row r="259" spans="1:38" ht="23.1" hidden="1" customHeight="1" x14ac:dyDescent="0.2">
      <c r="A259" s="309" t="str">
        <f>_xlfn.CONCAT(IF(tblPiNAnalysis[[#This Row],[Population Group]]="", "",tblPiNAnalysis[[#This Row],[Population Group]] ), _xlfn.IFS(tblPiNAnalysis[[#This Row],[Admin 2 P-Code]]&lt;&gt;"", tblPiNAnalysis[[#This Row],[Admin 2 P-Code]], tblPiNAnalysis[[#This Row],[Admin 1 P-Code]]&lt;&gt;"", tblPiNAnalysis[[#This Row],[Admin 1 P-Code]]))</f>
        <v>Host CommunitySD07106</v>
      </c>
      <c r="B259" s="245" t="s">
        <v>188</v>
      </c>
      <c r="C259" s="246" t="s">
        <v>124</v>
      </c>
      <c r="D259" s="247" t="s">
        <v>364</v>
      </c>
      <c r="E259" s="246" t="s">
        <v>365</v>
      </c>
      <c r="F259" s="248">
        <v>2887</v>
      </c>
      <c r="G259" s="248" t="s">
        <v>87</v>
      </c>
      <c r="H259" s="310"/>
      <c r="I259" s="311"/>
      <c r="J259" s="312"/>
      <c r="K259" s="311"/>
      <c r="L259" s="311"/>
      <c r="M259" s="312"/>
      <c r="N259" s="312">
        <f>_xlfn.XLOOKUP(CONCATENATE(tblPiNAnalysis[[#This Row],[Admin 2 P-Code]],tblPiNAnalysis[[#This Row],[Population Group]]),'Overall severity &amp; PIN Analysis'!A:A,'Overall severity &amp; PIN Analysis'!P:P,0,0)</f>
        <v>1286</v>
      </c>
      <c r="O259" s="311"/>
      <c r="P259" s="312"/>
      <c r="Q259" s="312"/>
      <c r="R259" s="312"/>
      <c r="S259" s="312"/>
      <c r="T259" s="313" t="str">
        <f>IF(tblPiNAnalysis[[#This Row],[Site Management ]]="", "", tblPiNAnalysis[[#This Row],[Site Management ]]/tblPiNAnalysis[[#This Row],[Total Population]])</f>
        <v/>
      </c>
      <c r="U259" s="314" t="str">
        <f>IF(tblPiNAnalysis[[#This Row],[Education]]="", "", tblPiNAnalysis[[#This Row],[Education]]/tblPiNAnalysis[[#This Row],[Total Population]])</f>
        <v/>
      </c>
      <c r="V259" s="314" t="str">
        <f>IF(tblPiNAnalysis[[#This Row],[Food Security and Livlihoods]]="", "", tblPiNAnalysis[[#This Row],[Food Security and Livlihoods]]/tblPiNAnalysis[[#This Row],[Total Population]])</f>
        <v/>
      </c>
      <c r="W259" s="315" t="str">
        <f>IF(tblPiNAnalysis[[#This Row],[Health ]]="", "", tblPiNAnalysis[[#This Row],[Health ]]/tblPiNAnalysis[[#This Row],[Total Population]])</f>
        <v/>
      </c>
      <c r="X259" s="314" t="str">
        <f>IF(tblPiNAnalysis[[#This Row],[Nutrition]]="", "", tblPiNAnalysis[[#This Row],[Nutrition]]/tblPiNAnalysis[[#This Row],[Total Population]])</f>
        <v/>
      </c>
      <c r="Y259" s="314" t="str">
        <f>IF(tblPiNAnalysis[[#This Row],[Protection]]="", "", tblPiNAnalysis[[#This Row],[Protection]]/tblPiNAnalysis[[#This Row],[Total Population]])</f>
        <v/>
      </c>
      <c r="Z259" s="316">
        <f>IF(tblPiNAnalysis[[#This Row],[Shelter NFI ]]="", "", tblPiNAnalysis[[#This Row],[Shelter NFI ]]/tblPiNAnalysis[[#This Row],[Total Population]])</f>
        <v>0.44544509871839277</v>
      </c>
      <c r="AA259" s="317" t="str">
        <f>IF(tblPiNAnalysis[[#This Row],[WASH]]="", "", tblPiNAnalysis[[#This Row],[WASH]]/tblPiNAnalysis[[#This Row],[Total Population]])</f>
        <v/>
      </c>
      <c r="AB259" s="318" t="str">
        <f>IFERROR(IF(tblPiNAnalysis[[#This Row],[CP]]="", "", MROUND(tblPiNAnalysis[[#This Row],[CP]]/tblPiNAnalysis[[#This Row],[Total Population]], 0.05)), "")</f>
        <v/>
      </c>
      <c r="AC259" s="314" t="str">
        <f>IFERROR(IF(tblPiNAnalysis[[#This Row],[GBV]]="", "", MROUND(tblPiNAnalysis[[#This Row],[GBV]]/tblPiNAnalysis[[#This Row],[Total Population]], 0.05)), "")</f>
        <v/>
      </c>
      <c r="AD259" s="314" t="str">
        <f>IFERROR(IF(tblPiNAnalysis[[#This Row],[Mine Action]]="", "", MROUND(tblPiNAnalysis[[#This Row],[Mine Action]]/tblPiNAnalysis[[#This Row],[Total Population]], 0.05)), "")</f>
        <v/>
      </c>
      <c r="AE259" s="314" t="str">
        <f>IFERROR(IF(tblPiNAnalysis[[#This Row],[General Protection]]="", "", MROUND(tblPiNAnalysis[[#This Row],[General Protection]]/tblPiNAnalysis[[#This Row],[Total Population]], 0.05)), "")</f>
        <v/>
      </c>
      <c r="AF259" s="319">
        <f>IFERROR(LARGE(tblPiNAnalysis[[#This Row],[Site Management ]:[General Protection]], 1), "")</f>
        <v>1286</v>
      </c>
      <c r="AG259" s="320">
        <f>IF(tblPiNAnalysis[[#This Row],[Highest PiN]]="", "",tblPiNAnalysis[[#This Row],[Highest PiN]]/ tblPiNAnalysis[[#This Row],[Total Population]])</f>
        <v>0.44544509871839277</v>
      </c>
      <c r="AH259" s="320" t="str">
        <f>IFERROR(IF(tblPiNAnalysis[[#This Row],[Highest PiN]]="", "", IF(tblPiNAnalysis[[#This Row],[Highest sector(s'') PiN %]]&gt;=flag_pin_perc, "Flagged", "")), "")</f>
        <v/>
      </c>
      <c r="AI259" s="321"/>
      <c r="AJ259" s="322"/>
      <c r="AK259" s="323">
        <f>COUNTIFS(tblPiNAnalysis[[#This Row],[Highest PiN greater than 90% of total affected population]:[Manual Flag]],"Flagged")</f>
        <v>0</v>
      </c>
      <c r="AL259" s="324" t="str">
        <f>IF(tblPiNAnalysis[[#This Row],['# Flags]]&gt;0, "Flagged", "")</f>
        <v/>
      </c>
    </row>
    <row r="260" spans="1:38" ht="23.1" hidden="1" customHeight="1" x14ac:dyDescent="0.2">
      <c r="A260" s="309" t="str">
        <f>_xlfn.CONCAT(IF(tblPiNAnalysis[[#This Row],[Population Group]]="", "",tblPiNAnalysis[[#This Row],[Population Group]] ), _xlfn.IFS(tblPiNAnalysis[[#This Row],[Admin 2 P-Code]]&lt;&gt;"", tblPiNAnalysis[[#This Row],[Admin 2 P-Code]], tblPiNAnalysis[[#This Row],[Admin 1 P-Code]]&lt;&gt;"", tblPiNAnalysis[[#This Row],[Admin 1 P-Code]]))</f>
        <v>IDPsSD07106</v>
      </c>
      <c r="B260" s="245" t="s">
        <v>188</v>
      </c>
      <c r="C260" s="246" t="s">
        <v>124</v>
      </c>
      <c r="D260" s="247" t="s">
        <v>364</v>
      </c>
      <c r="E260" s="246" t="s">
        <v>365</v>
      </c>
      <c r="F260" s="248">
        <v>2093</v>
      </c>
      <c r="G260" s="248" t="s">
        <v>88</v>
      </c>
      <c r="H260" s="310"/>
      <c r="I260" s="311"/>
      <c r="J260" s="312"/>
      <c r="K260" s="311"/>
      <c r="L260" s="311"/>
      <c r="M260" s="312"/>
      <c r="N260" s="312">
        <f>_xlfn.XLOOKUP(CONCATENATE(tblPiNAnalysis[[#This Row],[Admin 2 P-Code]],tblPiNAnalysis[[#This Row],[Population Group]]),'Overall severity &amp; PIN Analysis'!A:A,'Overall severity &amp; PIN Analysis'!P:P,0,0)</f>
        <v>933</v>
      </c>
      <c r="O260" s="311"/>
      <c r="P260" s="312"/>
      <c r="Q260" s="312"/>
      <c r="R260" s="312"/>
      <c r="S260" s="312"/>
      <c r="T260" s="313" t="str">
        <f>IF(tblPiNAnalysis[[#This Row],[Site Management ]]="", "", tblPiNAnalysis[[#This Row],[Site Management ]]/tblPiNAnalysis[[#This Row],[Total Population]])</f>
        <v/>
      </c>
      <c r="U260" s="314" t="str">
        <f>IF(tblPiNAnalysis[[#This Row],[Education]]="", "", tblPiNAnalysis[[#This Row],[Education]]/tblPiNAnalysis[[#This Row],[Total Population]])</f>
        <v/>
      </c>
      <c r="V260" s="314" t="str">
        <f>IF(tblPiNAnalysis[[#This Row],[Food Security and Livlihoods]]="", "", tblPiNAnalysis[[#This Row],[Food Security and Livlihoods]]/tblPiNAnalysis[[#This Row],[Total Population]])</f>
        <v/>
      </c>
      <c r="W260" s="315" t="str">
        <f>IF(tblPiNAnalysis[[#This Row],[Health ]]="", "", tblPiNAnalysis[[#This Row],[Health ]]/tblPiNAnalysis[[#This Row],[Total Population]])</f>
        <v/>
      </c>
      <c r="X260" s="314" t="str">
        <f>IF(tblPiNAnalysis[[#This Row],[Nutrition]]="", "", tblPiNAnalysis[[#This Row],[Nutrition]]/tblPiNAnalysis[[#This Row],[Total Population]])</f>
        <v/>
      </c>
      <c r="Y260" s="314" t="str">
        <f>IF(tblPiNAnalysis[[#This Row],[Protection]]="", "", tblPiNAnalysis[[#This Row],[Protection]]/tblPiNAnalysis[[#This Row],[Total Population]])</f>
        <v/>
      </c>
      <c r="Z260" s="316">
        <f>IF(tblPiNAnalysis[[#This Row],[Shelter NFI ]]="", "", tblPiNAnalysis[[#This Row],[Shelter NFI ]]/tblPiNAnalysis[[#This Row],[Total Population]])</f>
        <v>0.44577161968466317</v>
      </c>
      <c r="AA260" s="317" t="str">
        <f>IF(tblPiNAnalysis[[#This Row],[WASH]]="", "", tblPiNAnalysis[[#This Row],[WASH]]/tblPiNAnalysis[[#This Row],[Total Population]])</f>
        <v/>
      </c>
      <c r="AB260" s="318" t="str">
        <f>IFERROR(IF(tblPiNAnalysis[[#This Row],[CP]]="", "", MROUND(tblPiNAnalysis[[#This Row],[CP]]/tblPiNAnalysis[[#This Row],[Total Population]], 0.05)), "")</f>
        <v/>
      </c>
      <c r="AC260" s="314" t="str">
        <f>IFERROR(IF(tblPiNAnalysis[[#This Row],[GBV]]="", "", MROUND(tblPiNAnalysis[[#This Row],[GBV]]/tblPiNAnalysis[[#This Row],[Total Population]], 0.05)), "")</f>
        <v/>
      </c>
      <c r="AD260" s="314" t="str">
        <f>IFERROR(IF(tblPiNAnalysis[[#This Row],[Mine Action]]="", "", MROUND(tblPiNAnalysis[[#This Row],[Mine Action]]/tblPiNAnalysis[[#This Row],[Total Population]], 0.05)), "")</f>
        <v/>
      </c>
      <c r="AE260" s="314" t="str">
        <f>IFERROR(IF(tblPiNAnalysis[[#This Row],[General Protection]]="", "", MROUND(tblPiNAnalysis[[#This Row],[General Protection]]/tblPiNAnalysis[[#This Row],[Total Population]], 0.05)), "")</f>
        <v/>
      </c>
      <c r="AF260" s="319">
        <f>IFERROR(LARGE(tblPiNAnalysis[[#This Row],[Site Management ]:[General Protection]], 1), "")</f>
        <v>933</v>
      </c>
      <c r="AG260" s="320">
        <f>IF(tblPiNAnalysis[[#This Row],[Highest PiN]]="", "",tblPiNAnalysis[[#This Row],[Highest PiN]]/ tblPiNAnalysis[[#This Row],[Total Population]])</f>
        <v>0.44577161968466317</v>
      </c>
      <c r="AH260" s="320" t="str">
        <f>IFERROR(IF(tblPiNAnalysis[[#This Row],[Highest PiN]]="", "", IF(tblPiNAnalysis[[#This Row],[Highest sector(s'') PiN %]]&gt;=flag_pin_perc, "Flagged", "")), "")</f>
        <v/>
      </c>
      <c r="AI260" s="321"/>
      <c r="AJ260" s="322"/>
      <c r="AK260" s="323">
        <f>COUNTIFS(tblPiNAnalysis[[#This Row],[Highest PiN greater than 90% of total affected population]:[Manual Flag]],"Flagged")</f>
        <v>0</v>
      </c>
      <c r="AL260" s="324" t="str">
        <f>IF(tblPiNAnalysis[[#This Row],['# Flags]]&gt;0, "Flagged", "")</f>
        <v/>
      </c>
    </row>
    <row r="261" spans="1:38" ht="23.1" customHeight="1" x14ac:dyDescent="0.2">
      <c r="A261" s="309" t="str">
        <f>_xlfn.CONCAT(IF(tblPiNAnalysis[[#This Row],[Population Group]]="", "",tblPiNAnalysis[[#This Row],[Population Group]] ), _xlfn.IFS(tblPiNAnalysis[[#This Row],[Admin 2 P-Code]]&lt;&gt;"", tblPiNAnalysis[[#This Row],[Admin 2 P-Code]], tblPiNAnalysis[[#This Row],[Admin 1 P-Code]]&lt;&gt;"", tblPiNAnalysis[[#This Row],[Admin 1 P-Code]]))</f>
        <v>Non-hosting PopulationSD07106</v>
      </c>
      <c r="B261" s="245" t="s">
        <v>188</v>
      </c>
      <c r="C261" s="246" t="s">
        <v>124</v>
      </c>
      <c r="D261" s="247" t="s">
        <v>364</v>
      </c>
      <c r="E261" s="246" t="s">
        <v>365</v>
      </c>
      <c r="F261" s="248">
        <v>44539</v>
      </c>
      <c r="G261" s="248" t="s">
        <v>568</v>
      </c>
      <c r="H261" s="310"/>
      <c r="I261" s="311"/>
      <c r="J261" s="312"/>
      <c r="K261" s="311"/>
      <c r="L261" s="311"/>
      <c r="M261" s="312"/>
      <c r="N261" s="312">
        <f>_xlfn.XLOOKUP(CONCATENATE(tblPiNAnalysis[[#This Row],[Admin 2 P-Code]],tblPiNAnalysis[[#This Row],[Population Group]]),'Overall severity &amp; PIN Analysis'!A:A,'Overall severity &amp; PIN Analysis'!P:P,0,0)</f>
        <v>2918</v>
      </c>
      <c r="O261" s="311"/>
      <c r="P261" s="312"/>
      <c r="Q261" s="312"/>
      <c r="R261" s="312"/>
      <c r="S261" s="312"/>
      <c r="T261" s="313" t="str">
        <f>IF(tblPiNAnalysis[[#This Row],[Site Management ]]="", "", tblPiNAnalysis[[#This Row],[Site Management ]]/tblPiNAnalysis[[#This Row],[Total Population]])</f>
        <v/>
      </c>
      <c r="U261" s="314" t="str">
        <f>IF(tblPiNAnalysis[[#This Row],[Education]]="", "", tblPiNAnalysis[[#This Row],[Education]]/tblPiNAnalysis[[#This Row],[Total Population]])</f>
        <v/>
      </c>
      <c r="V261" s="314" t="str">
        <f>IF(tblPiNAnalysis[[#This Row],[Food Security and Livlihoods]]="", "", tblPiNAnalysis[[#This Row],[Food Security and Livlihoods]]/tblPiNAnalysis[[#This Row],[Total Population]])</f>
        <v/>
      </c>
      <c r="W261" s="315" t="str">
        <f>IF(tblPiNAnalysis[[#This Row],[Health ]]="", "", tblPiNAnalysis[[#This Row],[Health ]]/tblPiNAnalysis[[#This Row],[Total Population]])</f>
        <v/>
      </c>
      <c r="X261" s="314" t="str">
        <f>IF(tblPiNAnalysis[[#This Row],[Nutrition]]="", "", tblPiNAnalysis[[#This Row],[Nutrition]]/tblPiNAnalysis[[#This Row],[Total Population]])</f>
        <v/>
      </c>
      <c r="Y261" s="314" t="str">
        <f>IF(tblPiNAnalysis[[#This Row],[Protection]]="", "", tblPiNAnalysis[[#This Row],[Protection]]/tblPiNAnalysis[[#This Row],[Total Population]])</f>
        <v/>
      </c>
      <c r="Z261" s="316">
        <f>IF(tblPiNAnalysis[[#This Row],[Shelter NFI ]]="", "", tblPiNAnalysis[[#This Row],[Shelter NFI ]]/tblPiNAnalysis[[#This Row],[Total Population]])</f>
        <v>6.5515615527964255E-2</v>
      </c>
      <c r="AA261" s="317" t="str">
        <f>IF(tblPiNAnalysis[[#This Row],[WASH]]="", "", tblPiNAnalysis[[#This Row],[WASH]]/tblPiNAnalysis[[#This Row],[Total Population]])</f>
        <v/>
      </c>
      <c r="AB261" s="318" t="str">
        <f>IFERROR(IF(tblPiNAnalysis[[#This Row],[CP]]="", "", MROUND(tblPiNAnalysis[[#This Row],[CP]]/tblPiNAnalysis[[#This Row],[Total Population]], 0.05)), "")</f>
        <v/>
      </c>
      <c r="AC261" s="314" t="str">
        <f>IFERROR(IF(tblPiNAnalysis[[#This Row],[GBV]]="", "", MROUND(tblPiNAnalysis[[#This Row],[GBV]]/tblPiNAnalysis[[#This Row],[Total Population]], 0.05)), "")</f>
        <v/>
      </c>
      <c r="AD261" s="314" t="str">
        <f>IFERROR(IF(tblPiNAnalysis[[#This Row],[Mine Action]]="", "", MROUND(tblPiNAnalysis[[#This Row],[Mine Action]]/tblPiNAnalysis[[#This Row],[Total Population]], 0.05)), "")</f>
        <v/>
      </c>
      <c r="AE261" s="314" t="str">
        <f>IFERROR(IF(tblPiNAnalysis[[#This Row],[General Protection]]="", "", MROUND(tblPiNAnalysis[[#This Row],[General Protection]]/tblPiNAnalysis[[#This Row],[Total Population]], 0.05)), "")</f>
        <v/>
      </c>
      <c r="AF261" s="319">
        <f>IFERROR(LARGE(tblPiNAnalysis[[#This Row],[Site Management ]:[General Protection]], 1), "")</f>
        <v>2918</v>
      </c>
      <c r="AG261" s="320">
        <f>IF(tblPiNAnalysis[[#This Row],[Highest PiN]]="", "",tblPiNAnalysis[[#This Row],[Highest PiN]]/ tblPiNAnalysis[[#This Row],[Total Population]])</f>
        <v>6.5515615527964255E-2</v>
      </c>
      <c r="AH261" s="320" t="str">
        <f>IFERROR(IF(tblPiNAnalysis[[#This Row],[Highest PiN]]="", "", IF(tblPiNAnalysis[[#This Row],[Highest sector(s'') PiN %]]&gt;=flag_pin_perc, "Flagged", "")), "")</f>
        <v/>
      </c>
      <c r="AI261" s="321"/>
      <c r="AJ261" s="322"/>
      <c r="AK261" s="323">
        <f>COUNTIFS(tblPiNAnalysis[[#This Row],[Highest PiN greater than 90% of total affected population]:[Manual Flag]],"Flagged")</f>
        <v>0</v>
      </c>
      <c r="AL261" s="324" t="str">
        <f>IF(tblPiNAnalysis[[#This Row],['# Flags]]&gt;0, "Flagged", "")</f>
        <v/>
      </c>
    </row>
    <row r="262" spans="1:38" ht="23.1" hidden="1" customHeight="1" x14ac:dyDescent="0.2">
      <c r="A262" s="309" t="str">
        <f>_xlfn.CONCAT(IF(tblPiNAnalysis[[#This Row],[Population Group]]="", "",tblPiNAnalysis[[#This Row],[Population Group]] ), _xlfn.IFS(tblPiNAnalysis[[#This Row],[Admin 2 P-Code]]&lt;&gt;"", tblPiNAnalysis[[#This Row],[Admin 2 P-Code]], tblPiNAnalysis[[#This Row],[Admin 1 P-Code]]&lt;&gt;"", tblPiNAnalysis[[#This Row],[Admin 1 P-Code]]))</f>
        <v>Host CommunitySD07107</v>
      </c>
      <c r="B262" s="245" t="s">
        <v>188</v>
      </c>
      <c r="C262" s="246" t="s">
        <v>124</v>
      </c>
      <c r="D262" s="247" t="s">
        <v>366</v>
      </c>
      <c r="E262" s="246" t="s">
        <v>367</v>
      </c>
      <c r="F262" s="248">
        <v>4781</v>
      </c>
      <c r="G262" s="248" t="s">
        <v>87</v>
      </c>
      <c r="H262" s="310"/>
      <c r="I262" s="311"/>
      <c r="J262" s="312"/>
      <c r="K262" s="311"/>
      <c r="L262" s="311"/>
      <c r="M262" s="312"/>
      <c r="N262" s="312">
        <f>_xlfn.XLOOKUP(CONCATENATE(tblPiNAnalysis[[#This Row],[Admin 2 P-Code]],tblPiNAnalysis[[#This Row],[Population Group]]),'Overall severity &amp; PIN Analysis'!A:A,'Overall severity &amp; PIN Analysis'!P:P,0,0)</f>
        <v>3117</v>
      </c>
      <c r="O262" s="311"/>
      <c r="P262" s="312"/>
      <c r="Q262" s="312"/>
      <c r="R262" s="312"/>
      <c r="S262" s="312"/>
      <c r="T262" s="313" t="str">
        <f>IF(tblPiNAnalysis[[#This Row],[Site Management ]]="", "", tblPiNAnalysis[[#This Row],[Site Management ]]/tblPiNAnalysis[[#This Row],[Total Population]])</f>
        <v/>
      </c>
      <c r="U262" s="314" t="str">
        <f>IF(tblPiNAnalysis[[#This Row],[Education]]="", "", tblPiNAnalysis[[#This Row],[Education]]/tblPiNAnalysis[[#This Row],[Total Population]])</f>
        <v/>
      </c>
      <c r="V262" s="314" t="str">
        <f>IF(tblPiNAnalysis[[#This Row],[Food Security and Livlihoods]]="", "", tblPiNAnalysis[[#This Row],[Food Security and Livlihoods]]/tblPiNAnalysis[[#This Row],[Total Population]])</f>
        <v/>
      </c>
      <c r="W262" s="315" t="str">
        <f>IF(tblPiNAnalysis[[#This Row],[Health ]]="", "", tblPiNAnalysis[[#This Row],[Health ]]/tblPiNAnalysis[[#This Row],[Total Population]])</f>
        <v/>
      </c>
      <c r="X262" s="314" t="str">
        <f>IF(tblPiNAnalysis[[#This Row],[Nutrition]]="", "", tblPiNAnalysis[[#This Row],[Nutrition]]/tblPiNAnalysis[[#This Row],[Total Population]])</f>
        <v/>
      </c>
      <c r="Y262" s="314" t="str">
        <f>IF(tblPiNAnalysis[[#This Row],[Protection]]="", "", tblPiNAnalysis[[#This Row],[Protection]]/tblPiNAnalysis[[#This Row],[Total Population]])</f>
        <v/>
      </c>
      <c r="Z262" s="316">
        <f>IF(tblPiNAnalysis[[#This Row],[Shelter NFI ]]="", "", tblPiNAnalysis[[#This Row],[Shelter NFI ]]/tblPiNAnalysis[[#This Row],[Total Population]])</f>
        <v>0.65195565781217324</v>
      </c>
      <c r="AA262" s="317" t="str">
        <f>IF(tblPiNAnalysis[[#This Row],[WASH]]="", "", tblPiNAnalysis[[#This Row],[WASH]]/tblPiNAnalysis[[#This Row],[Total Population]])</f>
        <v/>
      </c>
      <c r="AB262" s="318" t="str">
        <f>IFERROR(IF(tblPiNAnalysis[[#This Row],[CP]]="", "", MROUND(tblPiNAnalysis[[#This Row],[CP]]/tblPiNAnalysis[[#This Row],[Total Population]], 0.05)), "")</f>
        <v/>
      </c>
      <c r="AC262" s="314" t="str">
        <f>IFERROR(IF(tblPiNAnalysis[[#This Row],[GBV]]="", "", MROUND(tblPiNAnalysis[[#This Row],[GBV]]/tblPiNAnalysis[[#This Row],[Total Population]], 0.05)), "")</f>
        <v/>
      </c>
      <c r="AD262" s="314" t="str">
        <f>IFERROR(IF(tblPiNAnalysis[[#This Row],[Mine Action]]="", "", MROUND(tblPiNAnalysis[[#This Row],[Mine Action]]/tblPiNAnalysis[[#This Row],[Total Population]], 0.05)), "")</f>
        <v/>
      </c>
      <c r="AE262" s="314" t="str">
        <f>IFERROR(IF(tblPiNAnalysis[[#This Row],[General Protection]]="", "", MROUND(tblPiNAnalysis[[#This Row],[General Protection]]/tblPiNAnalysis[[#This Row],[Total Population]], 0.05)), "")</f>
        <v/>
      </c>
      <c r="AF262" s="319">
        <f>IFERROR(LARGE(tblPiNAnalysis[[#This Row],[Site Management ]:[General Protection]], 1), "")</f>
        <v>3117</v>
      </c>
      <c r="AG262" s="320">
        <f>IF(tblPiNAnalysis[[#This Row],[Highest PiN]]="", "",tblPiNAnalysis[[#This Row],[Highest PiN]]/ tblPiNAnalysis[[#This Row],[Total Population]])</f>
        <v>0.65195565781217324</v>
      </c>
      <c r="AH262" s="320" t="str">
        <f>IFERROR(IF(tblPiNAnalysis[[#This Row],[Highest PiN]]="", "", IF(tblPiNAnalysis[[#This Row],[Highest sector(s'') PiN %]]&gt;=flag_pin_perc, "Flagged", "")), "")</f>
        <v/>
      </c>
      <c r="AI262" s="321"/>
      <c r="AJ262" s="322"/>
      <c r="AK262" s="323">
        <f>COUNTIFS(tblPiNAnalysis[[#This Row],[Highest PiN greater than 90% of total affected population]:[Manual Flag]],"Flagged")</f>
        <v>0</v>
      </c>
      <c r="AL262" s="324" t="str">
        <f>IF(tblPiNAnalysis[[#This Row],['# Flags]]&gt;0, "Flagged", "")</f>
        <v/>
      </c>
    </row>
    <row r="263" spans="1:38" ht="23.1" hidden="1" customHeight="1" x14ac:dyDescent="0.2">
      <c r="A263" s="309" t="str">
        <f>_xlfn.CONCAT(IF(tblPiNAnalysis[[#This Row],[Population Group]]="", "",tblPiNAnalysis[[#This Row],[Population Group]] ), _xlfn.IFS(tblPiNAnalysis[[#This Row],[Admin 2 P-Code]]&lt;&gt;"", tblPiNAnalysis[[#This Row],[Admin 2 P-Code]], tblPiNAnalysis[[#This Row],[Admin 1 P-Code]]&lt;&gt;"", tblPiNAnalysis[[#This Row],[Admin 1 P-Code]]))</f>
        <v>IDPsSD07107</v>
      </c>
      <c r="B263" s="245" t="s">
        <v>188</v>
      </c>
      <c r="C263" s="246" t="s">
        <v>124</v>
      </c>
      <c r="D263" s="247" t="s">
        <v>366</v>
      </c>
      <c r="E263" s="246" t="s">
        <v>367</v>
      </c>
      <c r="F263" s="248">
        <v>4781</v>
      </c>
      <c r="G263" s="248" t="s">
        <v>88</v>
      </c>
      <c r="H263" s="310"/>
      <c r="I263" s="311"/>
      <c r="J263" s="312"/>
      <c r="K263" s="311"/>
      <c r="L263" s="311"/>
      <c r="M263" s="312"/>
      <c r="N263" s="312">
        <f>_xlfn.XLOOKUP(CONCATENATE(tblPiNAnalysis[[#This Row],[Admin 2 P-Code]],tblPiNAnalysis[[#This Row],[Population Group]]),'Overall severity &amp; PIN Analysis'!A:A,'Overall severity &amp; PIN Analysis'!P:P,0,0)</f>
        <v>3117</v>
      </c>
      <c r="O263" s="311"/>
      <c r="P263" s="312"/>
      <c r="Q263" s="312"/>
      <c r="R263" s="312"/>
      <c r="S263" s="312"/>
      <c r="T263" s="313" t="str">
        <f>IF(tblPiNAnalysis[[#This Row],[Site Management ]]="", "", tblPiNAnalysis[[#This Row],[Site Management ]]/tblPiNAnalysis[[#This Row],[Total Population]])</f>
        <v/>
      </c>
      <c r="U263" s="314" t="str">
        <f>IF(tblPiNAnalysis[[#This Row],[Education]]="", "", tblPiNAnalysis[[#This Row],[Education]]/tblPiNAnalysis[[#This Row],[Total Population]])</f>
        <v/>
      </c>
      <c r="V263" s="314" t="str">
        <f>IF(tblPiNAnalysis[[#This Row],[Food Security and Livlihoods]]="", "", tblPiNAnalysis[[#This Row],[Food Security and Livlihoods]]/tblPiNAnalysis[[#This Row],[Total Population]])</f>
        <v/>
      </c>
      <c r="W263" s="315" t="str">
        <f>IF(tblPiNAnalysis[[#This Row],[Health ]]="", "", tblPiNAnalysis[[#This Row],[Health ]]/tblPiNAnalysis[[#This Row],[Total Population]])</f>
        <v/>
      </c>
      <c r="X263" s="314" t="str">
        <f>IF(tblPiNAnalysis[[#This Row],[Nutrition]]="", "", tblPiNAnalysis[[#This Row],[Nutrition]]/tblPiNAnalysis[[#This Row],[Total Population]])</f>
        <v/>
      </c>
      <c r="Y263" s="314" t="str">
        <f>IF(tblPiNAnalysis[[#This Row],[Protection]]="", "", tblPiNAnalysis[[#This Row],[Protection]]/tblPiNAnalysis[[#This Row],[Total Population]])</f>
        <v/>
      </c>
      <c r="Z263" s="316">
        <f>IF(tblPiNAnalysis[[#This Row],[Shelter NFI ]]="", "", tblPiNAnalysis[[#This Row],[Shelter NFI ]]/tblPiNAnalysis[[#This Row],[Total Population]])</f>
        <v>0.65195565781217324</v>
      </c>
      <c r="AA263" s="317" t="str">
        <f>IF(tblPiNAnalysis[[#This Row],[WASH]]="", "", tblPiNAnalysis[[#This Row],[WASH]]/tblPiNAnalysis[[#This Row],[Total Population]])</f>
        <v/>
      </c>
      <c r="AB263" s="318" t="str">
        <f>IFERROR(IF(tblPiNAnalysis[[#This Row],[CP]]="", "", MROUND(tblPiNAnalysis[[#This Row],[CP]]/tblPiNAnalysis[[#This Row],[Total Population]], 0.05)), "")</f>
        <v/>
      </c>
      <c r="AC263" s="314" t="str">
        <f>IFERROR(IF(tblPiNAnalysis[[#This Row],[GBV]]="", "", MROUND(tblPiNAnalysis[[#This Row],[GBV]]/tblPiNAnalysis[[#This Row],[Total Population]], 0.05)), "")</f>
        <v/>
      </c>
      <c r="AD263" s="314" t="str">
        <f>IFERROR(IF(tblPiNAnalysis[[#This Row],[Mine Action]]="", "", MROUND(tblPiNAnalysis[[#This Row],[Mine Action]]/tblPiNAnalysis[[#This Row],[Total Population]], 0.05)), "")</f>
        <v/>
      </c>
      <c r="AE263" s="314" t="str">
        <f>IFERROR(IF(tblPiNAnalysis[[#This Row],[General Protection]]="", "", MROUND(tblPiNAnalysis[[#This Row],[General Protection]]/tblPiNAnalysis[[#This Row],[Total Population]], 0.05)), "")</f>
        <v/>
      </c>
      <c r="AF263" s="319">
        <f>IFERROR(LARGE(tblPiNAnalysis[[#This Row],[Site Management ]:[General Protection]], 1), "")</f>
        <v>3117</v>
      </c>
      <c r="AG263" s="320">
        <f>IF(tblPiNAnalysis[[#This Row],[Highest PiN]]="", "",tblPiNAnalysis[[#This Row],[Highest PiN]]/ tblPiNAnalysis[[#This Row],[Total Population]])</f>
        <v>0.65195565781217324</v>
      </c>
      <c r="AH263" s="320" t="str">
        <f>IFERROR(IF(tblPiNAnalysis[[#This Row],[Highest PiN]]="", "", IF(tblPiNAnalysis[[#This Row],[Highest sector(s'') PiN %]]&gt;=flag_pin_perc, "Flagged", "")), "")</f>
        <v/>
      </c>
      <c r="AI263" s="321"/>
      <c r="AJ263" s="322"/>
      <c r="AK263" s="323">
        <f>COUNTIFS(tblPiNAnalysis[[#This Row],[Highest PiN greater than 90% of total affected population]:[Manual Flag]],"Flagged")</f>
        <v>0</v>
      </c>
      <c r="AL263" s="324" t="str">
        <f>IF(tblPiNAnalysis[[#This Row],['# Flags]]&gt;0, "Flagged", "")</f>
        <v/>
      </c>
    </row>
    <row r="264" spans="1:38" ht="23.1" customHeight="1" x14ac:dyDescent="0.2">
      <c r="A264" s="309" t="str">
        <f>_xlfn.CONCAT(IF(tblPiNAnalysis[[#This Row],[Population Group]]="", "",tblPiNAnalysis[[#This Row],[Population Group]] ), _xlfn.IFS(tblPiNAnalysis[[#This Row],[Admin 2 P-Code]]&lt;&gt;"", tblPiNAnalysis[[#This Row],[Admin 2 P-Code]], tblPiNAnalysis[[#This Row],[Admin 1 P-Code]]&lt;&gt;"", tblPiNAnalysis[[#This Row],[Admin 1 P-Code]]))</f>
        <v>Non-hosting PopulationSD07107</v>
      </c>
      <c r="B264" s="245" t="s">
        <v>188</v>
      </c>
      <c r="C264" s="246" t="s">
        <v>124</v>
      </c>
      <c r="D264" s="247" t="s">
        <v>366</v>
      </c>
      <c r="E264" s="246" t="s">
        <v>367</v>
      </c>
      <c r="F264" s="248">
        <v>5586</v>
      </c>
      <c r="G264" s="248" t="s">
        <v>568</v>
      </c>
      <c r="H264" s="310"/>
      <c r="I264" s="311"/>
      <c r="J264" s="312"/>
      <c r="K264" s="311"/>
      <c r="L264" s="311"/>
      <c r="M264" s="312"/>
      <c r="N264" s="312">
        <f>_xlfn.XLOOKUP(CONCATENATE(tblPiNAnalysis[[#This Row],[Admin 2 P-Code]],tblPiNAnalysis[[#This Row],[Population Group]]),'Overall severity &amp; PIN Analysis'!A:A,'Overall severity &amp; PIN Analysis'!P:P,0,0)</f>
        <v>94</v>
      </c>
      <c r="O264" s="311"/>
      <c r="P264" s="312"/>
      <c r="Q264" s="312"/>
      <c r="R264" s="312"/>
      <c r="S264" s="312"/>
      <c r="T264" s="313" t="str">
        <f>IF(tblPiNAnalysis[[#This Row],[Site Management ]]="", "", tblPiNAnalysis[[#This Row],[Site Management ]]/tblPiNAnalysis[[#This Row],[Total Population]])</f>
        <v/>
      </c>
      <c r="U264" s="314" t="str">
        <f>IF(tblPiNAnalysis[[#This Row],[Education]]="", "", tblPiNAnalysis[[#This Row],[Education]]/tblPiNAnalysis[[#This Row],[Total Population]])</f>
        <v/>
      </c>
      <c r="V264" s="314" t="str">
        <f>IF(tblPiNAnalysis[[#This Row],[Food Security and Livlihoods]]="", "", tblPiNAnalysis[[#This Row],[Food Security and Livlihoods]]/tblPiNAnalysis[[#This Row],[Total Population]])</f>
        <v/>
      </c>
      <c r="W264" s="315" t="str">
        <f>IF(tblPiNAnalysis[[#This Row],[Health ]]="", "", tblPiNAnalysis[[#This Row],[Health ]]/tblPiNAnalysis[[#This Row],[Total Population]])</f>
        <v/>
      </c>
      <c r="X264" s="314" t="str">
        <f>IF(tblPiNAnalysis[[#This Row],[Nutrition]]="", "", tblPiNAnalysis[[#This Row],[Nutrition]]/tblPiNAnalysis[[#This Row],[Total Population]])</f>
        <v/>
      </c>
      <c r="Y264" s="314" t="str">
        <f>IF(tblPiNAnalysis[[#This Row],[Protection]]="", "", tblPiNAnalysis[[#This Row],[Protection]]/tblPiNAnalysis[[#This Row],[Total Population]])</f>
        <v/>
      </c>
      <c r="Z264" s="316">
        <f>IF(tblPiNAnalysis[[#This Row],[Shelter NFI ]]="", "", tblPiNAnalysis[[#This Row],[Shelter NFI ]]/tblPiNAnalysis[[#This Row],[Total Population]])</f>
        <v>1.6827783745076978E-2</v>
      </c>
      <c r="AA264" s="317" t="str">
        <f>IF(tblPiNAnalysis[[#This Row],[WASH]]="", "", tblPiNAnalysis[[#This Row],[WASH]]/tblPiNAnalysis[[#This Row],[Total Population]])</f>
        <v/>
      </c>
      <c r="AB264" s="318" t="str">
        <f>IFERROR(IF(tblPiNAnalysis[[#This Row],[CP]]="", "", MROUND(tblPiNAnalysis[[#This Row],[CP]]/tblPiNAnalysis[[#This Row],[Total Population]], 0.05)), "")</f>
        <v/>
      </c>
      <c r="AC264" s="314" t="str">
        <f>IFERROR(IF(tblPiNAnalysis[[#This Row],[GBV]]="", "", MROUND(tblPiNAnalysis[[#This Row],[GBV]]/tblPiNAnalysis[[#This Row],[Total Population]], 0.05)), "")</f>
        <v/>
      </c>
      <c r="AD264" s="314" t="str">
        <f>IFERROR(IF(tblPiNAnalysis[[#This Row],[Mine Action]]="", "", MROUND(tblPiNAnalysis[[#This Row],[Mine Action]]/tblPiNAnalysis[[#This Row],[Total Population]], 0.05)), "")</f>
        <v/>
      </c>
      <c r="AE264" s="314" t="str">
        <f>IFERROR(IF(tblPiNAnalysis[[#This Row],[General Protection]]="", "", MROUND(tblPiNAnalysis[[#This Row],[General Protection]]/tblPiNAnalysis[[#This Row],[Total Population]], 0.05)), "")</f>
        <v/>
      </c>
      <c r="AF264" s="319">
        <f>IFERROR(LARGE(tblPiNAnalysis[[#This Row],[Site Management ]:[General Protection]], 1), "")</f>
        <v>94</v>
      </c>
      <c r="AG264" s="320">
        <f>IF(tblPiNAnalysis[[#This Row],[Highest PiN]]="", "",tblPiNAnalysis[[#This Row],[Highest PiN]]/ tblPiNAnalysis[[#This Row],[Total Population]])</f>
        <v>1.6827783745076978E-2</v>
      </c>
      <c r="AH264" s="320" t="str">
        <f>IFERROR(IF(tblPiNAnalysis[[#This Row],[Highest PiN]]="", "", IF(tblPiNAnalysis[[#This Row],[Highest sector(s'') PiN %]]&gt;=flag_pin_perc, "Flagged", "")), "")</f>
        <v/>
      </c>
      <c r="AI264" s="321"/>
      <c r="AJ264" s="322"/>
      <c r="AK264" s="323">
        <f>COUNTIFS(tblPiNAnalysis[[#This Row],[Highest PiN greater than 90% of total affected population]:[Manual Flag]],"Flagged")</f>
        <v>0</v>
      </c>
      <c r="AL264" s="324" t="str">
        <f>IF(tblPiNAnalysis[[#This Row],['# Flags]]&gt;0, "Flagged", "")</f>
        <v/>
      </c>
    </row>
    <row r="265" spans="1:38" ht="23.1" hidden="1" customHeight="1" x14ac:dyDescent="0.2">
      <c r="A265" s="309" t="str">
        <f>_xlfn.CONCAT(IF(tblPiNAnalysis[[#This Row],[Population Group]]="", "",tblPiNAnalysis[[#This Row],[Population Group]] ), _xlfn.IFS(tblPiNAnalysis[[#This Row],[Admin 2 P-Code]]&lt;&gt;"", tblPiNAnalysis[[#This Row],[Admin 2 P-Code]], tblPiNAnalysis[[#This Row],[Admin 1 P-Code]]&lt;&gt;"", tblPiNAnalysis[[#This Row],[Admin 1 P-Code]]))</f>
        <v>Host CommunitySD07108</v>
      </c>
      <c r="B265" s="245" t="s">
        <v>188</v>
      </c>
      <c r="C265" s="246" t="s">
        <v>124</v>
      </c>
      <c r="D265" s="247" t="s">
        <v>368</v>
      </c>
      <c r="E265" s="246" t="s">
        <v>369</v>
      </c>
      <c r="F265" s="248">
        <v>0</v>
      </c>
      <c r="G265" s="248" t="s">
        <v>87</v>
      </c>
      <c r="H265" s="310"/>
      <c r="I265" s="311"/>
      <c r="J265" s="312"/>
      <c r="K265" s="311"/>
      <c r="L265" s="311"/>
      <c r="M265" s="312"/>
      <c r="N265" s="312">
        <f>_xlfn.XLOOKUP(CONCATENATE(tblPiNAnalysis[[#This Row],[Admin 2 P-Code]],tblPiNAnalysis[[#This Row],[Population Group]]),'Overall severity &amp; PIN Analysis'!A:A,'Overall severity &amp; PIN Analysis'!P:P,0,0)</f>
        <v>0</v>
      </c>
      <c r="O265" s="311"/>
      <c r="P265" s="312"/>
      <c r="Q265" s="312"/>
      <c r="R265" s="312"/>
      <c r="S265" s="312"/>
      <c r="T265" s="313" t="str">
        <f>IF(tblPiNAnalysis[[#This Row],[Site Management ]]="", "", tblPiNAnalysis[[#This Row],[Site Management ]]/tblPiNAnalysis[[#This Row],[Total Population]])</f>
        <v/>
      </c>
      <c r="U265" s="314" t="str">
        <f>IF(tblPiNAnalysis[[#This Row],[Education]]="", "", tblPiNAnalysis[[#This Row],[Education]]/tblPiNAnalysis[[#This Row],[Total Population]])</f>
        <v/>
      </c>
      <c r="V265" s="314" t="str">
        <f>IF(tblPiNAnalysis[[#This Row],[Food Security and Livlihoods]]="", "", tblPiNAnalysis[[#This Row],[Food Security and Livlihoods]]/tblPiNAnalysis[[#This Row],[Total Population]])</f>
        <v/>
      </c>
      <c r="W265" s="315" t="str">
        <f>IF(tblPiNAnalysis[[#This Row],[Health ]]="", "", tblPiNAnalysis[[#This Row],[Health ]]/tblPiNAnalysis[[#This Row],[Total Population]])</f>
        <v/>
      </c>
      <c r="X265" s="314" t="str">
        <f>IF(tblPiNAnalysis[[#This Row],[Nutrition]]="", "", tblPiNAnalysis[[#This Row],[Nutrition]]/tblPiNAnalysis[[#This Row],[Total Population]])</f>
        <v/>
      </c>
      <c r="Y265" s="314" t="str">
        <f>IF(tblPiNAnalysis[[#This Row],[Protection]]="", "", tblPiNAnalysis[[#This Row],[Protection]]/tblPiNAnalysis[[#This Row],[Total Population]])</f>
        <v/>
      </c>
      <c r="Z265" s="316" t="e">
        <f>IF(tblPiNAnalysis[[#This Row],[Shelter NFI ]]="", "", tblPiNAnalysis[[#This Row],[Shelter NFI ]]/tblPiNAnalysis[[#This Row],[Total Population]])</f>
        <v>#DIV/0!</v>
      </c>
      <c r="AA265" s="317" t="str">
        <f>IF(tblPiNAnalysis[[#This Row],[WASH]]="", "", tblPiNAnalysis[[#This Row],[WASH]]/tblPiNAnalysis[[#This Row],[Total Population]])</f>
        <v/>
      </c>
      <c r="AB265" s="318" t="str">
        <f>IFERROR(IF(tblPiNAnalysis[[#This Row],[CP]]="", "", MROUND(tblPiNAnalysis[[#This Row],[CP]]/tblPiNAnalysis[[#This Row],[Total Population]], 0.05)), "")</f>
        <v/>
      </c>
      <c r="AC265" s="314" t="str">
        <f>IFERROR(IF(tblPiNAnalysis[[#This Row],[GBV]]="", "", MROUND(tblPiNAnalysis[[#This Row],[GBV]]/tblPiNAnalysis[[#This Row],[Total Population]], 0.05)), "")</f>
        <v/>
      </c>
      <c r="AD265" s="314" t="str">
        <f>IFERROR(IF(tblPiNAnalysis[[#This Row],[Mine Action]]="", "", MROUND(tblPiNAnalysis[[#This Row],[Mine Action]]/tblPiNAnalysis[[#This Row],[Total Population]], 0.05)), "")</f>
        <v/>
      </c>
      <c r="AE265" s="314" t="str">
        <f>IFERROR(IF(tblPiNAnalysis[[#This Row],[General Protection]]="", "", MROUND(tblPiNAnalysis[[#This Row],[General Protection]]/tblPiNAnalysis[[#This Row],[Total Population]], 0.05)), "")</f>
        <v/>
      </c>
      <c r="AF265" s="319">
        <f>IFERROR(LARGE(tblPiNAnalysis[[#This Row],[Site Management ]:[General Protection]], 1), "")</f>
        <v>0</v>
      </c>
      <c r="AG265" s="320" t="e">
        <f>IF(tblPiNAnalysis[[#This Row],[Highest PiN]]="", "",tblPiNAnalysis[[#This Row],[Highest PiN]]/ tblPiNAnalysis[[#This Row],[Total Population]])</f>
        <v>#DIV/0!</v>
      </c>
      <c r="AH265" s="320" t="str">
        <f>IFERROR(IF(tblPiNAnalysis[[#This Row],[Highest PiN]]="", "", IF(tblPiNAnalysis[[#This Row],[Highest sector(s'') PiN %]]&gt;=flag_pin_perc, "Flagged", "")), "")</f>
        <v/>
      </c>
      <c r="AI265" s="321"/>
      <c r="AJ265" s="322"/>
      <c r="AK265" s="323">
        <f>COUNTIFS(tblPiNAnalysis[[#This Row],[Highest PiN greater than 90% of total affected population]:[Manual Flag]],"Flagged")</f>
        <v>0</v>
      </c>
      <c r="AL265" s="324" t="str">
        <f>IF(tblPiNAnalysis[[#This Row],['# Flags]]&gt;0, "Flagged", "")</f>
        <v/>
      </c>
    </row>
    <row r="266" spans="1:38" ht="23.1" hidden="1" customHeight="1" x14ac:dyDescent="0.2">
      <c r="A266" s="309" t="str">
        <f>_xlfn.CONCAT(IF(tblPiNAnalysis[[#This Row],[Population Group]]="", "",tblPiNAnalysis[[#This Row],[Population Group]] ), _xlfn.IFS(tblPiNAnalysis[[#This Row],[Admin 2 P-Code]]&lt;&gt;"", tblPiNAnalysis[[#This Row],[Admin 2 P-Code]], tblPiNAnalysis[[#This Row],[Admin 1 P-Code]]&lt;&gt;"", tblPiNAnalysis[[#This Row],[Admin 1 P-Code]]))</f>
        <v>IDPsSD07108</v>
      </c>
      <c r="B266" s="245" t="s">
        <v>188</v>
      </c>
      <c r="C266" s="246" t="s">
        <v>124</v>
      </c>
      <c r="D266" s="247" t="s">
        <v>368</v>
      </c>
      <c r="E266" s="246" t="s">
        <v>369</v>
      </c>
      <c r="F266" s="248">
        <v>13458</v>
      </c>
      <c r="G266" s="248" t="s">
        <v>88</v>
      </c>
      <c r="H266" s="310"/>
      <c r="I266" s="311"/>
      <c r="J266" s="312"/>
      <c r="K266" s="311"/>
      <c r="L266" s="311"/>
      <c r="M266" s="312"/>
      <c r="N266" s="312">
        <f>_xlfn.XLOOKUP(CONCATENATE(tblPiNAnalysis[[#This Row],[Admin 2 P-Code]],tblPiNAnalysis[[#This Row],[Population Group]]),'Overall severity &amp; PIN Analysis'!A:A,'Overall severity &amp; PIN Analysis'!P:P,0,0)</f>
        <v>8084</v>
      </c>
      <c r="O266" s="311"/>
      <c r="P266" s="312"/>
      <c r="Q266" s="312"/>
      <c r="R266" s="312"/>
      <c r="S266" s="312"/>
      <c r="T266" s="313" t="str">
        <f>IF(tblPiNAnalysis[[#This Row],[Site Management ]]="", "", tblPiNAnalysis[[#This Row],[Site Management ]]/tblPiNAnalysis[[#This Row],[Total Population]])</f>
        <v/>
      </c>
      <c r="U266" s="314" t="str">
        <f>IF(tblPiNAnalysis[[#This Row],[Education]]="", "", tblPiNAnalysis[[#This Row],[Education]]/tblPiNAnalysis[[#This Row],[Total Population]])</f>
        <v/>
      </c>
      <c r="V266" s="314" t="str">
        <f>IF(tblPiNAnalysis[[#This Row],[Food Security and Livlihoods]]="", "", tblPiNAnalysis[[#This Row],[Food Security and Livlihoods]]/tblPiNAnalysis[[#This Row],[Total Population]])</f>
        <v/>
      </c>
      <c r="W266" s="315" t="str">
        <f>IF(tblPiNAnalysis[[#This Row],[Health ]]="", "", tblPiNAnalysis[[#This Row],[Health ]]/tblPiNAnalysis[[#This Row],[Total Population]])</f>
        <v/>
      </c>
      <c r="X266" s="314" t="str">
        <f>IF(tblPiNAnalysis[[#This Row],[Nutrition]]="", "", tblPiNAnalysis[[#This Row],[Nutrition]]/tblPiNAnalysis[[#This Row],[Total Population]])</f>
        <v/>
      </c>
      <c r="Y266" s="314" t="str">
        <f>IF(tblPiNAnalysis[[#This Row],[Protection]]="", "", tblPiNAnalysis[[#This Row],[Protection]]/tblPiNAnalysis[[#This Row],[Total Population]])</f>
        <v/>
      </c>
      <c r="Z266" s="316">
        <f>IF(tblPiNAnalysis[[#This Row],[Shelter NFI ]]="", "", tblPiNAnalysis[[#This Row],[Shelter NFI ]]/tblPiNAnalysis[[#This Row],[Total Population]])</f>
        <v>0.60068360826274336</v>
      </c>
      <c r="AA266" s="317" t="str">
        <f>IF(tblPiNAnalysis[[#This Row],[WASH]]="", "", tblPiNAnalysis[[#This Row],[WASH]]/tblPiNAnalysis[[#This Row],[Total Population]])</f>
        <v/>
      </c>
      <c r="AB266" s="318" t="str">
        <f>IFERROR(IF(tblPiNAnalysis[[#This Row],[CP]]="", "", MROUND(tblPiNAnalysis[[#This Row],[CP]]/tblPiNAnalysis[[#This Row],[Total Population]], 0.05)), "")</f>
        <v/>
      </c>
      <c r="AC266" s="314" t="str">
        <f>IFERROR(IF(tblPiNAnalysis[[#This Row],[GBV]]="", "", MROUND(tblPiNAnalysis[[#This Row],[GBV]]/tblPiNAnalysis[[#This Row],[Total Population]], 0.05)), "")</f>
        <v/>
      </c>
      <c r="AD266" s="314" t="str">
        <f>IFERROR(IF(tblPiNAnalysis[[#This Row],[Mine Action]]="", "", MROUND(tblPiNAnalysis[[#This Row],[Mine Action]]/tblPiNAnalysis[[#This Row],[Total Population]], 0.05)), "")</f>
        <v/>
      </c>
      <c r="AE266" s="314" t="str">
        <f>IFERROR(IF(tblPiNAnalysis[[#This Row],[General Protection]]="", "", MROUND(tblPiNAnalysis[[#This Row],[General Protection]]/tblPiNAnalysis[[#This Row],[Total Population]], 0.05)), "")</f>
        <v/>
      </c>
      <c r="AF266" s="319">
        <f>IFERROR(LARGE(tblPiNAnalysis[[#This Row],[Site Management ]:[General Protection]], 1), "")</f>
        <v>8084</v>
      </c>
      <c r="AG266" s="320">
        <f>IF(tblPiNAnalysis[[#This Row],[Highest PiN]]="", "",tblPiNAnalysis[[#This Row],[Highest PiN]]/ tblPiNAnalysis[[#This Row],[Total Population]])</f>
        <v>0.60068360826274336</v>
      </c>
      <c r="AH266" s="320" t="str">
        <f>IFERROR(IF(tblPiNAnalysis[[#This Row],[Highest PiN]]="", "", IF(tblPiNAnalysis[[#This Row],[Highest sector(s'') PiN %]]&gt;=flag_pin_perc, "Flagged", "")), "")</f>
        <v/>
      </c>
      <c r="AI266" s="321"/>
      <c r="AJ266" s="322"/>
      <c r="AK266" s="323">
        <f>COUNTIFS(tblPiNAnalysis[[#This Row],[Highest PiN greater than 90% of total affected population]:[Manual Flag]],"Flagged")</f>
        <v>0</v>
      </c>
      <c r="AL266" s="324" t="str">
        <f>IF(tblPiNAnalysis[[#This Row],['# Flags]]&gt;0, "Flagged", "")</f>
        <v/>
      </c>
    </row>
    <row r="267" spans="1:38" ht="23.1" customHeight="1" x14ac:dyDescent="0.2">
      <c r="A267" s="309" t="str">
        <f>_xlfn.CONCAT(IF(tblPiNAnalysis[[#This Row],[Population Group]]="", "",tblPiNAnalysis[[#This Row],[Population Group]] ), _xlfn.IFS(tblPiNAnalysis[[#This Row],[Admin 2 P-Code]]&lt;&gt;"", tblPiNAnalysis[[#This Row],[Admin 2 P-Code]], tblPiNAnalysis[[#This Row],[Admin 1 P-Code]]&lt;&gt;"", tblPiNAnalysis[[#This Row],[Admin 1 P-Code]]))</f>
        <v>Non-hosting PopulationSD07108</v>
      </c>
      <c r="B267" s="245" t="s">
        <v>188</v>
      </c>
      <c r="C267" s="246" t="s">
        <v>124</v>
      </c>
      <c r="D267" s="247" t="s">
        <v>368</v>
      </c>
      <c r="E267" s="246" t="s">
        <v>369</v>
      </c>
      <c r="F267" s="248">
        <v>0</v>
      </c>
      <c r="G267" s="248" t="s">
        <v>568</v>
      </c>
      <c r="H267" s="310"/>
      <c r="I267" s="311"/>
      <c r="J267" s="312"/>
      <c r="K267" s="311"/>
      <c r="L267" s="311"/>
      <c r="M267" s="312"/>
      <c r="N267" s="312">
        <f>_xlfn.XLOOKUP(CONCATENATE(tblPiNAnalysis[[#This Row],[Admin 2 P-Code]],tblPiNAnalysis[[#This Row],[Population Group]]),'Overall severity &amp; PIN Analysis'!A:A,'Overall severity &amp; PIN Analysis'!P:P,0,0)</f>
        <v>0</v>
      </c>
      <c r="O267" s="311"/>
      <c r="P267" s="312"/>
      <c r="Q267" s="312"/>
      <c r="R267" s="312"/>
      <c r="S267" s="312"/>
      <c r="T267" s="313" t="str">
        <f>IF(tblPiNAnalysis[[#This Row],[Site Management ]]="", "", tblPiNAnalysis[[#This Row],[Site Management ]]/tblPiNAnalysis[[#This Row],[Total Population]])</f>
        <v/>
      </c>
      <c r="U267" s="314" t="str">
        <f>IF(tblPiNAnalysis[[#This Row],[Education]]="", "", tblPiNAnalysis[[#This Row],[Education]]/tblPiNAnalysis[[#This Row],[Total Population]])</f>
        <v/>
      </c>
      <c r="V267" s="314" t="str">
        <f>IF(tblPiNAnalysis[[#This Row],[Food Security and Livlihoods]]="", "", tblPiNAnalysis[[#This Row],[Food Security and Livlihoods]]/tblPiNAnalysis[[#This Row],[Total Population]])</f>
        <v/>
      </c>
      <c r="W267" s="315" t="str">
        <f>IF(tblPiNAnalysis[[#This Row],[Health ]]="", "", tblPiNAnalysis[[#This Row],[Health ]]/tblPiNAnalysis[[#This Row],[Total Population]])</f>
        <v/>
      </c>
      <c r="X267" s="314" t="str">
        <f>IF(tblPiNAnalysis[[#This Row],[Nutrition]]="", "", tblPiNAnalysis[[#This Row],[Nutrition]]/tblPiNAnalysis[[#This Row],[Total Population]])</f>
        <v/>
      </c>
      <c r="Y267" s="314" t="str">
        <f>IF(tblPiNAnalysis[[#This Row],[Protection]]="", "", tblPiNAnalysis[[#This Row],[Protection]]/tblPiNAnalysis[[#This Row],[Total Population]])</f>
        <v/>
      </c>
      <c r="Z267" s="316" t="e">
        <f>IF(tblPiNAnalysis[[#This Row],[Shelter NFI ]]="", "", tblPiNAnalysis[[#This Row],[Shelter NFI ]]/tblPiNAnalysis[[#This Row],[Total Population]])</f>
        <v>#DIV/0!</v>
      </c>
      <c r="AA267" s="317" t="str">
        <f>IF(tblPiNAnalysis[[#This Row],[WASH]]="", "", tblPiNAnalysis[[#This Row],[WASH]]/tblPiNAnalysis[[#This Row],[Total Population]])</f>
        <v/>
      </c>
      <c r="AB267" s="318" t="str">
        <f>IFERROR(IF(tblPiNAnalysis[[#This Row],[CP]]="", "", MROUND(tblPiNAnalysis[[#This Row],[CP]]/tblPiNAnalysis[[#This Row],[Total Population]], 0.05)), "")</f>
        <v/>
      </c>
      <c r="AC267" s="314" t="str">
        <f>IFERROR(IF(tblPiNAnalysis[[#This Row],[GBV]]="", "", MROUND(tblPiNAnalysis[[#This Row],[GBV]]/tblPiNAnalysis[[#This Row],[Total Population]], 0.05)), "")</f>
        <v/>
      </c>
      <c r="AD267" s="314" t="str">
        <f>IFERROR(IF(tblPiNAnalysis[[#This Row],[Mine Action]]="", "", MROUND(tblPiNAnalysis[[#This Row],[Mine Action]]/tblPiNAnalysis[[#This Row],[Total Population]], 0.05)), "")</f>
        <v/>
      </c>
      <c r="AE267" s="314" t="str">
        <f>IFERROR(IF(tblPiNAnalysis[[#This Row],[General Protection]]="", "", MROUND(tblPiNAnalysis[[#This Row],[General Protection]]/tblPiNAnalysis[[#This Row],[Total Population]], 0.05)), "")</f>
        <v/>
      </c>
      <c r="AF267" s="319">
        <f>IFERROR(LARGE(tblPiNAnalysis[[#This Row],[Site Management ]:[General Protection]], 1), "")</f>
        <v>0</v>
      </c>
      <c r="AG267" s="320" t="e">
        <f>IF(tblPiNAnalysis[[#This Row],[Highest PiN]]="", "",tblPiNAnalysis[[#This Row],[Highest PiN]]/ tblPiNAnalysis[[#This Row],[Total Population]])</f>
        <v>#DIV/0!</v>
      </c>
      <c r="AH267" s="320" t="str">
        <f>IFERROR(IF(tblPiNAnalysis[[#This Row],[Highest PiN]]="", "", IF(tblPiNAnalysis[[#This Row],[Highest sector(s'') PiN %]]&gt;=flag_pin_perc, "Flagged", "")), "")</f>
        <v/>
      </c>
      <c r="AI267" s="321"/>
      <c r="AJ267" s="322"/>
      <c r="AK267" s="323">
        <f>COUNTIFS(tblPiNAnalysis[[#This Row],[Highest PiN greater than 90% of total affected population]:[Manual Flag]],"Flagged")</f>
        <v>0</v>
      </c>
      <c r="AL267" s="324" t="str">
        <f>IF(tblPiNAnalysis[[#This Row],['# Flags]]&gt;0, "Flagged", "")</f>
        <v/>
      </c>
    </row>
    <row r="268" spans="1:38" ht="23.1" hidden="1" customHeight="1" x14ac:dyDescent="0.2">
      <c r="A268" s="309" t="str">
        <f>_xlfn.CONCAT(IF(tblPiNAnalysis[[#This Row],[Population Group]]="", "",tblPiNAnalysis[[#This Row],[Population Group]] ), _xlfn.IFS(tblPiNAnalysis[[#This Row],[Admin 2 P-Code]]&lt;&gt;"", tblPiNAnalysis[[#This Row],[Admin 2 P-Code]], tblPiNAnalysis[[#This Row],[Admin 1 P-Code]]&lt;&gt;"", tblPiNAnalysis[[#This Row],[Admin 1 P-Code]]))</f>
        <v>Host CommunitySD08104</v>
      </c>
      <c r="B268" s="245" t="s">
        <v>150</v>
      </c>
      <c r="C268" s="246" t="s">
        <v>125</v>
      </c>
      <c r="D268" s="247" t="s">
        <v>370</v>
      </c>
      <c r="E268" s="246" t="s">
        <v>371</v>
      </c>
      <c r="F268" s="248">
        <v>50471</v>
      </c>
      <c r="G268" s="248" t="s">
        <v>87</v>
      </c>
      <c r="H268" s="310"/>
      <c r="I268" s="311"/>
      <c r="J268" s="312"/>
      <c r="K268" s="311"/>
      <c r="L268" s="311"/>
      <c r="M268" s="312"/>
      <c r="N268" s="312">
        <f>_xlfn.XLOOKUP(CONCATENATE(tblPiNAnalysis[[#This Row],[Admin 2 P-Code]],tblPiNAnalysis[[#This Row],[Population Group]]),'Overall severity &amp; PIN Analysis'!A:A,'Overall severity &amp; PIN Analysis'!P:P,0,0)</f>
        <v>44046</v>
      </c>
      <c r="O268" s="311"/>
      <c r="P268" s="312"/>
      <c r="Q268" s="312"/>
      <c r="R268" s="312"/>
      <c r="S268" s="312"/>
      <c r="T268" s="313" t="str">
        <f>IF(tblPiNAnalysis[[#This Row],[Site Management ]]="", "", tblPiNAnalysis[[#This Row],[Site Management ]]/tblPiNAnalysis[[#This Row],[Total Population]])</f>
        <v/>
      </c>
      <c r="U268" s="314" t="str">
        <f>IF(tblPiNAnalysis[[#This Row],[Education]]="", "", tblPiNAnalysis[[#This Row],[Education]]/tblPiNAnalysis[[#This Row],[Total Population]])</f>
        <v/>
      </c>
      <c r="V268" s="314" t="str">
        <f>IF(tblPiNAnalysis[[#This Row],[Food Security and Livlihoods]]="", "", tblPiNAnalysis[[#This Row],[Food Security and Livlihoods]]/tblPiNAnalysis[[#This Row],[Total Population]])</f>
        <v/>
      </c>
      <c r="W268" s="315" t="str">
        <f>IF(tblPiNAnalysis[[#This Row],[Health ]]="", "", tblPiNAnalysis[[#This Row],[Health ]]/tblPiNAnalysis[[#This Row],[Total Population]])</f>
        <v/>
      </c>
      <c r="X268" s="314" t="str">
        <f>IF(tblPiNAnalysis[[#This Row],[Nutrition]]="", "", tblPiNAnalysis[[#This Row],[Nutrition]]/tblPiNAnalysis[[#This Row],[Total Population]])</f>
        <v/>
      </c>
      <c r="Y268" s="314" t="str">
        <f>IF(tblPiNAnalysis[[#This Row],[Protection]]="", "", tblPiNAnalysis[[#This Row],[Protection]]/tblPiNAnalysis[[#This Row],[Total Population]])</f>
        <v/>
      </c>
      <c r="Z268" s="316">
        <f>IF(tblPiNAnalysis[[#This Row],[Shelter NFI ]]="", "", tblPiNAnalysis[[#This Row],[Shelter NFI ]]/tblPiNAnalysis[[#This Row],[Total Population]])</f>
        <v>0.87269917378296447</v>
      </c>
      <c r="AA268" s="317" t="str">
        <f>IF(tblPiNAnalysis[[#This Row],[WASH]]="", "", tblPiNAnalysis[[#This Row],[WASH]]/tblPiNAnalysis[[#This Row],[Total Population]])</f>
        <v/>
      </c>
      <c r="AB268" s="318" t="str">
        <f>IFERROR(IF(tblPiNAnalysis[[#This Row],[CP]]="", "", MROUND(tblPiNAnalysis[[#This Row],[CP]]/tblPiNAnalysis[[#This Row],[Total Population]], 0.05)), "")</f>
        <v/>
      </c>
      <c r="AC268" s="314" t="str">
        <f>IFERROR(IF(tblPiNAnalysis[[#This Row],[GBV]]="", "", MROUND(tblPiNAnalysis[[#This Row],[GBV]]/tblPiNAnalysis[[#This Row],[Total Population]], 0.05)), "")</f>
        <v/>
      </c>
      <c r="AD268" s="314" t="str">
        <f>IFERROR(IF(tblPiNAnalysis[[#This Row],[Mine Action]]="", "", MROUND(tblPiNAnalysis[[#This Row],[Mine Action]]/tblPiNAnalysis[[#This Row],[Total Population]], 0.05)), "")</f>
        <v/>
      </c>
      <c r="AE268" s="314" t="str">
        <f>IFERROR(IF(tblPiNAnalysis[[#This Row],[General Protection]]="", "", MROUND(tblPiNAnalysis[[#This Row],[General Protection]]/tblPiNAnalysis[[#This Row],[Total Population]], 0.05)), "")</f>
        <v/>
      </c>
      <c r="AF268" s="319">
        <f>IFERROR(LARGE(tblPiNAnalysis[[#This Row],[Site Management ]:[General Protection]], 1), "")</f>
        <v>44046</v>
      </c>
      <c r="AG268" s="320">
        <f>IF(tblPiNAnalysis[[#This Row],[Highest PiN]]="", "",tblPiNAnalysis[[#This Row],[Highest PiN]]/ tblPiNAnalysis[[#This Row],[Total Population]])</f>
        <v>0.87269917378296447</v>
      </c>
      <c r="AH268" s="320" t="str">
        <f>IFERROR(IF(tblPiNAnalysis[[#This Row],[Highest PiN]]="", "", IF(tblPiNAnalysis[[#This Row],[Highest sector(s'') PiN %]]&gt;=flag_pin_perc, "Flagged", "")), "")</f>
        <v/>
      </c>
      <c r="AI268" s="321"/>
      <c r="AJ268" s="322"/>
      <c r="AK268" s="323">
        <f>COUNTIFS(tblPiNAnalysis[[#This Row],[Highest PiN greater than 90% of total affected population]:[Manual Flag]],"Flagged")</f>
        <v>0</v>
      </c>
      <c r="AL268" s="324" t="str">
        <f>IF(tblPiNAnalysis[[#This Row],['# Flags]]&gt;0, "Flagged", "")</f>
        <v/>
      </c>
    </row>
    <row r="269" spans="1:38" ht="23.1" hidden="1" customHeight="1" x14ac:dyDescent="0.2">
      <c r="A269" s="309" t="str">
        <f>_xlfn.CONCAT(IF(tblPiNAnalysis[[#This Row],[Population Group]]="", "",tblPiNAnalysis[[#This Row],[Population Group]] ), _xlfn.IFS(tblPiNAnalysis[[#This Row],[Admin 2 P-Code]]&lt;&gt;"", tblPiNAnalysis[[#This Row],[Admin 2 P-Code]], tblPiNAnalysis[[#This Row],[Admin 1 P-Code]]&lt;&gt;"", tblPiNAnalysis[[#This Row],[Admin 1 P-Code]]))</f>
        <v>IDPsSD08104</v>
      </c>
      <c r="B269" s="245" t="s">
        <v>150</v>
      </c>
      <c r="C269" s="246" t="s">
        <v>125</v>
      </c>
      <c r="D269" s="247" t="s">
        <v>370</v>
      </c>
      <c r="E269" s="246" t="s">
        <v>371</v>
      </c>
      <c r="F269" s="248">
        <v>50471</v>
      </c>
      <c r="G269" s="248" t="s">
        <v>88</v>
      </c>
      <c r="H269" s="310"/>
      <c r="I269" s="311"/>
      <c r="J269" s="311"/>
      <c r="K269" s="311"/>
      <c r="L269" s="311"/>
      <c r="M269" s="311"/>
      <c r="N269" s="311">
        <f>_xlfn.XLOOKUP(CONCATENATE(tblPiNAnalysis[[#This Row],[Admin 2 P-Code]],tblPiNAnalysis[[#This Row],[Population Group]]),'Overall severity &amp; PIN Analysis'!A:A,'Overall severity &amp; PIN Analysis'!P:P,0,0)</f>
        <v>44046</v>
      </c>
      <c r="O269" s="311"/>
      <c r="P269" s="311"/>
      <c r="Q269" s="311"/>
      <c r="R269" s="311"/>
      <c r="S269" s="311"/>
      <c r="T269" s="326" t="str">
        <f>IF(tblPiNAnalysis[[#This Row],[Site Management ]]="", "", tblPiNAnalysis[[#This Row],[Site Management ]]/tblPiNAnalysis[[#This Row],[Total Population]])</f>
        <v/>
      </c>
      <c r="U269" s="315" t="str">
        <f>IF(tblPiNAnalysis[[#This Row],[Education]]="", "", tblPiNAnalysis[[#This Row],[Education]]/tblPiNAnalysis[[#This Row],[Total Population]])</f>
        <v/>
      </c>
      <c r="V269" s="315" t="str">
        <f>IF(tblPiNAnalysis[[#This Row],[Food Security and Livlihoods]]="", "", tblPiNAnalysis[[#This Row],[Food Security and Livlihoods]]/tblPiNAnalysis[[#This Row],[Total Population]])</f>
        <v/>
      </c>
      <c r="W269" s="315" t="str">
        <f>IF(tblPiNAnalysis[[#This Row],[Health ]]="", "", tblPiNAnalysis[[#This Row],[Health ]]/tblPiNAnalysis[[#This Row],[Total Population]])</f>
        <v/>
      </c>
      <c r="X269" s="315" t="str">
        <f>IF(tblPiNAnalysis[[#This Row],[Nutrition]]="", "", tblPiNAnalysis[[#This Row],[Nutrition]]/tblPiNAnalysis[[#This Row],[Total Population]])</f>
        <v/>
      </c>
      <c r="Y269" s="315" t="str">
        <f>IF(tblPiNAnalysis[[#This Row],[Protection]]="", "", tblPiNAnalysis[[#This Row],[Protection]]/tblPiNAnalysis[[#This Row],[Total Population]])</f>
        <v/>
      </c>
      <c r="Z269" s="327">
        <f>IF(tblPiNAnalysis[[#This Row],[Shelter NFI ]]="", "", tblPiNAnalysis[[#This Row],[Shelter NFI ]]/tblPiNAnalysis[[#This Row],[Total Population]])</f>
        <v>0.87269917378296447</v>
      </c>
      <c r="AA269" s="328" t="str">
        <f>IF(tblPiNAnalysis[[#This Row],[WASH]]="", "", tblPiNAnalysis[[#This Row],[WASH]]/tblPiNAnalysis[[#This Row],[Total Population]])</f>
        <v/>
      </c>
      <c r="AB269" s="329" t="str">
        <f>IFERROR(IF(tblPiNAnalysis[[#This Row],[CP]]="", "", MROUND(tblPiNAnalysis[[#This Row],[CP]]/tblPiNAnalysis[[#This Row],[Total Population]], 0.05)), "")</f>
        <v/>
      </c>
      <c r="AC269" s="315" t="str">
        <f>IFERROR(IF(tblPiNAnalysis[[#This Row],[GBV]]="", "", MROUND(tblPiNAnalysis[[#This Row],[GBV]]/tblPiNAnalysis[[#This Row],[Total Population]], 0.05)), "")</f>
        <v/>
      </c>
      <c r="AD269" s="315" t="str">
        <f>IFERROR(IF(tblPiNAnalysis[[#This Row],[Mine Action]]="", "", MROUND(tblPiNAnalysis[[#This Row],[Mine Action]]/tblPiNAnalysis[[#This Row],[Total Population]], 0.05)), "")</f>
        <v/>
      </c>
      <c r="AE269" s="315" t="str">
        <f>IFERROR(IF(tblPiNAnalysis[[#This Row],[General Protection]]="", "", MROUND(tblPiNAnalysis[[#This Row],[General Protection]]/tblPiNAnalysis[[#This Row],[Total Population]], 0.05)), "")</f>
        <v/>
      </c>
      <c r="AF269" s="319">
        <f>IFERROR(LARGE(tblPiNAnalysis[[#This Row],[Site Management ]:[General Protection]], 1), "")</f>
        <v>44046</v>
      </c>
      <c r="AG269" s="330">
        <f>IF(tblPiNAnalysis[[#This Row],[Highest PiN]]="", "",tblPiNAnalysis[[#This Row],[Highest PiN]]/ tblPiNAnalysis[[#This Row],[Total Population]])</f>
        <v>0.87269917378296447</v>
      </c>
      <c r="AH269" s="330" t="str">
        <f>IFERROR(IF(tblPiNAnalysis[[#This Row],[Highest PiN]]="", "", IF(tblPiNAnalysis[[#This Row],[Highest sector(s'') PiN %]]&gt;=flag_pin_perc, "Flagged", "")), "")</f>
        <v/>
      </c>
      <c r="AI269" s="321"/>
      <c r="AJ269" s="322"/>
      <c r="AK269" s="323">
        <f>COUNTIFS(tblPiNAnalysis[[#This Row],[Highest PiN greater than 90% of total affected population]:[Manual Flag]],"Flagged")</f>
        <v>0</v>
      </c>
      <c r="AL269" s="331" t="str">
        <f>IF(tblPiNAnalysis[[#This Row],['# Flags]]&gt;0, "Flagged", "")</f>
        <v/>
      </c>
    </row>
    <row r="270" spans="1:38" ht="23.1" customHeight="1" x14ac:dyDescent="0.2">
      <c r="A270" s="309" t="str">
        <f>_xlfn.CONCAT(IF(tblPiNAnalysis[[#This Row],[Population Group]]="", "",tblPiNAnalysis[[#This Row],[Population Group]] ), _xlfn.IFS(tblPiNAnalysis[[#This Row],[Admin 2 P-Code]]&lt;&gt;"", tblPiNAnalysis[[#This Row],[Admin 2 P-Code]], tblPiNAnalysis[[#This Row],[Admin 1 P-Code]]&lt;&gt;"", tblPiNAnalysis[[#This Row],[Admin 1 P-Code]]))</f>
        <v>Non-hosting PopulationSD08104</v>
      </c>
      <c r="B270" s="245" t="s">
        <v>150</v>
      </c>
      <c r="C270" s="246" t="s">
        <v>125</v>
      </c>
      <c r="D270" s="247" t="s">
        <v>370</v>
      </c>
      <c r="E270" s="246" t="s">
        <v>371</v>
      </c>
      <c r="F270" s="248">
        <v>5384</v>
      </c>
      <c r="G270" s="248" t="s">
        <v>568</v>
      </c>
      <c r="H270" s="310"/>
      <c r="I270" s="311"/>
      <c r="J270" s="312"/>
      <c r="K270" s="311"/>
      <c r="L270" s="311"/>
      <c r="M270" s="312"/>
      <c r="N270" s="312">
        <f>_xlfn.XLOOKUP(CONCATENATE(tblPiNAnalysis[[#This Row],[Admin 2 P-Code]],tblPiNAnalysis[[#This Row],[Population Group]]),'Overall severity &amp; PIN Analysis'!A:A,'Overall severity &amp; PIN Analysis'!P:P,0,0)</f>
        <v>1839</v>
      </c>
      <c r="O270" s="311"/>
      <c r="P270" s="312"/>
      <c r="Q270" s="312"/>
      <c r="R270" s="312"/>
      <c r="S270" s="312"/>
      <c r="T270" s="313" t="str">
        <f>IF(tblPiNAnalysis[[#This Row],[Site Management ]]="", "", tblPiNAnalysis[[#This Row],[Site Management ]]/tblPiNAnalysis[[#This Row],[Total Population]])</f>
        <v/>
      </c>
      <c r="U270" s="314" t="str">
        <f>IF(tblPiNAnalysis[[#This Row],[Education]]="", "", tblPiNAnalysis[[#This Row],[Education]]/tblPiNAnalysis[[#This Row],[Total Population]])</f>
        <v/>
      </c>
      <c r="V270" s="314" t="str">
        <f>IF(tblPiNAnalysis[[#This Row],[Food Security and Livlihoods]]="", "", tblPiNAnalysis[[#This Row],[Food Security and Livlihoods]]/tblPiNAnalysis[[#This Row],[Total Population]])</f>
        <v/>
      </c>
      <c r="W270" s="315" t="str">
        <f>IF(tblPiNAnalysis[[#This Row],[Health ]]="", "", tblPiNAnalysis[[#This Row],[Health ]]/tblPiNAnalysis[[#This Row],[Total Population]])</f>
        <v/>
      </c>
      <c r="X270" s="314" t="str">
        <f>IF(tblPiNAnalysis[[#This Row],[Nutrition]]="", "", tblPiNAnalysis[[#This Row],[Nutrition]]/tblPiNAnalysis[[#This Row],[Total Population]])</f>
        <v/>
      </c>
      <c r="Y270" s="314" t="str">
        <f>IF(tblPiNAnalysis[[#This Row],[Protection]]="", "", tblPiNAnalysis[[#This Row],[Protection]]/tblPiNAnalysis[[#This Row],[Total Population]])</f>
        <v/>
      </c>
      <c r="Z270" s="316">
        <f>IF(tblPiNAnalysis[[#This Row],[Shelter NFI ]]="", "", tblPiNAnalysis[[#This Row],[Shelter NFI ]]/tblPiNAnalysis[[#This Row],[Total Population]])</f>
        <v>0.34156760772659733</v>
      </c>
      <c r="AA270" s="317" t="str">
        <f>IF(tblPiNAnalysis[[#This Row],[WASH]]="", "", tblPiNAnalysis[[#This Row],[WASH]]/tblPiNAnalysis[[#This Row],[Total Population]])</f>
        <v/>
      </c>
      <c r="AB270" s="318" t="str">
        <f>IFERROR(IF(tblPiNAnalysis[[#This Row],[CP]]="", "", MROUND(tblPiNAnalysis[[#This Row],[CP]]/tblPiNAnalysis[[#This Row],[Total Population]], 0.05)), "")</f>
        <v/>
      </c>
      <c r="AC270" s="314" t="str">
        <f>IFERROR(IF(tblPiNAnalysis[[#This Row],[GBV]]="", "", MROUND(tblPiNAnalysis[[#This Row],[GBV]]/tblPiNAnalysis[[#This Row],[Total Population]], 0.05)), "")</f>
        <v/>
      </c>
      <c r="AD270" s="314" t="str">
        <f>IFERROR(IF(tblPiNAnalysis[[#This Row],[Mine Action]]="", "", MROUND(tblPiNAnalysis[[#This Row],[Mine Action]]/tblPiNAnalysis[[#This Row],[Total Population]], 0.05)), "")</f>
        <v/>
      </c>
      <c r="AE270" s="314" t="str">
        <f>IFERROR(IF(tblPiNAnalysis[[#This Row],[General Protection]]="", "", MROUND(tblPiNAnalysis[[#This Row],[General Protection]]/tblPiNAnalysis[[#This Row],[Total Population]], 0.05)), "")</f>
        <v/>
      </c>
      <c r="AF270" s="319">
        <f>IFERROR(LARGE(tblPiNAnalysis[[#This Row],[Site Management ]:[General Protection]], 1), "")</f>
        <v>1839</v>
      </c>
      <c r="AG270" s="320">
        <f>IF(tblPiNAnalysis[[#This Row],[Highest PiN]]="", "",tblPiNAnalysis[[#This Row],[Highest PiN]]/ tblPiNAnalysis[[#This Row],[Total Population]])</f>
        <v>0.34156760772659733</v>
      </c>
      <c r="AH270" s="320" t="str">
        <f>IFERROR(IF(tblPiNAnalysis[[#This Row],[Highest PiN]]="", "", IF(tblPiNAnalysis[[#This Row],[Highest sector(s'') PiN %]]&gt;=flag_pin_perc, "Flagged", "")), "")</f>
        <v/>
      </c>
      <c r="AI270" s="321"/>
      <c r="AJ270" s="322"/>
      <c r="AK270" s="323">
        <f>COUNTIFS(tblPiNAnalysis[[#This Row],[Highest PiN greater than 90% of total affected population]:[Manual Flag]],"Flagged")</f>
        <v>0</v>
      </c>
      <c r="AL270" s="324" t="str">
        <f>IF(tblPiNAnalysis[[#This Row],['# Flags]]&gt;0, "Flagged", "")</f>
        <v/>
      </c>
    </row>
    <row r="271" spans="1:38" ht="23.1" hidden="1" customHeight="1" x14ac:dyDescent="0.2">
      <c r="A271" s="309" t="str">
        <f>_xlfn.CONCAT(IF(tblPiNAnalysis[[#This Row],[Population Group]]="", "",tblPiNAnalysis[[#This Row],[Population Group]] ), _xlfn.IFS(tblPiNAnalysis[[#This Row],[Admin 2 P-Code]]&lt;&gt;"", tblPiNAnalysis[[#This Row],[Admin 2 P-Code]], tblPiNAnalysis[[#This Row],[Admin 1 P-Code]]&lt;&gt;"", tblPiNAnalysis[[#This Row],[Admin 1 P-Code]]))</f>
        <v>Host CommunitySD08105</v>
      </c>
      <c r="B271" s="245" t="s">
        <v>150</v>
      </c>
      <c r="C271" s="246" t="s">
        <v>125</v>
      </c>
      <c r="D271" s="247" t="s">
        <v>372</v>
      </c>
      <c r="E271" s="246" t="s">
        <v>373</v>
      </c>
      <c r="F271" s="248">
        <v>129751</v>
      </c>
      <c r="G271" s="248" t="s">
        <v>87</v>
      </c>
      <c r="H271" s="310"/>
      <c r="I271" s="311"/>
      <c r="J271" s="312"/>
      <c r="K271" s="311"/>
      <c r="L271" s="311"/>
      <c r="M271" s="312"/>
      <c r="N271" s="312">
        <f>_xlfn.XLOOKUP(CONCATENATE(tblPiNAnalysis[[#This Row],[Admin 2 P-Code]],tblPiNAnalysis[[#This Row],[Population Group]]),'Overall severity &amp; PIN Analysis'!A:A,'Overall severity &amp; PIN Analysis'!P:P,0,0)</f>
        <v>77968</v>
      </c>
      <c r="O271" s="311"/>
      <c r="P271" s="312"/>
      <c r="Q271" s="312"/>
      <c r="R271" s="312"/>
      <c r="S271" s="312"/>
      <c r="T271" s="313" t="str">
        <f>IF(tblPiNAnalysis[[#This Row],[Site Management ]]="", "", tblPiNAnalysis[[#This Row],[Site Management ]]/tblPiNAnalysis[[#This Row],[Total Population]])</f>
        <v/>
      </c>
      <c r="U271" s="314" t="str">
        <f>IF(tblPiNAnalysis[[#This Row],[Education]]="", "", tblPiNAnalysis[[#This Row],[Education]]/tblPiNAnalysis[[#This Row],[Total Population]])</f>
        <v/>
      </c>
      <c r="V271" s="314" t="str">
        <f>IF(tblPiNAnalysis[[#This Row],[Food Security and Livlihoods]]="", "", tblPiNAnalysis[[#This Row],[Food Security and Livlihoods]]/tblPiNAnalysis[[#This Row],[Total Population]])</f>
        <v/>
      </c>
      <c r="W271" s="315" t="str">
        <f>IF(tblPiNAnalysis[[#This Row],[Health ]]="", "", tblPiNAnalysis[[#This Row],[Health ]]/tblPiNAnalysis[[#This Row],[Total Population]])</f>
        <v/>
      </c>
      <c r="X271" s="314" t="str">
        <f>IF(tblPiNAnalysis[[#This Row],[Nutrition]]="", "", tblPiNAnalysis[[#This Row],[Nutrition]]/tblPiNAnalysis[[#This Row],[Total Population]])</f>
        <v/>
      </c>
      <c r="Y271" s="314" t="str">
        <f>IF(tblPiNAnalysis[[#This Row],[Protection]]="", "", tblPiNAnalysis[[#This Row],[Protection]]/tblPiNAnalysis[[#This Row],[Total Population]])</f>
        <v/>
      </c>
      <c r="Z271" s="316">
        <f>IF(tblPiNAnalysis[[#This Row],[Shelter NFI ]]="", "", tblPiNAnalysis[[#This Row],[Shelter NFI ]]/tblPiNAnalysis[[#This Row],[Total Population]])</f>
        <v>0.60090480998219664</v>
      </c>
      <c r="AA271" s="317" t="str">
        <f>IF(tblPiNAnalysis[[#This Row],[WASH]]="", "", tblPiNAnalysis[[#This Row],[WASH]]/tblPiNAnalysis[[#This Row],[Total Population]])</f>
        <v/>
      </c>
      <c r="AB271" s="318" t="str">
        <f>IFERROR(IF(tblPiNAnalysis[[#This Row],[CP]]="", "", MROUND(tblPiNAnalysis[[#This Row],[CP]]/tblPiNAnalysis[[#This Row],[Total Population]], 0.05)), "")</f>
        <v/>
      </c>
      <c r="AC271" s="314" t="str">
        <f>IFERROR(IF(tblPiNAnalysis[[#This Row],[GBV]]="", "", MROUND(tblPiNAnalysis[[#This Row],[GBV]]/tblPiNAnalysis[[#This Row],[Total Population]], 0.05)), "")</f>
        <v/>
      </c>
      <c r="AD271" s="314" t="str">
        <f>IFERROR(IF(tblPiNAnalysis[[#This Row],[Mine Action]]="", "", MROUND(tblPiNAnalysis[[#This Row],[Mine Action]]/tblPiNAnalysis[[#This Row],[Total Population]], 0.05)), "")</f>
        <v/>
      </c>
      <c r="AE271" s="314" t="str">
        <f>IFERROR(IF(tblPiNAnalysis[[#This Row],[General Protection]]="", "", MROUND(tblPiNAnalysis[[#This Row],[General Protection]]/tblPiNAnalysis[[#This Row],[Total Population]], 0.05)), "")</f>
        <v/>
      </c>
      <c r="AF271" s="319">
        <f>IFERROR(LARGE(tblPiNAnalysis[[#This Row],[Site Management ]:[General Protection]], 1), "")</f>
        <v>77968</v>
      </c>
      <c r="AG271" s="320">
        <f>IF(tblPiNAnalysis[[#This Row],[Highest PiN]]="", "",tblPiNAnalysis[[#This Row],[Highest PiN]]/ tblPiNAnalysis[[#This Row],[Total Population]])</f>
        <v>0.60090480998219664</v>
      </c>
      <c r="AH271" s="320" t="str">
        <f>IFERROR(IF(tblPiNAnalysis[[#This Row],[Highest PiN]]="", "", IF(tblPiNAnalysis[[#This Row],[Highest sector(s'') PiN %]]&gt;=flag_pin_perc, "Flagged", "")), "")</f>
        <v/>
      </c>
      <c r="AI271" s="321"/>
      <c r="AJ271" s="322"/>
      <c r="AK271" s="323">
        <f>COUNTIFS(tblPiNAnalysis[[#This Row],[Highest PiN greater than 90% of total affected population]:[Manual Flag]],"Flagged")</f>
        <v>0</v>
      </c>
      <c r="AL271" s="324" t="str">
        <f>IF(tblPiNAnalysis[[#This Row],['# Flags]]&gt;0, "Flagged", "")</f>
        <v/>
      </c>
    </row>
    <row r="272" spans="1:38" ht="23.1" hidden="1" customHeight="1" x14ac:dyDescent="0.2">
      <c r="A272" s="309" t="str">
        <f>_xlfn.CONCAT(IF(tblPiNAnalysis[[#This Row],[Population Group]]="", "",tblPiNAnalysis[[#This Row],[Population Group]] ), _xlfn.IFS(tblPiNAnalysis[[#This Row],[Admin 2 P-Code]]&lt;&gt;"", tblPiNAnalysis[[#This Row],[Admin 2 P-Code]], tblPiNAnalysis[[#This Row],[Admin 1 P-Code]]&lt;&gt;"", tblPiNAnalysis[[#This Row],[Admin 1 P-Code]]))</f>
        <v>IDPsSD08105</v>
      </c>
      <c r="B272" s="245" t="s">
        <v>150</v>
      </c>
      <c r="C272" s="246" t="s">
        <v>125</v>
      </c>
      <c r="D272" s="247" t="s">
        <v>372</v>
      </c>
      <c r="E272" s="246" t="s">
        <v>373</v>
      </c>
      <c r="F272" s="248">
        <v>126167</v>
      </c>
      <c r="G272" s="248" t="s">
        <v>88</v>
      </c>
      <c r="H272" s="310"/>
      <c r="I272" s="311"/>
      <c r="J272" s="311"/>
      <c r="K272" s="311"/>
      <c r="L272" s="311"/>
      <c r="M272" s="311"/>
      <c r="N272" s="311">
        <f>_xlfn.XLOOKUP(CONCATENATE(tblPiNAnalysis[[#This Row],[Admin 2 P-Code]],tblPiNAnalysis[[#This Row],[Population Group]]),'Overall severity &amp; PIN Analysis'!A:A,'Overall severity &amp; PIN Analysis'!P:P,0,0)</f>
        <v>75814</v>
      </c>
      <c r="O272" s="311"/>
      <c r="P272" s="311"/>
      <c r="Q272" s="311"/>
      <c r="R272" s="311"/>
      <c r="S272" s="311"/>
      <c r="T272" s="326" t="str">
        <f>IF(tblPiNAnalysis[[#This Row],[Site Management ]]="", "", tblPiNAnalysis[[#This Row],[Site Management ]]/tblPiNAnalysis[[#This Row],[Total Population]])</f>
        <v/>
      </c>
      <c r="U272" s="315" t="str">
        <f>IF(tblPiNAnalysis[[#This Row],[Education]]="", "", tblPiNAnalysis[[#This Row],[Education]]/tblPiNAnalysis[[#This Row],[Total Population]])</f>
        <v/>
      </c>
      <c r="V272" s="315" t="str">
        <f>IF(tblPiNAnalysis[[#This Row],[Food Security and Livlihoods]]="", "", tblPiNAnalysis[[#This Row],[Food Security and Livlihoods]]/tblPiNAnalysis[[#This Row],[Total Population]])</f>
        <v/>
      </c>
      <c r="W272" s="315" t="str">
        <f>IF(tblPiNAnalysis[[#This Row],[Health ]]="", "", tblPiNAnalysis[[#This Row],[Health ]]/tblPiNAnalysis[[#This Row],[Total Population]])</f>
        <v/>
      </c>
      <c r="X272" s="315" t="str">
        <f>IF(tblPiNAnalysis[[#This Row],[Nutrition]]="", "", tblPiNAnalysis[[#This Row],[Nutrition]]/tblPiNAnalysis[[#This Row],[Total Population]])</f>
        <v/>
      </c>
      <c r="Y272" s="315" t="str">
        <f>IF(tblPiNAnalysis[[#This Row],[Protection]]="", "", tblPiNAnalysis[[#This Row],[Protection]]/tblPiNAnalysis[[#This Row],[Total Population]])</f>
        <v/>
      </c>
      <c r="Z272" s="327">
        <f>IF(tblPiNAnalysis[[#This Row],[Shelter NFI ]]="", "", tblPiNAnalysis[[#This Row],[Shelter NFI ]]/tblPiNAnalysis[[#This Row],[Total Population]])</f>
        <v>0.60090197912290855</v>
      </c>
      <c r="AA272" s="328" t="str">
        <f>IF(tblPiNAnalysis[[#This Row],[WASH]]="", "", tblPiNAnalysis[[#This Row],[WASH]]/tblPiNAnalysis[[#This Row],[Total Population]])</f>
        <v/>
      </c>
      <c r="AB272" s="329" t="str">
        <f>IFERROR(IF(tblPiNAnalysis[[#This Row],[CP]]="", "", MROUND(tblPiNAnalysis[[#This Row],[CP]]/tblPiNAnalysis[[#This Row],[Total Population]], 0.05)), "")</f>
        <v/>
      </c>
      <c r="AC272" s="315" t="str">
        <f>IFERROR(IF(tblPiNAnalysis[[#This Row],[GBV]]="", "", MROUND(tblPiNAnalysis[[#This Row],[GBV]]/tblPiNAnalysis[[#This Row],[Total Population]], 0.05)), "")</f>
        <v/>
      </c>
      <c r="AD272" s="315" t="str">
        <f>IFERROR(IF(tblPiNAnalysis[[#This Row],[Mine Action]]="", "", MROUND(tblPiNAnalysis[[#This Row],[Mine Action]]/tblPiNAnalysis[[#This Row],[Total Population]], 0.05)), "")</f>
        <v/>
      </c>
      <c r="AE272" s="315" t="str">
        <f>IFERROR(IF(tblPiNAnalysis[[#This Row],[General Protection]]="", "", MROUND(tblPiNAnalysis[[#This Row],[General Protection]]/tblPiNAnalysis[[#This Row],[Total Population]], 0.05)), "")</f>
        <v/>
      </c>
      <c r="AF272" s="319">
        <f>IFERROR(LARGE(tblPiNAnalysis[[#This Row],[Site Management ]:[General Protection]], 1), "")</f>
        <v>75814</v>
      </c>
      <c r="AG272" s="330">
        <f>IF(tblPiNAnalysis[[#This Row],[Highest PiN]]="", "",tblPiNAnalysis[[#This Row],[Highest PiN]]/ tblPiNAnalysis[[#This Row],[Total Population]])</f>
        <v>0.60090197912290855</v>
      </c>
      <c r="AH272" s="330" t="str">
        <f>IFERROR(IF(tblPiNAnalysis[[#This Row],[Highest PiN]]="", "", IF(tblPiNAnalysis[[#This Row],[Highest sector(s'') PiN %]]&gt;=flag_pin_perc, "Flagged", "")), "")</f>
        <v/>
      </c>
      <c r="AI272" s="321"/>
      <c r="AJ272" s="322"/>
      <c r="AK272" s="323">
        <f>COUNTIFS(tblPiNAnalysis[[#This Row],[Highest PiN greater than 90% of total affected population]:[Manual Flag]],"Flagged")</f>
        <v>0</v>
      </c>
      <c r="AL272" s="331" t="str">
        <f>IF(tblPiNAnalysis[[#This Row],['# Flags]]&gt;0, "Flagged", "")</f>
        <v/>
      </c>
    </row>
    <row r="273" spans="1:38" ht="23.1" customHeight="1" x14ac:dyDescent="0.2">
      <c r="A273" s="309" t="str">
        <f>_xlfn.CONCAT(IF(tblPiNAnalysis[[#This Row],[Population Group]]="", "",tblPiNAnalysis[[#This Row],[Population Group]] ), _xlfn.IFS(tblPiNAnalysis[[#This Row],[Admin 2 P-Code]]&lt;&gt;"", tblPiNAnalysis[[#This Row],[Admin 2 P-Code]], tblPiNAnalysis[[#This Row],[Admin 1 P-Code]]&lt;&gt;"", tblPiNAnalysis[[#This Row],[Admin 1 P-Code]]))</f>
        <v>Non-hosting PopulationSD08105</v>
      </c>
      <c r="B273" s="245" t="s">
        <v>150</v>
      </c>
      <c r="C273" s="246" t="s">
        <v>125</v>
      </c>
      <c r="D273" s="247" t="s">
        <v>372</v>
      </c>
      <c r="E273" s="246" t="s">
        <v>373</v>
      </c>
      <c r="F273" s="248">
        <v>21850</v>
      </c>
      <c r="G273" s="248" t="s">
        <v>568</v>
      </c>
      <c r="H273" s="310"/>
      <c r="I273" s="311"/>
      <c r="J273" s="312"/>
      <c r="K273" s="311"/>
      <c r="L273" s="311"/>
      <c r="M273" s="312"/>
      <c r="N273" s="312">
        <f>_xlfn.XLOOKUP(CONCATENATE(tblPiNAnalysis[[#This Row],[Admin 2 P-Code]],tblPiNAnalysis[[#This Row],[Population Group]]),'Overall severity &amp; PIN Analysis'!A:A,'Overall severity &amp; PIN Analysis'!P:P,0,0)</f>
        <v>542</v>
      </c>
      <c r="O273" s="311"/>
      <c r="P273" s="312"/>
      <c r="Q273" s="312"/>
      <c r="R273" s="312"/>
      <c r="S273" s="312"/>
      <c r="T273" s="313" t="str">
        <f>IF(tblPiNAnalysis[[#This Row],[Site Management ]]="", "", tblPiNAnalysis[[#This Row],[Site Management ]]/tblPiNAnalysis[[#This Row],[Total Population]])</f>
        <v/>
      </c>
      <c r="U273" s="314" t="str">
        <f>IF(tblPiNAnalysis[[#This Row],[Education]]="", "", tblPiNAnalysis[[#This Row],[Education]]/tblPiNAnalysis[[#This Row],[Total Population]])</f>
        <v/>
      </c>
      <c r="V273" s="314" t="str">
        <f>IF(tblPiNAnalysis[[#This Row],[Food Security and Livlihoods]]="", "", tblPiNAnalysis[[#This Row],[Food Security and Livlihoods]]/tblPiNAnalysis[[#This Row],[Total Population]])</f>
        <v/>
      </c>
      <c r="W273" s="315" t="str">
        <f>IF(tblPiNAnalysis[[#This Row],[Health ]]="", "", tblPiNAnalysis[[#This Row],[Health ]]/tblPiNAnalysis[[#This Row],[Total Population]])</f>
        <v/>
      </c>
      <c r="X273" s="314" t="str">
        <f>IF(tblPiNAnalysis[[#This Row],[Nutrition]]="", "", tblPiNAnalysis[[#This Row],[Nutrition]]/tblPiNAnalysis[[#This Row],[Total Population]])</f>
        <v/>
      </c>
      <c r="Y273" s="314" t="str">
        <f>IF(tblPiNAnalysis[[#This Row],[Protection]]="", "", tblPiNAnalysis[[#This Row],[Protection]]/tblPiNAnalysis[[#This Row],[Total Population]])</f>
        <v/>
      </c>
      <c r="Z273" s="316">
        <f>IF(tblPiNAnalysis[[#This Row],[Shelter NFI ]]="", "", tblPiNAnalysis[[#This Row],[Shelter NFI ]]/tblPiNAnalysis[[#This Row],[Total Population]])</f>
        <v>2.4805491990846681E-2</v>
      </c>
      <c r="AA273" s="317" t="str">
        <f>IF(tblPiNAnalysis[[#This Row],[WASH]]="", "", tblPiNAnalysis[[#This Row],[WASH]]/tblPiNAnalysis[[#This Row],[Total Population]])</f>
        <v/>
      </c>
      <c r="AB273" s="318" t="str">
        <f>IFERROR(IF(tblPiNAnalysis[[#This Row],[CP]]="", "", MROUND(tblPiNAnalysis[[#This Row],[CP]]/tblPiNAnalysis[[#This Row],[Total Population]], 0.05)), "")</f>
        <v/>
      </c>
      <c r="AC273" s="314" t="str">
        <f>IFERROR(IF(tblPiNAnalysis[[#This Row],[GBV]]="", "", MROUND(tblPiNAnalysis[[#This Row],[GBV]]/tblPiNAnalysis[[#This Row],[Total Population]], 0.05)), "")</f>
        <v/>
      </c>
      <c r="AD273" s="314" t="str">
        <f>IFERROR(IF(tblPiNAnalysis[[#This Row],[Mine Action]]="", "", MROUND(tblPiNAnalysis[[#This Row],[Mine Action]]/tblPiNAnalysis[[#This Row],[Total Population]], 0.05)), "")</f>
        <v/>
      </c>
      <c r="AE273" s="314" t="str">
        <f>IFERROR(IF(tblPiNAnalysis[[#This Row],[General Protection]]="", "", MROUND(tblPiNAnalysis[[#This Row],[General Protection]]/tblPiNAnalysis[[#This Row],[Total Population]], 0.05)), "")</f>
        <v/>
      </c>
      <c r="AF273" s="319">
        <f>IFERROR(LARGE(tblPiNAnalysis[[#This Row],[Site Management ]:[General Protection]], 1), "")</f>
        <v>542</v>
      </c>
      <c r="AG273" s="320">
        <f>IF(tblPiNAnalysis[[#This Row],[Highest PiN]]="", "",tblPiNAnalysis[[#This Row],[Highest PiN]]/ tblPiNAnalysis[[#This Row],[Total Population]])</f>
        <v>2.4805491990846681E-2</v>
      </c>
      <c r="AH273" s="320" t="str">
        <f>IFERROR(IF(tblPiNAnalysis[[#This Row],[Highest PiN]]="", "", IF(tblPiNAnalysis[[#This Row],[Highest sector(s'') PiN %]]&gt;=flag_pin_perc, "Flagged", "")), "")</f>
        <v/>
      </c>
      <c r="AI273" s="321"/>
      <c r="AJ273" s="322"/>
      <c r="AK273" s="323">
        <f>COUNTIFS(tblPiNAnalysis[[#This Row],[Highest PiN greater than 90% of total affected population]:[Manual Flag]],"Flagged")</f>
        <v>0</v>
      </c>
      <c r="AL273" s="324" t="str">
        <f>IF(tblPiNAnalysis[[#This Row],['# Flags]]&gt;0, "Flagged", "")</f>
        <v/>
      </c>
    </row>
    <row r="274" spans="1:38" ht="23.1" hidden="1" customHeight="1" x14ac:dyDescent="0.2">
      <c r="A274" s="309" t="str">
        <f>_xlfn.CONCAT(IF(tblPiNAnalysis[[#This Row],[Population Group]]="", "",tblPiNAnalysis[[#This Row],[Population Group]] ), _xlfn.IFS(tblPiNAnalysis[[#This Row],[Admin 2 P-Code]]&lt;&gt;"", tblPiNAnalysis[[#This Row],[Admin 2 P-Code]], tblPiNAnalysis[[#This Row],[Admin 1 P-Code]]&lt;&gt;"", tblPiNAnalysis[[#This Row],[Admin 1 P-Code]]))</f>
        <v>Host CommunitySD08106</v>
      </c>
      <c r="B274" s="245" t="s">
        <v>150</v>
      </c>
      <c r="C274" s="246" t="s">
        <v>125</v>
      </c>
      <c r="D274" s="247" t="s">
        <v>374</v>
      </c>
      <c r="E274" s="246" t="s">
        <v>375</v>
      </c>
      <c r="F274" s="248">
        <v>17761</v>
      </c>
      <c r="G274" s="248" t="s">
        <v>87</v>
      </c>
      <c r="H274" s="310"/>
      <c r="I274" s="311"/>
      <c r="J274" s="312"/>
      <c r="K274" s="311"/>
      <c r="L274" s="311"/>
      <c r="M274" s="312"/>
      <c r="N274" s="312">
        <f>_xlfn.XLOOKUP(CONCATENATE(tblPiNAnalysis[[#This Row],[Admin 2 P-Code]],tblPiNAnalysis[[#This Row],[Population Group]]),'Overall severity &amp; PIN Analysis'!A:A,'Overall severity &amp; PIN Analysis'!P:P,0,0)</f>
        <v>15018</v>
      </c>
      <c r="O274" s="311"/>
      <c r="P274" s="312"/>
      <c r="Q274" s="312"/>
      <c r="R274" s="312"/>
      <c r="S274" s="312"/>
      <c r="T274" s="313" t="str">
        <f>IF(tblPiNAnalysis[[#This Row],[Site Management ]]="", "", tblPiNAnalysis[[#This Row],[Site Management ]]/tblPiNAnalysis[[#This Row],[Total Population]])</f>
        <v/>
      </c>
      <c r="U274" s="314" t="str">
        <f>IF(tblPiNAnalysis[[#This Row],[Education]]="", "", tblPiNAnalysis[[#This Row],[Education]]/tblPiNAnalysis[[#This Row],[Total Population]])</f>
        <v/>
      </c>
      <c r="V274" s="314" t="str">
        <f>IF(tblPiNAnalysis[[#This Row],[Food Security and Livlihoods]]="", "", tblPiNAnalysis[[#This Row],[Food Security and Livlihoods]]/tblPiNAnalysis[[#This Row],[Total Population]])</f>
        <v/>
      </c>
      <c r="W274" s="315" t="str">
        <f>IF(tblPiNAnalysis[[#This Row],[Health ]]="", "", tblPiNAnalysis[[#This Row],[Health ]]/tblPiNAnalysis[[#This Row],[Total Population]])</f>
        <v/>
      </c>
      <c r="X274" s="314" t="str">
        <f>IF(tblPiNAnalysis[[#This Row],[Nutrition]]="", "", tblPiNAnalysis[[#This Row],[Nutrition]]/tblPiNAnalysis[[#This Row],[Total Population]])</f>
        <v/>
      </c>
      <c r="Y274" s="314" t="str">
        <f>IF(tblPiNAnalysis[[#This Row],[Protection]]="", "", tblPiNAnalysis[[#This Row],[Protection]]/tblPiNAnalysis[[#This Row],[Total Population]])</f>
        <v/>
      </c>
      <c r="Z274" s="316">
        <f>IF(tblPiNAnalysis[[#This Row],[Shelter NFI ]]="", "", tblPiNAnalysis[[#This Row],[Shelter NFI ]]/tblPiNAnalysis[[#This Row],[Total Population]])</f>
        <v>0.84556049771972297</v>
      </c>
      <c r="AA274" s="317" t="str">
        <f>IF(tblPiNAnalysis[[#This Row],[WASH]]="", "", tblPiNAnalysis[[#This Row],[WASH]]/tblPiNAnalysis[[#This Row],[Total Population]])</f>
        <v/>
      </c>
      <c r="AB274" s="318" t="str">
        <f>IFERROR(IF(tblPiNAnalysis[[#This Row],[CP]]="", "", MROUND(tblPiNAnalysis[[#This Row],[CP]]/tblPiNAnalysis[[#This Row],[Total Population]], 0.05)), "")</f>
        <v/>
      </c>
      <c r="AC274" s="314" t="str">
        <f>IFERROR(IF(tblPiNAnalysis[[#This Row],[GBV]]="", "", MROUND(tblPiNAnalysis[[#This Row],[GBV]]/tblPiNAnalysis[[#This Row],[Total Population]], 0.05)), "")</f>
        <v/>
      </c>
      <c r="AD274" s="314" t="str">
        <f>IFERROR(IF(tblPiNAnalysis[[#This Row],[Mine Action]]="", "", MROUND(tblPiNAnalysis[[#This Row],[Mine Action]]/tblPiNAnalysis[[#This Row],[Total Population]], 0.05)), "")</f>
        <v/>
      </c>
      <c r="AE274" s="314" t="str">
        <f>IFERROR(IF(tblPiNAnalysis[[#This Row],[General Protection]]="", "", MROUND(tblPiNAnalysis[[#This Row],[General Protection]]/tblPiNAnalysis[[#This Row],[Total Population]], 0.05)), "")</f>
        <v/>
      </c>
      <c r="AF274" s="319">
        <f>IFERROR(LARGE(tblPiNAnalysis[[#This Row],[Site Management ]:[General Protection]], 1), "")</f>
        <v>15018</v>
      </c>
      <c r="AG274" s="320">
        <f>IF(tblPiNAnalysis[[#This Row],[Highest PiN]]="", "",tblPiNAnalysis[[#This Row],[Highest PiN]]/ tblPiNAnalysis[[#This Row],[Total Population]])</f>
        <v>0.84556049771972297</v>
      </c>
      <c r="AH274" s="320" t="str">
        <f>IFERROR(IF(tblPiNAnalysis[[#This Row],[Highest PiN]]="", "", IF(tblPiNAnalysis[[#This Row],[Highest sector(s'') PiN %]]&gt;=flag_pin_perc, "Flagged", "")), "")</f>
        <v/>
      </c>
      <c r="AI274" s="321"/>
      <c r="AJ274" s="322"/>
      <c r="AK274" s="323">
        <f>COUNTIFS(tblPiNAnalysis[[#This Row],[Highest PiN greater than 90% of total affected population]:[Manual Flag]],"Flagged")</f>
        <v>0</v>
      </c>
      <c r="AL274" s="324" t="str">
        <f>IF(tblPiNAnalysis[[#This Row],['# Flags]]&gt;0, "Flagged", "")</f>
        <v/>
      </c>
    </row>
    <row r="275" spans="1:38" ht="23.1" hidden="1" customHeight="1" x14ac:dyDescent="0.2">
      <c r="A275" s="309" t="str">
        <f>_xlfn.CONCAT(IF(tblPiNAnalysis[[#This Row],[Population Group]]="", "",tblPiNAnalysis[[#This Row],[Population Group]] ), _xlfn.IFS(tblPiNAnalysis[[#This Row],[Admin 2 P-Code]]&lt;&gt;"", tblPiNAnalysis[[#This Row],[Admin 2 P-Code]], tblPiNAnalysis[[#This Row],[Admin 1 P-Code]]&lt;&gt;"", tblPiNAnalysis[[#This Row],[Admin 1 P-Code]]))</f>
        <v>IDPsSD08106</v>
      </c>
      <c r="B275" s="245" t="s">
        <v>150</v>
      </c>
      <c r="C275" s="246" t="s">
        <v>125</v>
      </c>
      <c r="D275" s="247" t="s">
        <v>374</v>
      </c>
      <c r="E275" s="246" t="s">
        <v>375</v>
      </c>
      <c r="F275" s="248">
        <v>18121</v>
      </c>
      <c r="G275" s="248" t="s">
        <v>88</v>
      </c>
      <c r="H275" s="310"/>
      <c r="I275" s="311"/>
      <c r="J275" s="311"/>
      <c r="K275" s="311"/>
      <c r="L275" s="311"/>
      <c r="M275" s="311"/>
      <c r="N275" s="311">
        <f>_xlfn.XLOOKUP(CONCATENATE(tblPiNAnalysis[[#This Row],[Admin 2 P-Code]],tblPiNAnalysis[[#This Row],[Population Group]]),'Overall severity &amp; PIN Analysis'!A:A,'Overall severity &amp; PIN Analysis'!P:P,0,0)</f>
        <v>15323</v>
      </c>
      <c r="O275" s="311"/>
      <c r="P275" s="311"/>
      <c r="Q275" s="311"/>
      <c r="R275" s="311"/>
      <c r="S275" s="311"/>
      <c r="T275" s="326" t="str">
        <f>IF(tblPiNAnalysis[[#This Row],[Site Management ]]="", "", tblPiNAnalysis[[#This Row],[Site Management ]]/tblPiNAnalysis[[#This Row],[Total Population]])</f>
        <v/>
      </c>
      <c r="U275" s="315" t="str">
        <f>IF(tblPiNAnalysis[[#This Row],[Education]]="", "", tblPiNAnalysis[[#This Row],[Education]]/tblPiNAnalysis[[#This Row],[Total Population]])</f>
        <v/>
      </c>
      <c r="V275" s="315" t="str">
        <f>IF(tblPiNAnalysis[[#This Row],[Food Security and Livlihoods]]="", "", tblPiNAnalysis[[#This Row],[Food Security and Livlihoods]]/tblPiNAnalysis[[#This Row],[Total Population]])</f>
        <v/>
      </c>
      <c r="W275" s="315" t="str">
        <f>IF(tblPiNAnalysis[[#This Row],[Health ]]="", "", tblPiNAnalysis[[#This Row],[Health ]]/tblPiNAnalysis[[#This Row],[Total Population]])</f>
        <v/>
      </c>
      <c r="X275" s="315" t="str">
        <f>IF(tblPiNAnalysis[[#This Row],[Nutrition]]="", "", tblPiNAnalysis[[#This Row],[Nutrition]]/tblPiNAnalysis[[#This Row],[Total Population]])</f>
        <v/>
      </c>
      <c r="Y275" s="315" t="str">
        <f>IF(tblPiNAnalysis[[#This Row],[Protection]]="", "", tblPiNAnalysis[[#This Row],[Protection]]/tblPiNAnalysis[[#This Row],[Total Population]])</f>
        <v/>
      </c>
      <c r="Z275" s="327">
        <f>IF(tblPiNAnalysis[[#This Row],[Shelter NFI ]]="", "", tblPiNAnalysis[[#This Row],[Shelter NFI ]]/tblPiNAnalysis[[#This Row],[Total Population]])</f>
        <v>0.84559351029192653</v>
      </c>
      <c r="AA275" s="328" t="str">
        <f>IF(tblPiNAnalysis[[#This Row],[WASH]]="", "", tblPiNAnalysis[[#This Row],[WASH]]/tblPiNAnalysis[[#This Row],[Total Population]])</f>
        <v/>
      </c>
      <c r="AB275" s="329" t="str">
        <f>IFERROR(IF(tblPiNAnalysis[[#This Row],[CP]]="", "", MROUND(tblPiNAnalysis[[#This Row],[CP]]/tblPiNAnalysis[[#This Row],[Total Population]], 0.05)), "")</f>
        <v/>
      </c>
      <c r="AC275" s="315" t="str">
        <f>IFERROR(IF(tblPiNAnalysis[[#This Row],[GBV]]="", "", MROUND(tblPiNAnalysis[[#This Row],[GBV]]/tblPiNAnalysis[[#This Row],[Total Population]], 0.05)), "")</f>
        <v/>
      </c>
      <c r="AD275" s="315" t="str">
        <f>IFERROR(IF(tblPiNAnalysis[[#This Row],[Mine Action]]="", "", MROUND(tblPiNAnalysis[[#This Row],[Mine Action]]/tblPiNAnalysis[[#This Row],[Total Population]], 0.05)), "")</f>
        <v/>
      </c>
      <c r="AE275" s="315" t="str">
        <f>IFERROR(IF(tblPiNAnalysis[[#This Row],[General Protection]]="", "", MROUND(tblPiNAnalysis[[#This Row],[General Protection]]/tblPiNAnalysis[[#This Row],[Total Population]], 0.05)), "")</f>
        <v/>
      </c>
      <c r="AF275" s="319">
        <f>IFERROR(LARGE(tblPiNAnalysis[[#This Row],[Site Management ]:[General Protection]], 1), "")</f>
        <v>15323</v>
      </c>
      <c r="AG275" s="330">
        <f>IF(tblPiNAnalysis[[#This Row],[Highest PiN]]="", "",tblPiNAnalysis[[#This Row],[Highest PiN]]/ tblPiNAnalysis[[#This Row],[Total Population]])</f>
        <v>0.84559351029192653</v>
      </c>
      <c r="AH275" s="330" t="str">
        <f>IFERROR(IF(tblPiNAnalysis[[#This Row],[Highest PiN]]="", "", IF(tblPiNAnalysis[[#This Row],[Highest sector(s'') PiN %]]&gt;=flag_pin_perc, "Flagged", "")), "")</f>
        <v/>
      </c>
      <c r="AI275" s="321"/>
      <c r="AJ275" s="322"/>
      <c r="AK275" s="323">
        <f>COUNTIFS(tblPiNAnalysis[[#This Row],[Highest PiN greater than 90% of total affected population]:[Manual Flag]],"Flagged")</f>
        <v>0</v>
      </c>
      <c r="AL275" s="331" t="str">
        <f>IF(tblPiNAnalysis[[#This Row],['# Flags]]&gt;0, "Flagged", "")</f>
        <v/>
      </c>
    </row>
    <row r="276" spans="1:38" ht="23.1" customHeight="1" x14ac:dyDescent="0.2">
      <c r="A276" s="309" t="str">
        <f>_xlfn.CONCAT(IF(tblPiNAnalysis[[#This Row],[Population Group]]="", "",tblPiNAnalysis[[#This Row],[Population Group]] ), _xlfn.IFS(tblPiNAnalysis[[#This Row],[Admin 2 P-Code]]&lt;&gt;"", tblPiNAnalysis[[#This Row],[Admin 2 P-Code]], tblPiNAnalysis[[#This Row],[Admin 1 P-Code]]&lt;&gt;"", tblPiNAnalysis[[#This Row],[Admin 1 P-Code]]))</f>
        <v>Non-hosting PopulationSD08106</v>
      </c>
      <c r="B276" s="245" t="s">
        <v>150</v>
      </c>
      <c r="C276" s="246" t="s">
        <v>125</v>
      </c>
      <c r="D276" s="247" t="s">
        <v>374</v>
      </c>
      <c r="E276" s="246" t="s">
        <v>375</v>
      </c>
      <c r="F276" s="248">
        <v>45211</v>
      </c>
      <c r="G276" s="248" t="s">
        <v>568</v>
      </c>
      <c r="H276" s="310"/>
      <c r="I276" s="311"/>
      <c r="J276" s="312"/>
      <c r="K276" s="311"/>
      <c r="L276" s="311"/>
      <c r="M276" s="312"/>
      <c r="N276" s="312">
        <f>_xlfn.XLOOKUP(CONCATENATE(tblPiNAnalysis[[#This Row],[Admin 2 P-Code]],tblPiNAnalysis[[#This Row],[Population Group]]),'Overall severity &amp; PIN Analysis'!A:A,'Overall severity &amp; PIN Analysis'!P:P,0,0)</f>
        <v>3921</v>
      </c>
      <c r="O276" s="311"/>
      <c r="P276" s="312"/>
      <c r="Q276" s="312"/>
      <c r="R276" s="312"/>
      <c r="S276" s="312"/>
      <c r="T276" s="313" t="str">
        <f>IF(tblPiNAnalysis[[#This Row],[Site Management ]]="", "", tblPiNAnalysis[[#This Row],[Site Management ]]/tblPiNAnalysis[[#This Row],[Total Population]])</f>
        <v/>
      </c>
      <c r="U276" s="314" t="str">
        <f>IF(tblPiNAnalysis[[#This Row],[Education]]="", "", tblPiNAnalysis[[#This Row],[Education]]/tblPiNAnalysis[[#This Row],[Total Population]])</f>
        <v/>
      </c>
      <c r="V276" s="314" t="str">
        <f>IF(tblPiNAnalysis[[#This Row],[Food Security and Livlihoods]]="", "", tblPiNAnalysis[[#This Row],[Food Security and Livlihoods]]/tblPiNAnalysis[[#This Row],[Total Population]])</f>
        <v/>
      </c>
      <c r="W276" s="315" t="str">
        <f>IF(tblPiNAnalysis[[#This Row],[Health ]]="", "", tblPiNAnalysis[[#This Row],[Health ]]/tblPiNAnalysis[[#This Row],[Total Population]])</f>
        <v/>
      </c>
      <c r="X276" s="314" t="str">
        <f>IF(tblPiNAnalysis[[#This Row],[Nutrition]]="", "", tblPiNAnalysis[[#This Row],[Nutrition]]/tblPiNAnalysis[[#This Row],[Total Population]])</f>
        <v/>
      </c>
      <c r="Y276" s="314" t="str">
        <f>IF(tblPiNAnalysis[[#This Row],[Protection]]="", "", tblPiNAnalysis[[#This Row],[Protection]]/tblPiNAnalysis[[#This Row],[Total Population]])</f>
        <v/>
      </c>
      <c r="Z276" s="316">
        <f>IF(tblPiNAnalysis[[#This Row],[Shelter NFI ]]="", "", tblPiNAnalysis[[#This Row],[Shelter NFI ]]/tblPiNAnalysis[[#This Row],[Total Population]])</f>
        <v>8.6726681559797389E-2</v>
      </c>
      <c r="AA276" s="317" t="str">
        <f>IF(tblPiNAnalysis[[#This Row],[WASH]]="", "", tblPiNAnalysis[[#This Row],[WASH]]/tblPiNAnalysis[[#This Row],[Total Population]])</f>
        <v/>
      </c>
      <c r="AB276" s="318" t="str">
        <f>IFERROR(IF(tblPiNAnalysis[[#This Row],[CP]]="", "", MROUND(tblPiNAnalysis[[#This Row],[CP]]/tblPiNAnalysis[[#This Row],[Total Population]], 0.05)), "")</f>
        <v/>
      </c>
      <c r="AC276" s="314" t="str">
        <f>IFERROR(IF(tblPiNAnalysis[[#This Row],[GBV]]="", "", MROUND(tblPiNAnalysis[[#This Row],[GBV]]/tblPiNAnalysis[[#This Row],[Total Population]], 0.05)), "")</f>
        <v/>
      </c>
      <c r="AD276" s="314" t="str">
        <f>IFERROR(IF(tblPiNAnalysis[[#This Row],[Mine Action]]="", "", MROUND(tblPiNAnalysis[[#This Row],[Mine Action]]/tblPiNAnalysis[[#This Row],[Total Population]], 0.05)), "")</f>
        <v/>
      </c>
      <c r="AE276" s="314" t="str">
        <f>IFERROR(IF(tblPiNAnalysis[[#This Row],[General Protection]]="", "", MROUND(tblPiNAnalysis[[#This Row],[General Protection]]/tblPiNAnalysis[[#This Row],[Total Population]], 0.05)), "")</f>
        <v/>
      </c>
      <c r="AF276" s="319">
        <f>IFERROR(LARGE(tblPiNAnalysis[[#This Row],[Site Management ]:[General Protection]], 1), "")</f>
        <v>3921</v>
      </c>
      <c r="AG276" s="320">
        <f>IF(tblPiNAnalysis[[#This Row],[Highest PiN]]="", "",tblPiNAnalysis[[#This Row],[Highest PiN]]/ tblPiNAnalysis[[#This Row],[Total Population]])</f>
        <v>8.6726681559797389E-2</v>
      </c>
      <c r="AH276" s="320" t="str">
        <f>IFERROR(IF(tblPiNAnalysis[[#This Row],[Highest PiN]]="", "", IF(tblPiNAnalysis[[#This Row],[Highest sector(s'') PiN %]]&gt;=flag_pin_perc, "Flagged", "")), "")</f>
        <v/>
      </c>
      <c r="AI276" s="321"/>
      <c r="AJ276" s="322"/>
      <c r="AK276" s="323">
        <f>COUNTIFS(tblPiNAnalysis[[#This Row],[Highest PiN greater than 90% of total affected population]:[Manual Flag]],"Flagged")</f>
        <v>0</v>
      </c>
      <c r="AL276" s="324" t="str">
        <f>IF(tblPiNAnalysis[[#This Row],['# Flags]]&gt;0, "Flagged", "")</f>
        <v/>
      </c>
    </row>
    <row r="277" spans="1:38" ht="23.1" hidden="1" customHeight="1" x14ac:dyDescent="0.2">
      <c r="A277" s="309" t="str">
        <f>_xlfn.CONCAT(IF(tblPiNAnalysis[[#This Row],[Population Group]]="", "",tblPiNAnalysis[[#This Row],[Population Group]] ), _xlfn.IFS(tblPiNAnalysis[[#This Row],[Admin 2 P-Code]]&lt;&gt;"", tblPiNAnalysis[[#This Row],[Admin 2 P-Code]], tblPiNAnalysis[[#This Row],[Admin 1 P-Code]]&lt;&gt;"", tblPiNAnalysis[[#This Row],[Admin 1 P-Code]]))</f>
        <v>Host CommunitySD08107</v>
      </c>
      <c r="B277" s="245" t="s">
        <v>150</v>
      </c>
      <c r="C277" s="246" t="s">
        <v>125</v>
      </c>
      <c r="D277" s="247" t="s">
        <v>376</v>
      </c>
      <c r="E277" s="246" t="s">
        <v>377</v>
      </c>
      <c r="F277" s="248">
        <v>50975</v>
      </c>
      <c r="G277" s="248" t="s">
        <v>87</v>
      </c>
      <c r="H277" s="310"/>
      <c r="I277" s="311"/>
      <c r="J277" s="312"/>
      <c r="K277" s="311"/>
      <c r="L277" s="311"/>
      <c r="M277" s="312"/>
      <c r="N277" s="312">
        <f>_xlfn.XLOOKUP(CONCATENATE(tblPiNAnalysis[[#This Row],[Admin 2 P-Code]],tblPiNAnalysis[[#This Row],[Population Group]]),'Overall severity &amp; PIN Analysis'!A:A,'Overall severity &amp; PIN Analysis'!P:P,0,0)</f>
        <v>8913</v>
      </c>
      <c r="O277" s="311"/>
      <c r="P277" s="312"/>
      <c r="Q277" s="312"/>
      <c r="R277" s="312"/>
      <c r="S277" s="312"/>
      <c r="T277" s="313" t="str">
        <f>IF(tblPiNAnalysis[[#This Row],[Site Management ]]="", "", tblPiNAnalysis[[#This Row],[Site Management ]]/tblPiNAnalysis[[#This Row],[Total Population]])</f>
        <v/>
      </c>
      <c r="U277" s="314" t="str">
        <f>IF(tblPiNAnalysis[[#This Row],[Education]]="", "", tblPiNAnalysis[[#This Row],[Education]]/tblPiNAnalysis[[#This Row],[Total Population]])</f>
        <v/>
      </c>
      <c r="V277" s="314" t="str">
        <f>IF(tblPiNAnalysis[[#This Row],[Food Security and Livlihoods]]="", "", tblPiNAnalysis[[#This Row],[Food Security and Livlihoods]]/tblPiNAnalysis[[#This Row],[Total Population]])</f>
        <v/>
      </c>
      <c r="W277" s="315" t="str">
        <f>IF(tblPiNAnalysis[[#This Row],[Health ]]="", "", tblPiNAnalysis[[#This Row],[Health ]]/tblPiNAnalysis[[#This Row],[Total Population]])</f>
        <v/>
      </c>
      <c r="X277" s="314" t="str">
        <f>IF(tblPiNAnalysis[[#This Row],[Nutrition]]="", "", tblPiNAnalysis[[#This Row],[Nutrition]]/tblPiNAnalysis[[#This Row],[Total Population]])</f>
        <v/>
      </c>
      <c r="Y277" s="314" t="str">
        <f>IF(tblPiNAnalysis[[#This Row],[Protection]]="", "", tblPiNAnalysis[[#This Row],[Protection]]/tblPiNAnalysis[[#This Row],[Total Population]])</f>
        <v/>
      </c>
      <c r="Z277" s="316">
        <f>IF(tblPiNAnalysis[[#This Row],[Shelter NFI ]]="", "", tblPiNAnalysis[[#This Row],[Shelter NFI ]]/tblPiNAnalysis[[#This Row],[Total Population]])</f>
        <v>0.17485041687101521</v>
      </c>
      <c r="AA277" s="317" t="str">
        <f>IF(tblPiNAnalysis[[#This Row],[WASH]]="", "", tblPiNAnalysis[[#This Row],[WASH]]/tblPiNAnalysis[[#This Row],[Total Population]])</f>
        <v/>
      </c>
      <c r="AB277" s="318" t="str">
        <f>IFERROR(IF(tblPiNAnalysis[[#This Row],[CP]]="", "", MROUND(tblPiNAnalysis[[#This Row],[CP]]/tblPiNAnalysis[[#This Row],[Total Population]], 0.05)), "")</f>
        <v/>
      </c>
      <c r="AC277" s="314" t="str">
        <f>IFERROR(IF(tblPiNAnalysis[[#This Row],[GBV]]="", "", MROUND(tblPiNAnalysis[[#This Row],[GBV]]/tblPiNAnalysis[[#This Row],[Total Population]], 0.05)), "")</f>
        <v/>
      </c>
      <c r="AD277" s="314" t="str">
        <f>IFERROR(IF(tblPiNAnalysis[[#This Row],[Mine Action]]="", "", MROUND(tblPiNAnalysis[[#This Row],[Mine Action]]/tblPiNAnalysis[[#This Row],[Total Population]], 0.05)), "")</f>
        <v/>
      </c>
      <c r="AE277" s="314" t="str">
        <f>IFERROR(IF(tblPiNAnalysis[[#This Row],[General Protection]]="", "", MROUND(tblPiNAnalysis[[#This Row],[General Protection]]/tblPiNAnalysis[[#This Row],[Total Population]], 0.05)), "")</f>
        <v/>
      </c>
      <c r="AF277" s="319">
        <f>IFERROR(LARGE(tblPiNAnalysis[[#This Row],[Site Management ]:[General Protection]], 1), "")</f>
        <v>8913</v>
      </c>
      <c r="AG277" s="320">
        <f>IF(tblPiNAnalysis[[#This Row],[Highest PiN]]="", "",tblPiNAnalysis[[#This Row],[Highest PiN]]/ tblPiNAnalysis[[#This Row],[Total Population]])</f>
        <v>0.17485041687101521</v>
      </c>
      <c r="AH277" s="320" t="str">
        <f>IFERROR(IF(tblPiNAnalysis[[#This Row],[Highest PiN]]="", "", IF(tblPiNAnalysis[[#This Row],[Highest sector(s'') PiN %]]&gt;=flag_pin_perc, "Flagged", "")), "")</f>
        <v/>
      </c>
      <c r="AI277" s="321"/>
      <c r="AJ277" s="322"/>
      <c r="AK277" s="323">
        <f>COUNTIFS(tblPiNAnalysis[[#This Row],[Highest PiN greater than 90% of total affected population]:[Manual Flag]],"Flagged")</f>
        <v>0</v>
      </c>
      <c r="AL277" s="324" t="str">
        <f>IF(tblPiNAnalysis[[#This Row],['# Flags]]&gt;0, "Flagged", "")</f>
        <v/>
      </c>
    </row>
    <row r="278" spans="1:38" ht="23.1" hidden="1" customHeight="1" x14ac:dyDescent="0.2">
      <c r="A278" s="309" t="str">
        <f>_xlfn.CONCAT(IF(tblPiNAnalysis[[#This Row],[Population Group]]="", "",tblPiNAnalysis[[#This Row],[Population Group]] ), _xlfn.IFS(tblPiNAnalysis[[#This Row],[Admin 2 P-Code]]&lt;&gt;"", tblPiNAnalysis[[#This Row],[Admin 2 P-Code]], tblPiNAnalysis[[#This Row],[Admin 1 P-Code]]&lt;&gt;"", tblPiNAnalysis[[#This Row],[Admin 1 P-Code]]))</f>
        <v>IDPsSD08107</v>
      </c>
      <c r="B278" s="245" t="s">
        <v>150</v>
      </c>
      <c r="C278" s="246" t="s">
        <v>125</v>
      </c>
      <c r="D278" s="247" t="s">
        <v>376</v>
      </c>
      <c r="E278" s="246" t="s">
        <v>377</v>
      </c>
      <c r="F278" s="248">
        <v>55712</v>
      </c>
      <c r="G278" s="248" t="s">
        <v>88</v>
      </c>
      <c r="H278" s="310"/>
      <c r="I278" s="311"/>
      <c r="J278" s="311"/>
      <c r="K278" s="311"/>
      <c r="L278" s="311"/>
      <c r="M278" s="311"/>
      <c r="N278" s="311">
        <f>_xlfn.XLOOKUP(CONCATENATE(tblPiNAnalysis[[#This Row],[Admin 2 P-Code]],tblPiNAnalysis[[#This Row],[Population Group]]),'Overall severity &amp; PIN Analysis'!A:A,'Overall severity &amp; PIN Analysis'!P:P,0,0)</f>
        <v>9741</v>
      </c>
      <c r="O278" s="311"/>
      <c r="P278" s="311"/>
      <c r="Q278" s="311"/>
      <c r="R278" s="311"/>
      <c r="S278" s="311"/>
      <c r="T278" s="326" t="str">
        <f>IF(tblPiNAnalysis[[#This Row],[Site Management ]]="", "", tblPiNAnalysis[[#This Row],[Site Management ]]/tblPiNAnalysis[[#This Row],[Total Population]])</f>
        <v/>
      </c>
      <c r="U278" s="315" t="str">
        <f>IF(tblPiNAnalysis[[#This Row],[Education]]="", "", tblPiNAnalysis[[#This Row],[Education]]/tblPiNAnalysis[[#This Row],[Total Population]])</f>
        <v/>
      </c>
      <c r="V278" s="315" t="str">
        <f>IF(tblPiNAnalysis[[#This Row],[Food Security and Livlihoods]]="", "", tblPiNAnalysis[[#This Row],[Food Security and Livlihoods]]/tblPiNAnalysis[[#This Row],[Total Population]])</f>
        <v/>
      </c>
      <c r="W278" s="315" t="str">
        <f>IF(tblPiNAnalysis[[#This Row],[Health ]]="", "", tblPiNAnalysis[[#This Row],[Health ]]/tblPiNAnalysis[[#This Row],[Total Population]])</f>
        <v/>
      </c>
      <c r="X278" s="315" t="str">
        <f>IF(tblPiNAnalysis[[#This Row],[Nutrition]]="", "", tblPiNAnalysis[[#This Row],[Nutrition]]/tblPiNAnalysis[[#This Row],[Total Population]])</f>
        <v/>
      </c>
      <c r="Y278" s="315" t="str">
        <f>IF(tblPiNAnalysis[[#This Row],[Protection]]="", "", tblPiNAnalysis[[#This Row],[Protection]]/tblPiNAnalysis[[#This Row],[Total Population]])</f>
        <v/>
      </c>
      <c r="Z278" s="327">
        <f>IF(tblPiNAnalysis[[#This Row],[Shelter NFI ]]="", "", tblPiNAnalysis[[#This Row],[Shelter NFI ]]/tblPiNAnalysis[[#This Row],[Total Population]])</f>
        <v>0.17484563469270534</v>
      </c>
      <c r="AA278" s="328" t="str">
        <f>IF(tblPiNAnalysis[[#This Row],[WASH]]="", "", tblPiNAnalysis[[#This Row],[WASH]]/tblPiNAnalysis[[#This Row],[Total Population]])</f>
        <v/>
      </c>
      <c r="AB278" s="329" t="str">
        <f>IFERROR(IF(tblPiNAnalysis[[#This Row],[CP]]="", "", MROUND(tblPiNAnalysis[[#This Row],[CP]]/tblPiNAnalysis[[#This Row],[Total Population]], 0.05)), "")</f>
        <v/>
      </c>
      <c r="AC278" s="315" t="str">
        <f>IFERROR(IF(tblPiNAnalysis[[#This Row],[GBV]]="", "", MROUND(tblPiNAnalysis[[#This Row],[GBV]]/tblPiNAnalysis[[#This Row],[Total Population]], 0.05)), "")</f>
        <v/>
      </c>
      <c r="AD278" s="315" t="str">
        <f>IFERROR(IF(tblPiNAnalysis[[#This Row],[Mine Action]]="", "", MROUND(tblPiNAnalysis[[#This Row],[Mine Action]]/tblPiNAnalysis[[#This Row],[Total Population]], 0.05)), "")</f>
        <v/>
      </c>
      <c r="AE278" s="315" t="str">
        <f>IFERROR(IF(tblPiNAnalysis[[#This Row],[General Protection]]="", "", MROUND(tblPiNAnalysis[[#This Row],[General Protection]]/tblPiNAnalysis[[#This Row],[Total Population]], 0.05)), "")</f>
        <v/>
      </c>
      <c r="AF278" s="319">
        <f>IFERROR(LARGE(tblPiNAnalysis[[#This Row],[Site Management ]:[General Protection]], 1), "")</f>
        <v>9741</v>
      </c>
      <c r="AG278" s="330">
        <f>IF(tblPiNAnalysis[[#This Row],[Highest PiN]]="", "",tblPiNAnalysis[[#This Row],[Highest PiN]]/ tblPiNAnalysis[[#This Row],[Total Population]])</f>
        <v>0.17484563469270534</v>
      </c>
      <c r="AH278" s="330" t="str">
        <f>IFERROR(IF(tblPiNAnalysis[[#This Row],[Highest PiN]]="", "", IF(tblPiNAnalysis[[#This Row],[Highest sector(s'') PiN %]]&gt;=flag_pin_perc, "Flagged", "")), "")</f>
        <v/>
      </c>
      <c r="AI278" s="321"/>
      <c r="AJ278" s="322"/>
      <c r="AK278" s="323">
        <f>COUNTIFS(tblPiNAnalysis[[#This Row],[Highest PiN greater than 90% of total affected population]:[Manual Flag]],"Flagged")</f>
        <v>0</v>
      </c>
      <c r="AL278" s="331" t="str">
        <f>IF(tblPiNAnalysis[[#This Row],['# Flags]]&gt;0, "Flagged", "")</f>
        <v/>
      </c>
    </row>
    <row r="279" spans="1:38" ht="23.1" customHeight="1" x14ac:dyDescent="0.2">
      <c r="A279" s="309" t="str">
        <f>_xlfn.CONCAT(IF(tblPiNAnalysis[[#This Row],[Population Group]]="", "",tblPiNAnalysis[[#This Row],[Population Group]] ), _xlfn.IFS(tblPiNAnalysis[[#This Row],[Admin 2 P-Code]]&lt;&gt;"", tblPiNAnalysis[[#This Row],[Admin 2 P-Code]], tblPiNAnalysis[[#This Row],[Admin 1 P-Code]]&lt;&gt;"", tblPiNAnalysis[[#This Row],[Admin 1 P-Code]]))</f>
        <v>Non-hosting PopulationSD08107</v>
      </c>
      <c r="B279" s="245" t="s">
        <v>150</v>
      </c>
      <c r="C279" s="246" t="s">
        <v>125</v>
      </c>
      <c r="D279" s="247" t="s">
        <v>376</v>
      </c>
      <c r="E279" s="246" t="s">
        <v>377</v>
      </c>
      <c r="F279" s="248">
        <v>21633</v>
      </c>
      <c r="G279" s="248" t="s">
        <v>568</v>
      </c>
      <c r="H279" s="310"/>
      <c r="I279" s="311"/>
      <c r="J279" s="312"/>
      <c r="K279" s="311"/>
      <c r="L279" s="311"/>
      <c r="M279" s="312"/>
      <c r="N279" s="312">
        <f>_xlfn.XLOOKUP(CONCATENATE(tblPiNAnalysis[[#This Row],[Admin 2 P-Code]],tblPiNAnalysis[[#This Row],[Population Group]]),'Overall severity &amp; PIN Analysis'!A:A,'Overall severity &amp; PIN Analysis'!P:P,0,0)</f>
        <v>315</v>
      </c>
      <c r="O279" s="311"/>
      <c r="P279" s="312"/>
      <c r="Q279" s="312"/>
      <c r="R279" s="312"/>
      <c r="S279" s="312"/>
      <c r="T279" s="313" t="str">
        <f>IF(tblPiNAnalysis[[#This Row],[Site Management ]]="", "", tblPiNAnalysis[[#This Row],[Site Management ]]/tblPiNAnalysis[[#This Row],[Total Population]])</f>
        <v/>
      </c>
      <c r="U279" s="314" t="str">
        <f>IF(tblPiNAnalysis[[#This Row],[Education]]="", "", tblPiNAnalysis[[#This Row],[Education]]/tblPiNAnalysis[[#This Row],[Total Population]])</f>
        <v/>
      </c>
      <c r="V279" s="314" t="str">
        <f>IF(tblPiNAnalysis[[#This Row],[Food Security and Livlihoods]]="", "", tblPiNAnalysis[[#This Row],[Food Security and Livlihoods]]/tblPiNAnalysis[[#This Row],[Total Population]])</f>
        <v/>
      </c>
      <c r="W279" s="315" t="str">
        <f>IF(tblPiNAnalysis[[#This Row],[Health ]]="", "", tblPiNAnalysis[[#This Row],[Health ]]/tblPiNAnalysis[[#This Row],[Total Population]])</f>
        <v/>
      </c>
      <c r="X279" s="314" t="str">
        <f>IF(tblPiNAnalysis[[#This Row],[Nutrition]]="", "", tblPiNAnalysis[[#This Row],[Nutrition]]/tblPiNAnalysis[[#This Row],[Total Population]])</f>
        <v/>
      </c>
      <c r="Y279" s="314" t="str">
        <f>IF(tblPiNAnalysis[[#This Row],[Protection]]="", "", tblPiNAnalysis[[#This Row],[Protection]]/tblPiNAnalysis[[#This Row],[Total Population]])</f>
        <v/>
      </c>
      <c r="Z279" s="316">
        <f>IF(tblPiNAnalysis[[#This Row],[Shelter NFI ]]="", "", tblPiNAnalysis[[#This Row],[Shelter NFI ]]/tblPiNAnalysis[[#This Row],[Total Population]])</f>
        <v>1.4561087227846346E-2</v>
      </c>
      <c r="AA279" s="317" t="str">
        <f>IF(tblPiNAnalysis[[#This Row],[WASH]]="", "", tblPiNAnalysis[[#This Row],[WASH]]/tblPiNAnalysis[[#This Row],[Total Population]])</f>
        <v/>
      </c>
      <c r="AB279" s="318" t="str">
        <f>IFERROR(IF(tblPiNAnalysis[[#This Row],[CP]]="", "", MROUND(tblPiNAnalysis[[#This Row],[CP]]/tblPiNAnalysis[[#This Row],[Total Population]], 0.05)), "")</f>
        <v/>
      </c>
      <c r="AC279" s="314" t="str">
        <f>IFERROR(IF(tblPiNAnalysis[[#This Row],[GBV]]="", "", MROUND(tblPiNAnalysis[[#This Row],[GBV]]/tblPiNAnalysis[[#This Row],[Total Population]], 0.05)), "")</f>
        <v/>
      </c>
      <c r="AD279" s="314" t="str">
        <f>IFERROR(IF(tblPiNAnalysis[[#This Row],[Mine Action]]="", "", MROUND(tblPiNAnalysis[[#This Row],[Mine Action]]/tblPiNAnalysis[[#This Row],[Total Population]], 0.05)), "")</f>
        <v/>
      </c>
      <c r="AE279" s="314" t="str">
        <f>IFERROR(IF(tblPiNAnalysis[[#This Row],[General Protection]]="", "", MROUND(tblPiNAnalysis[[#This Row],[General Protection]]/tblPiNAnalysis[[#This Row],[Total Population]], 0.05)), "")</f>
        <v/>
      </c>
      <c r="AF279" s="319">
        <f>IFERROR(LARGE(tblPiNAnalysis[[#This Row],[Site Management ]:[General Protection]], 1), "")</f>
        <v>315</v>
      </c>
      <c r="AG279" s="320">
        <f>IF(tblPiNAnalysis[[#This Row],[Highest PiN]]="", "",tblPiNAnalysis[[#This Row],[Highest PiN]]/ tblPiNAnalysis[[#This Row],[Total Population]])</f>
        <v>1.4561087227846346E-2</v>
      </c>
      <c r="AH279" s="320" t="str">
        <f>IFERROR(IF(tblPiNAnalysis[[#This Row],[Highest PiN]]="", "", IF(tblPiNAnalysis[[#This Row],[Highest sector(s'') PiN %]]&gt;=flag_pin_perc, "Flagged", "")), "")</f>
        <v/>
      </c>
      <c r="AI279" s="321"/>
      <c r="AJ279" s="322"/>
      <c r="AK279" s="323">
        <f>COUNTIFS(tblPiNAnalysis[[#This Row],[Highest PiN greater than 90% of total affected population]:[Manual Flag]],"Flagged")</f>
        <v>0</v>
      </c>
      <c r="AL279" s="324" t="str">
        <f>IF(tblPiNAnalysis[[#This Row],['# Flags]]&gt;0, "Flagged", "")</f>
        <v/>
      </c>
    </row>
    <row r="280" spans="1:38" ht="23.1" hidden="1" customHeight="1" x14ac:dyDescent="0.2">
      <c r="A280" s="309" t="str">
        <f>_xlfn.CONCAT(IF(tblPiNAnalysis[[#This Row],[Population Group]]="", "",tblPiNAnalysis[[#This Row],[Population Group]] ), _xlfn.IFS(tblPiNAnalysis[[#This Row],[Admin 2 P-Code]]&lt;&gt;"", tblPiNAnalysis[[#This Row],[Admin 2 P-Code]], tblPiNAnalysis[[#This Row],[Admin 1 P-Code]]&lt;&gt;"", tblPiNAnalysis[[#This Row],[Admin 1 P-Code]]))</f>
        <v>Host CommunitySD08108</v>
      </c>
      <c r="B280" s="245" t="s">
        <v>150</v>
      </c>
      <c r="C280" s="246" t="s">
        <v>125</v>
      </c>
      <c r="D280" s="247" t="s">
        <v>378</v>
      </c>
      <c r="E280" s="246" t="s">
        <v>379</v>
      </c>
      <c r="F280" s="248">
        <v>21640</v>
      </c>
      <c r="G280" s="248" t="s">
        <v>87</v>
      </c>
      <c r="H280" s="310"/>
      <c r="I280" s="311"/>
      <c r="J280" s="312"/>
      <c r="K280" s="311"/>
      <c r="L280" s="311"/>
      <c r="M280" s="312"/>
      <c r="N280" s="312">
        <f>_xlfn.XLOOKUP(CONCATENATE(tblPiNAnalysis[[#This Row],[Admin 2 P-Code]],tblPiNAnalysis[[#This Row],[Population Group]]),'Overall severity &amp; PIN Analysis'!A:A,'Overall severity &amp; PIN Analysis'!P:P,0,0)</f>
        <v>16422</v>
      </c>
      <c r="O280" s="311"/>
      <c r="P280" s="312"/>
      <c r="Q280" s="312"/>
      <c r="R280" s="312"/>
      <c r="S280" s="312"/>
      <c r="T280" s="313" t="str">
        <f>IF(tblPiNAnalysis[[#This Row],[Site Management ]]="", "", tblPiNAnalysis[[#This Row],[Site Management ]]/tblPiNAnalysis[[#This Row],[Total Population]])</f>
        <v/>
      </c>
      <c r="U280" s="314" t="str">
        <f>IF(tblPiNAnalysis[[#This Row],[Education]]="", "", tblPiNAnalysis[[#This Row],[Education]]/tblPiNAnalysis[[#This Row],[Total Population]])</f>
        <v/>
      </c>
      <c r="V280" s="314" t="str">
        <f>IF(tblPiNAnalysis[[#This Row],[Food Security and Livlihoods]]="", "", tblPiNAnalysis[[#This Row],[Food Security and Livlihoods]]/tblPiNAnalysis[[#This Row],[Total Population]])</f>
        <v/>
      </c>
      <c r="W280" s="315" t="str">
        <f>IF(tblPiNAnalysis[[#This Row],[Health ]]="", "", tblPiNAnalysis[[#This Row],[Health ]]/tblPiNAnalysis[[#This Row],[Total Population]])</f>
        <v/>
      </c>
      <c r="X280" s="314" t="str">
        <f>IF(tblPiNAnalysis[[#This Row],[Nutrition]]="", "", tblPiNAnalysis[[#This Row],[Nutrition]]/tblPiNAnalysis[[#This Row],[Total Population]])</f>
        <v/>
      </c>
      <c r="Y280" s="314" t="str">
        <f>IF(tblPiNAnalysis[[#This Row],[Protection]]="", "", tblPiNAnalysis[[#This Row],[Protection]]/tblPiNAnalysis[[#This Row],[Total Population]])</f>
        <v/>
      </c>
      <c r="Z280" s="316">
        <f>IF(tblPiNAnalysis[[#This Row],[Shelter NFI ]]="", "", tblPiNAnalysis[[#This Row],[Shelter NFI ]]/tblPiNAnalysis[[#This Row],[Total Population]])</f>
        <v>0.75887245841035122</v>
      </c>
      <c r="AA280" s="317" t="str">
        <f>IF(tblPiNAnalysis[[#This Row],[WASH]]="", "", tblPiNAnalysis[[#This Row],[WASH]]/tblPiNAnalysis[[#This Row],[Total Population]])</f>
        <v/>
      </c>
      <c r="AB280" s="318" t="str">
        <f>IFERROR(IF(tblPiNAnalysis[[#This Row],[CP]]="", "", MROUND(tblPiNAnalysis[[#This Row],[CP]]/tblPiNAnalysis[[#This Row],[Total Population]], 0.05)), "")</f>
        <v/>
      </c>
      <c r="AC280" s="314" t="str">
        <f>IFERROR(IF(tblPiNAnalysis[[#This Row],[GBV]]="", "", MROUND(tblPiNAnalysis[[#This Row],[GBV]]/tblPiNAnalysis[[#This Row],[Total Population]], 0.05)), "")</f>
        <v/>
      </c>
      <c r="AD280" s="314" t="str">
        <f>IFERROR(IF(tblPiNAnalysis[[#This Row],[Mine Action]]="", "", MROUND(tblPiNAnalysis[[#This Row],[Mine Action]]/tblPiNAnalysis[[#This Row],[Total Population]], 0.05)), "")</f>
        <v/>
      </c>
      <c r="AE280" s="314" t="str">
        <f>IFERROR(IF(tblPiNAnalysis[[#This Row],[General Protection]]="", "", MROUND(tblPiNAnalysis[[#This Row],[General Protection]]/tblPiNAnalysis[[#This Row],[Total Population]], 0.05)), "")</f>
        <v/>
      </c>
      <c r="AF280" s="319">
        <f>IFERROR(LARGE(tblPiNAnalysis[[#This Row],[Site Management ]:[General Protection]], 1), "")</f>
        <v>16422</v>
      </c>
      <c r="AG280" s="320">
        <f>IF(tblPiNAnalysis[[#This Row],[Highest PiN]]="", "",tblPiNAnalysis[[#This Row],[Highest PiN]]/ tblPiNAnalysis[[#This Row],[Total Population]])</f>
        <v>0.75887245841035122</v>
      </c>
      <c r="AH280" s="320" t="str">
        <f>IFERROR(IF(tblPiNAnalysis[[#This Row],[Highest PiN]]="", "", IF(tblPiNAnalysis[[#This Row],[Highest sector(s'') PiN %]]&gt;=flag_pin_perc, "Flagged", "")), "")</f>
        <v/>
      </c>
      <c r="AI280" s="321"/>
      <c r="AJ280" s="322"/>
      <c r="AK280" s="323">
        <f>COUNTIFS(tblPiNAnalysis[[#This Row],[Highest PiN greater than 90% of total affected population]:[Manual Flag]],"Flagged")</f>
        <v>0</v>
      </c>
      <c r="AL280" s="324" t="str">
        <f>IF(tblPiNAnalysis[[#This Row],['# Flags]]&gt;0, "Flagged", "")</f>
        <v/>
      </c>
    </row>
    <row r="281" spans="1:38" ht="23.1" hidden="1" customHeight="1" x14ac:dyDescent="0.2">
      <c r="A281" s="309" t="str">
        <f>_xlfn.CONCAT(IF(tblPiNAnalysis[[#This Row],[Population Group]]="", "",tblPiNAnalysis[[#This Row],[Population Group]] ), _xlfn.IFS(tblPiNAnalysis[[#This Row],[Admin 2 P-Code]]&lt;&gt;"", tblPiNAnalysis[[#This Row],[Admin 2 P-Code]], tblPiNAnalysis[[#This Row],[Admin 1 P-Code]]&lt;&gt;"", tblPiNAnalysis[[#This Row],[Admin 1 P-Code]]))</f>
        <v>IDPsSD08108</v>
      </c>
      <c r="B281" s="249" t="s">
        <v>150</v>
      </c>
      <c r="C281" s="246" t="s">
        <v>125</v>
      </c>
      <c r="D281" s="247" t="s">
        <v>378</v>
      </c>
      <c r="E281" s="246" t="s">
        <v>379</v>
      </c>
      <c r="F281" s="248">
        <v>21640</v>
      </c>
      <c r="G281" s="248" t="s">
        <v>88</v>
      </c>
      <c r="H281" s="310"/>
      <c r="I281" s="311"/>
      <c r="J281" s="311"/>
      <c r="K281" s="311"/>
      <c r="L281" s="311"/>
      <c r="M281" s="311"/>
      <c r="N281" s="311">
        <f>_xlfn.XLOOKUP(CONCATENATE(tblPiNAnalysis[[#This Row],[Admin 2 P-Code]],tblPiNAnalysis[[#This Row],[Population Group]]),'Overall severity &amp; PIN Analysis'!A:A,'Overall severity &amp; PIN Analysis'!P:P,0,0)</f>
        <v>16422</v>
      </c>
      <c r="O281" s="311"/>
      <c r="P281" s="311"/>
      <c r="Q281" s="311"/>
      <c r="R281" s="311"/>
      <c r="S281" s="311"/>
      <c r="T281" s="326" t="str">
        <f>IF(tblPiNAnalysis[[#This Row],[Site Management ]]="", "", tblPiNAnalysis[[#This Row],[Site Management ]]/tblPiNAnalysis[[#This Row],[Total Population]])</f>
        <v/>
      </c>
      <c r="U281" s="315" t="str">
        <f>IF(tblPiNAnalysis[[#This Row],[Education]]="", "", tblPiNAnalysis[[#This Row],[Education]]/tblPiNAnalysis[[#This Row],[Total Population]])</f>
        <v/>
      </c>
      <c r="V281" s="315" t="str">
        <f>IF(tblPiNAnalysis[[#This Row],[Food Security and Livlihoods]]="", "", tblPiNAnalysis[[#This Row],[Food Security and Livlihoods]]/tblPiNAnalysis[[#This Row],[Total Population]])</f>
        <v/>
      </c>
      <c r="W281" s="315" t="str">
        <f>IF(tblPiNAnalysis[[#This Row],[Health ]]="", "", tblPiNAnalysis[[#This Row],[Health ]]/tblPiNAnalysis[[#This Row],[Total Population]])</f>
        <v/>
      </c>
      <c r="X281" s="315" t="str">
        <f>IF(tblPiNAnalysis[[#This Row],[Nutrition]]="", "", tblPiNAnalysis[[#This Row],[Nutrition]]/tblPiNAnalysis[[#This Row],[Total Population]])</f>
        <v/>
      </c>
      <c r="Y281" s="315" t="str">
        <f>IF(tblPiNAnalysis[[#This Row],[Protection]]="", "", tblPiNAnalysis[[#This Row],[Protection]]/tblPiNAnalysis[[#This Row],[Total Population]])</f>
        <v/>
      </c>
      <c r="Z281" s="327">
        <f>IF(tblPiNAnalysis[[#This Row],[Shelter NFI ]]="", "", tblPiNAnalysis[[#This Row],[Shelter NFI ]]/tblPiNAnalysis[[#This Row],[Total Population]])</f>
        <v>0.75887245841035122</v>
      </c>
      <c r="AA281" s="328" t="str">
        <f>IF(tblPiNAnalysis[[#This Row],[WASH]]="", "", tblPiNAnalysis[[#This Row],[WASH]]/tblPiNAnalysis[[#This Row],[Total Population]])</f>
        <v/>
      </c>
      <c r="AB281" s="329" t="str">
        <f>IFERROR(IF(tblPiNAnalysis[[#This Row],[CP]]="", "", MROUND(tblPiNAnalysis[[#This Row],[CP]]/tblPiNAnalysis[[#This Row],[Total Population]], 0.05)), "")</f>
        <v/>
      </c>
      <c r="AC281" s="315" t="str">
        <f>IFERROR(IF(tblPiNAnalysis[[#This Row],[GBV]]="", "", MROUND(tblPiNAnalysis[[#This Row],[GBV]]/tblPiNAnalysis[[#This Row],[Total Population]], 0.05)), "")</f>
        <v/>
      </c>
      <c r="AD281" s="315" t="str">
        <f>IFERROR(IF(tblPiNAnalysis[[#This Row],[Mine Action]]="", "", MROUND(tblPiNAnalysis[[#This Row],[Mine Action]]/tblPiNAnalysis[[#This Row],[Total Population]], 0.05)), "")</f>
        <v/>
      </c>
      <c r="AE281" s="315" t="str">
        <f>IFERROR(IF(tblPiNAnalysis[[#This Row],[General Protection]]="", "", MROUND(tblPiNAnalysis[[#This Row],[General Protection]]/tblPiNAnalysis[[#This Row],[Total Population]], 0.05)), "")</f>
        <v/>
      </c>
      <c r="AF281" s="319">
        <f>IFERROR(LARGE(tblPiNAnalysis[[#This Row],[Site Management ]:[General Protection]], 1), "")</f>
        <v>16422</v>
      </c>
      <c r="AG281" s="330">
        <f>IF(tblPiNAnalysis[[#This Row],[Highest PiN]]="", "",tblPiNAnalysis[[#This Row],[Highest PiN]]/ tblPiNAnalysis[[#This Row],[Total Population]])</f>
        <v>0.75887245841035122</v>
      </c>
      <c r="AH281" s="330" t="str">
        <f>IFERROR(IF(tblPiNAnalysis[[#This Row],[Highest PiN]]="", "", IF(tblPiNAnalysis[[#This Row],[Highest sector(s'') PiN %]]&gt;=flag_pin_perc, "Flagged", "")), "")</f>
        <v/>
      </c>
      <c r="AI281" s="321"/>
      <c r="AJ281" s="322"/>
      <c r="AK281" s="323">
        <f>COUNTIFS(tblPiNAnalysis[[#This Row],[Highest PiN greater than 90% of total affected population]:[Manual Flag]],"Flagged")</f>
        <v>0</v>
      </c>
      <c r="AL281" s="331" t="str">
        <f>IF(tblPiNAnalysis[[#This Row],['# Flags]]&gt;0, "Flagged", "")</f>
        <v/>
      </c>
    </row>
    <row r="282" spans="1:38" ht="23.1" customHeight="1" x14ac:dyDescent="0.2">
      <c r="A282" s="309" t="str">
        <f>_xlfn.CONCAT(IF(tblPiNAnalysis[[#This Row],[Population Group]]="", "",tblPiNAnalysis[[#This Row],[Population Group]] ), _xlfn.IFS(tblPiNAnalysis[[#This Row],[Admin 2 P-Code]]&lt;&gt;"", tblPiNAnalysis[[#This Row],[Admin 2 P-Code]], tblPiNAnalysis[[#This Row],[Admin 1 P-Code]]&lt;&gt;"", tblPiNAnalysis[[#This Row],[Admin 1 P-Code]]))</f>
        <v>Non-hosting PopulationSD08108</v>
      </c>
      <c r="B282" s="245" t="s">
        <v>150</v>
      </c>
      <c r="C282" s="246" t="s">
        <v>125</v>
      </c>
      <c r="D282" s="247" t="s">
        <v>378</v>
      </c>
      <c r="E282" s="246" t="s">
        <v>379</v>
      </c>
      <c r="F282" s="248">
        <v>41064</v>
      </c>
      <c r="G282" s="248" t="s">
        <v>568</v>
      </c>
      <c r="H282" s="310"/>
      <c r="I282" s="311"/>
      <c r="J282" s="312"/>
      <c r="K282" s="311"/>
      <c r="L282" s="311"/>
      <c r="M282" s="312"/>
      <c r="N282" s="312">
        <f>_xlfn.XLOOKUP(CONCATENATE(tblPiNAnalysis[[#This Row],[Admin 2 P-Code]],tblPiNAnalysis[[#This Row],[Population Group]]),'Overall severity &amp; PIN Analysis'!A:A,'Overall severity &amp; PIN Analysis'!P:P,0,0)</f>
        <v>2597</v>
      </c>
      <c r="O282" s="311"/>
      <c r="P282" s="312"/>
      <c r="Q282" s="312"/>
      <c r="R282" s="312"/>
      <c r="S282" s="312"/>
      <c r="T282" s="313" t="str">
        <f>IF(tblPiNAnalysis[[#This Row],[Site Management ]]="", "", tblPiNAnalysis[[#This Row],[Site Management ]]/tblPiNAnalysis[[#This Row],[Total Population]])</f>
        <v/>
      </c>
      <c r="U282" s="314" t="str">
        <f>IF(tblPiNAnalysis[[#This Row],[Education]]="", "", tblPiNAnalysis[[#This Row],[Education]]/tblPiNAnalysis[[#This Row],[Total Population]])</f>
        <v/>
      </c>
      <c r="V282" s="314" t="str">
        <f>IF(tblPiNAnalysis[[#This Row],[Food Security and Livlihoods]]="", "", tblPiNAnalysis[[#This Row],[Food Security and Livlihoods]]/tblPiNAnalysis[[#This Row],[Total Population]])</f>
        <v/>
      </c>
      <c r="W282" s="315" t="str">
        <f>IF(tblPiNAnalysis[[#This Row],[Health ]]="", "", tblPiNAnalysis[[#This Row],[Health ]]/tblPiNAnalysis[[#This Row],[Total Population]])</f>
        <v/>
      </c>
      <c r="X282" s="314" t="str">
        <f>IF(tblPiNAnalysis[[#This Row],[Nutrition]]="", "", tblPiNAnalysis[[#This Row],[Nutrition]]/tblPiNAnalysis[[#This Row],[Total Population]])</f>
        <v/>
      </c>
      <c r="Y282" s="314" t="str">
        <f>IF(tblPiNAnalysis[[#This Row],[Protection]]="", "", tblPiNAnalysis[[#This Row],[Protection]]/tblPiNAnalysis[[#This Row],[Total Population]])</f>
        <v/>
      </c>
      <c r="Z282" s="316">
        <f>IF(tblPiNAnalysis[[#This Row],[Shelter NFI ]]="", "", tblPiNAnalysis[[#This Row],[Shelter NFI ]]/tblPiNAnalysis[[#This Row],[Total Population]])</f>
        <v>6.3242743035262033E-2</v>
      </c>
      <c r="AA282" s="317" t="str">
        <f>IF(tblPiNAnalysis[[#This Row],[WASH]]="", "", tblPiNAnalysis[[#This Row],[WASH]]/tblPiNAnalysis[[#This Row],[Total Population]])</f>
        <v/>
      </c>
      <c r="AB282" s="318" t="str">
        <f>IFERROR(IF(tblPiNAnalysis[[#This Row],[CP]]="", "", MROUND(tblPiNAnalysis[[#This Row],[CP]]/tblPiNAnalysis[[#This Row],[Total Population]], 0.05)), "")</f>
        <v/>
      </c>
      <c r="AC282" s="314" t="str">
        <f>IFERROR(IF(tblPiNAnalysis[[#This Row],[GBV]]="", "", MROUND(tblPiNAnalysis[[#This Row],[GBV]]/tblPiNAnalysis[[#This Row],[Total Population]], 0.05)), "")</f>
        <v/>
      </c>
      <c r="AD282" s="314" t="str">
        <f>IFERROR(IF(tblPiNAnalysis[[#This Row],[Mine Action]]="", "", MROUND(tblPiNAnalysis[[#This Row],[Mine Action]]/tblPiNAnalysis[[#This Row],[Total Population]], 0.05)), "")</f>
        <v/>
      </c>
      <c r="AE282" s="314" t="str">
        <f>IFERROR(IF(tblPiNAnalysis[[#This Row],[General Protection]]="", "", MROUND(tblPiNAnalysis[[#This Row],[General Protection]]/tblPiNAnalysis[[#This Row],[Total Population]], 0.05)), "")</f>
        <v/>
      </c>
      <c r="AF282" s="319">
        <f>IFERROR(LARGE(tblPiNAnalysis[[#This Row],[Site Management ]:[General Protection]], 1), "")</f>
        <v>2597</v>
      </c>
      <c r="AG282" s="320">
        <f>IF(tblPiNAnalysis[[#This Row],[Highest PiN]]="", "",tblPiNAnalysis[[#This Row],[Highest PiN]]/ tblPiNAnalysis[[#This Row],[Total Population]])</f>
        <v>6.3242743035262033E-2</v>
      </c>
      <c r="AH282" s="320" t="str">
        <f>IFERROR(IF(tblPiNAnalysis[[#This Row],[Highest PiN]]="", "", IF(tblPiNAnalysis[[#This Row],[Highest sector(s'') PiN %]]&gt;=flag_pin_perc, "Flagged", "")), "")</f>
        <v/>
      </c>
      <c r="AI282" s="321"/>
      <c r="AJ282" s="322"/>
      <c r="AK282" s="323">
        <f>COUNTIFS(tblPiNAnalysis[[#This Row],[Highest PiN greater than 90% of total affected population]:[Manual Flag]],"Flagged")</f>
        <v>0</v>
      </c>
      <c r="AL282" s="324" t="str">
        <f>IF(tblPiNAnalysis[[#This Row],['# Flags]]&gt;0, "Flagged", "")</f>
        <v/>
      </c>
    </row>
    <row r="283" spans="1:38" ht="23.1" hidden="1" customHeight="1" x14ac:dyDescent="0.2">
      <c r="A283" s="309" t="str">
        <f>_xlfn.CONCAT(IF(tblPiNAnalysis[[#This Row],[Population Group]]="", "",tblPiNAnalysis[[#This Row],[Population Group]] ), _xlfn.IFS(tblPiNAnalysis[[#This Row],[Admin 2 P-Code]]&lt;&gt;"", tblPiNAnalysis[[#This Row],[Admin 2 P-Code]], tblPiNAnalysis[[#This Row],[Admin 1 P-Code]]&lt;&gt;"", tblPiNAnalysis[[#This Row],[Admin 1 P-Code]]))</f>
        <v>Host CommunitySD08109</v>
      </c>
      <c r="B283" s="245" t="s">
        <v>150</v>
      </c>
      <c r="C283" s="246" t="s">
        <v>125</v>
      </c>
      <c r="D283" s="247" t="s">
        <v>380</v>
      </c>
      <c r="E283" s="246" t="s">
        <v>381</v>
      </c>
      <c r="F283" s="248">
        <v>33794</v>
      </c>
      <c r="G283" s="248" t="s">
        <v>87</v>
      </c>
      <c r="H283" s="310"/>
      <c r="I283" s="311"/>
      <c r="J283" s="312"/>
      <c r="K283" s="311"/>
      <c r="L283" s="311"/>
      <c r="M283" s="312"/>
      <c r="N283" s="312">
        <f>_xlfn.XLOOKUP(CONCATENATE(tblPiNAnalysis[[#This Row],[Admin 2 P-Code]],tblPiNAnalysis[[#This Row],[Population Group]]),'Overall severity &amp; PIN Analysis'!A:A,'Overall severity &amp; PIN Analysis'!P:P,0,0)</f>
        <v>22198</v>
      </c>
      <c r="O283" s="311"/>
      <c r="P283" s="312"/>
      <c r="Q283" s="312"/>
      <c r="R283" s="312"/>
      <c r="S283" s="312"/>
      <c r="T283" s="313" t="str">
        <f>IF(tblPiNAnalysis[[#This Row],[Site Management ]]="", "", tblPiNAnalysis[[#This Row],[Site Management ]]/tblPiNAnalysis[[#This Row],[Total Population]])</f>
        <v/>
      </c>
      <c r="U283" s="314" t="str">
        <f>IF(tblPiNAnalysis[[#This Row],[Education]]="", "", tblPiNAnalysis[[#This Row],[Education]]/tblPiNAnalysis[[#This Row],[Total Population]])</f>
        <v/>
      </c>
      <c r="V283" s="314" t="str">
        <f>IF(tblPiNAnalysis[[#This Row],[Food Security and Livlihoods]]="", "", tblPiNAnalysis[[#This Row],[Food Security and Livlihoods]]/tblPiNAnalysis[[#This Row],[Total Population]])</f>
        <v/>
      </c>
      <c r="W283" s="315" t="str">
        <f>IF(tblPiNAnalysis[[#This Row],[Health ]]="", "", tblPiNAnalysis[[#This Row],[Health ]]/tblPiNAnalysis[[#This Row],[Total Population]])</f>
        <v/>
      </c>
      <c r="X283" s="314" t="str">
        <f>IF(tblPiNAnalysis[[#This Row],[Nutrition]]="", "", tblPiNAnalysis[[#This Row],[Nutrition]]/tblPiNAnalysis[[#This Row],[Total Population]])</f>
        <v/>
      </c>
      <c r="Y283" s="314" t="str">
        <f>IF(tblPiNAnalysis[[#This Row],[Protection]]="", "", tblPiNAnalysis[[#This Row],[Protection]]/tblPiNAnalysis[[#This Row],[Total Population]])</f>
        <v/>
      </c>
      <c r="Z283" s="316">
        <f>IF(tblPiNAnalysis[[#This Row],[Shelter NFI ]]="", "", tblPiNAnalysis[[#This Row],[Shelter NFI ]]/tblPiNAnalysis[[#This Row],[Total Population]])</f>
        <v>0.65686216488133986</v>
      </c>
      <c r="AA283" s="317" t="str">
        <f>IF(tblPiNAnalysis[[#This Row],[WASH]]="", "", tblPiNAnalysis[[#This Row],[WASH]]/tblPiNAnalysis[[#This Row],[Total Population]])</f>
        <v/>
      </c>
      <c r="AB283" s="318" t="str">
        <f>IFERROR(IF(tblPiNAnalysis[[#This Row],[CP]]="", "", MROUND(tblPiNAnalysis[[#This Row],[CP]]/tblPiNAnalysis[[#This Row],[Total Population]], 0.05)), "")</f>
        <v/>
      </c>
      <c r="AC283" s="314" t="str">
        <f>IFERROR(IF(tblPiNAnalysis[[#This Row],[GBV]]="", "", MROUND(tblPiNAnalysis[[#This Row],[GBV]]/tblPiNAnalysis[[#This Row],[Total Population]], 0.05)), "")</f>
        <v/>
      </c>
      <c r="AD283" s="314" t="str">
        <f>IFERROR(IF(tblPiNAnalysis[[#This Row],[Mine Action]]="", "", MROUND(tblPiNAnalysis[[#This Row],[Mine Action]]/tblPiNAnalysis[[#This Row],[Total Population]], 0.05)), "")</f>
        <v/>
      </c>
      <c r="AE283" s="314" t="str">
        <f>IFERROR(IF(tblPiNAnalysis[[#This Row],[General Protection]]="", "", MROUND(tblPiNAnalysis[[#This Row],[General Protection]]/tblPiNAnalysis[[#This Row],[Total Population]], 0.05)), "")</f>
        <v/>
      </c>
      <c r="AF283" s="319">
        <f>IFERROR(LARGE(tblPiNAnalysis[[#This Row],[Site Management ]:[General Protection]], 1), "")</f>
        <v>22198</v>
      </c>
      <c r="AG283" s="320">
        <f>IF(tblPiNAnalysis[[#This Row],[Highest PiN]]="", "",tblPiNAnalysis[[#This Row],[Highest PiN]]/ tblPiNAnalysis[[#This Row],[Total Population]])</f>
        <v>0.65686216488133986</v>
      </c>
      <c r="AH283" s="320" t="str">
        <f>IFERROR(IF(tblPiNAnalysis[[#This Row],[Highest PiN]]="", "", IF(tblPiNAnalysis[[#This Row],[Highest sector(s'') PiN %]]&gt;=flag_pin_perc, "Flagged", "")), "")</f>
        <v/>
      </c>
      <c r="AI283" s="321"/>
      <c r="AJ283" s="322"/>
      <c r="AK283" s="323">
        <f>COUNTIFS(tblPiNAnalysis[[#This Row],[Highest PiN greater than 90% of total affected population]:[Manual Flag]],"Flagged")</f>
        <v>0</v>
      </c>
      <c r="AL283" s="324" t="str">
        <f>IF(tblPiNAnalysis[[#This Row],['# Flags]]&gt;0, "Flagged", "")</f>
        <v/>
      </c>
    </row>
    <row r="284" spans="1:38" ht="23.1" hidden="1" customHeight="1" x14ac:dyDescent="0.2">
      <c r="A284" s="309" t="str">
        <f>_xlfn.CONCAT(IF(tblPiNAnalysis[[#This Row],[Population Group]]="", "",tblPiNAnalysis[[#This Row],[Population Group]] ), _xlfn.IFS(tblPiNAnalysis[[#This Row],[Admin 2 P-Code]]&lt;&gt;"", tblPiNAnalysis[[#This Row],[Admin 2 P-Code]], tblPiNAnalysis[[#This Row],[Admin 1 P-Code]]&lt;&gt;"", tblPiNAnalysis[[#This Row],[Admin 1 P-Code]]))</f>
        <v>IDPsSD08109</v>
      </c>
      <c r="B284" s="245" t="s">
        <v>150</v>
      </c>
      <c r="C284" s="246" t="s">
        <v>125</v>
      </c>
      <c r="D284" s="247" t="s">
        <v>380</v>
      </c>
      <c r="E284" s="246" t="s">
        <v>381</v>
      </c>
      <c r="F284" s="248">
        <v>34059</v>
      </c>
      <c r="G284" s="248" t="s">
        <v>88</v>
      </c>
      <c r="H284" s="310"/>
      <c r="I284" s="311"/>
      <c r="J284" s="311"/>
      <c r="K284" s="311"/>
      <c r="L284" s="311"/>
      <c r="M284" s="311"/>
      <c r="N284" s="311">
        <f>_xlfn.XLOOKUP(CONCATENATE(tblPiNAnalysis[[#This Row],[Admin 2 P-Code]],tblPiNAnalysis[[#This Row],[Population Group]]),'Overall severity &amp; PIN Analysis'!A:A,'Overall severity &amp; PIN Analysis'!P:P,0,0)</f>
        <v>22372</v>
      </c>
      <c r="O284" s="311"/>
      <c r="P284" s="311"/>
      <c r="Q284" s="311"/>
      <c r="R284" s="311"/>
      <c r="S284" s="311"/>
      <c r="T284" s="326" t="str">
        <f>IF(tblPiNAnalysis[[#This Row],[Site Management ]]="", "", tblPiNAnalysis[[#This Row],[Site Management ]]/tblPiNAnalysis[[#This Row],[Total Population]])</f>
        <v/>
      </c>
      <c r="U284" s="315" t="str">
        <f>IF(tblPiNAnalysis[[#This Row],[Education]]="", "", tblPiNAnalysis[[#This Row],[Education]]/tblPiNAnalysis[[#This Row],[Total Population]])</f>
        <v/>
      </c>
      <c r="V284" s="315" t="str">
        <f>IF(tblPiNAnalysis[[#This Row],[Food Security and Livlihoods]]="", "", tblPiNAnalysis[[#This Row],[Food Security and Livlihoods]]/tblPiNAnalysis[[#This Row],[Total Population]])</f>
        <v/>
      </c>
      <c r="W284" s="315" t="str">
        <f>IF(tblPiNAnalysis[[#This Row],[Health ]]="", "", tblPiNAnalysis[[#This Row],[Health ]]/tblPiNAnalysis[[#This Row],[Total Population]])</f>
        <v/>
      </c>
      <c r="X284" s="315" t="str">
        <f>IF(tblPiNAnalysis[[#This Row],[Nutrition]]="", "", tblPiNAnalysis[[#This Row],[Nutrition]]/tblPiNAnalysis[[#This Row],[Total Population]])</f>
        <v/>
      </c>
      <c r="Y284" s="315" t="str">
        <f>IF(tblPiNAnalysis[[#This Row],[Protection]]="", "", tblPiNAnalysis[[#This Row],[Protection]]/tblPiNAnalysis[[#This Row],[Total Population]])</f>
        <v/>
      </c>
      <c r="Z284" s="327">
        <f>IF(tblPiNAnalysis[[#This Row],[Shelter NFI ]]="", "", tblPiNAnalysis[[#This Row],[Shelter NFI ]]/tblPiNAnalysis[[#This Row],[Total Population]])</f>
        <v>0.65686015443788714</v>
      </c>
      <c r="AA284" s="328" t="str">
        <f>IF(tblPiNAnalysis[[#This Row],[WASH]]="", "", tblPiNAnalysis[[#This Row],[WASH]]/tblPiNAnalysis[[#This Row],[Total Population]])</f>
        <v/>
      </c>
      <c r="AB284" s="329" t="str">
        <f>IFERROR(IF(tblPiNAnalysis[[#This Row],[CP]]="", "", MROUND(tblPiNAnalysis[[#This Row],[CP]]/tblPiNAnalysis[[#This Row],[Total Population]], 0.05)), "")</f>
        <v/>
      </c>
      <c r="AC284" s="315" t="str">
        <f>IFERROR(IF(tblPiNAnalysis[[#This Row],[GBV]]="", "", MROUND(tblPiNAnalysis[[#This Row],[GBV]]/tblPiNAnalysis[[#This Row],[Total Population]], 0.05)), "")</f>
        <v/>
      </c>
      <c r="AD284" s="315" t="str">
        <f>IFERROR(IF(tblPiNAnalysis[[#This Row],[Mine Action]]="", "", MROUND(tblPiNAnalysis[[#This Row],[Mine Action]]/tblPiNAnalysis[[#This Row],[Total Population]], 0.05)), "")</f>
        <v/>
      </c>
      <c r="AE284" s="315" t="str">
        <f>IFERROR(IF(tblPiNAnalysis[[#This Row],[General Protection]]="", "", MROUND(tblPiNAnalysis[[#This Row],[General Protection]]/tblPiNAnalysis[[#This Row],[Total Population]], 0.05)), "")</f>
        <v/>
      </c>
      <c r="AF284" s="319">
        <f>IFERROR(LARGE(tblPiNAnalysis[[#This Row],[Site Management ]:[General Protection]], 1), "")</f>
        <v>22372</v>
      </c>
      <c r="AG284" s="330">
        <f>IF(tblPiNAnalysis[[#This Row],[Highest PiN]]="", "",tblPiNAnalysis[[#This Row],[Highest PiN]]/ tblPiNAnalysis[[#This Row],[Total Population]])</f>
        <v>0.65686015443788714</v>
      </c>
      <c r="AH284" s="330" t="str">
        <f>IFERROR(IF(tblPiNAnalysis[[#This Row],[Highest PiN]]="", "", IF(tblPiNAnalysis[[#This Row],[Highest sector(s'') PiN %]]&gt;=flag_pin_perc, "Flagged", "")), "")</f>
        <v/>
      </c>
      <c r="AI284" s="321"/>
      <c r="AJ284" s="322"/>
      <c r="AK284" s="323">
        <f>COUNTIFS(tblPiNAnalysis[[#This Row],[Highest PiN greater than 90% of total affected population]:[Manual Flag]],"Flagged")</f>
        <v>0</v>
      </c>
      <c r="AL284" s="331" t="str">
        <f>IF(tblPiNAnalysis[[#This Row],['# Flags]]&gt;0, "Flagged", "")</f>
        <v/>
      </c>
    </row>
    <row r="285" spans="1:38" ht="23.1" customHeight="1" x14ac:dyDescent="0.2">
      <c r="A285" s="309" t="str">
        <f>_xlfn.CONCAT(IF(tblPiNAnalysis[[#This Row],[Population Group]]="", "",tblPiNAnalysis[[#This Row],[Population Group]] ), _xlfn.IFS(tblPiNAnalysis[[#This Row],[Admin 2 P-Code]]&lt;&gt;"", tblPiNAnalysis[[#This Row],[Admin 2 P-Code]], tblPiNAnalysis[[#This Row],[Admin 1 P-Code]]&lt;&gt;"", tblPiNAnalysis[[#This Row],[Admin 1 P-Code]]))</f>
        <v>Non-hosting PopulationSD08109</v>
      </c>
      <c r="B285" s="245" t="s">
        <v>150</v>
      </c>
      <c r="C285" s="246" t="s">
        <v>125</v>
      </c>
      <c r="D285" s="247" t="s">
        <v>380</v>
      </c>
      <c r="E285" s="246" t="s">
        <v>381</v>
      </c>
      <c r="F285" s="248">
        <v>9554</v>
      </c>
      <c r="G285" s="248" t="s">
        <v>568</v>
      </c>
      <c r="H285" s="310"/>
      <c r="I285" s="311"/>
      <c r="J285" s="312"/>
      <c r="K285" s="311"/>
      <c r="L285" s="311"/>
      <c r="M285" s="312"/>
      <c r="N285" s="312">
        <f>_xlfn.XLOOKUP(CONCATENATE(tblPiNAnalysis[[#This Row],[Admin 2 P-Code]],tblPiNAnalysis[[#This Row],[Population Group]]),'Overall severity &amp; PIN Analysis'!A:A,'Overall severity &amp; PIN Analysis'!P:P,0,0)</f>
        <v>1070</v>
      </c>
      <c r="O285" s="311"/>
      <c r="P285" s="312"/>
      <c r="Q285" s="312"/>
      <c r="R285" s="312"/>
      <c r="S285" s="312"/>
      <c r="T285" s="313" t="str">
        <f>IF(tblPiNAnalysis[[#This Row],[Site Management ]]="", "", tblPiNAnalysis[[#This Row],[Site Management ]]/tblPiNAnalysis[[#This Row],[Total Population]])</f>
        <v/>
      </c>
      <c r="U285" s="314" t="str">
        <f>IF(tblPiNAnalysis[[#This Row],[Education]]="", "", tblPiNAnalysis[[#This Row],[Education]]/tblPiNAnalysis[[#This Row],[Total Population]])</f>
        <v/>
      </c>
      <c r="V285" s="314" t="str">
        <f>IF(tblPiNAnalysis[[#This Row],[Food Security and Livlihoods]]="", "", tblPiNAnalysis[[#This Row],[Food Security and Livlihoods]]/tblPiNAnalysis[[#This Row],[Total Population]])</f>
        <v/>
      </c>
      <c r="W285" s="315" t="str">
        <f>IF(tblPiNAnalysis[[#This Row],[Health ]]="", "", tblPiNAnalysis[[#This Row],[Health ]]/tblPiNAnalysis[[#This Row],[Total Population]])</f>
        <v/>
      </c>
      <c r="X285" s="314" t="str">
        <f>IF(tblPiNAnalysis[[#This Row],[Nutrition]]="", "", tblPiNAnalysis[[#This Row],[Nutrition]]/tblPiNAnalysis[[#This Row],[Total Population]])</f>
        <v/>
      </c>
      <c r="Y285" s="314" t="str">
        <f>IF(tblPiNAnalysis[[#This Row],[Protection]]="", "", tblPiNAnalysis[[#This Row],[Protection]]/tblPiNAnalysis[[#This Row],[Total Population]])</f>
        <v/>
      </c>
      <c r="Z285" s="316">
        <f>IF(tblPiNAnalysis[[#This Row],[Shelter NFI ]]="", "", tblPiNAnalysis[[#This Row],[Shelter NFI ]]/tblPiNAnalysis[[#This Row],[Total Population]])</f>
        <v>0.11199497592631359</v>
      </c>
      <c r="AA285" s="317" t="str">
        <f>IF(tblPiNAnalysis[[#This Row],[WASH]]="", "", tblPiNAnalysis[[#This Row],[WASH]]/tblPiNAnalysis[[#This Row],[Total Population]])</f>
        <v/>
      </c>
      <c r="AB285" s="318" t="str">
        <f>IFERROR(IF(tblPiNAnalysis[[#This Row],[CP]]="", "", MROUND(tblPiNAnalysis[[#This Row],[CP]]/tblPiNAnalysis[[#This Row],[Total Population]], 0.05)), "")</f>
        <v/>
      </c>
      <c r="AC285" s="314" t="str">
        <f>IFERROR(IF(tblPiNAnalysis[[#This Row],[GBV]]="", "", MROUND(tblPiNAnalysis[[#This Row],[GBV]]/tblPiNAnalysis[[#This Row],[Total Population]], 0.05)), "")</f>
        <v/>
      </c>
      <c r="AD285" s="314" t="str">
        <f>IFERROR(IF(tblPiNAnalysis[[#This Row],[Mine Action]]="", "", MROUND(tblPiNAnalysis[[#This Row],[Mine Action]]/tblPiNAnalysis[[#This Row],[Total Population]], 0.05)), "")</f>
        <v/>
      </c>
      <c r="AE285" s="314" t="str">
        <f>IFERROR(IF(tblPiNAnalysis[[#This Row],[General Protection]]="", "", MROUND(tblPiNAnalysis[[#This Row],[General Protection]]/tblPiNAnalysis[[#This Row],[Total Population]], 0.05)), "")</f>
        <v/>
      </c>
      <c r="AF285" s="319">
        <f>IFERROR(LARGE(tblPiNAnalysis[[#This Row],[Site Management ]:[General Protection]], 1), "")</f>
        <v>1070</v>
      </c>
      <c r="AG285" s="320">
        <f>IF(tblPiNAnalysis[[#This Row],[Highest PiN]]="", "",tblPiNAnalysis[[#This Row],[Highest PiN]]/ tblPiNAnalysis[[#This Row],[Total Population]])</f>
        <v>0.11199497592631359</v>
      </c>
      <c r="AH285" s="320" t="str">
        <f>IFERROR(IF(tblPiNAnalysis[[#This Row],[Highest PiN]]="", "", IF(tblPiNAnalysis[[#This Row],[Highest sector(s'') PiN %]]&gt;=flag_pin_perc, "Flagged", "")), "")</f>
        <v/>
      </c>
      <c r="AI285" s="321"/>
      <c r="AJ285" s="322"/>
      <c r="AK285" s="323">
        <f>COUNTIFS(tblPiNAnalysis[[#This Row],[Highest PiN greater than 90% of total affected population]:[Manual Flag]],"Flagged")</f>
        <v>0</v>
      </c>
      <c r="AL285" s="324" t="str">
        <f>IF(tblPiNAnalysis[[#This Row],['# Flags]]&gt;0, "Flagged", "")</f>
        <v/>
      </c>
    </row>
    <row r="286" spans="1:38" ht="23.1" hidden="1" customHeight="1" x14ac:dyDescent="0.2">
      <c r="A286" s="309" t="str">
        <f>_xlfn.CONCAT(IF(tblPiNAnalysis[[#This Row],[Population Group]]="", "",tblPiNAnalysis[[#This Row],[Population Group]] ), _xlfn.IFS(tblPiNAnalysis[[#This Row],[Admin 2 P-Code]]&lt;&gt;"", tblPiNAnalysis[[#This Row],[Admin 2 P-Code]], tblPiNAnalysis[[#This Row],[Admin 1 P-Code]]&lt;&gt;"", tblPiNAnalysis[[#This Row],[Admin 1 P-Code]]))</f>
        <v>Host CommunitySD08110</v>
      </c>
      <c r="B286" s="245" t="s">
        <v>150</v>
      </c>
      <c r="C286" s="246" t="s">
        <v>125</v>
      </c>
      <c r="D286" s="247" t="s">
        <v>382</v>
      </c>
      <c r="E286" s="246" t="s">
        <v>383</v>
      </c>
      <c r="F286" s="248">
        <v>21683</v>
      </c>
      <c r="G286" s="248" t="s">
        <v>87</v>
      </c>
      <c r="H286" s="310"/>
      <c r="I286" s="311"/>
      <c r="J286" s="312"/>
      <c r="K286" s="311"/>
      <c r="L286" s="311"/>
      <c r="M286" s="312"/>
      <c r="N286" s="312">
        <f>_xlfn.XLOOKUP(CONCATENATE(tblPiNAnalysis[[#This Row],[Admin 2 P-Code]],tblPiNAnalysis[[#This Row],[Population Group]]),'Overall severity &amp; PIN Analysis'!A:A,'Overall severity &amp; PIN Analysis'!P:P,0,0)</f>
        <v>9138</v>
      </c>
      <c r="O286" s="311"/>
      <c r="P286" s="312"/>
      <c r="Q286" s="312"/>
      <c r="R286" s="312"/>
      <c r="S286" s="312"/>
      <c r="T286" s="313" t="str">
        <f>IF(tblPiNAnalysis[[#This Row],[Site Management ]]="", "", tblPiNAnalysis[[#This Row],[Site Management ]]/tblPiNAnalysis[[#This Row],[Total Population]])</f>
        <v/>
      </c>
      <c r="U286" s="314" t="str">
        <f>IF(tblPiNAnalysis[[#This Row],[Education]]="", "", tblPiNAnalysis[[#This Row],[Education]]/tblPiNAnalysis[[#This Row],[Total Population]])</f>
        <v/>
      </c>
      <c r="V286" s="314" t="str">
        <f>IF(tblPiNAnalysis[[#This Row],[Food Security and Livlihoods]]="", "", tblPiNAnalysis[[#This Row],[Food Security and Livlihoods]]/tblPiNAnalysis[[#This Row],[Total Population]])</f>
        <v/>
      </c>
      <c r="W286" s="315" t="str">
        <f>IF(tblPiNAnalysis[[#This Row],[Health ]]="", "", tblPiNAnalysis[[#This Row],[Health ]]/tblPiNAnalysis[[#This Row],[Total Population]])</f>
        <v/>
      </c>
      <c r="X286" s="314" t="str">
        <f>IF(tblPiNAnalysis[[#This Row],[Nutrition]]="", "", tblPiNAnalysis[[#This Row],[Nutrition]]/tblPiNAnalysis[[#This Row],[Total Population]])</f>
        <v/>
      </c>
      <c r="Y286" s="314" t="str">
        <f>IF(tblPiNAnalysis[[#This Row],[Protection]]="", "", tblPiNAnalysis[[#This Row],[Protection]]/tblPiNAnalysis[[#This Row],[Total Population]])</f>
        <v/>
      </c>
      <c r="Z286" s="316">
        <f>IF(tblPiNAnalysis[[#This Row],[Shelter NFI ]]="", "", tblPiNAnalysis[[#This Row],[Shelter NFI ]]/tblPiNAnalysis[[#This Row],[Total Population]])</f>
        <v>0.42143614813448321</v>
      </c>
      <c r="AA286" s="317" t="str">
        <f>IF(tblPiNAnalysis[[#This Row],[WASH]]="", "", tblPiNAnalysis[[#This Row],[WASH]]/tblPiNAnalysis[[#This Row],[Total Population]])</f>
        <v/>
      </c>
      <c r="AB286" s="318" t="str">
        <f>IFERROR(IF(tblPiNAnalysis[[#This Row],[CP]]="", "", MROUND(tblPiNAnalysis[[#This Row],[CP]]/tblPiNAnalysis[[#This Row],[Total Population]], 0.05)), "")</f>
        <v/>
      </c>
      <c r="AC286" s="314" t="str">
        <f>IFERROR(IF(tblPiNAnalysis[[#This Row],[GBV]]="", "", MROUND(tblPiNAnalysis[[#This Row],[GBV]]/tblPiNAnalysis[[#This Row],[Total Population]], 0.05)), "")</f>
        <v/>
      </c>
      <c r="AD286" s="314" t="str">
        <f>IFERROR(IF(tblPiNAnalysis[[#This Row],[Mine Action]]="", "", MROUND(tblPiNAnalysis[[#This Row],[Mine Action]]/tblPiNAnalysis[[#This Row],[Total Population]], 0.05)), "")</f>
        <v/>
      </c>
      <c r="AE286" s="314" t="str">
        <f>IFERROR(IF(tblPiNAnalysis[[#This Row],[General Protection]]="", "", MROUND(tblPiNAnalysis[[#This Row],[General Protection]]/tblPiNAnalysis[[#This Row],[Total Population]], 0.05)), "")</f>
        <v/>
      </c>
      <c r="AF286" s="319">
        <f>IFERROR(LARGE(tblPiNAnalysis[[#This Row],[Site Management ]:[General Protection]], 1), "")</f>
        <v>9138</v>
      </c>
      <c r="AG286" s="320">
        <f>IF(tblPiNAnalysis[[#This Row],[Highest PiN]]="", "",tblPiNAnalysis[[#This Row],[Highest PiN]]/ tblPiNAnalysis[[#This Row],[Total Population]])</f>
        <v>0.42143614813448321</v>
      </c>
      <c r="AH286" s="320" t="str">
        <f>IFERROR(IF(tblPiNAnalysis[[#This Row],[Highest PiN]]="", "", IF(tblPiNAnalysis[[#This Row],[Highest sector(s'') PiN %]]&gt;=flag_pin_perc, "Flagged", "")), "")</f>
        <v/>
      </c>
      <c r="AI286" s="321"/>
      <c r="AJ286" s="322"/>
      <c r="AK286" s="323">
        <f>COUNTIFS(tblPiNAnalysis[[#This Row],[Highest PiN greater than 90% of total affected population]:[Manual Flag]],"Flagged")</f>
        <v>0</v>
      </c>
      <c r="AL286" s="324" t="str">
        <f>IF(tblPiNAnalysis[[#This Row],['# Flags]]&gt;0, "Flagged", "")</f>
        <v/>
      </c>
    </row>
    <row r="287" spans="1:38" ht="23.1" hidden="1" customHeight="1" x14ac:dyDescent="0.2">
      <c r="A287" s="309" t="str">
        <f>_xlfn.CONCAT(IF(tblPiNAnalysis[[#This Row],[Population Group]]="", "",tblPiNAnalysis[[#This Row],[Population Group]] ), _xlfn.IFS(tblPiNAnalysis[[#This Row],[Admin 2 P-Code]]&lt;&gt;"", tblPiNAnalysis[[#This Row],[Admin 2 P-Code]], tblPiNAnalysis[[#This Row],[Admin 1 P-Code]]&lt;&gt;"", tblPiNAnalysis[[#This Row],[Admin 1 P-Code]]))</f>
        <v>IDPsSD08110</v>
      </c>
      <c r="B287" s="245" t="s">
        <v>150</v>
      </c>
      <c r="C287" s="246" t="s">
        <v>125</v>
      </c>
      <c r="D287" s="247" t="s">
        <v>382</v>
      </c>
      <c r="E287" s="246" t="s">
        <v>383</v>
      </c>
      <c r="F287" s="248">
        <v>9671</v>
      </c>
      <c r="G287" s="248" t="s">
        <v>88</v>
      </c>
      <c r="H287" s="310"/>
      <c r="I287" s="311"/>
      <c r="J287" s="311"/>
      <c r="K287" s="311"/>
      <c r="L287" s="311"/>
      <c r="M287" s="311"/>
      <c r="N287" s="311">
        <f>_xlfn.XLOOKUP(CONCATENATE(tblPiNAnalysis[[#This Row],[Admin 2 P-Code]],tblPiNAnalysis[[#This Row],[Population Group]]),'Overall severity &amp; PIN Analysis'!A:A,'Overall severity &amp; PIN Analysis'!P:P,0,0)</f>
        <v>4076</v>
      </c>
      <c r="O287" s="311"/>
      <c r="P287" s="311"/>
      <c r="Q287" s="311"/>
      <c r="R287" s="311"/>
      <c r="S287" s="311"/>
      <c r="T287" s="326" t="str">
        <f>IF(tblPiNAnalysis[[#This Row],[Site Management ]]="", "", tblPiNAnalysis[[#This Row],[Site Management ]]/tblPiNAnalysis[[#This Row],[Total Population]])</f>
        <v/>
      </c>
      <c r="U287" s="315" t="str">
        <f>IF(tblPiNAnalysis[[#This Row],[Education]]="", "", tblPiNAnalysis[[#This Row],[Education]]/tblPiNAnalysis[[#This Row],[Total Population]])</f>
        <v/>
      </c>
      <c r="V287" s="315" t="str">
        <f>IF(tblPiNAnalysis[[#This Row],[Food Security and Livlihoods]]="", "", tblPiNAnalysis[[#This Row],[Food Security and Livlihoods]]/tblPiNAnalysis[[#This Row],[Total Population]])</f>
        <v/>
      </c>
      <c r="W287" s="315" t="str">
        <f>IF(tblPiNAnalysis[[#This Row],[Health ]]="", "", tblPiNAnalysis[[#This Row],[Health ]]/tblPiNAnalysis[[#This Row],[Total Population]])</f>
        <v/>
      </c>
      <c r="X287" s="315" t="str">
        <f>IF(tblPiNAnalysis[[#This Row],[Nutrition]]="", "", tblPiNAnalysis[[#This Row],[Nutrition]]/tblPiNAnalysis[[#This Row],[Total Population]])</f>
        <v/>
      </c>
      <c r="Y287" s="315" t="str">
        <f>IF(tblPiNAnalysis[[#This Row],[Protection]]="", "", tblPiNAnalysis[[#This Row],[Protection]]/tblPiNAnalysis[[#This Row],[Total Population]])</f>
        <v/>
      </c>
      <c r="Z287" s="327">
        <f>IF(tblPiNAnalysis[[#This Row],[Shelter NFI ]]="", "", tblPiNAnalysis[[#This Row],[Shelter NFI ]]/tblPiNAnalysis[[#This Row],[Total Population]])</f>
        <v>0.42146623927205046</v>
      </c>
      <c r="AA287" s="328" t="str">
        <f>IF(tblPiNAnalysis[[#This Row],[WASH]]="", "", tblPiNAnalysis[[#This Row],[WASH]]/tblPiNAnalysis[[#This Row],[Total Population]])</f>
        <v/>
      </c>
      <c r="AB287" s="329" t="str">
        <f>IFERROR(IF(tblPiNAnalysis[[#This Row],[CP]]="", "", MROUND(tblPiNAnalysis[[#This Row],[CP]]/tblPiNAnalysis[[#This Row],[Total Population]], 0.05)), "")</f>
        <v/>
      </c>
      <c r="AC287" s="315" t="str">
        <f>IFERROR(IF(tblPiNAnalysis[[#This Row],[GBV]]="", "", MROUND(tblPiNAnalysis[[#This Row],[GBV]]/tblPiNAnalysis[[#This Row],[Total Population]], 0.05)), "")</f>
        <v/>
      </c>
      <c r="AD287" s="315" t="str">
        <f>IFERROR(IF(tblPiNAnalysis[[#This Row],[Mine Action]]="", "", MROUND(tblPiNAnalysis[[#This Row],[Mine Action]]/tblPiNAnalysis[[#This Row],[Total Population]], 0.05)), "")</f>
        <v/>
      </c>
      <c r="AE287" s="315" t="str">
        <f>IFERROR(IF(tblPiNAnalysis[[#This Row],[General Protection]]="", "", MROUND(tblPiNAnalysis[[#This Row],[General Protection]]/tblPiNAnalysis[[#This Row],[Total Population]], 0.05)), "")</f>
        <v/>
      </c>
      <c r="AF287" s="319">
        <f>IFERROR(LARGE(tblPiNAnalysis[[#This Row],[Site Management ]:[General Protection]], 1), "")</f>
        <v>4076</v>
      </c>
      <c r="AG287" s="330">
        <f>IF(tblPiNAnalysis[[#This Row],[Highest PiN]]="", "",tblPiNAnalysis[[#This Row],[Highest PiN]]/ tblPiNAnalysis[[#This Row],[Total Population]])</f>
        <v>0.42146623927205046</v>
      </c>
      <c r="AH287" s="330" t="str">
        <f>IFERROR(IF(tblPiNAnalysis[[#This Row],[Highest PiN]]="", "", IF(tblPiNAnalysis[[#This Row],[Highest sector(s'') PiN %]]&gt;=flag_pin_perc, "Flagged", "")), "")</f>
        <v/>
      </c>
      <c r="AI287" s="321"/>
      <c r="AJ287" s="322"/>
      <c r="AK287" s="323">
        <f>COUNTIFS(tblPiNAnalysis[[#This Row],[Highest PiN greater than 90% of total affected population]:[Manual Flag]],"Flagged")</f>
        <v>0</v>
      </c>
      <c r="AL287" s="331" t="str">
        <f>IF(tblPiNAnalysis[[#This Row],['# Flags]]&gt;0, "Flagged", "")</f>
        <v/>
      </c>
    </row>
    <row r="288" spans="1:38" ht="23.1" customHeight="1" x14ac:dyDescent="0.2">
      <c r="A288" s="309" t="str">
        <f>_xlfn.CONCAT(IF(tblPiNAnalysis[[#This Row],[Population Group]]="", "",tblPiNAnalysis[[#This Row],[Population Group]] ), _xlfn.IFS(tblPiNAnalysis[[#This Row],[Admin 2 P-Code]]&lt;&gt;"", tblPiNAnalysis[[#This Row],[Admin 2 P-Code]], tblPiNAnalysis[[#This Row],[Admin 1 P-Code]]&lt;&gt;"", tblPiNAnalysis[[#This Row],[Admin 1 P-Code]]))</f>
        <v>Non-hosting PopulationSD08110</v>
      </c>
      <c r="B288" s="245" t="s">
        <v>150</v>
      </c>
      <c r="C288" s="246" t="s">
        <v>125</v>
      </c>
      <c r="D288" s="247" t="s">
        <v>382</v>
      </c>
      <c r="E288" s="246" t="s">
        <v>383</v>
      </c>
      <c r="F288" s="248">
        <v>11722</v>
      </c>
      <c r="G288" s="248" t="s">
        <v>568</v>
      </c>
      <c r="H288" s="310"/>
      <c r="I288" s="311"/>
      <c r="J288" s="312"/>
      <c r="K288" s="311"/>
      <c r="L288" s="311"/>
      <c r="M288" s="312"/>
      <c r="N288" s="312">
        <f>_xlfn.XLOOKUP(CONCATENATE(tblPiNAnalysis[[#This Row],[Admin 2 P-Code]],tblPiNAnalysis[[#This Row],[Population Group]]),'Overall severity &amp; PIN Analysis'!A:A,'Overall severity &amp; PIN Analysis'!P:P,0,0)</f>
        <v>441</v>
      </c>
      <c r="O288" s="311"/>
      <c r="P288" s="312"/>
      <c r="Q288" s="312"/>
      <c r="R288" s="312"/>
      <c r="S288" s="312"/>
      <c r="T288" s="313" t="str">
        <f>IF(tblPiNAnalysis[[#This Row],[Site Management ]]="", "", tblPiNAnalysis[[#This Row],[Site Management ]]/tblPiNAnalysis[[#This Row],[Total Population]])</f>
        <v/>
      </c>
      <c r="U288" s="314" t="str">
        <f>IF(tblPiNAnalysis[[#This Row],[Education]]="", "", tblPiNAnalysis[[#This Row],[Education]]/tblPiNAnalysis[[#This Row],[Total Population]])</f>
        <v/>
      </c>
      <c r="V288" s="314" t="str">
        <f>IF(tblPiNAnalysis[[#This Row],[Food Security and Livlihoods]]="", "", tblPiNAnalysis[[#This Row],[Food Security and Livlihoods]]/tblPiNAnalysis[[#This Row],[Total Population]])</f>
        <v/>
      </c>
      <c r="W288" s="315" t="str">
        <f>IF(tblPiNAnalysis[[#This Row],[Health ]]="", "", tblPiNAnalysis[[#This Row],[Health ]]/tblPiNAnalysis[[#This Row],[Total Population]])</f>
        <v/>
      </c>
      <c r="X288" s="314" t="str">
        <f>IF(tblPiNAnalysis[[#This Row],[Nutrition]]="", "", tblPiNAnalysis[[#This Row],[Nutrition]]/tblPiNAnalysis[[#This Row],[Total Population]])</f>
        <v/>
      </c>
      <c r="Y288" s="314" t="str">
        <f>IF(tblPiNAnalysis[[#This Row],[Protection]]="", "", tblPiNAnalysis[[#This Row],[Protection]]/tblPiNAnalysis[[#This Row],[Total Population]])</f>
        <v/>
      </c>
      <c r="Z288" s="316">
        <f>IF(tblPiNAnalysis[[#This Row],[Shelter NFI ]]="", "", tblPiNAnalysis[[#This Row],[Shelter NFI ]]/tblPiNAnalysis[[#This Row],[Total Population]])</f>
        <v>3.7621566285616789E-2</v>
      </c>
      <c r="AA288" s="317" t="str">
        <f>IF(tblPiNAnalysis[[#This Row],[WASH]]="", "", tblPiNAnalysis[[#This Row],[WASH]]/tblPiNAnalysis[[#This Row],[Total Population]])</f>
        <v/>
      </c>
      <c r="AB288" s="318" t="str">
        <f>IFERROR(IF(tblPiNAnalysis[[#This Row],[CP]]="", "", MROUND(tblPiNAnalysis[[#This Row],[CP]]/tblPiNAnalysis[[#This Row],[Total Population]], 0.05)), "")</f>
        <v/>
      </c>
      <c r="AC288" s="314" t="str">
        <f>IFERROR(IF(tblPiNAnalysis[[#This Row],[GBV]]="", "", MROUND(tblPiNAnalysis[[#This Row],[GBV]]/tblPiNAnalysis[[#This Row],[Total Population]], 0.05)), "")</f>
        <v/>
      </c>
      <c r="AD288" s="314" t="str">
        <f>IFERROR(IF(tblPiNAnalysis[[#This Row],[Mine Action]]="", "", MROUND(tblPiNAnalysis[[#This Row],[Mine Action]]/tblPiNAnalysis[[#This Row],[Total Population]], 0.05)), "")</f>
        <v/>
      </c>
      <c r="AE288" s="314" t="str">
        <f>IFERROR(IF(tblPiNAnalysis[[#This Row],[General Protection]]="", "", MROUND(tblPiNAnalysis[[#This Row],[General Protection]]/tblPiNAnalysis[[#This Row],[Total Population]], 0.05)), "")</f>
        <v/>
      </c>
      <c r="AF288" s="319">
        <f>IFERROR(LARGE(tblPiNAnalysis[[#This Row],[Site Management ]:[General Protection]], 1), "")</f>
        <v>441</v>
      </c>
      <c r="AG288" s="320">
        <f>IF(tblPiNAnalysis[[#This Row],[Highest PiN]]="", "",tblPiNAnalysis[[#This Row],[Highest PiN]]/ tblPiNAnalysis[[#This Row],[Total Population]])</f>
        <v>3.7621566285616789E-2</v>
      </c>
      <c r="AH288" s="320" t="str">
        <f>IFERROR(IF(tblPiNAnalysis[[#This Row],[Highest PiN]]="", "", IF(tblPiNAnalysis[[#This Row],[Highest sector(s'') PiN %]]&gt;=flag_pin_perc, "Flagged", "")), "")</f>
        <v/>
      </c>
      <c r="AI288" s="321"/>
      <c r="AJ288" s="322"/>
      <c r="AK288" s="323">
        <f>COUNTIFS(tblPiNAnalysis[[#This Row],[Highest PiN greater than 90% of total affected population]:[Manual Flag]],"Flagged")</f>
        <v>0</v>
      </c>
      <c r="AL288" s="324" t="str">
        <f>IF(tblPiNAnalysis[[#This Row],['# Flags]]&gt;0, "Flagged", "")</f>
        <v/>
      </c>
    </row>
    <row r="289" spans="1:38" ht="23.1" hidden="1" customHeight="1" x14ac:dyDescent="0.2">
      <c r="A289" s="309" t="str">
        <f>_xlfn.CONCAT(IF(tblPiNAnalysis[[#This Row],[Population Group]]="", "",tblPiNAnalysis[[#This Row],[Population Group]] ), _xlfn.IFS(tblPiNAnalysis[[#This Row],[Admin 2 P-Code]]&lt;&gt;"", tblPiNAnalysis[[#This Row],[Admin 2 P-Code]], tblPiNAnalysis[[#This Row],[Admin 1 P-Code]]&lt;&gt;"", tblPiNAnalysis[[#This Row],[Admin 1 P-Code]]))</f>
        <v>Host CommunitySD09044</v>
      </c>
      <c r="B289" s="245" t="s">
        <v>197</v>
      </c>
      <c r="C289" s="246" t="s">
        <v>126</v>
      </c>
      <c r="D289" s="247" t="s">
        <v>384</v>
      </c>
      <c r="E289" s="246" t="s">
        <v>385</v>
      </c>
      <c r="F289" s="248">
        <v>85388</v>
      </c>
      <c r="G289" s="248" t="s">
        <v>87</v>
      </c>
      <c r="H289" s="310"/>
      <c r="I289" s="311"/>
      <c r="J289" s="312"/>
      <c r="K289" s="311"/>
      <c r="L289" s="311"/>
      <c r="M289" s="312"/>
      <c r="N289" s="312">
        <f>_xlfn.XLOOKUP(CONCATENATE(tblPiNAnalysis[[#This Row],[Admin 2 P-Code]],tblPiNAnalysis[[#This Row],[Population Group]]),'Overall severity &amp; PIN Analysis'!A:A,'Overall severity &amp; PIN Analysis'!P:P,0,0)</f>
        <v>52030</v>
      </c>
      <c r="O289" s="311"/>
      <c r="P289" s="312"/>
      <c r="Q289" s="312"/>
      <c r="R289" s="312"/>
      <c r="S289" s="312"/>
      <c r="T289" s="313" t="str">
        <f>IF(tblPiNAnalysis[[#This Row],[Site Management ]]="", "", tblPiNAnalysis[[#This Row],[Site Management ]]/tblPiNAnalysis[[#This Row],[Total Population]])</f>
        <v/>
      </c>
      <c r="U289" s="314" t="str">
        <f>IF(tblPiNAnalysis[[#This Row],[Education]]="", "", tblPiNAnalysis[[#This Row],[Education]]/tblPiNAnalysis[[#This Row],[Total Population]])</f>
        <v/>
      </c>
      <c r="V289" s="314" t="str">
        <f>IF(tblPiNAnalysis[[#This Row],[Food Security and Livlihoods]]="", "", tblPiNAnalysis[[#This Row],[Food Security and Livlihoods]]/tblPiNAnalysis[[#This Row],[Total Population]])</f>
        <v/>
      </c>
      <c r="W289" s="315" t="str">
        <f>IF(tblPiNAnalysis[[#This Row],[Health ]]="", "", tblPiNAnalysis[[#This Row],[Health ]]/tblPiNAnalysis[[#This Row],[Total Population]])</f>
        <v/>
      </c>
      <c r="X289" s="314" t="str">
        <f>IF(tblPiNAnalysis[[#This Row],[Nutrition]]="", "", tblPiNAnalysis[[#This Row],[Nutrition]]/tblPiNAnalysis[[#This Row],[Total Population]])</f>
        <v/>
      </c>
      <c r="Y289" s="314" t="str">
        <f>IF(tblPiNAnalysis[[#This Row],[Protection]]="", "", tblPiNAnalysis[[#This Row],[Protection]]/tblPiNAnalysis[[#This Row],[Total Population]])</f>
        <v/>
      </c>
      <c r="Z289" s="316">
        <f>IF(tblPiNAnalysis[[#This Row],[Shelter NFI ]]="", "", tblPiNAnalysis[[#This Row],[Shelter NFI ]]/tblPiNAnalysis[[#This Row],[Total Population]])</f>
        <v>0.60933620649271558</v>
      </c>
      <c r="AA289" s="317" t="str">
        <f>IF(tblPiNAnalysis[[#This Row],[WASH]]="", "", tblPiNAnalysis[[#This Row],[WASH]]/tblPiNAnalysis[[#This Row],[Total Population]])</f>
        <v/>
      </c>
      <c r="AB289" s="318" t="str">
        <f>IFERROR(IF(tblPiNAnalysis[[#This Row],[CP]]="", "", MROUND(tblPiNAnalysis[[#This Row],[CP]]/tblPiNAnalysis[[#This Row],[Total Population]], 0.05)), "")</f>
        <v/>
      </c>
      <c r="AC289" s="314" t="str">
        <f>IFERROR(IF(tblPiNAnalysis[[#This Row],[GBV]]="", "", MROUND(tblPiNAnalysis[[#This Row],[GBV]]/tblPiNAnalysis[[#This Row],[Total Population]], 0.05)), "")</f>
        <v/>
      </c>
      <c r="AD289" s="314" t="str">
        <f>IFERROR(IF(tblPiNAnalysis[[#This Row],[Mine Action]]="", "", MROUND(tblPiNAnalysis[[#This Row],[Mine Action]]/tblPiNAnalysis[[#This Row],[Total Population]], 0.05)), "")</f>
        <v/>
      </c>
      <c r="AE289" s="314" t="str">
        <f>IFERROR(IF(tblPiNAnalysis[[#This Row],[General Protection]]="", "", MROUND(tblPiNAnalysis[[#This Row],[General Protection]]/tblPiNAnalysis[[#This Row],[Total Population]], 0.05)), "")</f>
        <v/>
      </c>
      <c r="AF289" s="319">
        <f>IFERROR(LARGE(tblPiNAnalysis[[#This Row],[Site Management ]:[General Protection]], 1), "")</f>
        <v>52030</v>
      </c>
      <c r="AG289" s="320">
        <f>IF(tblPiNAnalysis[[#This Row],[Highest PiN]]="", "",tblPiNAnalysis[[#This Row],[Highest PiN]]/ tblPiNAnalysis[[#This Row],[Total Population]])</f>
        <v>0.60933620649271558</v>
      </c>
      <c r="AH289" s="320" t="str">
        <f>IFERROR(IF(tblPiNAnalysis[[#This Row],[Highest PiN]]="", "", IF(tblPiNAnalysis[[#This Row],[Highest sector(s'') PiN %]]&gt;=flag_pin_perc, "Flagged", "")), "")</f>
        <v/>
      </c>
      <c r="AI289" s="321"/>
      <c r="AJ289" s="322"/>
      <c r="AK289" s="323">
        <f>COUNTIFS(tblPiNAnalysis[[#This Row],[Highest PiN greater than 90% of total affected population]:[Manual Flag]],"Flagged")</f>
        <v>0</v>
      </c>
      <c r="AL289" s="324" t="str">
        <f>IF(tblPiNAnalysis[[#This Row],['# Flags]]&gt;0, "Flagged", "")</f>
        <v/>
      </c>
    </row>
    <row r="290" spans="1:38" ht="23.1" hidden="1" customHeight="1" x14ac:dyDescent="0.2">
      <c r="A290" s="309" t="str">
        <f>_xlfn.CONCAT(IF(tblPiNAnalysis[[#This Row],[Population Group]]="", "",tblPiNAnalysis[[#This Row],[Population Group]] ), _xlfn.IFS(tblPiNAnalysis[[#This Row],[Admin 2 P-Code]]&lt;&gt;"", tblPiNAnalysis[[#This Row],[Admin 2 P-Code]], tblPiNAnalysis[[#This Row],[Admin 1 P-Code]]&lt;&gt;"", tblPiNAnalysis[[#This Row],[Admin 1 P-Code]]))</f>
        <v>IDPsSD09044</v>
      </c>
      <c r="B290" s="245" t="s">
        <v>197</v>
      </c>
      <c r="C290" s="246" t="s">
        <v>126</v>
      </c>
      <c r="D290" s="247" t="s">
        <v>384</v>
      </c>
      <c r="E290" s="246" t="s">
        <v>385</v>
      </c>
      <c r="F290" s="248">
        <v>85184</v>
      </c>
      <c r="G290" s="248" t="s">
        <v>88</v>
      </c>
      <c r="H290" s="310"/>
      <c r="I290" s="311"/>
      <c r="J290" s="312"/>
      <c r="K290" s="311"/>
      <c r="L290" s="311"/>
      <c r="M290" s="312"/>
      <c r="N290" s="312">
        <f>_xlfn.XLOOKUP(CONCATENATE(tblPiNAnalysis[[#This Row],[Admin 2 P-Code]],tblPiNAnalysis[[#This Row],[Population Group]]),'Overall severity &amp; PIN Analysis'!A:A,'Overall severity &amp; PIN Analysis'!P:P,0,0)</f>
        <v>51905</v>
      </c>
      <c r="O290" s="311"/>
      <c r="P290" s="312"/>
      <c r="Q290" s="312"/>
      <c r="R290" s="312"/>
      <c r="S290" s="312"/>
      <c r="T290" s="313" t="str">
        <f>IF(tblPiNAnalysis[[#This Row],[Site Management ]]="", "", tblPiNAnalysis[[#This Row],[Site Management ]]/tblPiNAnalysis[[#This Row],[Total Population]])</f>
        <v/>
      </c>
      <c r="U290" s="314" t="str">
        <f>IF(tblPiNAnalysis[[#This Row],[Education]]="", "", tblPiNAnalysis[[#This Row],[Education]]/tblPiNAnalysis[[#This Row],[Total Population]])</f>
        <v/>
      </c>
      <c r="V290" s="314" t="str">
        <f>IF(tblPiNAnalysis[[#This Row],[Food Security and Livlihoods]]="", "", tblPiNAnalysis[[#This Row],[Food Security and Livlihoods]]/tblPiNAnalysis[[#This Row],[Total Population]])</f>
        <v/>
      </c>
      <c r="W290" s="315" t="str">
        <f>IF(tblPiNAnalysis[[#This Row],[Health ]]="", "", tblPiNAnalysis[[#This Row],[Health ]]/tblPiNAnalysis[[#This Row],[Total Population]])</f>
        <v/>
      </c>
      <c r="X290" s="314" t="str">
        <f>IF(tblPiNAnalysis[[#This Row],[Nutrition]]="", "", tblPiNAnalysis[[#This Row],[Nutrition]]/tblPiNAnalysis[[#This Row],[Total Population]])</f>
        <v/>
      </c>
      <c r="Y290" s="314" t="str">
        <f>IF(tblPiNAnalysis[[#This Row],[Protection]]="", "", tblPiNAnalysis[[#This Row],[Protection]]/tblPiNAnalysis[[#This Row],[Total Population]])</f>
        <v/>
      </c>
      <c r="Z290" s="316">
        <f>IF(tblPiNAnalysis[[#This Row],[Shelter NFI ]]="", "", tblPiNAnalysis[[#This Row],[Shelter NFI ]]/tblPiNAnalysis[[#This Row],[Total Population]])</f>
        <v>0.60932804282494368</v>
      </c>
      <c r="AA290" s="317" t="str">
        <f>IF(tblPiNAnalysis[[#This Row],[WASH]]="", "", tblPiNAnalysis[[#This Row],[WASH]]/tblPiNAnalysis[[#This Row],[Total Population]])</f>
        <v/>
      </c>
      <c r="AB290" s="318" t="str">
        <f>IFERROR(IF(tblPiNAnalysis[[#This Row],[CP]]="", "", MROUND(tblPiNAnalysis[[#This Row],[CP]]/tblPiNAnalysis[[#This Row],[Total Population]], 0.05)), "")</f>
        <v/>
      </c>
      <c r="AC290" s="314" t="str">
        <f>IFERROR(IF(tblPiNAnalysis[[#This Row],[GBV]]="", "", MROUND(tblPiNAnalysis[[#This Row],[GBV]]/tblPiNAnalysis[[#This Row],[Total Population]], 0.05)), "")</f>
        <v/>
      </c>
      <c r="AD290" s="314" t="str">
        <f>IFERROR(IF(tblPiNAnalysis[[#This Row],[Mine Action]]="", "", MROUND(tblPiNAnalysis[[#This Row],[Mine Action]]/tblPiNAnalysis[[#This Row],[Total Population]], 0.05)), "")</f>
        <v/>
      </c>
      <c r="AE290" s="314" t="str">
        <f>IFERROR(IF(tblPiNAnalysis[[#This Row],[General Protection]]="", "", MROUND(tblPiNAnalysis[[#This Row],[General Protection]]/tblPiNAnalysis[[#This Row],[Total Population]], 0.05)), "")</f>
        <v/>
      </c>
      <c r="AF290" s="319">
        <f>IFERROR(LARGE(tblPiNAnalysis[[#This Row],[Site Management ]:[General Protection]], 1), "")</f>
        <v>51905</v>
      </c>
      <c r="AG290" s="320">
        <f>IF(tblPiNAnalysis[[#This Row],[Highest PiN]]="", "",tblPiNAnalysis[[#This Row],[Highest PiN]]/ tblPiNAnalysis[[#This Row],[Total Population]])</f>
        <v>0.60932804282494368</v>
      </c>
      <c r="AH290" s="320" t="str">
        <f>IFERROR(IF(tblPiNAnalysis[[#This Row],[Highest PiN]]="", "", IF(tblPiNAnalysis[[#This Row],[Highest sector(s'') PiN %]]&gt;=flag_pin_perc, "Flagged", "")), "")</f>
        <v/>
      </c>
      <c r="AI290" s="321"/>
      <c r="AJ290" s="322"/>
      <c r="AK290" s="323">
        <f>COUNTIFS(tblPiNAnalysis[[#This Row],[Highest PiN greater than 90% of total affected population]:[Manual Flag]],"Flagged")</f>
        <v>0</v>
      </c>
      <c r="AL290" s="324" t="str">
        <f>IF(tblPiNAnalysis[[#This Row],['# Flags]]&gt;0, "Flagged", "")</f>
        <v/>
      </c>
    </row>
    <row r="291" spans="1:38" ht="23.1" customHeight="1" x14ac:dyDescent="0.2">
      <c r="A291" s="309" t="str">
        <f>_xlfn.CONCAT(IF(tblPiNAnalysis[[#This Row],[Population Group]]="", "",tblPiNAnalysis[[#This Row],[Population Group]] ), _xlfn.IFS(tblPiNAnalysis[[#This Row],[Admin 2 P-Code]]&lt;&gt;"", tblPiNAnalysis[[#This Row],[Admin 2 P-Code]], tblPiNAnalysis[[#This Row],[Admin 1 P-Code]]&lt;&gt;"", tblPiNAnalysis[[#This Row],[Admin 1 P-Code]]))</f>
        <v>Non-hosting PopulationSD09044</v>
      </c>
      <c r="B291" s="245" t="s">
        <v>197</v>
      </c>
      <c r="C291" s="246" t="s">
        <v>126</v>
      </c>
      <c r="D291" s="247" t="s">
        <v>384</v>
      </c>
      <c r="E291" s="246" t="s">
        <v>385</v>
      </c>
      <c r="F291" s="248">
        <v>375452</v>
      </c>
      <c r="G291" s="248" t="s">
        <v>568</v>
      </c>
      <c r="H291" s="310"/>
      <c r="I291" s="311"/>
      <c r="J291" s="312"/>
      <c r="K291" s="311"/>
      <c r="L291" s="311"/>
      <c r="M291" s="312"/>
      <c r="N291" s="312">
        <f>_xlfn.XLOOKUP(CONCATENATE(tblPiNAnalysis[[#This Row],[Admin 2 P-Code]],tblPiNAnalysis[[#This Row],[Population Group]]),'Overall severity &amp; PIN Analysis'!A:A,'Overall severity &amp; PIN Analysis'!P:P,0,0)</f>
        <v>17598</v>
      </c>
      <c r="O291" s="311"/>
      <c r="P291" s="312"/>
      <c r="Q291" s="312"/>
      <c r="R291" s="312"/>
      <c r="S291" s="312"/>
      <c r="T291" s="313" t="str">
        <f>IF(tblPiNAnalysis[[#This Row],[Site Management ]]="", "", tblPiNAnalysis[[#This Row],[Site Management ]]/tblPiNAnalysis[[#This Row],[Total Population]])</f>
        <v/>
      </c>
      <c r="U291" s="314" t="str">
        <f>IF(tblPiNAnalysis[[#This Row],[Education]]="", "", tblPiNAnalysis[[#This Row],[Education]]/tblPiNAnalysis[[#This Row],[Total Population]])</f>
        <v/>
      </c>
      <c r="V291" s="314" t="str">
        <f>IF(tblPiNAnalysis[[#This Row],[Food Security and Livlihoods]]="", "", tblPiNAnalysis[[#This Row],[Food Security and Livlihoods]]/tblPiNAnalysis[[#This Row],[Total Population]])</f>
        <v/>
      </c>
      <c r="W291" s="315" t="str">
        <f>IF(tblPiNAnalysis[[#This Row],[Health ]]="", "", tblPiNAnalysis[[#This Row],[Health ]]/tblPiNAnalysis[[#This Row],[Total Population]])</f>
        <v/>
      </c>
      <c r="X291" s="314" t="str">
        <f>IF(tblPiNAnalysis[[#This Row],[Nutrition]]="", "", tblPiNAnalysis[[#This Row],[Nutrition]]/tblPiNAnalysis[[#This Row],[Total Population]])</f>
        <v/>
      </c>
      <c r="Y291" s="314" t="str">
        <f>IF(tblPiNAnalysis[[#This Row],[Protection]]="", "", tblPiNAnalysis[[#This Row],[Protection]]/tblPiNAnalysis[[#This Row],[Total Population]])</f>
        <v/>
      </c>
      <c r="Z291" s="316">
        <f>IF(tblPiNAnalysis[[#This Row],[Shelter NFI ]]="", "", tblPiNAnalysis[[#This Row],[Shelter NFI ]]/tblPiNAnalysis[[#This Row],[Total Population]])</f>
        <v>4.6871504213587892E-2</v>
      </c>
      <c r="AA291" s="317" t="str">
        <f>IF(tblPiNAnalysis[[#This Row],[WASH]]="", "", tblPiNAnalysis[[#This Row],[WASH]]/tblPiNAnalysis[[#This Row],[Total Population]])</f>
        <v/>
      </c>
      <c r="AB291" s="318" t="str">
        <f>IFERROR(IF(tblPiNAnalysis[[#This Row],[CP]]="", "", MROUND(tblPiNAnalysis[[#This Row],[CP]]/tblPiNAnalysis[[#This Row],[Total Population]], 0.05)), "")</f>
        <v/>
      </c>
      <c r="AC291" s="314" t="str">
        <f>IFERROR(IF(tblPiNAnalysis[[#This Row],[GBV]]="", "", MROUND(tblPiNAnalysis[[#This Row],[GBV]]/tblPiNAnalysis[[#This Row],[Total Population]], 0.05)), "")</f>
        <v/>
      </c>
      <c r="AD291" s="314" t="str">
        <f>IFERROR(IF(tblPiNAnalysis[[#This Row],[Mine Action]]="", "", MROUND(tblPiNAnalysis[[#This Row],[Mine Action]]/tblPiNAnalysis[[#This Row],[Total Population]], 0.05)), "")</f>
        <v/>
      </c>
      <c r="AE291" s="314" t="str">
        <f>IFERROR(IF(tblPiNAnalysis[[#This Row],[General Protection]]="", "", MROUND(tblPiNAnalysis[[#This Row],[General Protection]]/tblPiNAnalysis[[#This Row],[Total Population]], 0.05)), "")</f>
        <v/>
      </c>
      <c r="AF291" s="319">
        <f>IFERROR(LARGE(tblPiNAnalysis[[#This Row],[Site Management ]:[General Protection]], 1), "")</f>
        <v>17598</v>
      </c>
      <c r="AG291" s="320">
        <f>IF(tblPiNAnalysis[[#This Row],[Highest PiN]]="", "",tblPiNAnalysis[[#This Row],[Highest PiN]]/ tblPiNAnalysis[[#This Row],[Total Population]])</f>
        <v>4.6871504213587892E-2</v>
      </c>
      <c r="AH291" s="320" t="str">
        <f>IFERROR(IF(tblPiNAnalysis[[#This Row],[Highest PiN]]="", "", IF(tblPiNAnalysis[[#This Row],[Highest sector(s'') PiN %]]&gt;=flag_pin_perc, "Flagged", "")), "")</f>
        <v/>
      </c>
      <c r="AI291" s="321"/>
      <c r="AJ291" s="322"/>
      <c r="AK291" s="323">
        <f>COUNTIFS(tblPiNAnalysis[[#This Row],[Highest PiN greater than 90% of total affected population]:[Manual Flag]],"Flagged")</f>
        <v>0</v>
      </c>
      <c r="AL291" s="324" t="str">
        <f>IF(tblPiNAnalysis[[#This Row],['# Flags]]&gt;0, "Flagged", "")</f>
        <v/>
      </c>
    </row>
    <row r="292" spans="1:38" ht="23.1" hidden="1" customHeight="1" x14ac:dyDescent="0.2">
      <c r="A292" s="309" t="str">
        <f>_xlfn.CONCAT(IF(tblPiNAnalysis[[#This Row],[Population Group]]="", "",tblPiNAnalysis[[#This Row],[Population Group]] ), _xlfn.IFS(tblPiNAnalysis[[#This Row],[Admin 2 P-Code]]&lt;&gt;"", tblPiNAnalysis[[#This Row],[Admin 2 P-Code]], tblPiNAnalysis[[#This Row],[Admin 1 P-Code]]&lt;&gt;"", tblPiNAnalysis[[#This Row],[Admin 1 P-Code]]))</f>
        <v>Host CommunitySD09045</v>
      </c>
      <c r="B292" s="245" t="s">
        <v>197</v>
      </c>
      <c r="C292" s="246" t="s">
        <v>126</v>
      </c>
      <c r="D292" s="247" t="s">
        <v>386</v>
      </c>
      <c r="E292" s="246" t="s">
        <v>387</v>
      </c>
      <c r="F292" s="248">
        <v>12850</v>
      </c>
      <c r="G292" s="248" t="s">
        <v>87</v>
      </c>
      <c r="H292" s="310"/>
      <c r="I292" s="311"/>
      <c r="J292" s="312"/>
      <c r="K292" s="311"/>
      <c r="L292" s="311"/>
      <c r="M292" s="312"/>
      <c r="N292" s="312">
        <f>_xlfn.XLOOKUP(CONCATENATE(tblPiNAnalysis[[#This Row],[Admin 2 P-Code]],tblPiNAnalysis[[#This Row],[Population Group]]),'Overall severity &amp; PIN Analysis'!A:A,'Overall severity &amp; PIN Analysis'!P:P,0,0)</f>
        <v>5478</v>
      </c>
      <c r="O292" s="311"/>
      <c r="P292" s="312"/>
      <c r="Q292" s="312"/>
      <c r="R292" s="312"/>
      <c r="S292" s="312"/>
      <c r="T292" s="313" t="str">
        <f>IF(tblPiNAnalysis[[#This Row],[Site Management ]]="", "", tblPiNAnalysis[[#This Row],[Site Management ]]/tblPiNAnalysis[[#This Row],[Total Population]])</f>
        <v/>
      </c>
      <c r="U292" s="314" t="str">
        <f>IF(tblPiNAnalysis[[#This Row],[Education]]="", "", tblPiNAnalysis[[#This Row],[Education]]/tblPiNAnalysis[[#This Row],[Total Population]])</f>
        <v/>
      </c>
      <c r="V292" s="314" t="str">
        <f>IF(tblPiNAnalysis[[#This Row],[Food Security and Livlihoods]]="", "", tblPiNAnalysis[[#This Row],[Food Security and Livlihoods]]/tblPiNAnalysis[[#This Row],[Total Population]])</f>
        <v/>
      </c>
      <c r="W292" s="315" t="str">
        <f>IF(tblPiNAnalysis[[#This Row],[Health ]]="", "", tblPiNAnalysis[[#This Row],[Health ]]/tblPiNAnalysis[[#This Row],[Total Population]])</f>
        <v/>
      </c>
      <c r="X292" s="314" t="str">
        <f>IF(tblPiNAnalysis[[#This Row],[Nutrition]]="", "", tblPiNAnalysis[[#This Row],[Nutrition]]/tblPiNAnalysis[[#This Row],[Total Population]])</f>
        <v/>
      </c>
      <c r="Y292" s="314" t="str">
        <f>IF(tblPiNAnalysis[[#This Row],[Protection]]="", "", tblPiNAnalysis[[#This Row],[Protection]]/tblPiNAnalysis[[#This Row],[Total Population]])</f>
        <v/>
      </c>
      <c r="Z292" s="316">
        <f>IF(tblPiNAnalysis[[#This Row],[Shelter NFI ]]="", "", tblPiNAnalysis[[#This Row],[Shelter NFI ]]/tblPiNAnalysis[[#This Row],[Total Population]])</f>
        <v>0.4263035019455253</v>
      </c>
      <c r="AA292" s="317" t="str">
        <f>IF(tblPiNAnalysis[[#This Row],[WASH]]="", "", tblPiNAnalysis[[#This Row],[WASH]]/tblPiNAnalysis[[#This Row],[Total Population]])</f>
        <v/>
      </c>
      <c r="AB292" s="318" t="str">
        <f>IFERROR(IF(tblPiNAnalysis[[#This Row],[CP]]="", "", MROUND(tblPiNAnalysis[[#This Row],[CP]]/tblPiNAnalysis[[#This Row],[Total Population]], 0.05)), "")</f>
        <v/>
      </c>
      <c r="AC292" s="314" t="str">
        <f>IFERROR(IF(tblPiNAnalysis[[#This Row],[GBV]]="", "", MROUND(tblPiNAnalysis[[#This Row],[GBV]]/tblPiNAnalysis[[#This Row],[Total Population]], 0.05)), "")</f>
        <v/>
      </c>
      <c r="AD292" s="314" t="str">
        <f>IFERROR(IF(tblPiNAnalysis[[#This Row],[Mine Action]]="", "", MROUND(tblPiNAnalysis[[#This Row],[Mine Action]]/tblPiNAnalysis[[#This Row],[Total Population]], 0.05)), "")</f>
        <v/>
      </c>
      <c r="AE292" s="314" t="str">
        <f>IFERROR(IF(tblPiNAnalysis[[#This Row],[General Protection]]="", "", MROUND(tblPiNAnalysis[[#This Row],[General Protection]]/tblPiNAnalysis[[#This Row],[Total Population]], 0.05)), "")</f>
        <v/>
      </c>
      <c r="AF292" s="319">
        <f>IFERROR(LARGE(tblPiNAnalysis[[#This Row],[Site Management ]:[General Protection]], 1), "")</f>
        <v>5478</v>
      </c>
      <c r="AG292" s="320">
        <f>IF(tblPiNAnalysis[[#This Row],[Highest PiN]]="", "",tblPiNAnalysis[[#This Row],[Highest PiN]]/ tblPiNAnalysis[[#This Row],[Total Population]])</f>
        <v>0.4263035019455253</v>
      </c>
      <c r="AH292" s="320" t="str">
        <f>IFERROR(IF(tblPiNAnalysis[[#This Row],[Highest PiN]]="", "", IF(tblPiNAnalysis[[#This Row],[Highest sector(s'') PiN %]]&gt;=flag_pin_perc, "Flagged", "")), "")</f>
        <v/>
      </c>
      <c r="AI292" s="321"/>
      <c r="AJ292" s="322"/>
      <c r="AK292" s="323">
        <f>COUNTIFS(tblPiNAnalysis[[#This Row],[Highest PiN greater than 90% of total affected population]:[Manual Flag]],"Flagged")</f>
        <v>0</v>
      </c>
      <c r="AL292" s="324" t="str">
        <f>IF(tblPiNAnalysis[[#This Row],['# Flags]]&gt;0, "Flagged", "")</f>
        <v/>
      </c>
    </row>
    <row r="293" spans="1:38" ht="23.1" hidden="1" customHeight="1" x14ac:dyDescent="0.2">
      <c r="A293" s="309" t="str">
        <f>_xlfn.CONCAT(IF(tblPiNAnalysis[[#This Row],[Population Group]]="", "",tblPiNAnalysis[[#This Row],[Population Group]] ), _xlfn.IFS(tblPiNAnalysis[[#This Row],[Admin 2 P-Code]]&lt;&gt;"", tblPiNAnalysis[[#This Row],[Admin 2 P-Code]], tblPiNAnalysis[[#This Row],[Admin 1 P-Code]]&lt;&gt;"", tblPiNAnalysis[[#This Row],[Admin 1 P-Code]]))</f>
        <v>IDPsSD09045</v>
      </c>
      <c r="B293" s="245" t="s">
        <v>197</v>
      </c>
      <c r="C293" s="246" t="s">
        <v>126</v>
      </c>
      <c r="D293" s="247" t="s">
        <v>386</v>
      </c>
      <c r="E293" s="246" t="s">
        <v>387</v>
      </c>
      <c r="F293" s="248">
        <v>12315</v>
      </c>
      <c r="G293" s="248" t="s">
        <v>88</v>
      </c>
      <c r="H293" s="310"/>
      <c r="I293" s="311"/>
      <c r="J293" s="312"/>
      <c r="K293" s="311"/>
      <c r="L293" s="311"/>
      <c r="M293" s="312"/>
      <c r="N293" s="312">
        <f>_xlfn.XLOOKUP(CONCATENATE(tblPiNAnalysis[[#This Row],[Admin 2 P-Code]],tblPiNAnalysis[[#This Row],[Population Group]]),'Overall severity &amp; PIN Analysis'!A:A,'Overall severity &amp; PIN Analysis'!P:P,0,0)</f>
        <v>5249</v>
      </c>
      <c r="O293" s="311"/>
      <c r="P293" s="312"/>
      <c r="Q293" s="312"/>
      <c r="R293" s="312"/>
      <c r="S293" s="312"/>
      <c r="T293" s="313" t="str">
        <f>IF(tblPiNAnalysis[[#This Row],[Site Management ]]="", "", tblPiNAnalysis[[#This Row],[Site Management ]]/tblPiNAnalysis[[#This Row],[Total Population]])</f>
        <v/>
      </c>
      <c r="U293" s="314" t="str">
        <f>IF(tblPiNAnalysis[[#This Row],[Education]]="", "", tblPiNAnalysis[[#This Row],[Education]]/tblPiNAnalysis[[#This Row],[Total Population]])</f>
        <v/>
      </c>
      <c r="V293" s="314" t="str">
        <f>IF(tblPiNAnalysis[[#This Row],[Food Security and Livlihoods]]="", "", tblPiNAnalysis[[#This Row],[Food Security and Livlihoods]]/tblPiNAnalysis[[#This Row],[Total Population]])</f>
        <v/>
      </c>
      <c r="W293" s="315" t="str">
        <f>IF(tblPiNAnalysis[[#This Row],[Health ]]="", "", tblPiNAnalysis[[#This Row],[Health ]]/tblPiNAnalysis[[#This Row],[Total Population]])</f>
        <v/>
      </c>
      <c r="X293" s="314" t="str">
        <f>IF(tblPiNAnalysis[[#This Row],[Nutrition]]="", "", tblPiNAnalysis[[#This Row],[Nutrition]]/tblPiNAnalysis[[#This Row],[Total Population]])</f>
        <v/>
      </c>
      <c r="Y293" s="314" t="str">
        <f>IF(tblPiNAnalysis[[#This Row],[Protection]]="", "", tblPiNAnalysis[[#This Row],[Protection]]/tblPiNAnalysis[[#This Row],[Total Population]])</f>
        <v/>
      </c>
      <c r="Z293" s="316">
        <f>IF(tblPiNAnalysis[[#This Row],[Shelter NFI ]]="", "", tblPiNAnalysis[[#This Row],[Shelter NFI ]]/tblPiNAnalysis[[#This Row],[Total Population]])</f>
        <v>0.42622817701989446</v>
      </c>
      <c r="AA293" s="317" t="str">
        <f>IF(tblPiNAnalysis[[#This Row],[WASH]]="", "", tblPiNAnalysis[[#This Row],[WASH]]/tblPiNAnalysis[[#This Row],[Total Population]])</f>
        <v/>
      </c>
      <c r="AB293" s="318" t="str">
        <f>IFERROR(IF(tblPiNAnalysis[[#This Row],[CP]]="", "", MROUND(tblPiNAnalysis[[#This Row],[CP]]/tblPiNAnalysis[[#This Row],[Total Population]], 0.05)), "")</f>
        <v/>
      </c>
      <c r="AC293" s="314" t="str">
        <f>IFERROR(IF(tblPiNAnalysis[[#This Row],[GBV]]="", "", MROUND(tblPiNAnalysis[[#This Row],[GBV]]/tblPiNAnalysis[[#This Row],[Total Population]], 0.05)), "")</f>
        <v/>
      </c>
      <c r="AD293" s="314" t="str">
        <f>IFERROR(IF(tblPiNAnalysis[[#This Row],[Mine Action]]="", "", MROUND(tblPiNAnalysis[[#This Row],[Mine Action]]/tblPiNAnalysis[[#This Row],[Total Population]], 0.05)), "")</f>
        <v/>
      </c>
      <c r="AE293" s="314" t="str">
        <f>IFERROR(IF(tblPiNAnalysis[[#This Row],[General Protection]]="", "", MROUND(tblPiNAnalysis[[#This Row],[General Protection]]/tblPiNAnalysis[[#This Row],[Total Population]], 0.05)), "")</f>
        <v/>
      </c>
      <c r="AF293" s="319">
        <f>IFERROR(LARGE(tblPiNAnalysis[[#This Row],[Site Management ]:[General Protection]], 1), "")</f>
        <v>5249</v>
      </c>
      <c r="AG293" s="320">
        <f>IF(tblPiNAnalysis[[#This Row],[Highest PiN]]="", "",tblPiNAnalysis[[#This Row],[Highest PiN]]/ tblPiNAnalysis[[#This Row],[Total Population]])</f>
        <v>0.42622817701989446</v>
      </c>
      <c r="AH293" s="320" t="str">
        <f>IFERROR(IF(tblPiNAnalysis[[#This Row],[Highest PiN]]="", "", IF(tblPiNAnalysis[[#This Row],[Highest sector(s'') PiN %]]&gt;=flag_pin_perc, "Flagged", "")), "")</f>
        <v/>
      </c>
      <c r="AI293" s="321"/>
      <c r="AJ293" s="322"/>
      <c r="AK293" s="323">
        <f>COUNTIFS(tblPiNAnalysis[[#This Row],[Highest PiN greater than 90% of total affected population]:[Manual Flag]],"Flagged")</f>
        <v>0</v>
      </c>
      <c r="AL293" s="324" t="str">
        <f>IF(tblPiNAnalysis[[#This Row],['# Flags]]&gt;0, "Flagged", "")</f>
        <v/>
      </c>
    </row>
    <row r="294" spans="1:38" ht="23.1" customHeight="1" x14ac:dyDescent="0.2">
      <c r="A294" s="309" t="str">
        <f>_xlfn.CONCAT(IF(tblPiNAnalysis[[#This Row],[Population Group]]="", "",tblPiNAnalysis[[#This Row],[Population Group]] ), _xlfn.IFS(tblPiNAnalysis[[#This Row],[Admin 2 P-Code]]&lt;&gt;"", tblPiNAnalysis[[#This Row],[Admin 2 P-Code]], tblPiNAnalysis[[#This Row],[Admin 1 P-Code]]&lt;&gt;"", tblPiNAnalysis[[#This Row],[Admin 1 P-Code]]))</f>
        <v>Non-hosting PopulationSD09045</v>
      </c>
      <c r="B294" s="245" t="s">
        <v>197</v>
      </c>
      <c r="C294" s="246" t="s">
        <v>126</v>
      </c>
      <c r="D294" s="247" t="s">
        <v>386</v>
      </c>
      <c r="E294" s="246" t="s">
        <v>387</v>
      </c>
      <c r="F294" s="248">
        <v>169137</v>
      </c>
      <c r="G294" s="248" t="s">
        <v>568</v>
      </c>
      <c r="H294" s="310"/>
      <c r="I294" s="311"/>
      <c r="J294" s="312"/>
      <c r="K294" s="311"/>
      <c r="L294" s="311"/>
      <c r="M294" s="312"/>
      <c r="N294" s="312">
        <f>_xlfn.XLOOKUP(CONCATENATE(tblPiNAnalysis[[#This Row],[Admin 2 P-Code]],tblPiNAnalysis[[#This Row],[Population Group]]),'Overall severity &amp; PIN Analysis'!A:A,'Overall severity &amp; PIN Analysis'!P:P,0,0)</f>
        <v>2185</v>
      </c>
      <c r="O294" s="311"/>
      <c r="P294" s="312"/>
      <c r="Q294" s="312"/>
      <c r="R294" s="312"/>
      <c r="S294" s="312"/>
      <c r="T294" s="313" t="str">
        <f>IF(tblPiNAnalysis[[#This Row],[Site Management ]]="", "", tblPiNAnalysis[[#This Row],[Site Management ]]/tblPiNAnalysis[[#This Row],[Total Population]])</f>
        <v/>
      </c>
      <c r="U294" s="314" t="str">
        <f>IF(tblPiNAnalysis[[#This Row],[Education]]="", "", tblPiNAnalysis[[#This Row],[Education]]/tblPiNAnalysis[[#This Row],[Total Population]])</f>
        <v/>
      </c>
      <c r="V294" s="314" t="str">
        <f>IF(tblPiNAnalysis[[#This Row],[Food Security and Livlihoods]]="", "", tblPiNAnalysis[[#This Row],[Food Security and Livlihoods]]/tblPiNAnalysis[[#This Row],[Total Population]])</f>
        <v/>
      </c>
      <c r="W294" s="315" t="str">
        <f>IF(tblPiNAnalysis[[#This Row],[Health ]]="", "", tblPiNAnalysis[[#This Row],[Health ]]/tblPiNAnalysis[[#This Row],[Total Population]])</f>
        <v/>
      </c>
      <c r="X294" s="314" t="str">
        <f>IF(tblPiNAnalysis[[#This Row],[Nutrition]]="", "", tblPiNAnalysis[[#This Row],[Nutrition]]/tblPiNAnalysis[[#This Row],[Total Population]])</f>
        <v/>
      </c>
      <c r="Y294" s="314" t="str">
        <f>IF(tblPiNAnalysis[[#This Row],[Protection]]="", "", tblPiNAnalysis[[#This Row],[Protection]]/tblPiNAnalysis[[#This Row],[Total Population]])</f>
        <v/>
      </c>
      <c r="Z294" s="316">
        <f>IF(tblPiNAnalysis[[#This Row],[Shelter NFI ]]="", "", tblPiNAnalysis[[#This Row],[Shelter NFI ]]/tblPiNAnalysis[[#This Row],[Total Population]])</f>
        <v>1.2918521671780864E-2</v>
      </c>
      <c r="AA294" s="317" t="str">
        <f>IF(tblPiNAnalysis[[#This Row],[WASH]]="", "", tblPiNAnalysis[[#This Row],[WASH]]/tblPiNAnalysis[[#This Row],[Total Population]])</f>
        <v/>
      </c>
      <c r="AB294" s="318" t="str">
        <f>IFERROR(IF(tblPiNAnalysis[[#This Row],[CP]]="", "", MROUND(tblPiNAnalysis[[#This Row],[CP]]/tblPiNAnalysis[[#This Row],[Total Population]], 0.05)), "")</f>
        <v/>
      </c>
      <c r="AC294" s="314" t="str">
        <f>IFERROR(IF(tblPiNAnalysis[[#This Row],[GBV]]="", "", MROUND(tblPiNAnalysis[[#This Row],[GBV]]/tblPiNAnalysis[[#This Row],[Total Population]], 0.05)), "")</f>
        <v/>
      </c>
      <c r="AD294" s="314" t="str">
        <f>IFERROR(IF(tblPiNAnalysis[[#This Row],[Mine Action]]="", "", MROUND(tblPiNAnalysis[[#This Row],[Mine Action]]/tblPiNAnalysis[[#This Row],[Total Population]], 0.05)), "")</f>
        <v/>
      </c>
      <c r="AE294" s="314" t="str">
        <f>IFERROR(IF(tblPiNAnalysis[[#This Row],[General Protection]]="", "", MROUND(tblPiNAnalysis[[#This Row],[General Protection]]/tblPiNAnalysis[[#This Row],[Total Population]], 0.05)), "")</f>
        <v/>
      </c>
      <c r="AF294" s="319">
        <f>IFERROR(LARGE(tblPiNAnalysis[[#This Row],[Site Management ]:[General Protection]], 1), "")</f>
        <v>2185</v>
      </c>
      <c r="AG294" s="320">
        <f>IF(tblPiNAnalysis[[#This Row],[Highest PiN]]="", "",tblPiNAnalysis[[#This Row],[Highest PiN]]/ tblPiNAnalysis[[#This Row],[Total Population]])</f>
        <v>1.2918521671780864E-2</v>
      </c>
      <c r="AH294" s="320" t="str">
        <f>IFERROR(IF(tblPiNAnalysis[[#This Row],[Highest PiN]]="", "", IF(tblPiNAnalysis[[#This Row],[Highest sector(s'') PiN %]]&gt;=flag_pin_perc, "Flagged", "")), "")</f>
        <v/>
      </c>
      <c r="AI294" s="321"/>
      <c r="AJ294" s="322"/>
      <c r="AK294" s="323">
        <f>COUNTIFS(tblPiNAnalysis[[#This Row],[Highest PiN greater than 90% of total affected population]:[Manual Flag]],"Flagged")</f>
        <v>0</v>
      </c>
      <c r="AL294" s="324" t="str">
        <f>IF(tblPiNAnalysis[[#This Row],['# Flags]]&gt;0, "Flagged", "")</f>
        <v/>
      </c>
    </row>
    <row r="295" spans="1:38" ht="23.1" hidden="1" customHeight="1" x14ac:dyDescent="0.2">
      <c r="A295" s="309" t="str">
        <f>_xlfn.CONCAT(IF(tblPiNAnalysis[[#This Row],[Population Group]]="", "",tblPiNAnalysis[[#This Row],[Population Group]] ), _xlfn.IFS(tblPiNAnalysis[[#This Row],[Admin 2 P-Code]]&lt;&gt;"", tblPiNAnalysis[[#This Row],[Admin 2 P-Code]], tblPiNAnalysis[[#This Row],[Admin 1 P-Code]]&lt;&gt;"", tblPiNAnalysis[[#This Row],[Admin 1 P-Code]]))</f>
        <v>Host CommunitySD09046</v>
      </c>
      <c r="B295" s="245" t="s">
        <v>197</v>
      </c>
      <c r="C295" s="246" t="s">
        <v>126</v>
      </c>
      <c r="D295" s="247" t="s">
        <v>388</v>
      </c>
      <c r="E295" s="246" t="s">
        <v>389</v>
      </c>
      <c r="F295" s="248">
        <v>143680</v>
      </c>
      <c r="G295" s="248" t="s">
        <v>87</v>
      </c>
      <c r="H295" s="310"/>
      <c r="I295" s="311"/>
      <c r="J295" s="312"/>
      <c r="K295" s="311"/>
      <c r="L295" s="311"/>
      <c r="M295" s="312"/>
      <c r="N295" s="312">
        <f>_xlfn.XLOOKUP(CONCATENATE(tblPiNAnalysis[[#This Row],[Admin 2 P-Code]],tblPiNAnalysis[[#This Row],[Population Group]]),'Overall severity &amp; PIN Analysis'!A:A,'Overall severity &amp; PIN Analysis'!P:P,0,0)</f>
        <v>85945</v>
      </c>
      <c r="O295" s="311"/>
      <c r="P295" s="312"/>
      <c r="Q295" s="312"/>
      <c r="R295" s="312"/>
      <c r="S295" s="312"/>
      <c r="T295" s="313" t="str">
        <f>IF(tblPiNAnalysis[[#This Row],[Site Management ]]="", "", tblPiNAnalysis[[#This Row],[Site Management ]]/tblPiNAnalysis[[#This Row],[Total Population]])</f>
        <v/>
      </c>
      <c r="U295" s="314" t="str">
        <f>IF(tblPiNAnalysis[[#This Row],[Education]]="", "", tblPiNAnalysis[[#This Row],[Education]]/tblPiNAnalysis[[#This Row],[Total Population]])</f>
        <v/>
      </c>
      <c r="V295" s="314" t="str">
        <f>IF(tblPiNAnalysis[[#This Row],[Food Security and Livlihoods]]="", "", tblPiNAnalysis[[#This Row],[Food Security and Livlihoods]]/tblPiNAnalysis[[#This Row],[Total Population]])</f>
        <v/>
      </c>
      <c r="W295" s="315" t="str">
        <f>IF(tblPiNAnalysis[[#This Row],[Health ]]="", "", tblPiNAnalysis[[#This Row],[Health ]]/tblPiNAnalysis[[#This Row],[Total Population]])</f>
        <v/>
      </c>
      <c r="X295" s="314" t="str">
        <f>IF(tblPiNAnalysis[[#This Row],[Nutrition]]="", "", tblPiNAnalysis[[#This Row],[Nutrition]]/tblPiNAnalysis[[#This Row],[Total Population]])</f>
        <v/>
      </c>
      <c r="Y295" s="314" t="str">
        <f>IF(tblPiNAnalysis[[#This Row],[Protection]]="", "", tblPiNAnalysis[[#This Row],[Protection]]/tblPiNAnalysis[[#This Row],[Total Population]])</f>
        <v/>
      </c>
      <c r="Z295" s="316">
        <f>IF(tblPiNAnalysis[[#This Row],[Shelter NFI ]]="", "", tblPiNAnalysis[[#This Row],[Shelter NFI ]]/tblPiNAnalysis[[#This Row],[Total Population]])</f>
        <v>0.59816954342984407</v>
      </c>
      <c r="AA295" s="317" t="str">
        <f>IF(tblPiNAnalysis[[#This Row],[WASH]]="", "", tblPiNAnalysis[[#This Row],[WASH]]/tblPiNAnalysis[[#This Row],[Total Population]])</f>
        <v/>
      </c>
      <c r="AB295" s="318" t="str">
        <f>IFERROR(IF(tblPiNAnalysis[[#This Row],[CP]]="", "", MROUND(tblPiNAnalysis[[#This Row],[CP]]/tblPiNAnalysis[[#This Row],[Total Population]], 0.05)), "")</f>
        <v/>
      </c>
      <c r="AC295" s="314" t="str">
        <f>IFERROR(IF(tblPiNAnalysis[[#This Row],[GBV]]="", "", MROUND(tblPiNAnalysis[[#This Row],[GBV]]/tblPiNAnalysis[[#This Row],[Total Population]], 0.05)), "")</f>
        <v/>
      </c>
      <c r="AD295" s="314" t="str">
        <f>IFERROR(IF(tblPiNAnalysis[[#This Row],[Mine Action]]="", "", MROUND(tblPiNAnalysis[[#This Row],[Mine Action]]/tblPiNAnalysis[[#This Row],[Total Population]], 0.05)), "")</f>
        <v/>
      </c>
      <c r="AE295" s="314" t="str">
        <f>IFERROR(IF(tblPiNAnalysis[[#This Row],[General Protection]]="", "", MROUND(tblPiNAnalysis[[#This Row],[General Protection]]/tblPiNAnalysis[[#This Row],[Total Population]], 0.05)), "")</f>
        <v/>
      </c>
      <c r="AF295" s="319">
        <f>IFERROR(LARGE(tblPiNAnalysis[[#This Row],[Site Management ]:[General Protection]], 1), "")</f>
        <v>85945</v>
      </c>
      <c r="AG295" s="320">
        <f>IF(tblPiNAnalysis[[#This Row],[Highest PiN]]="", "",tblPiNAnalysis[[#This Row],[Highest PiN]]/ tblPiNAnalysis[[#This Row],[Total Population]])</f>
        <v>0.59816954342984407</v>
      </c>
      <c r="AH295" s="320" t="str">
        <f>IFERROR(IF(tblPiNAnalysis[[#This Row],[Highest PiN]]="", "", IF(tblPiNAnalysis[[#This Row],[Highest sector(s'') PiN %]]&gt;=flag_pin_perc, "Flagged", "")), "")</f>
        <v/>
      </c>
      <c r="AI295" s="321"/>
      <c r="AJ295" s="322"/>
      <c r="AK295" s="323">
        <f>COUNTIFS(tblPiNAnalysis[[#This Row],[Highest PiN greater than 90% of total affected population]:[Manual Flag]],"Flagged")</f>
        <v>0</v>
      </c>
      <c r="AL295" s="324" t="str">
        <f>IF(tblPiNAnalysis[[#This Row],['# Flags]]&gt;0, "Flagged", "")</f>
        <v/>
      </c>
    </row>
    <row r="296" spans="1:38" ht="23.1" hidden="1" customHeight="1" x14ac:dyDescent="0.2">
      <c r="A296" s="309" t="str">
        <f>_xlfn.CONCAT(IF(tblPiNAnalysis[[#This Row],[Population Group]]="", "",tblPiNAnalysis[[#This Row],[Population Group]] ), _xlfn.IFS(tblPiNAnalysis[[#This Row],[Admin 2 P-Code]]&lt;&gt;"", tblPiNAnalysis[[#This Row],[Admin 2 P-Code]], tblPiNAnalysis[[#This Row],[Admin 1 P-Code]]&lt;&gt;"", tblPiNAnalysis[[#This Row],[Admin 1 P-Code]]))</f>
        <v>IDPsSD09046</v>
      </c>
      <c r="B296" s="245" t="s">
        <v>197</v>
      </c>
      <c r="C296" s="246" t="s">
        <v>126</v>
      </c>
      <c r="D296" s="247" t="s">
        <v>388</v>
      </c>
      <c r="E296" s="246" t="s">
        <v>389</v>
      </c>
      <c r="F296" s="248">
        <v>143722</v>
      </c>
      <c r="G296" s="248" t="s">
        <v>88</v>
      </c>
      <c r="H296" s="310"/>
      <c r="I296" s="311"/>
      <c r="J296" s="312"/>
      <c r="K296" s="311"/>
      <c r="L296" s="311"/>
      <c r="M296" s="312"/>
      <c r="N296" s="312">
        <f>_xlfn.XLOOKUP(CONCATENATE(tblPiNAnalysis[[#This Row],[Admin 2 P-Code]],tblPiNAnalysis[[#This Row],[Population Group]]),'Overall severity &amp; PIN Analysis'!A:A,'Overall severity &amp; PIN Analysis'!P:P,0,0)</f>
        <v>85971</v>
      </c>
      <c r="O296" s="311"/>
      <c r="P296" s="312"/>
      <c r="Q296" s="312"/>
      <c r="R296" s="312"/>
      <c r="S296" s="312"/>
      <c r="T296" s="313" t="str">
        <f>IF(tblPiNAnalysis[[#This Row],[Site Management ]]="", "", tblPiNAnalysis[[#This Row],[Site Management ]]/tblPiNAnalysis[[#This Row],[Total Population]])</f>
        <v/>
      </c>
      <c r="U296" s="314" t="str">
        <f>IF(tblPiNAnalysis[[#This Row],[Education]]="", "", tblPiNAnalysis[[#This Row],[Education]]/tblPiNAnalysis[[#This Row],[Total Population]])</f>
        <v/>
      </c>
      <c r="V296" s="314" t="str">
        <f>IF(tblPiNAnalysis[[#This Row],[Food Security and Livlihoods]]="", "", tblPiNAnalysis[[#This Row],[Food Security and Livlihoods]]/tblPiNAnalysis[[#This Row],[Total Population]])</f>
        <v/>
      </c>
      <c r="W296" s="315" t="str">
        <f>IF(tblPiNAnalysis[[#This Row],[Health ]]="", "", tblPiNAnalysis[[#This Row],[Health ]]/tblPiNAnalysis[[#This Row],[Total Population]])</f>
        <v/>
      </c>
      <c r="X296" s="314" t="str">
        <f>IF(tblPiNAnalysis[[#This Row],[Nutrition]]="", "", tblPiNAnalysis[[#This Row],[Nutrition]]/tblPiNAnalysis[[#This Row],[Total Population]])</f>
        <v/>
      </c>
      <c r="Y296" s="314" t="str">
        <f>IF(tblPiNAnalysis[[#This Row],[Protection]]="", "", tblPiNAnalysis[[#This Row],[Protection]]/tblPiNAnalysis[[#This Row],[Total Population]])</f>
        <v/>
      </c>
      <c r="Z296" s="316">
        <f>IF(tblPiNAnalysis[[#This Row],[Shelter NFI ]]="", "", tblPiNAnalysis[[#This Row],[Shelter NFI ]]/tblPiNAnalysis[[#This Row],[Total Population]])</f>
        <v>0.59817564464730522</v>
      </c>
      <c r="AA296" s="317" t="str">
        <f>IF(tblPiNAnalysis[[#This Row],[WASH]]="", "", tblPiNAnalysis[[#This Row],[WASH]]/tblPiNAnalysis[[#This Row],[Total Population]])</f>
        <v/>
      </c>
      <c r="AB296" s="318" t="str">
        <f>IFERROR(IF(tblPiNAnalysis[[#This Row],[CP]]="", "", MROUND(tblPiNAnalysis[[#This Row],[CP]]/tblPiNAnalysis[[#This Row],[Total Population]], 0.05)), "")</f>
        <v/>
      </c>
      <c r="AC296" s="314" t="str">
        <f>IFERROR(IF(tblPiNAnalysis[[#This Row],[GBV]]="", "", MROUND(tblPiNAnalysis[[#This Row],[GBV]]/tblPiNAnalysis[[#This Row],[Total Population]], 0.05)), "")</f>
        <v/>
      </c>
      <c r="AD296" s="314" t="str">
        <f>IFERROR(IF(tblPiNAnalysis[[#This Row],[Mine Action]]="", "", MROUND(tblPiNAnalysis[[#This Row],[Mine Action]]/tblPiNAnalysis[[#This Row],[Total Population]], 0.05)), "")</f>
        <v/>
      </c>
      <c r="AE296" s="314" t="str">
        <f>IFERROR(IF(tblPiNAnalysis[[#This Row],[General Protection]]="", "", MROUND(tblPiNAnalysis[[#This Row],[General Protection]]/tblPiNAnalysis[[#This Row],[Total Population]], 0.05)), "")</f>
        <v/>
      </c>
      <c r="AF296" s="319">
        <f>IFERROR(LARGE(tblPiNAnalysis[[#This Row],[Site Management ]:[General Protection]], 1), "")</f>
        <v>85971</v>
      </c>
      <c r="AG296" s="320">
        <f>IF(tblPiNAnalysis[[#This Row],[Highest PiN]]="", "",tblPiNAnalysis[[#This Row],[Highest PiN]]/ tblPiNAnalysis[[#This Row],[Total Population]])</f>
        <v>0.59817564464730522</v>
      </c>
      <c r="AH296" s="320" t="str">
        <f>IFERROR(IF(tblPiNAnalysis[[#This Row],[Highest PiN]]="", "", IF(tblPiNAnalysis[[#This Row],[Highest sector(s'') PiN %]]&gt;=flag_pin_perc, "Flagged", "")), "")</f>
        <v/>
      </c>
      <c r="AI296" s="321"/>
      <c r="AJ296" s="322"/>
      <c r="AK296" s="323">
        <f>COUNTIFS(tblPiNAnalysis[[#This Row],[Highest PiN greater than 90% of total affected population]:[Manual Flag]],"Flagged")</f>
        <v>0</v>
      </c>
      <c r="AL296" s="324" t="str">
        <f>IF(tblPiNAnalysis[[#This Row],['# Flags]]&gt;0, "Flagged", "")</f>
        <v/>
      </c>
    </row>
    <row r="297" spans="1:38" ht="23.1" customHeight="1" x14ac:dyDescent="0.2">
      <c r="A297" s="309" t="str">
        <f>_xlfn.CONCAT(IF(tblPiNAnalysis[[#This Row],[Population Group]]="", "",tblPiNAnalysis[[#This Row],[Population Group]] ), _xlfn.IFS(tblPiNAnalysis[[#This Row],[Admin 2 P-Code]]&lt;&gt;"", tblPiNAnalysis[[#This Row],[Admin 2 P-Code]], tblPiNAnalysis[[#This Row],[Admin 1 P-Code]]&lt;&gt;"", tblPiNAnalysis[[#This Row],[Admin 1 P-Code]]))</f>
        <v>Non-hosting PopulationSD09046</v>
      </c>
      <c r="B297" s="245" t="s">
        <v>197</v>
      </c>
      <c r="C297" s="246" t="s">
        <v>126</v>
      </c>
      <c r="D297" s="247" t="s">
        <v>388</v>
      </c>
      <c r="E297" s="246" t="s">
        <v>389</v>
      </c>
      <c r="F297" s="248">
        <v>230501</v>
      </c>
      <c r="G297" s="248" t="s">
        <v>568</v>
      </c>
      <c r="H297" s="310"/>
      <c r="I297" s="311"/>
      <c r="J297" s="312"/>
      <c r="K297" s="311"/>
      <c r="L297" s="311"/>
      <c r="M297" s="312"/>
      <c r="N297" s="312">
        <f>_xlfn.XLOOKUP(CONCATENATE(tblPiNAnalysis[[#This Row],[Admin 2 P-Code]],tblPiNAnalysis[[#This Row],[Population Group]]),'Overall severity &amp; PIN Analysis'!A:A,'Overall severity &amp; PIN Analysis'!P:P,0,0)</f>
        <v>64824</v>
      </c>
      <c r="O297" s="311"/>
      <c r="P297" s="312"/>
      <c r="Q297" s="312"/>
      <c r="R297" s="312"/>
      <c r="S297" s="312"/>
      <c r="T297" s="313" t="str">
        <f>IF(tblPiNAnalysis[[#This Row],[Site Management ]]="", "", tblPiNAnalysis[[#This Row],[Site Management ]]/tblPiNAnalysis[[#This Row],[Total Population]])</f>
        <v/>
      </c>
      <c r="U297" s="314" t="str">
        <f>IF(tblPiNAnalysis[[#This Row],[Education]]="", "", tblPiNAnalysis[[#This Row],[Education]]/tblPiNAnalysis[[#This Row],[Total Population]])</f>
        <v/>
      </c>
      <c r="V297" s="314" t="str">
        <f>IF(tblPiNAnalysis[[#This Row],[Food Security and Livlihoods]]="", "", tblPiNAnalysis[[#This Row],[Food Security and Livlihoods]]/tblPiNAnalysis[[#This Row],[Total Population]])</f>
        <v/>
      </c>
      <c r="W297" s="315" t="str">
        <f>IF(tblPiNAnalysis[[#This Row],[Health ]]="", "", tblPiNAnalysis[[#This Row],[Health ]]/tblPiNAnalysis[[#This Row],[Total Population]])</f>
        <v/>
      </c>
      <c r="X297" s="314" t="str">
        <f>IF(tblPiNAnalysis[[#This Row],[Nutrition]]="", "", tblPiNAnalysis[[#This Row],[Nutrition]]/tblPiNAnalysis[[#This Row],[Total Population]])</f>
        <v/>
      </c>
      <c r="Y297" s="314" t="str">
        <f>IF(tblPiNAnalysis[[#This Row],[Protection]]="", "", tblPiNAnalysis[[#This Row],[Protection]]/tblPiNAnalysis[[#This Row],[Total Population]])</f>
        <v/>
      </c>
      <c r="Z297" s="316">
        <f>IF(tblPiNAnalysis[[#This Row],[Shelter NFI ]]="", "", tblPiNAnalysis[[#This Row],[Shelter NFI ]]/tblPiNAnalysis[[#This Row],[Total Population]])</f>
        <v>0.28123088403087187</v>
      </c>
      <c r="AA297" s="317" t="str">
        <f>IF(tblPiNAnalysis[[#This Row],[WASH]]="", "", tblPiNAnalysis[[#This Row],[WASH]]/tblPiNAnalysis[[#This Row],[Total Population]])</f>
        <v/>
      </c>
      <c r="AB297" s="318" t="str">
        <f>IFERROR(IF(tblPiNAnalysis[[#This Row],[CP]]="", "", MROUND(tblPiNAnalysis[[#This Row],[CP]]/tblPiNAnalysis[[#This Row],[Total Population]], 0.05)), "")</f>
        <v/>
      </c>
      <c r="AC297" s="314" t="str">
        <f>IFERROR(IF(tblPiNAnalysis[[#This Row],[GBV]]="", "", MROUND(tblPiNAnalysis[[#This Row],[GBV]]/tblPiNAnalysis[[#This Row],[Total Population]], 0.05)), "")</f>
        <v/>
      </c>
      <c r="AD297" s="314" t="str">
        <f>IFERROR(IF(tblPiNAnalysis[[#This Row],[Mine Action]]="", "", MROUND(tblPiNAnalysis[[#This Row],[Mine Action]]/tblPiNAnalysis[[#This Row],[Total Population]], 0.05)), "")</f>
        <v/>
      </c>
      <c r="AE297" s="314" t="str">
        <f>IFERROR(IF(tblPiNAnalysis[[#This Row],[General Protection]]="", "", MROUND(tblPiNAnalysis[[#This Row],[General Protection]]/tblPiNAnalysis[[#This Row],[Total Population]], 0.05)), "")</f>
        <v/>
      </c>
      <c r="AF297" s="319">
        <f>IFERROR(LARGE(tblPiNAnalysis[[#This Row],[Site Management ]:[General Protection]], 1), "")</f>
        <v>64824</v>
      </c>
      <c r="AG297" s="320">
        <f>IF(tblPiNAnalysis[[#This Row],[Highest PiN]]="", "",tblPiNAnalysis[[#This Row],[Highest PiN]]/ tblPiNAnalysis[[#This Row],[Total Population]])</f>
        <v>0.28123088403087187</v>
      </c>
      <c r="AH297" s="320" t="str">
        <f>IFERROR(IF(tblPiNAnalysis[[#This Row],[Highest PiN]]="", "", IF(tblPiNAnalysis[[#This Row],[Highest sector(s'') PiN %]]&gt;=flag_pin_perc, "Flagged", "")), "")</f>
        <v/>
      </c>
      <c r="AI297" s="321"/>
      <c r="AJ297" s="322"/>
      <c r="AK297" s="323">
        <f>COUNTIFS(tblPiNAnalysis[[#This Row],[Highest PiN greater than 90% of total affected population]:[Manual Flag]],"Flagged")</f>
        <v>0</v>
      </c>
      <c r="AL297" s="324" t="str">
        <f>IF(tblPiNAnalysis[[#This Row],['# Flags]]&gt;0, "Flagged", "")</f>
        <v/>
      </c>
    </row>
    <row r="298" spans="1:38" ht="23.1" hidden="1" customHeight="1" x14ac:dyDescent="0.2">
      <c r="A298" s="309" t="str">
        <f>_xlfn.CONCAT(IF(tblPiNAnalysis[[#This Row],[Population Group]]="", "",tblPiNAnalysis[[#This Row],[Population Group]] ), _xlfn.IFS(tblPiNAnalysis[[#This Row],[Admin 2 P-Code]]&lt;&gt;"", tblPiNAnalysis[[#This Row],[Admin 2 P-Code]], tblPiNAnalysis[[#This Row],[Admin 1 P-Code]]&lt;&gt;"", tblPiNAnalysis[[#This Row],[Admin 1 P-Code]]))</f>
        <v>Host CommunitySD09047</v>
      </c>
      <c r="B298" s="245" t="s">
        <v>197</v>
      </c>
      <c r="C298" s="246" t="s">
        <v>126</v>
      </c>
      <c r="D298" s="247" t="s">
        <v>390</v>
      </c>
      <c r="E298" s="246" t="s">
        <v>391</v>
      </c>
      <c r="F298" s="248">
        <v>212484</v>
      </c>
      <c r="G298" s="248" t="s">
        <v>87</v>
      </c>
      <c r="H298" s="310"/>
      <c r="I298" s="311"/>
      <c r="J298" s="312"/>
      <c r="K298" s="311"/>
      <c r="L298" s="311"/>
      <c r="M298" s="312"/>
      <c r="N298" s="312">
        <f>_xlfn.XLOOKUP(CONCATENATE(tblPiNAnalysis[[#This Row],[Admin 2 P-Code]],tblPiNAnalysis[[#This Row],[Population Group]]),'Overall severity &amp; PIN Analysis'!A:A,'Overall severity &amp; PIN Analysis'!P:P,0,0)</f>
        <v>89755</v>
      </c>
      <c r="O298" s="311"/>
      <c r="P298" s="312"/>
      <c r="Q298" s="312"/>
      <c r="R298" s="312"/>
      <c r="S298" s="312"/>
      <c r="T298" s="313" t="str">
        <f>IF(tblPiNAnalysis[[#This Row],[Site Management ]]="", "", tblPiNAnalysis[[#This Row],[Site Management ]]/tblPiNAnalysis[[#This Row],[Total Population]])</f>
        <v/>
      </c>
      <c r="U298" s="314" t="str">
        <f>IF(tblPiNAnalysis[[#This Row],[Education]]="", "", tblPiNAnalysis[[#This Row],[Education]]/tblPiNAnalysis[[#This Row],[Total Population]])</f>
        <v/>
      </c>
      <c r="V298" s="314" t="str">
        <f>IF(tblPiNAnalysis[[#This Row],[Food Security and Livlihoods]]="", "", tblPiNAnalysis[[#This Row],[Food Security and Livlihoods]]/tblPiNAnalysis[[#This Row],[Total Population]])</f>
        <v/>
      </c>
      <c r="W298" s="315" t="str">
        <f>IF(tblPiNAnalysis[[#This Row],[Health ]]="", "", tblPiNAnalysis[[#This Row],[Health ]]/tblPiNAnalysis[[#This Row],[Total Population]])</f>
        <v/>
      </c>
      <c r="X298" s="314" t="str">
        <f>IF(tblPiNAnalysis[[#This Row],[Nutrition]]="", "", tblPiNAnalysis[[#This Row],[Nutrition]]/tblPiNAnalysis[[#This Row],[Total Population]])</f>
        <v/>
      </c>
      <c r="Y298" s="314" t="str">
        <f>IF(tblPiNAnalysis[[#This Row],[Protection]]="", "", tblPiNAnalysis[[#This Row],[Protection]]/tblPiNAnalysis[[#This Row],[Total Population]])</f>
        <v/>
      </c>
      <c r="Z298" s="316">
        <f>IF(tblPiNAnalysis[[#This Row],[Shelter NFI ]]="", "", tblPiNAnalysis[[#This Row],[Shelter NFI ]]/tblPiNAnalysis[[#This Row],[Total Population]])</f>
        <v>0.42240827544662185</v>
      </c>
      <c r="AA298" s="317" t="str">
        <f>IF(tblPiNAnalysis[[#This Row],[WASH]]="", "", tblPiNAnalysis[[#This Row],[WASH]]/tblPiNAnalysis[[#This Row],[Total Population]])</f>
        <v/>
      </c>
      <c r="AB298" s="318" t="str">
        <f>IFERROR(IF(tblPiNAnalysis[[#This Row],[CP]]="", "", MROUND(tblPiNAnalysis[[#This Row],[CP]]/tblPiNAnalysis[[#This Row],[Total Population]], 0.05)), "")</f>
        <v/>
      </c>
      <c r="AC298" s="314" t="str">
        <f>IFERROR(IF(tblPiNAnalysis[[#This Row],[GBV]]="", "", MROUND(tblPiNAnalysis[[#This Row],[GBV]]/tblPiNAnalysis[[#This Row],[Total Population]], 0.05)), "")</f>
        <v/>
      </c>
      <c r="AD298" s="314" t="str">
        <f>IFERROR(IF(tblPiNAnalysis[[#This Row],[Mine Action]]="", "", MROUND(tblPiNAnalysis[[#This Row],[Mine Action]]/tblPiNAnalysis[[#This Row],[Total Population]], 0.05)), "")</f>
        <v/>
      </c>
      <c r="AE298" s="314" t="str">
        <f>IFERROR(IF(tblPiNAnalysis[[#This Row],[General Protection]]="", "", MROUND(tblPiNAnalysis[[#This Row],[General Protection]]/tblPiNAnalysis[[#This Row],[Total Population]], 0.05)), "")</f>
        <v/>
      </c>
      <c r="AF298" s="319">
        <f>IFERROR(LARGE(tblPiNAnalysis[[#This Row],[Site Management ]:[General Protection]], 1), "")</f>
        <v>89755</v>
      </c>
      <c r="AG298" s="320">
        <f>IF(tblPiNAnalysis[[#This Row],[Highest PiN]]="", "",tblPiNAnalysis[[#This Row],[Highest PiN]]/ tblPiNAnalysis[[#This Row],[Total Population]])</f>
        <v>0.42240827544662185</v>
      </c>
      <c r="AH298" s="320" t="str">
        <f>IFERROR(IF(tblPiNAnalysis[[#This Row],[Highest PiN]]="", "", IF(tblPiNAnalysis[[#This Row],[Highest sector(s'') PiN %]]&gt;=flag_pin_perc, "Flagged", "")), "")</f>
        <v/>
      </c>
      <c r="AI298" s="321"/>
      <c r="AJ298" s="322"/>
      <c r="AK298" s="323">
        <f>COUNTIFS(tblPiNAnalysis[[#This Row],[Highest PiN greater than 90% of total affected population]:[Manual Flag]],"Flagged")</f>
        <v>0</v>
      </c>
      <c r="AL298" s="324" t="str">
        <f>IF(tblPiNAnalysis[[#This Row],['# Flags]]&gt;0, "Flagged", "")</f>
        <v/>
      </c>
    </row>
    <row r="299" spans="1:38" ht="23.1" hidden="1" customHeight="1" x14ac:dyDescent="0.2">
      <c r="A299" s="309" t="str">
        <f>_xlfn.CONCAT(IF(tblPiNAnalysis[[#This Row],[Population Group]]="", "",tblPiNAnalysis[[#This Row],[Population Group]] ), _xlfn.IFS(tblPiNAnalysis[[#This Row],[Admin 2 P-Code]]&lt;&gt;"", tblPiNAnalysis[[#This Row],[Admin 2 P-Code]], tblPiNAnalysis[[#This Row],[Admin 1 P-Code]]&lt;&gt;"", tblPiNAnalysis[[#This Row],[Admin 1 P-Code]]))</f>
        <v>IDPsSD09047</v>
      </c>
      <c r="B299" s="245" t="s">
        <v>197</v>
      </c>
      <c r="C299" s="246" t="s">
        <v>126</v>
      </c>
      <c r="D299" s="247" t="s">
        <v>390</v>
      </c>
      <c r="E299" s="246" t="s">
        <v>391</v>
      </c>
      <c r="F299" s="248">
        <v>159983</v>
      </c>
      <c r="G299" s="248" t="s">
        <v>88</v>
      </c>
      <c r="H299" s="310"/>
      <c r="I299" s="311"/>
      <c r="J299" s="312"/>
      <c r="K299" s="311"/>
      <c r="L299" s="311"/>
      <c r="M299" s="312"/>
      <c r="N299" s="312">
        <f>_xlfn.XLOOKUP(CONCATENATE(tblPiNAnalysis[[#This Row],[Admin 2 P-Code]],tblPiNAnalysis[[#This Row],[Population Group]]),'Overall severity &amp; PIN Analysis'!A:A,'Overall severity &amp; PIN Analysis'!P:P,0,0)</f>
        <v>67578</v>
      </c>
      <c r="O299" s="311"/>
      <c r="P299" s="312"/>
      <c r="Q299" s="312"/>
      <c r="R299" s="312"/>
      <c r="S299" s="312"/>
      <c r="T299" s="313" t="str">
        <f>IF(tblPiNAnalysis[[#This Row],[Site Management ]]="", "", tblPiNAnalysis[[#This Row],[Site Management ]]/tblPiNAnalysis[[#This Row],[Total Population]])</f>
        <v/>
      </c>
      <c r="U299" s="314" t="str">
        <f>IF(tblPiNAnalysis[[#This Row],[Education]]="", "", tblPiNAnalysis[[#This Row],[Education]]/tblPiNAnalysis[[#This Row],[Total Population]])</f>
        <v/>
      </c>
      <c r="V299" s="314" t="str">
        <f>IF(tblPiNAnalysis[[#This Row],[Food Security and Livlihoods]]="", "", tblPiNAnalysis[[#This Row],[Food Security and Livlihoods]]/tblPiNAnalysis[[#This Row],[Total Population]])</f>
        <v/>
      </c>
      <c r="W299" s="315" t="str">
        <f>IF(tblPiNAnalysis[[#This Row],[Health ]]="", "", tblPiNAnalysis[[#This Row],[Health ]]/tblPiNAnalysis[[#This Row],[Total Population]])</f>
        <v/>
      </c>
      <c r="X299" s="314" t="str">
        <f>IF(tblPiNAnalysis[[#This Row],[Nutrition]]="", "", tblPiNAnalysis[[#This Row],[Nutrition]]/tblPiNAnalysis[[#This Row],[Total Population]])</f>
        <v/>
      </c>
      <c r="Y299" s="314" t="str">
        <f>IF(tblPiNAnalysis[[#This Row],[Protection]]="", "", tblPiNAnalysis[[#This Row],[Protection]]/tblPiNAnalysis[[#This Row],[Total Population]])</f>
        <v/>
      </c>
      <c r="Z299" s="316">
        <f>IF(tblPiNAnalysis[[#This Row],[Shelter NFI ]]="", "", tblPiNAnalysis[[#This Row],[Shelter NFI ]]/tblPiNAnalysis[[#This Row],[Total Population]])</f>
        <v>0.42240738078420831</v>
      </c>
      <c r="AA299" s="317" t="str">
        <f>IF(tblPiNAnalysis[[#This Row],[WASH]]="", "", tblPiNAnalysis[[#This Row],[WASH]]/tblPiNAnalysis[[#This Row],[Total Population]])</f>
        <v/>
      </c>
      <c r="AB299" s="318" t="str">
        <f>IFERROR(IF(tblPiNAnalysis[[#This Row],[CP]]="", "", MROUND(tblPiNAnalysis[[#This Row],[CP]]/tblPiNAnalysis[[#This Row],[Total Population]], 0.05)), "")</f>
        <v/>
      </c>
      <c r="AC299" s="314" t="str">
        <f>IFERROR(IF(tblPiNAnalysis[[#This Row],[GBV]]="", "", MROUND(tblPiNAnalysis[[#This Row],[GBV]]/tblPiNAnalysis[[#This Row],[Total Population]], 0.05)), "")</f>
        <v/>
      </c>
      <c r="AD299" s="314" t="str">
        <f>IFERROR(IF(tblPiNAnalysis[[#This Row],[Mine Action]]="", "", MROUND(tblPiNAnalysis[[#This Row],[Mine Action]]/tblPiNAnalysis[[#This Row],[Total Population]], 0.05)), "")</f>
        <v/>
      </c>
      <c r="AE299" s="314" t="str">
        <f>IFERROR(IF(tblPiNAnalysis[[#This Row],[General Protection]]="", "", MROUND(tblPiNAnalysis[[#This Row],[General Protection]]/tblPiNAnalysis[[#This Row],[Total Population]], 0.05)), "")</f>
        <v/>
      </c>
      <c r="AF299" s="319">
        <f>IFERROR(LARGE(tblPiNAnalysis[[#This Row],[Site Management ]:[General Protection]], 1), "")</f>
        <v>67578</v>
      </c>
      <c r="AG299" s="320">
        <f>IF(tblPiNAnalysis[[#This Row],[Highest PiN]]="", "",tblPiNAnalysis[[#This Row],[Highest PiN]]/ tblPiNAnalysis[[#This Row],[Total Population]])</f>
        <v>0.42240738078420831</v>
      </c>
      <c r="AH299" s="320" t="str">
        <f>IFERROR(IF(tblPiNAnalysis[[#This Row],[Highest PiN]]="", "", IF(tblPiNAnalysis[[#This Row],[Highest sector(s'') PiN %]]&gt;=flag_pin_perc, "Flagged", "")), "")</f>
        <v/>
      </c>
      <c r="AI299" s="321"/>
      <c r="AJ299" s="322"/>
      <c r="AK299" s="323">
        <f>COUNTIFS(tblPiNAnalysis[[#This Row],[Highest PiN greater than 90% of total affected population]:[Manual Flag]],"Flagged")</f>
        <v>0</v>
      </c>
      <c r="AL299" s="324" t="str">
        <f>IF(tblPiNAnalysis[[#This Row],['# Flags]]&gt;0, "Flagged", "")</f>
        <v/>
      </c>
    </row>
    <row r="300" spans="1:38" ht="23.1" customHeight="1" x14ac:dyDescent="0.2">
      <c r="A300" s="309" t="str">
        <f>_xlfn.CONCAT(IF(tblPiNAnalysis[[#This Row],[Population Group]]="", "",tblPiNAnalysis[[#This Row],[Population Group]] ), _xlfn.IFS(tblPiNAnalysis[[#This Row],[Admin 2 P-Code]]&lt;&gt;"", tblPiNAnalysis[[#This Row],[Admin 2 P-Code]], tblPiNAnalysis[[#This Row],[Admin 1 P-Code]]&lt;&gt;"", tblPiNAnalysis[[#This Row],[Admin 1 P-Code]]))</f>
        <v>Non-hosting PopulationSD09047</v>
      </c>
      <c r="B300" s="245" t="s">
        <v>197</v>
      </c>
      <c r="C300" s="246" t="s">
        <v>126</v>
      </c>
      <c r="D300" s="247" t="s">
        <v>390</v>
      </c>
      <c r="E300" s="246" t="s">
        <v>391</v>
      </c>
      <c r="F300" s="248">
        <v>132550</v>
      </c>
      <c r="G300" s="248" t="s">
        <v>568</v>
      </c>
      <c r="H300" s="310"/>
      <c r="I300" s="311"/>
      <c r="J300" s="312"/>
      <c r="K300" s="311"/>
      <c r="L300" s="311"/>
      <c r="M300" s="312"/>
      <c r="N300" s="312">
        <f>_xlfn.XLOOKUP(CONCATENATE(tblPiNAnalysis[[#This Row],[Admin 2 P-Code]],tblPiNAnalysis[[#This Row],[Population Group]]),'Overall severity &amp; PIN Analysis'!A:A,'Overall severity &amp; PIN Analysis'!P:P,0,0)</f>
        <v>7272</v>
      </c>
      <c r="O300" s="311"/>
      <c r="P300" s="312"/>
      <c r="Q300" s="312"/>
      <c r="R300" s="312"/>
      <c r="S300" s="312"/>
      <c r="T300" s="313" t="str">
        <f>IF(tblPiNAnalysis[[#This Row],[Site Management ]]="", "", tblPiNAnalysis[[#This Row],[Site Management ]]/tblPiNAnalysis[[#This Row],[Total Population]])</f>
        <v/>
      </c>
      <c r="U300" s="314" t="str">
        <f>IF(tblPiNAnalysis[[#This Row],[Education]]="", "", tblPiNAnalysis[[#This Row],[Education]]/tblPiNAnalysis[[#This Row],[Total Population]])</f>
        <v/>
      </c>
      <c r="V300" s="314" t="str">
        <f>IF(tblPiNAnalysis[[#This Row],[Food Security and Livlihoods]]="", "", tblPiNAnalysis[[#This Row],[Food Security and Livlihoods]]/tblPiNAnalysis[[#This Row],[Total Population]])</f>
        <v/>
      </c>
      <c r="W300" s="315" t="str">
        <f>IF(tblPiNAnalysis[[#This Row],[Health ]]="", "", tblPiNAnalysis[[#This Row],[Health ]]/tblPiNAnalysis[[#This Row],[Total Population]])</f>
        <v/>
      </c>
      <c r="X300" s="314" t="str">
        <f>IF(tblPiNAnalysis[[#This Row],[Nutrition]]="", "", tblPiNAnalysis[[#This Row],[Nutrition]]/tblPiNAnalysis[[#This Row],[Total Population]])</f>
        <v/>
      </c>
      <c r="Y300" s="314" t="str">
        <f>IF(tblPiNAnalysis[[#This Row],[Protection]]="", "", tblPiNAnalysis[[#This Row],[Protection]]/tblPiNAnalysis[[#This Row],[Total Population]])</f>
        <v/>
      </c>
      <c r="Z300" s="316">
        <f>IF(tblPiNAnalysis[[#This Row],[Shelter NFI ]]="", "", tblPiNAnalysis[[#This Row],[Shelter NFI ]]/tblPiNAnalysis[[#This Row],[Total Population]])</f>
        <v>5.4862316107129383E-2</v>
      </c>
      <c r="AA300" s="317" t="str">
        <f>IF(tblPiNAnalysis[[#This Row],[WASH]]="", "", tblPiNAnalysis[[#This Row],[WASH]]/tblPiNAnalysis[[#This Row],[Total Population]])</f>
        <v/>
      </c>
      <c r="AB300" s="318" t="str">
        <f>IFERROR(IF(tblPiNAnalysis[[#This Row],[CP]]="", "", MROUND(tblPiNAnalysis[[#This Row],[CP]]/tblPiNAnalysis[[#This Row],[Total Population]], 0.05)), "")</f>
        <v/>
      </c>
      <c r="AC300" s="314" t="str">
        <f>IFERROR(IF(tblPiNAnalysis[[#This Row],[GBV]]="", "", MROUND(tblPiNAnalysis[[#This Row],[GBV]]/tblPiNAnalysis[[#This Row],[Total Population]], 0.05)), "")</f>
        <v/>
      </c>
      <c r="AD300" s="314" t="str">
        <f>IFERROR(IF(tblPiNAnalysis[[#This Row],[Mine Action]]="", "", MROUND(tblPiNAnalysis[[#This Row],[Mine Action]]/tblPiNAnalysis[[#This Row],[Total Population]], 0.05)), "")</f>
        <v/>
      </c>
      <c r="AE300" s="314" t="str">
        <f>IFERROR(IF(tblPiNAnalysis[[#This Row],[General Protection]]="", "", MROUND(tblPiNAnalysis[[#This Row],[General Protection]]/tblPiNAnalysis[[#This Row],[Total Population]], 0.05)), "")</f>
        <v/>
      </c>
      <c r="AF300" s="319">
        <f>IFERROR(LARGE(tblPiNAnalysis[[#This Row],[Site Management ]:[General Protection]], 1), "")</f>
        <v>7272</v>
      </c>
      <c r="AG300" s="320">
        <f>IF(tblPiNAnalysis[[#This Row],[Highest PiN]]="", "",tblPiNAnalysis[[#This Row],[Highest PiN]]/ tblPiNAnalysis[[#This Row],[Total Population]])</f>
        <v>5.4862316107129383E-2</v>
      </c>
      <c r="AH300" s="320" t="str">
        <f>IFERROR(IF(tblPiNAnalysis[[#This Row],[Highest PiN]]="", "", IF(tblPiNAnalysis[[#This Row],[Highest sector(s'') PiN %]]&gt;=flag_pin_perc, "Flagged", "")), "")</f>
        <v/>
      </c>
      <c r="AI300" s="321"/>
      <c r="AJ300" s="322"/>
      <c r="AK300" s="323">
        <f>COUNTIFS(tblPiNAnalysis[[#This Row],[Highest PiN greater than 90% of total affected population]:[Manual Flag]],"Flagged")</f>
        <v>0</v>
      </c>
      <c r="AL300" s="324" t="str">
        <f>IF(tblPiNAnalysis[[#This Row],['# Flags]]&gt;0, "Flagged", "")</f>
        <v/>
      </c>
    </row>
    <row r="301" spans="1:38" ht="23.1" hidden="1" customHeight="1" x14ac:dyDescent="0.2">
      <c r="A301" s="309" t="str">
        <f>_xlfn.CONCAT(IF(tblPiNAnalysis[[#This Row],[Population Group]]="", "",tblPiNAnalysis[[#This Row],[Population Group]] ), _xlfn.IFS(tblPiNAnalysis[[#This Row],[Admin 2 P-Code]]&lt;&gt;"", tblPiNAnalysis[[#This Row],[Admin 2 P-Code]], tblPiNAnalysis[[#This Row],[Admin 1 P-Code]]&lt;&gt;"", tblPiNAnalysis[[#This Row],[Admin 1 P-Code]]))</f>
        <v>Host CommunitySD09048</v>
      </c>
      <c r="B301" s="245" t="s">
        <v>197</v>
      </c>
      <c r="C301" s="246" t="s">
        <v>126</v>
      </c>
      <c r="D301" s="247" t="s">
        <v>392</v>
      </c>
      <c r="E301" s="246" t="s">
        <v>393</v>
      </c>
      <c r="F301" s="248">
        <v>19380</v>
      </c>
      <c r="G301" s="248" t="s">
        <v>87</v>
      </c>
      <c r="H301" s="310"/>
      <c r="I301" s="311"/>
      <c r="J301" s="312"/>
      <c r="K301" s="311"/>
      <c r="L301" s="311"/>
      <c r="M301" s="312"/>
      <c r="N301" s="312">
        <f>_xlfn.XLOOKUP(CONCATENATE(tblPiNAnalysis[[#This Row],[Admin 2 P-Code]],tblPiNAnalysis[[#This Row],[Population Group]]),'Overall severity &amp; PIN Analysis'!A:A,'Overall severity &amp; PIN Analysis'!P:P,0,0)</f>
        <v>5926</v>
      </c>
      <c r="O301" s="311"/>
      <c r="P301" s="312"/>
      <c r="Q301" s="312"/>
      <c r="R301" s="312"/>
      <c r="S301" s="312"/>
      <c r="T301" s="313" t="str">
        <f>IF(tblPiNAnalysis[[#This Row],[Site Management ]]="", "", tblPiNAnalysis[[#This Row],[Site Management ]]/tblPiNAnalysis[[#This Row],[Total Population]])</f>
        <v/>
      </c>
      <c r="U301" s="314" t="str">
        <f>IF(tblPiNAnalysis[[#This Row],[Education]]="", "", tblPiNAnalysis[[#This Row],[Education]]/tblPiNAnalysis[[#This Row],[Total Population]])</f>
        <v/>
      </c>
      <c r="V301" s="314" t="str">
        <f>IF(tblPiNAnalysis[[#This Row],[Food Security and Livlihoods]]="", "", tblPiNAnalysis[[#This Row],[Food Security and Livlihoods]]/tblPiNAnalysis[[#This Row],[Total Population]])</f>
        <v/>
      </c>
      <c r="W301" s="315" t="str">
        <f>IF(tblPiNAnalysis[[#This Row],[Health ]]="", "", tblPiNAnalysis[[#This Row],[Health ]]/tblPiNAnalysis[[#This Row],[Total Population]])</f>
        <v/>
      </c>
      <c r="X301" s="314" t="str">
        <f>IF(tblPiNAnalysis[[#This Row],[Nutrition]]="", "", tblPiNAnalysis[[#This Row],[Nutrition]]/tblPiNAnalysis[[#This Row],[Total Population]])</f>
        <v/>
      </c>
      <c r="Y301" s="314" t="str">
        <f>IF(tblPiNAnalysis[[#This Row],[Protection]]="", "", tblPiNAnalysis[[#This Row],[Protection]]/tblPiNAnalysis[[#This Row],[Total Population]])</f>
        <v/>
      </c>
      <c r="Z301" s="316">
        <f>IF(tblPiNAnalysis[[#This Row],[Shelter NFI ]]="", "", tblPiNAnalysis[[#This Row],[Shelter NFI ]]/tblPiNAnalysis[[#This Row],[Total Population]])</f>
        <v>0.30577915376676984</v>
      </c>
      <c r="AA301" s="317" t="str">
        <f>IF(tblPiNAnalysis[[#This Row],[WASH]]="", "", tblPiNAnalysis[[#This Row],[WASH]]/tblPiNAnalysis[[#This Row],[Total Population]])</f>
        <v/>
      </c>
      <c r="AB301" s="318" t="str">
        <f>IFERROR(IF(tblPiNAnalysis[[#This Row],[CP]]="", "", MROUND(tblPiNAnalysis[[#This Row],[CP]]/tblPiNAnalysis[[#This Row],[Total Population]], 0.05)), "")</f>
        <v/>
      </c>
      <c r="AC301" s="314" t="str">
        <f>IFERROR(IF(tblPiNAnalysis[[#This Row],[GBV]]="", "", MROUND(tblPiNAnalysis[[#This Row],[GBV]]/tblPiNAnalysis[[#This Row],[Total Population]], 0.05)), "")</f>
        <v/>
      </c>
      <c r="AD301" s="314" t="str">
        <f>IFERROR(IF(tblPiNAnalysis[[#This Row],[Mine Action]]="", "", MROUND(tblPiNAnalysis[[#This Row],[Mine Action]]/tblPiNAnalysis[[#This Row],[Total Population]], 0.05)), "")</f>
        <v/>
      </c>
      <c r="AE301" s="314" t="str">
        <f>IFERROR(IF(tblPiNAnalysis[[#This Row],[General Protection]]="", "", MROUND(tblPiNAnalysis[[#This Row],[General Protection]]/tblPiNAnalysis[[#This Row],[Total Population]], 0.05)), "")</f>
        <v/>
      </c>
      <c r="AF301" s="319">
        <f>IFERROR(LARGE(tblPiNAnalysis[[#This Row],[Site Management ]:[General Protection]], 1), "")</f>
        <v>5926</v>
      </c>
      <c r="AG301" s="320">
        <f>IF(tblPiNAnalysis[[#This Row],[Highest PiN]]="", "",tblPiNAnalysis[[#This Row],[Highest PiN]]/ tblPiNAnalysis[[#This Row],[Total Population]])</f>
        <v>0.30577915376676984</v>
      </c>
      <c r="AH301" s="320" t="str">
        <f>IFERROR(IF(tblPiNAnalysis[[#This Row],[Highest PiN]]="", "", IF(tblPiNAnalysis[[#This Row],[Highest sector(s'') PiN %]]&gt;=flag_pin_perc, "Flagged", "")), "")</f>
        <v/>
      </c>
      <c r="AI301" s="321"/>
      <c r="AJ301" s="322"/>
      <c r="AK301" s="323">
        <f>COUNTIFS(tblPiNAnalysis[[#This Row],[Highest PiN greater than 90% of total affected population]:[Manual Flag]],"Flagged")</f>
        <v>0</v>
      </c>
      <c r="AL301" s="324" t="str">
        <f>IF(tblPiNAnalysis[[#This Row],['# Flags]]&gt;0, "Flagged", "")</f>
        <v/>
      </c>
    </row>
    <row r="302" spans="1:38" ht="23.1" hidden="1" customHeight="1" x14ac:dyDescent="0.2">
      <c r="A302" s="309" t="str">
        <f>_xlfn.CONCAT(IF(tblPiNAnalysis[[#This Row],[Population Group]]="", "",tblPiNAnalysis[[#This Row],[Population Group]] ), _xlfn.IFS(tblPiNAnalysis[[#This Row],[Admin 2 P-Code]]&lt;&gt;"", tblPiNAnalysis[[#This Row],[Admin 2 P-Code]], tblPiNAnalysis[[#This Row],[Admin 1 P-Code]]&lt;&gt;"", tblPiNAnalysis[[#This Row],[Admin 1 P-Code]]))</f>
        <v>IDPsSD09048</v>
      </c>
      <c r="B302" s="245" t="s">
        <v>197</v>
      </c>
      <c r="C302" s="246" t="s">
        <v>126</v>
      </c>
      <c r="D302" s="247" t="s">
        <v>392</v>
      </c>
      <c r="E302" s="246" t="s">
        <v>393</v>
      </c>
      <c r="F302" s="248">
        <v>19378</v>
      </c>
      <c r="G302" s="248" t="s">
        <v>88</v>
      </c>
      <c r="H302" s="310"/>
      <c r="I302" s="311"/>
      <c r="J302" s="312"/>
      <c r="K302" s="311"/>
      <c r="L302" s="311"/>
      <c r="M302" s="312"/>
      <c r="N302" s="312">
        <f>_xlfn.XLOOKUP(CONCATENATE(tblPiNAnalysis[[#This Row],[Admin 2 P-Code]],tblPiNAnalysis[[#This Row],[Population Group]]),'Overall severity &amp; PIN Analysis'!A:A,'Overall severity &amp; PIN Analysis'!P:P,0,0)</f>
        <v>5926</v>
      </c>
      <c r="O302" s="311"/>
      <c r="P302" s="312"/>
      <c r="Q302" s="312"/>
      <c r="R302" s="312"/>
      <c r="S302" s="312"/>
      <c r="T302" s="313" t="str">
        <f>IF(tblPiNAnalysis[[#This Row],[Site Management ]]="", "", tblPiNAnalysis[[#This Row],[Site Management ]]/tblPiNAnalysis[[#This Row],[Total Population]])</f>
        <v/>
      </c>
      <c r="U302" s="314" t="str">
        <f>IF(tblPiNAnalysis[[#This Row],[Education]]="", "", tblPiNAnalysis[[#This Row],[Education]]/tblPiNAnalysis[[#This Row],[Total Population]])</f>
        <v/>
      </c>
      <c r="V302" s="314" t="str">
        <f>IF(tblPiNAnalysis[[#This Row],[Food Security and Livlihoods]]="", "", tblPiNAnalysis[[#This Row],[Food Security and Livlihoods]]/tblPiNAnalysis[[#This Row],[Total Population]])</f>
        <v/>
      </c>
      <c r="W302" s="315" t="str">
        <f>IF(tblPiNAnalysis[[#This Row],[Health ]]="", "", tblPiNAnalysis[[#This Row],[Health ]]/tblPiNAnalysis[[#This Row],[Total Population]])</f>
        <v/>
      </c>
      <c r="X302" s="314" t="str">
        <f>IF(tblPiNAnalysis[[#This Row],[Nutrition]]="", "", tblPiNAnalysis[[#This Row],[Nutrition]]/tblPiNAnalysis[[#This Row],[Total Population]])</f>
        <v/>
      </c>
      <c r="Y302" s="314" t="str">
        <f>IF(tblPiNAnalysis[[#This Row],[Protection]]="", "", tblPiNAnalysis[[#This Row],[Protection]]/tblPiNAnalysis[[#This Row],[Total Population]])</f>
        <v/>
      </c>
      <c r="Z302" s="316">
        <f>IF(tblPiNAnalysis[[#This Row],[Shelter NFI ]]="", "", tblPiNAnalysis[[#This Row],[Shelter NFI ]]/tblPiNAnalysis[[#This Row],[Total Population]])</f>
        <v>0.30581071317989472</v>
      </c>
      <c r="AA302" s="317" t="str">
        <f>IF(tblPiNAnalysis[[#This Row],[WASH]]="", "", tblPiNAnalysis[[#This Row],[WASH]]/tblPiNAnalysis[[#This Row],[Total Population]])</f>
        <v/>
      </c>
      <c r="AB302" s="318" t="str">
        <f>IFERROR(IF(tblPiNAnalysis[[#This Row],[CP]]="", "", MROUND(tblPiNAnalysis[[#This Row],[CP]]/tblPiNAnalysis[[#This Row],[Total Population]], 0.05)), "")</f>
        <v/>
      </c>
      <c r="AC302" s="314" t="str">
        <f>IFERROR(IF(tblPiNAnalysis[[#This Row],[GBV]]="", "", MROUND(tblPiNAnalysis[[#This Row],[GBV]]/tblPiNAnalysis[[#This Row],[Total Population]], 0.05)), "")</f>
        <v/>
      </c>
      <c r="AD302" s="314" t="str">
        <f>IFERROR(IF(tblPiNAnalysis[[#This Row],[Mine Action]]="", "", MROUND(tblPiNAnalysis[[#This Row],[Mine Action]]/tblPiNAnalysis[[#This Row],[Total Population]], 0.05)), "")</f>
        <v/>
      </c>
      <c r="AE302" s="314" t="str">
        <f>IFERROR(IF(tblPiNAnalysis[[#This Row],[General Protection]]="", "", MROUND(tblPiNAnalysis[[#This Row],[General Protection]]/tblPiNAnalysis[[#This Row],[Total Population]], 0.05)), "")</f>
        <v/>
      </c>
      <c r="AF302" s="319">
        <f>IFERROR(LARGE(tblPiNAnalysis[[#This Row],[Site Management ]:[General Protection]], 1), "")</f>
        <v>5926</v>
      </c>
      <c r="AG302" s="320">
        <f>IF(tblPiNAnalysis[[#This Row],[Highest PiN]]="", "",tblPiNAnalysis[[#This Row],[Highest PiN]]/ tblPiNAnalysis[[#This Row],[Total Population]])</f>
        <v>0.30581071317989472</v>
      </c>
      <c r="AH302" s="320" t="str">
        <f>IFERROR(IF(tblPiNAnalysis[[#This Row],[Highest PiN]]="", "", IF(tblPiNAnalysis[[#This Row],[Highest sector(s'') PiN %]]&gt;=flag_pin_perc, "Flagged", "")), "")</f>
        <v/>
      </c>
      <c r="AI302" s="321"/>
      <c r="AJ302" s="322"/>
      <c r="AK302" s="323">
        <f>COUNTIFS(tblPiNAnalysis[[#This Row],[Highest PiN greater than 90% of total affected population]:[Manual Flag]],"Flagged")</f>
        <v>0</v>
      </c>
      <c r="AL302" s="324" t="str">
        <f>IF(tblPiNAnalysis[[#This Row],['# Flags]]&gt;0, "Flagged", "")</f>
        <v/>
      </c>
    </row>
    <row r="303" spans="1:38" ht="23.1" customHeight="1" x14ac:dyDescent="0.2">
      <c r="A303" s="309" t="str">
        <f>_xlfn.CONCAT(IF(tblPiNAnalysis[[#This Row],[Population Group]]="", "",tblPiNAnalysis[[#This Row],[Population Group]] ), _xlfn.IFS(tblPiNAnalysis[[#This Row],[Admin 2 P-Code]]&lt;&gt;"", tblPiNAnalysis[[#This Row],[Admin 2 P-Code]], tblPiNAnalysis[[#This Row],[Admin 1 P-Code]]&lt;&gt;"", tblPiNAnalysis[[#This Row],[Admin 1 P-Code]]))</f>
        <v>Non-hosting PopulationSD09048</v>
      </c>
      <c r="B303" s="245" t="s">
        <v>197</v>
      </c>
      <c r="C303" s="246" t="s">
        <v>126</v>
      </c>
      <c r="D303" s="247" t="s">
        <v>392</v>
      </c>
      <c r="E303" s="246" t="s">
        <v>393</v>
      </c>
      <c r="F303" s="248">
        <v>196952</v>
      </c>
      <c r="G303" s="248" t="s">
        <v>568</v>
      </c>
      <c r="H303" s="310"/>
      <c r="I303" s="311"/>
      <c r="J303" s="312"/>
      <c r="K303" s="311"/>
      <c r="L303" s="311"/>
      <c r="M303" s="312"/>
      <c r="N303" s="312">
        <f>_xlfn.XLOOKUP(CONCATENATE(tblPiNAnalysis[[#This Row],[Admin 2 P-Code]],tblPiNAnalysis[[#This Row],[Population Group]]),'Overall severity &amp; PIN Analysis'!A:A,'Overall severity &amp; PIN Analysis'!P:P,0,0)</f>
        <v>8031</v>
      </c>
      <c r="O303" s="311"/>
      <c r="P303" s="312"/>
      <c r="Q303" s="312"/>
      <c r="R303" s="312"/>
      <c r="S303" s="312"/>
      <c r="T303" s="313" t="str">
        <f>IF(tblPiNAnalysis[[#This Row],[Site Management ]]="", "", tblPiNAnalysis[[#This Row],[Site Management ]]/tblPiNAnalysis[[#This Row],[Total Population]])</f>
        <v/>
      </c>
      <c r="U303" s="314" t="str">
        <f>IF(tblPiNAnalysis[[#This Row],[Education]]="", "", tblPiNAnalysis[[#This Row],[Education]]/tblPiNAnalysis[[#This Row],[Total Population]])</f>
        <v/>
      </c>
      <c r="V303" s="314" t="str">
        <f>IF(tblPiNAnalysis[[#This Row],[Food Security and Livlihoods]]="", "", tblPiNAnalysis[[#This Row],[Food Security and Livlihoods]]/tblPiNAnalysis[[#This Row],[Total Population]])</f>
        <v/>
      </c>
      <c r="W303" s="315" t="str">
        <f>IF(tblPiNAnalysis[[#This Row],[Health ]]="", "", tblPiNAnalysis[[#This Row],[Health ]]/tblPiNAnalysis[[#This Row],[Total Population]])</f>
        <v/>
      </c>
      <c r="X303" s="314" t="str">
        <f>IF(tblPiNAnalysis[[#This Row],[Nutrition]]="", "", tblPiNAnalysis[[#This Row],[Nutrition]]/tblPiNAnalysis[[#This Row],[Total Population]])</f>
        <v/>
      </c>
      <c r="Y303" s="314" t="str">
        <f>IF(tblPiNAnalysis[[#This Row],[Protection]]="", "", tblPiNAnalysis[[#This Row],[Protection]]/tblPiNAnalysis[[#This Row],[Total Population]])</f>
        <v/>
      </c>
      <c r="Z303" s="316">
        <f>IF(tblPiNAnalysis[[#This Row],[Shelter NFI ]]="", "", tblPiNAnalysis[[#This Row],[Shelter NFI ]]/tblPiNAnalysis[[#This Row],[Total Population]])</f>
        <v>4.0776432836427151E-2</v>
      </c>
      <c r="AA303" s="317" t="str">
        <f>IF(tblPiNAnalysis[[#This Row],[WASH]]="", "", tblPiNAnalysis[[#This Row],[WASH]]/tblPiNAnalysis[[#This Row],[Total Population]])</f>
        <v/>
      </c>
      <c r="AB303" s="318" t="str">
        <f>IFERROR(IF(tblPiNAnalysis[[#This Row],[CP]]="", "", MROUND(tblPiNAnalysis[[#This Row],[CP]]/tblPiNAnalysis[[#This Row],[Total Population]], 0.05)), "")</f>
        <v/>
      </c>
      <c r="AC303" s="314" t="str">
        <f>IFERROR(IF(tblPiNAnalysis[[#This Row],[GBV]]="", "", MROUND(tblPiNAnalysis[[#This Row],[GBV]]/tblPiNAnalysis[[#This Row],[Total Population]], 0.05)), "")</f>
        <v/>
      </c>
      <c r="AD303" s="314" t="str">
        <f>IFERROR(IF(tblPiNAnalysis[[#This Row],[Mine Action]]="", "", MROUND(tblPiNAnalysis[[#This Row],[Mine Action]]/tblPiNAnalysis[[#This Row],[Total Population]], 0.05)), "")</f>
        <v/>
      </c>
      <c r="AE303" s="314" t="str">
        <f>IFERROR(IF(tblPiNAnalysis[[#This Row],[General Protection]]="", "", MROUND(tblPiNAnalysis[[#This Row],[General Protection]]/tblPiNAnalysis[[#This Row],[Total Population]], 0.05)), "")</f>
        <v/>
      </c>
      <c r="AF303" s="319">
        <f>IFERROR(LARGE(tblPiNAnalysis[[#This Row],[Site Management ]:[General Protection]], 1), "")</f>
        <v>8031</v>
      </c>
      <c r="AG303" s="320">
        <f>IF(tblPiNAnalysis[[#This Row],[Highest PiN]]="", "",tblPiNAnalysis[[#This Row],[Highest PiN]]/ tblPiNAnalysis[[#This Row],[Total Population]])</f>
        <v>4.0776432836427151E-2</v>
      </c>
      <c r="AH303" s="320" t="str">
        <f>IFERROR(IF(tblPiNAnalysis[[#This Row],[Highest PiN]]="", "", IF(tblPiNAnalysis[[#This Row],[Highest sector(s'') PiN %]]&gt;=flag_pin_perc, "Flagged", "")), "")</f>
        <v/>
      </c>
      <c r="AI303" s="321"/>
      <c r="AJ303" s="322"/>
      <c r="AK303" s="323">
        <f>COUNTIFS(tblPiNAnalysis[[#This Row],[Highest PiN greater than 90% of total affected population]:[Manual Flag]],"Flagged")</f>
        <v>0</v>
      </c>
      <c r="AL303" s="324" t="str">
        <f>IF(tblPiNAnalysis[[#This Row],['# Flags]]&gt;0, "Flagged", "")</f>
        <v/>
      </c>
    </row>
    <row r="304" spans="1:38" ht="23.1" hidden="1" customHeight="1" x14ac:dyDescent="0.2">
      <c r="A304" s="309" t="str">
        <f>_xlfn.CONCAT(IF(tblPiNAnalysis[[#This Row],[Population Group]]="", "",tblPiNAnalysis[[#This Row],[Population Group]] ), _xlfn.IFS(tblPiNAnalysis[[#This Row],[Admin 2 P-Code]]&lt;&gt;"", tblPiNAnalysis[[#This Row],[Admin 2 P-Code]], tblPiNAnalysis[[#This Row],[Admin 1 P-Code]]&lt;&gt;"", tblPiNAnalysis[[#This Row],[Admin 1 P-Code]]))</f>
        <v>Host CommunitySD09049</v>
      </c>
      <c r="B304" s="245" t="s">
        <v>197</v>
      </c>
      <c r="C304" s="246" t="s">
        <v>126</v>
      </c>
      <c r="D304" s="247" t="s">
        <v>394</v>
      </c>
      <c r="E304" s="246" t="s">
        <v>395</v>
      </c>
      <c r="F304" s="248">
        <v>0</v>
      </c>
      <c r="G304" s="248" t="s">
        <v>87</v>
      </c>
      <c r="H304" s="310"/>
      <c r="I304" s="311"/>
      <c r="J304" s="312"/>
      <c r="K304" s="311"/>
      <c r="L304" s="311"/>
      <c r="M304" s="312"/>
      <c r="N304" s="312">
        <f>_xlfn.XLOOKUP(CONCATENATE(tblPiNAnalysis[[#This Row],[Admin 2 P-Code]],tblPiNAnalysis[[#This Row],[Population Group]]),'Overall severity &amp; PIN Analysis'!A:A,'Overall severity &amp; PIN Analysis'!P:P,0,0)</f>
        <v>0</v>
      </c>
      <c r="O304" s="311"/>
      <c r="P304" s="312"/>
      <c r="Q304" s="312"/>
      <c r="R304" s="312"/>
      <c r="S304" s="312"/>
      <c r="T304" s="313" t="str">
        <f>IF(tblPiNAnalysis[[#This Row],[Site Management ]]="", "", tblPiNAnalysis[[#This Row],[Site Management ]]/tblPiNAnalysis[[#This Row],[Total Population]])</f>
        <v/>
      </c>
      <c r="U304" s="314" t="str">
        <f>IF(tblPiNAnalysis[[#This Row],[Education]]="", "", tblPiNAnalysis[[#This Row],[Education]]/tblPiNAnalysis[[#This Row],[Total Population]])</f>
        <v/>
      </c>
      <c r="V304" s="314" t="str">
        <f>IF(tblPiNAnalysis[[#This Row],[Food Security and Livlihoods]]="", "", tblPiNAnalysis[[#This Row],[Food Security and Livlihoods]]/tblPiNAnalysis[[#This Row],[Total Population]])</f>
        <v/>
      </c>
      <c r="W304" s="315" t="str">
        <f>IF(tblPiNAnalysis[[#This Row],[Health ]]="", "", tblPiNAnalysis[[#This Row],[Health ]]/tblPiNAnalysis[[#This Row],[Total Population]])</f>
        <v/>
      </c>
      <c r="X304" s="314" t="str">
        <f>IF(tblPiNAnalysis[[#This Row],[Nutrition]]="", "", tblPiNAnalysis[[#This Row],[Nutrition]]/tblPiNAnalysis[[#This Row],[Total Population]])</f>
        <v/>
      </c>
      <c r="Y304" s="314" t="str">
        <f>IF(tblPiNAnalysis[[#This Row],[Protection]]="", "", tblPiNAnalysis[[#This Row],[Protection]]/tblPiNAnalysis[[#This Row],[Total Population]])</f>
        <v/>
      </c>
      <c r="Z304" s="316" t="e">
        <f>IF(tblPiNAnalysis[[#This Row],[Shelter NFI ]]="", "", tblPiNAnalysis[[#This Row],[Shelter NFI ]]/tblPiNAnalysis[[#This Row],[Total Population]])</f>
        <v>#DIV/0!</v>
      </c>
      <c r="AA304" s="317" t="str">
        <f>IF(tblPiNAnalysis[[#This Row],[WASH]]="", "", tblPiNAnalysis[[#This Row],[WASH]]/tblPiNAnalysis[[#This Row],[Total Population]])</f>
        <v/>
      </c>
      <c r="AB304" s="318" t="str">
        <f>IFERROR(IF(tblPiNAnalysis[[#This Row],[CP]]="", "", MROUND(tblPiNAnalysis[[#This Row],[CP]]/tblPiNAnalysis[[#This Row],[Total Population]], 0.05)), "")</f>
        <v/>
      </c>
      <c r="AC304" s="314" t="str">
        <f>IFERROR(IF(tblPiNAnalysis[[#This Row],[GBV]]="", "", MROUND(tblPiNAnalysis[[#This Row],[GBV]]/tblPiNAnalysis[[#This Row],[Total Population]], 0.05)), "")</f>
        <v/>
      </c>
      <c r="AD304" s="314" t="str">
        <f>IFERROR(IF(tblPiNAnalysis[[#This Row],[Mine Action]]="", "", MROUND(tblPiNAnalysis[[#This Row],[Mine Action]]/tblPiNAnalysis[[#This Row],[Total Population]], 0.05)), "")</f>
        <v/>
      </c>
      <c r="AE304" s="314" t="str">
        <f>IFERROR(IF(tblPiNAnalysis[[#This Row],[General Protection]]="", "", MROUND(tblPiNAnalysis[[#This Row],[General Protection]]/tblPiNAnalysis[[#This Row],[Total Population]], 0.05)), "")</f>
        <v/>
      </c>
      <c r="AF304" s="319">
        <f>IFERROR(LARGE(tblPiNAnalysis[[#This Row],[Site Management ]:[General Protection]], 1), "")</f>
        <v>0</v>
      </c>
      <c r="AG304" s="320" t="e">
        <f>IF(tblPiNAnalysis[[#This Row],[Highest PiN]]="", "",tblPiNAnalysis[[#This Row],[Highest PiN]]/ tblPiNAnalysis[[#This Row],[Total Population]])</f>
        <v>#DIV/0!</v>
      </c>
      <c r="AH304" s="320" t="str">
        <f>IFERROR(IF(tblPiNAnalysis[[#This Row],[Highest PiN]]="", "", IF(tblPiNAnalysis[[#This Row],[Highest sector(s'') PiN %]]&gt;=flag_pin_perc, "Flagged", "")), "")</f>
        <v/>
      </c>
      <c r="AI304" s="321"/>
      <c r="AJ304" s="322"/>
      <c r="AK304" s="323">
        <f>COUNTIFS(tblPiNAnalysis[[#This Row],[Highest PiN greater than 90% of total affected population]:[Manual Flag]],"Flagged")</f>
        <v>0</v>
      </c>
      <c r="AL304" s="324" t="str">
        <f>IF(tblPiNAnalysis[[#This Row],['# Flags]]&gt;0, "Flagged", "")</f>
        <v/>
      </c>
    </row>
    <row r="305" spans="1:38" ht="23.1" hidden="1" customHeight="1" x14ac:dyDescent="0.2">
      <c r="A305" s="309" t="str">
        <f>_xlfn.CONCAT(IF(tblPiNAnalysis[[#This Row],[Population Group]]="", "",tblPiNAnalysis[[#This Row],[Population Group]] ), _xlfn.IFS(tblPiNAnalysis[[#This Row],[Admin 2 P-Code]]&lt;&gt;"", tblPiNAnalysis[[#This Row],[Admin 2 P-Code]], tblPiNAnalysis[[#This Row],[Admin 1 P-Code]]&lt;&gt;"", tblPiNAnalysis[[#This Row],[Admin 1 P-Code]]))</f>
        <v>IDPsSD09049</v>
      </c>
      <c r="B305" s="245" t="s">
        <v>197</v>
      </c>
      <c r="C305" s="246" t="s">
        <v>126</v>
      </c>
      <c r="D305" s="247" t="s">
        <v>394</v>
      </c>
      <c r="E305" s="246" t="s">
        <v>395</v>
      </c>
      <c r="F305" s="248">
        <v>54837</v>
      </c>
      <c r="G305" s="248" t="s">
        <v>88</v>
      </c>
      <c r="H305" s="310"/>
      <c r="I305" s="311"/>
      <c r="J305" s="312"/>
      <c r="K305" s="311"/>
      <c r="L305" s="311"/>
      <c r="M305" s="312"/>
      <c r="N305" s="312">
        <f>_xlfn.XLOOKUP(CONCATENATE(tblPiNAnalysis[[#This Row],[Admin 2 P-Code]],tblPiNAnalysis[[#This Row],[Population Group]]),'Overall severity &amp; PIN Analysis'!A:A,'Overall severity &amp; PIN Analysis'!P:P,0,0)</f>
        <v>43010</v>
      </c>
      <c r="O305" s="311"/>
      <c r="P305" s="312"/>
      <c r="Q305" s="312"/>
      <c r="R305" s="312"/>
      <c r="S305" s="312"/>
      <c r="T305" s="313" t="str">
        <f>IF(tblPiNAnalysis[[#This Row],[Site Management ]]="", "", tblPiNAnalysis[[#This Row],[Site Management ]]/tblPiNAnalysis[[#This Row],[Total Population]])</f>
        <v/>
      </c>
      <c r="U305" s="314" t="str">
        <f>IF(tblPiNAnalysis[[#This Row],[Education]]="", "", tblPiNAnalysis[[#This Row],[Education]]/tblPiNAnalysis[[#This Row],[Total Population]])</f>
        <v/>
      </c>
      <c r="V305" s="314" t="str">
        <f>IF(tblPiNAnalysis[[#This Row],[Food Security and Livlihoods]]="", "", tblPiNAnalysis[[#This Row],[Food Security and Livlihoods]]/tblPiNAnalysis[[#This Row],[Total Population]])</f>
        <v/>
      </c>
      <c r="W305" s="315" t="str">
        <f>IF(tblPiNAnalysis[[#This Row],[Health ]]="", "", tblPiNAnalysis[[#This Row],[Health ]]/tblPiNAnalysis[[#This Row],[Total Population]])</f>
        <v/>
      </c>
      <c r="X305" s="314" t="str">
        <f>IF(tblPiNAnalysis[[#This Row],[Nutrition]]="", "", tblPiNAnalysis[[#This Row],[Nutrition]]/tblPiNAnalysis[[#This Row],[Total Population]])</f>
        <v/>
      </c>
      <c r="Y305" s="314" t="str">
        <f>IF(tblPiNAnalysis[[#This Row],[Protection]]="", "", tblPiNAnalysis[[#This Row],[Protection]]/tblPiNAnalysis[[#This Row],[Total Population]])</f>
        <v/>
      </c>
      <c r="Z305" s="316">
        <f>IF(tblPiNAnalysis[[#This Row],[Shelter NFI ]]="", "", tblPiNAnalysis[[#This Row],[Shelter NFI ]]/tblPiNAnalysis[[#This Row],[Total Population]])</f>
        <v>0.78432445246822402</v>
      </c>
      <c r="AA305" s="317" t="str">
        <f>IF(tblPiNAnalysis[[#This Row],[WASH]]="", "", tblPiNAnalysis[[#This Row],[WASH]]/tblPiNAnalysis[[#This Row],[Total Population]])</f>
        <v/>
      </c>
      <c r="AB305" s="318" t="str">
        <f>IFERROR(IF(tblPiNAnalysis[[#This Row],[CP]]="", "", MROUND(tblPiNAnalysis[[#This Row],[CP]]/tblPiNAnalysis[[#This Row],[Total Population]], 0.05)), "")</f>
        <v/>
      </c>
      <c r="AC305" s="314" t="str">
        <f>IFERROR(IF(tblPiNAnalysis[[#This Row],[GBV]]="", "", MROUND(tblPiNAnalysis[[#This Row],[GBV]]/tblPiNAnalysis[[#This Row],[Total Population]], 0.05)), "")</f>
        <v/>
      </c>
      <c r="AD305" s="314" t="str">
        <f>IFERROR(IF(tblPiNAnalysis[[#This Row],[Mine Action]]="", "", MROUND(tblPiNAnalysis[[#This Row],[Mine Action]]/tblPiNAnalysis[[#This Row],[Total Population]], 0.05)), "")</f>
        <v/>
      </c>
      <c r="AE305" s="314" t="str">
        <f>IFERROR(IF(tblPiNAnalysis[[#This Row],[General Protection]]="", "", MROUND(tblPiNAnalysis[[#This Row],[General Protection]]/tblPiNAnalysis[[#This Row],[Total Population]], 0.05)), "")</f>
        <v/>
      </c>
      <c r="AF305" s="319">
        <f>IFERROR(LARGE(tblPiNAnalysis[[#This Row],[Site Management ]:[General Protection]], 1), "")</f>
        <v>43010</v>
      </c>
      <c r="AG305" s="320">
        <f>IF(tblPiNAnalysis[[#This Row],[Highest PiN]]="", "",tblPiNAnalysis[[#This Row],[Highest PiN]]/ tblPiNAnalysis[[#This Row],[Total Population]])</f>
        <v>0.78432445246822402</v>
      </c>
      <c r="AH305" s="320" t="str">
        <f>IFERROR(IF(tblPiNAnalysis[[#This Row],[Highest PiN]]="", "", IF(tblPiNAnalysis[[#This Row],[Highest sector(s'') PiN %]]&gt;=flag_pin_perc, "Flagged", "")), "")</f>
        <v/>
      </c>
      <c r="AI305" s="321"/>
      <c r="AJ305" s="322"/>
      <c r="AK305" s="323">
        <f>COUNTIFS(tblPiNAnalysis[[#This Row],[Highest PiN greater than 90% of total affected population]:[Manual Flag]],"Flagged")</f>
        <v>0</v>
      </c>
      <c r="AL305" s="324" t="str">
        <f>IF(tblPiNAnalysis[[#This Row],['# Flags]]&gt;0, "Flagged", "")</f>
        <v/>
      </c>
    </row>
    <row r="306" spans="1:38" ht="23.1" customHeight="1" x14ac:dyDescent="0.2">
      <c r="A306" s="309" t="str">
        <f>_xlfn.CONCAT(IF(tblPiNAnalysis[[#This Row],[Population Group]]="", "",tblPiNAnalysis[[#This Row],[Population Group]] ), _xlfn.IFS(tblPiNAnalysis[[#This Row],[Admin 2 P-Code]]&lt;&gt;"", tblPiNAnalysis[[#This Row],[Admin 2 P-Code]], tblPiNAnalysis[[#This Row],[Admin 1 P-Code]]&lt;&gt;"", tblPiNAnalysis[[#This Row],[Admin 1 P-Code]]))</f>
        <v>Non-hosting PopulationSD09049</v>
      </c>
      <c r="B306" s="245" t="s">
        <v>197</v>
      </c>
      <c r="C306" s="246" t="s">
        <v>126</v>
      </c>
      <c r="D306" s="247" t="s">
        <v>394</v>
      </c>
      <c r="E306" s="246" t="s">
        <v>395</v>
      </c>
      <c r="F306" s="248">
        <v>0</v>
      </c>
      <c r="G306" s="248" t="s">
        <v>568</v>
      </c>
      <c r="H306" s="310"/>
      <c r="I306" s="311"/>
      <c r="J306" s="312"/>
      <c r="K306" s="311"/>
      <c r="L306" s="311"/>
      <c r="M306" s="312"/>
      <c r="N306" s="312">
        <f>_xlfn.XLOOKUP(CONCATENATE(tblPiNAnalysis[[#This Row],[Admin 2 P-Code]],tblPiNAnalysis[[#This Row],[Population Group]]),'Overall severity &amp; PIN Analysis'!A:A,'Overall severity &amp; PIN Analysis'!P:P,0,0)</f>
        <v>0</v>
      </c>
      <c r="O306" s="311"/>
      <c r="P306" s="312"/>
      <c r="Q306" s="312"/>
      <c r="R306" s="312"/>
      <c r="S306" s="312"/>
      <c r="T306" s="313" t="str">
        <f>IF(tblPiNAnalysis[[#This Row],[Site Management ]]="", "", tblPiNAnalysis[[#This Row],[Site Management ]]/tblPiNAnalysis[[#This Row],[Total Population]])</f>
        <v/>
      </c>
      <c r="U306" s="314" t="str">
        <f>IF(tblPiNAnalysis[[#This Row],[Education]]="", "", tblPiNAnalysis[[#This Row],[Education]]/tblPiNAnalysis[[#This Row],[Total Population]])</f>
        <v/>
      </c>
      <c r="V306" s="314" t="str">
        <f>IF(tblPiNAnalysis[[#This Row],[Food Security and Livlihoods]]="", "", tblPiNAnalysis[[#This Row],[Food Security and Livlihoods]]/tblPiNAnalysis[[#This Row],[Total Population]])</f>
        <v/>
      </c>
      <c r="W306" s="315" t="str">
        <f>IF(tblPiNAnalysis[[#This Row],[Health ]]="", "", tblPiNAnalysis[[#This Row],[Health ]]/tblPiNAnalysis[[#This Row],[Total Population]])</f>
        <v/>
      </c>
      <c r="X306" s="314" t="str">
        <f>IF(tblPiNAnalysis[[#This Row],[Nutrition]]="", "", tblPiNAnalysis[[#This Row],[Nutrition]]/tblPiNAnalysis[[#This Row],[Total Population]])</f>
        <v/>
      </c>
      <c r="Y306" s="314" t="str">
        <f>IF(tblPiNAnalysis[[#This Row],[Protection]]="", "", tblPiNAnalysis[[#This Row],[Protection]]/tblPiNAnalysis[[#This Row],[Total Population]])</f>
        <v/>
      </c>
      <c r="Z306" s="316" t="e">
        <f>IF(tblPiNAnalysis[[#This Row],[Shelter NFI ]]="", "", tblPiNAnalysis[[#This Row],[Shelter NFI ]]/tblPiNAnalysis[[#This Row],[Total Population]])</f>
        <v>#DIV/0!</v>
      </c>
      <c r="AA306" s="317" t="str">
        <f>IF(tblPiNAnalysis[[#This Row],[WASH]]="", "", tblPiNAnalysis[[#This Row],[WASH]]/tblPiNAnalysis[[#This Row],[Total Population]])</f>
        <v/>
      </c>
      <c r="AB306" s="318" t="str">
        <f>IFERROR(IF(tblPiNAnalysis[[#This Row],[CP]]="", "", MROUND(tblPiNAnalysis[[#This Row],[CP]]/tblPiNAnalysis[[#This Row],[Total Population]], 0.05)), "")</f>
        <v/>
      </c>
      <c r="AC306" s="314" t="str">
        <f>IFERROR(IF(tblPiNAnalysis[[#This Row],[GBV]]="", "", MROUND(tblPiNAnalysis[[#This Row],[GBV]]/tblPiNAnalysis[[#This Row],[Total Population]], 0.05)), "")</f>
        <v/>
      </c>
      <c r="AD306" s="314" t="str">
        <f>IFERROR(IF(tblPiNAnalysis[[#This Row],[Mine Action]]="", "", MROUND(tblPiNAnalysis[[#This Row],[Mine Action]]/tblPiNAnalysis[[#This Row],[Total Population]], 0.05)), "")</f>
        <v/>
      </c>
      <c r="AE306" s="314" t="str">
        <f>IFERROR(IF(tblPiNAnalysis[[#This Row],[General Protection]]="", "", MROUND(tblPiNAnalysis[[#This Row],[General Protection]]/tblPiNAnalysis[[#This Row],[Total Population]], 0.05)), "")</f>
        <v/>
      </c>
      <c r="AF306" s="319">
        <f>IFERROR(LARGE(tblPiNAnalysis[[#This Row],[Site Management ]:[General Protection]], 1), "")</f>
        <v>0</v>
      </c>
      <c r="AG306" s="320" t="e">
        <f>IF(tblPiNAnalysis[[#This Row],[Highest PiN]]="", "",tblPiNAnalysis[[#This Row],[Highest PiN]]/ tblPiNAnalysis[[#This Row],[Total Population]])</f>
        <v>#DIV/0!</v>
      </c>
      <c r="AH306" s="320" t="str">
        <f>IFERROR(IF(tblPiNAnalysis[[#This Row],[Highest PiN]]="", "", IF(tblPiNAnalysis[[#This Row],[Highest sector(s'') PiN %]]&gt;=flag_pin_perc, "Flagged", "")), "")</f>
        <v/>
      </c>
      <c r="AI306" s="321"/>
      <c r="AJ306" s="322"/>
      <c r="AK306" s="323">
        <f>COUNTIFS(tblPiNAnalysis[[#This Row],[Highest PiN greater than 90% of total affected population]:[Manual Flag]],"Flagged")</f>
        <v>0</v>
      </c>
      <c r="AL306" s="324" t="str">
        <f>IF(tblPiNAnalysis[[#This Row],['# Flags]]&gt;0, "Flagged", "")</f>
        <v/>
      </c>
    </row>
    <row r="307" spans="1:38" ht="23.1" hidden="1" customHeight="1" x14ac:dyDescent="0.2">
      <c r="A307" s="309" t="str">
        <f>_xlfn.CONCAT(IF(tblPiNAnalysis[[#This Row],[Population Group]]="", "",tblPiNAnalysis[[#This Row],[Population Group]] ), _xlfn.IFS(tblPiNAnalysis[[#This Row],[Admin 2 P-Code]]&lt;&gt;"", tblPiNAnalysis[[#This Row],[Admin 2 P-Code]], tblPiNAnalysis[[#This Row],[Admin 1 P-Code]]&lt;&gt;"", tblPiNAnalysis[[#This Row],[Admin 1 P-Code]]))</f>
        <v>Host CommunitySD09050</v>
      </c>
      <c r="B307" s="245" t="s">
        <v>197</v>
      </c>
      <c r="C307" s="246" t="s">
        <v>126</v>
      </c>
      <c r="D307" s="247" t="s">
        <v>396</v>
      </c>
      <c r="E307" s="246" t="s">
        <v>397</v>
      </c>
      <c r="F307" s="248">
        <v>16497</v>
      </c>
      <c r="G307" s="248" t="s">
        <v>87</v>
      </c>
      <c r="H307" s="310"/>
      <c r="I307" s="311"/>
      <c r="J307" s="312"/>
      <c r="K307" s="311"/>
      <c r="L307" s="311"/>
      <c r="M307" s="312"/>
      <c r="N307" s="312">
        <f>_xlfn.XLOOKUP(CONCATENATE(tblPiNAnalysis[[#This Row],[Admin 2 P-Code]],tblPiNAnalysis[[#This Row],[Population Group]]),'Overall severity &amp; PIN Analysis'!A:A,'Overall severity &amp; PIN Analysis'!P:P,0,0)</f>
        <v>9643</v>
      </c>
      <c r="O307" s="311"/>
      <c r="P307" s="312"/>
      <c r="Q307" s="312"/>
      <c r="R307" s="312"/>
      <c r="S307" s="312"/>
      <c r="T307" s="313" t="str">
        <f>IF(tblPiNAnalysis[[#This Row],[Site Management ]]="", "", tblPiNAnalysis[[#This Row],[Site Management ]]/tblPiNAnalysis[[#This Row],[Total Population]])</f>
        <v/>
      </c>
      <c r="U307" s="314" t="str">
        <f>IF(tblPiNAnalysis[[#This Row],[Education]]="", "", tblPiNAnalysis[[#This Row],[Education]]/tblPiNAnalysis[[#This Row],[Total Population]])</f>
        <v/>
      </c>
      <c r="V307" s="314" t="str">
        <f>IF(tblPiNAnalysis[[#This Row],[Food Security and Livlihoods]]="", "", tblPiNAnalysis[[#This Row],[Food Security and Livlihoods]]/tblPiNAnalysis[[#This Row],[Total Population]])</f>
        <v/>
      </c>
      <c r="W307" s="315" t="str">
        <f>IF(tblPiNAnalysis[[#This Row],[Health ]]="", "", tblPiNAnalysis[[#This Row],[Health ]]/tblPiNAnalysis[[#This Row],[Total Population]])</f>
        <v/>
      </c>
      <c r="X307" s="314" t="str">
        <f>IF(tblPiNAnalysis[[#This Row],[Nutrition]]="", "", tblPiNAnalysis[[#This Row],[Nutrition]]/tblPiNAnalysis[[#This Row],[Total Population]])</f>
        <v/>
      </c>
      <c r="Y307" s="314" t="str">
        <f>IF(tblPiNAnalysis[[#This Row],[Protection]]="", "", tblPiNAnalysis[[#This Row],[Protection]]/tblPiNAnalysis[[#This Row],[Total Population]])</f>
        <v/>
      </c>
      <c r="Z307" s="316">
        <f>IF(tblPiNAnalysis[[#This Row],[Shelter NFI ]]="", "", tblPiNAnalysis[[#This Row],[Shelter NFI ]]/tblPiNAnalysis[[#This Row],[Total Population]])</f>
        <v>0.58453052070073341</v>
      </c>
      <c r="AA307" s="317" t="str">
        <f>IF(tblPiNAnalysis[[#This Row],[WASH]]="", "", tblPiNAnalysis[[#This Row],[WASH]]/tblPiNAnalysis[[#This Row],[Total Population]])</f>
        <v/>
      </c>
      <c r="AB307" s="318" t="str">
        <f>IFERROR(IF(tblPiNAnalysis[[#This Row],[CP]]="", "", MROUND(tblPiNAnalysis[[#This Row],[CP]]/tblPiNAnalysis[[#This Row],[Total Population]], 0.05)), "")</f>
        <v/>
      </c>
      <c r="AC307" s="314" t="str">
        <f>IFERROR(IF(tblPiNAnalysis[[#This Row],[GBV]]="", "", MROUND(tblPiNAnalysis[[#This Row],[GBV]]/tblPiNAnalysis[[#This Row],[Total Population]], 0.05)), "")</f>
        <v/>
      </c>
      <c r="AD307" s="314" t="str">
        <f>IFERROR(IF(tblPiNAnalysis[[#This Row],[Mine Action]]="", "", MROUND(tblPiNAnalysis[[#This Row],[Mine Action]]/tblPiNAnalysis[[#This Row],[Total Population]], 0.05)), "")</f>
        <v/>
      </c>
      <c r="AE307" s="314" t="str">
        <f>IFERROR(IF(tblPiNAnalysis[[#This Row],[General Protection]]="", "", MROUND(tblPiNAnalysis[[#This Row],[General Protection]]/tblPiNAnalysis[[#This Row],[Total Population]], 0.05)), "")</f>
        <v/>
      </c>
      <c r="AF307" s="319">
        <f>IFERROR(LARGE(tblPiNAnalysis[[#This Row],[Site Management ]:[General Protection]], 1), "")</f>
        <v>9643</v>
      </c>
      <c r="AG307" s="320">
        <f>IF(tblPiNAnalysis[[#This Row],[Highest PiN]]="", "",tblPiNAnalysis[[#This Row],[Highest PiN]]/ tblPiNAnalysis[[#This Row],[Total Population]])</f>
        <v>0.58453052070073341</v>
      </c>
      <c r="AH307" s="320" t="str">
        <f>IFERROR(IF(tblPiNAnalysis[[#This Row],[Highest PiN]]="", "", IF(tblPiNAnalysis[[#This Row],[Highest sector(s'') PiN %]]&gt;=flag_pin_perc, "Flagged", "")), "")</f>
        <v/>
      </c>
      <c r="AI307" s="321"/>
      <c r="AJ307" s="322"/>
      <c r="AK307" s="323">
        <f>COUNTIFS(tblPiNAnalysis[[#This Row],[Highest PiN greater than 90% of total affected population]:[Manual Flag]],"Flagged")</f>
        <v>0</v>
      </c>
      <c r="AL307" s="324" t="str">
        <f>IF(tblPiNAnalysis[[#This Row],['# Flags]]&gt;0, "Flagged", "")</f>
        <v/>
      </c>
    </row>
    <row r="308" spans="1:38" ht="23.1" hidden="1" customHeight="1" x14ac:dyDescent="0.2">
      <c r="A308" s="309" t="str">
        <f>_xlfn.CONCAT(IF(tblPiNAnalysis[[#This Row],[Population Group]]="", "",tblPiNAnalysis[[#This Row],[Population Group]] ), _xlfn.IFS(tblPiNAnalysis[[#This Row],[Admin 2 P-Code]]&lt;&gt;"", tblPiNAnalysis[[#This Row],[Admin 2 P-Code]], tblPiNAnalysis[[#This Row],[Admin 1 P-Code]]&lt;&gt;"", tblPiNAnalysis[[#This Row],[Admin 1 P-Code]]))</f>
        <v>IDPsSD09050</v>
      </c>
      <c r="B308" s="245" t="s">
        <v>197</v>
      </c>
      <c r="C308" s="246" t="s">
        <v>126</v>
      </c>
      <c r="D308" s="247" t="s">
        <v>396</v>
      </c>
      <c r="E308" s="246" t="s">
        <v>397</v>
      </c>
      <c r="F308" s="248">
        <v>16970</v>
      </c>
      <c r="G308" s="248" t="s">
        <v>88</v>
      </c>
      <c r="H308" s="310"/>
      <c r="I308" s="311"/>
      <c r="J308" s="312"/>
      <c r="K308" s="311"/>
      <c r="L308" s="311"/>
      <c r="M308" s="312"/>
      <c r="N308" s="312">
        <f>_xlfn.XLOOKUP(CONCATENATE(tblPiNAnalysis[[#This Row],[Admin 2 P-Code]],tblPiNAnalysis[[#This Row],[Population Group]]),'Overall severity &amp; PIN Analysis'!A:A,'Overall severity &amp; PIN Analysis'!P:P,0,0)</f>
        <v>9920</v>
      </c>
      <c r="O308" s="311"/>
      <c r="P308" s="312"/>
      <c r="Q308" s="312"/>
      <c r="R308" s="312"/>
      <c r="S308" s="312"/>
      <c r="T308" s="313" t="str">
        <f>IF(tblPiNAnalysis[[#This Row],[Site Management ]]="", "", tblPiNAnalysis[[#This Row],[Site Management ]]/tblPiNAnalysis[[#This Row],[Total Population]])</f>
        <v/>
      </c>
      <c r="U308" s="314" t="str">
        <f>IF(tblPiNAnalysis[[#This Row],[Education]]="", "", tblPiNAnalysis[[#This Row],[Education]]/tblPiNAnalysis[[#This Row],[Total Population]])</f>
        <v/>
      </c>
      <c r="V308" s="314" t="str">
        <f>IF(tblPiNAnalysis[[#This Row],[Food Security and Livlihoods]]="", "", tblPiNAnalysis[[#This Row],[Food Security and Livlihoods]]/tblPiNAnalysis[[#This Row],[Total Population]])</f>
        <v/>
      </c>
      <c r="W308" s="315" t="str">
        <f>IF(tblPiNAnalysis[[#This Row],[Health ]]="", "", tblPiNAnalysis[[#This Row],[Health ]]/tblPiNAnalysis[[#This Row],[Total Population]])</f>
        <v/>
      </c>
      <c r="X308" s="314" t="str">
        <f>IF(tblPiNAnalysis[[#This Row],[Nutrition]]="", "", tblPiNAnalysis[[#This Row],[Nutrition]]/tblPiNAnalysis[[#This Row],[Total Population]])</f>
        <v/>
      </c>
      <c r="Y308" s="314" t="str">
        <f>IF(tblPiNAnalysis[[#This Row],[Protection]]="", "", tblPiNAnalysis[[#This Row],[Protection]]/tblPiNAnalysis[[#This Row],[Total Population]])</f>
        <v/>
      </c>
      <c r="Z308" s="316">
        <f>IF(tblPiNAnalysis[[#This Row],[Shelter NFI ]]="", "", tblPiNAnalysis[[#This Row],[Shelter NFI ]]/tblPiNAnalysis[[#This Row],[Total Population]])</f>
        <v>0.58456098998232175</v>
      </c>
      <c r="AA308" s="317" t="str">
        <f>IF(tblPiNAnalysis[[#This Row],[WASH]]="", "", tblPiNAnalysis[[#This Row],[WASH]]/tblPiNAnalysis[[#This Row],[Total Population]])</f>
        <v/>
      </c>
      <c r="AB308" s="318" t="str">
        <f>IFERROR(IF(tblPiNAnalysis[[#This Row],[CP]]="", "", MROUND(tblPiNAnalysis[[#This Row],[CP]]/tblPiNAnalysis[[#This Row],[Total Population]], 0.05)), "")</f>
        <v/>
      </c>
      <c r="AC308" s="314" t="str">
        <f>IFERROR(IF(tblPiNAnalysis[[#This Row],[GBV]]="", "", MROUND(tblPiNAnalysis[[#This Row],[GBV]]/tblPiNAnalysis[[#This Row],[Total Population]], 0.05)), "")</f>
        <v/>
      </c>
      <c r="AD308" s="314" t="str">
        <f>IFERROR(IF(tblPiNAnalysis[[#This Row],[Mine Action]]="", "", MROUND(tblPiNAnalysis[[#This Row],[Mine Action]]/tblPiNAnalysis[[#This Row],[Total Population]], 0.05)), "")</f>
        <v/>
      </c>
      <c r="AE308" s="314" t="str">
        <f>IFERROR(IF(tblPiNAnalysis[[#This Row],[General Protection]]="", "", MROUND(tblPiNAnalysis[[#This Row],[General Protection]]/tblPiNAnalysis[[#This Row],[Total Population]], 0.05)), "")</f>
        <v/>
      </c>
      <c r="AF308" s="319">
        <f>IFERROR(LARGE(tblPiNAnalysis[[#This Row],[Site Management ]:[General Protection]], 1), "")</f>
        <v>9920</v>
      </c>
      <c r="AG308" s="320">
        <f>IF(tblPiNAnalysis[[#This Row],[Highest PiN]]="", "",tblPiNAnalysis[[#This Row],[Highest PiN]]/ tblPiNAnalysis[[#This Row],[Total Population]])</f>
        <v>0.58456098998232175</v>
      </c>
      <c r="AH308" s="320" t="str">
        <f>IFERROR(IF(tblPiNAnalysis[[#This Row],[Highest PiN]]="", "", IF(tblPiNAnalysis[[#This Row],[Highest sector(s'') PiN %]]&gt;=flag_pin_perc, "Flagged", "")), "")</f>
        <v/>
      </c>
      <c r="AI308" s="321"/>
      <c r="AJ308" s="322"/>
      <c r="AK308" s="323">
        <f>COUNTIFS(tblPiNAnalysis[[#This Row],[Highest PiN greater than 90% of total affected population]:[Manual Flag]],"Flagged")</f>
        <v>0</v>
      </c>
      <c r="AL308" s="324" t="str">
        <f>IF(tblPiNAnalysis[[#This Row],['# Flags]]&gt;0, "Flagged", "")</f>
        <v/>
      </c>
    </row>
    <row r="309" spans="1:38" ht="23.1" customHeight="1" x14ac:dyDescent="0.2">
      <c r="A309" s="309" t="str">
        <f>_xlfn.CONCAT(IF(tblPiNAnalysis[[#This Row],[Population Group]]="", "",tblPiNAnalysis[[#This Row],[Population Group]] ), _xlfn.IFS(tblPiNAnalysis[[#This Row],[Admin 2 P-Code]]&lt;&gt;"", tblPiNAnalysis[[#This Row],[Admin 2 P-Code]], tblPiNAnalysis[[#This Row],[Admin 1 P-Code]]&lt;&gt;"", tblPiNAnalysis[[#This Row],[Admin 1 P-Code]]))</f>
        <v>Non-hosting PopulationSD09050</v>
      </c>
      <c r="B309" s="245" t="s">
        <v>197</v>
      </c>
      <c r="C309" s="246" t="s">
        <v>126</v>
      </c>
      <c r="D309" s="247" t="s">
        <v>396</v>
      </c>
      <c r="E309" s="246" t="s">
        <v>397</v>
      </c>
      <c r="F309" s="248">
        <v>340156</v>
      </c>
      <c r="G309" s="248" t="s">
        <v>568</v>
      </c>
      <c r="H309" s="310"/>
      <c r="I309" s="311"/>
      <c r="J309" s="312"/>
      <c r="K309" s="311"/>
      <c r="L309" s="311"/>
      <c r="M309" s="312"/>
      <c r="N309" s="312">
        <f>_xlfn.XLOOKUP(CONCATENATE(tblPiNAnalysis[[#This Row],[Admin 2 P-Code]],tblPiNAnalysis[[#This Row],[Population Group]]),'Overall severity &amp; PIN Analysis'!A:A,'Overall severity &amp; PIN Analysis'!P:P,0,0)</f>
        <v>8372</v>
      </c>
      <c r="O309" s="311"/>
      <c r="P309" s="312"/>
      <c r="Q309" s="312"/>
      <c r="R309" s="312"/>
      <c r="S309" s="312"/>
      <c r="T309" s="313" t="str">
        <f>IF(tblPiNAnalysis[[#This Row],[Site Management ]]="", "", tblPiNAnalysis[[#This Row],[Site Management ]]/tblPiNAnalysis[[#This Row],[Total Population]])</f>
        <v/>
      </c>
      <c r="U309" s="314" t="str">
        <f>IF(tblPiNAnalysis[[#This Row],[Education]]="", "", tblPiNAnalysis[[#This Row],[Education]]/tblPiNAnalysis[[#This Row],[Total Population]])</f>
        <v/>
      </c>
      <c r="V309" s="314" t="str">
        <f>IF(tblPiNAnalysis[[#This Row],[Food Security and Livlihoods]]="", "", tblPiNAnalysis[[#This Row],[Food Security and Livlihoods]]/tblPiNAnalysis[[#This Row],[Total Population]])</f>
        <v/>
      </c>
      <c r="W309" s="315" t="str">
        <f>IF(tblPiNAnalysis[[#This Row],[Health ]]="", "", tblPiNAnalysis[[#This Row],[Health ]]/tblPiNAnalysis[[#This Row],[Total Population]])</f>
        <v/>
      </c>
      <c r="X309" s="314" t="str">
        <f>IF(tblPiNAnalysis[[#This Row],[Nutrition]]="", "", tblPiNAnalysis[[#This Row],[Nutrition]]/tblPiNAnalysis[[#This Row],[Total Population]])</f>
        <v/>
      </c>
      <c r="Y309" s="314" t="str">
        <f>IF(tblPiNAnalysis[[#This Row],[Protection]]="", "", tblPiNAnalysis[[#This Row],[Protection]]/tblPiNAnalysis[[#This Row],[Total Population]])</f>
        <v/>
      </c>
      <c r="Z309" s="316">
        <f>IF(tblPiNAnalysis[[#This Row],[Shelter NFI ]]="", "", tblPiNAnalysis[[#This Row],[Shelter NFI ]]/tblPiNAnalysis[[#This Row],[Total Population]])</f>
        <v>2.4612236738437657E-2</v>
      </c>
      <c r="AA309" s="317" t="str">
        <f>IF(tblPiNAnalysis[[#This Row],[WASH]]="", "", tblPiNAnalysis[[#This Row],[WASH]]/tblPiNAnalysis[[#This Row],[Total Population]])</f>
        <v/>
      </c>
      <c r="AB309" s="318" t="str">
        <f>IFERROR(IF(tblPiNAnalysis[[#This Row],[CP]]="", "", MROUND(tblPiNAnalysis[[#This Row],[CP]]/tblPiNAnalysis[[#This Row],[Total Population]], 0.05)), "")</f>
        <v/>
      </c>
      <c r="AC309" s="314" t="str">
        <f>IFERROR(IF(tblPiNAnalysis[[#This Row],[GBV]]="", "", MROUND(tblPiNAnalysis[[#This Row],[GBV]]/tblPiNAnalysis[[#This Row],[Total Population]], 0.05)), "")</f>
        <v/>
      </c>
      <c r="AD309" s="314" t="str">
        <f>IFERROR(IF(tblPiNAnalysis[[#This Row],[Mine Action]]="", "", MROUND(tblPiNAnalysis[[#This Row],[Mine Action]]/tblPiNAnalysis[[#This Row],[Total Population]], 0.05)), "")</f>
        <v/>
      </c>
      <c r="AE309" s="314" t="str">
        <f>IFERROR(IF(tblPiNAnalysis[[#This Row],[General Protection]]="", "", MROUND(tblPiNAnalysis[[#This Row],[General Protection]]/tblPiNAnalysis[[#This Row],[Total Population]], 0.05)), "")</f>
        <v/>
      </c>
      <c r="AF309" s="319">
        <f>IFERROR(LARGE(tblPiNAnalysis[[#This Row],[Site Management ]:[General Protection]], 1), "")</f>
        <v>8372</v>
      </c>
      <c r="AG309" s="320">
        <f>IF(tblPiNAnalysis[[#This Row],[Highest PiN]]="", "",tblPiNAnalysis[[#This Row],[Highest PiN]]/ tblPiNAnalysis[[#This Row],[Total Population]])</f>
        <v>2.4612236738437657E-2</v>
      </c>
      <c r="AH309" s="320" t="str">
        <f>IFERROR(IF(tblPiNAnalysis[[#This Row],[Highest PiN]]="", "", IF(tblPiNAnalysis[[#This Row],[Highest sector(s'') PiN %]]&gt;=flag_pin_perc, "Flagged", "")), "")</f>
        <v/>
      </c>
      <c r="AI309" s="321"/>
      <c r="AJ309" s="322"/>
      <c r="AK309" s="323">
        <f>COUNTIFS(tblPiNAnalysis[[#This Row],[Highest PiN greater than 90% of total affected population]:[Manual Flag]],"Flagged")</f>
        <v>0</v>
      </c>
      <c r="AL309" s="324" t="str">
        <f>IF(tblPiNAnalysis[[#This Row],['# Flags]]&gt;0, "Flagged", "")</f>
        <v/>
      </c>
    </row>
    <row r="310" spans="1:38" ht="23.1" hidden="1" customHeight="1" x14ac:dyDescent="0.2">
      <c r="A310" s="309" t="str">
        <f>_xlfn.CONCAT(IF(tblPiNAnalysis[[#This Row],[Population Group]]="", "",tblPiNAnalysis[[#This Row],[Population Group]] ), _xlfn.IFS(tblPiNAnalysis[[#This Row],[Admin 2 P-Code]]&lt;&gt;"", tblPiNAnalysis[[#This Row],[Admin 2 P-Code]], tblPiNAnalysis[[#This Row],[Admin 1 P-Code]]&lt;&gt;"", tblPiNAnalysis[[#This Row],[Admin 1 P-Code]]))</f>
        <v>Host CommunitySD09051</v>
      </c>
      <c r="B310" s="245" t="s">
        <v>197</v>
      </c>
      <c r="C310" s="246" t="s">
        <v>126</v>
      </c>
      <c r="D310" s="247" t="s">
        <v>398</v>
      </c>
      <c r="E310" s="246" t="s">
        <v>399</v>
      </c>
      <c r="F310" s="248">
        <v>225999</v>
      </c>
      <c r="G310" s="248" t="s">
        <v>87</v>
      </c>
      <c r="H310" s="310"/>
      <c r="I310" s="311"/>
      <c r="J310" s="312"/>
      <c r="K310" s="311"/>
      <c r="L310" s="311"/>
      <c r="M310" s="312"/>
      <c r="N310" s="312">
        <f>_xlfn.XLOOKUP(CONCATENATE(tblPiNAnalysis[[#This Row],[Admin 2 P-Code]],tblPiNAnalysis[[#This Row],[Population Group]]),'Overall severity &amp; PIN Analysis'!A:A,'Overall severity &amp; PIN Analysis'!P:P,0,0)</f>
        <v>184424</v>
      </c>
      <c r="O310" s="311"/>
      <c r="P310" s="312"/>
      <c r="Q310" s="312"/>
      <c r="R310" s="312"/>
      <c r="S310" s="312"/>
      <c r="T310" s="313" t="str">
        <f>IF(tblPiNAnalysis[[#This Row],[Site Management ]]="", "", tblPiNAnalysis[[#This Row],[Site Management ]]/tblPiNAnalysis[[#This Row],[Total Population]])</f>
        <v/>
      </c>
      <c r="U310" s="314" t="str">
        <f>IF(tblPiNAnalysis[[#This Row],[Education]]="", "", tblPiNAnalysis[[#This Row],[Education]]/tblPiNAnalysis[[#This Row],[Total Population]])</f>
        <v/>
      </c>
      <c r="V310" s="314" t="str">
        <f>IF(tblPiNAnalysis[[#This Row],[Food Security and Livlihoods]]="", "", tblPiNAnalysis[[#This Row],[Food Security and Livlihoods]]/tblPiNAnalysis[[#This Row],[Total Population]])</f>
        <v/>
      </c>
      <c r="W310" s="315" t="str">
        <f>IF(tblPiNAnalysis[[#This Row],[Health ]]="", "", tblPiNAnalysis[[#This Row],[Health ]]/tblPiNAnalysis[[#This Row],[Total Population]])</f>
        <v/>
      </c>
      <c r="X310" s="314" t="str">
        <f>IF(tblPiNAnalysis[[#This Row],[Nutrition]]="", "", tblPiNAnalysis[[#This Row],[Nutrition]]/tblPiNAnalysis[[#This Row],[Total Population]])</f>
        <v/>
      </c>
      <c r="Y310" s="314" t="str">
        <f>IF(tblPiNAnalysis[[#This Row],[Protection]]="", "", tblPiNAnalysis[[#This Row],[Protection]]/tblPiNAnalysis[[#This Row],[Total Population]])</f>
        <v/>
      </c>
      <c r="Z310" s="316">
        <f>IF(tblPiNAnalysis[[#This Row],[Shelter NFI ]]="", "", tblPiNAnalysis[[#This Row],[Shelter NFI ]]/tblPiNAnalysis[[#This Row],[Total Population]])</f>
        <v>0.81603900902216386</v>
      </c>
      <c r="AA310" s="317" t="str">
        <f>IF(tblPiNAnalysis[[#This Row],[WASH]]="", "", tblPiNAnalysis[[#This Row],[WASH]]/tblPiNAnalysis[[#This Row],[Total Population]])</f>
        <v/>
      </c>
      <c r="AB310" s="318" t="str">
        <f>IFERROR(IF(tblPiNAnalysis[[#This Row],[CP]]="", "", MROUND(tblPiNAnalysis[[#This Row],[CP]]/tblPiNAnalysis[[#This Row],[Total Population]], 0.05)), "")</f>
        <v/>
      </c>
      <c r="AC310" s="314" t="str">
        <f>IFERROR(IF(tblPiNAnalysis[[#This Row],[GBV]]="", "", MROUND(tblPiNAnalysis[[#This Row],[GBV]]/tblPiNAnalysis[[#This Row],[Total Population]], 0.05)), "")</f>
        <v/>
      </c>
      <c r="AD310" s="314" t="str">
        <f>IFERROR(IF(tblPiNAnalysis[[#This Row],[Mine Action]]="", "", MROUND(tblPiNAnalysis[[#This Row],[Mine Action]]/tblPiNAnalysis[[#This Row],[Total Population]], 0.05)), "")</f>
        <v/>
      </c>
      <c r="AE310" s="314" t="str">
        <f>IFERROR(IF(tblPiNAnalysis[[#This Row],[General Protection]]="", "", MROUND(tblPiNAnalysis[[#This Row],[General Protection]]/tblPiNAnalysis[[#This Row],[Total Population]], 0.05)), "")</f>
        <v/>
      </c>
      <c r="AF310" s="319">
        <f>IFERROR(LARGE(tblPiNAnalysis[[#This Row],[Site Management ]:[General Protection]], 1), "")</f>
        <v>184424</v>
      </c>
      <c r="AG310" s="320">
        <f>IF(tblPiNAnalysis[[#This Row],[Highest PiN]]="", "",tblPiNAnalysis[[#This Row],[Highest PiN]]/ tblPiNAnalysis[[#This Row],[Total Population]])</f>
        <v>0.81603900902216386</v>
      </c>
      <c r="AH310" s="320" t="str">
        <f>IFERROR(IF(tblPiNAnalysis[[#This Row],[Highest PiN]]="", "", IF(tblPiNAnalysis[[#This Row],[Highest sector(s'') PiN %]]&gt;=flag_pin_perc, "Flagged", "")), "")</f>
        <v/>
      </c>
      <c r="AI310" s="321"/>
      <c r="AJ310" s="322"/>
      <c r="AK310" s="323">
        <f>COUNTIFS(tblPiNAnalysis[[#This Row],[Highest PiN greater than 90% of total affected population]:[Manual Flag]],"Flagged")</f>
        <v>0</v>
      </c>
      <c r="AL310" s="324" t="str">
        <f>IF(tblPiNAnalysis[[#This Row],['# Flags]]&gt;0, "Flagged", "")</f>
        <v/>
      </c>
    </row>
    <row r="311" spans="1:38" ht="23.1" hidden="1" customHeight="1" x14ac:dyDescent="0.2">
      <c r="A311" s="309" t="str">
        <f>_xlfn.CONCAT(IF(tblPiNAnalysis[[#This Row],[Population Group]]="", "",tblPiNAnalysis[[#This Row],[Population Group]] ), _xlfn.IFS(tblPiNAnalysis[[#This Row],[Admin 2 P-Code]]&lt;&gt;"", tblPiNAnalysis[[#This Row],[Admin 2 P-Code]], tblPiNAnalysis[[#This Row],[Admin 1 P-Code]]&lt;&gt;"", tblPiNAnalysis[[#This Row],[Admin 1 P-Code]]))</f>
        <v>IDPsSD09051</v>
      </c>
      <c r="B311" s="245" t="s">
        <v>197</v>
      </c>
      <c r="C311" s="246" t="s">
        <v>126</v>
      </c>
      <c r="D311" s="247" t="s">
        <v>398</v>
      </c>
      <c r="E311" s="246" t="s">
        <v>399</v>
      </c>
      <c r="F311" s="248">
        <v>133362</v>
      </c>
      <c r="G311" s="248" t="s">
        <v>88</v>
      </c>
      <c r="H311" s="310"/>
      <c r="I311" s="311"/>
      <c r="J311" s="312"/>
      <c r="K311" s="311"/>
      <c r="L311" s="311"/>
      <c r="M311" s="312"/>
      <c r="N311" s="312">
        <f>_xlfn.XLOOKUP(CONCATENATE(tblPiNAnalysis[[#This Row],[Admin 2 P-Code]],tblPiNAnalysis[[#This Row],[Population Group]]),'Overall severity &amp; PIN Analysis'!A:A,'Overall severity &amp; PIN Analysis'!P:P,0,0)</f>
        <v>108828</v>
      </c>
      <c r="O311" s="311"/>
      <c r="P311" s="312"/>
      <c r="Q311" s="312"/>
      <c r="R311" s="312"/>
      <c r="S311" s="312"/>
      <c r="T311" s="313" t="str">
        <f>IF(tblPiNAnalysis[[#This Row],[Site Management ]]="", "", tblPiNAnalysis[[#This Row],[Site Management ]]/tblPiNAnalysis[[#This Row],[Total Population]])</f>
        <v/>
      </c>
      <c r="U311" s="314" t="str">
        <f>IF(tblPiNAnalysis[[#This Row],[Education]]="", "", tblPiNAnalysis[[#This Row],[Education]]/tblPiNAnalysis[[#This Row],[Total Population]])</f>
        <v/>
      </c>
      <c r="V311" s="314" t="str">
        <f>IF(tblPiNAnalysis[[#This Row],[Food Security and Livlihoods]]="", "", tblPiNAnalysis[[#This Row],[Food Security and Livlihoods]]/tblPiNAnalysis[[#This Row],[Total Population]])</f>
        <v/>
      </c>
      <c r="W311" s="315" t="str">
        <f>IF(tblPiNAnalysis[[#This Row],[Health ]]="", "", tblPiNAnalysis[[#This Row],[Health ]]/tblPiNAnalysis[[#This Row],[Total Population]])</f>
        <v/>
      </c>
      <c r="X311" s="314" t="str">
        <f>IF(tblPiNAnalysis[[#This Row],[Nutrition]]="", "", tblPiNAnalysis[[#This Row],[Nutrition]]/tblPiNAnalysis[[#This Row],[Total Population]])</f>
        <v/>
      </c>
      <c r="Y311" s="314" t="str">
        <f>IF(tblPiNAnalysis[[#This Row],[Protection]]="", "", tblPiNAnalysis[[#This Row],[Protection]]/tblPiNAnalysis[[#This Row],[Total Population]])</f>
        <v/>
      </c>
      <c r="Z311" s="316">
        <f>IF(tblPiNAnalysis[[#This Row],[Shelter NFI ]]="", "", tblPiNAnalysis[[#This Row],[Shelter NFI ]]/tblPiNAnalysis[[#This Row],[Total Population]])</f>
        <v>0.81603455257119717</v>
      </c>
      <c r="AA311" s="317" t="str">
        <f>IF(tblPiNAnalysis[[#This Row],[WASH]]="", "", tblPiNAnalysis[[#This Row],[WASH]]/tblPiNAnalysis[[#This Row],[Total Population]])</f>
        <v/>
      </c>
      <c r="AB311" s="318" t="str">
        <f>IFERROR(IF(tblPiNAnalysis[[#This Row],[CP]]="", "", MROUND(tblPiNAnalysis[[#This Row],[CP]]/tblPiNAnalysis[[#This Row],[Total Population]], 0.05)), "")</f>
        <v/>
      </c>
      <c r="AC311" s="314" t="str">
        <f>IFERROR(IF(tblPiNAnalysis[[#This Row],[GBV]]="", "", MROUND(tblPiNAnalysis[[#This Row],[GBV]]/tblPiNAnalysis[[#This Row],[Total Population]], 0.05)), "")</f>
        <v/>
      </c>
      <c r="AD311" s="314" t="str">
        <f>IFERROR(IF(tblPiNAnalysis[[#This Row],[Mine Action]]="", "", MROUND(tblPiNAnalysis[[#This Row],[Mine Action]]/tblPiNAnalysis[[#This Row],[Total Population]], 0.05)), "")</f>
        <v/>
      </c>
      <c r="AE311" s="314" t="str">
        <f>IFERROR(IF(tblPiNAnalysis[[#This Row],[General Protection]]="", "", MROUND(tblPiNAnalysis[[#This Row],[General Protection]]/tblPiNAnalysis[[#This Row],[Total Population]], 0.05)), "")</f>
        <v/>
      </c>
      <c r="AF311" s="319">
        <f>IFERROR(LARGE(tblPiNAnalysis[[#This Row],[Site Management ]:[General Protection]], 1), "")</f>
        <v>108828</v>
      </c>
      <c r="AG311" s="320">
        <f>IF(tblPiNAnalysis[[#This Row],[Highest PiN]]="", "",tblPiNAnalysis[[#This Row],[Highest PiN]]/ tblPiNAnalysis[[#This Row],[Total Population]])</f>
        <v>0.81603455257119717</v>
      </c>
      <c r="AH311" s="320" t="str">
        <f>IFERROR(IF(tblPiNAnalysis[[#This Row],[Highest PiN]]="", "", IF(tblPiNAnalysis[[#This Row],[Highest sector(s'') PiN %]]&gt;=flag_pin_perc, "Flagged", "")), "")</f>
        <v/>
      </c>
      <c r="AI311" s="321"/>
      <c r="AJ311" s="322"/>
      <c r="AK311" s="323">
        <f>COUNTIFS(tblPiNAnalysis[[#This Row],[Highest PiN greater than 90% of total affected population]:[Manual Flag]],"Flagged")</f>
        <v>0</v>
      </c>
      <c r="AL311" s="324" t="str">
        <f>IF(tblPiNAnalysis[[#This Row],['# Flags]]&gt;0, "Flagged", "")</f>
        <v/>
      </c>
    </row>
    <row r="312" spans="1:38" ht="23.1" customHeight="1" x14ac:dyDescent="0.2">
      <c r="A312" s="309" t="str">
        <f>_xlfn.CONCAT(IF(tblPiNAnalysis[[#This Row],[Population Group]]="", "",tblPiNAnalysis[[#This Row],[Population Group]] ), _xlfn.IFS(tblPiNAnalysis[[#This Row],[Admin 2 P-Code]]&lt;&gt;"", tblPiNAnalysis[[#This Row],[Admin 2 P-Code]], tblPiNAnalysis[[#This Row],[Admin 1 P-Code]]&lt;&gt;"", tblPiNAnalysis[[#This Row],[Admin 1 P-Code]]))</f>
        <v>Non-hosting PopulationSD09051</v>
      </c>
      <c r="B312" s="245" t="s">
        <v>197</v>
      </c>
      <c r="C312" s="246" t="s">
        <v>126</v>
      </c>
      <c r="D312" s="247" t="s">
        <v>398</v>
      </c>
      <c r="E312" s="246" t="s">
        <v>399</v>
      </c>
      <c r="F312" s="248">
        <v>0</v>
      </c>
      <c r="G312" s="248" t="s">
        <v>568</v>
      </c>
      <c r="H312" s="310"/>
      <c r="I312" s="311"/>
      <c r="J312" s="312"/>
      <c r="K312" s="311"/>
      <c r="L312" s="311"/>
      <c r="M312" s="312"/>
      <c r="N312" s="312">
        <f>_xlfn.XLOOKUP(CONCATENATE(tblPiNAnalysis[[#This Row],[Admin 2 P-Code]],tblPiNAnalysis[[#This Row],[Population Group]]),'Overall severity &amp; PIN Analysis'!A:A,'Overall severity &amp; PIN Analysis'!P:P,0,0)</f>
        <v>0</v>
      </c>
      <c r="O312" s="311"/>
      <c r="P312" s="312"/>
      <c r="Q312" s="312"/>
      <c r="R312" s="312"/>
      <c r="S312" s="312"/>
      <c r="T312" s="313" t="str">
        <f>IF(tblPiNAnalysis[[#This Row],[Site Management ]]="", "", tblPiNAnalysis[[#This Row],[Site Management ]]/tblPiNAnalysis[[#This Row],[Total Population]])</f>
        <v/>
      </c>
      <c r="U312" s="314" t="str">
        <f>IF(tblPiNAnalysis[[#This Row],[Education]]="", "", tblPiNAnalysis[[#This Row],[Education]]/tblPiNAnalysis[[#This Row],[Total Population]])</f>
        <v/>
      </c>
      <c r="V312" s="314" t="str">
        <f>IF(tblPiNAnalysis[[#This Row],[Food Security and Livlihoods]]="", "", tblPiNAnalysis[[#This Row],[Food Security and Livlihoods]]/tblPiNAnalysis[[#This Row],[Total Population]])</f>
        <v/>
      </c>
      <c r="W312" s="315" t="str">
        <f>IF(tblPiNAnalysis[[#This Row],[Health ]]="", "", tblPiNAnalysis[[#This Row],[Health ]]/tblPiNAnalysis[[#This Row],[Total Population]])</f>
        <v/>
      </c>
      <c r="X312" s="314" t="str">
        <f>IF(tblPiNAnalysis[[#This Row],[Nutrition]]="", "", tblPiNAnalysis[[#This Row],[Nutrition]]/tblPiNAnalysis[[#This Row],[Total Population]])</f>
        <v/>
      </c>
      <c r="Y312" s="314" t="str">
        <f>IF(tblPiNAnalysis[[#This Row],[Protection]]="", "", tblPiNAnalysis[[#This Row],[Protection]]/tblPiNAnalysis[[#This Row],[Total Population]])</f>
        <v/>
      </c>
      <c r="Z312" s="316" t="e">
        <f>IF(tblPiNAnalysis[[#This Row],[Shelter NFI ]]="", "", tblPiNAnalysis[[#This Row],[Shelter NFI ]]/tblPiNAnalysis[[#This Row],[Total Population]])</f>
        <v>#DIV/0!</v>
      </c>
      <c r="AA312" s="317" t="str">
        <f>IF(tblPiNAnalysis[[#This Row],[WASH]]="", "", tblPiNAnalysis[[#This Row],[WASH]]/tblPiNAnalysis[[#This Row],[Total Population]])</f>
        <v/>
      </c>
      <c r="AB312" s="318" t="str">
        <f>IFERROR(IF(tblPiNAnalysis[[#This Row],[CP]]="", "", MROUND(tblPiNAnalysis[[#This Row],[CP]]/tblPiNAnalysis[[#This Row],[Total Population]], 0.05)), "")</f>
        <v/>
      </c>
      <c r="AC312" s="314" t="str">
        <f>IFERROR(IF(tblPiNAnalysis[[#This Row],[GBV]]="", "", MROUND(tblPiNAnalysis[[#This Row],[GBV]]/tblPiNAnalysis[[#This Row],[Total Population]], 0.05)), "")</f>
        <v/>
      </c>
      <c r="AD312" s="314" t="str">
        <f>IFERROR(IF(tblPiNAnalysis[[#This Row],[Mine Action]]="", "", MROUND(tblPiNAnalysis[[#This Row],[Mine Action]]/tblPiNAnalysis[[#This Row],[Total Population]], 0.05)), "")</f>
        <v/>
      </c>
      <c r="AE312" s="314" t="str">
        <f>IFERROR(IF(tblPiNAnalysis[[#This Row],[General Protection]]="", "", MROUND(tblPiNAnalysis[[#This Row],[General Protection]]/tblPiNAnalysis[[#This Row],[Total Population]], 0.05)), "")</f>
        <v/>
      </c>
      <c r="AF312" s="319">
        <f>IFERROR(LARGE(tblPiNAnalysis[[#This Row],[Site Management ]:[General Protection]], 1), "")</f>
        <v>0</v>
      </c>
      <c r="AG312" s="320" t="e">
        <f>IF(tblPiNAnalysis[[#This Row],[Highest PiN]]="", "",tblPiNAnalysis[[#This Row],[Highest PiN]]/ tblPiNAnalysis[[#This Row],[Total Population]])</f>
        <v>#DIV/0!</v>
      </c>
      <c r="AH312" s="320" t="str">
        <f>IFERROR(IF(tblPiNAnalysis[[#This Row],[Highest PiN]]="", "", IF(tblPiNAnalysis[[#This Row],[Highest sector(s'') PiN %]]&gt;=flag_pin_perc, "Flagged", "")), "")</f>
        <v/>
      </c>
      <c r="AI312" s="321"/>
      <c r="AJ312" s="322"/>
      <c r="AK312" s="323">
        <f>COUNTIFS(tblPiNAnalysis[[#This Row],[Highest PiN greater than 90% of total affected population]:[Manual Flag]],"Flagged")</f>
        <v>0</v>
      </c>
      <c r="AL312" s="324" t="str">
        <f>IF(tblPiNAnalysis[[#This Row],['# Flags]]&gt;0, "Flagged", "")</f>
        <v/>
      </c>
    </row>
    <row r="313" spans="1:38" ht="23.1" hidden="1" customHeight="1" x14ac:dyDescent="0.2">
      <c r="A313" s="309" t="str">
        <f>_xlfn.CONCAT(IF(tblPiNAnalysis[[#This Row],[Population Group]]="", "",tblPiNAnalysis[[#This Row],[Population Group]] ), _xlfn.IFS(tblPiNAnalysis[[#This Row],[Admin 2 P-Code]]&lt;&gt;"", tblPiNAnalysis[[#This Row],[Admin 2 P-Code]], tblPiNAnalysis[[#This Row],[Admin 1 P-Code]]&lt;&gt;"", tblPiNAnalysis[[#This Row],[Admin 1 P-Code]]))</f>
        <v>Host CommunitySD09052</v>
      </c>
      <c r="B313" s="245" t="s">
        <v>197</v>
      </c>
      <c r="C313" s="246" t="s">
        <v>126</v>
      </c>
      <c r="D313" s="247" t="s">
        <v>400</v>
      </c>
      <c r="E313" s="246" t="s">
        <v>401</v>
      </c>
      <c r="F313" s="248">
        <v>26540</v>
      </c>
      <c r="G313" s="248" t="s">
        <v>87</v>
      </c>
      <c r="H313" s="310"/>
      <c r="I313" s="311"/>
      <c r="J313" s="312"/>
      <c r="K313" s="311"/>
      <c r="L313" s="311"/>
      <c r="M313" s="312"/>
      <c r="N313" s="312">
        <f>_xlfn.XLOOKUP(CONCATENATE(tblPiNAnalysis[[#This Row],[Admin 2 P-Code]],tblPiNAnalysis[[#This Row],[Population Group]]),'Overall severity &amp; PIN Analysis'!A:A,'Overall severity &amp; PIN Analysis'!P:P,0,0)</f>
        <v>16883</v>
      </c>
      <c r="O313" s="311"/>
      <c r="P313" s="312"/>
      <c r="Q313" s="312"/>
      <c r="R313" s="312"/>
      <c r="S313" s="312"/>
      <c r="T313" s="313" t="str">
        <f>IF(tblPiNAnalysis[[#This Row],[Site Management ]]="", "", tblPiNAnalysis[[#This Row],[Site Management ]]/tblPiNAnalysis[[#This Row],[Total Population]])</f>
        <v/>
      </c>
      <c r="U313" s="314" t="str">
        <f>IF(tblPiNAnalysis[[#This Row],[Education]]="", "", tblPiNAnalysis[[#This Row],[Education]]/tblPiNAnalysis[[#This Row],[Total Population]])</f>
        <v/>
      </c>
      <c r="V313" s="314" t="str">
        <f>IF(tblPiNAnalysis[[#This Row],[Food Security and Livlihoods]]="", "", tblPiNAnalysis[[#This Row],[Food Security and Livlihoods]]/tblPiNAnalysis[[#This Row],[Total Population]])</f>
        <v/>
      </c>
      <c r="W313" s="315" t="str">
        <f>IF(tblPiNAnalysis[[#This Row],[Health ]]="", "", tblPiNAnalysis[[#This Row],[Health ]]/tblPiNAnalysis[[#This Row],[Total Population]])</f>
        <v/>
      </c>
      <c r="X313" s="314" t="str">
        <f>IF(tblPiNAnalysis[[#This Row],[Nutrition]]="", "", tblPiNAnalysis[[#This Row],[Nutrition]]/tblPiNAnalysis[[#This Row],[Total Population]])</f>
        <v/>
      </c>
      <c r="Y313" s="314" t="str">
        <f>IF(tblPiNAnalysis[[#This Row],[Protection]]="", "", tblPiNAnalysis[[#This Row],[Protection]]/tblPiNAnalysis[[#This Row],[Total Population]])</f>
        <v/>
      </c>
      <c r="Z313" s="316">
        <f>IF(tblPiNAnalysis[[#This Row],[Shelter NFI ]]="", "", tblPiNAnalysis[[#This Row],[Shelter NFI ]]/tblPiNAnalysis[[#This Row],[Total Population]])</f>
        <v>0.63613413715146949</v>
      </c>
      <c r="AA313" s="317" t="str">
        <f>IF(tblPiNAnalysis[[#This Row],[WASH]]="", "", tblPiNAnalysis[[#This Row],[WASH]]/tblPiNAnalysis[[#This Row],[Total Population]])</f>
        <v/>
      </c>
      <c r="AB313" s="318" t="str">
        <f>IFERROR(IF(tblPiNAnalysis[[#This Row],[CP]]="", "", MROUND(tblPiNAnalysis[[#This Row],[CP]]/tblPiNAnalysis[[#This Row],[Total Population]], 0.05)), "")</f>
        <v/>
      </c>
      <c r="AC313" s="314" t="str">
        <f>IFERROR(IF(tblPiNAnalysis[[#This Row],[GBV]]="", "", MROUND(tblPiNAnalysis[[#This Row],[GBV]]/tblPiNAnalysis[[#This Row],[Total Population]], 0.05)), "")</f>
        <v/>
      </c>
      <c r="AD313" s="314" t="str">
        <f>IFERROR(IF(tblPiNAnalysis[[#This Row],[Mine Action]]="", "", MROUND(tblPiNAnalysis[[#This Row],[Mine Action]]/tblPiNAnalysis[[#This Row],[Total Population]], 0.05)), "")</f>
        <v/>
      </c>
      <c r="AE313" s="314" t="str">
        <f>IFERROR(IF(tblPiNAnalysis[[#This Row],[General Protection]]="", "", MROUND(tblPiNAnalysis[[#This Row],[General Protection]]/tblPiNAnalysis[[#This Row],[Total Population]], 0.05)), "")</f>
        <v/>
      </c>
      <c r="AF313" s="319">
        <f>IFERROR(LARGE(tblPiNAnalysis[[#This Row],[Site Management ]:[General Protection]], 1), "")</f>
        <v>16883</v>
      </c>
      <c r="AG313" s="320">
        <f>IF(tblPiNAnalysis[[#This Row],[Highest PiN]]="", "",tblPiNAnalysis[[#This Row],[Highest PiN]]/ tblPiNAnalysis[[#This Row],[Total Population]])</f>
        <v>0.63613413715146949</v>
      </c>
      <c r="AH313" s="320" t="str">
        <f>IFERROR(IF(tblPiNAnalysis[[#This Row],[Highest PiN]]="", "", IF(tblPiNAnalysis[[#This Row],[Highest sector(s'') PiN %]]&gt;=flag_pin_perc, "Flagged", "")), "")</f>
        <v/>
      </c>
      <c r="AI313" s="321"/>
      <c r="AJ313" s="322"/>
      <c r="AK313" s="323">
        <f>COUNTIFS(tblPiNAnalysis[[#This Row],[Highest PiN greater than 90% of total affected population]:[Manual Flag]],"Flagged")</f>
        <v>0</v>
      </c>
      <c r="AL313" s="324" t="str">
        <f>IF(tblPiNAnalysis[[#This Row],['# Flags]]&gt;0, "Flagged", "")</f>
        <v/>
      </c>
    </row>
    <row r="314" spans="1:38" ht="23.1" hidden="1" customHeight="1" x14ac:dyDescent="0.2">
      <c r="A314" s="309" t="str">
        <f>_xlfn.CONCAT(IF(tblPiNAnalysis[[#This Row],[Population Group]]="", "",tblPiNAnalysis[[#This Row],[Population Group]] ), _xlfn.IFS(tblPiNAnalysis[[#This Row],[Admin 2 P-Code]]&lt;&gt;"", tblPiNAnalysis[[#This Row],[Admin 2 P-Code]], tblPiNAnalysis[[#This Row],[Admin 1 P-Code]]&lt;&gt;"", tblPiNAnalysis[[#This Row],[Admin 1 P-Code]]))</f>
        <v>IDPsSD09052</v>
      </c>
      <c r="B314" s="245" t="s">
        <v>197</v>
      </c>
      <c r="C314" s="246" t="s">
        <v>126</v>
      </c>
      <c r="D314" s="247" t="s">
        <v>400</v>
      </c>
      <c r="E314" s="246" t="s">
        <v>401</v>
      </c>
      <c r="F314" s="248">
        <v>26377</v>
      </c>
      <c r="G314" s="248" t="s">
        <v>88</v>
      </c>
      <c r="H314" s="310"/>
      <c r="I314" s="311"/>
      <c r="J314" s="312"/>
      <c r="K314" s="311"/>
      <c r="L314" s="311"/>
      <c r="M314" s="312"/>
      <c r="N314" s="312">
        <f>_xlfn.XLOOKUP(CONCATENATE(tblPiNAnalysis[[#This Row],[Admin 2 P-Code]],tblPiNAnalysis[[#This Row],[Population Group]]),'Overall severity &amp; PIN Analysis'!A:A,'Overall severity &amp; PIN Analysis'!P:P,0,0)</f>
        <v>16779</v>
      </c>
      <c r="O314" s="311"/>
      <c r="P314" s="312"/>
      <c r="Q314" s="312"/>
      <c r="R314" s="312"/>
      <c r="S314" s="312"/>
      <c r="T314" s="313" t="str">
        <f>IF(tblPiNAnalysis[[#This Row],[Site Management ]]="", "", tblPiNAnalysis[[#This Row],[Site Management ]]/tblPiNAnalysis[[#This Row],[Total Population]])</f>
        <v/>
      </c>
      <c r="U314" s="314" t="str">
        <f>IF(tblPiNAnalysis[[#This Row],[Education]]="", "", tblPiNAnalysis[[#This Row],[Education]]/tblPiNAnalysis[[#This Row],[Total Population]])</f>
        <v/>
      </c>
      <c r="V314" s="314" t="str">
        <f>IF(tblPiNAnalysis[[#This Row],[Food Security and Livlihoods]]="", "", tblPiNAnalysis[[#This Row],[Food Security and Livlihoods]]/tblPiNAnalysis[[#This Row],[Total Population]])</f>
        <v/>
      </c>
      <c r="W314" s="315" t="str">
        <f>IF(tblPiNAnalysis[[#This Row],[Health ]]="", "", tblPiNAnalysis[[#This Row],[Health ]]/tblPiNAnalysis[[#This Row],[Total Population]])</f>
        <v/>
      </c>
      <c r="X314" s="314" t="str">
        <f>IF(tblPiNAnalysis[[#This Row],[Nutrition]]="", "", tblPiNAnalysis[[#This Row],[Nutrition]]/tblPiNAnalysis[[#This Row],[Total Population]])</f>
        <v/>
      </c>
      <c r="Y314" s="314" t="str">
        <f>IF(tblPiNAnalysis[[#This Row],[Protection]]="", "", tblPiNAnalysis[[#This Row],[Protection]]/tblPiNAnalysis[[#This Row],[Total Population]])</f>
        <v/>
      </c>
      <c r="Z314" s="316">
        <f>IF(tblPiNAnalysis[[#This Row],[Shelter NFI ]]="", "", tblPiNAnalysis[[#This Row],[Shelter NFI ]]/tblPiNAnalysis[[#This Row],[Total Population]])</f>
        <v>0.63612237934564209</v>
      </c>
      <c r="AA314" s="317" t="str">
        <f>IF(tblPiNAnalysis[[#This Row],[WASH]]="", "", tblPiNAnalysis[[#This Row],[WASH]]/tblPiNAnalysis[[#This Row],[Total Population]])</f>
        <v/>
      </c>
      <c r="AB314" s="318" t="str">
        <f>IFERROR(IF(tblPiNAnalysis[[#This Row],[CP]]="", "", MROUND(tblPiNAnalysis[[#This Row],[CP]]/tblPiNAnalysis[[#This Row],[Total Population]], 0.05)), "")</f>
        <v/>
      </c>
      <c r="AC314" s="314" t="str">
        <f>IFERROR(IF(tblPiNAnalysis[[#This Row],[GBV]]="", "", MROUND(tblPiNAnalysis[[#This Row],[GBV]]/tblPiNAnalysis[[#This Row],[Total Population]], 0.05)), "")</f>
        <v/>
      </c>
      <c r="AD314" s="314" t="str">
        <f>IFERROR(IF(tblPiNAnalysis[[#This Row],[Mine Action]]="", "", MROUND(tblPiNAnalysis[[#This Row],[Mine Action]]/tblPiNAnalysis[[#This Row],[Total Population]], 0.05)), "")</f>
        <v/>
      </c>
      <c r="AE314" s="314" t="str">
        <f>IFERROR(IF(tblPiNAnalysis[[#This Row],[General Protection]]="", "", MROUND(tblPiNAnalysis[[#This Row],[General Protection]]/tblPiNAnalysis[[#This Row],[Total Population]], 0.05)), "")</f>
        <v/>
      </c>
      <c r="AF314" s="319">
        <f>IFERROR(LARGE(tblPiNAnalysis[[#This Row],[Site Management ]:[General Protection]], 1), "")</f>
        <v>16779</v>
      </c>
      <c r="AG314" s="320">
        <f>IF(tblPiNAnalysis[[#This Row],[Highest PiN]]="", "",tblPiNAnalysis[[#This Row],[Highest PiN]]/ tblPiNAnalysis[[#This Row],[Total Population]])</f>
        <v>0.63612237934564209</v>
      </c>
      <c r="AH314" s="320" t="str">
        <f>IFERROR(IF(tblPiNAnalysis[[#This Row],[Highest PiN]]="", "", IF(tblPiNAnalysis[[#This Row],[Highest sector(s'') PiN %]]&gt;=flag_pin_perc, "Flagged", "")), "")</f>
        <v/>
      </c>
      <c r="AI314" s="321"/>
      <c r="AJ314" s="322"/>
      <c r="AK314" s="323">
        <f>COUNTIFS(tblPiNAnalysis[[#This Row],[Highest PiN greater than 90% of total affected population]:[Manual Flag]],"Flagged")</f>
        <v>0</v>
      </c>
      <c r="AL314" s="324" t="str">
        <f>IF(tblPiNAnalysis[[#This Row],['# Flags]]&gt;0, "Flagged", "")</f>
        <v/>
      </c>
    </row>
    <row r="315" spans="1:38" ht="23.1" customHeight="1" x14ac:dyDescent="0.2">
      <c r="A315" s="309" t="str">
        <f>_xlfn.CONCAT(IF(tblPiNAnalysis[[#This Row],[Population Group]]="", "",tblPiNAnalysis[[#This Row],[Population Group]] ), _xlfn.IFS(tblPiNAnalysis[[#This Row],[Admin 2 P-Code]]&lt;&gt;"", tblPiNAnalysis[[#This Row],[Admin 2 P-Code]], tblPiNAnalysis[[#This Row],[Admin 1 P-Code]]&lt;&gt;"", tblPiNAnalysis[[#This Row],[Admin 1 P-Code]]))</f>
        <v>Non-hosting PopulationSD09052</v>
      </c>
      <c r="B315" s="245" t="s">
        <v>197</v>
      </c>
      <c r="C315" s="246" t="s">
        <v>126</v>
      </c>
      <c r="D315" s="247" t="s">
        <v>400</v>
      </c>
      <c r="E315" s="246" t="s">
        <v>401</v>
      </c>
      <c r="F315" s="248">
        <v>196991</v>
      </c>
      <c r="G315" s="248" t="s">
        <v>568</v>
      </c>
      <c r="H315" s="310"/>
      <c r="I315" s="311"/>
      <c r="J315" s="312"/>
      <c r="K315" s="311"/>
      <c r="L315" s="311"/>
      <c r="M315" s="312"/>
      <c r="N315" s="312">
        <f>_xlfn.XLOOKUP(CONCATENATE(tblPiNAnalysis[[#This Row],[Admin 2 P-Code]],tblPiNAnalysis[[#This Row],[Population Group]]),'Overall severity &amp; PIN Analysis'!A:A,'Overall severity &amp; PIN Analysis'!P:P,0,0)</f>
        <v>11871</v>
      </c>
      <c r="O315" s="311"/>
      <c r="P315" s="312"/>
      <c r="Q315" s="312"/>
      <c r="R315" s="312"/>
      <c r="S315" s="312"/>
      <c r="T315" s="313" t="str">
        <f>IF(tblPiNAnalysis[[#This Row],[Site Management ]]="", "", tblPiNAnalysis[[#This Row],[Site Management ]]/tblPiNAnalysis[[#This Row],[Total Population]])</f>
        <v/>
      </c>
      <c r="U315" s="314" t="str">
        <f>IF(tblPiNAnalysis[[#This Row],[Education]]="", "", tblPiNAnalysis[[#This Row],[Education]]/tblPiNAnalysis[[#This Row],[Total Population]])</f>
        <v/>
      </c>
      <c r="V315" s="314" t="str">
        <f>IF(tblPiNAnalysis[[#This Row],[Food Security and Livlihoods]]="", "", tblPiNAnalysis[[#This Row],[Food Security and Livlihoods]]/tblPiNAnalysis[[#This Row],[Total Population]])</f>
        <v/>
      </c>
      <c r="W315" s="315" t="str">
        <f>IF(tblPiNAnalysis[[#This Row],[Health ]]="", "", tblPiNAnalysis[[#This Row],[Health ]]/tblPiNAnalysis[[#This Row],[Total Population]])</f>
        <v/>
      </c>
      <c r="X315" s="314" t="str">
        <f>IF(tblPiNAnalysis[[#This Row],[Nutrition]]="", "", tblPiNAnalysis[[#This Row],[Nutrition]]/tblPiNAnalysis[[#This Row],[Total Population]])</f>
        <v/>
      </c>
      <c r="Y315" s="314" t="str">
        <f>IF(tblPiNAnalysis[[#This Row],[Protection]]="", "", tblPiNAnalysis[[#This Row],[Protection]]/tblPiNAnalysis[[#This Row],[Total Population]])</f>
        <v/>
      </c>
      <c r="Z315" s="316">
        <f>IF(tblPiNAnalysis[[#This Row],[Shelter NFI ]]="", "", tblPiNAnalysis[[#This Row],[Shelter NFI ]]/tblPiNAnalysis[[#This Row],[Total Population]])</f>
        <v>6.0261636318410486E-2</v>
      </c>
      <c r="AA315" s="317" t="str">
        <f>IF(tblPiNAnalysis[[#This Row],[WASH]]="", "", tblPiNAnalysis[[#This Row],[WASH]]/tblPiNAnalysis[[#This Row],[Total Population]])</f>
        <v/>
      </c>
      <c r="AB315" s="318" t="str">
        <f>IFERROR(IF(tblPiNAnalysis[[#This Row],[CP]]="", "", MROUND(tblPiNAnalysis[[#This Row],[CP]]/tblPiNAnalysis[[#This Row],[Total Population]], 0.05)), "")</f>
        <v/>
      </c>
      <c r="AC315" s="314" t="str">
        <f>IFERROR(IF(tblPiNAnalysis[[#This Row],[GBV]]="", "", MROUND(tblPiNAnalysis[[#This Row],[GBV]]/tblPiNAnalysis[[#This Row],[Total Population]], 0.05)), "")</f>
        <v/>
      </c>
      <c r="AD315" s="314" t="str">
        <f>IFERROR(IF(tblPiNAnalysis[[#This Row],[Mine Action]]="", "", MROUND(tblPiNAnalysis[[#This Row],[Mine Action]]/tblPiNAnalysis[[#This Row],[Total Population]], 0.05)), "")</f>
        <v/>
      </c>
      <c r="AE315" s="314" t="str">
        <f>IFERROR(IF(tblPiNAnalysis[[#This Row],[General Protection]]="", "", MROUND(tblPiNAnalysis[[#This Row],[General Protection]]/tblPiNAnalysis[[#This Row],[Total Population]], 0.05)), "")</f>
        <v/>
      </c>
      <c r="AF315" s="319">
        <f>IFERROR(LARGE(tblPiNAnalysis[[#This Row],[Site Management ]:[General Protection]], 1), "")</f>
        <v>11871</v>
      </c>
      <c r="AG315" s="320">
        <f>IF(tblPiNAnalysis[[#This Row],[Highest PiN]]="", "",tblPiNAnalysis[[#This Row],[Highest PiN]]/ tblPiNAnalysis[[#This Row],[Total Population]])</f>
        <v>6.0261636318410486E-2</v>
      </c>
      <c r="AH315" s="320" t="str">
        <f>IFERROR(IF(tblPiNAnalysis[[#This Row],[Highest PiN]]="", "", IF(tblPiNAnalysis[[#This Row],[Highest sector(s'') PiN %]]&gt;=flag_pin_perc, "Flagged", "")), "")</f>
        <v/>
      </c>
      <c r="AI315" s="321"/>
      <c r="AJ315" s="322"/>
      <c r="AK315" s="323">
        <f>COUNTIFS(tblPiNAnalysis[[#This Row],[Highest PiN greater than 90% of total affected population]:[Manual Flag]],"Flagged")</f>
        <v>0</v>
      </c>
      <c r="AL315" s="324" t="str">
        <f>IF(tblPiNAnalysis[[#This Row],['# Flags]]&gt;0, "Flagged", "")</f>
        <v/>
      </c>
    </row>
    <row r="316" spans="1:38" ht="23.1" hidden="1" customHeight="1" x14ac:dyDescent="0.2">
      <c r="A316" s="309" t="str">
        <f>_xlfn.CONCAT(IF(tblPiNAnalysis[[#This Row],[Population Group]]="", "",tblPiNAnalysis[[#This Row],[Population Group]] ), _xlfn.IFS(tblPiNAnalysis[[#This Row],[Admin 2 P-Code]]&lt;&gt;"", tblPiNAnalysis[[#This Row],[Admin 2 P-Code]], tblPiNAnalysis[[#This Row],[Admin 1 P-Code]]&lt;&gt;"", tblPiNAnalysis[[#This Row],[Admin 1 P-Code]]))</f>
        <v>Host CommunitySD10063</v>
      </c>
      <c r="B316" s="245" t="s">
        <v>176</v>
      </c>
      <c r="C316" s="246" t="s">
        <v>127</v>
      </c>
      <c r="D316" s="247" t="s">
        <v>402</v>
      </c>
      <c r="E316" s="246" t="s">
        <v>403</v>
      </c>
      <c r="F316" s="248">
        <v>1160</v>
      </c>
      <c r="G316" s="248" t="s">
        <v>87</v>
      </c>
      <c r="H316" s="310"/>
      <c r="I316" s="311"/>
      <c r="J316" s="312"/>
      <c r="K316" s="311"/>
      <c r="L316" s="311"/>
      <c r="M316" s="312"/>
      <c r="N316" s="312">
        <f>_xlfn.XLOOKUP(CONCATENATE(tblPiNAnalysis[[#This Row],[Admin 2 P-Code]],tblPiNAnalysis[[#This Row],[Population Group]]),'Overall severity &amp; PIN Analysis'!A:A,'Overall severity &amp; PIN Analysis'!P:P,0,0)</f>
        <v>777</v>
      </c>
      <c r="O316" s="311"/>
      <c r="P316" s="312"/>
      <c r="Q316" s="312"/>
      <c r="R316" s="312"/>
      <c r="S316" s="312"/>
      <c r="T316" s="313" t="str">
        <f>IF(tblPiNAnalysis[[#This Row],[Site Management ]]="", "", tblPiNAnalysis[[#This Row],[Site Management ]]/tblPiNAnalysis[[#This Row],[Total Population]])</f>
        <v/>
      </c>
      <c r="U316" s="314" t="str">
        <f>IF(tblPiNAnalysis[[#This Row],[Education]]="", "", tblPiNAnalysis[[#This Row],[Education]]/tblPiNAnalysis[[#This Row],[Total Population]])</f>
        <v/>
      </c>
      <c r="V316" s="314" t="str">
        <f>IF(tblPiNAnalysis[[#This Row],[Food Security and Livlihoods]]="", "", tblPiNAnalysis[[#This Row],[Food Security and Livlihoods]]/tblPiNAnalysis[[#This Row],[Total Population]])</f>
        <v/>
      </c>
      <c r="W316" s="315" t="str">
        <f>IF(tblPiNAnalysis[[#This Row],[Health ]]="", "", tblPiNAnalysis[[#This Row],[Health ]]/tblPiNAnalysis[[#This Row],[Total Population]])</f>
        <v/>
      </c>
      <c r="X316" s="314" t="str">
        <f>IF(tblPiNAnalysis[[#This Row],[Nutrition]]="", "", tblPiNAnalysis[[#This Row],[Nutrition]]/tblPiNAnalysis[[#This Row],[Total Population]])</f>
        <v/>
      </c>
      <c r="Y316" s="314" t="str">
        <f>IF(tblPiNAnalysis[[#This Row],[Protection]]="", "", tblPiNAnalysis[[#This Row],[Protection]]/tblPiNAnalysis[[#This Row],[Total Population]])</f>
        <v/>
      </c>
      <c r="Z316" s="316">
        <f>IF(tblPiNAnalysis[[#This Row],[Shelter NFI ]]="", "", tblPiNAnalysis[[#This Row],[Shelter NFI ]]/tblPiNAnalysis[[#This Row],[Total Population]])</f>
        <v>0.66982758620689653</v>
      </c>
      <c r="AA316" s="317" t="str">
        <f>IF(tblPiNAnalysis[[#This Row],[WASH]]="", "", tblPiNAnalysis[[#This Row],[WASH]]/tblPiNAnalysis[[#This Row],[Total Population]])</f>
        <v/>
      </c>
      <c r="AB316" s="318" t="str">
        <f>IFERROR(IF(tblPiNAnalysis[[#This Row],[CP]]="", "", MROUND(tblPiNAnalysis[[#This Row],[CP]]/tblPiNAnalysis[[#This Row],[Total Population]], 0.05)), "")</f>
        <v/>
      </c>
      <c r="AC316" s="314" t="str">
        <f>IFERROR(IF(tblPiNAnalysis[[#This Row],[GBV]]="", "", MROUND(tblPiNAnalysis[[#This Row],[GBV]]/tblPiNAnalysis[[#This Row],[Total Population]], 0.05)), "")</f>
        <v/>
      </c>
      <c r="AD316" s="314" t="str">
        <f>IFERROR(IF(tblPiNAnalysis[[#This Row],[Mine Action]]="", "", MROUND(tblPiNAnalysis[[#This Row],[Mine Action]]/tblPiNAnalysis[[#This Row],[Total Population]], 0.05)), "")</f>
        <v/>
      </c>
      <c r="AE316" s="314" t="str">
        <f>IFERROR(IF(tblPiNAnalysis[[#This Row],[General Protection]]="", "", MROUND(tblPiNAnalysis[[#This Row],[General Protection]]/tblPiNAnalysis[[#This Row],[Total Population]], 0.05)), "")</f>
        <v/>
      </c>
      <c r="AF316" s="319">
        <f>IFERROR(LARGE(tblPiNAnalysis[[#This Row],[Site Management ]:[General Protection]], 1), "")</f>
        <v>777</v>
      </c>
      <c r="AG316" s="320">
        <f>IF(tblPiNAnalysis[[#This Row],[Highest PiN]]="", "",tblPiNAnalysis[[#This Row],[Highest PiN]]/ tblPiNAnalysis[[#This Row],[Total Population]])</f>
        <v>0.66982758620689653</v>
      </c>
      <c r="AH316" s="320" t="str">
        <f>IFERROR(IF(tblPiNAnalysis[[#This Row],[Highest PiN]]="", "", IF(tblPiNAnalysis[[#This Row],[Highest sector(s'') PiN %]]&gt;=flag_pin_perc, "Flagged", "")), "")</f>
        <v/>
      </c>
      <c r="AI316" s="321"/>
      <c r="AJ316" s="322"/>
      <c r="AK316" s="323">
        <f>COUNTIFS(tblPiNAnalysis[[#This Row],[Highest PiN greater than 90% of total affected population]:[Manual Flag]],"Flagged")</f>
        <v>0</v>
      </c>
      <c r="AL316" s="324" t="str">
        <f>IF(tblPiNAnalysis[[#This Row],['# Flags]]&gt;0, "Flagged", "")</f>
        <v/>
      </c>
    </row>
    <row r="317" spans="1:38" ht="23.1" hidden="1" customHeight="1" x14ac:dyDescent="0.2">
      <c r="A317" s="309" t="str">
        <f>_xlfn.CONCAT(IF(tblPiNAnalysis[[#This Row],[Population Group]]="", "",tblPiNAnalysis[[#This Row],[Population Group]] ), _xlfn.IFS(tblPiNAnalysis[[#This Row],[Admin 2 P-Code]]&lt;&gt;"", tblPiNAnalysis[[#This Row],[Admin 2 P-Code]], tblPiNAnalysis[[#This Row],[Admin 1 P-Code]]&lt;&gt;"", tblPiNAnalysis[[#This Row],[Admin 1 P-Code]]))</f>
        <v>IDPsSD10063</v>
      </c>
      <c r="B317" s="245" t="s">
        <v>176</v>
      </c>
      <c r="C317" s="246" t="s">
        <v>127</v>
      </c>
      <c r="D317" s="247" t="s">
        <v>402</v>
      </c>
      <c r="E317" s="246" t="s">
        <v>403</v>
      </c>
      <c r="F317" s="248">
        <v>1595</v>
      </c>
      <c r="G317" s="248" t="s">
        <v>88</v>
      </c>
      <c r="H317" s="310"/>
      <c r="I317" s="311"/>
      <c r="J317" s="312"/>
      <c r="K317" s="311"/>
      <c r="L317" s="311"/>
      <c r="M317" s="312"/>
      <c r="N317" s="312">
        <f>_xlfn.XLOOKUP(CONCATENATE(tblPiNAnalysis[[#This Row],[Admin 2 P-Code]],tblPiNAnalysis[[#This Row],[Population Group]]),'Overall severity &amp; PIN Analysis'!A:A,'Overall severity &amp; PIN Analysis'!P:P,0,0)</f>
        <v>1068</v>
      </c>
      <c r="O317" s="311"/>
      <c r="P317" s="312"/>
      <c r="Q317" s="312"/>
      <c r="R317" s="312"/>
      <c r="S317" s="312"/>
      <c r="T317" s="313" t="str">
        <f>IF(tblPiNAnalysis[[#This Row],[Site Management ]]="", "", tblPiNAnalysis[[#This Row],[Site Management ]]/tblPiNAnalysis[[#This Row],[Total Population]])</f>
        <v/>
      </c>
      <c r="U317" s="314" t="str">
        <f>IF(tblPiNAnalysis[[#This Row],[Education]]="", "", tblPiNAnalysis[[#This Row],[Education]]/tblPiNAnalysis[[#This Row],[Total Population]])</f>
        <v/>
      </c>
      <c r="V317" s="314" t="str">
        <f>IF(tblPiNAnalysis[[#This Row],[Food Security and Livlihoods]]="", "", tblPiNAnalysis[[#This Row],[Food Security and Livlihoods]]/tblPiNAnalysis[[#This Row],[Total Population]])</f>
        <v/>
      </c>
      <c r="W317" s="315" t="str">
        <f>IF(tblPiNAnalysis[[#This Row],[Health ]]="", "", tblPiNAnalysis[[#This Row],[Health ]]/tblPiNAnalysis[[#This Row],[Total Population]])</f>
        <v/>
      </c>
      <c r="X317" s="314" t="str">
        <f>IF(tblPiNAnalysis[[#This Row],[Nutrition]]="", "", tblPiNAnalysis[[#This Row],[Nutrition]]/tblPiNAnalysis[[#This Row],[Total Population]])</f>
        <v/>
      </c>
      <c r="Y317" s="314" t="str">
        <f>IF(tblPiNAnalysis[[#This Row],[Protection]]="", "", tblPiNAnalysis[[#This Row],[Protection]]/tblPiNAnalysis[[#This Row],[Total Population]])</f>
        <v/>
      </c>
      <c r="Z317" s="316">
        <f>IF(tblPiNAnalysis[[#This Row],[Shelter NFI ]]="", "", tblPiNAnalysis[[#This Row],[Shelter NFI ]]/tblPiNAnalysis[[#This Row],[Total Population]])</f>
        <v>0.6695924764890282</v>
      </c>
      <c r="AA317" s="317" t="str">
        <f>IF(tblPiNAnalysis[[#This Row],[WASH]]="", "", tblPiNAnalysis[[#This Row],[WASH]]/tblPiNAnalysis[[#This Row],[Total Population]])</f>
        <v/>
      </c>
      <c r="AB317" s="318" t="str">
        <f>IFERROR(IF(tblPiNAnalysis[[#This Row],[CP]]="", "", MROUND(tblPiNAnalysis[[#This Row],[CP]]/tblPiNAnalysis[[#This Row],[Total Population]], 0.05)), "")</f>
        <v/>
      </c>
      <c r="AC317" s="314" t="str">
        <f>IFERROR(IF(tblPiNAnalysis[[#This Row],[GBV]]="", "", MROUND(tblPiNAnalysis[[#This Row],[GBV]]/tblPiNAnalysis[[#This Row],[Total Population]], 0.05)), "")</f>
        <v/>
      </c>
      <c r="AD317" s="314" t="str">
        <f>IFERROR(IF(tblPiNAnalysis[[#This Row],[Mine Action]]="", "", MROUND(tblPiNAnalysis[[#This Row],[Mine Action]]/tblPiNAnalysis[[#This Row],[Total Population]], 0.05)), "")</f>
        <v/>
      </c>
      <c r="AE317" s="314" t="str">
        <f>IFERROR(IF(tblPiNAnalysis[[#This Row],[General Protection]]="", "", MROUND(tblPiNAnalysis[[#This Row],[General Protection]]/tblPiNAnalysis[[#This Row],[Total Population]], 0.05)), "")</f>
        <v/>
      </c>
      <c r="AF317" s="319">
        <f>IFERROR(LARGE(tblPiNAnalysis[[#This Row],[Site Management ]:[General Protection]], 1), "")</f>
        <v>1068</v>
      </c>
      <c r="AG317" s="320">
        <f>IF(tblPiNAnalysis[[#This Row],[Highest PiN]]="", "",tblPiNAnalysis[[#This Row],[Highest PiN]]/ tblPiNAnalysis[[#This Row],[Total Population]])</f>
        <v>0.6695924764890282</v>
      </c>
      <c r="AH317" s="320" t="str">
        <f>IFERROR(IF(tblPiNAnalysis[[#This Row],[Highest PiN]]="", "", IF(tblPiNAnalysis[[#This Row],[Highest sector(s'') PiN %]]&gt;=flag_pin_perc, "Flagged", "")), "")</f>
        <v/>
      </c>
      <c r="AI317" s="321"/>
      <c r="AJ317" s="322"/>
      <c r="AK317" s="323">
        <f>COUNTIFS(tblPiNAnalysis[[#This Row],[Highest PiN greater than 90% of total affected population]:[Manual Flag]],"Flagged")</f>
        <v>0</v>
      </c>
      <c r="AL317" s="324" t="str">
        <f>IF(tblPiNAnalysis[[#This Row],['# Flags]]&gt;0, "Flagged", "")</f>
        <v/>
      </c>
    </row>
    <row r="318" spans="1:38" ht="23.1" customHeight="1" x14ac:dyDescent="0.2">
      <c r="A318" s="309" t="str">
        <f>_xlfn.CONCAT(IF(tblPiNAnalysis[[#This Row],[Population Group]]="", "",tblPiNAnalysis[[#This Row],[Population Group]] ), _xlfn.IFS(tblPiNAnalysis[[#This Row],[Admin 2 P-Code]]&lt;&gt;"", tblPiNAnalysis[[#This Row],[Admin 2 P-Code]], tblPiNAnalysis[[#This Row],[Admin 1 P-Code]]&lt;&gt;"", tblPiNAnalysis[[#This Row],[Admin 1 P-Code]]))</f>
        <v>Non-hosting PopulationSD10063</v>
      </c>
      <c r="B318" s="245" t="s">
        <v>176</v>
      </c>
      <c r="C318" s="246" t="s">
        <v>127</v>
      </c>
      <c r="D318" s="247" t="s">
        <v>402</v>
      </c>
      <c r="E318" s="246" t="s">
        <v>403</v>
      </c>
      <c r="F318" s="248">
        <v>74775</v>
      </c>
      <c r="G318" s="248" t="s">
        <v>568</v>
      </c>
      <c r="H318" s="310"/>
      <c r="I318" s="311"/>
      <c r="J318" s="312"/>
      <c r="K318" s="311"/>
      <c r="L318" s="311"/>
      <c r="M318" s="312"/>
      <c r="N318" s="312">
        <f>_xlfn.XLOOKUP(CONCATENATE(tblPiNAnalysis[[#This Row],[Admin 2 P-Code]],tblPiNAnalysis[[#This Row],[Population Group]]),'Overall severity &amp; PIN Analysis'!A:A,'Overall severity &amp; PIN Analysis'!P:P,0,0)</f>
        <v>7316</v>
      </c>
      <c r="O318" s="311"/>
      <c r="P318" s="312"/>
      <c r="Q318" s="312"/>
      <c r="R318" s="312"/>
      <c r="S318" s="312"/>
      <c r="T318" s="313" t="str">
        <f>IF(tblPiNAnalysis[[#This Row],[Site Management ]]="", "", tblPiNAnalysis[[#This Row],[Site Management ]]/tblPiNAnalysis[[#This Row],[Total Population]])</f>
        <v/>
      </c>
      <c r="U318" s="314" t="str">
        <f>IF(tblPiNAnalysis[[#This Row],[Education]]="", "", tblPiNAnalysis[[#This Row],[Education]]/tblPiNAnalysis[[#This Row],[Total Population]])</f>
        <v/>
      </c>
      <c r="V318" s="314" t="str">
        <f>IF(tblPiNAnalysis[[#This Row],[Food Security and Livlihoods]]="", "", tblPiNAnalysis[[#This Row],[Food Security and Livlihoods]]/tblPiNAnalysis[[#This Row],[Total Population]])</f>
        <v/>
      </c>
      <c r="W318" s="315" t="str">
        <f>IF(tblPiNAnalysis[[#This Row],[Health ]]="", "", tblPiNAnalysis[[#This Row],[Health ]]/tblPiNAnalysis[[#This Row],[Total Population]])</f>
        <v/>
      </c>
      <c r="X318" s="314" t="str">
        <f>IF(tblPiNAnalysis[[#This Row],[Nutrition]]="", "", tblPiNAnalysis[[#This Row],[Nutrition]]/tblPiNAnalysis[[#This Row],[Total Population]])</f>
        <v/>
      </c>
      <c r="Y318" s="314" t="str">
        <f>IF(tblPiNAnalysis[[#This Row],[Protection]]="", "", tblPiNAnalysis[[#This Row],[Protection]]/tblPiNAnalysis[[#This Row],[Total Population]])</f>
        <v/>
      </c>
      <c r="Z318" s="316">
        <f>IF(tblPiNAnalysis[[#This Row],[Shelter NFI ]]="", "", tblPiNAnalysis[[#This Row],[Shelter NFI ]]/tblPiNAnalysis[[#This Row],[Total Population]])</f>
        <v>9.7840187228351722E-2</v>
      </c>
      <c r="AA318" s="317" t="str">
        <f>IF(tblPiNAnalysis[[#This Row],[WASH]]="", "", tblPiNAnalysis[[#This Row],[WASH]]/tblPiNAnalysis[[#This Row],[Total Population]])</f>
        <v/>
      </c>
      <c r="AB318" s="318" t="str">
        <f>IFERROR(IF(tblPiNAnalysis[[#This Row],[CP]]="", "", MROUND(tblPiNAnalysis[[#This Row],[CP]]/tblPiNAnalysis[[#This Row],[Total Population]], 0.05)), "")</f>
        <v/>
      </c>
      <c r="AC318" s="314" t="str">
        <f>IFERROR(IF(tblPiNAnalysis[[#This Row],[GBV]]="", "", MROUND(tblPiNAnalysis[[#This Row],[GBV]]/tblPiNAnalysis[[#This Row],[Total Population]], 0.05)), "")</f>
        <v/>
      </c>
      <c r="AD318" s="314" t="str">
        <f>IFERROR(IF(tblPiNAnalysis[[#This Row],[Mine Action]]="", "", MROUND(tblPiNAnalysis[[#This Row],[Mine Action]]/tblPiNAnalysis[[#This Row],[Total Population]], 0.05)), "")</f>
        <v/>
      </c>
      <c r="AE318" s="314" t="str">
        <f>IFERROR(IF(tblPiNAnalysis[[#This Row],[General Protection]]="", "", MROUND(tblPiNAnalysis[[#This Row],[General Protection]]/tblPiNAnalysis[[#This Row],[Total Population]], 0.05)), "")</f>
        <v/>
      </c>
      <c r="AF318" s="319">
        <f>IFERROR(LARGE(tblPiNAnalysis[[#This Row],[Site Management ]:[General Protection]], 1), "")</f>
        <v>7316</v>
      </c>
      <c r="AG318" s="320">
        <f>IF(tblPiNAnalysis[[#This Row],[Highest PiN]]="", "",tblPiNAnalysis[[#This Row],[Highest PiN]]/ tblPiNAnalysis[[#This Row],[Total Population]])</f>
        <v>9.7840187228351722E-2</v>
      </c>
      <c r="AH318" s="320" t="str">
        <f>IFERROR(IF(tblPiNAnalysis[[#This Row],[Highest PiN]]="", "", IF(tblPiNAnalysis[[#This Row],[Highest sector(s'') PiN %]]&gt;=flag_pin_perc, "Flagged", "")), "")</f>
        <v/>
      </c>
      <c r="AI318" s="321"/>
      <c r="AJ318" s="322"/>
      <c r="AK318" s="323">
        <f>COUNTIFS(tblPiNAnalysis[[#This Row],[Highest PiN greater than 90% of total affected population]:[Manual Flag]],"Flagged")</f>
        <v>0</v>
      </c>
      <c r="AL318" s="324" t="str">
        <f>IF(tblPiNAnalysis[[#This Row],['# Flags]]&gt;0, "Flagged", "")</f>
        <v/>
      </c>
    </row>
    <row r="319" spans="1:38" ht="23.1" hidden="1" customHeight="1" x14ac:dyDescent="0.2">
      <c r="A319" s="309" t="str">
        <f>_xlfn.CONCAT(IF(tblPiNAnalysis[[#This Row],[Population Group]]="", "",tblPiNAnalysis[[#This Row],[Population Group]] ), _xlfn.IFS(tblPiNAnalysis[[#This Row],[Admin 2 P-Code]]&lt;&gt;"", tblPiNAnalysis[[#This Row],[Admin 2 P-Code]], tblPiNAnalysis[[#This Row],[Admin 1 P-Code]]&lt;&gt;"", tblPiNAnalysis[[#This Row],[Admin 1 P-Code]]))</f>
        <v>Host CommunitySD10064</v>
      </c>
      <c r="B319" s="245" t="s">
        <v>176</v>
      </c>
      <c r="C319" s="246" t="s">
        <v>127</v>
      </c>
      <c r="D319" s="247" t="s">
        <v>404</v>
      </c>
      <c r="E319" s="246" t="s">
        <v>405</v>
      </c>
      <c r="F319" s="248">
        <v>257748</v>
      </c>
      <c r="G319" s="248" t="s">
        <v>87</v>
      </c>
      <c r="H319" s="310"/>
      <c r="I319" s="311"/>
      <c r="J319" s="312"/>
      <c r="K319" s="311"/>
      <c r="L319" s="311"/>
      <c r="M319" s="312"/>
      <c r="N319" s="312">
        <f>_xlfn.XLOOKUP(CONCATENATE(tblPiNAnalysis[[#This Row],[Admin 2 P-Code]],tblPiNAnalysis[[#This Row],[Population Group]]),'Overall severity &amp; PIN Analysis'!A:A,'Overall severity &amp; PIN Analysis'!P:P,0,0)</f>
        <v>164740</v>
      </c>
      <c r="O319" s="311"/>
      <c r="P319" s="312"/>
      <c r="Q319" s="312"/>
      <c r="R319" s="312"/>
      <c r="S319" s="312"/>
      <c r="T319" s="313" t="str">
        <f>IF(tblPiNAnalysis[[#This Row],[Site Management ]]="", "", tblPiNAnalysis[[#This Row],[Site Management ]]/tblPiNAnalysis[[#This Row],[Total Population]])</f>
        <v/>
      </c>
      <c r="U319" s="314" t="str">
        <f>IF(tblPiNAnalysis[[#This Row],[Education]]="", "", tblPiNAnalysis[[#This Row],[Education]]/tblPiNAnalysis[[#This Row],[Total Population]])</f>
        <v/>
      </c>
      <c r="V319" s="314" t="str">
        <f>IF(tblPiNAnalysis[[#This Row],[Food Security and Livlihoods]]="", "", tblPiNAnalysis[[#This Row],[Food Security and Livlihoods]]/tblPiNAnalysis[[#This Row],[Total Population]])</f>
        <v/>
      </c>
      <c r="W319" s="315" t="str">
        <f>IF(tblPiNAnalysis[[#This Row],[Health ]]="", "", tblPiNAnalysis[[#This Row],[Health ]]/tblPiNAnalysis[[#This Row],[Total Population]])</f>
        <v/>
      </c>
      <c r="X319" s="314" t="str">
        <f>IF(tblPiNAnalysis[[#This Row],[Nutrition]]="", "", tblPiNAnalysis[[#This Row],[Nutrition]]/tblPiNAnalysis[[#This Row],[Total Population]])</f>
        <v/>
      </c>
      <c r="Y319" s="314" t="str">
        <f>IF(tblPiNAnalysis[[#This Row],[Protection]]="", "", tblPiNAnalysis[[#This Row],[Protection]]/tblPiNAnalysis[[#This Row],[Total Population]])</f>
        <v/>
      </c>
      <c r="Z319" s="316">
        <f>IF(tblPiNAnalysis[[#This Row],[Shelter NFI ]]="", "", tblPiNAnalysis[[#This Row],[Shelter NFI ]]/tblPiNAnalysis[[#This Row],[Total Population]])</f>
        <v>0.63915141921566798</v>
      </c>
      <c r="AA319" s="317" t="str">
        <f>IF(tblPiNAnalysis[[#This Row],[WASH]]="", "", tblPiNAnalysis[[#This Row],[WASH]]/tblPiNAnalysis[[#This Row],[Total Population]])</f>
        <v/>
      </c>
      <c r="AB319" s="318" t="str">
        <f>IFERROR(IF(tblPiNAnalysis[[#This Row],[CP]]="", "", MROUND(tblPiNAnalysis[[#This Row],[CP]]/tblPiNAnalysis[[#This Row],[Total Population]], 0.05)), "")</f>
        <v/>
      </c>
      <c r="AC319" s="314" t="str">
        <f>IFERROR(IF(tblPiNAnalysis[[#This Row],[GBV]]="", "", MROUND(tblPiNAnalysis[[#This Row],[GBV]]/tblPiNAnalysis[[#This Row],[Total Population]], 0.05)), "")</f>
        <v/>
      </c>
      <c r="AD319" s="314" t="str">
        <f>IFERROR(IF(tblPiNAnalysis[[#This Row],[Mine Action]]="", "", MROUND(tblPiNAnalysis[[#This Row],[Mine Action]]/tblPiNAnalysis[[#This Row],[Total Population]], 0.05)), "")</f>
        <v/>
      </c>
      <c r="AE319" s="314" t="str">
        <f>IFERROR(IF(tblPiNAnalysis[[#This Row],[General Protection]]="", "", MROUND(tblPiNAnalysis[[#This Row],[General Protection]]/tblPiNAnalysis[[#This Row],[Total Population]], 0.05)), "")</f>
        <v/>
      </c>
      <c r="AF319" s="319">
        <f>IFERROR(LARGE(tblPiNAnalysis[[#This Row],[Site Management ]:[General Protection]], 1), "")</f>
        <v>164740</v>
      </c>
      <c r="AG319" s="320">
        <f>IF(tblPiNAnalysis[[#This Row],[Highest PiN]]="", "",tblPiNAnalysis[[#This Row],[Highest PiN]]/ tblPiNAnalysis[[#This Row],[Total Population]])</f>
        <v>0.63915141921566798</v>
      </c>
      <c r="AH319" s="320" t="str">
        <f>IFERROR(IF(tblPiNAnalysis[[#This Row],[Highest PiN]]="", "", IF(tblPiNAnalysis[[#This Row],[Highest sector(s'') PiN %]]&gt;=flag_pin_perc, "Flagged", "")), "")</f>
        <v/>
      </c>
      <c r="AI319" s="321"/>
      <c r="AJ319" s="322"/>
      <c r="AK319" s="323">
        <f>COUNTIFS(tblPiNAnalysis[[#This Row],[Highest PiN greater than 90% of total affected population]:[Manual Flag]],"Flagged")</f>
        <v>0</v>
      </c>
      <c r="AL319" s="324" t="str">
        <f>IF(tblPiNAnalysis[[#This Row],['# Flags]]&gt;0, "Flagged", "")</f>
        <v/>
      </c>
    </row>
    <row r="320" spans="1:38" ht="23.1" hidden="1" customHeight="1" x14ac:dyDescent="0.2">
      <c r="A320" s="309" t="str">
        <f>_xlfn.CONCAT(IF(tblPiNAnalysis[[#This Row],[Population Group]]="", "",tblPiNAnalysis[[#This Row],[Population Group]] ), _xlfn.IFS(tblPiNAnalysis[[#This Row],[Admin 2 P-Code]]&lt;&gt;"", tblPiNAnalysis[[#This Row],[Admin 2 P-Code]], tblPiNAnalysis[[#This Row],[Admin 1 P-Code]]&lt;&gt;"", tblPiNAnalysis[[#This Row],[Admin 1 P-Code]]))</f>
        <v>IDPsSD10064</v>
      </c>
      <c r="B320" s="245" t="s">
        <v>176</v>
      </c>
      <c r="C320" s="246" t="s">
        <v>127</v>
      </c>
      <c r="D320" s="247" t="s">
        <v>404</v>
      </c>
      <c r="E320" s="246" t="s">
        <v>405</v>
      </c>
      <c r="F320" s="248">
        <v>239573</v>
      </c>
      <c r="G320" s="248" t="s">
        <v>88</v>
      </c>
      <c r="H320" s="310"/>
      <c r="I320" s="311"/>
      <c r="J320" s="312"/>
      <c r="K320" s="311"/>
      <c r="L320" s="311"/>
      <c r="M320" s="312"/>
      <c r="N320" s="312">
        <f>_xlfn.XLOOKUP(CONCATENATE(tblPiNAnalysis[[#This Row],[Admin 2 P-Code]],tblPiNAnalysis[[#This Row],[Population Group]]),'Overall severity &amp; PIN Analysis'!A:A,'Overall severity &amp; PIN Analysis'!P:P,0,0)</f>
        <v>153124</v>
      </c>
      <c r="O320" s="311"/>
      <c r="P320" s="312"/>
      <c r="Q320" s="312"/>
      <c r="R320" s="312"/>
      <c r="S320" s="312"/>
      <c r="T320" s="313" t="str">
        <f>IF(tblPiNAnalysis[[#This Row],[Site Management ]]="", "", tblPiNAnalysis[[#This Row],[Site Management ]]/tblPiNAnalysis[[#This Row],[Total Population]])</f>
        <v/>
      </c>
      <c r="U320" s="314" t="str">
        <f>IF(tblPiNAnalysis[[#This Row],[Education]]="", "", tblPiNAnalysis[[#This Row],[Education]]/tblPiNAnalysis[[#This Row],[Total Population]])</f>
        <v/>
      </c>
      <c r="V320" s="314" t="str">
        <f>IF(tblPiNAnalysis[[#This Row],[Food Security and Livlihoods]]="", "", tblPiNAnalysis[[#This Row],[Food Security and Livlihoods]]/tblPiNAnalysis[[#This Row],[Total Population]])</f>
        <v/>
      </c>
      <c r="W320" s="315" t="str">
        <f>IF(tblPiNAnalysis[[#This Row],[Health ]]="", "", tblPiNAnalysis[[#This Row],[Health ]]/tblPiNAnalysis[[#This Row],[Total Population]])</f>
        <v/>
      </c>
      <c r="X320" s="314" t="str">
        <f>IF(tblPiNAnalysis[[#This Row],[Nutrition]]="", "", tblPiNAnalysis[[#This Row],[Nutrition]]/tblPiNAnalysis[[#This Row],[Total Population]])</f>
        <v/>
      </c>
      <c r="Y320" s="314" t="str">
        <f>IF(tblPiNAnalysis[[#This Row],[Protection]]="", "", tblPiNAnalysis[[#This Row],[Protection]]/tblPiNAnalysis[[#This Row],[Total Population]])</f>
        <v/>
      </c>
      <c r="Z320" s="316">
        <f>IF(tblPiNAnalysis[[#This Row],[Shelter NFI ]]="", "", tblPiNAnalysis[[#This Row],[Shelter NFI ]]/tblPiNAnalysis[[#This Row],[Total Population]])</f>
        <v>0.63915382785205344</v>
      </c>
      <c r="AA320" s="317" t="str">
        <f>IF(tblPiNAnalysis[[#This Row],[WASH]]="", "", tblPiNAnalysis[[#This Row],[WASH]]/tblPiNAnalysis[[#This Row],[Total Population]])</f>
        <v/>
      </c>
      <c r="AB320" s="318" t="str">
        <f>IFERROR(IF(tblPiNAnalysis[[#This Row],[CP]]="", "", MROUND(tblPiNAnalysis[[#This Row],[CP]]/tblPiNAnalysis[[#This Row],[Total Population]], 0.05)), "")</f>
        <v/>
      </c>
      <c r="AC320" s="314" t="str">
        <f>IFERROR(IF(tblPiNAnalysis[[#This Row],[GBV]]="", "", MROUND(tblPiNAnalysis[[#This Row],[GBV]]/tblPiNAnalysis[[#This Row],[Total Population]], 0.05)), "")</f>
        <v/>
      </c>
      <c r="AD320" s="314" t="str">
        <f>IFERROR(IF(tblPiNAnalysis[[#This Row],[Mine Action]]="", "", MROUND(tblPiNAnalysis[[#This Row],[Mine Action]]/tblPiNAnalysis[[#This Row],[Total Population]], 0.05)), "")</f>
        <v/>
      </c>
      <c r="AE320" s="314" t="str">
        <f>IFERROR(IF(tblPiNAnalysis[[#This Row],[General Protection]]="", "", MROUND(tblPiNAnalysis[[#This Row],[General Protection]]/tblPiNAnalysis[[#This Row],[Total Population]], 0.05)), "")</f>
        <v/>
      </c>
      <c r="AF320" s="319">
        <f>IFERROR(LARGE(tblPiNAnalysis[[#This Row],[Site Management ]:[General Protection]], 1), "")</f>
        <v>153124</v>
      </c>
      <c r="AG320" s="320">
        <f>IF(tblPiNAnalysis[[#This Row],[Highest PiN]]="", "",tblPiNAnalysis[[#This Row],[Highest PiN]]/ tblPiNAnalysis[[#This Row],[Total Population]])</f>
        <v>0.63915382785205344</v>
      </c>
      <c r="AH320" s="320" t="str">
        <f>IFERROR(IF(tblPiNAnalysis[[#This Row],[Highest PiN]]="", "", IF(tblPiNAnalysis[[#This Row],[Highest sector(s'') PiN %]]&gt;=flag_pin_perc, "Flagged", "")), "")</f>
        <v/>
      </c>
      <c r="AI320" s="321"/>
      <c r="AJ320" s="322"/>
      <c r="AK320" s="323">
        <f>COUNTIFS(tblPiNAnalysis[[#This Row],[Highest PiN greater than 90% of total affected population]:[Manual Flag]],"Flagged")</f>
        <v>0</v>
      </c>
      <c r="AL320" s="324" t="str">
        <f>IF(tblPiNAnalysis[[#This Row],['# Flags]]&gt;0, "Flagged", "")</f>
        <v/>
      </c>
    </row>
    <row r="321" spans="1:38" ht="23.1" customHeight="1" x14ac:dyDescent="0.2">
      <c r="A321" s="309" t="str">
        <f>_xlfn.CONCAT(IF(tblPiNAnalysis[[#This Row],[Population Group]]="", "",tblPiNAnalysis[[#This Row],[Population Group]] ), _xlfn.IFS(tblPiNAnalysis[[#This Row],[Admin 2 P-Code]]&lt;&gt;"", tblPiNAnalysis[[#This Row],[Admin 2 P-Code]], tblPiNAnalysis[[#This Row],[Admin 1 P-Code]]&lt;&gt;"", tblPiNAnalysis[[#This Row],[Admin 1 P-Code]]))</f>
        <v>Non-hosting PopulationSD10064</v>
      </c>
      <c r="B321" s="245" t="s">
        <v>176</v>
      </c>
      <c r="C321" s="246" t="s">
        <v>127</v>
      </c>
      <c r="D321" s="247" t="s">
        <v>404</v>
      </c>
      <c r="E321" s="246" t="s">
        <v>405</v>
      </c>
      <c r="F321" s="248">
        <v>95444</v>
      </c>
      <c r="G321" s="248" t="s">
        <v>568</v>
      </c>
      <c r="H321" s="310"/>
      <c r="I321" s="311"/>
      <c r="J321" s="312"/>
      <c r="K321" s="311"/>
      <c r="L321" s="311"/>
      <c r="M321" s="312"/>
      <c r="N321" s="312">
        <f>_xlfn.XLOOKUP(CONCATENATE(tblPiNAnalysis[[#This Row],[Admin 2 P-Code]],tblPiNAnalysis[[#This Row],[Population Group]]),'Overall severity &amp; PIN Analysis'!A:A,'Overall severity &amp; PIN Analysis'!P:P,0,0)</f>
        <v>12957</v>
      </c>
      <c r="O321" s="311"/>
      <c r="P321" s="312"/>
      <c r="Q321" s="312"/>
      <c r="R321" s="312"/>
      <c r="S321" s="312"/>
      <c r="T321" s="313" t="str">
        <f>IF(tblPiNAnalysis[[#This Row],[Site Management ]]="", "", tblPiNAnalysis[[#This Row],[Site Management ]]/tblPiNAnalysis[[#This Row],[Total Population]])</f>
        <v/>
      </c>
      <c r="U321" s="314" t="str">
        <f>IF(tblPiNAnalysis[[#This Row],[Education]]="", "", tblPiNAnalysis[[#This Row],[Education]]/tblPiNAnalysis[[#This Row],[Total Population]])</f>
        <v/>
      </c>
      <c r="V321" s="314" t="str">
        <f>IF(tblPiNAnalysis[[#This Row],[Food Security and Livlihoods]]="", "", tblPiNAnalysis[[#This Row],[Food Security and Livlihoods]]/tblPiNAnalysis[[#This Row],[Total Population]])</f>
        <v/>
      </c>
      <c r="W321" s="315" t="str">
        <f>IF(tblPiNAnalysis[[#This Row],[Health ]]="", "", tblPiNAnalysis[[#This Row],[Health ]]/tblPiNAnalysis[[#This Row],[Total Population]])</f>
        <v/>
      </c>
      <c r="X321" s="314" t="str">
        <f>IF(tblPiNAnalysis[[#This Row],[Nutrition]]="", "", tblPiNAnalysis[[#This Row],[Nutrition]]/tblPiNAnalysis[[#This Row],[Total Population]])</f>
        <v/>
      </c>
      <c r="Y321" s="314" t="str">
        <f>IF(tblPiNAnalysis[[#This Row],[Protection]]="", "", tblPiNAnalysis[[#This Row],[Protection]]/tblPiNAnalysis[[#This Row],[Total Population]])</f>
        <v/>
      </c>
      <c r="Z321" s="316">
        <f>IF(tblPiNAnalysis[[#This Row],[Shelter NFI ]]="", "", tblPiNAnalysis[[#This Row],[Shelter NFI ]]/tblPiNAnalysis[[#This Row],[Total Population]])</f>
        <v>0.13575499769498345</v>
      </c>
      <c r="AA321" s="317" t="str">
        <f>IF(tblPiNAnalysis[[#This Row],[WASH]]="", "", tblPiNAnalysis[[#This Row],[WASH]]/tblPiNAnalysis[[#This Row],[Total Population]])</f>
        <v/>
      </c>
      <c r="AB321" s="318" t="str">
        <f>IFERROR(IF(tblPiNAnalysis[[#This Row],[CP]]="", "", MROUND(tblPiNAnalysis[[#This Row],[CP]]/tblPiNAnalysis[[#This Row],[Total Population]], 0.05)), "")</f>
        <v/>
      </c>
      <c r="AC321" s="314" t="str">
        <f>IFERROR(IF(tblPiNAnalysis[[#This Row],[GBV]]="", "", MROUND(tblPiNAnalysis[[#This Row],[GBV]]/tblPiNAnalysis[[#This Row],[Total Population]], 0.05)), "")</f>
        <v/>
      </c>
      <c r="AD321" s="314" t="str">
        <f>IFERROR(IF(tblPiNAnalysis[[#This Row],[Mine Action]]="", "", MROUND(tblPiNAnalysis[[#This Row],[Mine Action]]/tblPiNAnalysis[[#This Row],[Total Population]], 0.05)), "")</f>
        <v/>
      </c>
      <c r="AE321" s="314" t="str">
        <f>IFERROR(IF(tblPiNAnalysis[[#This Row],[General Protection]]="", "", MROUND(tblPiNAnalysis[[#This Row],[General Protection]]/tblPiNAnalysis[[#This Row],[Total Population]], 0.05)), "")</f>
        <v/>
      </c>
      <c r="AF321" s="319">
        <f>IFERROR(LARGE(tblPiNAnalysis[[#This Row],[Site Management ]:[General Protection]], 1), "")</f>
        <v>12957</v>
      </c>
      <c r="AG321" s="320">
        <f>IF(tblPiNAnalysis[[#This Row],[Highest PiN]]="", "",tblPiNAnalysis[[#This Row],[Highest PiN]]/ tblPiNAnalysis[[#This Row],[Total Population]])</f>
        <v>0.13575499769498345</v>
      </c>
      <c r="AH321" s="320" t="str">
        <f>IFERROR(IF(tblPiNAnalysis[[#This Row],[Highest PiN]]="", "", IF(tblPiNAnalysis[[#This Row],[Highest sector(s'') PiN %]]&gt;=flag_pin_perc, "Flagged", "")), "")</f>
        <v/>
      </c>
      <c r="AI321" s="321"/>
      <c r="AJ321" s="322"/>
      <c r="AK321" s="323">
        <f>COUNTIFS(tblPiNAnalysis[[#This Row],[Highest PiN greater than 90% of total affected population]:[Manual Flag]],"Flagged")</f>
        <v>0</v>
      </c>
      <c r="AL321" s="324" t="str">
        <f>IF(tblPiNAnalysis[[#This Row],['# Flags]]&gt;0, "Flagged", "")</f>
        <v/>
      </c>
    </row>
    <row r="322" spans="1:38" ht="23.1" hidden="1" customHeight="1" x14ac:dyDescent="0.2">
      <c r="A322" s="309" t="str">
        <f>_xlfn.CONCAT(IF(tblPiNAnalysis[[#This Row],[Population Group]]="", "",tblPiNAnalysis[[#This Row],[Population Group]] ), _xlfn.IFS(tblPiNAnalysis[[#This Row],[Admin 2 P-Code]]&lt;&gt;"", tblPiNAnalysis[[#This Row],[Admin 2 P-Code]], tblPiNAnalysis[[#This Row],[Admin 1 P-Code]]&lt;&gt;"", tblPiNAnalysis[[#This Row],[Admin 1 P-Code]]))</f>
        <v>Host CommunitySD10065</v>
      </c>
      <c r="B322" s="245" t="s">
        <v>176</v>
      </c>
      <c r="C322" s="246" t="s">
        <v>127</v>
      </c>
      <c r="D322" s="247" t="s">
        <v>406</v>
      </c>
      <c r="E322" s="246" t="s">
        <v>407</v>
      </c>
      <c r="F322" s="248">
        <v>2434</v>
      </c>
      <c r="G322" s="248" t="s">
        <v>87</v>
      </c>
      <c r="H322" s="310"/>
      <c r="I322" s="311"/>
      <c r="J322" s="312"/>
      <c r="K322" s="311"/>
      <c r="L322" s="311"/>
      <c r="M322" s="312"/>
      <c r="N322" s="312">
        <f>_xlfn.XLOOKUP(CONCATENATE(tblPiNAnalysis[[#This Row],[Admin 2 P-Code]],tblPiNAnalysis[[#This Row],[Population Group]]),'Overall severity &amp; PIN Analysis'!A:A,'Overall severity &amp; PIN Analysis'!P:P,0,0)</f>
        <v>1199</v>
      </c>
      <c r="O322" s="311"/>
      <c r="P322" s="312"/>
      <c r="Q322" s="312"/>
      <c r="R322" s="312"/>
      <c r="S322" s="312"/>
      <c r="T322" s="313" t="str">
        <f>IF(tblPiNAnalysis[[#This Row],[Site Management ]]="", "", tblPiNAnalysis[[#This Row],[Site Management ]]/tblPiNAnalysis[[#This Row],[Total Population]])</f>
        <v/>
      </c>
      <c r="U322" s="314" t="str">
        <f>IF(tblPiNAnalysis[[#This Row],[Education]]="", "", tblPiNAnalysis[[#This Row],[Education]]/tblPiNAnalysis[[#This Row],[Total Population]])</f>
        <v/>
      </c>
      <c r="V322" s="314" t="str">
        <f>IF(tblPiNAnalysis[[#This Row],[Food Security and Livlihoods]]="", "", tblPiNAnalysis[[#This Row],[Food Security and Livlihoods]]/tblPiNAnalysis[[#This Row],[Total Population]])</f>
        <v/>
      </c>
      <c r="W322" s="315" t="str">
        <f>IF(tblPiNAnalysis[[#This Row],[Health ]]="", "", tblPiNAnalysis[[#This Row],[Health ]]/tblPiNAnalysis[[#This Row],[Total Population]])</f>
        <v/>
      </c>
      <c r="X322" s="314" t="str">
        <f>IF(tblPiNAnalysis[[#This Row],[Nutrition]]="", "", tblPiNAnalysis[[#This Row],[Nutrition]]/tblPiNAnalysis[[#This Row],[Total Population]])</f>
        <v/>
      </c>
      <c r="Y322" s="314" t="str">
        <f>IF(tblPiNAnalysis[[#This Row],[Protection]]="", "", tblPiNAnalysis[[#This Row],[Protection]]/tblPiNAnalysis[[#This Row],[Total Population]])</f>
        <v/>
      </c>
      <c r="Z322" s="316">
        <f>IF(tblPiNAnalysis[[#This Row],[Shelter NFI ]]="", "", tblPiNAnalysis[[#This Row],[Shelter NFI ]]/tblPiNAnalysis[[#This Row],[Total Population]])</f>
        <v>0.49260476581758422</v>
      </c>
      <c r="AA322" s="317" t="str">
        <f>IF(tblPiNAnalysis[[#This Row],[WASH]]="", "", tblPiNAnalysis[[#This Row],[WASH]]/tblPiNAnalysis[[#This Row],[Total Population]])</f>
        <v/>
      </c>
      <c r="AB322" s="318" t="str">
        <f>IFERROR(IF(tblPiNAnalysis[[#This Row],[CP]]="", "", MROUND(tblPiNAnalysis[[#This Row],[CP]]/tblPiNAnalysis[[#This Row],[Total Population]], 0.05)), "")</f>
        <v/>
      </c>
      <c r="AC322" s="314" t="str">
        <f>IFERROR(IF(tblPiNAnalysis[[#This Row],[GBV]]="", "", MROUND(tblPiNAnalysis[[#This Row],[GBV]]/tblPiNAnalysis[[#This Row],[Total Population]], 0.05)), "")</f>
        <v/>
      </c>
      <c r="AD322" s="314" t="str">
        <f>IFERROR(IF(tblPiNAnalysis[[#This Row],[Mine Action]]="", "", MROUND(tblPiNAnalysis[[#This Row],[Mine Action]]/tblPiNAnalysis[[#This Row],[Total Population]], 0.05)), "")</f>
        <v/>
      </c>
      <c r="AE322" s="314" t="str">
        <f>IFERROR(IF(tblPiNAnalysis[[#This Row],[General Protection]]="", "", MROUND(tblPiNAnalysis[[#This Row],[General Protection]]/tblPiNAnalysis[[#This Row],[Total Population]], 0.05)), "")</f>
        <v/>
      </c>
      <c r="AF322" s="319">
        <f>IFERROR(LARGE(tblPiNAnalysis[[#This Row],[Site Management ]:[General Protection]], 1), "")</f>
        <v>1199</v>
      </c>
      <c r="AG322" s="320">
        <f>IF(tblPiNAnalysis[[#This Row],[Highest PiN]]="", "",tblPiNAnalysis[[#This Row],[Highest PiN]]/ tblPiNAnalysis[[#This Row],[Total Population]])</f>
        <v>0.49260476581758422</v>
      </c>
      <c r="AH322" s="320" t="str">
        <f>IFERROR(IF(tblPiNAnalysis[[#This Row],[Highest PiN]]="", "", IF(tblPiNAnalysis[[#This Row],[Highest sector(s'') PiN %]]&gt;=flag_pin_perc, "Flagged", "")), "")</f>
        <v/>
      </c>
      <c r="AI322" s="321"/>
      <c r="AJ322" s="322"/>
      <c r="AK322" s="323">
        <f>COUNTIFS(tblPiNAnalysis[[#This Row],[Highest PiN greater than 90% of total affected population]:[Manual Flag]],"Flagged")</f>
        <v>0</v>
      </c>
      <c r="AL322" s="324" t="str">
        <f>IF(tblPiNAnalysis[[#This Row],['# Flags]]&gt;0, "Flagged", "")</f>
        <v/>
      </c>
    </row>
    <row r="323" spans="1:38" ht="23.1" hidden="1" customHeight="1" x14ac:dyDescent="0.2">
      <c r="A323" s="309" t="str">
        <f>_xlfn.CONCAT(IF(tblPiNAnalysis[[#This Row],[Population Group]]="", "",tblPiNAnalysis[[#This Row],[Population Group]] ), _xlfn.IFS(tblPiNAnalysis[[#This Row],[Admin 2 P-Code]]&lt;&gt;"", tblPiNAnalysis[[#This Row],[Admin 2 P-Code]], tblPiNAnalysis[[#This Row],[Admin 1 P-Code]]&lt;&gt;"", tblPiNAnalysis[[#This Row],[Admin 1 P-Code]]))</f>
        <v>IDPsSD10065</v>
      </c>
      <c r="B323" s="245" t="s">
        <v>176</v>
      </c>
      <c r="C323" s="246" t="s">
        <v>127</v>
      </c>
      <c r="D323" s="247" t="s">
        <v>406</v>
      </c>
      <c r="E323" s="246" t="s">
        <v>407</v>
      </c>
      <c r="F323" s="248">
        <v>2415</v>
      </c>
      <c r="G323" s="248" t="s">
        <v>88</v>
      </c>
      <c r="H323" s="310"/>
      <c r="I323" s="311"/>
      <c r="J323" s="312"/>
      <c r="K323" s="311"/>
      <c r="L323" s="311"/>
      <c r="M323" s="312"/>
      <c r="N323" s="312">
        <f>_xlfn.XLOOKUP(CONCATENATE(tblPiNAnalysis[[#This Row],[Admin 2 P-Code]],tblPiNAnalysis[[#This Row],[Population Group]]),'Overall severity &amp; PIN Analysis'!A:A,'Overall severity &amp; PIN Analysis'!P:P,0,0)</f>
        <v>1189</v>
      </c>
      <c r="O323" s="311"/>
      <c r="P323" s="312"/>
      <c r="Q323" s="312"/>
      <c r="R323" s="312"/>
      <c r="S323" s="312"/>
      <c r="T323" s="313" t="str">
        <f>IF(tblPiNAnalysis[[#This Row],[Site Management ]]="", "", tblPiNAnalysis[[#This Row],[Site Management ]]/tblPiNAnalysis[[#This Row],[Total Population]])</f>
        <v/>
      </c>
      <c r="U323" s="314" t="str">
        <f>IF(tblPiNAnalysis[[#This Row],[Education]]="", "", tblPiNAnalysis[[#This Row],[Education]]/tblPiNAnalysis[[#This Row],[Total Population]])</f>
        <v/>
      </c>
      <c r="V323" s="314" t="str">
        <f>IF(tblPiNAnalysis[[#This Row],[Food Security and Livlihoods]]="", "", tblPiNAnalysis[[#This Row],[Food Security and Livlihoods]]/tblPiNAnalysis[[#This Row],[Total Population]])</f>
        <v/>
      </c>
      <c r="W323" s="315" t="str">
        <f>IF(tblPiNAnalysis[[#This Row],[Health ]]="", "", tblPiNAnalysis[[#This Row],[Health ]]/tblPiNAnalysis[[#This Row],[Total Population]])</f>
        <v/>
      </c>
      <c r="X323" s="314" t="str">
        <f>IF(tblPiNAnalysis[[#This Row],[Nutrition]]="", "", tblPiNAnalysis[[#This Row],[Nutrition]]/tblPiNAnalysis[[#This Row],[Total Population]])</f>
        <v/>
      </c>
      <c r="Y323" s="314" t="str">
        <f>IF(tblPiNAnalysis[[#This Row],[Protection]]="", "", tblPiNAnalysis[[#This Row],[Protection]]/tblPiNAnalysis[[#This Row],[Total Population]])</f>
        <v/>
      </c>
      <c r="Z323" s="316">
        <f>IF(tblPiNAnalysis[[#This Row],[Shelter NFI ]]="", "", tblPiNAnalysis[[#This Row],[Shelter NFI ]]/tblPiNAnalysis[[#This Row],[Total Population]])</f>
        <v>0.49233954451345757</v>
      </c>
      <c r="AA323" s="317" t="str">
        <f>IF(tblPiNAnalysis[[#This Row],[WASH]]="", "", tblPiNAnalysis[[#This Row],[WASH]]/tblPiNAnalysis[[#This Row],[Total Population]])</f>
        <v/>
      </c>
      <c r="AB323" s="318" t="str">
        <f>IFERROR(IF(tblPiNAnalysis[[#This Row],[CP]]="", "", MROUND(tblPiNAnalysis[[#This Row],[CP]]/tblPiNAnalysis[[#This Row],[Total Population]], 0.05)), "")</f>
        <v/>
      </c>
      <c r="AC323" s="314" t="str">
        <f>IFERROR(IF(tblPiNAnalysis[[#This Row],[GBV]]="", "", MROUND(tblPiNAnalysis[[#This Row],[GBV]]/tblPiNAnalysis[[#This Row],[Total Population]], 0.05)), "")</f>
        <v/>
      </c>
      <c r="AD323" s="314" t="str">
        <f>IFERROR(IF(tblPiNAnalysis[[#This Row],[Mine Action]]="", "", MROUND(tblPiNAnalysis[[#This Row],[Mine Action]]/tblPiNAnalysis[[#This Row],[Total Population]], 0.05)), "")</f>
        <v/>
      </c>
      <c r="AE323" s="314" t="str">
        <f>IFERROR(IF(tblPiNAnalysis[[#This Row],[General Protection]]="", "", MROUND(tblPiNAnalysis[[#This Row],[General Protection]]/tblPiNAnalysis[[#This Row],[Total Population]], 0.05)), "")</f>
        <v/>
      </c>
      <c r="AF323" s="319">
        <f>IFERROR(LARGE(tblPiNAnalysis[[#This Row],[Site Management ]:[General Protection]], 1), "")</f>
        <v>1189</v>
      </c>
      <c r="AG323" s="320">
        <f>IF(tblPiNAnalysis[[#This Row],[Highest PiN]]="", "",tblPiNAnalysis[[#This Row],[Highest PiN]]/ tblPiNAnalysis[[#This Row],[Total Population]])</f>
        <v>0.49233954451345757</v>
      </c>
      <c r="AH323" s="320" t="str">
        <f>IFERROR(IF(tblPiNAnalysis[[#This Row],[Highest PiN]]="", "", IF(tblPiNAnalysis[[#This Row],[Highest sector(s'') PiN %]]&gt;=flag_pin_perc, "Flagged", "")), "")</f>
        <v/>
      </c>
      <c r="AI323" s="321"/>
      <c r="AJ323" s="322"/>
      <c r="AK323" s="323">
        <f>COUNTIFS(tblPiNAnalysis[[#This Row],[Highest PiN greater than 90% of total affected population]:[Manual Flag]],"Flagged")</f>
        <v>0</v>
      </c>
      <c r="AL323" s="324" t="str">
        <f>IF(tblPiNAnalysis[[#This Row],['# Flags]]&gt;0, "Flagged", "")</f>
        <v/>
      </c>
    </row>
    <row r="324" spans="1:38" ht="23.1" customHeight="1" x14ac:dyDescent="0.2">
      <c r="A324" s="309" t="str">
        <f>_xlfn.CONCAT(IF(tblPiNAnalysis[[#This Row],[Population Group]]="", "",tblPiNAnalysis[[#This Row],[Population Group]] ), _xlfn.IFS(tblPiNAnalysis[[#This Row],[Admin 2 P-Code]]&lt;&gt;"", tblPiNAnalysis[[#This Row],[Admin 2 P-Code]], tblPiNAnalysis[[#This Row],[Admin 1 P-Code]]&lt;&gt;"", tblPiNAnalysis[[#This Row],[Admin 1 P-Code]]))</f>
        <v>Non-hosting PopulationSD10065</v>
      </c>
      <c r="B324" s="245" t="s">
        <v>176</v>
      </c>
      <c r="C324" s="246" t="s">
        <v>127</v>
      </c>
      <c r="D324" s="247" t="s">
        <v>406</v>
      </c>
      <c r="E324" s="246" t="s">
        <v>407</v>
      </c>
      <c r="F324" s="248">
        <v>215869</v>
      </c>
      <c r="G324" s="248" t="s">
        <v>568</v>
      </c>
      <c r="H324" s="310"/>
      <c r="I324" s="311"/>
      <c r="J324" s="312"/>
      <c r="K324" s="311"/>
      <c r="L324" s="311"/>
      <c r="M324" s="312"/>
      <c r="N324" s="312">
        <f>_xlfn.XLOOKUP(CONCATENATE(tblPiNAnalysis[[#This Row],[Admin 2 P-Code]],tblPiNAnalysis[[#This Row],[Population Group]]),'Overall severity &amp; PIN Analysis'!A:A,'Overall severity &amp; PIN Analysis'!P:P,0,0)</f>
        <v>0</v>
      </c>
      <c r="O324" s="311"/>
      <c r="P324" s="312"/>
      <c r="Q324" s="312"/>
      <c r="R324" s="312"/>
      <c r="S324" s="312"/>
      <c r="T324" s="313" t="str">
        <f>IF(tblPiNAnalysis[[#This Row],[Site Management ]]="", "", tblPiNAnalysis[[#This Row],[Site Management ]]/tblPiNAnalysis[[#This Row],[Total Population]])</f>
        <v/>
      </c>
      <c r="U324" s="314" t="str">
        <f>IF(tblPiNAnalysis[[#This Row],[Education]]="", "", tblPiNAnalysis[[#This Row],[Education]]/tblPiNAnalysis[[#This Row],[Total Population]])</f>
        <v/>
      </c>
      <c r="V324" s="314" t="str">
        <f>IF(tblPiNAnalysis[[#This Row],[Food Security and Livlihoods]]="", "", tblPiNAnalysis[[#This Row],[Food Security and Livlihoods]]/tblPiNAnalysis[[#This Row],[Total Population]])</f>
        <v/>
      </c>
      <c r="W324" s="315" t="str">
        <f>IF(tblPiNAnalysis[[#This Row],[Health ]]="", "", tblPiNAnalysis[[#This Row],[Health ]]/tblPiNAnalysis[[#This Row],[Total Population]])</f>
        <v/>
      </c>
      <c r="X324" s="314" t="str">
        <f>IF(tblPiNAnalysis[[#This Row],[Nutrition]]="", "", tblPiNAnalysis[[#This Row],[Nutrition]]/tblPiNAnalysis[[#This Row],[Total Population]])</f>
        <v/>
      </c>
      <c r="Y324" s="314" t="str">
        <f>IF(tblPiNAnalysis[[#This Row],[Protection]]="", "", tblPiNAnalysis[[#This Row],[Protection]]/tblPiNAnalysis[[#This Row],[Total Population]])</f>
        <v/>
      </c>
      <c r="Z324" s="316">
        <f>IF(tblPiNAnalysis[[#This Row],[Shelter NFI ]]="", "", tblPiNAnalysis[[#This Row],[Shelter NFI ]]/tblPiNAnalysis[[#This Row],[Total Population]])</f>
        <v>0</v>
      </c>
      <c r="AA324" s="317" t="str">
        <f>IF(tblPiNAnalysis[[#This Row],[WASH]]="", "", tblPiNAnalysis[[#This Row],[WASH]]/tblPiNAnalysis[[#This Row],[Total Population]])</f>
        <v/>
      </c>
      <c r="AB324" s="318" t="str">
        <f>IFERROR(IF(tblPiNAnalysis[[#This Row],[CP]]="", "", MROUND(tblPiNAnalysis[[#This Row],[CP]]/tblPiNAnalysis[[#This Row],[Total Population]], 0.05)), "")</f>
        <v/>
      </c>
      <c r="AC324" s="314" t="str">
        <f>IFERROR(IF(tblPiNAnalysis[[#This Row],[GBV]]="", "", MROUND(tblPiNAnalysis[[#This Row],[GBV]]/tblPiNAnalysis[[#This Row],[Total Population]], 0.05)), "")</f>
        <v/>
      </c>
      <c r="AD324" s="314" t="str">
        <f>IFERROR(IF(tblPiNAnalysis[[#This Row],[Mine Action]]="", "", MROUND(tblPiNAnalysis[[#This Row],[Mine Action]]/tblPiNAnalysis[[#This Row],[Total Population]], 0.05)), "")</f>
        <v/>
      </c>
      <c r="AE324" s="314" t="str">
        <f>IFERROR(IF(tblPiNAnalysis[[#This Row],[General Protection]]="", "", MROUND(tblPiNAnalysis[[#This Row],[General Protection]]/tblPiNAnalysis[[#This Row],[Total Population]], 0.05)), "")</f>
        <v/>
      </c>
      <c r="AF324" s="319">
        <f>IFERROR(LARGE(tblPiNAnalysis[[#This Row],[Site Management ]:[General Protection]], 1), "")</f>
        <v>0</v>
      </c>
      <c r="AG324" s="320">
        <f>IF(tblPiNAnalysis[[#This Row],[Highest PiN]]="", "",tblPiNAnalysis[[#This Row],[Highest PiN]]/ tblPiNAnalysis[[#This Row],[Total Population]])</f>
        <v>0</v>
      </c>
      <c r="AH324" s="320" t="str">
        <f>IFERROR(IF(tblPiNAnalysis[[#This Row],[Highest PiN]]="", "", IF(tblPiNAnalysis[[#This Row],[Highest sector(s'') PiN %]]&gt;=flag_pin_perc, "Flagged", "")), "")</f>
        <v/>
      </c>
      <c r="AI324" s="321"/>
      <c r="AJ324" s="322"/>
      <c r="AK324" s="323">
        <f>COUNTIFS(tblPiNAnalysis[[#This Row],[Highest PiN greater than 90% of total affected population]:[Manual Flag]],"Flagged")</f>
        <v>0</v>
      </c>
      <c r="AL324" s="324" t="str">
        <f>IF(tblPiNAnalysis[[#This Row],['# Flags]]&gt;0, "Flagged", "")</f>
        <v/>
      </c>
    </row>
    <row r="325" spans="1:38" ht="23.1" hidden="1" customHeight="1" x14ac:dyDescent="0.2">
      <c r="A325" s="309" t="str">
        <f>_xlfn.CONCAT(IF(tblPiNAnalysis[[#This Row],[Population Group]]="", "",tblPiNAnalysis[[#This Row],[Population Group]] ), _xlfn.IFS(tblPiNAnalysis[[#This Row],[Admin 2 P-Code]]&lt;&gt;"", tblPiNAnalysis[[#This Row],[Admin 2 P-Code]], tblPiNAnalysis[[#This Row],[Admin 1 P-Code]]&lt;&gt;"", tblPiNAnalysis[[#This Row],[Admin 1 P-Code]]))</f>
        <v>Host CommunitySD10066</v>
      </c>
      <c r="B325" s="245" t="s">
        <v>176</v>
      </c>
      <c r="C325" s="246" t="s">
        <v>127</v>
      </c>
      <c r="D325" s="247" t="s">
        <v>408</v>
      </c>
      <c r="E325" s="246" t="s">
        <v>409</v>
      </c>
      <c r="F325" s="248">
        <v>600</v>
      </c>
      <c r="G325" s="248" t="s">
        <v>87</v>
      </c>
      <c r="H325" s="310"/>
      <c r="I325" s="311"/>
      <c r="J325" s="312"/>
      <c r="K325" s="311"/>
      <c r="L325" s="311"/>
      <c r="M325" s="312"/>
      <c r="N325" s="312">
        <f>_xlfn.XLOOKUP(CONCATENATE(tblPiNAnalysis[[#This Row],[Admin 2 P-Code]],tblPiNAnalysis[[#This Row],[Population Group]]),'Overall severity &amp; PIN Analysis'!A:A,'Overall severity &amp; PIN Analysis'!P:P,0,0)</f>
        <v>131</v>
      </c>
      <c r="O325" s="311"/>
      <c r="P325" s="312"/>
      <c r="Q325" s="312"/>
      <c r="R325" s="312"/>
      <c r="S325" s="312"/>
      <c r="T325" s="313" t="str">
        <f>IF(tblPiNAnalysis[[#This Row],[Site Management ]]="", "", tblPiNAnalysis[[#This Row],[Site Management ]]/tblPiNAnalysis[[#This Row],[Total Population]])</f>
        <v/>
      </c>
      <c r="U325" s="314" t="str">
        <f>IF(tblPiNAnalysis[[#This Row],[Education]]="", "", tblPiNAnalysis[[#This Row],[Education]]/tblPiNAnalysis[[#This Row],[Total Population]])</f>
        <v/>
      </c>
      <c r="V325" s="314" t="str">
        <f>IF(tblPiNAnalysis[[#This Row],[Food Security and Livlihoods]]="", "", tblPiNAnalysis[[#This Row],[Food Security and Livlihoods]]/tblPiNAnalysis[[#This Row],[Total Population]])</f>
        <v/>
      </c>
      <c r="W325" s="315" t="str">
        <f>IF(tblPiNAnalysis[[#This Row],[Health ]]="", "", tblPiNAnalysis[[#This Row],[Health ]]/tblPiNAnalysis[[#This Row],[Total Population]])</f>
        <v/>
      </c>
      <c r="X325" s="314" t="str">
        <f>IF(tblPiNAnalysis[[#This Row],[Nutrition]]="", "", tblPiNAnalysis[[#This Row],[Nutrition]]/tblPiNAnalysis[[#This Row],[Total Population]])</f>
        <v/>
      </c>
      <c r="Y325" s="314" t="str">
        <f>IF(tblPiNAnalysis[[#This Row],[Protection]]="", "", tblPiNAnalysis[[#This Row],[Protection]]/tblPiNAnalysis[[#This Row],[Total Population]])</f>
        <v/>
      </c>
      <c r="Z325" s="316">
        <f>IF(tblPiNAnalysis[[#This Row],[Shelter NFI ]]="", "", tblPiNAnalysis[[#This Row],[Shelter NFI ]]/tblPiNAnalysis[[#This Row],[Total Population]])</f>
        <v>0.21833333333333332</v>
      </c>
      <c r="AA325" s="317" t="str">
        <f>IF(tblPiNAnalysis[[#This Row],[WASH]]="", "", tblPiNAnalysis[[#This Row],[WASH]]/tblPiNAnalysis[[#This Row],[Total Population]])</f>
        <v/>
      </c>
      <c r="AB325" s="318" t="str">
        <f>IFERROR(IF(tblPiNAnalysis[[#This Row],[CP]]="", "", MROUND(tblPiNAnalysis[[#This Row],[CP]]/tblPiNAnalysis[[#This Row],[Total Population]], 0.05)), "")</f>
        <v/>
      </c>
      <c r="AC325" s="314" t="str">
        <f>IFERROR(IF(tblPiNAnalysis[[#This Row],[GBV]]="", "", MROUND(tblPiNAnalysis[[#This Row],[GBV]]/tblPiNAnalysis[[#This Row],[Total Population]], 0.05)), "")</f>
        <v/>
      </c>
      <c r="AD325" s="314" t="str">
        <f>IFERROR(IF(tblPiNAnalysis[[#This Row],[Mine Action]]="", "", MROUND(tblPiNAnalysis[[#This Row],[Mine Action]]/tblPiNAnalysis[[#This Row],[Total Population]], 0.05)), "")</f>
        <v/>
      </c>
      <c r="AE325" s="314" t="str">
        <f>IFERROR(IF(tblPiNAnalysis[[#This Row],[General Protection]]="", "", MROUND(tblPiNAnalysis[[#This Row],[General Protection]]/tblPiNAnalysis[[#This Row],[Total Population]], 0.05)), "")</f>
        <v/>
      </c>
      <c r="AF325" s="319">
        <f>IFERROR(LARGE(tblPiNAnalysis[[#This Row],[Site Management ]:[General Protection]], 1), "")</f>
        <v>131</v>
      </c>
      <c r="AG325" s="320">
        <f>IF(tblPiNAnalysis[[#This Row],[Highest PiN]]="", "",tblPiNAnalysis[[#This Row],[Highest PiN]]/ tblPiNAnalysis[[#This Row],[Total Population]])</f>
        <v>0.21833333333333332</v>
      </c>
      <c r="AH325" s="320" t="str">
        <f>IFERROR(IF(tblPiNAnalysis[[#This Row],[Highest PiN]]="", "", IF(tblPiNAnalysis[[#This Row],[Highest sector(s'') PiN %]]&gt;=flag_pin_perc, "Flagged", "")), "")</f>
        <v/>
      </c>
      <c r="AI325" s="321"/>
      <c r="AJ325" s="322"/>
      <c r="AK325" s="323">
        <f>COUNTIFS(tblPiNAnalysis[[#This Row],[Highest PiN greater than 90% of total affected population]:[Manual Flag]],"Flagged")</f>
        <v>0</v>
      </c>
      <c r="AL325" s="324" t="str">
        <f>IF(tblPiNAnalysis[[#This Row],['# Flags]]&gt;0, "Flagged", "")</f>
        <v/>
      </c>
    </row>
    <row r="326" spans="1:38" ht="23.1" hidden="1" customHeight="1" x14ac:dyDescent="0.2">
      <c r="A326" s="309" t="str">
        <f>_xlfn.CONCAT(IF(tblPiNAnalysis[[#This Row],[Population Group]]="", "",tblPiNAnalysis[[#This Row],[Population Group]] ), _xlfn.IFS(tblPiNAnalysis[[#This Row],[Admin 2 P-Code]]&lt;&gt;"", tblPiNAnalysis[[#This Row],[Admin 2 P-Code]], tblPiNAnalysis[[#This Row],[Admin 1 P-Code]]&lt;&gt;"", tblPiNAnalysis[[#This Row],[Admin 1 P-Code]]))</f>
        <v>IDPsSD10066</v>
      </c>
      <c r="B326" s="245" t="s">
        <v>176</v>
      </c>
      <c r="C326" s="246" t="s">
        <v>127</v>
      </c>
      <c r="D326" s="247" t="s">
        <v>408</v>
      </c>
      <c r="E326" s="246" t="s">
        <v>409</v>
      </c>
      <c r="F326" s="248">
        <v>490</v>
      </c>
      <c r="G326" s="248" t="s">
        <v>88</v>
      </c>
      <c r="H326" s="310"/>
      <c r="I326" s="311"/>
      <c r="J326" s="312"/>
      <c r="K326" s="311"/>
      <c r="L326" s="311"/>
      <c r="M326" s="312"/>
      <c r="N326" s="312">
        <f>_xlfn.XLOOKUP(CONCATENATE(tblPiNAnalysis[[#This Row],[Admin 2 P-Code]],tblPiNAnalysis[[#This Row],[Population Group]]),'Overall severity &amp; PIN Analysis'!A:A,'Overall severity &amp; PIN Analysis'!P:P,0,0)</f>
        <v>107</v>
      </c>
      <c r="O326" s="311"/>
      <c r="P326" s="312"/>
      <c r="Q326" s="312"/>
      <c r="R326" s="312"/>
      <c r="S326" s="312"/>
      <c r="T326" s="313" t="str">
        <f>IF(tblPiNAnalysis[[#This Row],[Site Management ]]="", "", tblPiNAnalysis[[#This Row],[Site Management ]]/tblPiNAnalysis[[#This Row],[Total Population]])</f>
        <v/>
      </c>
      <c r="U326" s="314" t="str">
        <f>IF(tblPiNAnalysis[[#This Row],[Education]]="", "", tblPiNAnalysis[[#This Row],[Education]]/tblPiNAnalysis[[#This Row],[Total Population]])</f>
        <v/>
      </c>
      <c r="V326" s="314" t="str">
        <f>IF(tblPiNAnalysis[[#This Row],[Food Security and Livlihoods]]="", "", tblPiNAnalysis[[#This Row],[Food Security and Livlihoods]]/tblPiNAnalysis[[#This Row],[Total Population]])</f>
        <v/>
      </c>
      <c r="W326" s="315" t="str">
        <f>IF(tblPiNAnalysis[[#This Row],[Health ]]="", "", tblPiNAnalysis[[#This Row],[Health ]]/tblPiNAnalysis[[#This Row],[Total Population]])</f>
        <v/>
      </c>
      <c r="X326" s="314" t="str">
        <f>IF(tblPiNAnalysis[[#This Row],[Nutrition]]="", "", tblPiNAnalysis[[#This Row],[Nutrition]]/tblPiNAnalysis[[#This Row],[Total Population]])</f>
        <v/>
      </c>
      <c r="Y326" s="314" t="str">
        <f>IF(tblPiNAnalysis[[#This Row],[Protection]]="", "", tblPiNAnalysis[[#This Row],[Protection]]/tblPiNAnalysis[[#This Row],[Total Population]])</f>
        <v/>
      </c>
      <c r="Z326" s="316">
        <f>IF(tblPiNAnalysis[[#This Row],[Shelter NFI ]]="", "", tblPiNAnalysis[[#This Row],[Shelter NFI ]]/tblPiNAnalysis[[#This Row],[Total Population]])</f>
        <v>0.21836734693877552</v>
      </c>
      <c r="AA326" s="317" t="str">
        <f>IF(tblPiNAnalysis[[#This Row],[WASH]]="", "", tblPiNAnalysis[[#This Row],[WASH]]/tblPiNAnalysis[[#This Row],[Total Population]])</f>
        <v/>
      </c>
      <c r="AB326" s="318" t="str">
        <f>IFERROR(IF(tblPiNAnalysis[[#This Row],[CP]]="", "", MROUND(tblPiNAnalysis[[#This Row],[CP]]/tblPiNAnalysis[[#This Row],[Total Population]], 0.05)), "")</f>
        <v/>
      </c>
      <c r="AC326" s="314" t="str">
        <f>IFERROR(IF(tblPiNAnalysis[[#This Row],[GBV]]="", "", MROUND(tblPiNAnalysis[[#This Row],[GBV]]/tblPiNAnalysis[[#This Row],[Total Population]], 0.05)), "")</f>
        <v/>
      </c>
      <c r="AD326" s="314" t="str">
        <f>IFERROR(IF(tblPiNAnalysis[[#This Row],[Mine Action]]="", "", MROUND(tblPiNAnalysis[[#This Row],[Mine Action]]/tblPiNAnalysis[[#This Row],[Total Population]], 0.05)), "")</f>
        <v/>
      </c>
      <c r="AE326" s="314" t="str">
        <f>IFERROR(IF(tblPiNAnalysis[[#This Row],[General Protection]]="", "", MROUND(tblPiNAnalysis[[#This Row],[General Protection]]/tblPiNAnalysis[[#This Row],[Total Population]], 0.05)), "")</f>
        <v/>
      </c>
      <c r="AF326" s="319">
        <f>IFERROR(LARGE(tblPiNAnalysis[[#This Row],[Site Management ]:[General Protection]], 1), "")</f>
        <v>107</v>
      </c>
      <c r="AG326" s="320">
        <f>IF(tblPiNAnalysis[[#This Row],[Highest PiN]]="", "",tblPiNAnalysis[[#This Row],[Highest PiN]]/ tblPiNAnalysis[[#This Row],[Total Population]])</f>
        <v>0.21836734693877552</v>
      </c>
      <c r="AH326" s="320" t="str">
        <f>IFERROR(IF(tblPiNAnalysis[[#This Row],[Highest PiN]]="", "", IF(tblPiNAnalysis[[#This Row],[Highest sector(s'') PiN %]]&gt;=flag_pin_perc, "Flagged", "")), "")</f>
        <v/>
      </c>
      <c r="AI326" s="321"/>
      <c r="AJ326" s="322"/>
      <c r="AK326" s="323">
        <f>COUNTIFS(tblPiNAnalysis[[#This Row],[Highest PiN greater than 90% of total affected population]:[Manual Flag]],"Flagged")</f>
        <v>0</v>
      </c>
      <c r="AL326" s="324" t="str">
        <f>IF(tblPiNAnalysis[[#This Row],['# Flags]]&gt;0, "Flagged", "")</f>
        <v/>
      </c>
    </row>
    <row r="327" spans="1:38" ht="23.1" customHeight="1" x14ac:dyDescent="0.2">
      <c r="A327" s="309" t="str">
        <f>_xlfn.CONCAT(IF(tblPiNAnalysis[[#This Row],[Population Group]]="", "",tblPiNAnalysis[[#This Row],[Population Group]] ), _xlfn.IFS(tblPiNAnalysis[[#This Row],[Admin 2 P-Code]]&lt;&gt;"", tblPiNAnalysis[[#This Row],[Admin 2 P-Code]], tblPiNAnalysis[[#This Row],[Admin 1 P-Code]]&lt;&gt;"", tblPiNAnalysis[[#This Row],[Admin 1 P-Code]]))</f>
        <v>Non-hosting PopulationSD10066</v>
      </c>
      <c r="B327" s="245" t="s">
        <v>176</v>
      </c>
      <c r="C327" s="246" t="s">
        <v>127</v>
      </c>
      <c r="D327" s="247" t="s">
        <v>408</v>
      </c>
      <c r="E327" s="246" t="s">
        <v>409</v>
      </c>
      <c r="F327" s="248">
        <v>32794</v>
      </c>
      <c r="G327" s="248" t="s">
        <v>568</v>
      </c>
      <c r="H327" s="310"/>
      <c r="I327" s="311"/>
      <c r="J327" s="312"/>
      <c r="K327" s="311"/>
      <c r="L327" s="311"/>
      <c r="M327" s="312"/>
      <c r="N327" s="312">
        <f>_xlfn.XLOOKUP(CONCATENATE(tblPiNAnalysis[[#This Row],[Admin 2 P-Code]],tblPiNAnalysis[[#This Row],[Population Group]]),'Overall severity &amp; PIN Analysis'!A:A,'Overall severity &amp; PIN Analysis'!P:P,0,0)</f>
        <v>231</v>
      </c>
      <c r="O327" s="311"/>
      <c r="P327" s="312"/>
      <c r="Q327" s="312"/>
      <c r="R327" s="312"/>
      <c r="S327" s="312"/>
      <c r="T327" s="313" t="str">
        <f>IF(tblPiNAnalysis[[#This Row],[Site Management ]]="", "", tblPiNAnalysis[[#This Row],[Site Management ]]/tblPiNAnalysis[[#This Row],[Total Population]])</f>
        <v/>
      </c>
      <c r="U327" s="314" t="str">
        <f>IF(tblPiNAnalysis[[#This Row],[Education]]="", "", tblPiNAnalysis[[#This Row],[Education]]/tblPiNAnalysis[[#This Row],[Total Population]])</f>
        <v/>
      </c>
      <c r="V327" s="314" t="str">
        <f>IF(tblPiNAnalysis[[#This Row],[Food Security and Livlihoods]]="", "", tblPiNAnalysis[[#This Row],[Food Security and Livlihoods]]/tblPiNAnalysis[[#This Row],[Total Population]])</f>
        <v/>
      </c>
      <c r="W327" s="315" t="str">
        <f>IF(tblPiNAnalysis[[#This Row],[Health ]]="", "", tblPiNAnalysis[[#This Row],[Health ]]/tblPiNAnalysis[[#This Row],[Total Population]])</f>
        <v/>
      </c>
      <c r="X327" s="314" t="str">
        <f>IF(tblPiNAnalysis[[#This Row],[Nutrition]]="", "", tblPiNAnalysis[[#This Row],[Nutrition]]/tblPiNAnalysis[[#This Row],[Total Population]])</f>
        <v/>
      </c>
      <c r="Y327" s="314" t="str">
        <f>IF(tblPiNAnalysis[[#This Row],[Protection]]="", "", tblPiNAnalysis[[#This Row],[Protection]]/tblPiNAnalysis[[#This Row],[Total Population]])</f>
        <v/>
      </c>
      <c r="Z327" s="316">
        <f>IF(tblPiNAnalysis[[#This Row],[Shelter NFI ]]="", "", tblPiNAnalysis[[#This Row],[Shelter NFI ]]/tblPiNAnalysis[[#This Row],[Total Population]])</f>
        <v>7.0439714581935721E-3</v>
      </c>
      <c r="AA327" s="317" t="str">
        <f>IF(tblPiNAnalysis[[#This Row],[WASH]]="", "", tblPiNAnalysis[[#This Row],[WASH]]/tblPiNAnalysis[[#This Row],[Total Population]])</f>
        <v/>
      </c>
      <c r="AB327" s="318" t="str">
        <f>IFERROR(IF(tblPiNAnalysis[[#This Row],[CP]]="", "", MROUND(tblPiNAnalysis[[#This Row],[CP]]/tblPiNAnalysis[[#This Row],[Total Population]], 0.05)), "")</f>
        <v/>
      </c>
      <c r="AC327" s="314" t="str">
        <f>IFERROR(IF(tblPiNAnalysis[[#This Row],[GBV]]="", "", MROUND(tblPiNAnalysis[[#This Row],[GBV]]/tblPiNAnalysis[[#This Row],[Total Population]], 0.05)), "")</f>
        <v/>
      </c>
      <c r="AD327" s="314" t="str">
        <f>IFERROR(IF(tblPiNAnalysis[[#This Row],[Mine Action]]="", "", MROUND(tblPiNAnalysis[[#This Row],[Mine Action]]/tblPiNAnalysis[[#This Row],[Total Population]], 0.05)), "")</f>
        <v/>
      </c>
      <c r="AE327" s="314" t="str">
        <f>IFERROR(IF(tblPiNAnalysis[[#This Row],[General Protection]]="", "", MROUND(tblPiNAnalysis[[#This Row],[General Protection]]/tblPiNAnalysis[[#This Row],[Total Population]], 0.05)), "")</f>
        <v/>
      </c>
      <c r="AF327" s="319">
        <f>IFERROR(LARGE(tblPiNAnalysis[[#This Row],[Site Management ]:[General Protection]], 1), "")</f>
        <v>231</v>
      </c>
      <c r="AG327" s="320">
        <f>IF(tblPiNAnalysis[[#This Row],[Highest PiN]]="", "",tblPiNAnalysis[[#This Row],[Highest PiN]]/ tblPiNAnalysis[[#This Row],[Total Population]])</f>
        <v>7.0439714581935721E-3</v>
      </c>
      <c r="AH327" s="320" t="str">
        <f>IFERROR(IF(tblPiNAnalysis[[#This Row],[Highest PiN]]="", "", IF(tblPiNAnalysis[[#This Row],[Highest sector(s'') PiN %]]&gt;=flag_pin_perc, "Flagged", "")), "")</f>
        <v/>
      </c>
      <c r="AI327" s="321"/>
      <c r="AJ327" s="322"/>
      <c r="AK327" s="323">
        <f>COUNTIFS(tblPiNAnalysis[[#This Row],[Highest PiN greater than 90% of total affected population]:[Manual Flag]],"Flagged")</f>
        <v>0</v>
      </c>
      <c r="AL327" s="324" t="str">
        <f>IF(tblPiNAnalysis[[#This Row],['# Flags]]&gt;0, "Flagged", "")</f>
        <v/>
      </c>
    </row>
    <row r="328" spans="1:38" ht="23.1" hidden="1" customHeight="1" x14ac:dyDescent="0.2">
      <c r="A328" s="309" t="str">
        <f>_xlfn.CONCAT(IF(tblPiNAnalysis[[#This Row],[Population Group]]="", "",tblPiNAnalysis[[#This Row],[Population Group]] ), _xlfn.IFS(tblPiNAnalysis[[#This Row],[Admin 2 P-Code]]&lt;&gt;"", tblPiNAnalysis[[#This Row],[Admin 2 P-Code]], tblPiNAnalysis[[#This Row],[Admin 1 P-Code]]&lt;&gt;"", tblPiNAnalysis[[#This Row],[Admin 1 P-Code]]))</f>
        <v>Host CommunitySD10067</v>
      </c>
      <c r="B328" s="245" t="s">
        <v>176</v>
      </c>
      <c r="C328" s="246" t="s">
        <v>127</v>
      </c>
      <c r="D328" s="247" t="s">
        <v>410</v>
      </c>
      <c r="E328" s="246" t="s">
        <v>411</v>
      </c>
      <c r="F328" s="248">
        <v>345</v>
      </c>
      <c r="G328" s="248" t="s">
        <v>87</v>
      </c>
      <c r="H328" s="310"/>
      <c r="I328" s="311"/>
      <c r="J328" s="312"/>
      <c r="K328" s="311"/>
      <c r="L328" s="311"/>
      <c r="M328" s="312"/>
      <c r="N328" s="312">
        <f>_xlfn.XLOOKUP(CONCATENATE(tblPiNAnalysis[[#This Row],[Admin 2 P-Code]],tblPiNAnalysis[[#This Row],[Population Group]]),'Overall severity &amp; PIN Analysis'!A:A,'Overall severity &amp; PIN Analysis'!P:P,0,0)</f>
        <v>222</v>
      </c>
      <c r="O328" s="311"/>
      <c r="P328" s="312"/>
      <c r="Q328" s="312"/>
      <c r="R328" s="312"/>
      <c r="S328" s="312"/>
      <c r="T328" s="313" t="str">
        <f>IF(tblPiNAnalysis[[#This Row],[Site Management ]]="", "", tblPiNAnalysis[[#This Row],[Site Management ]]/tblPiNAnalysis[[#This Row],[Total Population]])</f>
        <v/>
      </c>
      <c r="U328" s="314" t="str">
        <f>IF(tblPiNAnalysis[[#This Row],[Education]]="", "", tblPiNAnalysis[[#This Row],[Education]]/tblPiNAnalysis[[#This Row],[Total Population]])</f>
        <v/>
      </c>
      <c r="V328" s="314" t="str">
        <f>IF(tblPiNAnalysis[[#This Row],[Food Security and Livlihoods]]="", "", tblPiNAnalysis[[#This Row],[Food Security and Livlihoods]]/tblPiNAnalysis[[#This Row],[Total Population]])</f>
        <v/>
      </c>
      <c r="W328" s="315" t="str">
        <f>IF(tblPiNAnalysis[[#This Row],[Health ]]="", "", tblPiNAnalysis[[#This Row],[Health ]]/tblPiNAnalysis[[#This Row],[Total Population]])</f>
        <v/>
      </c>
      <c r="X328" s="314" t="str">
        <f>IF(tblPiNAnalysis[[#This Row],[Nutrition]]="", "", tblPiNAnalysis[[#This Row],[Nutrition]]/tblPiNAnalysis[[#This Row],[Total Population]])</f>
        <v/>
      </c>
      <c r="Y328" s="314" t="str">
        <f>IF(tblPiNAnalysis[[#This Row],[Protection]]="", "", tblPiNAnalysis[[#This Row],[Protection]]/tblPiNAnalysis[[#This Row],[Total Population]])</f>
        <v/>
      </c>
      <c r="Z328" s="316">
        <f>IF(tblPiNAnalysis[[#This Row],[Shelter NFI ]]="", "", tblPiNAnalysis[[#This Row],[Shelter NFI ]]/tblPiNAnalysis[[#This Row],[Total Population]])</f>
        <v>0.64347826086956517</v>
      </c>
      <c r="AA328" s="317" t="str">
        <f>IF(tblPiNAnalysis[[#This Row],[WASH]]="", "", tblPiNAnalysis[[#This Row],[WASH]]/tblPiNAnalysis[[#This Row],[Total Population]])</f>
        <v/>
      </c>
      <c r="AB328" s="318" t="str">
        <f>IFERROR(IF(tblPiNAnalysis[[#This Row],[CP]]="", "", MROUND(tblPiNAnalysis[[#This Row],[CP]]/tblPiNAnalysis[[#This Row],[Total Population]], 0.05)), "")</f>
        <v/>
      </c>
      <c r="AC328" s="314" t="str">
        <f>IFERROR(IF(tblPiNAnalysis[[#This Row],[GBV]]="", "", MROUND(tblPiNAnalysis[[#This Row],[GBV]]/tblPiNAnalysis[[#This Row],[Total Population]], 0.05)), "")</f>
        <v/>
      </c>
      <c r="AD328" s="314" t="str">
        <f>IFERROR(IF(tblPiNAnalysis[[#This Row],[Mine Action]]="", "", MROUND(tblPiNAnalysis[[#This Row],[Mine Action]]/tblPiNAnalysis[[#This Row],[Total Population]], 0.05)), "")</f>
        <v/>
      </c>
      <c r="AE328" s="314" t="str">
        <f>IFERROR(IF(tblPiNAnalysis[[#This Row],[General Protection]]="", "", MROUND(tblPiNAnalysis[[#This Row],[General Protection]]/tblPiNAnalysis[[#This Row],[Total Population]], 0.05)), "")</f>
        <v/>
      </c>
      <c r="AF328" s="319">
        <f>IFERROR(LARGE(tblPiNAnalysis[[#This Row],[Site Management ]:[General Protection]], 1), "")</f>
        <v>222</v>
      </c>
      <c r="AG328" s="320">
        <f>IF(tblPiNAnalysis[[#This Row],[Highest PiN]]="", "",tblPiNAnalysis[[#This Row],[Highest PiN]]/ tblPiNAnalysis[[#This Row],[Total Population]])</f>
        <v>0.64347826086956517</v>
      </c>
      <c r="AH328" s="320" t="str">
        <f>IFERROR(IF(tblPiNAnalysis[[#This Row],[Highest PiN]]="", "", IF(tblPiNAnalysis[[#This Row],[Highest sector(s'') PiN %]]&gt;=flag_pin_perc, "Flagged", "")), "")</f>
        <v/>
      </c>
      <c r="AI328" s="321"/>
      <c r="AJ328" s="322"/>
      <c r="AK328" s="323">
        <f>COUNTIFS(tblPiNAnalysis[[#This Row],[Highest PiN greater than 90% of total affected population]:[Manual Flag]],"Flagged")</f>
        <v>0</v>
      </c>
      <c r="AL328" s="324" t="str">
        <f>IF(tblPiNAnalysis[[#This Row],['# Flags]]&gt;0, "Flagged", "")</f>
        <v/>
      </c>
    </row>
    <row r="329" spans="1:38" ht="23.1" hidden="1" customHeight="1" x14ac:dyDescent="0.2">
      <c r="A329" s="309" t="str">
        <f>_xlfn.CONCAT(IF(tblPiNAnalysis[[#This Row],[Population Group]]="", "",tblPiNAnalysis[[#This Row],[Population Group]] ), _xlfn.IFS(tblPiNAnalysis[[#This Row],[Admin 2 P-Code]]&lt;&gt;"", tblPiNAnalysis[[#This Row],[Admin 2 P-Code]], tblPiNAnalysis[[#This Row],[Admin 1 P-Code]]&lt;&gt;"", tblPiNAnalysis[[#This Row],[Admin 1 P-Code]]))</f>
        <v>IDPsSD10067</v>
      </c>
      <c r="B329" s="245" t="s">
        <v>176</v>
      </c>
      <c r="C329" s="246" t="s">
        <v>127</v>
      </c>
      <c r="D329" s="247" t="s">
        <v>410</v>
      </c>
      <c r="E329" s="246" t="s">
        <v>411</v>
      </c>
      <c r="F329" s="248">
        <v>280</v>
      </c>
      <c r="G329" s="248" t="s">
        <v>88</v>
      </c>
      <c r="H329" s="310"/>
      <c r="I329" s="311"/>
      <c r="J329" s="312"/>
      <c r="K329" s="311"/>
      <c r="L329" s="311"/>
      <c r="M329" s="312"/>
      <c r="N329" s="312">
        <f>_xlfn.XLOOKUP(CONCATENATE(tblPiNAnalysis[[#This Row],[Admin 2 P-Code]],tblPiNAnalysis[[#This Row],[Population Group]]),'Overall severity &amp; PIN Analysis'!A:A,'Overall severity &amp; PIN Analysis'!P:P,0,0)</f>
        <v>180</v>
      </c>
      <c r="O329" s="311"/>
      <c r="P329" s="312"/>
      <c r="Q329" s="312"/>
      <c r="R329" s="312"/>
      <c r="S329" s="312"/>
      <c r="T329" s="313" t="str">
        <f>IF(tblPiNAnalysis[[#This Row],[Site Management ]]="", "", tblPiNAnalysis[[#This Row],[Site Management ]]/tblPiNAnalysis[[#This Row],[Total Population]])</f>
        <v/>
      </c>
      <c r="U329" s="314" t="str">
        <f>IF(tblPiNAnalysis[[#This Row],[Education]]="", "", tblPiNAnalysis[[#This Row],[Education]]/tblPiNAnalysis[[#This Row],[Total Population]])</f>
        <v/>
      </c>
      <c r="V329" s="314" t="str">
        <f>IF(tblPiNAnalysis[[#This Row],[Food Security and Livlihoods]]="", "", tblPiNAnalysis[[#This Row],[Food Security and Livlihoods]]/tblPiNAnalysis[[#This Row],[Total Population]])</f>
        <v/>
      </c>
      <c r="W329" s="315" t="str">
        <f>IF(tblPiNAnalysis[[#This Row],[Health ]]="", "", tblPiNAnalysis[[#This Row],[Health ]]/tblPiNAnalysis[[#This Row],[Total Population]])</f>
        <v/>
      </c>
      <c r="X329" s="314" t="str">
        <f>IF(tblPiNAnalysis[[#This Row],[Nutrition]]="", "", tblPiNAnalysis[[#This Row],[Nutrition]]/tblPiNAnalysis[[#This Row],[Total Population]])</f>
        <v/>
      </c>
      <c r="Y329" s="314" t="str">
        <f>IF(tblPiNAnalysis[[#This Row],[Protection]]="", "", tblPiNAnalysis[[#This Row],[Protection]]/tblPiNAnalysis[[#This Row],[Total Population]])</f>
        <v/>
      </c>
      <c r="Z329" s="316">
        <f>IF(tblPiNAnalysis[[#This Row],[Shelter NFI ]]="", "", tblPiNAnalysis[[#This Row],[Shelter NFI ]]/tblPiNAnalysis[[#This Row],[Total Population]])</f>
        <v>0.6428571428571429</v>
      </c>
      <c r="AA329" s="317" t="str">
        <f>IF(tblPiNAnalysis[[#This Row],[WASH]]="", "", tblPiNAnalysis[[#This Row],[WASH]]/tblPiNAnalysis[[#This Row],[Total Population]])</f>
        <v/>
      </c>
      <c r="AB329" s="318" t="str">
        <f>IFERROR(IF(tblPiNAnalysis[[#This Row],[CP]]="", "", MROUND(tblPiNAnalysis[[#This Row],[CP]]/tblPiNAnalysis[[#This Row],[Total Population]], 0.05)), "")</f>
        <v/>
      </c>
      <c r="AC329" s="314" t="str">
        <f>IFERROR(IF(tblPiNAnalysis[[#This Row],[GBV]]="", "", MROUND(tblPiNAnalysis[[#This Row],[GBV]]/tblPiNAnalysis[[#This Row],[Total Population]], 0.05)), "")</f>
        <v/>
      </c>
      <c r="AD329" s="314" t="str">
        <f>IFERROR(IF(tblPiNAnalysis[[#This Row],[Mine Action]]="", "", MROUND(tblPiNAnalysis[[#This Row],[Mine Action]]/tblPiNAnalysis[[#This Row],[Total Population]], 0.05)), "")</f>
        <v/>
      </c>
      <c r="AE329" s="314" t="str">
        <f>IFERROR(IF(tblPiNAnalysis[[#This Row],[General Protection]]="", "", MROUND(tblPiNAnalysis[[#This Row],[General Protection]]/tblPiNAnalysis[[#This Row],[Total Population]], 0.05)), "")</f>
        <v/>
      </c>
      <c r="AF329" s="319">
        <f>IFERROR(LARGE(tblPiNAnalysis[[#This Row],[Site Management ]:[General Protection]], 1), "")</f>
        <v>180</v>
      </c>
      <c r="AG329" s="320">
        <f>IF(tblPiNAnalysis[[#This Row],[Highest PiN]]="", "",tblPiNAnalysis[[#This Row],[Highest PiN]]/ tblPiNAnalysis[[#This Row],[Total Population]])</f>
        <v>0.6428571428571429</v>
      </c>
      <c r="AH329" s="320" t="str">
        <f>IFERROR(IF(tblPiNAnalysis[[#This Row],[Highest PiN]]="", "", IF(tblPiNAnalysis[[#This Row],[Highest sector(s'') PiN %]]&gt;=flag_pin_perc, "Flagged", "")), "")</f>
        <v/>
      </c>
      <c r="AI329" s="321"/>
      <c r="AJ329" s="322"/>
      <c r="AK329" s="323">
        <f>COUNTIFS(tblPiNAnalysis[[#This Row],[Highest PiN greater than 90% of total affected population]:[Manual Flag]],"Flagged")</f>
        <v>0</v>
      </c>
      <c r="AL329" s="324" t="str">
        <f>IF(tblPiNAnalysis[[#This Row],['# Flags]]&gt;0, "Flagged", "")</f>
        <v/>
      </c>
    </row>
    <row r="330" spans="1:38" ht="23.1" customHeight="1" x14ac:dyDescent="0.2">
      <c r="A330" s="309" t="str">
        <f>_xlfn.CONCAT(IF(tblPiNAnalysis[[#This Row],[Population Group]]="", "",tblPiNAnalysis[[#This Row],[Population Group]] ), _xlfn.IFS(tblPiNAnalysis[[#This Row],[Admin 2 P-Code]]&lt;&gt;"", tblPiNAnalysis[[#This Row],[Admin 2 P-Code]], tblPiNAnalysis[[#This Row],[Admin 1 P-Code]]&lt;&gt;"", tblPiNAnalysis[[#This Row],[Admin 1 P-Code]]))</f>
        <v>Non-hosting PopulationSD10067</v>
      </c>
      <c r="B330" s="245" t="s">
        <v>176</v>
      </c>
      <c r="C330" s="246" t="s">
        <v>127</v>
      </c>
      <c r="D330" s="247" t="s">
        <v>410</v>
      </c>
      <c r="E330" s="246" t="s">
        <v>411</v>
      </c>
      <c r="F330" s="248">
        <v>128554</v>
      </c>
      <c r="G330" s="248" t="s">
        <v>568</v>
      </c>
      <c r="H330" s="310"/>
      <c r="I330" s="311"/>
      <c r="J330" s="312"/>
      <c r="K330" s="311"/>
      <c r="L330" s="311"/>
      <c r="M330" s="312"/>
      <c r="N330" s="312">
        <f>_xlfn.XLOOKUP(CONCATENATE(tblPiNAnalysis[[#This Row],[Admin 2 P-Code]],tblPiNAnalysis[[#This Row],[Population Group]]),'Overall severity &amp; PIN Analysis'!A:A,'Overall severity &amp; PIN Analysis'!P:P,0,0)</f>
        <v>31882</v>
      </c>
      <c r="O330" s="311"/>
      <c r="P330" s="312"/>
      <c r="Q330" s="312"/>
      <c r="R330" s="312"/>
      <c r="S330" s="312"/>
      <c r="T330" s="313" t="str">
        <f>IF(tblPiNAnalysis[[#This Row],[Site Management ]]="", "", tblPiNAnalysis[[#This Row],[Site Management ]]/tblPiNAnalysis[[#This Row],[Total Population]])</f>
        <v/>
      </c>
      <c r="U330" s="314" t="str">
        <f>IF(tblPiNAnalysis[[#This Row],[Education]]="", "", tblPiNAnalysis[[#This Row],[Education]]/tblPiNAnalysis[[#This Row],[Total Population]])</f>
        <v/>
      </c>
      <c r="V330" s="314" t="str">
        <f>IF(tblPiNAnalysis[[#This Row],[Food Security and Livlihoods]]="", "", tblPiNAnalysis[[#This Row],[Food Security and Livlihoods]]/tblPiNAnalysis[[#This Row],[Total Population]])</f>
        <v/>
      </c>
      <c r="W330" s="315" t="str">
        <f>IF(tblPiNAnalysis[[#This Row],[Health ]]="", "", tblPiNAnalysis[[#This Row],[Health ]]/tblPiNAnalysis[[#This Row],[Total Population]])</f>
        <v/>
      </c>
      <c r="X330" s="314" t="str">
        <f>IF(tblPiNAnalysis[[#This Row],[Nutrition]]="", "", tblPiNAnalysis[[#This Row],[Nutrition]]/tblPiNAnalysis[[#This Row],[Total Population]])</f>
        <v/>
      </c>
      <c r="Y330" s="314" t="str">
        <f>IF(tblPiNAnalysis[[#This Row],[Protection]]="", "", tblPiNAnalysis[[#This Row],[Protection]]/tblPiNAnalysis[[#This Row],[Total Population]])</f>
        <v/>
      </c>
      <c r="Z330" s="316">
        <f>IF(tblPiNAnalysis[[#This Row],[Shelter NFI ]]="", "", tblPiNAnalysis[[#This Row],[Shelter NFI ]]/tblPiNAnalysis[[#This Row],[Total Population]])</f>
        <v>0.24800472953000297</v>
      </c>
      <c r="AA330" s="317" t="str">
        <f>IF(tblPiNAnalysis[[#This Row],[WASH]]="", "", tblPiNAnalysis[[#This Row],[WASH]]/tblPiNAnalysis[[#This Row],[Total Population]])</f>
        <v/>
      </c>
      <c r="AB330" s="318" t="str">
        <f>IFERROR(IF(tblPiNAnalysis[[#This Row],[CP]]="", "", MROUND(tblPiNAnalysis[[#This Row],[CP]]/tblPiNAnalysis[[#This Row],[Total Population]], 0.05)), "")</f>
        <v/>
      </c>
      <c r="AC330" s="314" t="str">
        <f>IFERROR(IF(tblPiNAnalysis[[#This Row],[GBV]]="", "", MROUND(tblPiNAnalysis[[#This Row],[GBV]]/tblPiNAnalysis[[#This Row],[Total Population]], 0.05)), "")</f>
        <v/>
      </c>
      <c r="AD330" s="314" t="str">
        <f>IFERROR(IF(tblPiNAnalysis[[#This Row],[Mine Action]]="", "", MROUND(tblPiNAnalysis[[#This Row],[Mine Action]]/tblPiNAnalysis[[#This Row],[Total Population]], 0.05)), "")</f>
        <v/>
      </c>
      <c r="AE330" s="314" t="str">
        <f>IFERROR(IF(tblPiNAnalysis[[#This Row],[General Protection]]="", "", MROUND(tblPiNAnalysis[[#This Row],[General Protection]]/tblPiNAnalysis[[#This Row],[Total Population]], 0.05)), "")</f>
        <v/>
      </c>
      <c r="AF330" s="319">
        <f>IFERROR(LARGE(tblPiNAnalysis[[#This Row],[Site Management ]:[General Protection]], 1), "")</f>
        <v>31882</v>
      </c>
      <c r="AG330" s="320">
        <f>IF(tblPiNAnalysis[[#This Row],[Highest PiN]]="", "",tblPiNAnalysis[[#This Row],[Highest PiN]]/ tblPiNAnalysis[[#This Row],[Total Population]])</f>
        <v>0.24800472953000297</v>
      </c>
      <c r="AH330" s="320" t="str">
        <f>IFERROR(IF(tblPiNAnalysis[[#This Row],[Highest PiN]]="", "", IF(tblPiNAnalysis[[#This Row],[Highest sector(s'') PiN %]]&gt;=flag_pin_perc, "Flagged", "")), "")</f>
        <v/>
      </c>
      <c r="AI330" s="321"/>
      <c r="AJ330" s="322"/>
      <c r="AK330" s="323">
        <f>COUNTIFS(tblPiNAnalysis[[#This Row],[Highest PiN greater than 90% of total affected population]:[Manual Flag]],"Flagged")</f>
        <v>0</v>
      </c>
      <c r="AL330" s="324" t="str">
        <f>IF(tblPiNAnalysis[[#This Row],['# Flags]]&gt;0, "Flagged", "")</f>
        <v/>
      </c>
    </row>
    <row r="331" spans="1:38" ht="23.1" hidden="1" customHeight="1" x14ac:dyDescent="0.2">
      <c r="A331" s="309" t="str">
        <f>_xlfn.CONCAT(IF(tblPiNAnalysis[[#This Row],[Population Group]]="", "",tblPiNAnalysis[[#This Row],[Population Group]] ), _xlfn.IFS(tblPiNAnalysis[[#This Row],[Admin 2 P-Code]]&lt;&gt;"", tblPiNAnalysis[[#This Row],[Admin 2 P-Code]], tblPiNAnalysis[[#This Row],[Admin 1 P-Code]]&lt;&gt;"", tblPiNAnalysis[[#This Row],[Admin 1 P-Code]]))</f>
        <v>Host CommunitySD10068</v>
      </c>
      <c r="B331" s="245" t="s">
        <v>176</v>
      </c>
      <c r="C331" s="246" t="s">
        <v>127</v>
      </c>
      <c r="D331" s="247" t="s">
        <v>412</v>
      </c>
      <c r="E331" s="246" t="s">
        <v>413</v>
      </c>
      <c r="F331" s="248">
        <v>7897</v>
      </c>
      <c r="G331" s="248" t="s">
        <v>87</v>
      </c>
      <c r="H331" s="310"/>
      <c r="I331" s="311"/>
      <c r="J331" s="312"/>
      <c r="K331" s="311"/>
      <c r="L331" s="248"/>
      <c r="M331" s="312"/>
      <c r="N331" s="312">
        <f>_xlfn.XLOOKUP(CONCATENATE(tblPiNAnalysis[[#This Row],[Admin 2 P-Code]],tblPiNAnalysis[[#This Row],[Population Group]]),'Overall severity &amp; PIN Analysis'!A:A,'Overall severity &amp; PIN Analysis'!P:P,0,0)</f>
        <v>1798</v>
      </c>
      <c r="O331" s="311"/>
      <c r="P331" s="312"/>
      <c r="Q331" s="312"/>
      <c r="R331" s="312"/>
      <c r="S331" s="312"/>
      <c r="T331" s="313" t="str">
        <f>IF(tblPiNAnalysis[[#This Row],[Site Management ]]="", "", tblPiNAnalysis[[#This Row],[Site Management ]]/tblPiNAnalysis[[#This Row],[Total Population]])</f>
        <v/>
      </c>
      <c r="U331" s="314" t="str">
        <f>IF(tblPiNAnalysis[[#This Row],[Education]]="", "", tblPiNAnalysis[[#This Row],[Education]]/tblPiNAnalysis[[#This Row],[Total Population]])</f>
        <v/>
      </c>
      <c r="V331" s="314" t="str">
        <f>IF(tblPiNAnalysis[[#This Row],[Food Security and Livlihoods]]="", "", tblPiNAnalysis[[#This Row],[Food Security and Livlihoods]]/tblPiNAnalysis[[#This Row],[Total Population]])</f>
        <v/>
      </c>
      <c r="W331" s="315" t="str">
        <f>IF(tblPiNAnalysis[[#This Row],[Health ]]="", "", tblPiNAnalysis[[#This Row],[Health ]]/tblPiNAnalysis[[#This Row],[Total Population]])</f>
        <v/>
      </c>
      <c r="X331" s="314" t="str">
        <f>IF(tblPiNAnalysis[[#This Row],[Nutrition]]="", "", tblPiNAnalysis[[#This Row],[Nutrition]]/tblPiNAnalysis[[#This Row],[Total Population]])</f>
        <v/>
      </c>
      <c r="Y331" s="314" t="str">
        <f>IF(tblPiNAnalysis[[#This Row],[Protection]]="", "", tblPiNAnalysis[[#This Row],[Protection]]/tblPiNAnalysis[[#This Row],[Total Population]])</f>
        <v/>
      </c>
      <c r="Z331" s="316">
        <f>IF(tblPiNAnalysis[[#This Row],[Shelter NFI ]]="", "", tblPiNAnalysis[[#This Row],[Shelter NFI ]]/tblPiNAnalysis[[#This Row],[Total Population]])</f>
        <v>0.22768139799924023</v>
      </c>
      <c r="AA331" s="317" t="str">
        <f>IF(tblPiNAnalysis[[#This Row],[WASH]]="", "", tblPiNAnalysis[[#This Row],[WASH]]/tblPiNAnalysis[[#This Row],[Total Population]])</f>
        <v/>
      </c>
      <c r="AB331" s="318" t="str">
        <f>IFERROR(IF(tblPiNAnalysis[[#This Row],[CP]]="", "", MROUND(tblPiNAnalysis[[#This Row],[CP]]/tblPiNAnalysis[[#This Row],[Total Population]], 0.05)), "")</f>
        <v/>
      </c>
      <c r="AC331" s="314" t="str">
        <f>IFERROR(IF(tblPiNAnalysis[[#This Row],[GBV]]="", "", MROUND(tblPiNAnalysis[[#This Row],[GBV]]/tblPiNAnalysis[[#This Row],[Total Population]], 0.05)), "")</f>
        <v/>
      </c>
      <c r="AD331" s="314" t="str">
        <f>IFERROR(IF(tblPiNAnalysis[[#This Row],[Mine Action]]="", "", MROUND(tblPiNAnalysis[[#This Row],[Mine Action]]/tblPiNAnalysis[[#This Row],[Total Population]], 0.05)), "")</f>
        <v/>
      </c>
      <c r="AE331" s="314" t="str">
        <f>IFERROR(IF(tblPiNAnalysis[[#This Row],[General Protection]]="", "", MROUND(tblPiNAnalysis[[#This Row],[General Protection]]/tblPiNAnalysis[[#This Row],[Total Population]], 0.05)), "")</f>
        <v/>
      </c>
      <c r="AF331" s="319">
        <f>IFERROR(LARGE(tblPiNAnalysis[[#This Row],[Site Management ]:[General Protection]], 1), "")</f>
        <v>1798</v>
      </c>
      <c r="AG331" s="320">
        <f>IF(tblPiNAnalysis[[#This Row],[Highest PiN]]="", "",tblPiNAnalysis[[#This Row],[Highest PiN]]/ tblPiNAnalysis[[#This Row],[Total Population]])</f>
        <v>0.22768139799924023</v>
      </c>
      <c r="AH331" s="320" t="str">
        <f>IFERROR(IF(tblPiNAnalysis[[#This Row],[Highest PiN]]="", "", IF(tblPiNAnalysis[[#This Row],[Highest sector(s'') PiN %]]&gt;=flag_pin_perc, "Flagged", "")), "")</f>
        <v/>
      </c>
      <c r="AI331" s="321"/>
      <c r="AJ331" s="322"/>
      <c r="AK331" s="323">
        <f>COUNTIFS(tblPiNAnalysis[[#This Row],[Highest PiN greater than 90% of total affected population]:[Manual Flag]],"Flagged")</f>
        <v>0</v>
      </c>
      <c r="AL331" s="324" t="str">
        <f>IF(tblPiNAnalysis[[#This Row],['# Flags]]&gt;0, "Flagged", "")</f>
        <v/>
      </c>
    </row>
    <row r="332" spans="1:38" ht="23.1" hidden="1" customHeight="1" x14ac:dyDescent="0.2">
      <c r="A332" s="309" t="str">
        <f>_xlfn.CONCAT(IF(tblPiNAnalysis[[#This Row],[Population Group]]="", "",tblPiNAnalysis[[#This Row],[Population Group]] ), _xlfn.IFS(tblPiNAnalysis[[#This Row],[Admin 2 P-Code]]&lt;&gt;"", tblPiNAnalysis[[#This Row],[Admin 2 P-Code]], tblPiNAnalysis[[#This Row],[Admin 1 P-Code]]&lt;&gt;"", tblPiNAnalysis[[#This Row],[Admin 1 P-Code]]))</f>
        <v>IDPsSD10068</v>
      </c>
      <c r="B332" s="245" t="s">
        <v>176</v>
      </c>
      <c r="C332" s="246" t="s">
        <v>127</v>
      </c>
      <c r="D332" s="247" t="s">
        <v>412</v>
      </c>
      <c r="E332" s="246" t="s">
        <v>413</v>
      </c>
      <c r="F332" s="248">
        <v>6987</v>
      </c>
      <c r="G332" s="248" t="s">
        <v>88</v>
      </c>
      <c r="H332" s="310"/>
      <c r="I332" s="311"/>
      <c r="J332" s="312"/>
      <c r="K332" s="311"/>
      <c r="L332" s="311"/>
      <c r="M332" s="312"/>
      <c r="N332" s="312">
        <f>_xlfn.XLOOKUP(CONCATENATE(tblPiNAnalysis[[#This Row],[Admin 2 P-Code]],tblPiNAnalysis[[#This Row],[Population Group]]),'Overall severity &amp; PIN Analysis'!A:A,'Overall severity &amp; PIN Analysis'!P:P,0,0)</f>
        <v>1591</v>
      </c>
      <c r="O332" s="311"/>
      <c r="P332" s="312"/>
      <c r="Q332" s="312"/>
      <c r="R332" s="312"/>
      <c r="S332" s="312"/>
      <c r="T332" s="313" t="str">
        <f>IF(tblPiNAnalysis[[#This Row],[Site Management ]]="", "", tblPiNAnalysis[[#This Row],[Site Management ]]/tblPiNAnalysis[[#This Row],[Total Population]])</f>
        <v/>
      </c>
      <c r="U332" s="314" t="str">
        <f>IF(tblPiNAnalysis[[#This Row],[Education]]="", "", tblPiNAnalysis[[#This Row],[Education]]/tblPiNAnalysis[[#This Row],[Total Population]])</f>
        <v/>
      </c>
      <c r="V332" s="314" t="str">
        <f>IF(tblPiNAnalysis[[#This Row],[Food Security and Livlihoods]]="", "", tblPiNAnalysis[[#This Row],[Food Security and Livlihoods]]/tblPiNAnalysis[[#This Row],[Total Population]])</f>
        <v/>
      </c>
      <c r="W332" s="315" t="str">
        <f>IF(tblPiNAnalysis[[#This Row],[Health ]]="", "", tblPiNAnalysis[[#This Row],[Health ]]/tblPiNAnalysis[[#This Row],[Total Population]])</f>
        <v/>
      </c>
      <c r="X332" s="314" t="str">
        <f>IF(tblPiNAnalysis[[#This Row],[Nutrition]]="", "", tblPiNAnalysis[[#This Row],[Nutrition]]/tblPiNAnalysis[[#This Row],[Total Population]])</f>
        <v/>
      </c>
      <c r="Y332" s="314" t="str">
        <f>IF(tblPiNAnalysis[[#This Row],[Protection]]="", "", tblPiNAnalysis[[#This Row],[Protection]]/tblPiNAnalysis[[#This Row],[Total Population]])</f>
        <v/>
      </c>
      <c r="Z332" s="316">
        <f>IF(tblPiNAnalysis[[#This Row],[Shelter NFI ]]="", "", tblPiNAnalysis[[#This Row],[Shelter NFI ]]/tblPiNAnalysis[[#This Row],[Total Population]])</f>
        <v>0.22770860168885071</v>
      </c>
      <c r="AA332" s="317" t="str">
        <f>IF(tblPiNAnalysis[[#This Row],[WASH]]="", "", tblPiNAnalysis[[#This Row],[WASH]]/tblPiNAnalysis[[#This Row],[Total Population]])</f>
        <v/>
      </c>
      <c r="AB332" s="318" t="str">
        <f>IFERROR(IF(tblPiNAnalysis[[#This Row],[CP]]="", "", MROUND(tblPiNAnalysis[[#This Row],[CP]]/tblPiNAnalysis[[#This Row],[Total Population]], 0.05)), "")</f>
        <v/>
      </c>
      <c r="AC332" s="314" t="str">
        <f>IFERROR(IF(tblPiNAnalysis[[#This Row],[GBV]]="", "", MROUND(tblPiNAnalysis[[#This Row],[GBV]]/tblPiNAnalysis[[#This Row],[Total Population]], 0.05)), "")</f>
        <v/>
      </c>
      <c r="AD332" s="314" t="str">
        <f>IFERROR(IF(tblPiNAnalysis[[#This Row],[Mine Action]]="", "", MROUND(tblPiNAnalysis[[#This Row],[Mine Action]]/tblPiNAnalysis[[#This Row],[Total Population]], 0.05)), "")</f>
        <v/>
      </c>
      <c r="AE332" s="314" t="str">
        <f>IFERROR(IF(tblPiNAnalysis[[#This Row],[General Protection]]="", "", MROUND(tblPiNAnalysis[[#This Row],[General Protection]]/tblPiNAnalysis[[#This Row],[Total Population]], 0.05)), "")</f>
        <v/>
      </c>
      <c r="AF332" s="319">
        <f>IFERROR(LARGE(tblPiNAnalysis[[#This Row],[Site Management ]:[General Protection]], 1), "")</f>
        <v>1591</v>
      </c>
      <c r="AG332" s="320">
        <f>IF(tblPiNAnalysis[[#This Row],[Highest PiN]]="", "",tblPiNAnalysis[[#This Row],[Highest PiN]]/ tblPiNAnalysis[[#This Row],[Total Population]])</f>
        <v>0.22770860168885071</v>
      </c>
      <c r="AH332" s="320" t="str">
        <f>IFERROR(IF(tblPiNAnalysis[[#This Row],[Highest PiN]]="", "", IF(tblPiNAnalysis[[#This Row],[Highest sector(s'') PiN %]]&gt;=flag_pin_perc, "Flagged", "")), "")</f>
        <v/>
      </c>
      <c r="AI332" s="321"/>
      <c r="AJ332" s="322"/>
      <c r="AK332" s="323">
        <f>COUNTIFS(tblPiNAnalysis[[#This Row],[Highest PiN greater than 90% of total affected population]:[Manual Flag]],"Flagged")</f>
        <v>0</v>
      </c>
      <c r="AL332" s="324" t="str">
        <f>IF(tblPiNAnalysis[[#This Row],['# Flags]]&gt;0, "Flagged", "")</f>
        <v/>
      </c>
    </row>
    <row r="333" spans="1:38" ht="23.1" customHeight="1" x14ac:dyDescent="0.2">
      <c r="A333" s="309" t="str">
        <f>_xlfn.CONCAT(IF(tblPiNAnalysis[[#This Row],[Population Group]]="", "",tblPiNAnalysis[[#This Row],[Population Group]] ), _xlfn.IFS(tblPiNAnalysis[[#This Row],[Admin 2 P-Code]]&lt;&gt;"", tblPiNAnalysis[[#This Row],[Admin 2 P-Code]], tblPiNAnalysis[[#This Row],[Admin 1 P-Code]]&lt;&gt;"", tblPiNAnalysis[[#This Row],[Admin 1 P-Code]]))</f>
        <v>Non-hosting PopulationSD10068</v>
      </c>
      <c r="B333" s="245" t="s">
        <v>176</v>
      </c>
      <c r="C333" s="246" t="s">
        <v>127</v>
      </c>
      <c r="D333" s="247" t="s">
        <v>412</v>
      </c>
      <c r="E333" s="246" t="s">
        <v>413</v>
      </c>
      <c r="F333" s="248">
        <v>99558</v>
      </c>
      <c r="G333" s="248" t="s">
        <v>568</v>
      </c>
      <c r="H333" s="310"/>
      <c r="I333" s="311"/>
      <c r="J333" s="312"/>
      <c r="K333" s="311"/>
      <c r="L333" s="311"/>
      <c r="M333" s="312"/>
      <c r="N333" s="312">
        <f>_xlfn.XLOOKUP(CONCATENATE(tblPiNAnalysis[[#This Row],[Admin 2 P-Code]],tblPiNAnalysis[[#This Row],[Population Group]]),'Overall severity &amp; PIN Analysis'!A:A,'Overall severity &amp; PIN Analysis'!P:P,0,0)</f>
        <v>1511</v>
      </c>
      <c r="O333" s="311"/>
      <c r="P333" s="312"/>
      <c r="Q333" s="312"/>
      <c r="R333" s="312"/>
      <c r="S333" s="312"/>
      <c r="T333" s="313" t="str">
        <f>IF(tblPiNAnalysis[[#This Row],[Site Management ]]="", "", tblPiNAnalysis[[#This Row],[Site Management ]]/tblPiNAnalysis[[#This Row],[Total Population]])</f>
        <v/>
      </c>
      <c r="U333" s="314" t="str">
        <f>IF(tblPiNAnalysis[[#This Row],[Education]]="", "", tblPiNAnalysis[[#This Row],[Education]]/tblPiNAnalysis[[#This Row],[Total Population]])</f>
        <v/>
      </c>
      <c r="V333" s="314" t="str">
        <f>IF(tblPiNAnalysis[[#This Row],[Food Security and Livlihoods]]="", "", tblPiNAnalysis[[#This Row],[Food Security and Livlihoods]]/tblPiNAnalysis[[#This Row],[Total Population]])</f>
        <v/>
      </c>
      <c r="W333" s="315" t="str">
        <f>IF(tblPiNAnalysis[[#This Row],[Health ]]="", "", tblPiNAnalysis[[#This Row],[Health ]]/tblPiNAnalysis[[#This Row],[Total Population]])</f>
        <v/>
      </c>
      <c r="X333" s="314" t="str">
        <f>IF(tblPiNAnalysis[[#This Row],[Nutrition]]="", "", tblPiNAnalysis[[#This Row],[Nutrition]]/tblPiNAnalysis[[#This Row],[Total Population]])</f>
        <v/>
      </c>
      <c r="Y333" s="314" t="str">
        <f>IF(tblPiNAnalysis[[#This Row],[Protection]]="", "", tblPiNAnalysis[[#This Row],[Protection]]/tblPiNAnalysis[[#This Row],[Total Population]])</f>
        <v/>
      </c>
      <c r="Z333" s="316">
        <f>IF(tblPiNAnalysis[[#This Row],[Shelter NFI ]]="", "", tblPiNAnalysis[[#This Row],[Shelter NFI ]]/tblPiNAnalysis[[#This Row],[Total Population]])</f>
        <v>1.517708270555857E-2</v>
      </c>
      <c r="AA333" s="317" t="str">
        <f>IF(tblPiNAnalysis[[#This Row],[WASH]]="", "", tblPiNAnalysis[[#This Row],[WASH]]/tblPiNAnalysis[[#This Row],[Total Population]])</f>
        <v/>
      </c>
      <c r="AB333" s="318" t="str">
        <f>IFERROR(IF(tblPiNAnalysis[[#This Row],[CP]]="", "", MROUND(tblPiNAnalysis[[#This Row],[CP]]/tblPiNAnalysis[[#This Row],[Total Population]], 0.05)), "")</f>
        <v/>
      </c>
      <c r="AC333" s="314" t="str">
        <f>IFERROR(IF(tblPiNAnalysis[[#This Row],[GBV]]="", "", MROUND(tblPiNAnalysis[[#This Row],[GBV]]/tblPiNAnalysis[[#This Row],[Total Population]], 0.05)), "")</f>
        <v/>
      </c>
      <c r="AD333" s="314" t="str">
        <f>IFERROR(IF(tblPiNAnalysis[[#This Row],[Mine Action]]="", "", MROUND(tblPiNAnalysis[[#This Row],[Mine Action]]/tblPiNAnalysis[[#This Row],[Total Population]], 0.05)), "")</f>
        <v/>
      </c>
      <c r="AE333" s="314" t="str">
        <f>IFERROR(IF(tblPiNAnalysis[[#This Row],[General Protection]]="", "", MROUND(tblPiNAnalysis[[#This Row],[General Protection]]/tblPiNAnalysis[[#This Row],[Total Population]], 0.05)), "")</f>
        <v/>
      </c>
      <c r="AF333" s="319">
        <f>IFERROR(LARGE(tblPiNAnalysis[[#This Row],[Site Management ]:[General Protection]], 1), "")</f>
        <v>1511</v>
      </c>
      <c r="AG333" s="320">
        <f>IF(tblPiNAnalysis[[#This Row],[Highest PiN]]="", "",tblPiNAnalysis[[#This Row],[Highest PiN]]/ tblPiNAnalysis[[#This Row],[Total Population]])</f>
        <v>1.517708270555857E-2</v>
      </c>
      <c r="AH333" s="320" t="str">
        <f>IFERROR(IF(tblPiNAnalysis[[#This Row],[Highest PiN]]="", "", IF(tblPiNAnalysis[[#This Row],[Highest sector(s'') PiN %]]&gt;=flag_pin_perc, "Flagged", "")), "")</f>
        <v/>
      </c>
      <c r="AI333" s="321"/>
      <c r="AJ333" s="322"/>
      <c r="AK333" s="323">
        <f>COUNTIFS(tblPiNAnalysis[[#This Row],[Highest PiN greater than 90% of total affected population]:[Manual Flag]],"Flagged")</f>
        <v>0</v>
      </c>
      <c r="AL333" s="324" t="str">
        <f>IF(tblPiNAnalysis[[#This Row],['# Flags]]&gt;0, "Flagged", "")</f>
        <v/>
      </c>
    </row>
    <row r="334" spans="1:38" ht="23.1" hidden="1" customHeight="1" x14ac:dyDescent="0.2">
      <c r="A334" s="309" t="str">
        <f>_xlfn.CONCAT(IF(tblPiNAnalysis[[#This Row],[Population Group]]="", "",tblPiNAnalysis[[#This Row],[Population Group]] ), _xlfn.IFS(tblPiNAnalysis[[#This Row],[Admin 2 P-Code]]&lt;&gt;"", tblPiNAnalysis[[#This Row],[Admin 2 P-Code]], tblPiNAnalysis[[#This Row],[Admin 1 P-Code]]&lt;&gt;"", tblPiNAnalysis[[#This Row],[Admin 1 P-Code]]))</f>
        <v>Host CommunitySD10069</v>
      </c>
      <c r="B334" s="245" t="s">
        <v>176</v>
      </c>
      <c r="C334" s="246" t="s">
        <v>127</v>
      </c>
      <c r="D334" s="247" t="s">
        <v>414</v>
      </c>
      <c r="E334" s="246" t="s">
        <v>415</v>
      </c>
      <c r="F334" s="248">
        <v>240</v>
      </c>
      <c r="G334" s="248" t="s">
        <v>87</v>
      </c>
      <c r="H334" s="310"/>
      <c r="I334" s="311"/>
      <c r="J334" s="312"/>
      <c r="K334" s="311"/>
      <c r="L334" s="311"/>
      <c r="M334" s="312"/>
      <c r="N334" s="312">
        <f>_xlfn.XLOOKUP(CONCATENATE(tblPiNAnalysis[[#This Row],[Admin 2 P-Code]],tblPiNAnalysis[[#This Row],[Population Group]]),'Overall severity &amp; PIN Analysis'!A:A,'Overall severity &amp; PIN Analysis'!P:P,0,0)</f>
        <v>196</v>
      </c>
      <c r="O334" s="311"/>
      <c r="P334" s="312"/>
      <c r="Q334" s="312"/>
      <c r="R334" s="312"/>
      <c r="S334" s="312"/>
      <c r="T334" s="313" t="str">
        <f>IF(tblPiNAnalysis[[#This Row],[Site Management ]]="", "", tblPiNAnalysis[[#This Row],[Site Management ]]/tblPiNAnalysis[[#This Row],[Total Population]])</f>
        <v/>
      </c>
      <c r="U334" s="314" t="str">
        <f>IF(tblPiNAnalysis[[#This Row],[Education]]="", "", tblPiNAnalysis[[#This Row],[Education]]/tblPiNAnalysis[[#This Row],[Total Population]])</f>
        <v/>
      </c>
      <c r="V334" s="314" t="str">
        <f>IF(tblPiNAnalysis[[#This Row],[Food Security and Livlihoods]]="", "", tblPiNAnalysis[[#This Row],[Food Security and Livlihoods]]/tblPiNAnalysis[[#This Row],[Total Population]])</f>
        <v/>
      </c>
      <c r="W334" s="315" t="str">
        <f>IF(tblPiNAnalysis[[#This Row],[Health ]]="", "", tblPiNAnalysis[[#This Row],[Health ]]/tblPiNAnalysis[[#This Row],[Total Population]])</f>
        <v/>
      </c>
      <c r="X334" s="314" t="str">
        <f>IF(tblPiNAnalysis[[#This Row],[Nutrition]]="", "", tblPiNAnalysis[[#This Row],[Nutrition]]/tblPiNAnalysis[[#This Row],[Total Population]])</f>
        <v/>
      </c>
      <c r="Y334" s="314" t="str">
        <f>IF(tblPiNAnalysis[[#This Row],[Protection]]="", "", tblPiNAnalysis[[#This Row],[Protection]]/tblPiNAnalysis[[#This Row],[Total Population]])</f>
        <v/>
      </c>
      <c r="Z334" s="316">
        <f>IF(tblPiNAnalysis[[#This Row],[Shelter NFI ]]="", "", tblPiNAnalysis[[#This Row],[Shelter NFI ]]/tblPiNAnalysis[[#This Row],[Total Population]])</f>
        <v>0.81666666666666665</v>
      </c>
      <c r="AA334" s="317" t="str">
        <f>IF(tblPiNAnalysis[[#This Row],[WASH]]="", "", tblPiNAnalysis[[#This Row],[WASH]]/tblPiNAnalysis[[#This Row],[Total Population]])</f>
        <v/>
      </c>
      <c r="AB334" s="318" t="str">
        <f>IFERROR(IF(tblPiNAnalysis[[#This Row],[CP]]="", "", MROUND(tblPiNAnalysis[[#This Row],[CP]]/tblPiNAnalysis[[#This Row],[Total Population]], 0.05)), "")</f>
        <v/>
      </c>
      <c r="AC334" s="314" t="str">
        <f>IFERROR(IF(tblPiNAnalysis[[#This Row],[GBV]]="", "", MROUND(tblPiNAnalysis[[#This Row],[GBV]]/tblPiNAnalysis[[#This Row],[Total Population]], 0.05)), "")</f>
        <v/>
      </c>
      <c r="AD334" s="314" t="str">
        <f>IFERROR(IF(tblPiNAnalysis[[#This Row],[Mine Action]]="", "", MROUND(tblPiNAnalysis[[#This Row],[Mine Action]]/tblPiNAnalysis[[#This Row],[Total Population]], 0.05)), "")</f>
        <v/>
      </c>
      <c r="AE334" s="314" t="str">
        <f>IFERROR(IF(tblPiNAnalysis[[#This Row],[General Protection]]="", "", MROUND(tblPiNAnalysis[[#This Row],[General Protection]]/tblPiNAnalysis[[#This Row],[Total Population]], 0.05)), "")</f>
        <v/>
      </c>
      <c r="AF334" s="319">
        <f>IFERROR(LARGE(tblPiNAnalysis[[#This Row],[Site Management ]:[General Protection]], 1), "")</f>
        <v>196</v>
      </c>
      <c r="AG334" s="320">
        <f>IF(tblPiNAnalysis[[#This Row],[Highest PiN]]="", "",tblPiNAnalysis[[#This Row],[Highest PiN]]/ tblPiNAnalysis[[#This Row],[Total Population]])</f>
        <v>0.81666666666666665</v>
      </c>
      <c r="AH334" s="320" t="str">
        <f>IFERROR(IF(tblPiNAnalysis[[#This Row],[Highest PiN]]="", "", IF(tblPiNAnalysis[[#This Row],[Highest sector(s'') PiN %]]&gt;=flag_pin_perc, "Flagged", "")), "")</f>
        <v/>
      </c>
      <c r="AI334" s="321"/>
      <c r="AJ334" s="322"/>
      <c r="AK334" s="323">
        <f>COUNTIFS(tblPiNAnalysis[[#This Row],[Highest PiN greater than 90% of total affected population]:[Manual Flag]],"Flagged")</f>
        <v>0</v>
      </c>
      <c r="AL334" s="324" t="str">
        <f>IF(tblPiNAnalysis[[#This Row],['# Flags]]&gt;0, "Flagged", "")</f>
        <v/>
      </c>
    </row>
    <row r="335" spans="1:38" ht="23.1" hidden="1" customHeight="1" x14ac:dyDescent="0.2">
      <c r="A335" s="309" t="str">
        <f>_xlfn.CONCAT(IF(tblPiNAnalysis[[#This Row],[Population Group]]="", "",tblPiNAnalysis[[#This Row],[Population Group]] ), _xlfn.IFS(tblPiNAnalysis[[#This Row],[Admin 2 P-Code]]&lt;&gt;"", tblPiNAnalysis[[#This Row],[Admin 2 P-Code]], tblPiNAnalysis[[#This Row],[Admin 1 P-Code]]&lt;&gt;"", tblPiNAnalysis[[#This Row],[Admin 1 P-Code]]))</f>
        <v>IDPsSD10069</v>
      </c>
      <c r="B335" s="245" t="s">
        <v>176</v>
      </c>
      <c r="C335" s="246" t="s">
        <v>127</v>
      </c>
      <c r="D335" s="247" t="s">
        <v>414</v>
      </c>
      <c r="E335" s="246" t="s">
        <v>415</v>
      </c>
      <c r="F335" s="248">
        <v>260</v>
      </c>
      <c r="G335" s="248" t="s">
        <v>88</v>
      </c>
      <c r="H335" s="310"/>
      <c r="I335" s="311"/>
      <c r="J335" s="312"/>
      <c r="K335" s="311"/>
      <c r="L335" s="311"/>
      <c r="M335" s="312"/>
      <c r="N335" s="312">
        <f>_xlfn.XLOOKUP(CONCATENATE(tblPiNAnalysis[[#This Row],[Admin 2 P-Code]],tblPiNAnalysis[[#This Row],[Population Group]]),'Overall severity &amp; PIN Analysis'!A:A,'Overall severity &amp; PIN Analysis'!P:P,0,0)</f>
        <v>212</v>
      </c>
      <c r="O335" s="311"/>
      <c r="P335" s="312"/>
      <c r="Q335" s="312"/>
      <c r="R335" s="312"/>
      <c r="S335" s="312"/>
      <c r="T335" s="313" t="str">
        <f>IF(tblPiNAnalysis[[#This Row],[Site Management ]]="", "", tblPiNAnalysis[[#This Row],[Site Management ]]/tblPiNAnalysis[[#This Row],[Total Population]])</f>
        <v/>
      </c>
      <c r="U335" s="314" t="str">
        <f>IF(tblPiNAnalysis[[#This Row],[Education]]="", "", tblPiNAnalysis[[#This Row],[Education]]/tblPiNAnalysis[[#This Row],[Total Population]])</f>
        <v/>
      </c>
      <c r="V335" s="314" t="str">
        <f>IF(tblPiNAnalysis[[#This Row],[Food Security and Livlihoods]]="", "", tblPiNAnalysis[[#This Row],[Food Security and Livlihoods]]/tblPiNAnalysis[[#This Row],[Total Population]])</f>
        <v/>
      </c>
      <c r="W335" s="315" t="str">
        <f>IF(tblPiNAnalysis[[#This Row],[Health ]]="", "", tblPiNAnalysis[[#This Row],[Health ]]/tblPiNAnalysis[[#This Row],[Total Population]])</f>
        <v/>
      </c>
      <c r="X335" s="314" t="str">
        <f>IF(tblPiNAnalysis[[#This Row],[Nutrition]]="", "", tblPiNAnalysis[[#This Row],[Nutrition]]/tblPiNAnalysis[[#This Row],[Total Population]])</f>
        <v/>
      </c>
      <c r="Y335" s="314" t="str">
        <f>IF(tblPiNAnalysis[[#This Row],[Protection]]="", "", tblPiNAnalysis[[#This Row],[Protection]]/tblPiNAnalysis[[#This Row],[Total Population]])</f>
        <v/>
      </c>
      <c r="Z335" s="316">
        <f>IF(tblPiNAnalysis[[#This Row],[Shelter NFI ]]="", "", tblPiNAnalysis[[#This Row],[Shelter NFI ]]/tblPiNAnalysis[[#This Row],[Total Population]])</f>
        <v>0.81538461538461537</v>
      </c>
      <c r="AA335" s="317" t="str">
        <f>IF(tblPiNAnalysis[[#This Row],[WASH]]="", "", tblPiNAnalysis[[#This Row],[WASH]]/tblPiNAnalysis[[#This Row],[Total Population]])</f>
        <v/>
      </c>
      <c r="AB335" s="318" t="str">
        <f>IFERROR(IF(tblPiNAnalysis[[#This Row],[CP]]="", "", MROUND(tblPiNAnalysis[[#This Row],[CP]]/tblPiNAnalysis[[#This Row],[Total Population]], 0.05)), "")</f>
        <v/>
      </c>
      <c r="AC335" s="314" t="str">
        <f>IFERROR(IF(tblPiNAnalysis[[#This Row],[GBV]]="", "", MROUND(tblPiNAnalysis[[#This Row],[GBV]]/tblPiNAnalysis[[#This Row],[Total Population]], 0.05)), "")</f>
        <v/>
      </c>
      <c r="AD335" s="314" t="str">
        <f>IFERROR(IF(tblPiNAnalysis[[#This Row],[Mine Action]]="", "", MROUND(tblPiNAnalysis[[#This Row],[Mine Action]]/tblPiNAnalysis[[#This Row],[Total Population]], 0.05)), "")</f>
        <v/>
      </c>
      <c r="AE335" s="314" t="str">
        <f>IFERROR(IF(tblPiNAnalysis[[#This Row],[General Protection]]="", "", MROUND(tblPiNAnalysis[[#This Row],[General Protection]]/tblPiNAnalysis[[#This Row],[Total Population]], 0.05)), "")</f>
        <v/>
      </c>
      <c r="AF335" s="319">
        <f>IFERROR(LARGE(tblPiNAnalysis[[#This Row],[Site Management ]:[General Protection]], 1), "")</f>
        <v>212</v>
      </c>
      <c r="AG335" s="320">
        <f>IF(tblPiNAnalysis[[#This Row],[Highest PiN]]="", "",tblPiNAnalysis[[#This Row],[Highest PiN]]/ tblPiNAnalysis[[#This Row],[Total Population]])</f>
        <v>0.81538461538461537</v>
      </c>
      <c r="AH335" s="320" t="str">
        <f>IFERROR(IF(tblPiNAnalysis[[#This Row],[Highest PiN]]="", "", IF(tblPiNAnalysis[[#This Row],[Highest sector(s'') PiN %]]&gt;=flag_pin_perc, "Flagged", "")), "")</f>
        <v/>
      </c>
      <c r="AI335" s="321"/>
      <c r="AJ335" s="322"/>
      <c r="AK335" s="323">
        <f>COUNTIFS(tblPiNAnalysis[[#This Row],[Highest PiN greater than 90% of total affected population]:[Manual Flag]],"Flagged")</f>
        <v>0</v>
      </c>
      <c r="AL335" s="324" t="str">
        <f>IF(tblPiNAnalysis[[#This Row],['# Flags]]&gt;0, "Flagged", "")</f>
        <v/>
      </c>
    </row>
    <row r="336" spans="1:38" ht="23.1" customHeight="1" x14ac:dyDescent="0.2">
      <c r="A336" s="309" t="str">
        <f>_xlfn.CONCAT(IF(tblPiNAnalysis[[#This Row],[Population Group]]="", "",tblPiNAnalysis[[#This Row],[Population Group]] ), _xlfn.IFS(tblPiNAnalysis[[#This Row],[Admin 2 P-Code]]&lt;&gt;"", tblPiNAnalysis[[#This Row],[Admin 2 P-Code]], tblPiNAnalysis[[#This Row],[Admin 1 P-Code]]&lt;&gt;"", tblPiNAnalysis[[#This Row],[Admin 1 P-Code]]))</f>
        <v>Non-hosting PopulationSD10069</v>
      </c>
      <c r="B336" s="245" t="s">
        <v>176</v>
      </c>
      <c r="C336" s="246" t="s">
        <v>127</v>
      </c>
      <c r="D336" s="247" t="s">
        <v>414</v>
      </c>
      <c r="E336" s="246" t="s">
        <v>415</v>
      </c>
      <c r="F336" s="248">
        <v>152066</v>
      </c>
      <c r="G336" s="248" t="s">
        <v>568</v>
      </c>
      <c r="H336" s="310"/>
      <c r="I336" s="311"/>
      <c r="J336" s="312"/>
      <c r="K336" s="311"/>
      <c r="L336" s="311"/>
      <c r="M336" s="312"/>
      <c r="N336" s="312">
        <f>_xlfn.XLOOKUP(CONCATENATE(tblPiNAnalysis[[#This Row],[Admin 2 P-Code]],tblPiNAnalysis[[#This Row],[Population Group]]),'Overall severity &amp; PIN Analysis'!A:A,'Overall severity &amp; PIN Analysis'!P:P,0,0)</f>
        <v>5167</v>
      </c>
      <c r="O336" s="311"/>
      <c r="P336" s="312"/>
      <c r="Q336" s="312"/>
      <c r="R336" s="312"/>
      <c r="S336" s="312"/>
      <c r="T336" s="313" t="str">
        <f>IF(tblPiNAnalysis[[#This Row],[Site Management ]]="", "", tblPiNAnalysis[[#This Row],[Site Management ]]/tblPiNAnalysis[[#This Row],[Total Population]])</f>
        <v/>
      </c>
      <c r="U336" s="314" t="str">
        <f>IF(tblPiNAnalysis[[#This Row],[Education]]="", "", tblPiNAnalysis[[#This Row],[Education]]/tblPiNAnalysis[[#This Row],[Total Population]])</f>
        <v/>
      </c>
      <c r="V336" s="314" t="str">
        <f>IF(tblPiNAnalysis[[#This Row],[Food Security and Livlihoods]]="", "", tblPiNAnalysis[[#This Row],[Food Security and Livlihoods]]/tblPiNAnalysis[[#This Row],[Total Population]])</f>
        <v/>
      </c>
      <c r="W336" s="315" t="str">
        <f>IF(tblPiNAnalysis[[#This Row],[Health ]]="", "", tblPiNAnalysis[[#This Row],[Health ]]/tblPiNAnalysis[[#This Row],[Total Population]])</f>
        <v/>
      </c>
      <c r="X336" s="314" t="str">
        <f>IF(tblPiNAnalysis[[#This Row],[Nutrition]]="", "", tblPiNAnalysis[[#This Row],[Nutrition]]/tblPiNAnalysis[[#This Row],[Total Population]])</f>
        <v/>
      </c>
      <c r="Y336" s="314" t="str">
        <f>IF(tblPiNAnalysis[[#This Row],[Protection]]="", "", tblPiNAnalysis[[#This Row],[Protection]]/tblPiNAnalysis[[#This Row],[Total Population]])</f>
        <v/>
      </c>
      <c r="Z336" s="316">
        <f>IF(tblPiNAnalysis[[#This Row],[Shelter NFI ]]="", "", tblPiNAnalysis[[#This Row],[Shelter NFI ]]/tblPiNAnalysis[[#This Row],[Total Population]])</f>
        <v>3.3978667157681532E-2</v>
      </c>
      <c r="AA336" s="317" t="str">
        <f>IF(tblPiNAnalysis[[#This Row],[WASH]]="", "", tblPiNAnalysis[[#This Row],[WASH]]/tblPiNAnalysis[[#This Row],[Total Population]])</f>
        <v/>
      </c>
      <c r="AB336" s="318" t="str">
        <f>IFERROR(IF(tblPiNAnalysis[[#This Row],[CP]]="", "", MROUND(tblPiNAnalysis[[#This Row],[CP]]/tblPiNAnalysis[[#This Row],[Total Population]], 0.05)), "")</f>
        <v/>
      </c>
      <c r="AC336" s="314" t="str">
        <f>IFERROR(IF(tblPiNAnalysis[[#This Row],[GBV]]="", "", MROUND(tblPiNAnalysis[[#This Row],[GBV]]/tblPiNAnalysis[[#This Row],[Total Population]], 0.05)), "")</f>
        <v/>
      </c>
      <c r="AD336" s="314" t="str">
        <f>IFERROR(IF(tblPiNAnalysis[[#This Row],[Mine Action]]="", "", MROUND(tblPiNAnalysis[[#This Row],[Mine Action]]/tblPiNAnalysis[[#This Row],[Total Population]], 0.05)), "")</f>
        <v/>
      </c>
      <c r="AE336" s="314" t="str">
        <f>IFERROR(IF(tblPiNAnalysis[[#This Row],[General Protection]]="", "", MROUND(tblPiNAnalysis[[#This Row],[General Protection]]/tblPiNAnalysis[[#This Row],[Total Population]], 0.05)), "")</f>
        <v/>
      </c>
      <c r="AF336" s="319">
        <f>IFERROR(LARGE(tblPiNAnalysis[[#This Row],[Site Management ]:[General Protection]], 1), "")</f>
        <v>5167</v>
      </c>
      <c r="AG336" s="320">
        <f>IF(tblPiNAnalysis[[#This Row],[Highest PiN]]="", "",tblPiNAnalysis[[#This Row],[Highest PiN]]/ tblPiNAnalysis[[#This Row],[Total Population]])</f>
        <v>3.3978667157681532E-2</v>
      </c>
      <c r="AH336" s="320" t="str">
        <f>IFERROR(IF(tblPiNAnalysis[[#This Row],[Highest PiN]]="", "", IF(tblPiNAnalysis[[#This Row],[Highest sector(s'') PiN %]]&gt;=flag_pin_perc, "Flagged", "")), "")</f>
        <v/>
      </c>
      <c r="AI336" s="321"/>
      <c r="AJ336" s="322"/>
      <c r="AK336" s="323">
        <f>COUNTIFS(tblPiNAnalysis[[#This Row],[Highest PiN greater than 90% of total affected population]:[Manual Flag]],"Flagged")</f>
        <v>0</v>
      </c>
      <c r="AL336" s="324" t="str">
        <f>IF(tblPiNAnalysis[[#This Row],['# Flags]]&gt;0, "Flagged", "")</f>
        <v/>
      </c>
    </row>
    <row r="337" spans="1:38" ht="23.1" hidden="1" customHeight="1" x14ac:dyDescent="0.2">
      <c r="A337" s="309" t="str">
        <f>_xlfn.CONCAT(IF(tblPiNAnalysis[[#This Row],[Population Group]]="", "",tblPiNAnalysis[[#This Row],[Population Group]] ), _xlfn.IFS(tblPiNAnalysis[[#This Row],[Admin 2 P-Code]]&lt;&gt;"", tblPiNAnalysis[[#This Row],[Admin 2 P-Code]], tblPiNAnalysis[[#This Row],[Admin 1 P-Code]]&lt;&gt;"", tblPiNAnalysis[[#This Row],[Admin 1 P-Code]]))</f>
        <v>Host CommunitySD10070</v>
      </c>
      <c r="B337" s="245" t="s">
        <v>176</v>
      </c>
      <c r="C337" s="246" t="s">
        <v>127</v>
      </c>
      <c r="D337" s="247" t="s">
        <v>416</v>
      </c>
      <c r="E337" s="246" t="s">
        <v>417</v>
      </c>
      <c r="F337" s="248">
        <v>2130</v>
      </c>
      <c r="G337" s="248" t="s">
        <v>87</v>
      </c>
      <c r="H337" s="310"/>
      <c r="I337" s="311"/>
      <c r="J337" s="312"/>
      <c r="K337" s="311"/>
      <c r="L337" s="311"/>
      <c r="M337" s="312"/>
      <c r="N337" s="312">
        <f>_xlfn.XLOOKUP(CONCATENATE(tblPiNAnalysis[[#This Row],[Admin 2 P-Code]],tblPiNAnalysis[[#This Row],[Population Group]]),'Overall severity &amp; PIN Analysis'!A:A,'Overall severity &amp; PIN Analysis'!P:P,0,0)</f>
        <v>1487</v>
      </c>
      <c r="O337" s="311"/>
      <c r="P337" s="312"/>
      <c r="Q337" s="312"/>
      <c r="R337" s="312"/>
      <c r="S337" s="312"/>
      <c r="T337" s="313" t="str">
        <f>IF(tblPiNAnalysis[[#This Row],[Site Management ]]="", "", tblPiNAnalysis[[#This Row],[Site Management ]]/tblPiNAnalysis[[#This Row],[Total Population]])</f>
        <v/>
      </c>
      <c r="U337" s="314" t="str">
        <f>IF(tblPiNAnalysis[[#This Row],[Education]]="", "", tblPiNAnalysis[[#This Row],[Education]]/tblPiNAnalysis[[#This Row],[Total Population]])</f>
        <v/>
      </c>
      <c r="V337" s="314" t="str">
        <f>IF(tblPiNAnalysis[[#This Row],[Food Security and Livlihoods]]="", "", tblPiNAnalysis[[#This Row],[Food Security and Livlihoods]]/tblPiNAnalysis[[#This Row],[Total Population]])</f>
        <v/>
      </c>
      <c r="W337" s="315" t="str">
        <f>IF(tblPiNAnalysis[[#This Row],[Health ]]="", "", tblPiNAnalysis[[#This Row],[Health ]]/tblPiNAnalysis[[#This Row],[Total Population]])</f>
        <v/>
      </c>
      <c r="X337" s="314" t="str">
        <f>IF(tblPiNAnalysis[[#This Row],[Nutrition]]="", "", tblPiNAnalysis[[#This Row],[Nutrition]]/tblPiNAnalysis[[#This Row],[Total Population]])</f>
        <v/>
      </c>
      <c r="Y337" s="314" t="str">
        <f>IF(tblPiNAnalysis[[#This Row],[Protection]]="", "", tblPiNAnalysis[[#This Row],[Protection]]/tblPiNAnalysis[[#This Row],[Total Population]])</f>
        <v/>
      </c>
      <c r="Z337" s="316">
        <f>IF(tblPiNAnalysis[[#This Row],[Shelter NFI ]]="", "", tblPiNAnalysis[[#This Row],[Shelter NFI ]]/tblPiNAnalysis[[#This Row],[Total Population]])</f>
        <v>0.69812206572769953</v>
      </c>
      <c r="AA337" s="317" t="str">
        <f>IF(tblPiNAnalysis[[#This Row],[WASH]]="", "", tblPiNAnalysis[[#This Row],[WASH]]/tblPiNAnalysis[[#This Row],[Total Population]])</f>
        <v/>
      </c>
      <c r="AB337" s="318" t="str">
        <f>IFERROR(IF(tblPiNAnalysis[[#This Row],[CP]]="", "", MROUND(tblPiNAnalysis[[#This Row],[CP]]/tblPiNAnalysis[[#This Row],[Total Population]], 0.05)), "")</f>
        <v/>
      </c>
      <c r="AC337" s="314" t="str">
        <f>IFERROR(IF(tblPiNAnalysis[[#This Row],[GBV]]="", "", MROUND(tblPiNAnalysis[[#This Row],[GBV]]/tblPiNAnalysis[[#This Row],[Total Population]], 0.05)), "")</f>
        <v/>
      </c>
      <c r="AD337" s="314" t="str">
        <f>IFERROR(IF(tblPiNAnalysis[[#This Row],[Mine Action]]="", "", MROUND(tblPiNAnalysis[[#This Row],[Mine Action]]/tblPiNAnalysis[[#This Row],[Total Population]], 0.05)), "")</f>
        <v/>
      </c>
      <c r="AE337" s="314" t="str">
        <f>IFERROR(IF(tblPiNAnalysis[[#This Row],[General Protection]]="", "", MROUND(tblPiNAnalysis[[#This Row],[General Protection]]/tblPiNAnalysis[[#This Row],[Total Population]], 0.05)), "")</f>
        <v/>
      </c>
      <c r="AF337" s="319">
        <f>IFERROR(LARGE(tblPiNAnalysis[[#This Row],[Site Management ]:[General Protection]], 1), "")</f>
        <v>1487</v>
      </c>
      <c r="AG337" s="320">
        <f>IF(tblPiNAnalysis[[#This Row],[Highest PiN]]="", "",tblPiNAnalysis[[#This Row],[Highest PiN]]/ tblPiNAnalysis[[#This Row],[Total Population]])</f>
        <v>0.69812206572769953</v>
      </c>
      <c r="AH337" s="320" t="str">
        <f>IFERROR(IF(tblPiNAnalysis[[#This Row],[Highest PiN]]="", "", IF(tblPiNAnalysis[[#This Row],[Highest sector(s'') PiN %]]&gt;=flag_pin_perc, "Flagged", "")), "")</f>
        <v/>
      </c>
      <c r="AI337" s="321"/>
      <c r="AJ337" s="322"/>
      <c r="AK337" s="323">
        <f>COUNTIFS(tblPiNAnalysis[[#This Row],[Highest PiN greater than 90% of total affected population]:[Manual Flag]],"Flagged")</f>
        <v>0</v>
      </c>
      <c r="AL337" s="324" t="str">
        <f>IF(tblPiNAnalysis[[#This Row],['# Flags]]&gt;0, "Flagged", "")</f>
        <v/>
      </c>
    </row>
    <row r="338" spans="1:38" ht="23.1" hidden="1" customHeight="1" x14ac:dyDescent="0.2">
      <c r="A338" s="309" t="str">
        <f>_xlfn.CONCAT(IF(tblPiNAnalysis[[#This Row],[Population Group]]="", "",tblPiNAnalysis[[#This Row],[Population Group]] ), _xlfn.IFS(tblPiNAnalysis[[#This Row],[Admin 2 P-Code]]&lt;&gt;"", tblPiNAnalysis[[#This Row],[Admin 2 P-Code]], tblPiNAnalysis[[#This Row],[Admin 1 P-Code]]&lt;&gt;"", tblPiNAnalysis[[#This Row],[Admin 1 P-Code]]))</f>
        <v>IDPsSD10070</v>
      </c>
      <c r="B338" s="245" t="s">
        <v>176</v>
      </c>
      <c r="C338" s="246" t="s">
        <v>127</v>
      </c>
      <c r="D338" s="247" t="s">
        <v>416</v>
      </c>
      <c r="E338" s="246" t="s">
        <v>417</v>
      </c>
      <c r="F338" s="248">
        <v>2335</v>
      </c>
      <c r="G338" s="248" t="s">
        <v>88</v>
      </c>
      <c r="H338" s="310"/>
      <c r="I338" s="311"/>
      <c r="J338" s="312"/>
      <c r="K338" s="311"/>
      <c r="L338" s="311"/>
      <c r="M338" s="312"/>
      <c r="N338" s="312">
        <f>_xlfn.XLOOKUP(CONCATENATE(tblPiNAnalysis[[#This Row],[Admin 2 P-Code]],tblPiNAnalysis[[#This Row],[Population Group]]),'Overall severity &amp; PIN Analysis'!A:A,'Overall severity &amp; PIN Analysis'!P:P,0,0)</f>
        <v>1630</v>
      </c>
      <c r="O338" s="311"/>
      <c r="P338" s="312"/>
      <c r="Q338" s="312"/>
      <c r="R338" s="312"/>
      <c r="S338" s="312"/>
      <c r="T338" s="313" t="str">
        <f>IF(tblPiNAnalysis[[#This Row],[Site Management ]]="", "", tblPiNAnalysis[[#This Row],[Site Management ]]/tblPiNAnalysis[[#This Row],[Total Population]])</f>
        <v/>
      </c>
      <c r="U338" s="314" t="str">
        <f>IF(tblPiNAnalysis[[#This Row],[Education]]="", "", tblPiNAnalysis[[#This Row],[Education]]/tblPiNAnalysis[[#This Row],[Total Population]])</f>
        <v/>
      </c>
      <c r="V338" s="314" t="str">
        <f>IF(tblPiNAnalysis[[#This Row],[Food Security and Livlihoods]]="", "", tblPiNAnalysis[[#This Row],[Food Security and Livlihoods]]/tblPiNAnalysis[[#This Row],[Total Population]])</f>
        <v/>
      </c>
      <c r="W338" s="315" t="str">
        <f>IF(tblPiNAnalysis[[#This Row],[Health ]]="", "", tblPiNAnalysis[[#This Row],[Health ]]/tblPiNAnalysis[[#This Row],[Total Population]])</f>
        <v/>
      </c>
      <c r="X338" s="314" t="str">
        <f>IF(tblPiNAnalysis[[#This Row],[Nutrition]]="", "", tblPiNAnalysis[[#This Row],[Nutrition]]/tblPiNAnalysis[[#This Row],[Total Population]])</f>
        <v/>
      </c>
      <c r="Y338" s="314" t="str">
        <f>IF(tblPiNAnalysis[[#This Row],[Protection]]="", "", tblPiNAnalysis[[#This Row],[Protection]]/tblPiNAnalysis[[#This Row],[Total Population]])</f>
        <v/>
      </c>
      <c r="Z338" s="316">
        <f>IF(tblPiNAnalysis[[#This Row],[Shelter NFI ]]="", "", tblPiNAnalysis[[#This Row],[Shelter NFI ]]/tblPiNAnalysis[[#This Row],[Total Population]])</f>
        <v>0.69807280513918635</v>
      </c>
      <c r="AA338" s="317" t="str">
        <f>IF(tblPiNAnalysis[[#This Row],[WASH]]="", "", tblPiNAnalysis[[#This Row],[WASH]]/tblPiNAnalysis[[#This Row],[Total Population]])</f>
        <v/>
      </c>
      <c r="AB338" s="318" t="str">
        <f>IFERROR(IF(tblPiNAnalysis[[#This Row],[CP]]="", "", MROUND(tblPiNAnalysis[[#This Row],[CP]]/tblPiNAnalysis[[#This Row],[Total Population]], 0.05)), "")</f>
        <v/>
      </c>
      <c r="AC338" s="314" t="str">
        <f>IFERROR(IF(tblPiNAnalysis[[#This Row],[GBV]]="", "", MROUND(tblPiNAnalysis[[#This Row],[GBV]]/tblPiNAnalysis[[#This Row],[Total Population]], 0.05)), "")</f>
        <v/>
      </c>
      <c r="AD338" s="314" t="str">
        <f>IFERROR(IF(tblPiNAnalysis[[#This Row],[Mine Action]]="", "", MROUND(tblPiNAnalysis[[#This Row],[Mine Action]]/tblPiNAnalysis[[#This Row],[Total Population]], 0.05)), "")</f>
        <v/>
      </c>
      <c r="AE338" s="314" t="str">
        <f>IFERROR(IF(tblPiNAnalysis[[#This Row],[General Protection]]="", "", MROUND(tblPiNAnalysis[[#This Row],[General Protection]]/tblPiNAnalysis[[#This Row],[Total Population]], 0.05)), "")</f>
        <v/>
      </c>
      <c r="AF338" s="319">
        <f>IFERROR(LARGE(tblPiNAnalysis[[#This Row],[Site Management ]:[General Protection]], 1), "")</f>
        <v>1630</v>
      </c>
      <c r="AG338" s="320">
        <f>IF(tblPiNAnalysis[[#This Row],[Highest PiN]]="", "",tblPiNAnalysis[[#This Row],[Highest PiN]]/ tblPiNAnalysis[[#This Row],[Total Population]])</f>
        <v>0.69807280513918635</v>
      </c>
      <c r="AH338" s="320" t="str">
        <f>IFERROR(IF(tblPiNAnalysis[[#This Row],[Highest PiN]]="", "", IF(tblPiNAnalysis[[#This Row],[Highest sector(s'') PiN %]]&gt;=flag_pin_perc, "Flagged", "")), "")</f>
        <v/>
      </c>
      <c r="AI338" s="321"/>
      <c r="AJ338" s="322"/>
      <c r="AK338" s="323">
        <f>COUNTIFS(tblPiNAnalysis[[#This Row],[Highest PiN greater than 90% of total affected population]:[Manual Flag]],"Flagged")</f>
        <v>0</v>
      </c>
      <c r="AL338" s="324" t="str">
        <f>IF(tblPiNAnalysis[[#This Row],['# Flags]]&gt;0, "Flagged", "")</f>
        <v/>
      </c>
    </row>
    <row r="339" spans="1:38" ht="23.1" customHeight="1" x14ac:dyDescent="0.2">
      <c r="A339" s="309" t="str">
        <f>_xlfn.CONCAT(IF(tblPiNAnalysis[[#This Row],[Population Group]]="", "",tblPiNAnalysis[[#This Row],[Population Group]] ), _xlfn.IFS(tblPiNAnalysis[[#This Row],[Admin 2 P-Code]]&lt;&gt;"", tblPiNAnalysis[[#This Row],[Admin 2 P-Code]], tblPiNAnalysis[[#This Row],[Admin 1 P-Code]]&lt;&gt;"", tblPiNAnalysis[[#This Row],[Admin 1 P-Code]]))</f>
        <v>Non-hosting PopulationSD10070</v>
      </c>
      <c r="B339" s="245" t="s">
        <v>176</v>
      </c>
      <c r="C339" s="246" t="s">
        <v>127</v>
      </c>
      <c r="D339" s="247" t="s">
        <v>416</v>
      </c>
      <c r="E339" s="246" t="s">
        <v>417</v>
      </c>
      <c r="F339" s="248">
        <v>351047</v>
      </c>
      <c r="G339" s="248" t="s">
        <v>568</v>
      </c>
      <c r="H339" s="310"/>
      <c r="I339" s="311"/>
      <c r="J339" s="312"/>
      <c r="K339" s="311"/>
      <c r="L339" s="311"/>
      <c r="M339" s="312"/>
      <c r="N339" s="312">
        <f>_xlfn.XLOOKUP(CONCATENATE(tblPiNAnalysis[[#This Row],[Admin 2 P-Code]],tblPiNAnalysis[[#This Row],[Population Group]]),'Overall severity &amp; PIN Analysis'!A:A,'Overall severity &amp; PIN Analysis'!P:P,0,0)</f>
        <v>26640</v>
      </c>
      <c r="O339" s="311"/>
      <c r="P339" s="312"/>
      <c r="Q339" s="312"/>
      <c r="R339" s="312"/>
      <c r="S339" s="312"/>
      <c r="T339" s="313" t="str">
        <f>IF(tblPiNAnalysis[[#This Row],[Site Management ]]="", "", tblPiNAnalysis[[#This Row],[Site Management ]]/tblPiNAnalysis[[#This Row],[Total Population]])</f>
        <v/>
      </c>
      <c r="U339" s="314" t="str">
        <f>IF(tblPiNAnalysis[[#This Row],[Education]]="", "", tblPiNAnalysis[[#This Row],[Education]]/tblPiNAnalysis[[#This Row],[Total Population]])</f>
        <v/>
      </c>
      <c r="V339" s="314" t="str">
        <f>IF(tblPiNAnalysis[[#This Row],[Food Security and Livlihoods]]="", "", tblPiNAnalysis[[#This Row],[Food Security and Livlihoods]]/tblPiNAnalysis[[#This Row],[Total Population]])</f>
        <v/>
      </c>
      <c r="W339" s="315" t="str">
        <f>IF(tblPiNAnalysis[[#This Row],[Health ]]="", "", tblPiNAnalysis[[#This Row],[Health ]]/tblPiNAnalysis[[#This Row],[Total Population]])</f>
        <v/>
      </c>
      <c r="X339" s="314" t="str">
        <f>IF(tblPiNAnalysis[[#This Row],[Nutrition]]="", "", tblPiNAnalysis[[#This Row],[Nutrition]]/tblPiNAnalysis[[#This Row],[Total Population]])</f>
        <v/>
      </c>
      <c r="Y339" s="314" t="str">
        <f>IF(tblPiNAnalysis[[#This Row],[Protection]]="", "", tblPiNAnalysis[[#This Row],[Protection]]/tblPiNAnalysis[[#This Row],[Total Population]])</f>
        <v/>
      </c>
      <c r="Z339" s="316">
        <f>IF(tblPiNAnalysis[[#This Row],[Shelter NFI ]]="", "", tblPiNAnalysis[[#This Row],[Shelter NFI ]]/tblPiNAnalysis[[#This Row],[Total Population]])</f>
        <v>7.5887274353576589E-2</v>
      </c>
      <c r="AA339" s="317" t="str">
        <f>IF(tblPiNAnalysis[[#This Row],[WASH]]="", "", tblPiNAnalysis[[#This Row],[WASH]]/tblPiNAnalysis[[#This Row],[Total Population]])</f>
        <v/>
      </c>
      <c r="AB339" s="318" t="str">
        <f>IFERROR(IF(tblPiNAnalysis[[#This Row],[CP]]="", "", MROUND(tblPiNAnalysis[[#This Row],[CP]]/tblPiNAnalysis[[#This Row],[Total Population]], 0.05)), "")</f>
        <v/>
      </c>
      <c r="AC339" s="314" t="str">
        <f>IFERROR(IF(tblPiNAnalysis[[#This Row],[GBV]]="", "", MROUND(tblPiNAnalysis[[#This Row],[GBV]]/tblPiNAnalysis[[#This Row],[Total Population]], 0.05)), "")</f>
        <v/>
      </c>
      <c r="AD339" s="314" t="str">
        <f>IFERROR(IF(tblPiNAnalysis[[#This Row],[Mine Action]]="", "", MROUND(tblPiNAnalysis[[#This Row],[Mine Action]]/tblPiNAnalysis[[#This Row],[Total Population]], 0.05)), "")</f>
        <v/>
      </c>
      <c r="AE339" s="314" t="str">
        <f>IFERROR(IF(tblPiNAnalysis[[#This Row],[General Protection]]="", "", MROUND(tblPiNAnalysis[[#This Row],[General Protection]]/tblPiNAnalysis[[#This Row],[Total Population]], 0.05)), "")</f>
        <v/>
      </c>
      <c r="AF339" s="319">
        <f>IFERROR(LARGE(tblPiNAnalysis[[#This Row],[Site Management ]:[General Protection]], 1), "")</f>
        <v>26640</v>
      </c>
      <c r="AG339" s="320">
        <f>IF(tblPiNAnalysis[[#This Row],[Highest PiN]]="", "",tblPiNAnalysis[[#This Row],[Highest PiN]]/ tblPiNAnalysis[[#This Row],[Total Population]])</f>
        <v>7.5887274353576589E-2</v>
      </c>
      <c r="AH339" s="320" t="str">
        <f>IFERROR(IF(tblPiNAnalysis[[#This Row],[Highest PiN]]="", "", IF(tblPiNAnalysis[[#This Row],[Highest sector(s'') PiN %]]&gt;=flag_pin_perc, "Flagged", "")), "")</f>
        <v/>
      </c>
      <c r="AI339" s="321"/>
      <c r="AJ339" s="322"/>
      <c r="AK339" s="323">
        <f>COUNTIFS(tblPiNAnalysis[[#This Row],[Highest PiN greater than 90% of total affected population]:[Manual Flag]],"Flagged")</f>
        <v>0</v>
      </c>
      <c r="AL339" s="324" t="str">
        <f>IF(tblPiNAnalysis[[#This Row],['# Flags]]&gt;0, "Flagged", "")</f>
        <v/>
      </c>
    </row>
    <row r="340" spans="1:38" ht="23.1" hidden="1" customHeight="1" x14ac:dyDescent="0.2">
      <c r="A340" s="309" t="str">
        <f>_xlfn.CONCAT(IF(tblPiNAnalysis[[#This Row],[Population Group]]="", "",tblPiNAnalysis[[#This Row],[Population Group]] ), _xlfn.IFS(tblPiNAnalysis[[#This Row],[Admin 2 P-Code]]&lt;&gt;"", tblPiNAnalysis[[#This Row],[Admin 2 P-Code]], tblPiNAnalysis[[#This Row],[Admin 1 P-Code]]&lt;&gt;"", tblPiNAnalysis[[#This Row],[Admin 1 P-Code]]))</f>
        <v>Host CommunitySD10071</v>
      </c>
      <c r="B340" s="245" t="s">
        <v>176</v>
      </c>
      <c r="C340" s="246" t="s">
        <v>127</v>
      </c>
      <c r="D340" s="247" t="s">
        <v>418</v>
      </c>
      <c r="E340" s="246" t="s">
        <v>419</v>
      </c>
      <c r="F340" s="248">
        <v>7993</v>
      </c>
      <c r="G340" s="248" t="s">
        <v>87</v>
      </c>
      <c r="H340" s="310"/>
      <c r="I340" s="311"/>
      <c r="J340" s="312"/>
      <c r="K340" s="311"/>
      <c r="L340" s="311"/>
      <c r="M340" s="312"/>
      <c r="N340" s="312">
        <f>_xlfn.XLOOKUP(CONCATENATE(tblPiNAnalysis[[#This Row],[Admin 2 P-Code]],tblPiNAnalysis[[#This Row],[Population Group]]),'Overall severity &amp; PIN Analysis'!A:A,'Overall severity &amp; PIN Analysis'!P:P,0,0)</f>
        <v>2911</v>
      </c>
      <c r="O340" s="311"/>
      <c r="P340" s="312"/>
      <c r="Q340" s="312"/>
      <c r="R340" s="312"/>
      <c r="S340" s="312"/>
      <c r="T340" s="313" t="str">
        <f>IF(tblPiNAnalysis[[#This Row],[Site Management ]]="", "", tblPiNAnalysis[[#This Row],[Site Management ]]/tblPiNAnalysis[[#This Row],[Total Population]])</f>
        <v/>
      </c>
      <c r="U340" s="314" t="str">
        <f>IF(tblPiNAnalysis[[#This Row],[Education]]="", "", tblPiNAnalysis[[#This Row],[Education]]/tblPiNAnalysis[[#This Row],[Total Population]])</f>
        <v/>
      </c>
      <c r="V340" s="314" t="str">
        <f>IF(tblPiNAnalysis[[#This Row],[Food Security and Livlihoods]]="", "", tblPiNAnalysis[[#This Row],[Food Security and Livlihoods]]/tblPiNAnalysis[[#This Row],[Total Population]])</f>
        <v/>
      </c>
      <c r="W340" s="315" t="str">
        <f>IF(tblPiNAnalysis[[#This Row],[Health ]]="", "", tblPiNAnalysis[[#This Row],[Health ]]/tblPiNAnalysis[[#This Row],[Total Population]])</f>
        <v/>
      </c>
      <c r="X340" s="314" t="str">
        <f>IF(tblPiNAnalysis[[#This Row],[Nutrition]]="", "", tblPiNAnalysis[[#This Row],[Nutrition]]/tblPiNAnalysis[[#This Row],[Total Population]])</f>
        <v/>
      </c>
      <c r="Y340" s="314" t="str">
        <f>IF(tblPiNAnalysis[[#This Row],[Protection]]="", "", tblPiNAnalysis[[#This Row],[Protection]]/tblPiNAnalysis[[#This Row],[Total Population]])</f>
        <v/>
      </c>
      <c r="Z340" s="316">
        <f>IF(tblPiNAnalysis[[#This Row],[Shelter NFI ]]="", "", tblPiNAnalysis[[#This Row],[Shelter NFI ]]/tblPiNAnalysis[[#This Row],[Total Population]])</f>
        <v>0.36419366946077819</v>
      </c>
      <c r="AA340" s="317" t="str">
        <f>IF(tblPiNAnalysis[[#This Row],[WASH]]="", "", tblPiNAnalysis[[#This Row],[WASH]]/tblPiNAnalysis[[#This Row],[Total Population]])</f>
        <v/>
      </c>
      <c r="AB340" s="318" t="str">
        <f>IFERROR(IF(tblPiNAnalysis[[#This Row],[CP]]="", "", MROUND(tblPiNAnalysis[[#This Row],[CP]]/tblPiNAnalysis[[#This Row],[Total Population]], 0.05)), "")</f>
        <v/>
      </c>
      <c r="AC340" s="314" t="str">
        <f>IFERROR(IF(tblPiNAnalysis[[#This Row],[GBV]]="", "", MROUND(tblPiNAnalysis[[#This Row],[GBV]]/tblPiNAnalysis[[#This Row],[Total Population]], 0.05)), "")</f>
        <v/>
      </c>
      <c r="AD340" s="314" t="str">
        <f>IFERROR(IF(tblPiNAnalysis[[#This Row],[Mine Action]]="", "", MROUND(tblPiNAnalysis[[#This Row],[Mine Action]]/tblPiNAnalysis[[#This Row],[Total Population]], 0.05)), "")</f>
        <v/>
      </c>
      <c r="AE340" s="314" t="str">
        <f>IFERROR(IF(tblPiNAnalysis[[#This Row],[General Protection]]="", "", MROUND(tblPiNAnalysis[[#This Row],[General Protection]]/tblPiNAnalysis[[#This Row],[Total Population]], 0.05)), "")</f>
        <v/>
      </c>
      <c r="AF340" s="319">
        <f>IFERROR(LARGE(tblPiNAnalysis[[#This Row],[Site Management ]:[General Protection]], 1), "")</f>
        <v>2911</v>
      </c>
      <c r="AG340" s="320">
        <f>IF(tblPiNAnalysis[[#This Row],[Highest PiN]]="", "",tblPiNAnalysis[[#This Row],[Highest PiN]]/ tblPiNAnalysis[[#This Row],[Total Population]])</f>
        <v>0.36419366946077819</v>
      </c>
      <c r="AH340" s="320" t="str">
        <f>IFERROR(IF(tblPiNAnalysis[[#This Row],[Highest PiN]]="", "", IF(tblPiNAnalysis[[#This Row],[Highest sector(s'') PiN %]]&gt;=flag_pin_perc, "Flagged", "")), "")</f>
        <v/>
      </c>
      <c r="AI340" s="321"/>
      <c r="AJ340" s="322"/>
      <c r="AK340" s="323">
        <f>COUNTIFS(tblPiNAnalysis[[#This Row],[Highest PiN greater than 90% of total affected population]:[Manual Flag]],"Flagged")</f>
        <v>0</v>
      </c>
      <c r="AL340" s="324" t="str">
        <f>IF(tblPiNAnalysis[[#This Row],['# Flags]]&gt;0, "Flagged", "")</f>
        <v/>
      </c>
    </row>
    <row r="341" spans="1:38" ht="23.1" hidden="1" customHeight="1" x14ac:dyDescent="0.2">
      <c r="A341" s="309" t="str">
        <f>_xlfn.CONCAT(IF(tblPiNAnalysis[[#This Row],[Population Group]]="", "",tblPiNAnalysis[[#This Row],[Population Group]] ), _xlfn.IFS(tblPiNAnalysis[[#This Row],[Admin 2 P-Code]]&lt;&gt;"", tblPiNAnalysis[[#This Row],[Admin 2 P-Code]], tblPiNAnalysis[[#This Row],[Admin 1 P-Code]]&lt;&gt;"", tblPiNAnalysis[[#This Row],[Admin 1 P-Code]]))</f>
        <v>IDPsSD10071</v>
      </c>
      <c r="B341" s="245" t="s">
        <v>176</v>
      </c>
      <c r="C341" s="246" t="s">
        <v>127</v>
      </c>
      <c r="D341" s="247" t="s">
        <v>418</v>
      </c>
      <c r="E341" s="246" t="s">
        <v>419</v>
      </c>
      <c r="F341" s="248">
        <v>7264</v>
      </c>
      <c r="G341" s="248" t="s">
        <v>88</v>
      </c>
      <c r="H341" s="310"/>
      <c r="I341" s="311"/>
      <c r="J341" s="312"/>
      <c r="K341" s="311"/>
      <c r="L341" s="311"/>
      <c r="M341" s="312"/>
      <c r="N341" s="312">
        <f>_xlfn.XLOOKUP(CONCATENATE(tblPiNAnalysis[[#This Row],[Admin 2 P-Code]],tblPiNAnalysis[[#This Row],[Population Group]]),'Overall severity &amp; PIN Analysis'!A:A,'Overall severity &amp; PIN Analysis'!P:P,0,0)</f>
        <v>2646</v>
      </c>
      <c r="O341" s="311"/>
      <c r="P341" s="312"/>
      <c r="Q341" s="312"/>
      <c r="R341" s="312"/>
      <c r="S341" s="312"/>
      <c r="T341" s="313" t="str">
        <f>IF(tblPiNAnalysis[[#This Row],[Site Management ]]="", "", tblPiNAnalysis[[#This Row],[Site Management ]]/tblPiNAnalysis[[#This Row],[Total Population]])</f>
        <v/>
      </c>
      <c r="U341" s="314" t="str">
        <f>IF(tblPiNAnalysis[[#This Row],[Education]]="", "", tblPiNAnalysis[[#This Row],[Education]]/tblPiNAnalysis[[#This Row],[Total Population]])</f>
        <v/>
      </c>
      <c r="V341" s="314" t="str">
        <f>IF(tblPiNAnalysis[[#This Row],[Food Security and Livlihoods]]="", "", tblPiNAnalysis[[#This Row],[Food Security and Livlihoods]]/tblPiNAnalysis[[#This Row],[Total Population]])</f>
        <v/>
      </c>
      <c r="W341" s="315" t="str">
        <f>IF(tblPiNAnalysis[[#This Row],[Health ]]="", "", tblPiNAnalysis[[#This Row],[Health ]]/tblPiNAnalysis[[#This Row],[Total Population]])</f>
        <v/>
      </c>
      <c r="X341" s="314" t="str">
        <f>IF(tblPiNAnalysis[[#This Row],[Nutrition]]="", "", tblPiNAnalysis[[#This Row],[Nutrition]]/tblPiNAnalysis[[#This Row],[Total Population]])</f>
        <v/>
      </c>
      <c r="Y341" s="314" t="str">
        <f>IF(tblPiNAnalysis[[#This Row],[Protection]]="", "", tblPiNAnalysis[[#This Row],[Protection]]/tblPiNAnalysis[[#This Row],[Total Population]])</f>
        <v/>
      </c>
      <c r="Z341" s="316">
        <f>IF(tblPiNAnalysis[[#This Row],[Shelter NFI ]]="", "", tblPiNAnalysis[[#This Row],[Shelter NFI ]]/tblPiNAnalysis[[#This Row],[Total Population]])</f>
        <v>0.36426211453744495</v>
      </c>
      <c r="AA341" s="317" t="str">
        <f>IF(tblPiNAnalysis[[#This Row],[WASH]]="", "", tblPiNAnalysis[[#This Row],[WASH]]/tblPiNAnalysis[[#This Row],[Total Population]])</f>
        <v/>
      </c>
      <c r="AB341" s="318" t="str">
        <f>IFERROR(IF(tblPiNAnalysis[[#This Row],[CP]]="", "", MROUND(tblPiNAnalysis[[#This Row],[CP]]/tblPiNAnalysis[[#This Row],[Total Population]], 0.05)), "")</f>
        <v/>
      </c>
      <c r="AC341" s="314" t="str">
        <f>IFERROR(IF(tblPiNAnalysis[[#This Row],[GBV]]="", "", MROUND(tblPiNAnalysis[[#This Row],[GBV]]/tblPiNAnalysis[[#This Row],[Total Population]], 0.05)), "")</f>
        <v/>
      </c>
      <c r="AD341" s="314" t="str">
        <f>IFERROR(IF(tblPiNAnalysis[[#This Row],[Mine Action]]="", "", MROUND(tblPiNAnalysis[[#This Row],[Mine Action]]/tblPiNAnalysis[[#This Row],[Total Population]], 0.05)), "")</f>
        <v/>
      </c>
      <c r="AE341" s="314" t="str">
        <f>IFERROR(IF(tblPiNAnalysis[[#This Row],[General Protection]]="", "", MROUND(tblPiNAnalysis[[#This Row],[General Protection]]/tblPiNAnalysis[[#This Row],[Total Population]], 0.05)), "")</f>
        <v/>
      </c>
      <c r="AF341" s="319">
        <f>IFERROR(LARGE(tblPiNAnalysis[[#This Row],[Site Management ]:[General Protection]], 1), "")</f>
        <v>2646</v>
      </c>
      <c r="AG341" s="320">
        <f>IF(tblPiNAnalysis[[#This Row],[Highest PiN]]="", "",tblPiNAnalysis[[#This Row],[Highest PiN]]/ tblPiNAnalysis[[#This Row],[Total Population]])</f>
        <v>0.36426211453744495</v>
      </c>
      <c r="AH341" s="320" t="str">
        <f>IFERROR(IF(tblPiNAnalysis[[#This Row],[Highest PiN]]="", "", IF(tblPiNAnalysis[[#This Row],[Highest sector(s'') PiN %]]&gt;=flag_pin_perc, "Flagged", "")), "")</f>
        <v/>
      </c>
      <c r="AI341" s="321"/>
      <c r="AJ341" s="322"/>
      <c r="AK341" s="323">
        <f>COUNTIFS(tblPiNAnalysis[[#This Row],[Highest PiN greater than 90% of total affected population]:[Manual Flag]],"Flagged")</f>
        <v>0</v>
      </c>
      <c r="AL341" s="324" t="str">
        <f>IF(tblPiNAnalysis[[#This Row],['# Flags]]&gt;0, "Flagged", "")</f>
        <v/>
      </c>
    </row>
    <row r="342" spans="1:38" ht="23.1" customHeight="1" x14ac:dyDescent="0.2">
      <c r="A342" s="309" t="str">
        <f>_xlfn.CONCAT(IF(tblPiNAnalysis[[#This Row],[Population Group]]="", "",tblPiNAnalysis[[#This Row],[Population Group]] ), _xlfn.IFS(tblPiNAnalysis[[#This Row],[Admin 2 P-Code]]&lt;&gt;"", tblPiNAnalysis[[#This Row],[Admin 2 P-Code]], tblPiNAnalysis[[#This Row],[Admin 1 P-Code]]&lt;&gt;"", tblPiNAnalysis[[#This Row],[Admin 1 P-Code]]))</f>
        <v>Non-hosting PopulationSD10071</v>
      </c>
      <c r="B342" s="245" t="s">
        <v>176</v>
      </c>
      <c r="C342" s="246" t="s">
        <v>127</v>
      </c>
      <c r="D342" s="247" t="s">
        <v>418</v>
      </c>
      <c r="E342" s="246" t="s">
        <v>419</v>
      </c>
      <c r="F342" s="248">
        <v>221441</v>
      </c>
      <c r="G342" s="248" t="s">
        <v>568</v>
      </c>
      <c r="H342" s="310"/>
      <c r="I342" s="311"/>
      <c r="J342" s="312"/>
      <c r="K342" s="311"/>
      <c r="L342" s="311"/>
      <c r="M342" s="312"/>
      <c r="N342" s="312">
        <f>_xlfn.XLOOKUP(CONCATENATE(tblPiNAnalysis[[#This Row],[Admin 2 P-Code]],tblPiNAnalysis[[#This Row],[Population Group]]),'Overall severity &amp; PIN Analysis'!A:A,'Overall severity &amp; PIN Analysis'!P:P,0,0)</f>
        <v>0</v>
      </c>
      <c r="O342" s="311"/>
      <c r="P342" s="312"/>
      <c r="Q342" s="312"/>
      <c r="R342" s="312"/>
      <c r="S342" s="312"/>
      <c r="T342" s="313" t="str">
        <f>IF(tblPiNAnalysis[[#This Row],[Site Management ]]="", "", tblPiNAnalysis[[#This Row],[Site Management ]]/tblPiNAnalysis[[#This Row],[Total Population]])</f>
        <v/>
      </c>
      <c r="U342" s="314" t="str">
        <f>IF(tblPiNAnalysis[[#This Row],[Education]]="", "", tblPiNAnalysis[[#This Row],[Education]]/tblPiNAnalysis[[#This Row],[Total Population]])</f>
        <v/>
      </c>
      <c r="V342" s="314" t="str">
        <f>IF(tblPiNAnalysis[[#This Row],[Food Security and Livlihoods]]="", "", tblPiNAnalysis[[#This Row],[Food Security and Livlihoods]]/tblPiNAnalysis[[#This Row],[Total Population]])</f>
        <v/>
      </c>
      <c r="W342" s="315" t="str">
        <f>IF(tblPiNAnalysis[[#This Row],[Health ]]="", "", tblPiNAnalysis[[#This Row],[Health ]]/tblPiNAnalysis[[#This Row],[Total Population]])</f>
        <v/>
      </c>
      <c r="X342" s="314" t="str">
        <f>IF(tblPiNAnalysis[[#This Row],[Nutrition]]="", "", tblPiNAnalysis[[#This Row],[Nutrition]]/tblPiNAnalysis[[#This Row],[Total Population]])</f>
        <v/>
      </c>
      <c r="Y342" s="314" t="str">
        <f>IF(tblPiNAnalysis[[#This Row],[Protection]]="", "", tblPiNAnalysis[[#This Row],[Protection]]/tblPiNAnalysis[[#This Row],[Total Population]])</f>
        <v/>
      </c>
      <c r="Z342" s="316">
        <f>IF(tblPiNAnalysis[[#This Row],[Shelter NFI ]]="", "", tblPiNAnalysis[[#This Row],[Shelter NFI ]]/tblPiNAnalysis[[#This Row],[Total Population]])</f>
        <v>0</v>
      </c>
      <c r="AA342" s="317" t="str">
        <f>IF(tblPiNAnalysis[[#This Row],[WASH]]="", "", tblPiNAnalysis[[#This Row],[WASH]]/tblPiNAnalysis[[#This Row],[Total Population]])</f>
        <v/>
      </c>
      <c r="AB342" s="318" t="str">
        <f>IFERROR(IF(tblPiNAnalysis[[#This Row],[CP]]="", "", MROUND(tblPiNAnalysis[[#This Row],[CP]]/tblPiNAnalysis[[#This Row],[Total Population]], 0.05)), "")</f>
        <v/>
      </c>
      <c r="AC342" s="314" t="str">
        <f>IFERROR(IF(tblPiNAnalysis[[#This Row],[GBV]]="", "", MROUND(tblPiNAnalysis[[#This Row],[GBV]]/tblPiNAnalysis[[#This Row],[Total Population]], 0.05)), "")</f>
        <v/>
      </c>
      <c r="AD342" s="314" t="str">
        <f>IFERROR(IF(tblPiNAnalysis[[#This Row],[Mine Action]]="", "", MROUND(tblPiNAnalysis[[#This Row],[Mine Action]]/tblPiNAnalysis[[#This Row],[Total Population]], 0.05)), "")</f>
        <v/>
      </c>
      <c r="AE342" s="314" t="str">
        <f>IFERROR(IF(tblPiNAnalysis[[#This Row],[General Protection]]="", "", MROUND(tblPiNAnalysis[[#This Row],[General Protection]]/tblPiNAnalysis[[#This Row],[Total Population]], 0.05)), "")</f>
        <v/>
      </c>
      <c r="AF342" s="319">
        <f>IFERROR(LARGE(tblPiNAnalysis[[#This Row],[Site Management ]:[General Protection]], 1), "")</f>
        <v>0</v>
      </c>
      <c r="AG342" s="320">
        <f>IF(tblPiNAnalysis[[#This Row],[Highest PiN]]="", "",tblPiNAnalysis[[#This Row],[Highest PiN]]/ tblPiNAnalysis[[#This Row],[Total Population]])</f>
        <v>0</v>
      </c>
      <c r="AH342" s="320" t="str">
        <f>IFERROR(IF(tblPiNAnalysis[[#This Row],[Highest PiN]]="", "", IF(tblPiNAnalysis[[#This Row],[Highest sector(s'') PiN %]]&gt;=flag_pin_perc, "Flagged", "")), "")</f>
        <v/>
      </c>
      <c r="AI342" s="321"/>
      <c r="AJ342" s="322"/>
      <c r="AK342" s="323">
        <f>COUNTIFS(tblPiNAnalysis[[#This Row],[Highest PiN greater than 90% of total affected population]:[Manual Flag]],"Flagged")</f>
        <v>0</v>
      </c>
      <c r="AL342" s="324" t="str">
        <f>IF(tblPiNAnalysis[[#This Row],['# Flags]]&gt;0, "Flagged", "")</f>
        <v/>
      </c>
    </row>
    <row r="343" spans="1:38" ht="23.1" hidden="1" customHeight="1" x14ac:dyDescent="0.2">
      <c r="A343" s="309" t="str">
        <f>_xlfn.CONCAT(IF(tblPiNAnalysis[[#This Row],[Population Group]]="", "",tblPiNAnalysis[[#This Row],[Population Group]] ), _xlfn.IFS(tblPiNAnalysis[[#This Row],[Admin 2 P-Code]]&lt;&gt;"", tblPiNAnalysis[[#This Row],[Admin 2 P-Code]], tblPiNAnalysis[[#This Row],[Admin 1 P-Code]]&lt;&gt;"", tblPiNAnalysis[[#This Row],[Admin 1 P-Code]]))</f>
        <v>Host CommunitySD10072</v>
      </c>
      <c r="B343" s="245" t="s">
        <v>176</v>
      </c>
      <c r="C343" s="246" t="s">
        <v>127</v>
      </c>
      <c r="D343" s="247" t="s">
        <v>420</v>
      </c>
      <c r="E343" s="246" t="s">
        <v>421</v>
      </c>
      <c r="F343" s="248">
        <v>250</v>
      </c>
      <c r="G343" s="248" t="s">
        <v>87</v>
      </c>
      <c r="H343" s="310"/>
      <c r="I343" s="311"/>
      <c r="J343" s="312"/>
      <c r="K343" s="311"/>
      <c r="L343" s="311"/>
      <c r="M343" s="312"/>
      <c r="N343" s="312">
        <f>_xlfn.XLOOKUP(CONCATENATE(tblPiNAnalysis[[#This Row],[Admin 2 P-Code]],tblPiNAnalysis[[#This Row],[Population Group]]),'Overall severity &amp; PIN Analysis'!A:A,'Overall severity &amp; PIN Analysis'!P:P,0,0)</f>
        <v>208</v>
      </c>
      <c r="O343" s="311"/>
      <c r="P343" s="312"/>
      <c r="Q343" s="312"/>
      <c r="R343" s="312"/>
      <c r="S343" s="312"/>
      <c r="T343" s="313" t="str">
        <f>IF(tblPiNAnalysis[[#This Row],[Site Management ]]="", "", tblPiNAnalysis[[#This Row],[Site Management ]]/tblPiNAnalysis[[#This Row],[Total Population]])</f>
        <v/>
      </c>
      <c r="U343" s="314" t="str">
        <f>IF(tblPiNAnalysis[[#This Row],[Education]]="", "", tblPiNAnalysis[[#This Row],[Education]]/tblPiNAnalysis[[#This Row],[Total Population]])</f>
        <v/>
      </c>
      <c r="V343" s="314" t="str">
        <f>IF(tblPiNAnalysis[[#This Row],[Food Security and Livlihoods]]="", "", tblPiNAnalysis[[#This Row],[Food Security and Livlihoods]]/tblPiNAnalysis[[#This Row],[Total Population]])</f>
        <v/>
      </c>
      <c r="W343" s="315" t="str">
        <f>IF(tblPiNAnalysis[[#This Row],[Health ]]="", "", tblPiNAnalysis[[#This Row],[Health ]]/tblPiNAnalysis[[#This Row],[Total Population]])</f>
        <v/>
      </c>
      <c r="X343" s="314" t="str">
        <f>IF(tblPiNAnalysis[[#This Row],[Nutrition]]="", "", tblPiNAnalysis[[#This Row],[Nutrition]]/tblPiNAnalysis[[#This Row],[Total Population]])</f>
        <v/>
      </c>
      <c r="Y343" s="314" t="str">
        <f>IF(tblPiNAnalysis[[#This Row],[Protection]]="", "", tblPiNAnalysis[[#This Row],[Protection]]/tblPiNAnalysis[[#This Row],[Total Population]])</f>
        <v/>
      </c>
      <c r="Z343" s="316">
        <f>IF(tblPiNAnalysis[[#This Row],[Shelter NFI ]]="", "", tblPiNAnalysis[[#This Row],[Shelter NFI ]]/tblPiNAnalysis[[#This Row],[Total Population]])</f>
        <v>0.83199999999999996</v>
      </c>
      <c r="AA343" s="317" t="str">
        <f>IF(tblPiNAnalysis[[#This Row],[WASH]]="", "", tblPiNAnalysis[[#This Row],[WASH]]/tblPiNAnalysis[[#This Row],[Total Population]])</f>
        <v/>
      </c>
      <c r="AB343" s="318" t="str">
        <f>IFERROR(IF(tblPiNAnalysis[[#This Row],[CP]]="", "", MROUND(tblPiNAnalysis[[#This Row],[CP]]/tblPiNAnalysis[[#This Row],[Total Population]], 0.05)), "")</f>
        <v/>
      </c>
      <c r="AC343" s="314" t="str">
        <f>IFERROR(IF(tblPiNAnalysis[[#This Row],[GBV]]="", "", MROUND(tblPiNAnalysis[[#This Row],[GBV]]/tblPiNAnalysis[[#This Row],[Total Population]], 0.05)), "")</f>
        <v/>
      </c>
      <c r="AD343" s="314" t="str">
        <f>IFERROR(IF(tblPiNAnalysis[[#This Row],[Mine Action]]="", "", MROUND(tblPiNAnalysis[[#This Row],[Mine Action]]/tblPiNAnalysis[[#This Row],[Total Population]], 0.05)), "")</f>
        <v/>
      </c>
      <c r="AE343" s="314" t="str">
        <f>IFERROR(IF(tblPiNAnalysis[[#This Row],[General Protection]]="", "", MROUND(tblPiNAnalysis[[#This Row],[General Protection]]/tblPiNAnalysis[[#This Row],[Total Population]], 0.05)), "")</f>
        <v/>
      </c>
      <c r="AF343" s="319">
        <f>IFERROR(LARGE(tblPiNAnalysis[[#This Row],[Site Management ]:[General Protection]], 1), "")</f>
        <v>208</v>
      </c>
      <c r="AG343" s="320">
        <f>IF(tblPiNAnalysis[[#This Row],[Highest PiN]]="", "",tblPiNAnalysis[[#This Row],[Highest PiN]]/ tblPiNAnalysis[[#This Row],[Total Population]])</f>
        <v>0.83199999999999996</v>
      </c>
      <c r="AH343" s="320" t="str">
        <f>IFERROR(IF(tblPiNAnalysis[[#This Row],[Highest PiN]]="", "", IF(tblPiNAnalysis[[#This Row],[Highest sector(s'') PiN %]]&gt;=flag_pin_perc, "Flagged", "")), "")</f>
        <v/>
      </c>
      <c r="AI343" s="321"/>
      <c r="AJ343" s="322"/>
      <c r="AK343" s="323">
        <f>COUNTIFS(tblPiNAnalysis[[#This Row],[Highest PiN greater than 90% of total affected population]:[Manual Flag]],"Flagged")</f>
        <v>0</v>
      </c>
      <c r="AL343" s="324" t="str">
        <f>IF(tblPiNAnalysis[[#This Row],['# Flags]]&gt;0, "Flagged", "")</f>
        <v/>
      </c>
    </row>
    <row r="344" spans="1:38" ht="23.1" hidden="1" customHeight="1" x14ac:dyDescent="0.2">
      <c r="A344" s="309" t="str">
        <f>_xlfn.CONCAT(IF(tblPiNAnalysis[[#This Row],[Population Group]]="", "",tblPiNAnalysis[[#This Row],[Population Group]] ), _xlfn.IFS(tblPiNAnalysis[[#This Row],[Admin 2 P-Code]]&lt;&gt;"", tblPiNAnalysis[[#This Row],[Admin 2 P-Code]], tblPiNAnalysis[[#This Row],[Admin 1 P-Code]]&lt;&gt;"", tblPiNAnalysis[[#This Row],[Admin 1 P-Code]]))</f>
        <v>IDPsSD10072</v>
      </c>
      <c r="B344" s="245" t="s">
        <v>176</v>
      </c>
      <c r="C344" s="246" t="s">
        <v>127</v>
      </c>
      <c r="D344" s="247" t="s">
        <v>420</v>
      </c>
      <c r="E344" s="246" t="s">
        <v>421</v>
      </c>
      <c r="F344" s="248">
        <v>275</v>
      </c>
      <c r="G344" s="248" t="s">
        <v>88</v>
      </c>
      <c r="H344" s="310"/>
      <c r="I344" s="311"/>
      <c r="J344" s="312"/>
      <c r="K344" s="311"/>
      <c r="L344" s="311"/>
      <c r="M344" s="312"/>
      <c r="N344" s="312">
        <f>_xlfn.XLOOKUP(CONCATENATE(tblPiNAnalysis[[#This Row],[Admin 2 P-Code]],tblPiNAnalysis[[#This Row],[Population Group]]),'Overall severity &amp; PIN Analysis'!A:A,'Overall severity &amp; PIN Analysis'!P:P,0,0)</f>
        <v>229</v>
      </c>
      <c r="O344" s="311"/>
      <c r="P344" s="312"/>
      <c r="Q344" s="312"/>
      <c r="R344" s="312"/>
      <c r="S344" s="312"/>
      <c r="T344" s="313" t="str">
        <f>IF(tblPiNAnalysis[[#This Row],[Site Management ]]="", "", tblPiNAnalysis[[#This Row],[Site Management ]]/tblPiNAnalysis[[#This Row],[Total Population]])</f>
        <v/>
      </c>
      <c r="U344" s="314" t="str">
        <f>IF(tblPiNAnalysis[[#This Row],[Education]]="", "", tblPiNAnalysis[[#This Row],[Education]]/tblPiNAnalysis[[#This Row],[Total Population]])</f>
        <v/>
      </c>
      <c r="V344" s="314" t="str">
        <f>IF(tblPiNAnalysis[[#This Row],[Food Security and Livlihoods]]="", "", tblPiNAnalysis[[#This Row],[Food Security and Livlihoods]]/tblPiNAnalysis[[#This Row],[Total Population]])</f>
        <v/>
      </c>
      <c r="W344" s="315" t="str">
        <f>IF(tblPiNAnalysis[[#This Row],[Health ]]="", "", tblPiNAnalysis[[#This Row],[Health ]]/tblPiNAnalysis[[#This Row],[Total Population]])</f>
        <v/>
      </c>
      <c r="X344" s="314" t="str">
        <f>IF(tblPiNAnalysis[[#This Row],[Nutrition]]="", "", tblPiNAnalysis[[#This Row],[Nutrition]]/tblPiNAnalysis[[#This Row],[Total Population]])</f>
        <v/>
      </c>
      <c r="Y344" s="314" t="str">
        <f>IF(tblPiNAnalysis[[#This Row],[Protection]]="", "", tblPiNAnalysis[[#This Row],[Protection]]/tblPiNAnalysis[[#This Row],[Total Population]])</f>
        <v/>
      </c>
      <c r="Z344" s="316">
        <f>IF(tblPiNAnalysis[[#This Row],[Shelter NFI ]]="", "", tblPiNAnalysis[[#This Row],[Shelter NFI ]]/tblPiNAnalysis[[#This Row],[Total Population]])</f>
        <v>0.83272727272727276</v>
      </c>
      <c r="AA344" s="317" t="str">
        <f>IF(tblPiNAnalysis[[#This Row],[WASH]]="", "", tblPiNAnalysis[[#This Row],[WASH]]/tblPiNAnalysis[[#This Row],[Total Population]])</f>
        <v/>
      </c>
      <c r="AB344" s="318" t="str">
        <f>IFERROR(IF(tblPiNAnalysis[[#This Row],[CP]]="", "", MROUND(tblPiNAnalysis[[#This Row],[CP]]/tblPiNAnalysis[[#This Row],[Total Population]], 0.05)), "")</f>
        <v/>
      </c>
      <c r="AC344" s="314" t="str">
        <f>IFERROR(IF(tblPiNAnalysis[[#This Row],[GBV]]="", "", MROUND(tblPiNAnalysis[[#This Row],[GBV]]/tblPiNAnalysis[[#This Row],[Total Population]], 0.05)), "")</f>
        <v/>
      </c>
      <c r="AD344" s="314" t="str">
        <f>IFERROR(IF(tblPiNAnalysis[[#This Row],[Mine Action]]="", "", MROUND(tblPiNAnalysis[[#This Row],[Mine Action]]/tblPiNAnalysis[[#This Row],[Total Population]], 0.05)), "")</f>
        <v/>
      </c>
      <c r="AE344" s="314" t="str">
        <f>IFERROR(IF(tblPiNAnalysis[[#This Row],[General Protection]]="", "", MROUND(tblPiNAnalysis[[#This Row],[General Protection]]/tblPiNAnalysis[[#This Row],[Total Population]], 0.05)), "")</f>
        <v/>
      </c>
      <c r="AF344" s="319">
        <f>IFERROR(LARGE(tblPiNAnalysis[[#This Row],[Site Management ]:[General Protection]], 1), "")</f>
        <v>229</v>
      </c>
      <c r="AG344" s="320">
        <f>IF(tblPiNAnalysis[[#This Row],[Highest PiN]]="", "",tblPiNAnalysis[[#This Row],[Highest PiN]]/ tblPiNAnalysis[[#This Row],[Total Population]])</f>
        <v>0.83272727272727276</v>
      </c>
      <c r="AH344" s="320" t="str">
        <f>IFERROR(IF(tblPiNAnalysis[[#This Row],[Highest PiN]]="", "", IF(tblPiNAnalysis[[#This Row],[Highest sector(s'') PiN %]]&gt;=flag_pin_perc, "Flagged", "")), "")</f>
        <v/>
      </c>
      <c r="AI344" s="321"/>
      <c r="AJ344" s="322"/>
      <c r="AK344" s="323">
        <f>COUNTIFS(tblPiNAnalysis[[#This Row],[Highest PiN greater than 90% of total affected population]:[Manual Flag]],"Flagged")</f>
        <v>0</v>
      </c>
      <c r="AL344" s="324" t="str">
        <f>IF(tblPiNAnalysis[[#This Row],['# Flags]]&gt;0, "Flagged", "")</f>
        <v/>
      </c>
    </row>
    <row r="345" spans="1:38" ht="23.1" customHeight="1" x14ac:dyDescent="0.2">
      <c r="A345" s="309" t="str">
        <f>_xlfn.CONCAT(IF(tblPiNAnalysis[[#This Row],[Population Group]]="", "",tblPiNAnalysis[[#This Row],[Population Group]] ), _xlfn.IFS(tblPiNAnalysis[[#This Row],[Admin 2 P-Code]]&lt;&gt;"", tblPiNAnalysis[[#This Row],[Admin 2 P-Code]], tblPiNAnalysis[[#This Row],[Admin 1 P-Code]]&lt;&gt;"", tblPiNAnalysis[[#This Row],[Admin 1 P-Code]]))</f>
        <v>Non-hosting PopulationSD10072</v>
      </c>
      <c r="B345" s="245" t="s">
        <v>176</v>
      </c>
      <c r="C345" s="246" t="s">
        <v>127</v>
      </c>
      <c r="D345" s="247" t="s">
        <v>420</v>
      </c>
      <c r="E345" s="246" t="s">
        <v>421</v>
      </c>
      <c r="F345" s="248">
        <v>102649</v>
      </c>
      <c r="G345" s="248" t="s">
        <v>568</v>
      </c>
      <c r="H345" s="310"/>
      <c r="I345" s="311"/>
      <c r="J345" s="312"/>
      <c r="K345" s="311"/>
      <c r="L345" s="311"/>
      <c r="M345" s="312"/>
      <c r="N345" s="312">
        <f>_xlfn.XLOOKUP(CONCATENATE(tblPiNAnalysis[[#This Row],[Admin 2 P-Code]],tblPiNAnalysis[[#This Row],[Population Group]]),'Overall severity &amp; PIN Analysis'!A:A,'Overall severity &amp; PIN Analysis'!P:P,0,0)</f>
        <v>21757</v>
      </c>
      <c r="O345" s="311"/>
      <c r="P345" s="312"/>
      <c r="Q345" s="312"/>
      <c r="R345" s="312"/>
      <c r="S345" s="312"/>
      <c r="T345" s="313" t="str">
        <f>IF(tblPiNAnalysis[[#This Row],[Site Management ]]="", "", tblPiNAnalysis[[#This Row],[Site Management ]]/tblPiNAnalysis[[#This Row],[Total Population]])</f>
        <v/>
      </c>
      <c r="U345" s="314" t="str">
        <f>IF(tblPiNAnalysis[[#This Row],[Education]]="", "", tblPiNAnalysis[[#This Row],[Education]]/tblPiNAnalysis[[#This Row],[Total Population]])</f>
        <v/>
      </c>
      <c r="V345" s="314" t="str">
        <f>IF(tblPiNAnalysis[[#This Row],[Food Security and Livlihoods]]="", "", tblPiNAnalysis[[#This Row],[Food Security and Livlihoods]]/tblPiNAnalysis[[#This Row],[Total Population]])</f>
        <v/>
      </c>
      <c r="W345" s="315" t="str">
        <f>IF(tblPiNAnalysis[[#This Row],[Health ]]="", "", tblPiNAnalysis[[#This Row],[Health ]]/tblPiNAnalysis[[#This Row],[Total Population]])</f>
        <v/>
      </c>
      <c r="X345" s="314" t="str">
        <f>IF(tblPiNAnalysis[[#This Row],[Nutrition]]="", "", tblPiNAnalysis[[#This Row],[Nutrition]]/tblPiNAnalysis[[#This Row],[Total Population]])</f>
        <v/>
      </c>
      <c r="Y345" s="314" t="str">
        <f>IF(tblPiNAnalysis[[#This Row],[Protection]]="", "", tblPiNAnalysis[[#This Row],[Protection]]/tblPiNAnalysis[[#This Row],[Total Population]])</f>
        <v/>
      </c>
      <c r="Z345" s="316">
        <f>IF(tblPiNAnalysis[[#This Row],[Shelter NFI ]]="", "", tblPiNAnalysis[[#This Row],[Shelter NFI ]]/tblPiNAnalysis[[#This Row],[Total Population]])</f>
        <v>0.21195530399711637</v>
      </c>
      <c r="AA345" s="317" t="str">
        <f>IF(tblPiNAnalysis[[#This Row],[WASH]]="", "", tblPiNAnalysis[[#This Row],[WASH]]/tblPiNAnalysis[[#This Row],[Total Population]])</f>
        <v/>
      </c>
      <c r="AB345" s="318" t="str">
        <f>IFERROR(IF(tblPiNAnalysis[[#This Row],[CP]]="", "", MROUND(tblPiNAnalysis[[#This Row],[CP]]/tblPiNAnalysis[[#This Row],[Total Population]], 0.05)), "")</f>
        <v/>
      </c>
      <c r="AC345" s="314" t="str">
        <f>IFERROR(IF(tblPiNAnalysis[[#This Row],[GBV]]="", "", MROUND(tblPiNAnalysis[[#This Row],[GBV]]/tblPiNAnalysis[[#This Row],[Total Population]], 0.05)), "")</f>
        <v/>
      </c>
      <c r="AD345" s="314" t="str">
        <f>IFERROR(IF(tblPiNAnalysis[[#This Row],[Mine Action]]="", "", MROUND(tblPiNAnalysis[[#This Row],[Mine Action]]/tblPiNAnalysis[[#This Row],[Total Population]], 0.05)), "")</f>
        <v/>
      </c>
      <c r="AE345" s="314" t="str">
        <f>IFERROR(IF(tblPiNAnalysis[[#This Row],[General Protection]]="", "", MROUND(tblPiNAnalysis[[#This Row],[General Protection]]/tblPiNAnalysis[[#This Row],[Total Population]], 0.05)), "")</f>
        <v/>
      </c>
      <c r="AF345" s="319">
        <f>IFERROR(LARGE(tblPiNAnalysis[[#This Row],[Site Management ]:[General Protection]], 1), "")</f>
        <v>21757</v>
      </c>
      <c r="AG345" s="320">
        <f>IF(tblPiNAnalysis[[#This Row],[Highest PiN]]="", "",tblPiNAnalysis[[#This Row],[Highest PiN]]/ tblPiNAnalysis[[#This Row],[Total Population]])</f>
        <v>0.21195530399711637</v>
      </c>
      <c r="AH345" s="320" t="str">
        <f>IFERROR(IF(tblPiNAnalysis[[#This Row],[Highest PiN]]="", "", IF(tblPiNAnalysis[[#This Row],[Highest sector(s'') PiN %]]&gt;=flag_pin_perc, "Flagged", "")), "")</f>
        <v/>
      </c>
      <c r="AI345" s="321"/>
      <c r="AJ345" s="322"/>
      <c r="AK345" s="323">
        <f>COUNTIFS(tblPiNAnalysis[[#This Row],[Highest PiN greater than 90% of total affected population]:[Manual Flag]],"Flagged")</f>
        <v>0</v>
      </c>
      <c r="AL345" s="324" t="str">
        <f>IF(tblPiNAnalysis[[#This Row],['# Flags]]&gt;0, "Flagged", "")</f>
        <v/>
      </c>
    </row>
    <row r="346" spans="1:38" ht="23.1" hidden="1" customHeight="1" x14ac:dyDescent="0.2">
      <c r="A346" s="309" t="str">
        <f>_xlfn.CONCAT(IF(tblPiNAnalysis[[#This Row],[Population Group]]="", "",tblPiNAnalysis[[#This Row],[Population Group]] ), _xlfn.IFS(tblPiNAnalysis[[#This Row],[Admin 2 P-Code]]&lt;&gt;"", tblPiNAnalysis[[#This Row],[Admin 2 P-Code]], tblPiNAnalysis[[#This Row],[Admin 1 P-Code]]&lt;&gt;"", tblPiNAnalysis[[#This Row],[Admin 1 P-Code]]))</f>
        <v>Host CommunitySD11052</v>
      </c>
      <c r="B346" s="245" t="s">
        <v>161</v>
      </c>
      <c r="C346" s="246" t="s">
        <v>128</v>
      </c>
      <c r="D346" s="247" t="s">
        <v>422</v>
      </c>
      <c r="E346" s="246" t="s">
        <v>423</v>
      </c>
      <c r="F346" s="248">
        <v>61559</v>
      </c>
      <c r="G346" s="248" t="s">
        <v>87</v>
      </c>
      <c r="H346" s="310"/>
      <c r="I346" s="311"/>
      <c r="J346" s="312"/>
      <c r="K346" s="311"/>
      <c r="L346" s="311"/>
      <c r="M346" s="312"/>
      <c r="N346" s="312">
        <f>_xlfn.XLOOKUP(CONCATENATE(tblPiNAnalysis[[#This Row],[Admin 2 P-Code]],tblPiNAnalysis[[#This Row],[Population Group]]),'Overall severity &amp; PIN Analysis'!A:A,'Overall severity &amp; PIN Analysis'!P:P,0,0)</f>
        <v>14353</v>
      </c>
      <c r="O346" s="311"/>
      <c r="P346" s="312"/>
      <c r="Q346" s="312"/>
      <c r="R346" s="312"/>
      <c r="S346" s="312"/>
      <c r="T346" s="313" t="str">
        <f>IF(tblPiNAnalysis[[#This Row],[Site Management ]]="", "", tblPiNAnalysis[[#This Row],[Site Management ]]/tblPiNAnalysis[[#This Row],[Total Population]])</f>
        <v/>
      </c>
      <c r="U346" s="314" t="str">
        <f>IF(tblPiNAnalysis[[#This Row],[Education]]="", "", tblPiNAnalysis[[#This Row],[Education]]/tblPiNAnalysis[[#This Row],[Total Population]])</f>
        <v/>
      </c>
      <c r="V346" s="314" t="str">
        <f>IF(tblPiNAnalysis[[#This Row],[Food Security and Livlihoods]]="", "", tblPiNAnalysis[[#This Row],[Food Security and Livlihoods]]/tblPiNAnalysis[[#This Row],[Total Population]])</f>
        <v/>
      </c>
      <c r="W346" s="315" t="str">
        <f>IF(tblPiNAnalysis[[#This Row],[Health ]]="", "", tblPiNAnalysis[[#This Row],[Health ]]/tblPiNAnalysis[[#This Row],[Total Population]])</f>
        <v/>
      </c>
      <c r="X346" s="314" t="str">
        <f>IF(tblPiNAnalysis[[#This Row],[Nutrition]]="", "", tblPiNAnalysis[[#This Row],[Nutrition]]/tblPiNAnalysis[[#This Row],[Total Population]])</f>
        <v/>
      </c>
      <c r="Y346" s="314" t="str">
        <f>IF(tblPiNAnalysis[[#This Row],[Protection]]="", "", tblPiNAnalysis[[#This Row],[Protection]]/tblPiNAnalysis[[#This Row],[Total Population]])</f>
        <v/>
      </c>
      <c r="Z346" s="316">
        <f>IF(tblPiNAnalysis[[#This Row],[Shelter NFI ]]="", "", tblPiNAnalysis[[#This Row],[Shelter NFI ]]/tblPiNAnalysis[[#This Row],[Total Population]])</f>
        <v>0.2331584333728618</v>
      </c>
      <c r="AA346" s="317" t="str">
        <f>IF(tblPiNAnalysis[[#This Row],[WASH]]="", "", tblPiNAnalysis[[#This Row],[WASH]]/tblPiNAnalysis[[#This Row],[Total Population]])</f>
        <v/>
      </c>
      <c r="AB346" s="318" t="str">
        <f>IFERROR(IF(tblPiNAnalysis[[#This Row],[CP]]="", "", MROUND(tblPiNAnalysis[[#This Row],[CP]]/tblPiNAnalysis[[#This Row],[Total Population]], 0.05)), "")</f>
        <v/>
      </c>
      <c r="AC346" s="314" t="str">
        <f>IFERROR(IF(tblPiNAnalysis[[#This Row],[GBV]]="", "", MROUND(tblPiNAnalysis[[#This Row],[GBV]]/tblPiNAnalysis[[#This Row],[Total Population]], 0.05)), "")</f>
        <v/>
      </c>
      <c r="AD346" s="314" t="str">
        <f>IFERROR(IF(tblPiNAnalysis[[#This Row],[Mine Action]]="", "", MROUND(tblPiNAnalysis[[#This Row],[Mine Action]]/tblPiNAnalysis[[#This Row],[Total Population]], 0.05)), "")</f>
        <v/>
      </c>
      <c r="AE346" s="314" t="str">
        <f>IFERROR(IF(tblPiNAnalysis[[#This Row],[General Protection]]="", "", MROUND(tblPiNAnalysis[[#This Row],[General Protection]]/tblPiNAnalysis[[#This Row],[Total Population]], 0.05)), "")</f>
        <v/>
      </c>
      <c r="AF346" s="319">
        <f>IFERROR(LARGE(tblPiNAnalysis[[#This Row],[Site Management ]:[General Protection]], 1), "")</f>
        <v>14353</v>
      </c>
      <c r="AG346" s="320">
        <f>IF(tblPiNAnalysis[[#This Row],[Highest PiN]]="", "",tblPiNAnalysis[[#This Row],[Highest PiN]]/ tblPiNAnalysis[[#This Row],[Total Population]])</f>
        <v>0.2331584333728618</v>
      </c>
      <c r="AH346" s="320" t="str">
        <f>IFERROR(IF(tblPiNAnalysis[[#This Row],[Highest PiN]]="", "", IF(tblPiNAnalysis[[#This Row],[Highest sector(s'') PiN %]]&gt;=flag_pin_perc, "Flagged", "")), "")</f>
        <v/>
      </c>
      <c r="AI346" s="321"/>
      <c r="AJ346" s="322"/>
      <c r="AK346" s="323">
        <f>COUNTIFS(tblPiNAnalysis[[#This Row],[Highest PiN greater than 90% of total affected population]:[Manual Flag]],"Flagged")</f>
        <v>0</v>
      </c>
      <c r="AL346" s="324" t="str">
        <f>IF(tblPiNAnalysis[[#This Row],['# Flags]]&gt;0, "Flagged", "")</f>
        <v/>
      </c>
    </row>
    <row r="347" spans="1:38" ht="23.1" hidden="1" customHeight="1" x14ac:dyDescent="0.2">
      <c r="A347" s="309" t="str">
        <f>_xlfn.CONCAT(IF(tblPiNAnalysis[[#This Row],[Population Group]]="", "",tblPiNAnalysis[[#This Row],[Population Group]] ), _xlfn.IFS(tblPiNAnalysis[[#This Row],[Admin 2 P-Code]]&lt;&gt;"", tblPiNAnalysis[[#This Row],[Admin 2 P-Code]], tblPiNAnalysis[[#This Row],[Admin 1 P-Code]]&lt;&gt;"", tblPiNAnalysis[[#This Row],[Admin 1 P-Code]]))</f>
        <v>IDPsSD11052</v>
      </c>
      <c r="B347" s="245" t="s">
        <v>161</v>
      </c>
      <c r="C347" s="246" t="s">
        <v>128</v>
      </c>
      <c r="D347" s="247" t="s">
        <v>422</v>
      </c>
      <c r="E347" s="246" t="s">
        <v>423</v>
      </c>
      <c r="F347" s="248">
        <v>60325</v>
      </c>
      <c r="G347" s="248" t="s">
        <v>88</v>
      </c>
      <c r="H347" s="310"/>
      <c r="I347" s="311"/>
      <c r="J347" s="311"/>
      <c r="K347" s="311"/>
      <c r="L347" s="311"/>
      <c r="M347" s="311"/>
      <c r="N347" s="311">
        <f>_xlfn.XLOOKUP(CONCATENATE(tblPiNAnalysis[[#This Row],[Admin 2 P-Code]],tblPiNAnalysis[[#This Row],[Population Group]]),'Overall severity &amp; PIN Analysis'!A:A,'Overall severity &amp; PIN Analysis'!P:P,0,0)</f>
        <v>14066</v>
      </c>
      <c r="O347" s="311"/>
      <c r="P347" s="311"/>
      <c r="Q347" s="311"/>
      <c r="R347" s="311"/>
      <c r="S347" s="311"/>
      <c r="T347" s="326" t="str">
        <f>IF(tblPiNAnalysis[[#This Row],[Site Management ]]="", "", tblPiNAnalysis[[#This Row],[Site Management ]]/tblPiNAnalysis[[#This Row],[Total Population]])</f>
        <v/>
      </c>
      <c r="U347" s="315" t="str">
        <f>IF(tblPiNAnalysis[[#This Row],[Education]]="", "", tblPiNAnalysis[[#This Row],[Education]]/tblPiNAnalysis[[#This Row],[Total Population]])</f>
        <v/>
      </c>
      <c r="V347" s="315" t="str">
        <f>IF(tblPiNAnalysis[[#This Row],[Food Security and Livlihoods]]="", "", tblPiNAnalysis[[#This Row],[Food Security and Livlihoods]]/tblPiNAnalysis[[#This Row],[Total Population]])</f>
        <v/>
      </c>
      <c r="W347" s="315" t="str">
        <f>IF(tblPiNAnalysis[[#This Row],[Health ]]="", "", tblPiNAnalysis[[#This Row],[Health ]]/tblPiNAnalysis[[#This Row],[Total Population]])</f>
        <v/>
      </c>
      <c r="X347" s="315" t="str">
        <f>IF(tblPiNAnalysis[[#This Row],[Nutrition]]="", "", tblPiNAnalysis[[#This Row],[Nutrition]]/tblPiNAnalysis[[#This Row],[Total Population]])</f>
        <v/>
      </c>
      <c r="Y347" s="315" t="str">
        <f>IF(tblPiNAnalysis[[#This Row],[Protection]]="", "", tblPiNAnalysis[[#This Row],[Protection]]/tblPiNAnalysis[[#This Row],[Total Population]])</f>
        <v/>
      </c>
      <c r="Z347" s="327">
        <f>IF(tblPiNAnalysis[[#This Row],[Shelter NFI ]]="", "", tblPiNAnalysis[[#This Row],[Shelter NFI ]]/tblPiNAnalysis[[#This Row],[Total Population]])</f>
        <v>0.23317032739328636</v>
      </c>
      <c r="AA347" s="328" t="str">
        <f>IF(tblPiNAnalysis[[#This Row],[WASH]]="", "", tblPiNAnalysis[[#This Row],[WASH]]/tblPiNAnalysis[[#This Row],[Total Population]])</f>
        <v/>
      </c>
      <c r="AB347" s="329" t="str">
        <f>IFERROR(IF(tblPiNAnalysis[[#This Row],[CP]]="", "", MROUND(tblPiNAnalysis[[#This Row],[CP]]/tblPiNAnalysis[[#This Row],[Total Population]], 0.05)), "")</f>
        <v/>
      </c>
      <c r="AC347" s="315" t="str">
        <f>IFERROR(IF(tblPiNAnalysis[[#This Row],[GBV]]="", "", MROUND(tblPiNAnalysis[[#This Row],[GBV]]/tblPiNAnalysis[[#This Row],[Total Population]], 0.05)), "")</f>
        <v/>
      </c>
      <c r="AD347" s="315" t="str">
        <f>IFERROR(IF(tblPiNAnalysis[[#This Row],[Mine Action]]="", "", MROUND(tblPiNAnalysis[[#This Row],[Mine Action]]/tblPiNAnalysis[[#This Row],[Total Population]], 0.05)), "")</f>
        <v/>
      </c>
      <c r="AE347" s="315" t="str">
        <f>IFERROR(IF(tblPiNAnalysis[[#This Row],[General Protection]]="", "", MROUND(tblPiNAnalysis[[#This Row],[General Protection]]/tblPiNAnalysis[[#This Row],[Total Population]], 0.05)), "")</f>
        <v/>
      </c>
      <c r="AF347" s="319">
        <f>IFERROR(LARGE(tblPiNAnalysis[[#This Row],[Site Management ]:[General Protection]], 1), "")</f>
        <v>14066</v>
      </c>
      <c r="AG347" s="330">
        <f>IF(tblPiNAnalysis[[#This Row],[Highest PiN]]="", "",tblPiNAnalysis[[#This Row],[Highest PiN]]/ tblPiNAnalysis[[#This Row],[Total Population]])</f>
        <v>0.23317032739328636</v>
      </c>
      <c r="AH347" s="330" t="str">
        <f>IFERROR(IF(tblPiNAnalysis[[#This Row],[Highest PiN]]="", "", IF(tblPiNAnalysis[[#This Row],[Highest sector(s'') PiN %]]&gt;=flag_pin_perc, "Flagged", "")), "")</f>
        <v/>
      </c>
      <c r="AI347" s="321"/>
      <c r="AJ347" s="322"/>
      <c r="AK347" s="323">
        <f>COUNTIFS(tblPiNAnalysis[[#This Row],[Highest PiN greater than 90% of total affected population]:[Manual Flag]],"Flagged")</f>
        <v>0</v>
      </c>
      <c r="AL347" s="331" t="str">
        <f>IF(tblPiNAnalysis[[#This Row],['# Flags]]&gt;0, "Flagged", "")</f>
        <v/>
      </c>
    </row>
    <row r="348" spans="1:38" ht="23.1" customHeight="1" x14ac:dyDescent="0.2">
      <c r="A348" s="309" t="str">
        <f>_xlfn.CONCAT(IF(tblPiNAnalysis[[#This Row],[Population Group]]="", "",tblPiNAnalysis[[#This Row],[Population Group]] ), _xlfn.IFS(tblPiNAnalysis[[#This Row],[Admin 2 P-Code]]&lt;&gt;"", tblPiNAnalysis[[#This Row],[Admin 2 P-Code]], tblPiNAnalysis[[#This Row],[Admin 1 P-Code]]&lt;&gt;"", tblPiNAnalysis[[#This Row],[Admin 1 P-Code]]))</f>
        <v>Non-hosting PopulationSD11052</v>
      </c>
      <c r="B348" s="245" t="s">
        <v>161</v>
      </c>
      <c r="C348" s="246" t="s">
        <v>128</v>
      </c>
      <c r="D348" s="247" t="s">
        <v>422</v>
      </c>
      <c r="E348" s="246" t="s">
        <v>423</v>
      </c>
      <c r="F348" s="248">
        <v>247045</v>
      </c>
      <c r="G348" s="248" t="s">
        <v>568</v>
      </c>
      <c r="H348" s="310"/>
      <c r="I348" s="311"/>
      <c r="J348" s="312"/>
      <c r="K348" s="311"/>
      <c r="L348" s="311"/>
      <c r="M348" s="312"/>
      <c r="N348" s="312">
        <f>_xlfn.XLOOKUP(CONCATENATE(tblPiNAnalysis[[#This Row],[Admin 2 P-Code]],tblPiNAnalysis[[#This Row],[Population Group]]),'Overall severity &amp; PIN Analysis'!A:A,'Overall severity &amp; PIN Analysis'!P:P,0,0)</f>
        <v>16302</v>
      </c>
      <c r="O348" s="311"/>
      <c r="P348" s="312"/>
      <c r="Q348" s="312"/>
      <c r="R348" s="312"/>
      <c r="S348" s="312"/>
      <c r="T348" s="313" t="str">
        <f>IF(tblPiNAnalysis[[#This Row],[Site Management ]]="", "", tblPiNAnalysis[[#This Row],[Site Management ]]/tblPiNAnalysis[[#This Row],[Total Population]])</f>
        <v/>
      </c>
      <c r="U348" s="314" t="str">
        <f>IF(tblPiNAnalysis[[#This Row],[Education]]="", "", tblPiNAnalysis[[#This Row],[Education]]/tblPiNAnalysis[[#This Row],[Total Population]])</f>
        <v/>
      </c>
      <c r="V348" s="314" t="str">
        <f>IF(tblPiNAnalysis[[#This Row],[Food Security and Livlihoods]]="", "", tblPiNAnalysis[[#This Row],[Food Security and Livlihoods]]/tblPiNAnalysis[[#This Row],[Total Population]])</f>
        <v/>
      </c>
      <c r="W348" s="315" t="str">
        <f>IF(tblPiNAnalysis[[#This Row],[Health ]]="", "", tblPiNAnalysis[[#This Row],[Health ]]/tblPiNAnalysis[[#This Row],[Total Population]])</f>
        <v/>
      </c>
      <c r="X348" s="314" t="str">
        <f>IF(tblPiNAnalysis[[#This Row],[Nutrition]]="", "", tblPiNAnalysis[[#This Row],[Nutrition]]/tblPiNAnalysis[[#This Row],[Total Population]])</f>
        <v/>
      </c>
      <c r="Y348" s="314" t="str">
        <f>IF(tblPiNAnalysis[[#This Row],[Protection]]="", "", tblPiNAnalysis[[#This Row],[Protection]]/tblPiNAnalysis[[#This Row],[Total Population]])</f>
        <v/>
      </c>
      <c r="Z348" s="316">
        <f>IF(tblPiNAnalysis[[#This Row],[Shelter NFI ]]="", "", tblPiNAnalysis[[#This Row],[Shelter NFI ]]/tblPiNAnalysis[[#This Row],[Total Population]])</f>
        <v>6.5987977898763386E-2</v>
      </c>
      <c r="AA348" s="317" t="str">
        <f>IF(tblPiNAnalysis[[#This Row],[WASH]]="", "", tblPiNAnalysis[[#This Row],[WASH]]/tblPiNAnalysis[[#This Row],[Total Population]])</f>
        <v/>
      </c>
      <c r="AB348" s="318" t="str">
        <f>IFERROR(IF(tblPiNAnalysis[[#This Row],[CP]]="", "", MROUND(tblPiNAnalysis[[#This Row],[CP]]/tblPiNAnalysis[[#This Row],[Total Population]], 0.05)), "")</f>
        <v/>
      </c>
      <c r="AC348" s="314" t="str">
        <f>IFERROR(IF(tblPiNAnalysis[[#This Row],[GBV]]="", "", MROUND(tblPiNAnalysis[[#This Row],[GBV]]/tblPiNAnalysis[[#This Row],[Total Population]], 0.05)), "")</f>
        <v/>
      </c>
      <c r="AD348" s="314" t="str">
        <f>IFERROR(IF(tblPiNAnalysis[[#This Row],[Mine Action]]="", "", MROUND(tblPiNAnalysis[[#This Row],[Mine Action]]/tblPiNAnalysis[[#This Row],[Total Population]], 0.05)), "")</f>
        <v/>
      </c>
      <c r="AE348" s="314" t="str">
        <f>IFERROR(IF(tblPiNAnalysis[[#This Row],[General Protection]]="", "", MROUND(tblPiNAnalysis[[#This Row],[General Protection]]/tblPiNAnalysis[[#This Row],[Total Population]], 0.05)), "")</f>
        <v/>
      </c>
      <c r="AF348" s="319">
        <f>IFERROR(LARGE(tblPiNAnalysis[[#This Row],[Site Management ]:[General Protection]], 1), "")</f>
        <v>16302</v>
      </c>
      <c r="AG348" s="320">
        <f>IF(tblPiNAnalysis[[#This Row],[Highest PiN]]="", "",tblPiNAnalysis[[#This Row],[Highest PiN]]/ tblPiNAnalysis[[#This Row],[Total Population]])</f>
        <v>6.5987977898763386E-2</v>
      </c>
      <c r="AH348" s="320" t="str">
        <f>IFERROR(IF(tblPiNAnalysis[[#This Row],[Highest PiN]]="", "", IF(tblPiNAnalysis[[#This Row],[Highest sector(s'') PiN %]]&gt;=flag_pin_perc, "Flagged", "")), "")</f>
        <v/>
      </c>
      <c r="AI348" s="321"/>
      <c r="AJ348" s="322"/>
      <c r="AK348" s="323">
        <f>COUNTIFS(tblPiNAnalysis[[#This Row],[Highest PiN greater than 90% of total affected population]:[Manual Flag]],"Flagged")</f>
        <v>0</v>
      </c>
      <c r="AL348" s="324" t="str">
        <f>IF(tblPiNAnalysis[[#This Row],['# Flags]]&gt;0, "Flagged", "")</f>
        <v/>
      </c>
    </row>
    <row r="349" spans="1:38" ht="23.1" hidden="1" customHeight="1" x14ac:dyDescent="0.2">
      <c r="A349" s="309" t="str">
        <f>_xlfn.CONCAT(IF(tblPiNAnalysis[[#This Row],[Population Group]]="", "",tblPiNAnalysis[[#This Row],[Population Group]] ), _xlfn.IFS(tblPiNAnalysis[[#This Row],[Admin 2 P-Code]]&lt;&gt;"", tblPiNAnalysis[[#This Row],[Admin 2 P-Code]], tblPiNAnalysis[[#This Row],[Admin 1 P-Code]]&lt;&gt;"", tblPiNAnalysis[[#This Row],[Admin 1 P-Code]]))</f>
        <v>Host CommunitySD11053</v>
      </c>
      <c r="B349" s="245" t="s">
        <v>161</v>
      </c>
      <c r="C349" s="246" t="s">
        <v>128</v>
      </c>
      <c r="D349" s="247" t="s">
        <v>424</v>
      </c>
      <c r="E349" s="246" t="s">
        <v>425</v>
      </c>
      <c r="F349" s="248">
        <v>170470</v>
      </c>
      <c r="G349" s="248" t="s">
        <v>87</v>
      </c>
      <c r="H349" s="310"/>
      <c r="I349" s="311"/>
      <c r="J349" s="312"/>
      <c r="K349" s="311"/>
      <c r="L349" s="311"/>
      <c r="M349" s="312"/>
      <c r="N349" s="312">
        <f>_xlfn.XLOOKUP(CONCATENATE(tblPiNAnalysis[[#This Row],[Admin 2 P-Code]],tblPiNAnalysis[[#This Row],[Population Group]]),'Overall severity &amp; PIN Analysis'!A:A,'Overall severity &amp; PIN Analysis'!P:P,0,0)</f>
        <v>55683</v>
      </c>
      <c r="O349" s="311"/>
      <c r="P349" s="312"/>
      <c r="Q349" s="312"/>
      <c r="R349" s="312"/>
      <c r="S349" s="312"/>
      <c r="T349" s="313" t="str">
        <f>IF(tblPiNAnalysis[[#This Row],[Site Management ]]="", "", tblPiNAnalysis[[#This Row],[Site Management ]]/tblPiNAnalysis[[#This Row],[Total Population]])</f>
        <v/>
      </c>
      <c r="U349" s="314" t="str">
        <f>IF(tblPiNAnalysis[[#This Row],[Education]]="", "", tblPiNAnalysis[[#This Row],[Education]]/tblPiNAnalysis[[#This Row],[Total Population]])</f>
        <v/>
      </c>
      <c r="V349" s="314" t="str">
        <f>IF(tblPiNAnalysis[[#This Row],[Food Security and Livlihoods]]="", "", tblPiNAnalysis[[#This Row],[Food Security and Livlihoods]]/tblPiNAnalysis[[#This Row],[Total Population]])</f>
        <v/>
      </c>
      <c r="W349" s="315" t="str">
        <f>IF(tblPiNAnalysis[[#This Row],[Health ]]="", "", tblPiNAnalysis[[#This Row],[Health ]]/tblPiNAnalysis[[#This Row],[Total Population]])</f>
        <v/>
      </c>
      <c r="X349" s="314" t="str">
        <f>IF(tblPiNAnalysis[[#This Row],[Nutrition]]="", "", tblPiNAnalysis[[#This Row],[Nutrition]]/tblPiNAnalysis[[#This Row],[Total Population]])</f>
        <v/>
      </c>
      <c r="Y349" s="314" t="str">
        <f>IF(tblPiNAnalysis[[#This Row],[Protection]]="", "", tblPiNAnalysis[[#This Row],[Protection]]/tblPiNAnalysis[[#This Row],[Total Population]])</f>
        <v/>
      </c>
      <c r="Z349" s="316">
        <f>IF(tblPiNAnalysis[[#This Row],[Shelter NFI ]]="", "", tblPiNAnalysis[[#This Row],[Shelter NFI ]]/tblPiNAnalysis[[#This Row],[Total Population]])</f>
        <v>0.32664398427875874</v>
      </c>
      <c r="AA349" s="317" t="str">
        <f>IF(tblPiNAnalysis[[#This Row],[WASH]]="", "", tblPiNAnalysis[[#This Row],[WASH]]/tblPiNAnalysis[[#This Row],[Total Population]])</f>
        <v/>
      </c>
      <c r="AB349" s="318" t="str">
        <f>IFERROR(IF(tblPiNAnalysis[[#This Row],[CP]]="", "", MROUND(tblPiNAnalysis[[#This Row],[CP]]/tblPiNAnalysis[[#This Row],[Total Population]], 0.05)), "")</f>
        <v/>
      </c>
      <c r="AC349" s="314" t="str">
        <f>IFERROR(IF(tblPiNAnalysis[[#This Row],[GBV]]="", "", MROUND(tblPiNAnalysis[[#This Row],[GBV]]/tblPiNAnalysis[[#This Row],[Total Population]], 0.05)), "")</f>
        <v/>
      </c>
      <c r="AD349" s="314" t="str">
        <f>IFERROR(IF(tblPiNAnalysis[[#This Row],[Mine Action]]="", "", MROUND(tblPiNAnalysis[[#This Row],[Mine Action]]/tblPiNAnalysis[[#This Row],[Total Population]], 0.05)), "")</f>
        <v/>
      </c>
      <c r="AE349" s="314" t="str">
        <f>IFERROR(IF(tblPiNAnalysis[[#This Row],[General Protection]]="", "", MROUND(tblPiNAnalysis[[#This Row],[General Protection]]/tblPiNAnalysis[[#This Row],[Total Population]], 0.05)), "")</f>
        <v/>
      </c>
      <c r="AF349" s="319">
        <f>IFERROR(LARGE(tblPiNAnalysis[[#This Row],[Site Management ]:[General Protection]], 1), "")</f>
        <v>55683</v>
      </c>
      <c r="AG349" s="320">
        <f>IF(tblPiNAnalysis[[#This Row],[Highest PiN]]="", "",tblPiNAnalysis[[#This Row],[Highest PiN]]/ tblPiNAnalysis[[#This Row],[Total Population]])</f>
        <v>0.32664398427875874</v>
      </c>
      <c r="AH349" s="320" t="str">
        <f>IFERROR(IF(tblPiNAnalysis[[#This Row],[Highest PiN]]="", "", IF(tblPiNAnalysis[[#This Row],[Highest sector(s'') PiN %]]&gt;=flag_pin_perc, "Flagged", "")), "")</f>
        <v/>
      </c>
      <c r="AI349" s="321"/>
      <c r="AJ349" s="322"/>
      <c r="AK349" s="323">
        <f>COUNTIFS(tblPiNAnalysis[[#This Row],[Highest PiN greater than 90% of total affected population]:[Manual Flag]],"Flagged")</f>
        <v>0</v>
      </c>
      <c r="AL349" s="324" t="str">
        <f>IF(tblPiNAnalysis[[#This Row],['# Flags]]&gt;0, "Flagged", "")</f>
        <v/>
      </c>
    </row>
    <row r="350" spans="1:38" ht="23.1" hidden="1" customHeight="1" x14ac:dyDescent="0.2">
      <c r="A350" s="309" t="str">
        <f>_xlfn.CONCAT(IF(tblPiNAnalysis[[#This Row],[Population Group]]="", "",tblPiNAnalysis[[#This Row],[Population Group]] ), _xlfn.IFS(tblPiNAnalysis[[#This Row],[Admin 2 P-Code]]&lt;&gt;"", tblPiNAnalysis[[#This Row],[Admin 2 P-Code]], tblPiNAnalysis[[#This Row],[Admin 1 P-Code]]&lt;&gt;"", tblPiNAnalysis[[#This Row],[Admin 1 P-Code]]))</f>
        <v>IDPsSD11053</v>
      </c>
      <c r="B350" s="245" t="s">
        <v>161</v>
      </c>
      <c r="C350" s="246" t="s">
        <v>128</v>
      </c>
      <c r="D350" s="247" t="s">
        <v>424</v>
      </c>
      <c r="E350" s="246" t="s">
        <v>425</v>
      </c>
      <c r="F350" s="248">
        <v>154013</v>
      </c>
      <c r="G350" s="248" t="s">
        <v>88</v>
      </c>
      <c r="H350" s="310"/>
      <c r="I350" s="311"/>
      <c r="J350" s="311"/>
      <c r="K350" s="311"/>
      <c r="L350" s="311"/>
      <c r="M350" s="311"/>
      <c r="N350" s="311">
        <f>_xlfn.XLOOKUP(CONCATENATE(tblPiNAnalysis[[#This Row],[Admin 2 P-Code]],tblPiNAnalysis[[#This Row],[Population Group]]),'Overall severity &amp; PIN Analysis'!A:A,'Overall severity &amp; PIN Analysis'!P:P,0,0)</f>
        <v>50308</v>
      </c>
      <c r="O350" s="311"/>
      <c r="P350" s="311"/>
      <c r="Q350" s="311"/>
      <c r="R350" s="311"/>
      <c r="S350" s="311"/>
      <c r="T350" s="326" t="str">
        <f>IF(tblPiNAnalysis[[#This Row],[Site Management ]]="", "", tblPiNAnalysis[[#This Row],[Site Management ]]/tblPiNAnalysis[[#This Row],[Total Population]])</f>
        <v/>
      </c>
      <c r="U350" s="315" t="str">
        <f>IF(tblPiNAnalysis[[#This Row],[Education]]="", "", tblPiNAnalysis[[#This Row],[Education]]/tblPiNAnalysis[[#This Row],[Total Population]])</f>
        <v/>
      </c>
      <c r="V350" s="315" t="str">
        <f>IF(tblPiNAnalysis[[#This Row],[Food Security and Livlihoods]]="", "", tblPiNAnalysis[[#This Row],[Food Security and Livlihoods]]/tblPiNAnalysis[[#This Row],[Total Population]])</f>
        <v/>
      </c>
      <c r="W350" s="315" t="str">
        <f>IF(tblPiNAnalysis[[#This Row],[Health ]]="", "", tblPiNAnalysis[[#This Row],[Health ]]/tblPiNAnalysis[[#This Row],[Total Population]])</f>
        <v/>
      </c>
      <c r="X350" s="315" t="str">
        <f>IF(tblPiNAnalysis[[#This Row],[Nutrition]]="", "", tblPiNAnalysis[[#This Row],[Nutrition]]/tblPiNAnalysis[[#This Row],[Total Population]])</f>
        <v/>
      </c>
      <c r="Y350" s="315" t="str">
        <f>IF(tblPiNAnalysis[[#This Row],[Protection]]="", "", tblPiNAnalysis[[#This Row],[Protection]]/tblPiNAnalysis[[#This Row],[Total Population]])</f>
        <v/>
      </c>
      <c r="Z350" s="327">
        <f>IF(tblPiNAnalysis[[#This Row],[Shelter NFI ]]="", "", tblPiNAnalysis[[#This Row],[Shelter NFI ]]/tblPiNAnalysis[[#This Row],[Total Population]])</f>
        <v>0.32664775051456696</v>
      </c>
      <c r="AA350" s="328" t="str">
        <f>IF(tblPiNAnalysis[[#This Row],[WASH]]="", "", tblPiNAnalysis[[#This Row],[WASH]]/tblPiNAnalysis[[#This Row],[Total Population]])</f>
        <v/>
      </c>
      <c r="AB350" s="329" t="str">
        <f>IFERROR(IF(tblPiNAnalysis[[#This Row],[CP]]="", "", MROUND(tblPiNAnalysis[[#This Row],[CP]]/tblPiNAnalysis[[#This Row],[Total Population]], 0.05)), "")</f>
        <v/>
      </c>
      <c r="AC350" s="315" t="str">
        <f>IFERROR(IF(tblPiNAnalysis[[#This Row],[GBV]]="", "", MROUND(tblPiNAnalysis[[#This Row],[GBV]]/tblPiNAnalysis[[#This Row],[Total Population]], 0.05)), "")</f>
        <v/>
      </c>
      <c r="AD350" s="315" t="str">
        <f>IFERROR(IF(tblPiNAnalysis[[#This Row],[Mine Action]]="", "", MROUND(tblPiNAnalysis[[#This Row],[Mine Action]]/tblPiNAnalysis[[#This Row],[Total Population]], 0.05)), "")</f>
        <v/>
      </c>
      <c r="AE350" s="315" t="str">
        <f>IFERROR(IF(tblPiNAnalysis[[#This Row],[General Protection]]="", "", MROUND(tblPiNAnalysis[[#This Row],[General Protection]]/tblPiNAnalysis[[#This Row],[Total Population]], 0.05)), "")</f>
        <v/>
      </c>
      <c r="AF350" s="319">
        <f>IFERROR(LARGE(tblPiNAnalysis[[#This Row],[Site Management ]:[General Protection]], 1), "")</f>
        <v>50308</v>
      </c>
      <c r="AG350" s="330">
        <f>IF(tblPiNAnalysis[[#This Row],[Highest PiN]]="", "",tblPiNAnalysis[[#This Row],[Highest PiN]]/ tblPiNAnalysis[[#This Row],[Total Population]])</f>
        <v>0.32664775051456696</v>
      </c>
      <c r="AH350" s="330" t="str">
        <f>IFERROR(IF(tblPiNAnalysis[[#This Row],[Highest PiN]]="", "", IF(tblPiNAnalysis[[#This Row],[Highest sector(s'') PiN %]]&gt;=flag_pin_perc, "Flagged", "")), "")</f>
        <v/>
      </c>
      <c r="AI350" s="321"/>
      <c r="AJ350" s="322"/>
      <c r="AK350" s="323">
        <f>COUNTIFS(tblPiNAnalysis[[#This Row],[Highest PiN greater than 90% of total affected population]:[Manual Flag]],"Flagged")</f>
        <v>0</v>
      </c>
      <c r="AL350" s="331" t="str">
        <f>IF(tblPiNAnalysis[[#This Row],['# Flags]]&gt;0, "Flagged", "")</f>
        <v/>
      </c>
    </row>
    <row r="351" spans="1:38" ht="23.1" customHeight="1" x14ac:dyDescent="0.2">
      <c r="A351" s="309" t="str">
        <f>_xlfn.CONCAT(IF(tblPiNAnalysis[[#This Row],[Population Group]]="", "",tblPiNAnalysis[[#This Row],[Population Group]] ), _xlfn.IFS(tblPiNAnalysis[[#This Row],[Admin 2 P-Code]]&lt;&gt;"", tblPiNAnalysis[[#This Row],[Admin 2 P-Code]], tblPiNAnalysis[[#This Row],[Admin 1 P-Code]]&lt;&gt;"", tblPiNAnalysis[[#This Row],[Admin 1 P-Code]]))</f>
        <v>Non-hosting PopulationSD11053</v>
      </c>
      <c r="B351" s="245" t="s">
        <v>161</v>
      </c>
      <c r="C351" s="246" t="s">
        <v>128</v>
      </c>
      <c r="D351" s="247" t="s">
        <v>424</v>
      </c>
      <c r="E351" s="246" t="s">
        <v>425</v>
      </c>
      <c r="F351" s="248">
        <v>242374</v>
      </c>
      <c r="G351" s="248" t="s">
        <v>568</v>
      </c>
      <c r="H351" s="310"/>
      <c r="I351" s="311"/>
      <c r="J351" s="312"/>
      <c r="K351" s="311"/>
      <c r="L351" s="311"/>
      <c r="M351" s="312"/>
      <c r="N351" s="312">
        <f>_xlfn.XLOOKUP(CONCATENATE(tblPiNAnalysis[[#This Row],[Admin 2 P-Code]],tblPiNAnalysis[[#This Row],[Population Group]]),'Overall severity &amp; PIN Analysis'!A:A,'Overall severity &amp; PIN Analysis'!P:P,0,0)</f>
        <v>22792</v>
      </c>
      <c r="O351" s="311"/>
      <c r="P351" s="312"/>
      <c r="Q351" s="312"/>
      <c r="R351" s="312"/>
      <c r="S351" s="312"/>
      <c r="T351" s="313" t="str">
        <f>IF(tblPiNAnalysis[[#This Row],[Site Management ]]="", "", tblPiNAnalysis[[#This Row],[Site Management ]]/tblPiNAnalysis[[#This Row],[Total Population]])</f>
        <v/>
      </c>
      <c r="U351" s="314" t="str">
        <f>IF(tblPiNAnalysis[[#This Row],[Education]]="", "", tblPiNAnalysis[[#This Row],[Education]]/tblPiNAnalysis[[#This Row],[Total Population]])</f>
        <v/>
      </c>
      <c r="V351" s="314" t="str">
        <f>IF(tblPiNAnalysis[[#This Row],[Food Security and Livlihoods]]="", "", tblPiNAnalysis[[#This Row],[Food Security and Livlihoods]]/tblPiNAnalysis[[#This Row],[Total Population]])</f>
        <v/>
      </c>
      <c r="W351" s="315" t="str">
        <f>IF(tblPiNAnalysis[[#This Row],[Health ]]="", "", tblPiNAnalysis[[#This Row],[Health ]]/tblPiNAnalysis[[#This Row],[Total Population]])</f>
        <v/>
      </c>
      <c r="X351" s="314" t="str">
        <f>IF(tblPiNAnalysis[[#This Row],[Nutrition]]="", "", tblPiNAnalysis[[#This Row],[Nutrition]]/tblPiNAnalysis[[#This Row],[Total Population]])</f>
        <v/>
      </c>
      <c r="Y351" s="314" t="str">
        <f>IF(tblPiNAnalysis[[#This Row],[Protection]]="", "", tblPiNAnalysis[[#This Row],[Protection]]/tblPiNAnalysis[[#This Row],[Total Population]])</f>
        <v/>
      </c>
      <c r="Z351" s="316">
        <f>IF(tblPiNAnalysis[[#This Row],[Shelter NFI ]]="", "", tblPiNAnalysis[[#This Row],[Shelter NFI ]]/tblPiNAnalysis[[#This Row],[Total Population]])</f>
        <v>9.4036489062358175E-2</v>
      </c>
      <c r="AA351" s="317" t="str">
        <f>IF(tblPiNAnalysis[[#This Row],[WASH]]="", "", tblPiNAnalysis[[#This Row],[WASH]]/tblPiNAnalysis[[#This Row],[Total Population]])</f>
        <v/>
      </c>
      <c r="AB351" s="318" t="str">
        <f>IFERROR(IF(tblPiNAnalysis[[#This Row],[CP]]="", "", MROUND(tblPiNAnalysis[[#This Row],[CP]]/tblPiNAnalysis[[#This Row],[Total Population]], 0.05)), "")</f>
        <v/>
      </c>
      <c r="AC351" s="314" t="str">
        <f>IFERROR(IF(tblPiNAnalysis[[#This Row],[GBV]]="", "", MROUND(tblPiNAnalysis[[#This Row],[GBV]]/tblPiNAnalysis[[#This Row],[Total Population]], 0.05)), "")</f>
        <v/>
      </c>
      <c r="AD351" s="314" t="str">
        <f>IFERROR(IF(tblPiNAnalysis[[#This Row],[Mine Action]]="", "", MROUND(tblPiNAnalysis[[#This Row],[Mine Action]]/tblPiNAnalysis[[#This Row],[Total Population]], 0.05)), "")</f>
        <v/>
      </c>
      <c r="AE351" s="314" t="str">
        <f>IFERROR(IF(tblPiNAnalysis[[#This Row],[General Protection]]="", "", MROUND(tblPiNAnalysis[[#This Row],[General Protection]]/tblPiNAnalysis[[#This Row],[Total Population]], 0.05)), "")</f>
        <v/>
      </c>
      <c r="AF351" s="319">
        <f>IFERROR(LARGE(tblPiNAnalysis[[#This Row],[Site Management ]:[General Protection]], 1), "")</f>
        <v>22792</v>
      </c>
      <c r="AG351" s="320">
        <f>IF(tblPiNAnalysis[[#This Row],[Highest PiN]]="", "",tblPiNAnalysis[[#This Row],[Highest PiN]]/ tblPiNAnalysis[[#This Row],[Total Population]])</f>
        <v>9.4036489062358175E-2</v>
      </c>
      <c r="AH351" s="320" t="str">
        <f>IFERROR(IF(tblPiNAnalysis[[#This Row],[Highest PiN]]="", "", IF(tblPiNAnalysis[[#This Row],[Highest sector(s'') PiN %]]&gt;=flag_pin_perc, "Flagged", "")), "")</f>
        <v/>
      </c>
      <c r="AI351" s="321"/>
      <c r="AJ351" s="322"/>
      <c r="AK351" s="323">
        <f>COUNTIFS(tblPiNAnalysis[[#This Row],[Highest PiN greater than 90% of total affected population]:[Manual Flag]],"Flagged")</f>
        <v>0</v>
      </c>
      <c r="AL351" s="324" t="str">
        <f>IF(tblPiNAnalysis[[#This Row],['# Flags]]&gt;0, "Flagged", "")</f>
        <v/>
      </c>
    </row>
    <row r="352" spans="1:38" ht="23.1" hidden="1" customHeight="1" x14ac:dyDescent="0.2">
      <c r="A352" s="309" t="str">
        <f>_xlfn.CONCAT(IF(tblPiNAnalysis[[#This Row],[Population Group]]="", "",tblPiNAnalysis[[#This Row],[Population Group]] ), _xlfn.IFS(tblPiNAnalysis[[#This Row],[Admin 2 P-Code]]&lt;&gt;"", tblPiNAnalysis[[#This Row],[Admin 2 P-Code]], tblPiNAnalysis[[#This Row],[Admin 1 P-Code]]&lt;&gt;"", tblPiNAnalysis[[#This Row],[Admin 1 P-Code]]))</f>
        <v>Host CommunitySD11054</v>
      </c>
      <c r="B352" s="245" t="s">
        <v>161</v>
      </c>
      <c r="C352" s="246" t="s">
        <v>128</v>
      </c>
      <c r="D352" s="247" t="s">
        <v>426</v>
      </c>
      <c r="E352" s="246" t="s">
        <v>427</v>
      </c>
      <c r="F352" s="248">
        <v>20</v>
      </c>
      <c r="G352" s="248" t="s">
        <v>87</v>
      </c>
      <c r="H352" s="310"/>
      <c r="I352" s="311"/>
      <c r="J352" s="312"/>
      <c r="K352" s="311"/>
      <c r="L352" s="311"/>
      <c r="M352" s="312"/>
      <c r="N352" s="312">
        <f>_xlfn.XLOOKUP(CONCATENATE(tblPiNAnalysis[[#This Row],[Admin 2 P-Code]],tblPiNAnalysis[[#This Row],[Population Group]]),'Overall severity &amp; PIN Analysis'!A:A,'Overall severity &amp; PIN Analysis'!P:P,0,0)</f>
        <v>18</v>
      </c>
      <c r="O352" s="311"/>
      <c r="P352" s="312"/>
      <c r="Q352" s="312"/>
      <c r="R352" s="312"/>
      <c r="S352" s="312"/>
      <c r="T352" s="313" t="str">
        <f>IF(tblPiNAnalysis[[#This Row],[Site Management ]]="", "", tblPiNAnalysis[[#This Row],[Site Management ]]/tblPiNAnalysis[[#This Row],[Total Population]])</f>
        <v/>
      </c>
      <c r="U352" s="314" t="str">
        <f>IF(tblPiNAnalysis[[#This Row],[Education]]="", "", tblPiNAnalysis[[#This Row],[Education]]/tblPiNAnalysis[[#This Row],[Total Population]])</f>
        <v/>
      </c>
      <c r="V352" s="314" t="str">
        <f>IF(tblPiNAnalysis[[#This Row],[Food Security and Livlihoods]]="", "", tblPiNAnalysis[[#This Row],[Food Security and Livlihoods]]/tblPiNAnalysis[[#This Row],[Total Population]])</f>
        <v/>
      </c>
      <c r="W352" s="315" t="str">
        <f>IF(tblPiNAnalysis[[#This Row],[Health ]]="", "", tblPiNAnalysis[[#This Row],[Health ]]/tblPiNAnalysis[[#This Row],[Total Population]])</f>
        <v/>
      </c>
      <c r="X352" s="314" t="str">
        <f>IF(tblPiNAnalysis[[#This Row],[Nutrition]]="", "", tblPiNAnalysis[[#This Row],[Nutrition]]/tblPiNAnalysis[[#This Row],[Total Population]])</f>
        <v/>
      </c>
      <c r="Y352" s="314" t="str">
        <f>IF(tblPiNAnalysis[[#This Row],[Protection]]="", "", tblPiNAnalysis[[#This Row],[Protection]]/tblPiNAnalysis[[#This Row],[Total Population]])</f>
        <v/>
      </c>
      <c r="Z352" s="316">
        <f>IF(tblPiNAnalysis[[#This Row],[Shelter NFI ]]="", "", tblPiNAnalysis[[#This Row],[Shelter NFI ]]/tblPiNAnalysis[[#This Row],[Total Population]])</f>
        <v>0.9</v>
      </c>
      <c r="AA352" s="317" t="str">
        <f>IF(tblPiNAnalysis[[#This Row],[WASH]]="", "", tblPiNAnalysis[[#This Row],[WASH]]/tblPiNAnalysis[[#This Row],[Total Population]])</f>
        <v/>
      </c>
      <c r="AB352" s="318" t="str">
        <f>IFERROR(IF(tblPiNAnalysis[[#This Row],[CP]]="", "", MROUND(tblPiNAnalysis[[#This Row],[CP]]/tblPiNAnalysis[[#This Row],[Total Population]], 0.05)), "")</f>
        <v/>
      </c>
      <c r="AC352" s="314" t="str">
        <f>IFERROR(IF(tblPiNAnalysis[[#This Row],[GBV]]="", "", MROUND(tblPiNAnalysis[[#This Row],[GBV]]/tblPiNAnalysis[[#This Row],[Total Population]], 0.05)), "")</f>
        <v/>
      </c>
      <c r="AD352" s="314" t="str">
        <f>IFERROR(IF(tblPiNAnalysis[[#This Row],[Mine Action]]="", "", MROUND(tblPiNAnalysis[[#This Row],[Mine Action]]/tblPiNAnalysis[[#This Row],[Total Population]], 0.05)), "")</f>
        <v/>
      </c>
      <c r="AE352" s="314" t="str">
        <f>IFERROR(IF(tblPiNAnalysis[[#This Row],[General Protection]]="", "", MROUND(tblPiNAnalysis[[#This Row],[General Protection]]/tblPiNAnalysis[[#This Row],[Total Population]], 0.05)), "")</f>
        <v/>
      </c>
      <c r="AF352" s="319">
        <f>IFERROR(LARGE(tblPiNAnalysis[[#This Row],[Site Management ]:[General Protection]], 1), "")</f>
        <v>18</v>
      </c>
      <c r="AG352" s="320">
        <f>IF(tblPiNAnalysis[[#This Row],[Highest PiN]]="", "",tblPiNAnalysis[[#This Row],[Highest PiN]]/ tblPiNAnalysis[[#This Row],[Total Population]])</f>
        <v>0.9</v>
      </c>
      <c r="AH352" s="320" t="str">
        <f>IFERROR(IF(tblPiNAnalysis[[#This Row],[Highest PiN]]="", "", IF(tblPiNAnalysis[[#This Row],[Highest sector(s'') PiN %]]&gt;=flag_pin_perc, "Flagged", "")), "")</f>
        <v>Flagged</v>
      </c>
      <c r="AI352" s="321"/>
      <c r="AJ352" s="322"/>
      <c r="AK352" s="323">
        <f>COUNTIFS(tblPiNAnalysis[[#This Row],[Highest PiN greater than 90% of total affected population]:[Manual Flag]],"Flagged")</f>
        <v>1</v>
      </c>
      <c r="AL352" s="324" t="str">
        <f>IF(tblPiNAnalysis[[#This Row],['# Flags]]&gt;0, "Flagged", "")</f>
        <v>Flagged</v>
      </c>
    </row>
    <row r="353" spans="1:38" ht="23.1" hidden="1" customHeight="1" x14ac:dyDescent="0.2">
      <c r="A353" s="309" t="str">
        <f>_xlfn.CONCAT(IF(tblPiNAnalysis[[#This Row],[Population Group]]="", "",tblPiNAnalysis[[#This Row],[Population Group]] ), _xlfn.IFS(tblPiNAnalysis[[#This Row],[Admin 2 P-Code]]&lt;&gt;"", tblPiNAnalysis[[#This Row],[Admin 2 P-Code]], tblPiNAnalysis[[#This Row],[Admin 1 P-Code]]&lt;&gt;"", tblPiNAnalysis[[#This Row],[Admin 1 P-Code]]))</f>
        <v>IDPsSD11054</v>
      </c>
      <c r="B353" s="245" t="s">
        <v>161</v>
      </c>
      <c r="C353" s="246" t="s">
        <v>128</v>
      </c>
      <c r="D353" s="247" t="s">
        <v>426</v>
      </c>
      <c r="E353" s="246" t="s">
        <v>427</v>
      </c>
      <c r="F353" s="248">
        <v>20</v>
      </c>
      <c r="G353" s="248" t="s">
        <v>88</v>
      </c>
      <c r="H353" s="310"/>
      <c r="I353" s="311"/>
      <c r="J353" s="311"/>
      <c r="K353" s="311"/>
      <c r="L353" s="311"/>
      <c r="M353" s="311"/>
      <c r="N353" s="311">
        <f>_xlfn.XLOOKUP(CONCATENATE(tblPiNAnalysis[[#This Row],[Admin 2 P-Code]],tblPiNAnalysis[[#This Row],[Population Group]]),'Overall severity &amp; PIN Analysis'!A:A,'Overall severity &amp; PIN Analysis'!P:P,0,0)</f>
        <v>18</v>
      </c>
      <c r="O353" s="311"/>
      <c r="P353" s="311"/>
      <c r="Q353" s="311"/>
      <c r="R353" s="311"/>
      <c r="S353" s="311"/>
      <c r="T353" s="326" t="str">
        <f>IF(tblPiNAnalysis[[#This Row],[Site Management ]]="", "", tblPiNAnalysis[[#This Row],[Site Management ]]/tblPiNAnalysis[[#This Row],[Total Population]])</f>
        <v/>
      </c>
      <c r="U353" s="315" t="str">
        <f>IF(tblPiNAnalysis[[#This Row],[Education]]="", "", tblPiNAnalysis[[#This Row],[Education]]/tblPiNAnalysis[[#This Row],[Total Population]])</f>
        <v/>
      </c>
      <c r="V353" s="315" t="str">
        <f>IF(tblPiNAnalysis[[#This Row],[Food Security and Livlihoods]]="", "", tblPiNAnalysis[[#This Row],[Food Security and Livlihoods]]/tblPiNAnalysis[[#This Row],[Total Population]])</f>
        <v/>
      </c>
      <c r="W353" s="315" t="str">
        <f>IF(tblPiNAnalysis[[#This Row],[Health ]]="", "", tblPiNAnalysis[[#This Row],[Health ]]/tblPiNAnalysis[[#This Row],[Total Population]])</f>
        <v/>
      </c>
      <c r="X353" s="315" t="str">
        <f>IF(tblPiNAnalysis[[#This Row],[Nutrition]]="", "", tblPiNAnalysis[[#This Row],[Nutrition]]/tblPiNAnalysis[[#This Row],[Total Population]])</f>
        <v/>
      </c>
      <c r="Y353" s="315" t="str">
        <f>IF(tblPiNAnalysis[[#This Row],[Protection]]="", "", tblPiNAnalysis[[#This Row],[Protection]]/tblPiNAnalysis[[#This Row],[Total Population]])</f>
        <v/>
      </c>
      <c r="Z353" s="327">
        <f>IF(tblPiNAnalysis[[#This Row],[Shelter NFI ]]="", "", tblPiNAnalysis[[#This Row],[Shelter NFI ]]/tblPiNAnalysis[[#This Row],[Total Population]])</f>
        <v>0.9</v>
      </c>
      <c r="AA353" s="328" t="str">
        <f>IF(tblPiNAnalysis[[#This Row],[WASH]]="", "", tblPiNAnalysis[[#This Row],[WASH]]/tblPiNAnalysis[[#This Row],[Total Population]])</f>
        <v/>
      </c>
      <c r="AB353" s="329" t="str">
        <f>IFERROR(IF(tblPiNAnalysis[[#This Row],[CP]]="", "", MROUND(tblPiNAnalysis[[#This Row],[CP]]/tblPiNAnalysis[[#This Row],[Total Population]], 0.05)), "")</f>
        <v/>
      </c>
      <c r="AC353" s="315" t="str">
        <f>IFERROR(IF(tblPiNAnalysis[[#This Row],[GBV]]="", "", MROUND(tblPiNAnalysis[[#This Row],[GBV]]/tblPiNAnalysis[[#This Row],[Total Population]], 0.05)), "")</f>
        <v/>
      </c>
      <c r="AD353" s="315" t="str">
        <f>IFERROR(IF(tblPiNAnalysis[[#This Row],[Mine Action]]="", "", MROUND(tblPiNAnalysis[[#This Row],[Mine Action]]/tblPiNAnalysis[[#This Row],[Total Population]], 0.05)), "")</f>
        <v/>
      </c>
      <c r="AE353" s="315" t="str">
        <f>IFERROR(IF(tblPiNAnalysis[[#This Row],[General Protection]]="", "", MROUND(tblPiNAnalysis[[#This Row],[General Protection]]/tblPiNAnalysis[[#This Row],[Total Population]], 0.05)), "")</f>
        <v/>
      </c>
      <c r="AF353" s="319">
        <f>IFERROR(LARGE(tblPiNAnalysis[[#This Row],[Site Management ]:[General Protection]], 1), "")</f>
        <v>18</v>
      </c>
      <c r="AG353" s="330">
        <f>IF(tblPiNAnalysis[[#This Row],[Highest PiN]]="", "",tblPiNAnalysis[[#This Row],[Highest PiN]]/ tblPiNAnalysis[[#This Row],[Total Population]])</f>
        <v>0.9</v>
      </c>
      <c r="AH353" s="330" t="str">
        <f>IFERROR(IF(tblPiNAnalysis[[#This Row],[Highest PiN]]="", "", IF(tblPiNAnalysis[[#This Row],[Highest sector(s'') PiN %]]&gt;=flag_pin_perc, "Flagged", "")), "")</f>
        <v>Flagged</v>
      </c>
      <c r="AI353" s="321"/>
      <c r="AJ353" s="322"/>
      <c r="AK353" s="323">
        <f>COUNTIFS(tblPiNAnalysis[[#This Row],[Highest PiN greater than 90% of total affected population]:[Manual Flag]],"Flagged")</f>
        <v>1</v>
      </c>
      <c r="AL353" s="331" t="str">
        <f>IF(tblPiNAnalysis[[#This Row],['# Flags]]&gt;0, "Flagged", "")</f>
        <v>Flagged</v>
      </c>
    </row>
    <row r="354" spans="1:38" ht="23.1" customHeight="1" x14ac:dyDescent="0.2">
      <c r="A354" s="309" t="str">
        <f>_xlfn.CONCAT(IF(tblPiNAnalysis[[#This Row],[Population Group]]="", "",tblPiNAnalysis[[#This Row],[Population Group]] ), _xlfn.IFS(tblPiNAnalysis[[#This Row],[Admin 2 P-Code]]&lt;&gt;"", tblPiNAnalysis[[#This Row],[Admin 2 P-Code]], tblPiNAnalysis[[#This Row],[Admin 1 P-Code]]&lt;&gt;"", tblPiNAnalysis[[#This Row],[Admin 1 P-Code]]))</f>
        <v>Non-hosting PopulationSD11054</v>
      </c>
      <c r="B354" s="245" t="s">
        <v>161</v>
      </c>
      <c r="C354" s="246" t="s">
        <v>128</v>
      </c>
      <c r="D354" s="247" t="s">
        <v>426</v>
      </c>
      <c r="E354" s="246" t="s">
        <v>427</v>
      </c>
      <c r="F354" s="248">
        <v>117423</v>
      </c>
      <c r="G354" s="248" t="s">
        <v>568</v>
      </c>
      <c r="H354" s="310"/>
      <c r="I354" s="311"/>
      <c r="J354" s="312"/>
      <c r="K354" s="311"/>
      <c r="L354" s="311"/>
      <c r="M354" s="312"/>
      <c r="N354" s="312">
        <f>_xlfn.XLOOKUP(CONCATENATE(tblPiNAnalysis[[#This Row],[Admin 2 P-Code]],tblPiNAnalysis[[#This Row],[Population Group]]),'Overall severity &amp; PIN Analysis'!A:A,'Overall severity &amp; PIN Analysis'!P:P,0,0)</f>
        <v>5259</v>
      </c>
      <c r="O354" s="311"/>
      <c r="P354" s="312"/>
      <c r="Q354" s="312"/>
      <c r="R354" s="312"/>
      <c r="S354" s="312"/>
      <c r="T354" s="313" t="str">
        <f>IF(tblPiNAnalysis[[#This Row],[Site Management ]]="", "", tblPiNAnalysis[[#This Row],[Site Management ]]/tblPiNAnalysis[[#This Row],[Total Population]])</f>
        <v/>
      </c>
      <c r="U354" s="314" t="str">
        <f>IF(tblPiNAnalysis[[#This Row],[Education]]="", "", tblPiNAnalysis[[#This Row],[Education]]/tblPiNAnalysis[[#This Row],[Total Population]])</f>
        <v/>
      </c>
      <c r="V354" s="314" t="str">
        <f>IF(tblPiNAnalysis[[#This Row],[Food Security and Livlihoods]]="", "", tblPiNAnalysis[[#This Row],[Food Security and Livlihoods]]/tblPiNAnalysis[[#This Row],[Total Population]])</f>
        <v/>
      </c>
      <c r="W354" s="315" t="str">
        <f>IF(tblPiNAnalysis[[#This Row],[Health ]]="", "", tblPiNAnalysis[[#This Row],[Health ]]/tblPiNAnalysis[[#This Row],[Total Population]])</f>
        <v/>
      </c>
      <c r="X354" s="314" t="str">
        <f>IF(tblPiNAnalysis[[#This Row],[Nutrition]]="", "", tblPiNAnalysis[[#This Row],[Nutrition]]/tblPiNAnalysis[[#This Row],[Total Population]])</f>
        <v/>
      </c>
      <c r="Y354" s="314" t="str">
        <f>IF(tblPiNAnalysis[[#This Row],[Protection]]="", "", tblPiNAnalysis[[#This Row],[Protection]]/tblPiNAnalysis[[#This Row],[Total Population]])</f>
        <v/>
      </c>
      <c r="Z354" s="316">
        <f>IF(tblPiNAnalysis[[#This Row],[Shelter NFI ]]="", "", tblPiNAnalysis[[#This Row],[Shelter NFI ]]/tblPiNAnalysis[[#This Row],[Total Population]])</f>
        <v>4.4786796453846353E-2</v>
      </c>
      <c r="AA354" s="317" t="str">
        <f>IF(tblPiNAnalysis[[#This Row],[WASH]]="", "", tblPiNAnalysis[[#This Row],[WASH]]/tblPiNAnalysis[[#This Row],[Total Population]])</f>
        <v/>
      </c>
      <c r="AB354" s="318" t="str">
        <f>IFERROR(IF(tblPiNAnalysis[[#This Row],[CP]]="", "", MROUND(tblPiNAnalysis[[#This Row],[CP]]/tblPiNAnalysis[[#This Row],[Total Population]], 0.05)), "")</f>
        <v/>
      </c>
      <c r="AC354" s="314" t="str">
        <f>IFERROR(IF(tblPiNAnalysis[[#This Row],[GBV]]="", "", MROUND(tblPiNAnalysis[[#This Row],[GBV]]/tblPiNAnalysis[[#This Row],[Total Population]], 0.05)), "")</f>
        <v/>
      </c>
      <c r="AD354" s="314" t="str">
        <f>IFERROR(IF(tblPiNAnalysis[[#This Row],[Mine Action]]="", "", MROUND(tblPiNAnalysis[[#This Row],[Mine Action]]/tblPiNAnalysis[[#This Row],[Total Population]], 0.05)), "")</f>
        <v/>
      </c>
      <c r="AE354" s="314" t="str">
        <f>IFERROR(IF(tblPiNAnalysis[[#This Row],[General Protection]]="", "", MROUND(tblPiNAnalysis[[#This Row],[General Protection]]/tblPiNAnalysis[[#This Row],[Total Population]], 0.05)), "")</f>
        <v/>
      </c>
      <c r="AF354" s="319">
        <f>IFERROR(LARGE(tblPiNAnalysis[[#This Row],[Site Management ]:[General Protection]], 1), "")</f>
        <v>5259</v>
      </c>
      <c r="AG354" s="320">
        <f>IF(tblPiNAnalysis[[#This Row],[Highest PiN]]="", "",tblPiNAnalysis[[#This Row],[Highest PiN]]/ tblPiNAnalysis[[#This Row],[Total Population]])</f>
        <v>4.4786796453846353E-2</v>
      </c>
      <c r="AH354" s="320" t="str">
        <f>IFERROR(IF(tblPiNAnalysis[[#This Row],[Highest PiN]]="", "", IF(tblPiNAnalysis[[#This Row],[Highest sector(s'') PiN %]]&gt;=flag_pin_perc, "Flagged", "")), "")</f>
        <v/>
      </c>
      <c r="AI354" s="321"/>
      <c r="AJ354" s="322"/>
      <c r="AK354" s="323">
        <f>COUNTIFS(tblPiNAnalysis[[#This Row],[Highest PiN greater than 90% of total affected population]:[Manual Flag]],"Flagged")</f>
        <v>0</v>
      </c>
      <c r="AL354" s="324" t="str">
        <f>IF(tblPiNAnalysis[[#This Row],['# Flags]]&gt;0, "Flagged", "")</f>
        <v/>
      </c>
    </row>
    <row r="355" spans="1:38" ht="23.1" hidden="1" customHeight="1" x14ac:dyDescent="0.2">
      <c r="A355" s="309" t="str">
        <f>_xlfn.CONCAT(IF(tblPiNAnalysis[[#This Row],[Population Group]]="", "",tblPiNAnalysis[[#This Row],[Population Group]] ), _xlfn.IFS(tblPiNAnalysis[[#This Row],[Admin 2 P-Code]]&lt;&gt;"", tblPiNAnalysis[[#This Row],[Admin 2 P-Code]], tblPiNAnalysis[[#This Row],[Admin 1 P-Code]]&lt;&gt;"", tblPiNAnalysis[[#This Row],[Admin 1 P-Code]]))</f>
        <v>Host CommunitySD11055</v>
      </c>
      <c r="B355" s="245" t="s">
        <v>161</v>
      </c>
      <c r="C355" s="246" t="s">
        <v>128</v>
      </c>
      <c r="D355" s="247" t="s">
        <v>428</v>
      </c>
      <c r="E355" s="246" t="s">
        <v>429</v>
      </c>
      <c r="F355" s="248">
        <v>1655</v>
      </c>
      <c r="G355" s="248" t="s">
        <v>87</v>
      </c>
      <c r="H355" s="310"/>
      <c r="I355" s="311"/>
      <c r="J355" s="312"/>
      <c r="K355" s="311"/>
      <c r="L355" s="311"/>
      <c r="M355" s="312"/>
      <c r="N355" s="312">
        <f>_xlfn.XLOOKUP(CONCATENATE(tblPiNAnalysis[[#This Row],[Admin 2 P-Code]],tblPiNAnalysis[[#This Row],[Population Group]]),'Overall severity &amp; PIN Analysis'!A:A,'Overall severity &amp; PIN Analysis'!P:P,0,0)</f>
        <v>727</v>
      </c>
      <c r="O355" s="311"/>
      <c r="P355" s="312"/>
      <c r="Q355" s="312"/>
      <c r="R355" s="312"/>
      <c r="S355" s="312"/>
      <c r="T355" s="313" t="str">
        <f>IF(tblPiNAnalysis[[#This Row],[Site Management ]]="", "", tblPiNAnalysis[[#This Row],[Site Management ]]/tblPiNAnalysis[[#This Row],[Total Population]])</f>
        <v/>
      </c>
      <c r="U355" s="314" t="str">
        <f>IF(tblPiNAnalysis[[#This Row],[Education]]="", "", tblPiNAnalysis[[#This Row],[Education]]/tblPiNAnalysis[[#This Row],[Total Population]])</f>
        <v/>
      </c>
      <c r="V355" s="314" t="str">
        <f>IF(tblPiNAnalysis[[#This Row],[Food Security and Livlihoods]]="", "", tblPiNAnalysis[[#This Row],[Food Security and Livlihoods]]/tblPiNAnalysis[[#This Row],[Total Population]])</f>
        <v/>
      </c>
      <c r="W355" s="315" t="str">
        <f>IF(tblPiNAnalysis[[#This Row],[Health ]]="", "", tblPiNAnalysis[[#This Row],[Health ]]/tblPiNAnalysis[[#This Row],[Total Population]])</f>
        <v/>
      </c>
      <c r="X355" s="314" t="str">
        <f>IF(tblPiNAnalysis[[#This Row],[Nutrition]]="", "", tblPiNAnalysis[[#This Row],[Nutrition]]/tblPiNAnalysis[[#This Row],[Total Population]])</f>
        <v/>
      </c>
      <c r="Y355" s="314" t="str">
        <f>IF(tblPiNAnalysis[[#This Row],[Protection]]="", "", tblPiNAnalysis[[#This Row],[Protection]]/tblPiNAnalysis[[#This Row],[Total Population]])</f>
        <v/>
      </c>
      <c r="Z355" s="316">
        <f>IF(tblPiNAnalysis[[#This Row],[Shelter NFI ]]="", "", tblPiNAnalysis[[#This Row],[Shelter NFI ]]/tblPiNAnalysis[[#This Row],[Total Population]])</f>
        <v>0.43927492447129907</v>
      </c>
      <c r="AA355" s="317" t="str">
        <f>IF(tblPiNAnalysis[[#This Row],[WASH]]="", "", tblPiNAnalysis[[#This Row],[WASH]]/tblPiNAnalysis[[#This Row],[Total Population]])</f>
        <v/>
      </c>
      <c r="AB355" s="318" t="str">
        <f>IFERROR(IF(tblPiNAnalysis[[#This Row],[CP]]="", "", MROUND(tblPiNAnalysis[[#This Row],[CP]]/tblPiNAnalysis[[#This Row],[Total Population]], 0.05)), "")</f>
        <v/>
      </c>
      <c r="AC355" s="314" t="str">
        <f>IFERROR(IF(tblPiNAnalysis[[#This Row],[GBV]]="", "", MROUND(tblPiNAnalysis[[#This Row],[GBV]]/tblPiNAnalysis[[#This Row],[Total Population]], 0.05)), "")</f>
        <v/>
      </c>
      <c r="AD355" s="314" t="str">
        <f>IFERROR(IF(tblPiNAnalysis[[#This Row],[Mine Action]]="", "", MROUND(tblPiNAnalysis[[#This Row],[Mine Action]]/tblPiNAnalysis[[#This Row],[Total Population]], 0.05)), "")</f>
        <v/>
      </c>
      <c r="AE355" s="314" t="str">
        <f>IFERROR(IF(tblPiNAnalysis[[#This Row],[General Protection]]="", "", MROUND(tblPiNAnalysis[[#This Row],[General Protection]]/tblPiNAnalysis[[#This Row],[Total Population]], 0.05)), "")</f>
        <v/>
      </c>
      <c r="AF355" s="319">
        <f>IFERROR(LARGE(tblPiNAnalysis[[#This Row],[Site Management ]:[General Protection]], 1), "")</f>
        <v>727</v>
      </c>
      <c r="AG355" s="320">
        <f>IF(tblPiNAnalysis[[#This Row],[Highest PiN]]="", "",tblPiNAnalysis[[#This Row],[Highest PiN]]/ tblPiNAnalysis[[#This Row],[Total Population]])</f>
        <v>0.43927492447129907</v>
      </c>
      <c r="AH355" s="320" t="str">
        <f>IFERROR(IF(tblPiNAnalysis[[#This Row],[Highest PiN]]="", "", IF(tblPiNAnalysis[[#This Row],[Highest sector(s'') PiN %]]&gt;=flag_pin_perc, "Flagged", "")), "")</f>
        <v/>
      </c>
      <c r="AI355" s="321"/>
      <c r="AJ355" s="322"/>
      <c r="AK355" s="323">
        <f>COUNTIFS(tblPiNAnalysis[[#This Row],[Highest PiN greater than 90% of total affected population]:[Manual Flag]],"Flagged")</f>
        <v>0</v>
      </c>
      <c r="AL355" s="324" t="str">
        <f>IF(tblPiNAnalysis[[#This Row],['# Flags]]&gt;0, "Flagged", "")</f>
        <v/>
      </c>
    </row>
    <row r="356" spans="1:38" ht="23.1" hidden="1" customHeight="1" x14ac:dyDescent="0.2">
      <c r="A356" s="309" t="str">
        <f>_xlfn.CONCAT(IF(tblPiNAnalysis[[#This Row],[Population Group]]="", "",tblPiNAnalysis[[#This Row],[Population Group]] ), _xlfn.IFS(tblPiNAnalysis[[#This Row],[Admin 2 P-Code]]&lt;&gt;"", tblPiNAnalysis[[#This Row],[Admin 2 P-Code]], tblPiNAnalysis[[#This Row],[Admin 1 P-Code]]&lt;&gt;"", tblPiNAnalysis[[#This Row],[Admin 1 P-Code]]))</f>
        <v>IDPsSD11055</v>
      </c>
      <c r="B356" s="245" t="s">
        <v>161</v>
      </c>
      <c r="C356" s="246" t="s">
        <v>128</v>
      </c>
      <c r="D356" s="247" t="s">
        <v>428</v>
      </c>
      <c r="E356" s="246" t="s">
        <v>429</v>
      </c>
      <c r="F356" s="248">
        <v>1645</v>
      </c>
      <c r="G356" s="248" t="s">
        <v>88</v>
      </c>
      <c r="H356" s="310"/>
      <c r="I356" s="311"/>
      <c r="J356" s="311"/>
      <c r="K356" s="311"/>
      <c r="L356" s="311"/>
      <c r="M356" s="311"/>
      <c r="N356" s="311">
        <f>_xlfn.XLOOKUP(CONCATENATE(tblPiNAnalysis[[#This Row],[Admin 2 P-Code]],tblPiNAnalysis[[#This Row],[Population Group]]),'Overall severity &amp; PIN Analysis'!A:A,'Overall severity &amp; PIN Analysis'!P:P,0,0)</f>
        <v>723</v>
      </c>
      <c r="O356" s="311"/>
      <c r="P356" s="311"/>
      <c r="Q356" s="311"/>
      <c r="R356" s="311"/>
      <c r="S356" s="311"/>
      <c r="T356" s="326" t="str">
        <f>IF(tblPiNAnalysis[[#This Row],[Site Management ]]="", "", tblPiNAnalysis[[#This Row],[Site Management ]]/tblPiNAnalysis[[#This Row],[Total Population]])</f>
        <v/>
      </c>
      <c r="U356" s="315" t="str">
        <f>IF(tblPiNAnalysis[[#This Row],[Education]]="", "", tblPiNAnalysis[[#This Row],[Education]]/tblPiNAnalysis[[#This Row],[Total Population]])</f>
        <v/>
      </c>
      <c r="V356" s="315" t="str">
        <f>IF(tblPiNAnalysis[[#This Row],[Food Security and Livlihoods]]="", "", tblPiNAnalysis[[#This Row],[Food Security and Livlihoods]]/tblPiNAnalysis[[#This Row],[Total Population]])</f>
        <v/>
      </c>
      <c r="W356" s="315" t="str">
        <f>IF(tblPiNAnalysis[[#This Row],[Health ]]="", "", tblPiNAnalysis[[#This Row],[Health ]]/tblPiNAnalysis[[#This Row],[Total Population]])</f>
        <v/>
      </c>
      <c r="X356" s="315" t="str">
        <f>IF(tblPiNAnalysis[[#This Row],[Nutrition]]="", "", tblPiNAnalysis[[#This Row],[Nutrition]]/tblPiNAnalysis[[#This Row],[Total Population]])</f>
        <v/>
      </c>
      <c r="Y356" s="315" t="str">
        <f>IF(tblPiNAnalysis[[#This Row],[Protection]]="", "", tblPiNAnalysis[[#This Row],[Protection]]/tblPiNAnalysis[[#This Row],[Total Population]])</f>
        <v/>
      </c>
      <c r="Z356" s="327">
        <f>IF(tblPiNAnalysis[[#This Row],[Shelter NFI ]]="", "", tblPiNAnalysis[[#This Row],[Shelter NFI ]]/tblPiNAnalysis[[#This Row],[Total Population]])</f>
        <v>0.43951367781155015</v>
      </c>
      <c r="AA356" s="328" t="str">
        <f>IF(tblPiNAnalysis[[#This Row],[WASH]]="", "", tblPiNAnalysis[[#This Row],[WASH]]/tblPiNAnalysis[[#This Row],[Total Population]])</f>
        <v/>
      </c>
      <c r="AB356" s="329" t="str">
        <f>IFERROR(IF(tblPiNAnalysis[[#This Row],[CP]]="", "", MROUND(tblPiNAnalysis[[#This Row],[CP]]/tblPiNAnalysis[[#This Row],[Total Population]], 0.05)), "")</f>
        <v/>
      </c>
      <c r="AC356" s="315" t="str">
        <f>IFERROR(IF(tblPiNAnalysis[[#This Row],[GBV]]="", "", MROUND(tblPiNAnalysis[[#This Row],[GBV]]/tblPiNAnalysis[[#This Row],[Total Population]], 0.05)), "")</f>
        <v/>
      </c>
      <c r="AD356" s="315" t="str">
        <f>IFERROR(IF(tblPiNAnalysis[[#This Row],[Mine Action]]="", "", MROUND(tblPiNAnalysis[[#This Row],[Mine Action]]/tblPiNAnalysis[[#This Row],[Total Population]], 0.05)), "")</f>
        <v/>
      </c>
      <c r="AE356" s="315" t="str">
        <f>IFERROR(IF(tblPiNAnalysis[[#This Row],[General Protection]]="", "", MROUND(tblPiNAnalysis[[#This Row],[General Protection]]/tblPiNAnalysis[[#This Row],[Total Population]], 0.05)), "")</f>
        <v/>
      </c>
      <c r="AF356" s="319">
        <f>IFERROR(LARGE(tblPiNAnalysis[[#This Row],[Site Management ]:[General Protection]], 1), "")</f>
        <v>723</v>
      </c>
      <c r="AG356" s="330">
        <f>IF(tblPiNAnalysis[[#This Row],[Highest PiN]]="", "",tblPiNAnalysis[[#This Row],[Highest PiN]]/ tblPiNAnalysis[[#This Row],[Total Population]])</f>
        <v>0.43951367781155015</v>
      </c>
      <c r="AH356" s="330" t="str">
        <f>IFERROR(IF(tblPiNAnalysis[[#This Row],[Highest PiN]]="", "", IF(tblPiNAnalysis[[#This Row],[Highest sector(s'') PiN %]]&gt;=flag_pin_perc, "Flagged", "")), "")</f>
        <v/>
      </c>
      <c r="AI356" s="321"/>
      <c r="AJ356" s="322"/>
      <c r="AK356" s="323">
        <f>COUNTIFS(tblPiNAnalysis[[#This Row],[Highest PiN greater than 90% of total affected population]:[Manual Flag]],"Flagged")</f>
        <v>0</v>
      </c>
      <c r="AL356" s="331" t="str">
        <f>IF(tblPiNAnalysis[[#This Row],['# Flags]]&gt;0, "Flagged", "")</f>
        <v/>
      </c>
    </row>
    <row r="357" spans="1:38" ht="23.1" customHeight="1" x14ac:dyDescent="0.2">
      <c r="A357" s="309" t="str">
        <f>_xlfn.CONCAT(IF(tblPiNAnalysis[[#This Row],[Population Group]]="", "",tblPiNAnalysis[[#This Row],[Population Group]] ), _xlfn.IFS(tblPiNAnalysis[[#This Row],[Admin 2 P-Code]]&lt;&gt;"", tblPiNAnalysis[[#This Row],[Admin 2 P-Code]], tblPiNAnalysis[[#This Row],[Admin 1 P-Code]]&lt;&gt;"", tblPiNAnalysis[[#This Row],[Admin 1 P-Code]]))</f>
        <v>Non-hosting PopulationSD11055</v>
      </c>
      <c r="B357" s="245" t="s">
        <v>161</v>
      </c>
      <c r="C357" s="246" t="s">
        <v>128</v>
      </c>
      <c r="D357" s="247" t="s">
        <v>428</v>
      </c>
      <c r="E357" s="246" t="s">
        <v>429</v>
      </c>
      <c r="F357" s="248">
        <v>139771</v>
      </c>
      <c r="G357" s="248" t="s">
        <v>568</v>
      </c>
      <c r="H357" s="310"/>
      <c r="I357" s="311"/>
      <c r="J357" s="312"/>
      <c r="K357" s="311"/>
      <c r="L357" s="311"/>
      <c r="M357" s="312"/>
      <c r="N357" s="312">
        <f>_xlfn.XLOOKUP(CONCATENATE(tblPiNAnalysis[[#This Row],[Admin 2 P-Code]],tblPiNAnalysis[[#This Row],[Population Group]]),'Overall severity &amp; PIN Analysis'!A:A,'Overall severity &amp; PIN Analysis'!P:P,0,0)</f>
        <v>2233</v>
      </c>
      <c r="O357" s="311"/>
      <c r="P357" s="312"/>
      <c r="Q357" s="312"/>
      <c r="R357" s="312"/>
      <c r="S357" s="312"/>
      <c r="T357" s="313" t="str">
        <f>IF(tblPiNAnalysis[[#This Row],[Site Management ]]="", "", tblPiNAnalysis[[#This Row],[Site Management ]]/tblPiNAnalysis[[#This Row],[Total Population]])</f>
        <v/>
      </c>
      <c r="U357" s="314" t="str">
        <f>IF(tblPiNAnalysis[[#This Row],[Education]]="", "", tblPiNAnalysis[[#This Row],[Education]]/tblPiNAnalysis[[#This Row],[Total Population]])</f>
        <v/>
      </c>
      <c r="V357" s="314" t="str">
        <f>IF(tblPiNAnalysis[[#This Row],[Food Security and Livlihoods]]="", "", tblPiNAnalysis[[#This Row],[Food Security and Livlihoods]]/tblPiNAnalysis[[#This Row],[Total Population]])</f>
        <v/>
      </c>
      <c r="W357" s="315" t="str">
        <f>IF(tblPiNAnalysis[[#This Row],[Health ]]="", "", tblPiNAnalysis[[#This Row],[Health ]]/tblPiNAnalysis[[#This Row],[Total Population]])</f>
        <v/>
      </c>
      <c r="X357" s="314" t="str">
        <f>IF(tblPiNAnalysis[[#This Row],[Nutrition]]="", "", tblPiNAnalysis[[#This Row],[Nutrition]]/tblPiNAnalysis[[#This Row],[Total Population]])</f>
        <v/>
      </c>
      <c r="Y357" s="314" t="str">
        <f>IF(tblPiNAnalysis[[#This Row],[Protection]]="", "", tblPiNAnalysis[[#This Row],[Protection]]/tblPiNAnalysis[[#This Row],[Total Population]])</f>
        <v/>
      </c>
      <c r="Z357" s="316">
        <f>IF(tblPiNAnalysis[[#This Row],[Shelter NFI ]]="", "", tblPiNAnalysis[[#This Row],[Shelter NFI ]]/tblPiNAnalysis[[#This Row],[Total Population]])</f>
        <v>1.5976132387977477E-2</v>
      </c>
      <c r="AA357" s="317" t="str">
        <f>IF(tblPiNAnalysis[[#This Row],[WASH]]="", "", tblPiNAnalysis[[#This Row],[WASH]]/tblPiNAnalysis[[#This Row],[Total Population]])</f>
        <v/>
      </c>
      <c r="AB357" s="318" t="str">
        <f>IFERROR(IF(tblPiNAnalysis[[#This Row],[CP]]="", "", MROUND(tblPiNAnalysis[[#This Row],[CP]]/tblPiNAnalysis[[#This Row],[Total Population]], 0.05)), "")</f>
        <v/>
      </c>
      <c r="AC357" s="314" t="str">
        <f>IFERROR(IF(tblPiNAnalysis[[#This Row],[GBV]]="", "", MROUND(tblPiNAnalysis[[#This Row],[GBV]]/tblPiNAnalysis[[#This Row],[Total Population]], 0.05)), "")</f>
        <v/>
      </c>
      <c r="AD357" s="314" t="str">
        <f>IFERROR(IF(tblPiNAnalysis[[#This Row],[Mine Action]]="", "", MROUND(tblPiNAnalysis[[#This Row],[Mine Action]]/tblPiNAnalysis[[#This Row],[Total Population]], 0.05)), "")</f>
        <v/>
      </c>
      <c r="AE357" s="314" t="str">
        <f>IFERROR(IF(tblPiNAnalysis[[#This Row],[General Protection]]="", "", MROUND(tblPiNAnalysis[[#This Row],[General Protection]]/tblPiNAnalysis[[#This Row],[Total Population]], 0.05)), "")</f>
        <v/>
      </c>
      <c r="AF357" s="319">
        <f>IFERROR(LARGE(tblPiNAnalysis[[#This Row],[Site Management ]:[General Protection]], 1), "")</f>
        <v>2233</v>
      </c>
      <c r="AG357" s="320">
        <f>IF(tblPiNAnalysis[[#This Row],[Highest PiN]]="", "",tblPiNAnalysis[[#This Row],[Highest PiN]]/ tblPiNAnalysis[[#This Row],[Total Population]])</f>
        <v>1.5976132387977477E-2</v>
      </c>
      <c r="AH357" s="320" t="str">
        <f>IFERROR(IF(tblPiNAnalysis[[#This Row],[Highest PiN]]="", "", IF(tblPiNAnalysis[[#This Row],[Highest sector(s'') PiN %]]&gt;=flag_pin_perc, "Flagged", "")), "")</f>
        <v/>
      </c>
      <c r="AI357" s="321"/>
      <c r="AJ357" s="322"/>
      <c r="AK357" s="323">
        <f>COUNTIFS(tblPiNAnalysis[[#This Row],[Highest PiN greater than 90% of total affected population]:[Manual Flag]],"Flagged")</f>
        <v>0</v>
      </c>
      <c r="AL357" s="324" t="str">
        <f>IF(tblPiNAnalysis[[#This Row],['# Flags]]&gt;0, "Flagged", "")</f>
        <v/>
      </c>
    </row>
    <row r="358" spans="1:38" ht="23.1" hidden="1" customHeight="1" x14ac:dyDescent="0.2">
      <c r="A358" s="309" t="str">
        <f>_xlfn.CONCAT(IF(tblPiNAnalysis[[#This Row],[Population Group]]="", "",tblPiNAnalysis[[#This Row],[Population Group]] ), _xlfn.IFS(tblPiNAnalysis[[#This Row],[Admin 2 P-Code]]&lt;&gt;"", tblPiNAnalysis[[#This Row],[Admin 2 P-Code]], tblPiNAnalysis[[#This Row],[Admin 1 P-Code]]&lt;&gt;"", tblPiNAnalysis[[#This Row],[Admin 1 P-Code]]))</f>
        <v>Host CommunitySD11056</v>
      </c>
      <c r="B358" s="245" t="s">
        <v>161</v>
      </c>
      <c r="C358" s="246" t="s">
        <v>128</v>
      </c>
      <c r="D358" s="247" t="s">
        <v>430</v>
      </c>
      <c r="E358" s="246" t="s">
        <v>431</v>
      </c>
      <c r="F358" s="248">
        <v>7610</v>
      </c>
      <c r="G358" s="248" t="s">
        <v>87</v>
      </c>
      <c r="H358" s="310"/>
      <c r="I358" s="311"/>
      <c r="J358" s="312"/>
      <c r="K358" s="311"/>
      <c r="L358" s="311"/>
      <c r="M358" s="312"/>
      <c r="N358" s="312">
        <f>_xlfn.XLOOKUP(CONCATENATE(tblPiNAnalysis[[#This Row],[Admin 2 P-Code]],tblPiNAnalysis[[#This Row],[Population Group]]),'Overall severity &amp; PIN Analysis'!A:A,'Overall severity &amp; PIN Analysis'!P:P,0,0)</f>
        <v>6248</v>
      </c>
      <c r="O358" s="311"/>
      <c r="P358" s="312"/>
      <c r="Q358" s="312"/>
      <c r="R358" s="312"/>
      <c r="S358" s="312"/>
      <c r="T358" s="313" t="str">
        <f>IF(tblPiNAnalysis[[#This Row],[Site Management ]]="", "", tblPiNAnalysis[[#This Row],[Site Management ]]/tblPiNAnalysis[[#This Row],[Total Population]])</f>
        <v/>
      </c>
      <c r="U358" s="314" t="str">
        <f>IF(tblPiNAnalysis[[#This Row],[Education]]="", "", tblPiNAnalysis[[#This Row],[Education]]/tblPiNAnalysis[[#This Row],[Total Population]])</f>
        <v/>
      </c>
      <c r="V358" s="314" t="str">
        <f>IF(tblPiNAnalysis[[#This Row],[Food Security and Livlihoods]]="", "", tblPiNAnalysis[[#This Row],[Food Security and Livlihoods]]/tblPiNAnalysis[[#This Row],[Total Population]])</f>
        <v/>
      </c>
      <c r="W358" s="315" t="str">
        <f>IF(tblPiNAnalysis[[#This Row],[Health ]]="", "", tblPiNAnalysis[[#This Row],[Health ]]/tblPiNAnalysis[[#This Row],[Total Population]])</f>
        <v/>
      </c>
      <c r="X358" s="314" t="str">
        <f>IF(tblPiNAnalysis[[#This Row],[Nutrition]]="", "", tblPiNAnalysis[[#This Row],[Nutrition]]/tblPiNAnalysis[[#This Row],[Total Population]])</f>
        <v/>
      </c>
      <c r="Y358" s="314" t="str">
        <f>IF(tblPiNAnalysis[[#This Row],[Protection]]="", "", tblPiNAnalysis[[#This Row],[Protection]]/tblPiNAnalysis[[#This Row],[Total Population]])</f>
        <v/>
      </c>
      <c r="Z358" s="316">
        <f>IF(tblPiNAnalysis[[#This Row],[Shelter NFI ]]="", "", tblPiNAnalysis[[#This Row],[Shelter NFI ]]/tblPiNAnalysis[[#This Row],[Total Population]])</f>
        <v>0.82102496714848883</v>
      </c>
      <c r="AA358" s="317" t="str">
        <f>IF(tblPiNAnalysis[[#This Row],[WASH]]="", "", tblPiNAnalysis[[#This Row],[WASH]]/tblPiNAnalysis[[#This Row],[Total Population]])</f>
        <v/>
      </c>
      <c r="AB358" s="318" t="str">
        <f>IFERROR(IF(tblPiNAnalysis[[#This Row],[CP]]="", "", MROUND(tblPiNAnalysis[[#This Row],[CP]]/tblPiNAnalysis[[#This Row],[Total Population]], 0.05)), "")</f>
        <v/>
      </c>
      <c r="AC358" s="314" t="str">
        <f>IFERROR(IF(tblPiNAnalysis[[#This Row],[GBV]]="", "", MROUND(tblPiNAnalysis[[#This Row],[GBV]]/tblPiNAnalysis[[#This Row],[Total Population]], 0.05)), "")</f>
        <v/>
      </c>
      <c r="AD358" s="314" t="str">
        <f>IFERROR(IF(tblPiNAnalysis[[#This Row],[Mine Action]]="", "", MROUND(tblPiNAnalysis[[#This Row],[Mine Action]]/tblPiNAnalysis[[#This Row],[Total Population]], 0.05)), "")</f>
        <v/>
      </c>
      <c r="AE358" s="314" t="str">
        <f>IFERROR(IF(tblPiNAnalysis[[#This Row],[General Protection]]="", "", MROUND(tblPiNAnalysis[[#This Row],[General Protection]]/tblPiNAnalysis[[#This Row],[Total Population]], 0.05)), "")</f>
        <v/>
      </c>
      <c r="AF358" s="319">
        <f>IFERROR(LARGE(tblPiNAnalysis[[#This Row],[Site Management ]:[General Protection]], 1), "")</f>
        <v>6248</v>
      </c>
      <c r="AG358" s="320">
        <f>IF(tblPiNAnalysis[[#This Row],[Highest PiN]]="", "",tblPiNAnalysis[[#This Row],[Highest PiN]]/ tblPiNAnalysis[[#This Row],[Total Population]])</f>
        <v>0.82102496714848883</v>
      </c>
      <c r="AH358" s="320" t="str">
        <f>IFERROR(IF(tblPiNAnalysis[[#This Row],[Highest PiN]]="", "", IF(tblPiNAnalysis[[#This Row],[Highest sector(s'') PiN %]]&gt;=flag_pin_perc, "Flagged", "")), "")</f>
        <v/>
      </c>
      <c r="AI358" s="321"/>
      <c r="AJ358" s="322"/>
      <c r="AK358" s="323">
        <f>COUNTIFS(tblPiNAnalysis[[#This Row],[Highest PiN greater than 90% of total affected population]:[Manual Flag]],"Flagged")</f>
        <v>0</v>
      </c>
      <c r="AL358" s="324" t="str">
        <f>IF(tblPiNAnalysis[[#This Row],['# Flags]]&gt;0, "Flagged", "")</f>
        <v/>
      </c>
    </row>
    <row r="359" spans="1:38" ht="23.1" hidden="1" customHeight="1" x14ac:dyDescent="0.2">
      <c r="A359" s="309" t="str">
        <f>_xlfn.CONCAT(IF(tblPiNAnalysis[[#This Row],[Population Group]]="", "",tblPiNAnalysis[[#This Row],[Population Group]] ), _xlfn.IFS(tblPiNAnalysis[[#This Row],[Admin 2 P-Code]]&lt;&gt;"", tblPiNAnalysis[[#This Row],[Admin 2 P-Code]], tblPiNAnalysis[[#This Row],[Admin 1 P-Code]]&lt;&gt;"", tblPiNAnalysis[[#This Row],[Admin 1 P-Code]]))</f>
        <v>IDPsSD11056</v>
      </c>
      <c r="B359" s="245" t="s">
        <v>161</v>
      </c>
      <c r="C359" s="246" t="s">
        <v>128</v>
      </c>
      <c r="D359" s="247" t="s">
        <v>430</v>
      </c>
      <c r="E359" s="246" t="s">
        <v>431</v>
      </c>
      <c r="F359" s="248">
        <v>4155</v>
      </c>
      <c r="G359" s="248" t="s">
        <v>88</v>
      </c>
      <c r="H359" s="310"/>
      <c r="I359" s="311"/>
      <c r="J359" s="311"/>
      <c r="K359" s="311"/>
      <c r="L359" s="311"/>
      <c r="M359" s="311"/>
      <c r="N359" s="311">
        <f>_xlfn.XLOOKUP(CONCATENATE(tblPiNAnalysis[[#This Row],[Admin 2 P-Code]],tblPiNAnalysis[[#This Row],[Population Group]]),'Overall severity &amp; PIN Analysis'!A:A,'Overall severity &amp; PIN Analysis'!P:P,0,0)</f>
        <v>3411</v>
      </c>
      <c r="O359" s="311"/>
      <c r="P359" s="311"/>
      <c r="Q359" s="311"/>
      <c r="R359" s="311"/>
      <c r="S359" s="311"/>
      <c r="T359" s="326" t="str">
        <f>IF(tblPiNAnalysis[[#This Row],[Site Management ]]="", "", tblPiNAnalysis[[#This Row],[Site Management ]]/tblPiNAnalysis[[#This Row],[Total Population]])</f>
        <v/>
      </c>
      <c r="U359" s="315" t="str">
        <f>IF(tblPiNAnalysis[[#This Row],[Education]]="", "", tblPiNAnalysis[[#This Row],[Education]]/tblPiNAnalysis[[#This Row],[Total Population]])</f>
        <v/>
      </c>
      <c r="V359" s="315" t="str">
        <f>IF(tblPiNAnalysis[[#This Row],[Food Security and Livlihoods]]="", "", tblPiNAnalysis[[#This Row],[Food Security and Livlihoods]]/tblPiNAnalysis[[#This Row],[Total Population]])</f>
        <v/>
      </c>
      <c r="W359" s="315" t="str">
        <f>IF(tblPiNAnalysis[[#This Row],[Health ]]="", "", tblPiNAnalysis[[#This Row],[Health ]]/tblPiNAnalysis[[#This Row],[Total Population]])</f>
        <v/>
      </c>
      <c r="X359" s="315" t="str">
        <f>IF(tblPiNAnalysis[[#This Row],[Nutrition]]="", "", tblPiNAnalysis[[#This Row],[Nutrition]]/tblPiNAnalysis[[#This Row],[Total Population]])</f>
        <v/>
      </c>
      <c r="Y359" s="315" t="str">
        <f>IF(tblPiNAnalysis[[#This Row],[Protection]]="", "", tblPiNAnalysis[[#This Row],[Protection]]/tblPiNAnalysis[[#This Row],[Total Population]])</f>
        <v/>
      </c>
      <c r="Z359" s="327">
        <f>IF(tblPiNAnalysis[[#This Row],[Shelter NFI ]]="", "", tblPiNAnalysis[[#This Row],[Shelter NFI ]]/tblPiNAnalysis[[#This Row],[Total Population]])</f>
        <v>0.82093862815884477</v>
      </c>
      <c r="AA359" s="328" t="str">
        <f>IF(tblPiNAnalysis[[#This Row],[WASH]]="", "", tblPiNAnalysis[[#This Row],[WASH]]/tblPiNAnalysis[[#This Row],[Total Population]])</f>
        <v/>
      </c>
      <c r="AB359" s="329" t="str">
        <f>IFERROR(IF(tblPiNAnalysis[[#This Row],[CP]]="", "", MROUND(tblPiNAnalysis[[#This Row],[CP]]/tblPiNAnalysis[[#This Row],[Total Population]], 0.05)), "")</f>
        <v/>
      </c>
      <c r="AC359" s="315" t="str">
        <f>IFERROR(IF(tblPiNAnalysis[[#This Row],[GBV]]="", "", MROUND(tblPiNAnalysis[[#This Row],[GBV]]/tblPiNAnalysis[[#This Row],[Total Population]], 0.05)), "")</f>
        <v/>
      </c>
      <c r="AD359" s="315" t="str">
        <f>IFERROR(IF(tblPiNAnalysis[[#This Row],[Mine Action]]="", "", MROUND(tblPiNAnalysis[[#This Row],[Mine Action]]/tblPiNAnalysis[[#This Row],[Total Population]], 0.05)), "")</f>
        <v/>
      </c>
      <c r="AE359" s="315" t="str">
        <f>IFERROR(IF(tblPiNAnalysis[[#This Row],[General Protection]]="", "", MROUND(tblPiNAnalysis[[#This Row],[General Protection]]/tblPiNAnalysis[[#This Row],[Total Population]], 0.05)), "")</f>
        <v/>
      </c>
      <c r="AF359" s="319">
        <f>IFERROR(LARGE(tblPiNAnalysis[[#This Row],[Site Management ]:[General Protection]], 1), "")</f>
        <v>3411</v>
      </c>
      <c r="AG359" s="330">
        <f>IF(tblPiNAnalysis[[#This Row],[Highest PiN]]="", "",tblPiNAnalysis[[#This Row],[Highest PiN]]/ tblPiNAnalysis[[#This Row],[Total Population]])</f>
        <v>0.82093862815884477</v>
      </c>
      <c r="AH359" s="330" t="str">
        <f>IFERROR(IF(tblPiNAnalysis[[#This Row],[Highest PiN]]="", "", IF(tblPiNAnalysis[[#This Row],[Highest sector(s'') PiN %]]&gt;=flag_pin_perc, "Flagged", "")), "")</f>
        <v/>
      </c>
      <c r="AI359" s="321"/>
      <c r="AJ359" s="322"/>
      <c r="AK359" s="323">
        <f>COUNTIFS(tblPiNAnalysis[[#This Row],[Highest PiN greater than 90% of total affected population]:[Manual Flag]],"Flagged")</f>
        <v>0</v>
      </c>
      <c r="AL359" s="331" t="str">
        <f>IF(tblPiNAnalysis[[#This Row],['# Flags]]&gt;0, "Flagged", "")</f>
        <v/>
      </c>
    </row>
    <row r="360" spans="1:38" ht="23.1" customHeight="1" x14ac:dyDescent="0.2">
      <c r="A360" s="309" t="str">
        <f>_xlfn.CONCAT(IF(tblPiNAnalysis[[#This Row],[Population Group]]="", "",tblPiNAnalysis[[#This Row],[Population Group]] ), _xlfn.IFS(tblPiNAnalysis[[#This Row],[Admin 2 P-Code]]&lt;&gt;"", tblPiNAnalysis[[#This Row],[Admin 2 P-Code]], tblPiNAnalysis[[#This Row],[Admin 1 P-Code]]&lt;&gt;"", tblPiNAnalysis[[#This Row],[Admin 1 P-Code]]))</f>
        <v>Non-hosting PopulationSD11056</v>
      </c>
      <c r="B360" s="245" t="s">
        <v>161</v>
      </c>
      <c r="C360" s="246" t="s">
        <v>128</v>
      </c>
      <c r="D360" s="247" t="s">
        <v>430</v>
      </c>
      <c r="E360" s="246" t="s">
        <v>431</v>
      </c>
      <c r="F360" s="248">
        <v>204328</v>
      </c>
      <c r="G360" s="248" t="s">
        <v>568</v>
      </c>
      <c r="H360" s="310"/>
      <c r="I360" s="311"/>
      <c r="J360" s="312"/>
      <c r="K360" s="311"/>
      <c r="L360" s="311"/>
      <c r="M360" s="312"/>
      <c r="N360" s="312">
        <f>_xlfn.XLOOKUP(CONCATENATE(tblPiNAnalysis[[#This Row],[Admin 2 P-Code]],tblPiNAnalysis[[#This Row],[Population Group]]),'Overall severity &amp; PIN Analysis'!A:A,'Overall severity &amp; PIN Analysis'!P:P,0,0)</f>
        <v>26783</v>
      </c>
      <c r="O360" s="311"/>
      <c r="P360" s="312"/>
      <c r="Q360" s="312"/>
      <c r="R360" s="312"/>
      <c r="S360" s="312"/>
      <c r="T360" s="313" t="str">
        <f>IF(tblPiNAnalysis[[#This Row],[Site Management ]]="", "", tblPiNAnalysis[[#This Row],[Site Management ]]/tblPiNAnalysis[[#This Row],[Total Population]])</f>
        <v/>
      </c>
      <c r="U360" s="314" t="str">
        <f>IF(tblPiNAnalysis[[#This Row],[Education]]="", "", tblPiNAnalysis[[#This Row],[Education]]/tblPiNAnalysis[[#This Row],[Total Population]])</f>
        <v/>
      </c>
      <c r="V360" s="314" t="str">
        <f>IF(tblPiNAnalysis[[#This Row],[Food Security and Livlihoods]]="", "", tblPiNAnalysis[[#This Row],[Food Security and Livlihoods]]/tblPiNAnalysis[[#This Row],[Total Population]])</f>
        <v/>
      </c>
      <c r="W360" s="315" t="str">
        <f>IF(tblPiNAnalysis[[#This Row],[Health ]]="", "", tblPiNAnalysis[[#This Row],[Health ]]/tblPiNAnalysis[[#This Row],[Total Population]])</f>
        <v/>
      </c>
      <c r="X360" s="314" t="str">
        <f>IF(tblPiNAnalysis[[#This Row],[Nutrition]]="", "", tblPiNAnalysis[[#This Row],[Nutrition]]/tblPiNAnalysis[[#This Row],[Total Population]])</f>
        <v/>
      </c>
      <c r="Y360" s="314" t="str">
        <f>IF(tblPiNAnalysis[[#This Row],[Protection]]="", "", tblPiNAnalysis[[#This Row],[Protection]]/tblPiNAnalysis[[#This Row],[Total Population]])</f>
        <v/>
      </c>
      <c r="Z360" s="316">
        <f>IF(tblPiNAnalysis[[#This Row],[Shelter NFI ]]="", "", tblPiNAnalysis[[#This Row],[Shelter NFI ]]/tblPiNAnalysis[[#This Row],[Total Population]])</f>
        <v>0.13107846208057633</v>
      </c>
      <c r="AA360" s="317" t="str">
        <f>IF(tblPiNAnalysis[[#This Row],[WASH]]="", "", tblPiNAnalysis[[#This Row],[WASH]]/tblPiNAnalysis[[#This Row],[Total Population]])</f>
        <v/>
      </c>
      <c r="AB360" s="318" t="str">
        <f>IFERROR(IF(tblPiNAnalysis[[#This Row],[CP]]="", "", MROUND(tblPiNAnalysis[[#This Row],[CP]]/tblPiNAnalysis[[#This Row],[Total Population]], 0.05)), "")</f>
        <v/>
      </c>
      <c r="AC360" s="314" t="str">
        <f>IFERROR(IF(tblPiNAnalysis[[#This Row],[GBV]]="", "", MROUND(tblPiNAnalysis[[#This Row],[GBV]]/tblPiNAnalysis[[#This Row],[Total Population]], 0.05)), "")</f>
        <v/>
      </c>
      <c r="AD360" s="314" t="str">
        <f>IFERROR(IF(tblPiNAnalysis[[#This Row],[Mine Action]]="", "", MROUND(tblPiNAnalysis[[#This Row],[Mine Action]]/tblPiNAnalysis[[#This Row],[Total Population]], 0.05)), "")</f>
        <v/>
      </c>
      <c r="AE360" s="314" t="str">
        <f>IFERROR(IF(tblPiNAnalysis[[#This Row],[General Protection]]="", "", MROUND(tblPiNAnalysis[[#This Row],[General Protection]]/tblPiNAnalysis[[#This Row],[Total Population]], 0.05)), "")</f>
        <v/>
      </c>
      <c r="AF360" s="319">
        <f>IFERROR(LARGE(tblPiNAnalysis[[#This Row],[Site Management ]:[General Protection]], 1), "")</f>
        <v>26783</v>
      </c>
      <c r="AG360" s="320">
        <f>IF(tblPiNAnalysis[[#This Row],[Highest PiN]]="", "",tblPiNAnalysis[[#This Row],[Highest PiN]]/ tblPiNAnalysis[[#This Row],[Total Population]])</f>
        <v>0.13107846208057633</v>
      </c>
      <c r="AH360" s="320" t="str">
        <f>IFERROR(IF(tblPiNAnalysis[[#This Row],[Highest PiN]]="", "", IF(tblPiNAnalysis[[#This Row],[Highest sector(s'') PiN %]]&gt;=flag_pin_perc, "Flagged", "")), "")</f>
        <v/>
      </c>
      <c r="AI360" s="321"/>
      <c r="AJ360" s="322"/>
      <c r="AK360" s="323">
        <f>COUNTIFS(tblPiNAnalysis[[#This Row],[Highest PiN greater than 90% of total affected population]:[Manual Flag]],"Flagged")</f>
        <v>0</v>
      </c>
      <c r="AL360" s="324" t="str">
        <f>IF(tblPiNAnalysis[[#This Row],['# Flags]]&gt;0, "Flagged", "")</f>
        <v/>
      </c>
    </row>
    <row r="361" spans="1:38" ht="23.1" hidden="1" customHeight="1" x14ac:dyDescent="0.2">
      <c r="A361" s="309" t="str">
        <f>_xlfn.CONCAT(IF(tblPiNAnalysis[[#This Row],[Population Group]]="", "",tblPiNAnalysis[[#This Row],[Population Group]] ), _xlfn.IFS(tblPiNAnalysis[[#This Row],[Admin 2 P-Code]]&lt;&gt;"", tblPiNAnalysis[[#This Row],[Admin 2 P-Code]], tblPiNAnalysis[[#This Row],[Admin 1 P-Code]]&lt;&gt;"", tblPiNAnalysis[[#This Row],[Admin 1 P-Code]]))</f>
        <v>Host CommunitySD11057</v>
      </c>
      <c r="B361" s="245" t="s">
        <v>161</v>
      </c>
      <c r="C361" s="246" t="s">
        <v>128</v>
      </c>
      <c r="D361" s="247" t="s">
        <v>432</v>
      </c>
      <c r="E361" s="246" t="s">
        <v>433</v>
      </c>
      <c r="F361" s="248">
        <v>5790</v>
      </c>
      <c r="G361" s="248" t="s">
        <v>87</v>
      </c>
      <c r="H361" s="310"/>
      <c r="I361" s="311"/>
      <c r="J361" s="312"/>
      <c r="K361" s="311"/>
      <c r="L361" s="311"/>
      <c r="M361" s="312"/>
      <c r="N361" s="312">
        <f>_xlfn.XLOOKUP(CONCATENATE(tblPiNAnalysis[[#This Row],[Admin 2 P-Code]],tblPiNAnalysis[[#This Row],[Population Group]]),'Overall severity &amp; PIN Analysis'!A:A,'Overall severity &amp; PIN Analysis'!P:P,0,0)</f>
        <v>871</v>
      </c>
      <c r="O361" s="311"/>
      <c r="P361" s="312"/>
      <c r="Q361" s="312"/>
      <c r="R361" s="312"/>
      <c r="S361" s="312"/>
      <c r="T361" s="313" t="str">
        <f>IF(tblPiNAnalysis[[#This Row],[Site Management ]]="", "", tblPiNAnalysis[[#This Row],[Site Management ]]/tblPiNAnalysis[[#This Row],[Total Population]])</f>
        <v/>
      </c>
      <c r="U361" s="314" t="str">
        <f>IF(tblPiNAnalysis[[#This Row],[Education]]="", "", tblPiNAnalysis[[#This Row],[Education]]/tblPiNAnalysis[[#This Row],[Total Population]])</f>
        <v/>
      </c>
      <c r="V361" s="314" t="str">
        <f>IF(tblPiNAnalysis[[#This Row],[Food Security and Livlihoods]]="", "", tblPiNAnalysis[[#This Row],[Food Security and Livlihoods]]/tblPiNAnalysis[[#This Row],[Total Population]])</f>
        <v/>
      </c>
      <c r="W361" s="315" t="str">
        <f>IF(tblPiNAnalysis[[#This Row],[Health ]]="", "", tblPiNAnalysis[[#This Row],[Health ]]/tblPiNAnalysis[[#This Row],[Total Population]])</f>
        <v/>
      </c>
      <c r="X361" s="314" t="str">
        <f>IF(tblPiNAnalysis[[#This Row],[Nutrition]]="", "", tblPiNAnalysis[[#This Row],[Nutrition]]/tblPiNAnalysis[[#This Row],[Total Population]])</f>
        <v/>
      </c>
      <c r="Y361" s="314" t="str">
        <f>IF(tblPiNAnalysis[[#This Row],[Protection]]="", "", tblPiNAnalysis[[#This Row],[Protection]]/tblPiNAnalysis[[#This Row],[Total Population]])</f>
        <v/>
      </c>
      <c r="Z361" s="316">
        <f>IF(tblPiNAnalysis[[#This Row],[Shelter NFI ]]="", "", tblPiNAnalysis[[#This Row],[Shelter NFI ]]/tblPiNAnalysis[[#This Row],[Total Population]])</f>
        <v>0.15043177892918824</v>
      </c>
      <c r="AA361" s="317" t="str">
        <f>IF(tblPiNAnalysis[[#This Row],[WASH]]="", "", tblPiNAnalysis[[#This Row],[WASH]]/tblPiNAnalysis[[#This Row],[Total Population]])</f>
        <v/>
      </c>
      <c r="AB361" s="318" t="str">
        <f>IFERROR(IF(tblPiNAnalysis[[#This Row],[CP]]="", "", MROUND(tblPiNAnalysis[[#This Row],[CP]]/tblPiNAnalysis[[#This Row],[Total Population]], 0.05)), "")</f>
        <v/>
      </c>
      <c r="AC361" s="314" t="str">
        <f>IFERROR(IF(tblPiNAnalysis[[#This Row],[GBV]]="", "", MROUND(tblPiNAnalysis[[#This Row],[GBV]]/tblPiNAnalysis[[#This Row],[Total Population]], 0.05)), "")</f>
        <v/>
      </c>
      <c r="AD361" s="314" t="str">
        <f>IFERROR(IF(tblPiNAnalysis[[#This Row],[Mine Action]]="", "", MROUND(tblPiNAnalysis[[#This Row],[Mine Action]]/tblPiNAnalysis[[#This Row],[Total Population]], 0.05)), "")</f>
        <v/>
      </c>
      <c r="AE361" s="314" t="str">
        <f>IFERROR(IF(tblPiNAnalysis[[#This Row],[General Protection]]="", "", MROUND(tblPiNAnalysis[[#This Row],[General Protection]]/tblPiNAnalysis[[#This Row],[Total Population]], 0.05)), "")</f>
        <v/>
      </c>
      <c r="AF361" s="319">
        <f>IFERROR(LARGE(tblPiNAnalysis[[#This Row],[Site Management ]:[General Protection]], 1), "")</f>
        <v>871</v>
      </c>
      <c r="AG361" s="320">
        <f>IF(tblPiNAnalysis[[#This Row],[Highest PiN]]="", "",tblPiNAnalysis[[#This Row],[Highest PiN]]/ tblPiNAnalysis[[#This Row],[Total Population]])</f>
        <v>0.15043177892918824</v>
      </c>
      <c r="AH361" s="320" t="str">
        <f>IFERROR(IF(tblPiNAnalysis[[#This Row],[Highest PiN]]="", "", IF(tblPiNAnalysis[[#This Row],[Highest sector(s'') PiN %]]&gt;=flag_pin_perc, "Flagged", "")), "")</f>
        <v/>
      </c>
      <c r="AI361" s="321"/>
      <c r="AJ361" s="322"/>
      <c r="AK361" s="323">
        <f>COUNTIFS(tblPiNAnalysis[[#This Row],[Highest PiN greater than 90% of total affected population]:[Manual Flag]],"Flagged")</f>
        <v>0</v>
      </c>
      <c r="AL361" s="324" t="str">
        <f>IF(tblPiNAnalysis[[#This Row],['# Flags]]&gt;0, "Flagged", "")</f>
        <v/>
      </c>
    </row>
    <row r="362" spans="1:38" ht="23.1" hidden="1" customHeight="1" x14ac:dyDescent="0.2">
      <c r="A362" s="309" t="str">
        <f>_xlfn.CONCAT(IF(tblPiNAnalysis[[#This Row],[Population Group]]="", "",tblPiNAnalysis[[#This Row],[Population Group]] ), _xlfn.IFS(tblPiNAnalysis[[#This Row],[Admin 2 P-Code]]&lt;&gt;"", tblPiNAnalysis[[#This Row],[Admin 2 P-Code]], tblPiNAnalysis[[#This Row],[Admin 1 P-Code]]&lt;&gt;"", tblPiNAnalysis[[#This Row],[Admin 1 P-Code]]))</f>
        <v>IDPsSD11057</v>
      </c>
      <c r="B362" s="245" t="s">
        <v>161</v>
      </c>
      <c r="C362" s="246" t="s">
        <v>128</v>
      </c>
      <c r="D362" s="247" t="s">
        <v>432</v>
      </c>
      <c r="E362" s="246" t="s">
        <v>433</v>
      </c>
      <c r="F362" s="248">
        <v>5790</v>
      </c>
      <c r="G362" s="248" t="s">
        <v>88</v>
      </c>
      <c r="H362" s="310"/>
      <c r="I362" s="311"/>
      <c r="J362" s="311"/>
      <c r="K362" s="311"/>
      <c r="L362" s="311"/>
      <c r="M362" s="311"/>
      <c r="N362" s="311">
        <f>_xlfn.XLOOKUP(CONCATENATE(tblPiNAnalysis[[#This Row],[Admin 2 P-Code]],tblPiNAnalysis[[#This Row],[Population Group]]),'Overall severity &amp; PIN Analysis'!A:A,'Overall severity &amp; PIN Analysis'!P:P,0,0)</f>
        <v>871</v>
      </c>
      <c r="O362" s="311"/>
      <c r="P362" s="311"/>
      <c r="Q362" s="311"/>
      <c r="R362" s="311"/>
      <c r="S362" s="311"/>
      <c r="T362" s="326" t="str">
        <f>IF(tblPiNAnalysis[[#This Row],[Site Management ]]="", "", tblPiNAnalysis[[#This Row],[Site Management ]]/tblPiNAnalysis[[#This Row],[Total Population]])</f>
        <v/>
      </c>
      <c r="U362" s="315" t="str">
        <f>IF(tblPiNAnalysis[[#This Row],[Education]]="", "", tblPiNAnalysis[[#This Row],[Education]]/tblPiNAnalysis[[#This Row],[Total Population]])</f>
        <v/>
      </c>
      <c r="V362" s="315" t="str">
        <f>IF(tblPiNAnalysis[[#This Row],[Food Security and Livlihoods]]="", "", tblPiNAnalysis[[#This Row],[Food Security and Livlihoods]]/tblPiNAnalysis[[#This Row],[Total Population]])</f>
        <v/>
      </c>
      <c r="W362" s="315" t="str">
        <f>IF(tblPiNAnalysis[[#This Row],[Health ]]="", "", tblPiNAnalysis[[#This Row],[Health ]]/tblPiNAnalysis[[#This Row],[Total Population]])</f>
        <v/>
      </c>
      <c r="X362" s="315" t="str">
        <f>IF(tblPiNAnalysis[[#This Row],[Nutrition]]="", "", tblPiNAnalysis[[#This Row],[Nutrition]]/tblPiNAnalysis[[#This Row],[Total Population]])</f>
        <v/>
      </c>
      <c r="Y362" s="315" t="str">
        <f>IF(tblPiNAnalysis[[#This Row],[Protection]]="", "", tblPiNAnalysis[[#This Row],[Protection]]/tblPiNAnalysis[[#This Row],[Total Population]])</f>
        <v/>
      </c>
      <c r="Z362" s="327">
        <f>IF(tblPiNAnalysis[[#This Row],[Shelter NFI ]]="", "", tblPiNAnalysis[[#This Row],[Shelter NFI ]]/tblPiNAnalysis[[#This Row],[Total Population]])</f>
        <v>0.15043177892918824</v>
      </c>
      <c r="AA362" s="328" t="str">
        <f>IF(tblPiNAnalysis[[#This Row],[WASH]]="", "", tblPiNAnalysis[[#This Row],[WASH]]/tblPiNAnalysis[[#This Row],[Total Population]])</f>
        <v/>
      </c>
      <c r="AB362" s="329" t="str">
        <f>IFERROR(IF(tblPiNAnalysis[[#This Row],[CP]]="", "", MROUND(tblPiNAnalysis[[#This Row],[CP]]/tblPiNAnalysis[[#This Row],[Total Population]], 0.05)), "")</f>
        <v/>
      </c>
      <c r="AC362" s="315" t="str">
        <f>IFERROR(IF(tblPiNAnalysis[[#This Row],[GBV]]="", "", MROUND(tblPiNAnalysis[[#This Row],[GBV]]/tblPiNAnalysis[[#This Row],[Total Population]], 0.05)), "")</f>
        <v/>
      </c>
      <c r="AD362" s="315" t="str">
        <f>IFERROR(IF(tblPiNAnalysis[[#This Row],[Mine Action]]="", "", MROUND(tblPiNAnalysis[[#This Row],[Mine Action]]/tblPiNAnalysis[[#This Row],[Total Population]], 0.05)), "")</f>
        <v/>
      </c>
      <c r="AE362" s="315" t="str">
        <f>IFERROR(IF(tblPiNAnalysis[[#This Row],[General Protection]]="", "", MROUND(tblPiNAnalysis[[#This Row],[General Protection]]/tblPiNAnalysis[[#This Row],[Total Population]], 0.05)), "")</f>
        <v/>
      </c>
      <c r="AF362" s="319">
        <f>IFERROR(LARGE(tblPiNAnalysis[[#This Row],[Site Management ]:[General Protection]], 1), "")</f>
        <v>871</v>
      </c>
      <c r="AG362" s="330">
        <f>IF(tblPiNAnalysis[[#This Row],[Highest PiN]]="", "",tblPiNAnalysis[[#This Row],[Highest PiN]]/ tblPiNAnalysis[[#This Row],[Total Population]])</f>
        <v>0.15043177892918824</v>
      </c>
      <c r="AH362" s="330" t="str">
        <f>IFERROR(IF(tblPiNAnalysis[[#This Row],[Highest PiN]]="", "", IF(tblPiNAnalysis[[#This Row],[Highest sector(s'') PiN %]]&gt;=flag_pin_perc, "Flagged", "")), "")</f>
        <v/>
      </c>
      <c r="AI362" s="321"/>
      <c r="AJ362" s="322"/>
      <c r="AK362" s="323">
        <f>COUNTIFS(tblPiNAnalysis[[#This Row],[Highest PiN greater than 90% of total affected population]:[Manual Flag]],"Flagged")</f>
        <v>0</v>
      </c>
      <c r="AL362" s="331" t="str">
        <f>IF(tblPiNAnalysis[[#This Row],['# Flags]]&gt;0, "Flagged", "")</f>
        <v/>
      </c>
    </row>
    <row r="363" spans="1:38" ht="23.1" customHeight="1" x14ac:dyDescent="0.2">
      <c r="A363" s="309" t="str">
        <f>_xlfn.CONCAT(IF(tblPiNAnalysis[[#This Row],[Population Group]]="", "",tblPiNAnalysis[[#This Row],[Population Group]] ), _xlfn.IFS(tblPiNAnalysis[[#This Row],[Admin 2 P-Code]]&lt;&gt;"", tblPiNAnalysis[[#This Row],[Admin 2 P-Code]], tblPiNAnalysis[[#This Row],[Admin 1 P-Code]]&lt;&gt;"", tblPiNAnalysis[[#This Row],[Admin 1 P-Code]]))</f>
        <v>Non-hosting PopulationSD11057</v>
      </c>
      <c r="B363" s="245" t="s">
        <v>161</v>
      </c>
      <c r="C363" s="246" t="s">
        <v>128</v>
      </c>
      <c r="D363" s="247" t="s">
        <v>432</v>
      </c>
      <c r="E363" s="246" t="s">
        <v>433</v>
      </c>
      <c r="F363" s="248">
        <v>119528</v>
      </c>
      <c r="G363" s="248" t="s">
        <v>568</v>
      </c>
      <c r="H363" s="310"/>
      <c r="I363" s="311"/>
      <c r="J363" s="312"/>
      <c r="K363" s="311"/>
      <c r="L363" s="311"/>
      <c r="M363" s="312"/>
      <c r="N363" s="312">
        <f>_xlfn.XLOOKUP(CONCATENATE(tblPiNAnalysis[[#This Row],[Admin 2 P-Code]],tblPiNAnalysis[[#This Row],[Population Group]]),'Overall severity &amp; PIN Analysis'!A:A,'Overall severity &amp; PIN Analysis'!P:P,0,0)</f>
        <v>0</v>
      </c>
      <c r="O363" s="311"/>
      <c r="P363" s="312"/>
      <c r="Q363" s="312"/>
      <c r="R363" s="312"/>
      <c r="S363" s="312"/>
      <c r="T363" s="313" t="str">
        <f>IF(tblPiNAnalysis[[#This Row],[Site Management ]]="", "", tblPiNAnalysis[[#This Row],[Site Management ]]/tblPiNAnalysis[[#This Row],[Total Population]])</f>
        <v/>
      </c>
      <c r="U363" s="314" t="str">
        <f>IF(tblPiNAnalysis[[#This Row],[Education]]="", "", tblPiNAnalysis[[#This Row],[Education]]/tblPiNAnalysis[[#This Row],[Total Population]])</f>
        <v/>
      </c>
      <c r="V363" s="314" t="str">
        <f>IF(tblPiNAnalysis[[#This Row],[Food Security and Livlihoods]]="", "", tblPiNAnalysis[[#This Row],[Food Security and Livlihoods]]/tblPiNAnalysis[[#This Row],[Total Population]])</f>
        <v/>
      </c>
      <c r="W363" s="315" t="str">
        <f>IF(tblPiNAnalysis[[#This Row],[Health ]]="", "", tblPiNAnalysis[[#This Row],[Health ]]/tblPiNAnalysis[[#This Row],[Total Population]])</f>
        <v/>
      </c>
      <c r="X363" s="314" t="str">
        <f>IF(tblPiNAnalysis[[#This Row],[Nutrition]]="", "", tblPiNAnalysis[[#This Row],[Nutrition]]/tblPiNAnalysis[[#This Row],[Total Population]])</f>
        <v/>
      </c>
      <c r="Y363" s="314" t="str">
        <f>IF(tblPiNAnalysis[[#This Row],[Protection]]="", "", tblPiNAnalysis[[#This Row],[Protection]]/tblPiNAnalysis[[#This Row],[Total Population]])</f>
        <v/>
      </c>
      <c r="Z363" s="316">
        <f>IF(tblPiNAnalysis[[#This Row],[Shelter NFI ]]="", "", tblPiNAnalysis[[#This Row],[Shelter NFI ]]/tblPiNAnalysis[[#This Row],[Total Population]])</f>
        <v>0</v>
      </c>
      <c r="AA363" s="317" t="str">
        <f>IF(tblPiNAnalysis[[#This Row],[WASH]]="", "", tblPiNAnalysis[[#This Row],[WASH]]/tblPiNAnalysis[[#This Row],[Total Population]])</f>
        <v/>
      </c>
      <c r="AB363" s="318" t="str">
        <f>IFERROR(IF(tblPiNAnalysis[[#This Row],[CP]]="", "", MROUND(tblPiNAnalysis[[#This Row],[CP]]/tblPiNAnalysis[[#This Row],[Total Population]], 0.05)), "")</f>
        <v/>
      </c>
      <c r="AC363" s="314" t="str">
        <f>IFERROR(IF(tblPiNAnalysis[[#This Row],[GBV]]="", "", MROUND(tblPiNAnalysis[[#This Row],[GBV]]/tblPiNAnalysis[[#This Row],[Total Population]], 0.05)), "")</f>
        <v/>
      </c>
      <c r="AD363" s="314" t="str">
        <f>IFERROR(IF(tblPiNAnalysis[[#This Row],[Mine Action]]="", "", MROUND(tblPiNAnalysis[[#This Row],[Mine Action]]/tblPiNAnalysis[[#This Row],[Total Population]], 0.05)), "")</f>
        <v/>
      </c>
      <c r="AE363" s="314" t="str">
        <f>IFERROR(IF(tblPiNAnalysis[[#This Row],[General Protection]]="", "", MROUND(tblPiNAnalysis[[#This Row],[General Protection]]/tblPiNAnalysis[[#This Row],[Total Population]], 0.05)), "")</f>
        <v/>
      </c>
      <c r="AF363" s="319">
        <f>IFERROR(LARGE(tblPiNAnalysis[[#This Row],[Site Management ]:[General Protection]], 1), "")</f>
        <v>0</v>
      </c>
      <c r="AG363" s="320">
        <f>IF(tblPiNAnalysis[[#This Row],[Highest PiN]]="", "",tblPiNAnalysis[[#This Row],[Highest PiN]]/ tblPiNAnalysis[[#This Row],[Total Population]])</f>
        <v>0</v>
      </c>
      <c r="AH363" s="320" t="str">
        <f>IFERROR(IF(tblPiNAnalysis[[#This Row],[Highest PiN]]="", "", IF(tblPiNAnalysis[[#This Row],[Highest sector(s'') PiN %]]&gt;=flag_pin_perc, "Flagged", "")), "")</f>
        <v/>
      </c>
      <c r="AI363" s="321"/>
      <c r="AJ363" s="322"/>
      <c r="AK363" s="323">
        <f>COUNTIFS(tblPiNAnalysis[[#This Row],[Highest PiN greater than 90% of total affected population]:[Manual Flag]],"Flagged")</f>
        <v>0</v>
      </c>
      <c r="AL363" s="324" t="str">
        <f>IF(tblPiNAnalysis[[#This Row],['# Flags]]&gt;0, "Flagged", "")</f>
        <v/>
      </c>
    </row>
    <row r="364" spans="1:38" ht="23.1" hidden="1" customHeight="1" x14ac:dyDescent="0.2">
      <c r="A364" s="309" t="str">
        <f>_xlfn.CONCAT(IF(tblPiNAnalysis[[#This Row],[Population Group]]="", "",tblPiNAnalysis[[#This Row],[Population Group]] ), _xlfn.IFS(tblPiNAnalysis[[#This Row],[Admin 2 P-Code]]&lt;&gt;"", tblPiNAnalysis[[#This Row],[Admin 2 P-Code]], tblPiNAnalysis[[#This Row],[Admin 1 P-Code]]&lt;&gt;"", tblPiNAnalysis[[#This Row],[Admin 1 P-Code]]))</f>
        <v>Host CommunitySD11058</v>
      </c>
      <c r="B364" s="245" t="s">
        <v>161</v>
      </c>
      <c r="C364" s="246" t="s">
        <v>128</v>
      </c>
      <c r="D364" s="247" t="s">
        <v>434</v>
      </c>
      <c r="E364" s="246" t="s">
        <v>435</v>
      </c>
      <c r="F364" s="248">
        <v>735</v>
      </c>
      <c r="G364" s="248" t="s">
        <v>87</v>
      </c>
      <c r="H364" s="310"/>
      <c r="I364" s="311"/>
      <c r="J364" s="312"/>
      <c r="K364" s="311"/>
      <c r="L364" s="311"/>
      <c r="M364" s="312"/>
      <c r="N364" s="312">
        <f>_xlfn.XLOOKUP(CONCATENATE(tblPiNAnalysis[[#This Row],[Admin 2 P-Code]],tblPiNAnalysis[[#This Row],[Population Group]]),'Overall severity &amp; PIN Analysis'!A:A,'Overall severity &amp; PIN Analysis'!P:P,0,0)</f>
        <v>374</v>
      </c>
      <c r="O364" s="311"/>
      <c r="P364" s="312"/>
      <c r="Q364" s="312"/>
      <c r="R364" s="312"/>
      <c r="S364" s="312"/>
      <c r="T364" s="313" t="str">
        <f>IF(tblPiNAnalysis[[#This Row],[Site Management ]]="", "", tblPiNAnalysis[[#This Row],[Site Management ]]/tblPiNAnalysis[[#This Row],[Total Population]])</f>
        <v/>
      </c>
      <c r="U364" s="314" t="str">
        <f>IF(tblPiNAnalysis[[#This Row],[Education]]="", "", tblPiNAnalysis[[#This Row],[Education]]/tblPiNAnalysis[[#This Row],[Total Population]])</f>
        <v/>
      </c>
      <c r="V364" s="314" t="str">
        <f>IF(tblPiNAnalysis[[#This Row],[Food Security and Livlihoods]]="", "", tblPiNAnalysis[[#This Row],[Food Security and Livlihoods]]/tblPiNAnalysis[[#This Row],[Total Population]])</f>
        <v/>
      </c>
      <c r="W364" s="315" t="str">
        <f>IF(tblPiNAnalysis[[#This Row],[Health ]]="", "", tblPiNAnalysis[[#This Row],[Health ]]/tblPiNAnalysis[[#This Row],[Total Population]])</f>
        <v/>
      </c>
      <c r="X364" s="314" t="str">
        <f>IF(tblPiNAnalysis[[#This Row],[Nutrition]]="", "", tblPiNAnalysis[[#This Row],[Nutrition]]/tblPiNAnalysis[[#This Row],[Total Population]])</f>
        <v/>
      </c>
      <c r="Y364" s="314" t="str">
        <f>IF(tblPiNAnalysis[[#This Row],[Protection]]="", "", tblPiNAnalysis[[#This Row],[Protection]]/tblPiNAnalysis[[#This Row],[Total Population]])</f>
        <v/>
      </c>
      <c r="Z364" s="316">
        <f>IF(tblPiNAnalysis[[#This Row],[Shelter NFI ]]="", "", tblPiNAnalysis[[#This Row],[Shelter NFI ]]/tblPiNAnalysis[[#This Row],[Total Population]])</f>
        <v>0.50884353741496602</v>
      </c>
      <c r="AA364" s="317" t="str">
        <f>IF(tblPiNAnalysis[[#This Row],[WASH]]="", "", tblPiNAnalysis[[#This Row],[WASH]]/tblPiNAnalysis[[#This Row],[Total Population]])</f>
        <v/>
      </c>
      <c r="AB364" s="318" t="str">
        <f>IFERROR(IF(tblPiNAnalysis[[#This Row],[CP]]="", "", MROUND(tblPiNAnalysis[[#This Row],[CP]]/tblPiNAnalysis[[#This Row],[Total Population]], 0.05)), "")</f>
        <v/>
      </c>
      <c r="AC364" s="314" t="str">
        <f>IFERROR(IF(tblPiNAnalysis[[#This Row],[GBV]]="", "", MROUND(tblPiNAnalysis[[#This Row],[GBV]]/tblPiNAnalysis[[#This Row],[Total Population]], 0.05)), "")</f>
        <v/>
      </c>
      <c r="AD364" s="314" t="str">
        <f>IFERROR(IF(tblPiNAnalysis[[#This Row],[Mine Action]]="", "", MROUND(tblPiNAnalysis[[#This Row],[Mine Action]]/tblPiNAnalysis[[#This Row],[Total Population]], 0.05)), "")</f>
        <v/>
      </c>
      <c r="AE364" s="314" t="str">
        <f>IFERROR(IF(tblPiNAnalysis[[#This Row],[General Protection]]="", "", MROUND(tblPiNAnalysis[[#This Row],[General Protection]]/tblPiNAnalysis[[#This Row],[Total Population]], 0.05)), "")</f>
        <v/>
      </c>
      <c r="AF364" s="319">
        <f>IFERROR(LARGE(tblPiNAnalysis[[#This Row],[Site Management ]:[General Protection]], 1), "")</f>
        <v>374</v>
      </c>
      <c r="AG364" s="320">
        <f>IF(tblPiNAnalysis[[#This Row],[Highest PiN]]="", "",tblPiNAnalysis[[#This Row],[Highest PiN]]/ tblPiNAnalysis[[#This Row],[Total Population]])</f>
        <v>0.50884353741496602</v>
      </c>
      <c r="AH364" s="320" t="str">
        <f>IFERROR(IF(tblPiNAnalysis[[#This Row],[Highest PiN]]="", "", IF(tblPiNAnalysis[[#This Row],[Highest sector(s'') PiN %]]&gt;=flag_pin_perc, "Flagged", "")), "")</f>
        <v/>
      </c>
      <c r="AI364" s="321"/>
      <c r="AJ364" s="322"/>
      <c r="AK364" s="323">
        <f>COUNTIFS(tblPiNAnalysis[[#This Row],[Highest PiN greater than 90% of total affected population]:[Manual Flag]],"Flagged")</f>
        <v>0</v>
      </c>
      <c r="AL364" s="324" t="str">
        <f>IF(tblPiNAnalysis[[#This Row],['# Flags]]&gt;0, "Flagged", "")</f>
        <v/>
      </c>
    </row>
    <row r="365" spans="1:38" ht="23.1" hidden="1" customHeight="1" x14ac:dyDescent="0.2">
      <c r="A365" s="309" t="str">
        <f>_xlfn.CONCAT(IF(tblPiNAnalysis[[#This Row],[Population Group]]="", "",tblPiNAnalysis[[#This Row],[Population Group]] ), _xlfn.IFS(tblPiNAnalysis[[#This Row],[Admin 2 P-Code]]&lt;&gt;"", tblPiNAnalysis[[#This Row],[Admin 2 P-Code]], tblPiNAnalysis[[#This Row],[Admin 1 P-Code]]&lt;&gt;"", tblPiNAnalysis[[#This Row],[Admin 1 P-Code]]))</f>
        <v>IDPsSD11058</v>
      </c>
      <c r="B365" s="245" t="s">
        <v>161</v>
      </c>
      <c r="C365" s="246" t="s">
        <v>128</v>
      </c>
      <c r="D365" s="247" t="s">
        <v>434</v>
      </c>
      <c r="E365" s="246" t="s">
        <v>435</v>
      </c>
      <c r="F365" s="248">
        <v>745</v>
      </c>
      <c r="G365" s="248" t="s">
        <v>88</v>
      </c>
      <c r="H365" s="310"/>
      <c r="I365" s="311"/>
      <c r="J365" s="311"/>
      <c r="K365" s="311"/>
      <c r="L365" s="311"/>
      <c r="M365" s="311"/>
      <c r="N365" s="311">
        <f>_xlfn.XLOOKUP(CONCATENATE(tblPiNAnalysis[[#This Row],[Admin 2 P-Code]],tblPiNAnalysis[[#This Row],[Population Group]]),'Overall severity &amp; PIN Analysis'!A:A,'Overall severity &amp; PIN Analysis'!P:P,0,0)</f>
        <v>380</v>
      </c>
      <c r="O365" s="311"/>
      <c r="P365" s="311"/>
      <c r="Q365" s="311"/>
      <c r="R365" s="311"/>
      <c r="S365" s="311"/>
      <c r="T365" s="326" t="str">
        <f>IF(tblPiNAnalysis[[#This Row],[Site Management ]]="", "", tblPiNAnalysis[[#This Row],[Site Management ]]/tblPiNAnalysis[[#This Row],[Total Population]])</f>
        <v/>
      </c>
      <c r="U365" s="315" t="str">
        <f>IF(tblPiNAnalysis[[#This Row],[Education]]="", "", tblPiNAnalysis[[#This Row],[Education]]/tblPiNAnalysis[[#This Row],[Total Population]])</f>
        <v/>
      </c>
      <c r="V365" s="315" t="str">
        <f>IF(tblPiNAnalysis[[#This Row],[Food Security and Livlihoods]]="", "", tblPiNAnalysis[[#This Row],[Food Security and Livlihoods]]/tblPiNAnalysis[[#This Row],[Total Population]])</f>
        <v/>
      </c>
      <c r="W365" s="315" t="str">
        <f>IF(tblPiNAnalysis[[#This Row],[Health ]]="", "", tblPiNAnalysis[[#This Row],[Health ]]/tblPiNAnalysis[[#This Row],[Total Population]])</f>
        <v/>
      </c>
      <c r="X365" s="315" t="str">
        <f>IF(tblPiNAnalysis[[#This Row],[Nutrition]]="", "", tblPiNAnalysis[[#This Row],[Nutrition]]/tblPiNAnalysis[[#This Row],[Total Population]])</f>
        <v/>
      </c>
      <c r="Y365" s="315" t="str">
        <f>IF(tblPiNAnalysis[[#This Row],[Protection]]="", "", tblPiNAnalysis[[#This Row],[Protection]]/tblPiNAnalysis[[#This Row],[Total Population]])</f>
        <v/>
      </c>
      <c r="Z365" s="327">
        <f>IF(tblPiNAnalysis[[#This Row],[Shelter NFI ]]="", "", tblPiNAnalysis[[#This Row],[Shelter NFI ]]/tblPiNAnalysis[[#This Row],[Total Population]])</f>
        <v>0.51006711409395977</v>
      </c>
      <c r="AA365" s="328" t="str">
        <f>IF(tblPiNAnalysis[[#This Row],[WASH]]="", "", tblPiNAnalysis[[#This Row],[WASH]]/tblPiNAnalysis[[#This Row],[Total Population]])</f>
        <v/>
      </c>
      <c r="AB365" s="329" t="str">
        <f>IFERROR(IF(tblPiNAnalysis[[#This Row],[CP]]="", "", MROUND(tblPiNAnalysis[[#This Row],[CP]]/tblPiNAnalysis[[#This Row],[Total Population]], 0.05)), "")</f>
        <v/>
      </c>
      <c r="AC365" s="315" t="str">
        <f>IFERROR(IF(tblPiNAnalysis[[#This Row],[GBV]]="", "", MROUND(tblPiNAnalysis[[#This Row],[GBV]]/tblPiNAnalysis[[#This Row],[Total Population]], 0.05)), "")</f>
        <v/>
      </c>
      <c r="AD365" s="315" t="str">
        <f>IFERROR(IF(tblPiNAnalysis[[#This Row],[Mine Action]]="", "", MROUND(tblPiNAnalysis[[#This Row],[Mine Action]]/tblPiNAnalysis[[#This Row],[Total Population]], 0.05)), "")</f>
        <v/>
      </c>
      <c r="AE365" s="315" t="str">
        <f>IFERROR(IF(tblPiNAnalysis[[#This Row],[General Protection]]="", "", MROUND(tblPiNAnalysis[[#This Row],[General Protection]]/tblPiNAnalysis[[#This Row],[Total Population]], 0.05)), "")</f>
        <v/>
      </c>
      <c r="AF365" s="319">
        <f>IFERROR(LARGE(tblPiNAnalysis[[#This Row],[Site Management ]:[General Protection]], 1), "")</f>
        <v>380</v>
      </c>
      <c r="AG365" s="330">
        <f>IF(tblPiNAnalysis[[#This Row],[Highest PiN]]="", "",tblPiNAnalysis[[#This Row],[Highest PiN]]/ tblPiNAnalysis[[#This Row],[Total Population]])</f>
        <v>0.51006711409395977</v>
      </c>
      <c r="AH365" s="330" t="str">
        <f>IFERROR(IF(tblPiNAnalysis[[#This Row],[Highest PiN]]="", "", IF(tblPiNAnalysis[[#This Row],[Highest sector(s'') PiN %]]&gt;=flag_pin_perc, "Flagged", "")), "")</f>
        <v/>
      </c>
      <c r="AI365" s="321"/>
      <c r="AJ365" s="322"/>
      <c r="AK365" s="323">
        <f>COUNTIFS(tblPiNAnalysis[[#This Row],[Highest PiN greater than 90% of total affected population]:[Manual Flag]],"Flagged")</f>
        <v>0</v>
      </c>
      <c r="AL365" s="331" t="str">
        <f>IF(tblPiNAnalysis[[#This Row],['# Flags]]&gt;0, "Flagged", "")</f>
        <v/>
      </c>
    </row>
    <row r="366" spans="1:38" ht="23.1" customHeight="1" x14ac:dyDescent="0.2">
      <c r="A366" s="309" t="str">
        <f>_xlfn.CONCAT(IF(tblPiNAnalysis[[#This Row],[Population Group]]="", "",tblPiNAnalysis[[#This Row],[Population Group]] ), _xlfn.IFS(tblPiNAnalysis[[#This Row],[Admin 2 P-Code]]&lt;&gt;"", tblPiNAnalysis[[#This Row],[Admin 2 P-Code]], tblPiNAnalysis[[#This Row],[Admin 1 P-Code]]&lt;&gt;"", tblPiNAnalysis[[#This Row],[Admin 1 P-Code]]))</f>
        <v>Non-hosting PopulationSD11058</v>
      </c>
      <c r="B366" s="245" t="s">
        <v>161</v>
      </c>
      <c r="C366" s="246" t="s">
        <v>128</v>
      </c>
      <c r="D366" s="247" t="s">
        <v>434</v>
      </c>
      <c r="E366" s="246" t="s">
        <v>435</v>
      </c>
      <c r="F366" s="248">
        <v>311316</v>
      </c>
      <c r="G366" s="248" t="s">
        <v>568</v>
      </c>
      <c r="H366" s="310"/>
      <c r="I366" s="311"/>
      <c r="J366" s="312"/>
      <c r="K366" s="311"/>
      <c r="L366" s="311"/>
      <c r="M366" s="312"/>
      <c r="N366" s="312">
        <f>_xlfn.XLOOKUP(CONCATENATE(tblPiNAnalysis[[#This Row],[Admin 2 P-Code]],tblPiNAnalysis[[#This Row],[Population Group]]),'Overall severity &amp; PIN Analysis'!A:A,'Overall severity &amp; PIN Analysis'!P:P,0,0)</f>
        <v>7208</v>
      </c>
      <c r="O366" s="311"/>
      <c r="P366" s="312"/>
      <c r="Q366" s="312"/>
      <c r="R366" s="312"/>
      <c r="S366" s="312"/>
      <c r="T366" s="313" t="str">
        <f>IF(tblPiNAnalysis[[#This Row],[Site Management ]]="", "", tblPiNAnalysis[[#This Row],[Site Management ]]/tblPiNAnalysis[[#This Row],[Total Population]])</f>
        <v/>
      </c>
      <c r="U366" s="314" t="str">
        <f>IF(tblPiNAnalysis[[#This Row],[Education]]="", "", tblPiNAnalysis[[#This Row],[Education]]/tblPiNAnalysis[[#This Row],[Total Population]])</f>
        <v/>
      </c>
      <c r="V366" s="314" t="str">
        <f>IF(tblPiNAnalysis[[#This Row],[Food Security and Livlihoods]]="", "", tblPiNAnalysis[[#This Row],[Food Security and Livlihoods]]/tblPiNAnalysis[[#This Row],[Total Population]])</f>
        <v/>
      </c>
      <c r="W366" s="315" t="str">
        <f>IF(tblPiNAnalysis[[#This Row],[Health ]]="", "", tblPiNAnalysis[[#This Row],[Health ]]/tblPiNAnalysis[[#This Row],[Total Population]])</f>
        <v/>
      </c>
      <c r="X366" s="314" t="str">
        <f>IF(tblPiNAnalysis[[#This Row],[Nutrition]]="", "", tblPiNAnalysis[[#This Row],[Nutrition]]/tblPiNAnalysis[[#This Row],[Total Population]])</f>
        <v/>
      </c>
      <c r="Y366" s="314" t="str">
        <f>IF(tblPiNAnalysis[[#This Row],[Protection]]="", "", tblPiNAnalysis[[#This Row],[Protection]]/tblPiNAnalysis[[#This Row],[Total Population]])</f>
        <v/>
      </c>
      <c r="Z366" s="316">
        <f>IF(tblPiNAnalysis[[#This Row],[Shelter NFI ]]="", "", tblPiNAnalysis[[#This Row],[Shelter NFI ]]/tblPiNAnalysis[[#This Row],[Total Population]])</f>
        <v>2.3153323311362089E-2</v>
      </c>
      <c r="AA366" s="317" t="str">
        <f>IF(tblPiNAnalysis[[#This Row],[WASH]]="", "", tblPiNAnalysis[[#This Row],[WASH]]/tblPiNAnalysis[[#This Row],[Total Population]])</f>
        <v/>
      </c>
      <c r="AB366" s="318" t="str">
        <f>IFERROR(IF(tblPiNAnalysis[[#This Row],[CP]]="", "", MROUND(tblPiNAnalysis[[#This Row],[CP]]/tblPiNAnalysis[[#This Row],[Total Population]], 0.05)), "")</f>
        <v/>
      </c>
      <c r="AC366" s="314" t="str">
        <f>IFERROR(IF(tblPiNAnalysis[[#This Row],[GBV]]="", "", MROUND(tblPiNAnalysis[[#This Row],[GBV]]/tblPiNAnalysis[[#This Row],[Total Population]], 0.05)), "")</f>
        <v/>
      </c>
      <c r="AD366" s="314" t="str">
        <f>IFERROR(IF(tblPiNAnalysis[[#This Row],[Mine Action]]="", "", MROUND(tblPiNAnalysis[[#This Row],[Mine Action]]/tblPiNAnalysis[[#This Row],[Total Population]], 0.05)), "")</f>
        <v/>
      </c>
      <c r="AE366" s="314" t="str">
        <f>IFERROR(IF(tblPiNAnalysis[[#This Row],[General Protection]]="", "", MROUND(tblPiNAnalysis[[#This Row],[General Protection]]/tblPiNAnalysis[[#This Row],[Total Population]], 0.05)), "")</f>
        <v/>
      </c>
      <c r="AF366" s="319">
        <f>IFERROR(LARGE(tblPiNAnalysis[[#This Row],[Site Management ]:[General Protection]], 1), "")</f>
        <v>7208</v>
      </c>
      <c r="AG366" s="320">
        <f>IF(tblPiNAnalysis[[#This Row],[Highest PiN]]="", "",tblPiNAnalysis[[#This Row],[Highest PiN]]/ tblPiNAnalysis[[#This Row],[Total Population]])</f>
        <v>2.3153323311362089E-2</v>
      </c>
      <c r="AH366" s="320" t="str">
        <f>IFERROR(IF(tblPiNAnalysis[[#This Row],[Highest PiN]]="", "", IF(tblPiNAnalysis[[#This Row],[Highest sector(s'') PiN %]]&gt;=flag_pin_perc, "Flagged", "")), "")</f>
        <v/>
      </c>
      <c r="AI366" s="321"/>
      <c r="AJ366" s="322"/>
      <c r="AK366" s="323">
        <f>COUNTIFS(tblPiNAnalysis[[#This Row],[Highest PiN greater than 90% of total affected population]:[Manual Flag]],"Flagged")</f>
        <v>0</v>
      </c>
      <c r="AL366" s="324" t="str">
        <f>IF(tblPiNAnalysis[[#This Row],['# Flags]]&gt;0, "Flagged", "")</f>
        <v/>
      </c>
    </row>
    <row r="367" spans="1:38" ht="23.1" hidden="1" customHeight="1" x14ac:dyDescent="0.2">
      <c r="A367" s="309" t="str">
        <f>_xlfn.CONCAT(IF(tblPiNAnalysis[[#This Row],[Population Group]]="", "",tblPiNAnalysis[[#This Row],[Population Group]] ), _xlfn.IFS(tblPiNAnalysis[[#This Row],[Admin 2 P-Code]]&lt;&gt;"", tblPiNAnalysis[[#This Row],[Admin 2 P-Code]], tblPiNAnalysis[[#This Row],[Admin 1 P-Code]]&lt;&gt;"", tblPiNAnalysis[[#This Row],[Admin 1 P-Code]]))</f>
        <v>Host CommunitySD11059</v>
      </c>
      <c r="B367" s="245" t="s">
        <v>161</v>
      </c>
      <c r="C367" s="246" t="s">
        <v>128</v>
      </c>
      <c r="D367" s="247" t="s">
        <v>436</v>
      </c>
      <c r="E367" s="246" t="s">
        <v>437</v>
      </c>
      <c r="F367" s="248">
        <v>3585</v>
      </c>
      <c r="G367" s="248" t="s">
        <v>87</v>
      </c>
      <c r="H367" s="310"/>
      <c r="I367" s="311"/>
      <c r="J367" s="312"/>
      <c r="K367" s="311"/>
      <c r="L367" s="311"/>
      <c r="M367" s="312"/>
      <c r="N367" s="312">
        <f>_xlfn.XLOOKUP(CONCATENATE(tblPiNAnalysis[[#This Row],[Admin 2 P-Code]],tblPiNAnalysis[[#This Row],[Population Group]]),'Overall severity &amp; PIN Analysis'!A:A,'Overall severity &amp; PIN Analysis'!P:P,0,0)</f>
        <v>2167</v>
      </c>
      <c r="O367" s="311"/>
      <c r="P367" s="312"/>
      <c r="Q367" s="312"/>
      <c r="R367" s="312"/>
      <c r="S367" s="312"/>
      <c r="T367" s="313" t="str">
        <f>IF(tblPiNAnalysis[[#This Row],[Site Management ]]="", "", tblPiNAnalysis[[#This Row],[Site Management ]]/tblPiNAnalysis[[#This Row],[Total Population]])</f>
        <v/>
      </c>
      <c r="U367" s="314" t="str">
        <f>IF(tblPiNAnalysis[[#This Row],[Education]]="", "", tblPiNAnalysis[[#This Row],[Education]]/tblPiNAnalysis[[#This Row],[Total Population]])</f>
        <v/>
      </c>
      <c r="V367" s="314" t="str">
        <f>IF(tblPiNAnalysis[[#This Row],[Food Security and Livlihoods]]="", "", tblPiNAnalysis[[#This Row],[Food Security and Livlihoods]]/tblPiNAnalysis[[#This Row],[Total Population]])</f>
        <v/>
      </c>
      <c r="W367" s="315" t="str">
        <f>IF(tblPiNAnalysis[[#This Row],[Health ]]="", "", tblPiNAnalysis[[#This Row],[Health ]]/tblPiNAnalysis[[#This Row],[Total Population]])</f>
        <v/>
      </c>
      <c r="X367" s="314" t="str">
        <f>IF(tblPiNAnalysis[[#This Row],[Nutrition]]="", "", tblPiNAnalysis[[#This Row],[Nutrition]]/tblPiNAnalysis[[#This Row],[Total Population]])</f>
        <v/>
      </c>
      <c r="Y367" s="314" t="str">
        <f>IF(tblPiNAnalysis[[#This Row],[Protection]]="", "", tblPiNAnalysis[[#This Row],[Protection]]/tblPiNAnalysis[[#This Row],[Total Population]])</f>
        <v/>
      </c>
      <c r="Z367" s="316">
        <f>IF(tblPiNAnalysis[[#This Row],[Shelter NFI ]]="", "", tblPiNAnalysis[[#This Row],[Shelter NFI ]]/tblPiNAnalysis[[#This Row],[Total Population]])</f>
        <v>0.60446304044630406</v>
      </c>
      <c r="AA367" s="317" t="str">
        <f>IF(tblPiNAnalysis[[#This Row],[WASH]]="", "", tblPiNAnalysis[[#This Row],[WASH]]/tblPiNAnalysis[[#This Row],[Total Population]])</f>
        <v/>
      </c>
      <c r="AB367" s="318" t="str">
        <f>IFERROR(IF(tblPiNAnalysis[[#This Row],[CP]]="", "", MROUND(tblPiNAnalysis[[#This Row],[CP]]/tblPiNAnalysis[[#This Row],[Total Population]], 0.05)), "")</f>
        <v/>
      </c>
      <c r="AC367" s="314" t="str">
        <f>IFERROR(IF(tblPiNAnalysis[[#This Row],[GBV]]="", "", MROUND(tblPiNAnalysis[[#This Row],[GBV]]/tblPiNAnalysis[[#This Row],[Total Population]], 0.05)), "")</f>
        <v/>
      </c>
      <c r="AD367" s="314" t="str">
        <f>IFERROR(IF(tblPiNAnalysis[[#This Row],[Mine Action]]="", "", MROUND(tblPiNAnalysis[[#This Row],[Mine Action]]/tblPiNAnalysis[[#This Row],[Total Population]], 0.05)), "")</f>
        <v/>
      </c>
      <c r="AE367" s="314" t="str">
        <f>IFERROR(IF(tblPiNAnalysis[[#This Row],[General Protection]]="", "", MROUND(tblPiNAnalysis[[#This Row],[General Protection]]/tblPiNAnalysis[[#This Row],[Total Population]], 0.05)), "")</f>
        <v/>
      </c>
      <c r="AF367" s="319">
        <f>IFERROR(LARGE(tblPiNAnalysis[[#This Row],[Site Management ]:[General Protection]], 1), "")</f>
        <v>2167</v>
      </c>
      <c r="AG367" s="320">
        <f>IF(tblPiNAnalysis[[#This Row],[Highest PiN]]="", "",tblPiNAnalysis[[#This Row],[Highest PiN]]/ tblPiNAnalysis[[#This Row],[Total Population]])</f>
        <v>0.60446304044630406</v>
      </c>
      <c r="AH367" s="320" t="str">
        <f>IFERROR(IF(tblPiNAnalysis[[#This Row],[Highest PiN]]="", "", IF(tblPiNAnalysis[[#This Row],[Highest sector(s'') PiN %]]&gt;=flag_pin_perc, "Flagged", "")), "")</f>
        <v/>
      </c>
      <c r="AI367" s="321"/>
      <c r="AJ367" s="322"/>
      <c r="AK367" s="323">
        <f>COUNTIFS(tblPiNAnalysis[[#This Row],[Highest PiN greater than 90% of total affected population]:[Manual Flag]],"Flagged")</f>
        <v>0</v>
      </c>
      <c r="AL367" s="324" t="str">
        <f>IF(tblPiNAnalysis[[#This Row],['# Flags]]&gt;0, "Flagged", "")</f>
        <v/>
      </c>
    </row>
    <row r="368" spans="1:38" ht="23.1" hidden="1" customHeight="1" x14ac:dyDescent="0.2">
      <c r="A368" s="309" t="str">
        <f>_xlfn.CONCAT(IF(tblPiNAnalysis[[#This Row],[Population Group]]="", "",tblPiNAnalysis[[#This Row],[Population Group]] ), _xlfn.IFS(tblPiNAnalysis[[#This Row],[Admin 2 P-Code]]&lt;&gt;"", tblPiNAnalysis[[#This Row],[Admin 2 P-Code]], tblPiNAnalysis[[#This Row],[Admin 1 P-Code]]&lt;&gt;"", tblPiNAnalysis[[#This Row],[Admin 1 P-Code]]))</f>
        <v>IDPsSD11059</v>
      </c>
      <c r="B368" s="245" t="s">
        <v>161</v>
      </c>
      <c r="C368" s="246" t="s">
        <v>128</v>
      </c>
      <c r="D368" s="247" t="s">
        <v>436</v>
      </c>
      <c r="E368" s="246" t="s">
        <v>437</v>
      </c>
      <c r="F368" s="248">
        <v>3585</v>
      </c>
      <c r="G368" s="248" t="s">
        <v>88</v>
      </c>
      <c r="H368" s="310"/>
      <c r="I368" s="311"/>
      <c r="J368" s="311"/>
      <c r="K368" s="311"/>
      <c r="L368" s="311"/>
      <c r="M368" s="311"/>
      <c r="N368" s="311">
        <f>_xlfn.XLOOKUP(CONCATENATE(tblPiNAnalysis[[#This Row],[Admin 2 P-Code]],tblPiNAnalysis[[#This Row],[Population Group]]),'Overall severity &amp; PIN Analysis'!A:A,'Overall severity &amp; PIN Analysis'!P:P,0,0)</f>
        <v>2167</v>
      </c>
      <c r="O368" s="311"/>
      <c r="P368" s="311"/>
      <c r="Q368" s="311"/>
      <c r="R368" s="311"/>
      <c r="S368" s="311"/>
      <c r="T368" s="326" t="str">
        <f>IF(tblPiNAnalysis[[#This Row],[Site Management ]]="", "", tblPiNAnalysis[[#This Row],[Site Management ]]/tblPiNAnalysis[[#This Row],[Total Population]])</f>
        <v/>
      </c>
      <c r="U368" s="315" t="str">
        <f>IF(tblPiNAnalysis[[#This Row],[Education]]="", "", tblPiNAnalysis[[#This Row],[Education]]/tblPiNAnalysis[[#This Row],[Total Population]])</f>
        <v/>
      </c>
      <c r="V368" s="315" t="str">
        <f>IF(tblPiNAnalysis[[#This Row],[Food Security and Livlihoods]]="", "", tblPiNAnalysis[[#This Row],[Food Security and Livlihoods]]/tblPiNAnalysis[[#This Row],[Total Population]])</f>
        <v/>
      </c>
      <c r="W368" s="315" t="str">
        <f>IF(tblPiNAnalysis[[#This Row],[Health ]]="", "", tblPiNAnalysis[[#This Row],[Health ]]/tblPiNAnalysis[[#This Row],[Total Population]])</f>
        <v/>
      </c>
      <c r="X368" s="315" t="str">
        <f>IF(tblPiNAnalysis[[#This Row],[Nutrition]]="", "", tblPiNAnalysis[[#This Row],[Nutrition]]/tblPiNAnalysis[[#This Row],[Total Population]])</f>
        <v/>
      </c>
      <c r="Y368" s="315" t="str">
        <f>IF(tblPiNAnalysis[[#This Row],[Protection]]="", "", tblPiNAnalysis[[#This Row],[Protection]]/tblPiNAnalysis[[#This Row],[Total Population]])</f>
        <v/>
      </c>
      <c r="Z368" s="327">
        <f>IF(tblPiNAnalysis[[#This Row],[Shelter NFI ]]="", "", tblPiNAnalysis[[#This Row],[Shelter NFI ]]/tblPiNAnalysis[[#This Row],[Total Population]])</f>
        <v>0.60446304044630406</v>
      </c>
      <c r="AA368" s="328" t="str">
        <f>IF(tblPiNAnalysis[[#This Row],[WASH]]="", "", tblPiNAnalysis[[#This Row],[WASH]]/tblPiNAnalysis[[#This Row],[Total Population]])</f>
        <v/>
      </c>
      <c r="AB368" s="329" t="str">
        <f>IFERROR(IF(tblPiNAnalysis[[#This Row],[CP]]="", "", MROUND(tblPiNAnalysis[[#This Row],[CP]]/tblPiNAnalysis[[#This Row],[Total Population]], 0.05)), "")</f>
        <v/>
      </c>
      <c r="AC368" s="315" t="str">
        <f>IFERROR(IF(tblPiNAnalysis[[#This Row],[GBV]]="", "", MROUND(tblPiNAnalysis[[#This Row],[GBV]]/tblPiNAnalysis[[#This Row],[Total Population]], 0.05)), "")</f>
        <v/>
      </c>
      <c r="AD368" s="315" t="str">
        <f>IFERROR(IF(tblPiNAnalysis[[#This Row],[Mine Action]]="", "", MROUND(tblPiNAnalysis[[#This Row],[Mine Action]]/tblPiNAnalysis[[#This Row],[Total Population]], 0.05)), "")</f>
        <v/>
      </c>
      <c r="AE368" s="315" t="str">
        <f>IFERROR(IF(tblPiNAnalysis[[#This Row],[General Protection]]="", "", MROUND(tblPiNAnalysis[[#This Row],[General Protection]]/tblPiNAnalysis[[#This Row],[Total Population]], 0.05)), "")</f>
        <v/>
      </c>
      <c r="AF368" s="319">
        <f>IFERROR(LARGE(tblPiNAnalysis[[#This Row],[Site Management ]:[General Protection]], 1), "")</f>
        <v>2167</v>
      </c>
      <c r="AG368" s="330">
        <f>IF(tblPiNAnalysis[[#This Row],[Highest PiN]]="", "",tblPiNAnalysis[[#This Row],[Highest PiN]]/ tblPiNAnalysis[[#This Row],[Total Population]])</f>
        <v>0.60446304044630406</v>
      </c>
      <c r="AH368" s="330" t="str">
        <f>IFERROR(IF(tblPiNAnalysis[[#This Row],[Highest PiN]]="", "", IF(tblPiNAnalysis[[#This Row],[Highest sector(s'') PiN %]]&gt;=flag_pin_perc, "Flagged", "")), "")</f>
        <v/>
      </c>
      <c r="AI368" s="321"/>
      <c r="AJ368" s="322"/>
      <c r="AK368" s="323">
        <f>COUNTIFS(tblPiNAnalysis[[#This Row],[Highest PiN greater than 90% of total affected population]:[Manual Flag]],"Flagged")</f>
        <v>0</v>
      </c>
      <c r="AL368" s="331" t="str">
        <f>IF(tblPiNAnalysis[[#This Row],['# Flags]]&gt;0, "Flagged", "")</f>
        <v/>
      </c>
    </row>
    <row r="369" spans="1:38" ht="23.1" customHeight="1" x14ac:dyDescent="0.2">
      <c r="A369" s="309" t="str">
        <f>_xlfn.CONCAT(IF(tblPiNAnalysis[[#This Row],[Population Group]]="", "",tblPiNAnalysis[[#This Row],[Population Group]] ), _xlfn.IFS(tblPiNAnalysis[[#This Row],[Admin 2 P-Code]]&lt;&gt;"", tblPiNAnalysis[[#This Row],[Admin 2 P-Code]], tblPiNAnalysis[[#This Row],[Admin 1 P-Code]]&lt;&gt;"", tblPiNAnalysis[[#This Row],[Admin 1 P-Code]]))</f>
        <v>Non-hosting PopulationSD11059</v>
      </c>
      <c r="B369" s="245" t="s">
        <v>161</v>
      </c>
      <c r="C369" s="246" t="s">
        <v>128</v>
      </c>
      <c r="D369" s="247" t="s">
        <v>436</v>
      </c>
      <c r="E369" s="246" t="s">
        <v>437</v>
      </c>
      <c r="F369" s="248">
        <v>345502</v>
      </c>
      <c r="G369" s="248" t="s">
        <v>568</v>
      </c>
      <c r="H369" s="310"/>
      <c r="I369" s="311"/>
      <c r="J369" s="312"/>
      <c r="K369" s="311"/>
      <c r="L369" s="311"/>
      <c r="M369" s="312"/>
      <c r="N369" s="312">
        <f>_xlfn.XLOOKUP(CONCATENATE(tblPiNAnalysis[[#This Row],[Admin 2 P-Code]],tblPiNAnalysis[[#This Row],[Population Group]]),'Overall severity &amp; PIN Analysis'!A:A,'Overall severity &amp; PIN Analysis'!P:P,0,0)</f>
        <v>0</v>
      </c>
      <c r="O369" s="311"/>
      <c r="P369" s="312"/>
      <c r="Q369" s="312"/>
      <c r="R369" s="312"/>
      <c r="S369" s="312"/>
      <c r="T369" s="313" t="str">
        <f>IF(tblPiNAnalysis[[#This Row],[Site Management ]]="", "", tblPiNAnalysis[[#This Row],[Site Management ]]/tblPiNAnalysis[[#This Row],[Total Population]])</f>
        <v/>
      </c>
      <c r="U369" s="314" t="str">
        <f>IF(tblPiNAnalysis[[#This Row],[Education]]="", "", tblPiNAnalysis[[#This Row],[Education]]/tblPiNAnalysis[[#This Row],[Total Population]])</f>
        <v/>
      </c>
      <c r="V369" s="314" t="str">
        <f>IF(tblPiNAnalysis[[#This Row],[Food Security and Livlihoods]]="", "", tblPiNAnalysis[[#This Row],[Food Security and Livlihoods]]/tblPiNAnalysis[[#This Row],[Total Population]])</f>
        <v/>
      </c>
      <c r="W369" s="315" t="str">
        <f>IF(tblPiNAnalysis[[#This Row],[Health ]]="", "", tblPiNAnalysis[[#This Row],[Health ]]/tblPiNAnalysis[[#This Row],[Total Population]])</f>
        <v/>
      </c>
      <c r="X369" s="314" t="str">
        <f>IF(tblPiNAnalysis[[#This Row],[Nutrition]]="", "", tblPiNAnalysis[[#This Row],[Nutrition]]/tblPiNAnalysis[[#This Row],[Total Population]])</f>
        <v/>
      </c>
      <c r="Y369" s="314" t="str">
        <f>IF(tblPiNAnalysis[[#This Row],[Protection]]="", "", tblPiNAnalysis[[#This Row],[Protection]]/tblPiNAnalysis[[#This Row],[Total Population]])</f>
        <v/>
      </c>
      <c r="Z369" s="316">
        <f>IF(tblPiNAnalysis[[#This Row],[Shelter NFI ]]="", "", tblPiNAnalysis[[#This Row],[Shelter NFI ]]/tblPiNAnalysis[[#This Row],[Total Population]])</f>
        <v>0</v>
      </c>
      <c r="AA369" s="317" t="str">
        <f>IF(tblPiNAnalysis[[#This Row],[WASH]]="", "", tblPiNAnalysis[[#This Row],[WASH]]/tblPiNAnalysis[[#This Row],[Total Population]])</f>
        <v/>
      </c>
      <c r="AB369" s="318" t="str">
        <f>IFERROR(IF(tblPiNAnalysis[[#This Row],[CP]]="", "", MROUND(tblPiNAnalysis[[#This Row],[CP]]/tblPiNAnalysis[[#This Row],[Total Population]], 0.05)), "")</f>
        <v/>
      </c>
      <c r="AC369" s="314" t="str">
        <f>IFERROR(IF(tblPiNAnalysis[[#This Row],[GBV]]="", "", MROUND(tblPiNAnalysis[[#This Row],[GBV]]/tblPiNAnalysis[[#This Row],[Total Population]], 0.05)), "")</f>
        <v/>
      </c>
      <c r="AD369" s="314" t="str">
        <f>IFERROR(IF(tblPiNAnalysis[[#This Row],[Mine Action]]="", "", MROUND(tblPiNAnalysis[[#This Row],[Mine Action]]/tblPiNAnalysis[[#This Row],[Total Population]], 0.05)), "")</f>
        <v/>
      </c>
      <c r="AE369" s="314" t="str">
        <f>IFERROR(IF(tblPiNAnalysis[[#This Row],[General Protection]]="", "", MROUND(tblPiNAnalysis[[#This Row],[General Protection]]/tblPiNAnalysis[[#This Row],[Total Population]], 0.05)), "")</f>
        <v/>
      </c>
      <c r="AF369" s="319">
        <f>IFERROR(LARGE(tblPiNAnalysis[[#This Row],[Site Management ]:[General Protection]], 1), "")</f>
        <v>0</v>
      </c>
      <c r="AG369" s="320">
        <f>IF(tblPiNAnalysis[[#This Row],[Highest PiN]]="", "",tblPiNAnalysis[[#This Row],[Highest PiN]]/ tblPiNAnalysis[[#This Row],[Total Population]])</f>
        <v>0</v>
      </c>
      <c r="AH369" s="320" t="str">
        <f>IFERROR(IF(tblPiNAnalysis[[#This Row],[Highest PiN]]="", "", IF(tblPiNAnalysis[[#This Row],[Highest sector(s'') PiN %]]&gt;=flag_pin_perc, "Flagged", "")), "")</f>
        <v/>
      </c>
      <c r="AI369" s="321"/>
      <c r="AJ369" s="322"/>
      <c r="AK369" s="323">
        <f>COUNTIFS(tblPiNAnalysis[[#This Row],[Highest PiN greater than 90% of total affected population]:[Manual Flag]],"Flagged")</f>
        <v>0</v>
      </c>
      <c r="AL369" s="324" t="str">
        <f>IF(tblPiNAnalysis[[#This Row],['# Flags]]&gt;0, "Flagged", "")</f>
        <v/>
      </c>
    </row>
    <row r="370" spans="1:38" ht="23.1" hidden="1" customHeight="1" x14ac:dyDescent="0.2">
      <c r="A370" s="309" t="str">
        <f>_xlfn.CONCAT(IF(tblPiNAnalysis[[#This Row],[Population Group]]="", "",tblPiNAnalysis[[#This Row],[Population Group]] ), _xlfn.IFS(tblPiNAnalysis[[#This Row],[Admin 2 P-Code]]&lt;&gt;"", tblPiNAnalysis[[#This Row],[Admin 2 P-Code]], tblPiNAnalysis[[#This Row],[Admin 1 P-Code]]&lt;&gt;"", tblPiNAnalysis[[#This Row],[Admin 1 P-Code]]))</f>
        <v>Host CommunitySD11060</v>
      </c>
      <c r="B370" s="245" t="s">
        <v>161</v>
      </c>
      <c r="C370" s="246" t="s">
        <v>128</v>
      </c>
      <c r="D370" s="247" t="s">
        <v>438</v>
      </c>
      <c r="E370" s="246" t="s">
        <v>439</v>
      </c>
      <c r="F370" s="248">
        <v>27095</v>
      </c>
      <c r="G370" s="248" t="s">
        <v>87</v>
      </c>
      <c r="H370" s="310"/>
      <c r="I370" s="311"/>
      <c r="J370" s="312"/>
      <c r="K370" s="311"/>
      <c r="L370" s="311"/>
      <c r="M370" s="312"/>
      <c r="N370" s="312">
        <f>_xlfn.XLOOKUP(CONCATENATE(tblPiNAnalysis[[#This Row],[Admin 2 P-Code]],tblPiNAnalysis[[#This Row],[Population Group]]),'Overall severity &amp; PIN Analysis'!A:A,'Overall severity &amp; PIN Analysis'!P:P,0,0)</f>
        <v>3781</v>
      </c>
      <c r="O370" s="311"/>
      <c r="P370" s="312"/>
      <c r="Q370" s="312"/>
      <c r="R370" s="312"/>
      <c r="S370" s="312"/>
      <c r="T370" s="313" t="str">
        <f>IF(tblPiNAnalysis[[#This Row],[Site Management ]]="", "", tblPiNAnalysis[[#This Row],[Site Management ]]/tblPiNAnalysis[[#This Row],[Total Population]])</f>
        <v/>
      </c>
      <c r="U370" s="314" t="str">
        <f>IF(tblPiNAnalysis[[#This Row],[Education]]="", "", tblPiNAnalysis[[#This Row],[Education]]/tblPiNAnalysis[[#This Row],[Total Population]])</f>
        <v/>
      </c>
      <c r="V370" s="314" t="str">
        <f>IF(tblPiNAnalysis[[#This Row],[Food Security and Livlihoods]]="", "", tblPiNAnalysis[[#This Row],[Food Security and Livlihoods]]/tblPiNAnalysis[[#This Row],[Total Population]])</f>
        <v/>
      </c>
      <c r="W370" s="315" t="str">
        <f>IF(tblPiNAnalysis[[#This Row],[Health ]]="", "", tblPiNAnalysis[[#This Row],[Health ]]/tblPiNAnalysis[[#This Row],[Total Population]])</f>
        <v/>
      </c>
      <c r="X370" s="314" t="str">
        <f>IF(tblPiNAnalysis[[#This Row],[Nutrition]]="", "", tblPiNAnalysis[[#This Row],[Nutrition]]/tblPiNAnalysis[[#This Row],[Total Population]])</f>
        <v/>
      </c>
      <c r="Y370" s="314" t="str">
        <f>IF(tblPiNAnalysis[[#This Row],[Protection]]="", "", tblPiNAnalysis[[#This Row],[Protection]]/tblPiNAnalysis[[#This Row],[Total Population]])</f>
        <v/>
      </c>
      <c r="Z370" s="316">
        <f>IF(tblPiNAnalysis[[#This Row],[Shelter NFI ]]="", "", tblPiNAnalysis[[#This Row],[Shelter NFI ]]/tblPiNAnalysis[[#This Row],[Total Population]])</f>
        <v>0.13954604170511165</v>
      </c>
      <c r="AA370" s="317" t="str">
        <f>IF(tblPiNAnalysis[[#This Row],[WASH]]="", "", tblPiNAnalysis[[#This Row],[WASH]]/tblPiNAnalysis[[#This Row],[Total Population]])</f>
        <v/>
      </c>
      <c r="AB370" s="318" t="str">
        <f>IFERROR(IF(tblPiNAnalysis[[#This Row],[CP]]="", "", MROUND(tblPiNAnalysis[[#This Row],[CP]]/tblPiNAnalysis[[#This Row],[Total Population]], 0.05)), "")</f>
        <v/>
      </c>
      <c r="AC370" s="314" t="str">
        <f>IFERROR(IF(tblPiNAnalysis[[#This Row],[GBV]]="", "", MROUND(tblPiNAnalysis[[#This Row],[GBV]]/tblPiNAnalysis[[#This Row],[Total Population]], 0.05)), "")</f>
        <v/>
      </c>
      <c r="AD370" s="314" t="str">
        <f>IFERROR(IF(tblPiNAnalysis[[#This Row],[Mine Action]]="", "", MROUND(tblPiNAnalysis[[#This Row],[Mine Action]]/tblPiNAnalysis[[#This Row],[Total Population]], 0.05)), "")</f>
        <v/>
      </c>
      <c r="AE370" s="314" t="str">
        <f>IFERROR(IF(tblPiNAnalysis[[#This Row],[General Protection]]="", "", MROUND(tblPiNAnalysis[[#This Row],[General Protection]]/tblPiNAnalysis[[#This Row],[Total Population]], 0.05)), "")</f>
        <v/>
      </c>
      <c r="AF370" s="319">
        <f>IFERROR(LARGE(tblPiNAnalysis[[#This Row],[Site Management ]:[General Protection]], 1), "")</f>
        <v>3781</v>
      </c>
      <c r="AG370" s="320">
        <f>IF(tblPiNAnalysis[[#This Row],[Highest PiN]]="", "",tblPiNAnalysis[[#This Row],[Highest PiN]]/ tblPiNAnalysis[[#This Row],[Total Population]])</f>
        <v>0.13954604170511165</v>
      </c>
      <c r="AH370" s="320" t="str">
        <f>IFERROR(IF(tblPiNAnalysis[[#This Row],[Highest PiN]]="", "", IF(tblPiNAnalysis[[#This Row],[Highest sector(s'') PiN %]]&gt;=flag_pin_perc, "Flagged", "")), "")</f>
        <v/>
      </c>
      <c r="AI370" s="321"/>
      <c r="AJ370" s="322"/>
      <c r="AK370" s="323">
        <f>COUNTIFS(tblPiNAnalysis[[#This Row],[Highest PiN greater than 90% of total affected population]:[Manual Flag]],"Flagged")</f>
        <v>0</v>
      </c>
      <c r="AL370" s="324" t="str">
        <f>IF(tblPiNAnalysis[[#This Row],['# Flags]]&gt;0, "Flagged", "")</f>
        <v/>
      </c>
    </row>
    <row r="371" spans="1:38" ht="23.1" hidden="1" customHeight="1" x14ac:dyDescent="0.2">
      <c r="A371" s="309" t="str">
        <f>_xlfn.CONCAT(IF(tblPiNAnalysis[[#This Row],[Population Group]]="", "",tblPiNAnalysis[[#This Row],[Population Group]] ), _xlfn.IFS(tblPiNAnalysis[[#This Row],[Admin 2 P-Code]]&lt;&gt;"", tblPiNAnalysis[[#This Row],[Admin 2 P-Code]], tblPiNAnalysis[[#This Row],[Admin 1 P-Code]]&lt;&gt;"", tblPiNAnalysis[[#This Row],[Admin 1 P-Code]]))</f>
        <v>IDPsSD11060</v>
      </c>
      <c r="B371" s="245" t="s">
        <v>161</v>
      </c>
      <c r="C371" s="246" t="s">
        <v>128</v>
      </c>
      <c r="D371" s="247" t="s">
        <v>438</v>
      </c>
      <c r="E371" s="246" t="s">
        <v>439</v>
      </c>
      <c r="F371" s="248">
        <v>8209</v>
      </c>
      <c r="G371" s="248" t="s">
        <v>88</v>
      </c>
      <c r="H371" s="310"/>
      <c r="I371" s="311"/>
      <c r="J371" s="311"/>
      <c r="K371" s="311"/>
      <c r="L371" s="311"/>
      <c r="M371" s="311"/>
      <c r="N371" s="311">
        <f>_xlfn.XLOOKUP(CONCATENATE(tblPiNAnalysis[[#This Row],[Admin 2 P-Code]],tblPiNAnalysis[[#This Row],[Population Group]]),'Overall severity &amp; PIN Analysis'!A:A,'Overall severity &amp; PIN Analysis'!P:P,0,0)</f>
        <v>1146</v>
      </c>
      <c r="O371" s="311"/>
      <c r="P371" s="311"/>
      <c r="Q371" s="311"/>
      <c r="R371" s="311"/>
      <c r="S371" s="311"/>
      <c r="T371" s="326" t="str">
        <f>IF(tblPiNAnalysis[[#This Row],[Site Management ]]="", "", tblPiNAnalysis[[#This Row],[Site Management ]]/tblPiNAnalysis[[#This Row],[Total Population]])</f>
        <v/>
      </c>
      <c r="U371" s="315" t="str">
        <f>IF(tblPiNAnalysis[[#This Row],[Education]]="", "", tblPiNAnalysis[[#This Row],[Education]]/tblPiNAnalysis[[#This Row],[Total Population]])</f>
        <v/>
      </c>
      <c r="V371" s="315" t="str">
        <f>IF(tblPiNAnalysis[[#This Row],[Food Security and Livlihoods]]="", "", tblPiNAnalysis[[#This Row],[Food Security and Livlihoods]]/tblPiNAnalysis[[#This Row],[Total Population]])</f>
        <v/>
      </c>
      <c r="W371" s="315" t="str">
        <f>IF(tblPiNAnalysis[[#This Row],[Health ]]="", "", tblPiNAnalysis[[#This Row],[Health ]]/tblPiNAnalysis[[#This Row],[Total Population]])</f>
        <v/>
      </c>
      <c r="X371" s="315" t="str">
        <f>IF(tblPiNAnalysis[[#This Row],[Nutrition]]="", "", tblPiNAnalysis[[#This Row],[Nutrition]]/tblPiNAnalysis[[#This Row],[Total Population]])</f>
        <v/>
      </c>
      <c r="Y371" s="315" t="str">
        <f>IF(tblPiNAnalysis[[#This Row],[Protection]]="", "", tblPiNAnalysis[[#This Row],[Protection]]/tblPiNAnalysis[[#This Row],[Total Population]])</f>
        <v/>
      </c>
      <c r="Z371" s="327">
        <f>IF(tblPiNAnalysis[[#This Row],[Shelter NFI ]]="", "", tblPiNAnalysis[[#This Row],[Shelter NFI ]]/tblPiNAnalysis[[#This Row],[Total Population]])</f>
        <v>0.13960287489340967</v>
      </c>
      <c r="AA371" s="328" t="str">
        <f>IF(tblPiNAnalysis[[#This Row],[WASH]]="", "", tblPiNAnalysis[[#This Row],[WASH]]/tblPiNAnalysis[[#This Row],[Total Population]])</f>
        <v/>
      </c>
      <c r="AB371" s="329" t="str">
        <f>IFERROR(IF(tblPiNAnalysis[[#This Row],[CP]]="", "", MROUND(tblPiNAnalysis[[#This Row],[CP]]/tblPiNAnalysis[[#This Row],[Total Population]], 0.05)), "")</f>
        <v/>
      </c>
      <c r="AC371" s="315" t="str">
        <f>IFERROR(IF(tblPiNAnalysis[[#This Row],[GBV]]="", "", MROUND(tblPiNAnalysis[[#This Row],[GBV]]/tblPiNAnalysis[[#This Row],[Total Population]], 0.05)), "")</f>
        <v/>
      </c>
      <c r="AD371" s="315" t="str">
        <f>IFERROR(IF(tblPiNAnalysis[[#This Row],[Mine Action]]="", "", MROUND(tblPiNAnalysis[[#This Row],[Mine Action]]/tblPiNAnalysis[[#This Row],[Total Population]], 0.05)), "")</f>
        <v/>
      </c>
      <c r="AE371" s="315" t="str">
        <f>IFERROR(IF(tblPiNAnalysis[[#This Row],[General Protection]]="", "", MROUND(tblPiNAnalysis[[#This Row],[General Protection]]/tblPiNAnalysis[[#This Row],[Total Population]], 0.05)), "")</f>
        <v/>
      </c>
      <c r="AF371" s="319">
        <f>IFERROR(LARGE(tblPiNAnalysis[[#This Row],[Site Management ]:[General Protection]], 1), "")</f>
        <v>1146</v>
      </c>
      <c r="AG371" s="330">
        <f>IF(tblPiNAnalysis[[#This Row],[Highest PiN]]="", "",tblPiNAnalysis[[#This Row],[Highest PiN]]/ tblPiNAnalysis[[#This Row],[Total Population]])</f>
        <v>0.13960287489340967</v>
      </c>
      <c r="AH371" s="330" t="str">
        <f>IFERROR(IF(tblPiNAnalysis[[#This Row],[Highest PiN]]="", "", IF(tblPiNAnalysis[[#This Row],[Highest sector(s'') PiN %]]&gt;=flag_pin_perc, "Flagged", "")), "")</f>
        <v/>
      </c>
      <c r="AI371" s="321"/>
      <c r="AJ371" s="322"/>
      <c r="AK371" s="323">
        <f>COUNTIFS(tblPiNAnalysis[[#This Row],[Highest PiN greater than 90% of total affected population]:[Manual Flag]],"Flagged")</f>
        <v>0</v>
      </c>
      <c r="AL371" s="331" t="str">
        <f>IF(tblPiNAnalysis[[#This Row],['# Flags]]&gt;0, "Flagged", "")</f>
        <v/>
      </c>
    </row>
    <row r="372" spans="1:38" ht="23.1" customHeight="1" x14ac:dyDescent="0.2">
      <c r="A372" s="309" t="str">
        <f>_xlfn.CONCAT(IF(tblPiNAnalysis[[#This Row],[Population Group]]="", "",tblPiNAnalysis[[#This Row],[Population Group]] ), _xlfn.IFS(tblPiNAnalysis[[#This Row],[Admin 2 P-Code]]&lt;&gt;"", tblPiNAnalysis[[#This Row],[Admin 2 P-Code]], tblPiNAnalysis[[#This Row],[Admin 1 P-Code]]&lt;&gt;"", tblPiNAnalysis[[#This Row],[Admin 1 P-Code]]))</f>
        <v>Non-hosting PopulationSD11060</v>
      </c>
      <c r="B372" s="245" t="s">
        <v>161</v>
      </c>
      <c r="C372" s="246" t="s">
        <v>128</v>
      </c>
      <c r="D372" s="247" t="s">
        <v>438</v>
      </c>
      <c r="E372" s="246" t="s">
        <v>439</v>
      </c>
      <c r="F372" s="248">
        <v>99211</v>
      </c>
      <c r="G372" s="248" t="s">
        <v>568</v>
      </c>
      <c r="H372" s="310"/>
      <c r="I372" s="311"/>
      <c r="J372" s="312"/>
      <c r="K372" s="311"/>
      <c r="L372" s="311"/>
      <c r="M372" s="312"/>
      <c r="N372" s="312">
        <f>_xlfn.XLOOKUP(CONCATENATE(tblPiNAnalysis[[#This Row],[Admin 2 P-Code]],tblPiNAnalysis[[#This Row],[Population Group]]),'Overall severity &amp; PIN Analysis'!A:A,'Overall severity &amp; PIN Analysis'!P:P,0,0)</f>
        <v>729</v>
      </c>
      <c r="O372" s="311"/>
      <c r="P372" s="312"/>
      <c r="Q372" s="312"/>
      <c r="R372" s="312"/>
      <c r="S372" s="312"/>
      <c r="T372" s="313" t="str">
        <f>IF(tblPiNAnalysis[[#This Row],[Site Management ]]="", "", tblPiNAnalysis[[#This Row],[Site Management ]]/tblPiNAnalysis[[#This Row],[Total Population]])</f>
        <v/>
      </c>
      <c r="U372" s="314" t="str">
        <f>IF(tblPiNAnalysis[[#This Row],[Education]]="", "", tblPiNAnalysis[[#This Row],[Education]]/tblPiNAnalysis[[#This Row],[Total Population]])</f>
        <v/>
      </c>
      <c r="V372" s="314" t="str">
        <f>IF(tblPiNAnalysis[[#This Row],[Food Security and Livlihoods]]="", "", tblPiNAnalysis[[#This Row],[Food Security and Livlihoods]]/tblPiNAnalysis[[#This Row],[Total Population]])</f>
        <v/>
      </c>
      <c r="W372" s="315" t="str">
        <f>IF(tblPiNAnalysis[[#This Row],[Health ]]="", "", tblPiNAnalysis[[#This Row],[Health ]]/tblPiNAnalysis[[#This Row],[Total Population]])</f>
        <v/>
      </c>
      <c r="X372" s="314" t="str">
        <f>IF(tblPiNAnalysis[[#This Row],[Nutrition]]="", "", tblPiNAnalysis[[#This Row],[Nutrition]]/tblPiNAnalysis[[#This Row],[Total Population]])</f>
        <v/>
      </c>
      <c r="Y372" s="314" t="str">
        <f>IF(tblPiNAnalysis[[#This Row],[Protection]]="", "", tblPiNAnalysis[[#This Row],[Protection]]/tblPiNAnalysis[[#This Row],[Total Population]])</f>
        <v/>
      </c>
      <c r="Z372" s="316">
        <f>IF(tblPiNAnalysis[[#This Row],[Shelter NFI ]]="", "", tblPiNAnalysis[[#This Row],[Shelter NFI ]]/tblPiNAnalysis[[#This Row],[Total Population]])</f>
        <v>7.3479755269072987E-3</v>
      </c>
      <c r="AA372" s="317" t="str">
        <f>IF(tblPiNAnalysis[[#This Row],[WASH]]="", "", tblPiNAnalysis[[#This Row],[WASH]]/tblPiNAnalysis[[#This Row],[Total Population]])</f>
        <v/>
      </c>
      <c r="AB372" s="318" t="str">
        <f>IFERROR(IF(tblPiNAnalysis[[#This Row],[CP]]="", "", MROUND(tblPiNAnalysis[[#This Row],[CP]]/tblPiNAnalysis[[#This Row],[Total Population]], 0.05)), "")</f>
        <v/>
      </c>
      <c r="AC372" s="314" t="str">
        <f>IFERROR(IF(tblPiNAnalysis[[#This Row],[GBV]]="", "", MROUND(tblPiNAnalysis[[#This Row],[GBV]]/tblPiNAnalysis[[#This Row],[Total Population]], 0.05)), "")</f>
        <v/>
      </c>
      <c r="AD372" s="314" t="str">
        <f>IFERROR(IF(tblPiNAnalysis[[#This Row],[Mine Action]]="", "", MROUND(tblPiNAnalysis[[#This Row],[Mine Action]]/tblPiNAnalysis[[#This Row],[Total Population]], 0.05)), "")</f>
        <v/>
      </c>
      <c r="AE372" s="314" t="str">
        <f>IFERROR(IF(tblPiNAnalysis[[#This Row],[General Protection]]="", "", MROUND(tblPiNAnalysis[[#This Row],[General Protection]]/tblPiNAnalysis[[#This Row],[Total Population]], 0.05)), "")</f>
        <v/>
      </c>
      <c r="AF372" s="319">
        <f>IFERROR(LARGE(tblPiNAnalysis[[#This Row],[Site Management ]:[General Protection]], 1), "")</f>
        <v>729</v>
      </c>
      <c r="AG372" s="320">
        <f>IF(tblPiNAnalysis[[#This Row],[Highest PiN]]="", "",tblPiNAnalysis[[#This Row],[Highest PiN]]/ tblPiNAnalysis[[#This Row],[Total Population]])</f>
        <v>7.3479755269072987E-3</v>
      </c>
      <c r="AH372" s="320" t="str">
        <f>IFERROR(IF(tblPiNAnalysis[[#This Row],[Highest PiN]]="", "", IF(tblPiNAnalysis[[#This Row],[Highest sector(s'') PiN %]]&gt;=flag_pin_perc, "Flagged", "")), "")</f>
        <v/>
      </c>
      <c r="AI372" s="321"/>
      <c r="AJ372" s="322"/>
      <c r="AK372" s="323">
        <f>COUNTIFS(tblPiNAnalysis[[#This Row],[Highest PiN greater than 90% of total affected population]:[Manual Flag]],"Flagged")</f>
        <v>0</v>
      </c>
      <c r="AL372" s="324" t="str">
        <f>IF(tblPiNAnalysis[[#This Row],['# Flags]]&gt;0, "Flagged", "")</f>
        <v/>
      </c>
    </row>
    <row r="373" spans="1:38" ht="23.1" hidden="1" customHeight="1" x14ac:dyDescent="0.2">
      <c r="A373" s="309" t="str">
        <f>_xlfn.CONCAT(IF(tblPiNAnalysis[[#This Row],[Population Group]]="", "",tblPiNAnalysis[[#This Row],[Population Group]] ), _xlfn.IFS(tblPiNAnalysis[[#This Row],[Admin 2 P-Code]]&lt;&gt;"", tblPiNAnalysis[[#This Row],[Admin 2 P-Code]], tblPiNAnalysis[[#This Row],[Admin 1 P-Code]]&lt;&gt;"", tblPiNAnalysis[[#This Row],[Admin 1 P-Code]]))</f>
        <v>Host CommunitySD11061</v>
      </c>
      <c r="B373" s="245" t="s">
        <v>161</v>
      </c>
      <c r="C373" s="246" t="s">
        <v>128</v>
      </c>
      <c r="D373" s="247" t="s">
        <v>440</v>
      </c>
      <c r="E373" s="246" t="s">
        <v>441</v>
      </c>
      <c r="F373" s="248">
        <v>35641</v>
      </c>
      <c r="G373" s="248" t="s">
        <v>87</v>
      </c>
      <c r="H373" s="310"/>
      <c r="I373" s="311"/>
      <c r="J373" s="312"/>
      <c r="K373" s="311"/>
      <c r="L373" s="311"/>
      <c r="M373" s="312"/>
      <c r="N373" s="312">
        <f>_xlfn.XLOOKUP(CONCATENATE(tblPiNAnalysis[[#This Row],[Admin 2 P-Code]],tblPiNAnalysis[[#This Row],[Population Group]]),'Overall severity &amp; PIN Analysis'!A:A,'Overall severity &amp; PIN Analysis'!P:P,0,0)</f>
        <v>8555</v>
      </c>
      <c r="O373" s="311"/>
      <c r="P373" s="312"/>
      <c r="Q373" s="312"/>
      <c r="R373" s="312"/>
      <c r="S373" s="312"/>
      <c r="T373" s="313" t="str">
        <f>IF(tblPiNAnalysis[[#This Row],[Site Management ]]="", "", tblPiNAnalysis[[#This Row],[Site Management ]]/tblPiNAnalysis[[#This Row],[Total Population]])</f>
        <v/>
      </c>
      <c r="U373" s="314" t="str">
        <f>IF(tblPiNAnalysis[[#This Row],[Education]]="", "", tblPiNAnalysis[[#This Row],[Education]]/tblPiNAnalysis[[#This Row],[Total Population]])</f>
        <v/>
      </c>
      <c r="V373" s="314" t="str">
        <f>IF(tblPiNAnalysis[[#This Row],[Food Security and Livlihoods]]="", "", tblPiNAnalysis[[#This Row],[Food Security and Livlihoods]]/tblPiNAnalysis[[#This Row],[Total Population]])</f>
        <v/>
      </c>
      <c r="W373" s="315" t="str">
        <f>IF(tblPiNAnalysis[[#This Row],[Health ]]="", "", tblPiNAnalysis[[#This Row],[Health ]]/tblPiNAnalysis[[#This Row],[Total Population]])</f>
        <v/>
      </c>
      <c r="X373" s="314" t="str">
        <f>IF(tblPiNAnalysis[[#This Row],[Nutrition]]="", "", tblPiNAnalysis[[#This Row],[Nutrition]]/tblPiNAnalysis[[#This Row],[Total Population]])</f>
        <v/>
      </c>
      <c r="Y373" s="314" t="str">
        <f>IF(tblPiNAnalysis[[#This Row],[Protection]]="", "", tblPiNAnalysis[[#This Row],[Protection]]/tblPiNAnalysis[[#This Row],[Total Population]])</f>
        <v/>
      </c>
      <c r="Z373" s="316">
        <f>IF(tblPiNAnalysis[[#This Row],[Shelter NFI ]]="", "", tblPiNAnalysis[[#This Row],[Shelter NFI ]]/tblPiNAnalysis[[#This Row],[Total Population]])</f>
        <v>0.24003254678600489</v>
      </c>
      <c r="AA373" s="317" t="str">
        <f>IF(tblPiNAnalysis[[#This Row],[WASH]]="", "", tblPiNAnalysis[[#This Row],[WASH]]/tblPiNAnalysis[[#This Row],[Total Population]])</f>
        <v/>
      </c>
      <c r="AB373" s="318" t="str">
        <f>IFERROR(IF(tblPiNAnalysis[[#This Row],[CP]]="", "", MROUND(tblPiNAnalysis[[#This Row],[CP]]/tblPiNAnalysis[[#This Row],[Total Population]], 0.05)), "")</f>
        <v/>
      </c>
      <c r="AC373" s="314" t="str">
        <f>IFERROR(IF(tblPiNAnalysis[[#This Row],[GBV]]="", "", MROUND(tblPiNAnalysis[[#This Row],[GBV]]/tblPiNAnalysis[[#This Row],[Total Population]], 0.05)), "")</f>
        <v/>
      </c>
      <c r="AD373" s="314" t="str">
        <f>IFERROR(IF(tblPiNAnalysis[[#This Row],[Mine Action]]="", "", MROUND(tblPiNAnalysis[[#This Row],[Mine Action]]/tblPiNAnalysis[[#This Row],[Total Population]], 0.05)), "")</f>
        <v/>
      </c>
      <c r="AE373" s="314" t="str">
        <f>IFERROR(IF(tblPiNAnalysis[[#This Row],[General Protection]]="", "", MROUND(tblPiNAnalysis[[#This Row],[General Protection]]/tblPiNAnalysis[[#This Row],[Total Population]], 0.05)), "")</f>
        <v/>
      </c>
      <c r="AF373" s="319">
        <f>IFERROR(LARGE(tblPiNAnalysis[[#This Row],[Site Management ]:[General Protection]], 1), "")</f>
        <v>8555</v>
      </c>
      <c r="AG373" s="320">
        <f>IF(tblPiNAnalysis[[#This Row],[Highest PiN]]="", "",tblPiNAnalysis[[#This Row],[Highest PiN]]/ tblPiNAnalysis[[#This Row],[Total Population]])</f>
        <v>0.24003254678600489</v>
      </c>
      <c r="AH373" s="320" t="str">
        <f>IFERROR(IF(tblPiNAnalysis[[#This Row],[Highest PiN]]="", "", IF(tblPiNAnalysis[[#This Row],[Highest sector(s'') PiN %]]&gt;=flag_pin_perc, "Flagged", "")), "")</f>
        <v/>
      </c>
      <c r="AI373" s="321"/>
      <c r="AJ373" s="322"/>
      <c r="AK373" s="323">
        <f>COUNTIFS(tblPiNAnalysis[[#This Row],[Highest PiN greater than 90% of total affected population]:[Manual Flag]],"Flagged")</f>
        <v>0</v>
      </c>
      <c r="AL373" s="324" t="str">
        <f>IF(tblPiNAnalysis[[#This Row],['# Flags]]&gt;0, "Flagged", "")</f>
        <v/>
      </c>
    </row>
    <row r="374" spans="1:38" ht="23.1" hidden="1" customHeight="1" x14ac:dyDescent="0.2">
      <c r="A374" s="309" t="str">
        <f>_xlfn.CONCAT(IF(tblPiNAnalysis[[#This Row],[Population Group]]="", "",tblPiNAnalysis[[#This Row],[Population Group]] ), _xlfn.IFS(tblPiNAnalysis[[#This Row],[Admin 2 P-Code]]&lt;&gt;"", tblPiNAnalysis[[#This Row],[Admin 2 P-Code]], tblPiNAnalysis[[#This Row],[Admin 1 P-Code]]&lt;&gt;"", tblPiNAnalysis[[#This Row],[Admin 1 P-Code]]))</f>
        <v>IDPsSD11061</v>
      </c>
      <c r="B374" s="245" t="s">
        <v>161</v>
      </c>
      <c r="C374" s="246" t="s">
        <v>128</v>
      </c>
      <c r="D374" s="247" t="s">
        <v>440</v>
      </c>
      <c r="E374" s="246" t="s">
        <v>441</v>
      </c>
      <c r="F374" s="248">
        <v>0</v>
      </c>
      <c r="G374" s="248" t="s">
        <v>88</v>
      </c>
      <c r="H374" s="310"/>
      <c r="I374" s="311"/>
      <c r="J374" s="311"/>
      <c r="K374" s="311"/>
      <c r="L374" s="311"/>
      <c r="M374" s="311"/>
      <c r="N374" s="311">
        <f>_xlfn.XLOOKUP(CONCATENATE(tblPiNAnalysis[[#This Row],[Admin 2 P-Code]],tblPiNAnalysis[[#This Row],[Population Group]]),'Overall severity &amp; PIN Analysis'!A:A,'Overall severity &amp; PIN Analysis'!P:P,0,0)</f>
        <v>0</v>
      </c>
      <c r="O374" s="311"/>
      <c r="P374" s="311"/>
      <c r="Q374" s="311"/>
      <c r="R374" s="311"/>
      <c r="S374" s="311"/>
      <c r="T374" s="326" t="str">
        <f>IF(tblPiNAnalysis[[#This Row],[Site Management ]]="", "", tblPiNAnalysis[[#This Row],[Site Management ]]/tblPiNAnalysis[[#This Row],[Total Population]])</f>
        <v/>
      </c>
      <c r="U374" s="315" t="str">
        <f>IF(tblPiNAnalysis[[#This Row],[Education]]="", "", tblPiNAnalysis[[#This Row],[Education]]/tblPiNAnalysis[[#This Row],[Total Population]])</f>
        <v/>
      </c>
      <c r="V374" s="315" t="str">
        <f>IF(tblPiNAnalysis[[#This Row],[Food Security and Livlihoods]]="", "", tblPiNAnalysis[[#This Row],[Food Security and Livlihoods]]/tblPiNAnalysis[[#This Row],[Total Population]])</f>
        <v/>
      </c>
      <c r="W374" s="315" t="str">
        <f>IF(tblPiNAnalysis[[#This Row],[Health ]]="", "", tblPiNAnalysis[[#This Row],[Health ]]/tblPiNAnalysis[[#This Row],[Total Population]])</f>
        <v/>
      </c>
      <c r="X374" s="315" t="str">
        <f>IF(tblPiNAnalysis[[#This Row],[Nutrition]]="", "", tblPiNAnalysis[[#This Row],[Nutrition]]/tblPiNAnalysis[[#This Row],[Total Population]])</f>
        <v/>
      </c>
      <c r="Y374" s="315" t="str">
        <f>IF(tblPiNAnalysis[[#This Row],[Protection]]="", "", tblPiNAnalysis[[#This Row],[Protection]]/tblPiNAnalysis[[#This Row],[Total Population]])</f>
        <v/>
      </c>
      <c r="Z374" s="327" t="e">
        <f>IF(tblPiNAnalysis[[#This Row],[Shelter NFI ]]="", "", tblPiNAnalysis[[#This Row],[Shelter NFI ]]/tblPiNAnalysis[[#This Row],[Total Population]])</f>
        <v>#DIV/0!</v>
      </c>
      <c r="AA374" s="328" t="str">
        <f>IF(tblPiNAnalysis[[#This Row],[WASH]]="", "", tblPiNAnalysis[[#This Row],[WASH]]/tblPiNAnalysis[[#This Row],[Total Population]])</f>
        <v/>
      </c>
      <c r="AB374" s="329" t="str">
        <f>IFERROR(IF(tblPiNAnalysis[[#This Row],[CP]]="", "", MROUND(tblPiNAnalysis[[#This Row],[CP]]/tblPiNAnalysis[[#This Row],[Total Population]], 0.05)), "")</f>
        <v/>
      </c>
      <c r="AC374" s="315" t="str">
        <f>IFERROR(IF(tblPiNAnalysis[[#This Row],[GBV]]="", "", MROUND(tblPiNAnalysis[[#This Row],[GBV]]/tblPiNAnalysis[[#This Row],[Total Population]], 0.05)), "")</f>
        <v/>
      </c>
      <c r="AD374" s="315" t="str">
        <f>IFERROR(IF(tblPiNAnalysis[[#This Row],[Mine Action]]="", "", MROUND(tblPiNAnalysis[[#This Row],[Mine Action]]/tblPiNAnalysis[[#This Row],[Total Population]], 0.05)), "")</f>
        <v/>
      </c>
      <c r="AE374" s="315" t="str">
        <f>IFERROR(IF(tblPiNAnalysis[[#This Row],[General Protection]]="", "", MROUND(tblPiNAnalysis[[#This Row],[General Protection]]/tblPiNAnalysis[[#This Row],[Total Population]], 0.05)), "")</f>
        <v/>
      </c>
      <c r="AF374" s="319">
        <f>IFERROR(LARGE(tblPiNAnalysis[[#This Row],[Site Management ]:[General Protection]], 1), "")</f>
        <v>0</v>
      </c>
      <c r="AG374" s="330" t="e">
        <f>IF(tblPiNAnalysis[[#This Row],[Highest PiN]]="", "",tblPiNAnalysis[[#This Row],[Highest PiN]]/ tblPiNAnalysis[[#This Row],[Total Population]])</f>
        <v>#DIV/0!</v>
      </c>
      <c r="AH374" s="330" t="str">
        <f>IFERROR(IF(tblPiNAnalysis[[#This Row],[Highest PiN]]="", "", IF(tblPiNAnalysis[[#This Row],[Highest sector(s'') PiN %]]&gt;=flag_pin_perc, "Flagged", "")), "")</f>
        <v/>
      </c>
      <c r="AI374" s="321"/>
      <c r="AJ374" s="322"/>
      <c r="AK374" s="323">
        <f>COUNTIFS(tblPiNAnalysis[[#This Row],[Highest PiN greater than 90% of total affected population]:[Manual Flag]],"Flagged")</f>
        <v>0</v>
      </c>
      <c r="AL374" s="331" t="str">
        <f>IF(tblPiNAnalysis[[#This Row],['# Flags]]&gt;0, "Flagged", "")</f>
        <v/>
      </c>
    </row>
    <row r="375" spans="1:38" ht="23.1" customHeight="1" x14ac:dyDescent="0.2">
      <c r="A375" s="309" t="str">
        <f>_xlfn.CONCAT(IF(tblPiNAnalysis[[#This Row],[Population Group]]="", "",tblPiNAnalysis[[#This Row],[Population Group]] ), _xlfn.IFS(tblPiNAnalysis[[#This Row],[Admin 2 P-Code]]&lt;&gt;"", tblPiNAnalysis[[#This Row],[Admin 2 P-Code]], tblPiNAnalysis[[#This Row],[Admin 1 P-Code]]&lt;&gt;"", tblPiNAnalysis[[#This Row],[Admin 1 P-Code]]))</f>
        <v>Non-hosting PopulationSD11061</v>
      </c>
      <c r="B375" s="245" t="s">
        <v>161</v>
      </c>
      <c r="C375" s="246" t="s">
        <v>128</v>
      </c>
      <c r="D375" s="247" t="s">
        <v>440</v>
      </c>
      <c r="E375" s="246" t="s">
        <v>441</v>
      </c>
      <c r="F375" s="248">
        <v>0</v>
      </c>
      <c r="G375" s="248" t="s">
        <v>568</v>
      </c>
      <c r="H375" s="310"/>
      <c r="I375" s="311"/>
      <c r="J375" s="312"/>
      <c r="K375" s="311"/>
      <c r="L375" s="311"/>
      <c r="M375" s="312"/>
      <c r="N375" s="312">
        <f>_xlfn.XLOOKUP(CONCATENATE(tblPiNAnalysis[[#This Row],[Admin 2 P-Code]],tblPiNAnalysis[[#This Row],[Population Group]]),'Overall severity &amp; PIN Analysis'!A:A,'Overall severity &amp; PIN Analysis'!P:P,0,0)</f>
        <v>0</v>
      </c>
      <c r="O375" s="311"/>
      <c r="P375" s="312"/>
      <c r="Q375" s="312"/>
      <c r="R375" s="312"/>
      <c r="S375" s="312"/>
      <c r="T375" s="313" t="str">
        <f>IF(tblPiNAnalysis[[#This Row],[Site Management ]]="", "", tblPiNAnalysis[[#This Row],[Site Management ]]/tblPiNAnalysis[[#This Row],[Total Population]])</f>
        <v/>
      </c>
      <c r="U375" s="314" t="str">
        <f>IF(tblPiNAnalysis[[#This Row],[Education]]="", "", tblPiNAnalysis[[#This Row],[Education]]/tblPiNAnalysis[[#This Row],[Total Population]])</f>
        <v/>
      </c>
      <c r="V375" s="314" t="str">
        <f>IF(tblPiNAnalysis[[#This Row],[Food Security and Livlihoods]]="", "", tblPiNAnalysis[[#This Row],[Food Security and Livlihoods]]/tblPiNAnalysis[[#This Row],[Total Population]])</f>
        <v/>
      </c>
      <c r="W375" s="315" t="str">
        <f>IF(tblPiNAnalysis[[#This Row],[Health ]]="", "", tblPiNAnalysis[[#This Row],[Health ]]/tblPiNAnalysis[[#This Row],[Total Population]])</f>
        <v/>
      </c>
      <c r="X375" s="314" t="str">
        <f>IF(tblPiNAnalysis[[#This Row],[Nutrition]]="", "", tblPiNAnalysis[[#This Row],[Nutrition]]/tblPiNAnalysis[[#This Row],[Total Population]])</f>
        <v/>
      </c>
      <c r="Y375" s="314" t="str">
        <f>IF(tblPiNAnalysis[[#This Row],[Protection]]="", "", tblPiNAnalysis[[#This Row],[Protection]]/tblPiNAnalysis[[#This Row],[Total Population]])</f>
        <v/>
      </c>
      <c r="Z375" s="316" t="e">
        <f>IF(tblPiNAnalysis[[#This Row],[Shelter NFI ]]="", "", tblPiNAnalysis[[#This Row],[Shelter NFI ]]/tblPiNAnalysis[[#This Row],[Total Population]])</f>
        <v>#DIV/0!</v>
      </c>
      <c r="AA375" s="317" t="str">
        <f>IF(tblPiNAnalysis[[#This Row],[WASH]]="", "", tblPiNAnalysis[[#This Row],[WASH]]/tblPiNAnalysis[[#This Row],[Total Population]])</f>
        <v/>
      </c>
      <c r="AB375" s="318" t="str">
        <f>IFERROR(IF(tblPiNAnalysis[[#This Row],[CP]]="", "", MROUND(tblPiNAnalysis[[#This Row],[CP]]/tblPiNAnalysis[[#This Row],[Total Population]], 0.05)), "")</f>
        <v/>
      </c>
      <c r="AC375" s="314" t="str">
        <f>IFERROR(IF(tblPiNAnalysis[[#This Row],[GBV]]="", "", MROUND(tblPiNAnalysis[[#This Row],[GBV]]/tblPiNAnalysis[[#This Row],[Total Population]], 0.05)), "")</f>
        <v/>
      </c>
      <c r="AD375" s="314" t="str">
        <f>IFERROR(IF(tblPiNAnalysis[[#This Row],[Mine Action]]="", "", MROUND(tblPiNAnalysis[[#This Row],[Mine Action]]/tblPiNAnalysis[[#This Row],[Total Population]], 0.05)), "")</f>
        <v/>
      </c>
      <c r="AE375" s="314" t="str">
        <f>IFERROR(IF(tblPiNAnalysis[[#This Row],[General Protection]]="", "", MROUND(tblPiNAnalysis[[#This Row],[General Protection]]/tblPiNAnalysis[[#This Row],[Total Population]], 0.05)), "")</f>
        <v/>
      </c>
      <c r="AF375" s="319">
        <f>IFERROR(LARGE(tblPiNAnalysis[[#This Row],[Site Management ]:[General Protection]], 1), "")</f>
        <v>0</v>
      </c>
      <c r="AG375" s="320" t="e">
        <f>IF(tblPiNAnalysis[[#This Row],[Highest PiN]]="", "",tblPiNAnalysis[[#This Row],[Highest PiN]]/ tblPiNAnalysis[[#This Row],[Total Population]])</f>
        <v>#DIV/0!</v>
      </c>
      <c r="AH375" s="320" t="str">
        <f>IFERROR(IF(tblPiNAnalysis[[#This Row],[Highest PiN]]="", "", IF(tblPiNAnalysis[[#This Row],[Highest sector(s'') PiN %]]&gt;=flag_pin_perc, "Flagged", "")), "")</f>
        <v/>
      </c>
      <c r="AI375" s="321"/>
      <c r="AJ375" s="322"/>
      <c r="AK375" s="323">
        <f>COUNTIFS(tblPiNAnalysis[[#This Row],[Highest PiN greater than 90% of total affected population]:[Manual Flag]],"Flagged")</f>
        <v>0</v>
      </c>
      <c r="AL375" s="324" t="str">
        <f>IF(tblPiNAnalysis[[#This Row],['# Flags]]&gt;0, "Flagged", "")</f>
        <v/>
      </c>
    </row>
    <row r="376" spans="1:38" ht="23.1" hidden="1" customHeight="1" x14ac:dyDescent="0.2">
      <c r="A376" s="309" t="str">
        <f>_xlfn.CONCAT(IF(tblPiNAnalysis[[#This Row],[Population Group]]="", "",tblPiNAnalysis[[#This Row],[Population Group]] ), _xlfn.IFS(tblPiNAnalysis[[#This Row],[Admin 2 P-Code]]&lt;&gt;"", tblPiNAnalysis[[#This Row],[Admin 2 P-Code]], tblPiNAnalysis[[#This Row],[Admin 1 P-Code]]&lt;&gt;"", tblPiNAnalysis[[#This Row],[Admin 1 P-Code]]))</f>
        <v>Host CommunitySD11062</v>
      </c>
      <c r="B376" s="245" t="s">
        <v>161</v>
      </c>
      <c r="C376" s="246" t="s">
        <v>128</v>
      </c>
      <c r="D376" s="247" t="s">
        <v>442</v>
      </c>
      <c r="E376" s="246" t="s">
        <v>443</v>
      </c>
      <c r="F376" s="248">
        <v>4067</v>
      </c>
      <c r="G376" s="248" t="s">
        <v>87</v>
      </c>
      <c r="H376" s="310"/>
      <c r="I376" s="311"/>
      <c r="J376" s="312"/>
      <c r="K376" s="311"/>
      <c r="L376" s="311"/>
      <c r="M376" s="312"/>
      <c r="N376" s="312">
        <f>_xlfn.XLOOKUP(CONCATENATE(tblPiNAnalysis[[#This Row],[Admin 2 P-Code]],tblPiNAnalysis[[#This Row],[Population Group]]),'Overall severity &amp; PIN Analysis'!A:A,'Overall severity &amp; PIN Analysis'!P:P,0,0)</f>
        <v>3506</v>
      </c>
      <c r="O376" s="311"/>
      <c r="P376" s="312"/>
      <c r="Q376" s="312"/>
      <c r="R376" s="312"/>
      <c r="S376" s="312"/>
      <c r="T376" s="313" t="str">
        <f>IF(tblPiNAnalysis[[#This Row],[Site Management ]]="", "", tblPiNAnalysis[[#This Row],[Site Management ]]/tblPiNAnalysis[[#This Row],[Total Population]])</f>
        <v/>
      </c>
      <c r="U376" s="314" t="str">
        <f>IF(tblPiNAnalysis[[#This Row],[Education]]="", "", tblPiNAnalysis[[#This Row],[Education]]/tblPiNAnalysis[[#This Row],[Total Population]])</f>
        <v/>
      </c>
      <c r="V376" s="314" t="str">
        <f>IF(tblPiNAnalysis[[#This Row],[Food Security and Livlihoods]]="", "", tblPiNAnalysis[[#This Row],[Food Security and Livlihoods]]/tblPiNAnalysis[[#This Row],[Total Population]])</f>
        <v/>
      </c>
      <c r="W376" s="315" t="str">
        <f>IF(tblPiNAnalysis[[#This Row],[Health ]]="", "", tblPiNAnalysis[[#This Row],[Health ]]/tblPiNAnalysis[[#This Row],[Total Population]])</f>
        <v/>
      </c>
      <c r="X376" s="314" t="str">
        <f>IF(tblPiNAnalysis[[#This Row],[Nutrition]]="", "", tblPiNAnalysis[[#This Row],[Nutrition]]/tblPiNAnalysis[[#This Row],[Total Population]])</f>
        <v/>
      </c>
      <c r="Y376" s="314" t="str">
        <f>IF(tblPiNAnalysis[[#This Row],[Protection]]="", "", tblPiNAnalysis[[#This Row],[Protection]]/tblPiNAnalysis[[#This Row],[Total Population]])</f>
        <v/>
      </c>
      <c r="Z376" s="316">
        <f>IF(tblPiNAnalysis[[#This Row],[Shelter NFI ]]="", "", tblPiNAnalysis[[#This Row],[Shelter NFI ]]/tblPiNAnalysis[[#This Row],[Total Population]])</f>
        <v>0.86206048684534053</v>
      </c>
      <c r="AA376" s="317" t="str">
        <f>IF(tblPiNAnalysis[[#This Row],[WASH]]="", "", tblPiNAnalysis[[#This Row],[WASH]]/tblPiNAnalysis[[#This Row],[Total Population]])</f>
        <v/>
      </c>
      <c r="AB376" s="318" t="str">
        <f>IFERROR(IF(tblPiNAnalysis[[#This Row],[CP]]="", "", MROUND(tblPiNAnalysis[[#This Row],[CP]]/tblPiNAnalysis[[#This Row],[Total Population]], 0.05)), "")</f>
        <v/>
      </c>
      <c r="AC376" s="314" t="str">
        <f>IFERROR(IF(tblPiNAnalysis[[#This Row],[GBV]]="", "", MROUND(tblPiNAnalysis[[#This Row],[GBV]]/tblPiNAnalysis[[#This Row],[Total Population]], 0.05)), "")</f>
        <v/>
      </c>
      <c r="AD376" s="314" t="str">
        <f>IFERROR(IF(tblPiNAnalysis[[#This Row],[Mine Action]]="", "", MROUND(tblPiNAnalysis[[#This Row],[Mine Action]]/tblPiNAnalysis[[#This Row],[Total Population]], 0.05)), "")</f>
        <v/>
      </c>
      <c r="AE376" s="314" t="str">
        <f>IFERROR(IF(tblPiNAnalysis[[#This Row],[General Protection]]="", "", MROUND(tblPiNAnalysis[[#This Row],[General Protection]]/tblPiNAnalysis[[#This Row],[Total Population]], 0.05)), "")</f>
        <v/>
      </c>
      <c r="AF376" s="319">
        <f>IFERROR(LARGE(tblPiNAnalysis[[#This Row],[Site Management ]:[General Protection]], 1), "")</f>
        <v>3506</v>
      </c>
      <c r="AG376" s="320">
        <f>IF(tblPiNAnalysis[[#This Row],[Highest PiN]]="", "",tblPiNAnalysis[[#This Row],[Highest PiN]]/ tblPiNAnalysis[[#This Row],[Total Population]])</f>
        <v>0.86206048684534053</v>
      </c>
      <c r="AH376" s="320" t="str">
        <f>IFERROR(IF(tblPiNAnalysis[[#This Row],[Highest PiN]]="", "", IF(tblPiNAnalysis[[#This Row],[Highest sector(s'') PiN %]]&gt;=flag_pin_perc, "Flagged", "")), "")</f>
        <v/>
      </c>
      <c r="AI376" s="321"/>
      <c r="AJ376" s="322"/>
      <c r="AK376" s="323">
        <f>COUNTIFS(tblPiNAnalysis[[#This Row],[Highest PiN greater than 90% of total affected population]:[Manual Flag]],"Flagged")</f>
        <v>0</v>
      </c>
      <c r="AL376" s="324" t="str">
        <f>IF(tblPiNAnalysis[[#This Row],['# Flags]]&gt;0, "Flagged", "")</f>
        <v/>
      </c>
    </row>
    <row r="377" spans="1:38" ht="23.1" hidden="1" customHeight="1" x14ac:dyDescent="0.2">
      <c r="A377" s="309" t="str">
        <f>_xlfn.CONCAT(IF(tblPiNAnalysis[[#This Row],[Population Group]]="", "",tblPiNAnalysis[[#This Row],[Population Group]] ), _xlfn.IFS(tblPiNAnalysis[[#This Row],[Admin 2 P-Code]]&lt;&gt;"", tblPiNAnalysis[[#This Row],[Admin 2 P-Code]], tblPiNAnalysis[[#This Row],[Admin 1 P-Code]]&lt;&gt;"", tblPiNAnalysis[[#This Row],[Admin 1 P-Code]]))</f>
        <v>IDPsSD11062</v>
      </c>
      <c r="B377" s="245" t="s">
        <v>161</v>
      </c>
      <c r="C377" s="246" t="s">
        <v>128</v>
      </c>
      <c r="D377" s="247" t="s">
        <v>442</v>
      </c>
      <c r="E377" s="246" t="s">
        <v>443</v>
      </c>
      <c r="F377" s="248">
        <v>4067</v>
      </c>
      <c r="G377" s="248" t="s">
        <v>88</v>
      </c>
      <c r="H377" s="310"/>
      <c r="I377" s="311"/>
      <c r="J377" s="311"/>
      <c r="K377" s="311"/>
      <c r="L377" s="311"/>
      <c r="M377" s="311"/>
      <c r="N377" s="311">
        <f>_xlfn.XLOOKUP(CONCATENATE(tblPiNAnalysis[[#This Row],[Admin 2 P-Code]],tblPiNAnalysis[[#This Row],[Population Group]]),'Overall severity &amp; PIN Analysis'!A:A,'Overall severity &amp; PIN Analysis'!P:P,0,0)</f>
        <v>3506</v>
      </c>
      <c r="O377" s="311"/>
      <c r="P377" s="311"/>
      <c r="Q377" s="311"/>
      <c r="R377" s="311"/>
      <c r="S377" s="311"/>
      <c r="T377" s="326" t="str">
        <f>IF(tblPiNAnalysis[[#This Row],[Site Management ]]="", "", tblPiNAnalysis[[#This Row],[Site Management ]]/tblPiNAnalysis[[#This Row],[Total Population]])</f>
        <v/>
      </c>
      <c r="U377" s="315" t="str">
        <f>IF(tblPiNAnalysis[[#This Row],[Education]]="", "", tblPiNAnalysis[[#This Row],[Education]]/tblPiNAnalysis[[#This Row],[Total Population]])</f>
        <v/>
      </c>
      <c r="V377" s="315" t="str">
        <f>IF(tblPiNAnalysis[[#This Row],[Food Security and Livlihoods]]="", "", tblPiNAnalysis[[#This Row],[Food Security and Livlihoods]]/tblPiNAnalysis[[#This Row],[Total Population]])</f>
        <v/>
      </c>
      <c r="W377" s="315" t="str">
        <f>IF(tblPiNAnalysis[[#This Row],[Health ]]="", "", tblPiNAnalysis[[#This Row],[Health ]]/tblPiNAnalysis[[#This Row],[Total Population]])</f>
        <v/>
      </c>
      <c r="X377" s="315" t="str">
        <f>IF(tblPiNAnalysis[[#This Row],[Nutrition]]="", "", tblPiNAnalysis[[#This Row],[Nutrition]]/tblPiNAnalysis[[#This Row],[Total Population]])</f>
        <v/>
      </c>
      <c r="Y377" s="315" t="str">
        <f>IF(tblPiNAnalysis[[#This Row],[Protection]]="", "", tblPiNAnalysis[[#This Row],[Protection]]/tblPiNAnalysis[[#This Row],[Total Population]])</f>
        <v/>
      </c>
      <c r="Z377" s="327">
        <f>IF(tblPiNAnalysis[[#This Row],[Shelter NFI ]]="", "", tblPiNAnalysis[[#This Row],[Shelter NFI ]]/tblPiNAnalysis[[#This Row],[Total Population]])</f>
        <v>0.86206048684534053</v>
      </c>
      <c r="AA377" s="328" t="str">
        <f>IF(tblPiNAnalysis[[#This Row],[WASH]]="", "", tblPiNAnalysis[[#This Row],[WASH]]/tblPiNAnalysis[[#This Row],[Total Population]])</f>
        <v/>
      </c>
      <c r="AB377" s="329" t="str">
        <f>IFERROR(IF(tblPiNAnalysis[[#This Row],[CP]]="", "", MROUND(tblPiNAnalysis[[#This Row],[CP]]/tblPiNAnalysis[[#This Row],[Total Population]], 0.05)), "")</f>
        <v/>
      </c>
      <c r="AC377" s="315" t="str">
        <f>IFERROR(IF(tblPiNAnalysis[[#This Row],[GBV]]="", "", MROUND(tblPiNAnalysis[[#This Row],[GBV]]/tblPiNAnalysis[[#This Row],[Total Population]], 0.05)), "")</f>
        <v/>
      </c>
      <c r="AD377" s="315" t="str">
        <f>IFERROR(IF(tblPiNAnalysis[[#This Row],[Mine Action]]="", "", MROUND(tblPiNAnalysis[[#This Row],[Mine Action]]/tblPiNAnalysis[[#This Row],[Total Population]], 0.05)), "")</f>
        <v/>
      </c>
      <c r="AE377" s="315" t="str">
        <f>IFERROR(IF(tblPiNAnalysis[[#This Row],[General Protection]]="", "", MROUND(tblPiNAnalysis[[#This Row],[General Protection]]/tblPiNAnalysis[[#This Row],[Total Population]], 0.05)), "")</f>
        <v/>
      </c>
      <c r="AF377" s="319">
        <f>IFERROR(LARGE(tblPiNAnalysis[[#This Row],[Site Management ]:[General Protection]], 1), "")</f>
        <v>3506</v>
      </c>
      <c r="AG377" s="330">
        <f>IF(tblPiNAnalysis[[#This Row],[Highest PiN]]="", "",tblPiNAnalysis[[#This Row],[Highest PiN]]/ tblPiNAnalysis[[#This Row],[Total Population]])</f>
        <v>0.86206048684534053</v>
      </c>
      <c r="AH377" s="330" t="str">
        <f>IFERROR(IF(tblPiNAnalysis[[#This Row],[Highest PiN]]="", "", IF(tblPiNAnalysis[[#This Row],[Highest sector(s'') PiN %]]&gt;=flag_pin_perc, "Flagged", "")), "")</f>
        <v/>
      </c>
      <c r="AI377" s="321"/>
      <c r="AJ377" s="322"/>
      <c r="AK377" s="323">
        <f>COUNTIFS(tblPiNAnalysis[[#This Row],[Highest PiN greater than 90% of total affected population]:[Manual Flag]],"Flagged")</f>
        <v>0</v>
      </c>
      <c r="AL377" s="331" t="str">
        <f>IF(tblPiNAnalysis[[#This Row],['# Flags]]&gt;0, "Flagged", "")</f>
        <v/>
      </c>
    </row>
    <row r="378" spans="1:38" ht="23.1" customHeight="1" x14ac:dyDescent="0.2">
      <c r="A378" s="309" t="str">
        <f>_xlfn.CONCAT(IF(tblPiNAnalysis[[#This Row],[Population Group]]="", "",tblPiNAnalysis[[#This Row],[Population Group]] ), _xlfn.IFS(tblPiNAnalysis[[#This Row],[Admin 2 P-Code]]&lt;&gt;"", tblPiNAnalysis[[#This Row],[Admin 2 P-Code]], tblPiNAnalysis[[#This Row],[Admin 1 P-Code]]&lt;&gt;"", tblPiNAnalysis[[#This Row],[Admin 1 P-Code]]))</f>
        <v>Non-hosting PopulationSD11062</v>
      </c>
      <c r="B378" s="245" t="s">
        <v>161</v>
      </c>
      <c r="C378" s="246" t="s">
        <v>128</v>
      </c>
      <c r="D378" s="247" t="s">
        <v>442</v>
      </c>
      <c r="E378" s="246" t="s">
        <v>443</v>
      </c>
      <c r="F378" s="248">
        <v>199129</v>
      </c>
      <c r="G378" s="248" t="s">
        <v>568</v>
      </c>
      <c r="H378" s="310"/>
      <c r="I378" s="311"/>
      <c r="J378" s="312"/>
      <c r="K378" s="311"/>
      <c r="L378" s="311"/>
      <c r="M378" s="312"/>
      <c r="N378" s="312">
        <f>_xlfn.XLOOKUP(CONCATENATE(tblPiNAnalysis[[#This Row],[Admin 2 P-Code]],tblPiNAnalysis[[#This Row],[Population Group]]),'Overall severity &amp; PIN Analysis'!A:A,'Overall severity &amp; PIN Analysis'!P:P,0,0)</f>
        <v>37375</v>
      </c>
      <c r="O378" s="311"/>
      <c r="P378" s="312"/>
      <c r="Q378" s="312"/>
      <c r="R378" s="312"/>
      <c r="S378" s="312"/>
      <c r="T378" s="313" t="str">
        <f>IF(tblPiNAnalysis[[#This Row],[Site Management ]]="", "", tblPiNAnalysis[[#This Row],[Site Management ]]/tblPiNAnalysis[[#This Row],[Total Population]])</f>
        <v/>
      </c>
      <c r="U378" s="314" t="str">
        <f>IF(tblPiNAnalysis[[#This Row],[Education]]="", "", tblPiNAnalysis[[#This Row],[Education]]/tblPiNAnalysis[[#This Row],[Total Population]])</f>
        <v/>
      </c>
      <c r="V378" s="314" t="str">
        <f>IF(tblPiNAnalysis[[#This Row],[Food Security and Livlihoods]]="", "", tblPiNAnalysis[[#This Row],[Food Security and Livlihoods]]/tblPiNAnalysis[[#This Row],[Total Population]])</f>
        <v/>
      </c>
      <c r="W378" s="315" t="str">
        <f>IF(tblPiNAnalysis[[#This Row],[Health ]]="", "", tblPiNAnalysis[[#This Row],[Health ]]/tblPiNAnalysis[[#This Row],[Total Population]])</f>
        <v/>
      </c>
      <c r="X378" s="314" t="str">
        <f>IF(tblPiNAnalysis[[#This Row],[Nutrition]]="", "", tblPiNAnalysis[[#This Row],[Nutrition]]/tblPiNAnalysis[[#This Row],[Total Population]])</f>
        <v/>
      </c>
      <c r="Y378" s="314" t="str">
        <f>IF(tblPiNAnalysis[[#This Row],[Protection]]="", "", tblPiNAnalysis[[#This Row],[Protection]]/tblPiNAnalysis[[#This Row],[Total Population]])</f>
        <v/>
      </c>
      <c r="Z378" s="316">
        <f>IF(tblPiNAnalysis[[#This Row],[Shelter NFI ]]="", "", tblPiNAnalysis[[#This Row],[Shelter NFI ]]/tblPiNAnalysis[[#This Row],[Total Population]])</f>
        <v>0.18769240040375837</v>
      </c>
      <c r="AA378" s="317" t="str">
        <f>IF(tblPiNAnalysis[[#This Row],[WASH]]="", "", tblPiNAnalysis[[#This Row],[WASH]]/tblPiNAnalysis[[#This Row],[Total Population]])</f>
        <v/>
      </c>
      <c r="AB378" s="318" t="str">
        <f>IFERROR(IF(tblPiNAnalysis[[#This Row],[CP]]="", "", MROUND(tblPiNAnalysis[[#This Row],[CP]]/tblPiNAnalysis[[#This Row],[Total Population]], 0.05)), "")</f>
        <v/>
      </c>
      <c r="AC378" s="314" t="str">
        <f>IFERROR(IF(tblPiNAnalysis[[#This Row],[GBV]]="", "", MROUND(tblPiNAnalysis[[#This Row],[GBV]]/tblPiNAnalysis[[#This Row],[Total Population]], 0.05)), "")</f>
        <v/>
      </c>
      <c r="AD378" s="314" t="str">
        <f>IFERROR(IF(tblPiNAnalysis[[#This Row],[Mine Action]]="", "", MROUND(tblPiNAnalysis[[#This Row],[Mine Action]]/tblPiNAnalysis[[#This Row],[Total Population]], 0.05)), "")</f>
        <v/>
      </c>
      <c r="AE378" s="314" t="str">
        <f>IFERROR(IF(tblPiNAnalysis[[#This Row],[General Protection]]="", "", MROUND(tblPiNAnalysis[[#This Row],[General Protection]]/tblPiNAnalysis[[#This Row],[Total Population]], 0.05)), "")</f>
        <v/>
      </c>
      <c r="AF378" s="319">
        <f>IFERROR(LARGE(tblPiNAnalysis[[#This Row],[Site Management ]:[General Protection]], 1), "")</f>
        <v>37375</v>
      </c>
      <c r="AG378" s="320">
        <f>IF(tblPiNAnalysis[[#This Row],[Highest PiN]]="", "",tblPiNAnalysis[[#This Row],[Highest PiN]]/ tblPiNAnalysis[[#This Row],[Total Population]])</f>
        <v>0.18769240040375837</v>
      </c>
      <c r="AH378" s="320" t="str">
        <f>IFERROR(IF(tblPiNAnalysis[[#This Row],[Highest PiN]]="", "", IF(tblPiNAnalysis[[#This Row],[Highest sector(s'') PiN %]]&gt;=flag_pin_perc, "Flagged", "")), "")</f>
        <v/>
      </c>
      <c r="AI378" s="321"/>
      <c r="AJ378" s="322"/>
      <c r="AK378" s="323">
        <f>COUNTIFS(tblPiNAnalysis[[#This Row],[Highest PiN greater than 90% of total affected population]:[Manual Flag]],"Flagged")</f>
        <v>0</v>
      </c>
      <c r="AL378" s="324" t="str">
        <f>IF(tblPiNAnalysis[[#This Row],['# Flags]]&gt;0, "Flagged", "")</f>
        <v/>
      </c>
    </row>
    <row r="379" spans="1:38" ht="23.1" hidden="1" customHeight="1" x14ac:dyDescent="0.2">
      <c r="A379" s="309" t="str">
        <f>_xlfn.CONCAT(IF(tblPiNAnalysis[[#This Row],[Population Group]]="", "",tblPiNAnalysis[[#This Row],[Population Group]] ), _xlfn.IFS(tblPiNAnalysis[[#This Row],[Admin 2 P-Code]]&lt;&gt;"", tblPiNAnalysis[[#This Row],[Admin 2 P-Code]], tblPiNAnalysis[[#This Row],[Admin 1 P-Code]]&lt;&gt;"", tblPiNAnalysis[[#This Row],[Admin 1 P-Code]]))</f>
        <v>Host CommunitySD12073</v>
      </c>
      <c r="B379" s="245" t="s">
        <v>158</v>
      </c>
      <c r="C379" s="246" t="s">
        <v>129</v>
      </c>
      <c r="D379" s="247" t="s">
        <v>444</v>
      </c>
      <c r="E379" s="246" t="s">
        <v>445</v>
      </c>
      <c r="F379" s="248">
        <v>18466</v>
      </c>
      <c r="G379" s="248" t="s">
        <v>87</v>
      </c>
      <c r="H379" s="310"/>
      <c r="I379" s="311"/>
      <c r="J379" s="312"/>
      <c r="K379" s="311"/>
      <c r="L379" s="311"/>
      <c r="M379" s="312"/>
      <c r="N379" s="312">
        <f>_xlfn.XLOOKUP(CONCATENATE(tblPiNAnalysis[[#This Row],[Admin 2 P-Code]],tblPiNAnalysis[[#This Row],[Population Group]]),'Overall severity &amp; PIN Analysis'!A:A,'Overall severity &amp; PIN Analysis'!P:P,0,0)</f>
        <v>5045</v>
      </c>
      <c r="O379" s="311"/>
      <c r="P379" s="312"/>
      <c r="Q379" s="312"/>
      <c r="R379" s="312"/>
      <c r="S379" s="312"/>
      <c r="T379" s="313" t="str">
        <f>IF(tblPiNAnalysis[[#This Row],[Site Management ]]="", "", tblPiNAnalysis[[#This Row],[Site Management ]]/tblPiNAnalysis[[#This Row],[Total Population]])</f>
        <v/>
      </c>
      <c r="U379" s="314" t="str">
        <f>IF(tblPiNAnalysis[[#This Row],[Education]]="", "", tblPiNAnalysis[[#This Row],[Education]]/tblPiNAnalysis[[#This Row],[Total Population]])</f>
        <v/>
      </c>
      <c r="V379" s="314" t="str">
        <f>IF(tblPiNAnalysis[[#This Row],[Food Security and Livlihoods]]="", "", tblPiNAnalysis[[#This Row],[Food Security and Livlihoods]]/tblPiNAnalysis[[#This Row],[Total Population]])</f>
        <v/>
      </c>
      <c r="W379" s="315" t="str">
        <f>IF(tblPiNAnalysis[[#This Row],[Health ]]="", "", tblPiNAnalysis[[#This Row],[Health ]]/tblPiNAnalysis[[#This Row],[Total Population]])</f>
        <v/>
      </c>
      <c r="X379" s="314" t="str">
        <f>IF(tblPiNAnalysis[[#This Row],[Nutrition]]="", "", tblPiNAnalysis[[#This Row],[Nutrition]]/tblPiNAnalysis[[#This Row],[Total Population]])</f>
        <v/>
      </c>
      <c r="Y379" s="314" t="str">
        <f>IF(tblPiNAnalysis[[#This Row],[Protection]]="", "", tblPiNAnalysis[[#This Row],[Protection]]/tblPiNAnalysis[[#This Row],[Total Population]])</f>
        <v/>
      </c>
      <c r="Z379" s="316">
        <f>IF(tblPiNAnalysis[[#This Row],[Shelter NFI ]]="", "", tblPiNAnalysis[[#This Row],[Shelter NFI ]]/tblPiNAnalysis[[#This Row],[Total Population]])</f>
        <v>0.27320480883786419</v>
      </c>
      <c r="AA379" s="317" t="str">
        <f>IF(tblPiNAnalysis[[#This Row],[WASH]]="", "", tblPiNAnalysis[[#This Row],[WASH]]/tblPiNAnalysis[[#This Row],[Total Population]])</f>
        <v/>
      </c>
      <c r="AB379" s="318" t="str">
        <f>IFERROR(IF(tblPiNAnalysis[[#This Row],[CP]]="", "", MROUND(tblPiNAnalysis[[#This Row],[CP]]/tblPiNAnalysis[[#This Row],[Total Population]], 0.05)), "")</f>
        <v/>
      </c>
      <c r="AC379" s="314" t="str">
        <f>IFERROR(IF(tblPiNAnalysis[[#This Row],[GBV]]="", "", MROUND(tblPiNAnalysis[[#This Row],[GBV]]/tblPiNAnalysis[[#This Row],[Total Population]], 0.05)), "")</f>
        <v/>
      </c>
      <c r="AD379" s="314" t="str">
        <f>IFERROR(IF(tblPiNAnalysis[[#This Row],[Mine Action]]="", "", MROUND(tblPiNAnalysis[[#This Row],[Mine Action]]/tblPiNAnalysis[[#This Row],[Total Population]], 0.05)), "")</f>
        <v/>
      </c>
      <c r="AE379" s="314" t="str">
        <f>IFERROR(IF(tblPiNAnalysis[[#This Row],[General Protection]]="", "", MROUND(tblPiNAnalysis[[#This Row],[General Protection]]/tblPiNAnalysis[[#This Row],[Total Population]], 0.05)), "")</f>
        <v/>
      </c>
      <c r="AF379" s="319">
        <f>IFERROR(LARGE(tblPiNAnalysis[[#This Row],[Site Management ]:[General Protection]], 1), "")</f>
        <v>5045</v>
      </c>
      <c r="AG379" s="320">
        <f>IF(tblPiNAnalysis[[#This Row],[Highest PiN]]="", "",tblPiNAnalysis[[#This Row],[Highest PiN]]/ tblPiNAnalysis[[#This Row],[Total Population]])</f>
        <v>0.27320480883786419</v>
      </c>
      <c r="AH379" s="320" t="str">
        <f>IFERROR(IF(tblPiNAnalysis[[#This Row],[Highest PiN]]="", "", IF(tblPiNAnalysis[[#This Row],[Highest sector(s'') PiN %]]&gt;=flag_pin_perc, "Flagged", "")), "")</f>
        <v/>
      </c>
      <c r="AI379" s="321"/>
      <c r="AJ379" s="322"/>
      <c r="AK379" s="323">
        <f>COUNTIFS(tblPiNAnalysis[[#This Row],[Highest PiN greater than 90% of total affected population]:[Manual Flag]],"Flagged")</f>
        <v>0</v>
      </c>
      <c r="AL379" s="324" t="str">
        <f>IF(tblPiNAnalysis[[#This Row],['# Flags]]&gt;0, "Flagged", "")</f>
        <v/>
      </c>
    </row>
    <row r="380" spans="1:38" ht="23.1" hidden="1" customHeight="1" x14ac:dyDescent="0.2">
      <c r="A380" s="309" t="str">
        <f>_xlfn.CONCAT(IF(tblPiNAnalysis[[#This Row],[Population Group]]="", "",tblPiNAnalysis[[#This Row],[Population Group]] ), _xlfn.IFS(tblPiNAnalysis[[#This Row],[Admin 2 P-Code]]&lt;&gt;"", tblPiNAnalysis[[#This Row],[Admin 2 P-Code]], tblPiNAnalysis[[#This Row],[Admin 1 P-Code]]&lt;&gt;"", tblPiNAnalysis[[#This Row],[Admin 1 P-Code]]))</f>
        <v>IDPsSD12073</v>
      </c>
      <c r="B380" s="245" t="s">
        <v>158</v>
      </c>
      <c r="C380" s="246" t="s">
        <v>129</v>
      </c>
      <c r="D380" s="247" t="s">
        <v>444</v>
      </c>
      <c r="E380" s="246" t="s">
        <v>445</v>
      </c>
      <c r="F380" s="248">
        <v>20155</v>
      </c>
      <c r="G380" s="248" t="s">
        <v>88</v>
      </c>
      <c r="H380" s="310"/>
      <c r="I380" s="311"/>
      <c r="J380" s="311"/>
      <c r="K380" s="311"/>
      <c r="L380" s="311"/>
      <c r="M380" s="311"/>
      <c r="N380" s="311">
        <f>_xlfn.XLOOKUP(CONCATENATE(tblPiNAnalysis[[#This Row],[Admin 2 P-Code]],tblPiNAnalysis[[#This Row],[Population Group]]),'Overall severity &amp; PIN Analysis'!A:A,'Overall severity &amp; PIN Analysis'!P:P,0,0)</f>
        <v>5507</v>
      </c>
      <c r="O380" s="311"/>
      <c r="P380" s="311"/>
      <c r="Q380" s="311"/>
      <c r="R380" s="311"/>
      <c r="S380" s="311"/>
      <c r="T380" s="326" t="str">
        <f>IF(tblPiNAnalysis[[#This Row],[Site Management ]]="", "", tblPiNAnalysis[[#This Row],[Site Management ]]/tblPiNAnalysis[[#This Row],[Total Population]])</f>
        <v/>
      </c>
      <c r="U380" s="315" t="str">
        <f>IF(tblPiNAnalysis[[#This Row],[Education]]="", "", tblPiNAnalysis[[#This Row],[Education]]/tblPiNAnalysis[[#This Row],[Total Population]])</f>
        <v/>
      </c>
      <c r="V380" s="315" t="str">
        <f>IF(tblPiNAnalysis[[#This Row],[Food Security and Livlihoods]]="", "", tblPiNAnalysis[[#This Row],[Food Security and Livlihoods]]/tblPiNAnalysis[[#This Row],[Total Population]])</f>
        <v/>
      </c>
      <c r="W380" s="315" t="str">
        <f>IF(tblPiNAnalysis[[#This Row],[Health ]]="", "", tblPiNAnalysis[[#This Row],[Health ]]/tblPiNAnalysis[[#This Row],[Total Population]])</f>
        <v/>
      </c>
      <c r="X380" s="315" t="str">
        <f>IF(tblPiNAnalysis[[#This Row],[Nutrition]]="", "", tblPiNAnalysis[[#This Row],[Nutrition]]/tblPiNAnalysis[[#This Row],[Total Population]])</f>
        <v/>
      </c>
      <c r="Y380" s="315" t="str">
        <f>IF(tblPiNAnalysis[[#This Row],[Protection]]="", "", tblPiNAnalysis[[#This Row],[Protection]]/tblPiNAnalysis[[#This Row],[Total Population]])</f>
        <v/>
      </c>
      <c r="Z380" s="327">
        <f>IF(tblPiNAnalysis[[#This Row],[Shelter NFI ]]="", "", tblPiNAnalysis[[#This Row],[Shelter NFI ]]/tblPiNAnalysis[[#This Row],[Total Population]])</f>
        <v>0.27323244852393946</v>
      </c>
      <c r="AA380" s="328" t="str">
        <f>IF(tblPiNAnalysis[[#This Row],[WASH]]="", "", tblPiNAnalysis[[#This Row],[WASH]]/tblPiNAnalysis[[#This Row],[Total Population]])</f>
        <v/>
      </c>
      <c r="AB380" s="329" t="str">
        <f>IFERROR(IF(tblPiNAnalysis[[#This Row],[CP]]="", "", MROUND(tblPiNAnalysis[[#This Row],[CP]]/tblPiNAnalysis[[#This Row],[Total Population]], 0.05)), "")</f>
        <v/>
      </c>
      <c r="AC380" s="315" t="str">
        <f>IFERROR(IF(tblPiNAnalysis[[#This Row],[GBV]]="", "", MROUND(tblPiNAnalysis[[#This Row],[GBV]]/tblPiNAnalysis[[#This Row],[Total Population]], 0.05)), "")</f>
        <v/>
      </c>
      <c r="AD380" s="315" t="str">
        <f>IFERROR(IF(tblPiNAnalysis[[#This Row],[Mine Action]]="", "", MROUND(tblPiNAnalysis[[#This Row],[Mine Action]]/tblPiNAnalysis[[#This Row],[Total Population]], 0.05)), "")</f>
        <v/>
      </c>
      <c r="AE380" s="315" t="str">
        <f>IFERROR(IF(tblPiNAnalysis[[#This Row],[General Protection]]="", "", MROUND(tblPiNAnalysis[[#This Row],[General Protection]]/tblPiNAnalysis[[#This Row],[Total Population]], 0.05)), "")</f>
        <v/>
      </c>
      <c r="AF380" s="319">
        <f>IFERROR(LARGE(tblPiNAnalysis[[#This Row],[Site Management ]:[General Protection]], 1), "")</f>
        <v>5507</v>
      </c>
      <c r="AG380" s="330">
        <f>IF(tblPiNAnalysis[[#This Row],[Highest PiN]]="", "",tblPiNAnalysis[[#This Row],[Highest PiN]]/ tblPiNAnalysis[[#This Row],[Total Population]])</f>
        <v>0.27323244852393946</v>
      </c>
      <c r="AH380" s="330" t="str">
        <f>IFERROR(IF(tblPiNAnalysis[[#This Row],[Highest PiN]]="", "", IF(tblPiNAnalysis[[#This Row],[Highest sector(s'') PiN %]]&gt;=flag_pin_perc, "Flagged", "")), "")</f>
        <v/>
      </c>
      <c r="AI380" s="321"/>
      <c r="AJ380" s="322"/>
      <c r="AK380" s="323">
        <f>COUNTIFS(tblPiNAnalysis[[#This Row],[Highest PiN greater than 90% of total affected population]:[Manual Flag]],"Flagged")</f>
        <v>0</v>
      </c>
      <c r="AL380" s="331" t="str">
        <f>IF(tblPiNAnalysis[[#This Row],['# Flags]]&gt;0, "Flagged", "")</f>
        <v/>
      </c>
    </row>
    <row r="381" spans="1:38" ht="23.1" customHeight="1" x14ac:dyDescent="0.2">
      <c r="A381" s="309" t="str">
        <f>_xlfn.CONCAT(IF(tblPiNAnalysis[[#This Row],[Population Group]]="", "",tblPiNAnalysis[[#This Row],[Population Group]] ), _xlfn.IFS(tblPiNAnalysis[[#This Row],[Admin 2 P-Code]]&lt;&gt;"", tblPiNAnalysis[[#This Row],[Admin 2 P-Code]], tblPiNAnalysis[[#This Row],[Admin 1 P-Code]]&lt;&gt;"", tblPiNAnalysis[[#This Row],[Admin 1 P-Code]]))</f>
        <v>Non-hosting PopulationSD12073</v>
      </c>
      <c r="B381" s="245" t="s">
        <v>158</v>
      </c>
      <c r="C381" s="246" t="s">
        <v>129</v>
      </c>
      <c r="D381" s="247" t="s">
        <v>444</v>
      </c>
      <c r="E381" s="246" t="s">
        <v>445</v>
      </c>
      <c r="F381" s="248">
        <v>116926</v>
      </c>
      <c r="G381" s="248" t="s">
        <v>568</v>
      </c>
      <c r="H381" s="310"/>
      <c r="I381" s="311"/>
      <c r="J381" s="312"/>
      <c r="K381" s="311"/>
      <c r="L381" s="311"/>
      <c r="M381" s="312"/>
      <c r="N381" s="312">
        <f>_xlfn.XLOOKUP(CONCATENATE(tblPiNAnalysis[[#This Row],[Admin 2 P-Code]],tblPiNAnalysis[[#This Row],[Population Group]]),'Overall severity &amp; PIN Analysis'!A:A,'Overall severity &amp; PIN Analysis'!P:P,0,0)</f>
        <v>0</v>
      </c>
      <c r="O381" s="311"/>
      <c r="P381" s="312"/>
      <c r="Q381" s="312"/>
      <c r="R381" s="312"/>
      <c r="S381" s="312"/>
      <c r="T381" s="313" t="str">
        <f>IF(tblPiNAnalysis[[#This Row],[Site Management ]]="", "", tblPiNAnalysis[[#This Row],[Site Management ]]/tblPiNAnalysis[[#This Row],[Total Population]])</f>
        <v/>
      </c>
      <c r="U381" s="314" t="str">
        <f>IF(tblPiNAnalysis[[#This Row],[Education]]="", "", tblPiNAnalysis[[#This Row],[Education]]/tblPiNAnalysis[[#This Row],[Total Population]])</f>
        <v/>
      </c>
      <c r="V381" s="314" t="str">
        <f>IF(tblPiNAnalysis[[#This Row],[Food Security and Livlihoods]]="", "", tblPiNAnalysis[[#This Row],[Food Security and Livlihoods]]/tblPiNAnalysis[[#This Row],[Total Population]])</f>
        <v/>
      </c>
      <c r="W381" s="315" t="str">
        <f>IF(tblPiNAnalysis[[#This Row],[Health ]]="", "", tblPiNAnalysis[[#This Row],[Health ]]/tblPiNAnalysis[[#This Row],[Total Population]])</f>
        <v/>
      </c>
      <c r="X381" s="314" t="str">
        <f>IF(tblPiNAnalysis[[#This Row],[Nutrition]]="", "", tblPiNAnalysis[[#This Row],[Nutrition]]/tblPiNAnalysis[[#This Row],[Total Population]])</f>
        <v/>
      </c>
      <c r="Y381" s="314" t="str">
        <f>IF(tblPiNAnalysis[[#This Row],[Protection]]="", "", tblPiNAnalysis[[#This Row],[Protection]]/tblPiNAnalysis[[#This Row],[Total Population]])</f>
        <v/>
      </c>
      <c r="Z381" s="316">
        <f>IF(tblPiNAnalysis[[#This Row],[Shelter NFI ]]="", "", tblPiNAnalysis[[#This Row],[Shelter NFI ]]/tblPiNAnalysis[[#This Row],[Total Population]])</f>
        <v>0</v>
      </c>
      <c r="AA381" s="317" t="str">
        <f>IF(tblPiNAnalysis[[#This Row],[WASH]]="", "", tblPiNAnalysis[[#This Row],[WASH]]/tblPiNAnalysis[[#This Row],[Total Population]])</f>
        <v/>
      </c>
      <c r="AB381" s="318" t="str">
        <f>IFERROR(IF(tblPiNAnalysis[[#This Row],[CP]]="", "", MROUND(tblPiNAnalysis[[#This Row],[CP]]/tblPiNAnalysis[[#This Row],[Total Population]], 0.05)), "")</f>
        <v/>
      </c>
      <c r="AC381" s="314" t="str">
        <f>IFERROR(IF(tblPiNAnalysis[[#This Row],[GBV]]="", "", MROUND(tblPiNAnalysis[[#This Row],[GBV]]/tblPiNAnalysis[[#This Row],[Total Population]], 0.05)), "")</f>
        <v/>
      </c>
      <c r="AD381" s="314" t="str">
        <f>IFERROR(IF(tblPiNAnalysis[[#This Row],[Mine Action]]="", "", MROUND(tblPiNAnalysis[[#This Row],[Mine Action]]/tblPiNAnalysis[[#This Row],[Total Population]], 0.05)), "")</f>
        <v/>
      </c>
      <c r="AE381" s="314" t="str">
        <f>IFERROR(IF(tblPiNAnalysis[[#This Row],[General Protection]]="", "", MROUND(tblPiNAnalysis[[#This Row],[General Protection]]/tblPiNAnalysis[[#This Row],[Total Population]], 0.05)), "")</f>
        <v/>
      </c>
      <c r="AF381" s="319">
        <f>IFERROR(LARGE(tblPiNAnalysis[[#This Row],[Site Management ]:[General Protection]], 1), "")</f>
        <v>0</v>
      </c>
      <c r="AG381" s="320">
        <f>IF(tblPiNAnalysis[[#This Row],[Highest PiN]]="", "",tblPiNAnalysis[[#This Row],[Highest PiN]]/ tblPiNAnalysis[[#This Row],[Total Population]])</f>
        <v>0</v>
      </c>
      <c r="AH381" s="320" t="str">
        <f>IFERROR(IF(tblPiNAnalysis[[#This Row],[Highest PiN]]="", "", IF(tblPiNAnalysis[[#This Row],[Highest sector(s'') PiN %]]&gt;=flag_pin_perc, "Flagged", "")), "")</f>
        <v/>
      </c>
      <c r="AI381" s="321"/>
      <c r="AJ381" s="322"/>
      <c r="AK381" s="323">
        <f>COUNTIFS(tblPiNAnalysis[[#This Row],[Highest PiN greater than 90% of total affected population]:[Manual Flag]],"Flagged")</f>
        <v>0</v>
      </c>
      <c r="AL381" s="324" t="str">
        <f>IF(tblPiNAnalysis[[#This Row],['# Flags]]&gt;0, "Flagged", "")</f>
        <v/>
      </c>
    </row>
    <row r="382" spans="1:38" ht="23.1" hidden="1" customHeight="1" x14ac:dyDescent="0.2">
      <c r="A382" s="309" t="str">
        <f>_xlfn.CONCAT(IF(tblPiNAnalysis[[#This Row],[Population Group]]="", "",tblPiNAnalysis[[#This Row],[Population Group]] ), _xlfn.IFS(tblPiNAnalysis[[#This Row],[Admin 2 P-Code]]&lt;&gt;"", tblPiNAnalysis[[#This Row],[Admin 2 P-Code]], tblPiNAnalysis[[#This Row],[Admin 1 P-Code]]&lt;&gt;"", tblPiNAnalysis[[#This Row],[Admin 1 P-Code]]))</f>
        <v>Host CommunitySD12074</v>
      </c>
      <c r="B382" s="245" t="s">
        <v>158</v>
      </c>
      <c r="C382" s="246" t="s">
        <v>129</v>
      </c>
      <c r="D382" s="247" t="s">
        <v>446</v>
      </c>
      <c r="E382" s="246" t="s">
        <v>447</v>
      </c>
      <c r="F382" s="248">
        <v>79708</v>
      </c>
      <c r="G382" s="248" t="s">
        <v>87</v>
      </c>
      <c r="H382" s="310"/>
      <c r="I382" s="311"/>
      <c r="J382" s="312"/>
      <c r="K382" s="311"/>
      <c r="L382" s="311"/>
      <c r="M382" s="312"/>
      <c r="N382" s="312">
        <f>_xlfn.XLOOKUP(CONCATENATE(tblPiNAnalysis[[#This Row],[Admin 2 P-Code]],tblPiNAnalysis[[#This Row],[Population Group]]),'Overall severity &amp; PIN Analysis'!A:A,'Overall severity &amp; PIN Analysis'!P:P,0,0)</f>
        <v>18146</v>
      </c>
      <c r="O382" s="311"/>
      <c r="P382" s="312"/>
      <c r="Q382" s="312"/>
      <c r="R382" s="312"/>
      <c r="S382" s="312"/>
      <c r="T382" s="313" t="str">
        <f>IF(tblPiNAnalysis[[#This Row],[Site Management ]]="", "", tblPiNAnalysis[[#This Row],[Site Management ]]/tblPiNAnalysis[[#This Row],[Total Population]])</f>
        <v/>
      </c>
      <c r="U382" s="314" t="str">
        <f>IF(tblPiNAnalysis[[#This Row],[Education]]="", "", tblPiNAnalysis[[#This Row],[Education]]/tblPiNAnalysis[[#This Row],[Total Population]])</f>
        <v/>
      </c>
      <c r="V382" s="314" t="str">
        <f>IF(tblPiNAnalysis[[#This Row],[Food Security and Livlihoods]]="", "", tblPiNAnalysis[[#This Row],[Food Security and Livlihoods]]/tblPiNAnalysis[[#This Row],[Total Population]])</f>
        <v/>
      </c>
      <c r="W382" s="315" t="str">
        <f>IF(tblPiNAnalysis[[#This Row],[Health ]]="", "", tblPiNAnalysis[[#This Row],[Health ]]/tblPiNAnalysis[[#This Row],[Total Population]])</f>
        <v/>
      </c>
      <c r="X382" s="314" t="str">
        <f>IF(tblPiNAnalysis[[#This Row],[Nutrition]]="", "", tblPiNAnalysis[[#This Row],[Nutrition]]/tblPiNAnalysis[[#This Row],[Total Population]])</f>
        <v/>
      </c>
      <c r="Y382" s="314" t="str">
        <f>IF(tblPiNAnalysis[[#This Row],[Protection]]="", "", tblPiNAnalysis[[#This Row],[Protection]]/tblPiNAnalysis[[#This Row],[Total Population]])</f>
        <v/>
      </c>
      <c r="Z382" s="316">
        <f>IF(tblPiNAnalysis[[#This Row],[Shelter NFI ]]="", "", tblPiNAnalysis[[#This Row],[Shelter NFI ]]/tblPiNAnalysis[[#This Row],[Total Population]])</f>
        <v>0.22765594419631655</v>
      </c>
      <c r="AA382" s="317" t="str">
        <f>IF(tblPiNAnalysis[[#This Row],[WASH]]="", "", tblPiNAnalysis[[#This Row],[WASH]]/tblPiNAnalysis[[#This Row],[Total Population]])</f>
        <v/>
      </c>
      <c r="AB382" s="318" t="str">
        <f>IFERROR(IF(tblPiNAnalysis[[#This Row],[CP]]="", "", MROUND(tblPiNAnalysis[[#This Row],[CP]]/tblPiNAnalysis[[#This Row],[Total Population]], 0.05)), "")</f>
        <v/>
      </c>
      <c r="AC382" s="314" t="str">
        <f>IFERROR(IF(tblPiNAnalysis[[#This Row],[GBV]]="", "", MROUND(tblPiNAnalysis[[#This Row],[GBV]]/tblPiNAnalysis[[#This Row],[Total Population]], 0.05)), "")</f>
        <v/>
      </c>
      <c r="AD382" s="314" t="str">
        <f>IFERROR(IF(tblPiNAnalysis[[#This Row],[Mine Action]]="", "", MROUND(tblPiNAnalysis[[#This Row],[Mine Action]]/tblPiNAnalysis[[#This Row],[Total Population]], 0.05)), "")</f>
        <v/>
      </c>
      <c r="AE382" s="314" t="str">
        <f>IFERROR(IF(tblPiNAnalysis[[#This Row],[General Protection]]="", "", MROUND(tblPiNAnalysis[[#This Row],[General Protection]]/tblPiNAnalysis[[#This Row],[Total Population]], 0.05)), "")</f>
        <v/>
      </c>
      <c r="AF382" s="319">
        <f>IFERROR(LARGE(tblPiNAnalysis[[#This Row],[Site Management ]:[General Protection]], 1), "")</f>
        <v>18146</v>
      </c>
      <c r="AG382" s="320">
        <f>IF(tblPiNAnalysis[[#This Row],[Highest PiN]]="", "",tblPiNAnalysis[[#This Row],[Highest PiN]]/ tblPiNAnalysis[[#This Row],[Total Population]])</f>
        <v>0.22765594419631655</v>
      </c>
      <c r="AH382" s="320" t="str">
        <f>IFERROR(IF(tblPiNAnalysis[[#This Row],[Highest PiN]]="", "", IF(tblPiNAnalysis[[#This Row],[Highest sector(s'') PiN %]]&gt;=flag_pin_perc, "Flagged", "")), "")</f>
        <v/>
      </c>
      <c r="AI382" s="321"/>
      <c r="AJ382" s="322"/>
      <c r="AK382" s="323">
        <f>COUNTIFS(tblPiNAnalysis[[#This Row],[Highest PiN greater than 90% of total affected population]:[Manual Flag]],"Flagged")</f>
        <v>0</v>
      </c>
      <c r="AL382" s="324" t="str">
        <f>IF(tblPiNAnalysis[[#This Row],['# Flags]]&gt;0, "Flagged", "")</f>
        <v/>
      </c>
    </row>
    <row r="383" spans="1:38" ht="23.1" hidden="1" customHeight="1" x14ac:dyDescent="0.2">
      <c r="A383" s="309" t="str">
        <f>_xlfn.CONCAT(IF(tblPiNAnalysis[[#This Row],[Population Group]]="", "",tblPiNAnalysis[[#This Row],[Population Group]] ), _xlfn.IFS(tblPiNAnalysis[[#This Row],[Admin 2 P-Code]]&lt;&gt;"", tblPiNAnalysis[[#This Row],[Admin 2 P-Code]], tblPiNAnalysis[[#This Row],[Admin 1 P-Code]]&lt;&gt;"", tblPiNAnalysis[[#This Row],[Admin 1 P-Code]]))</f>
        <v>IDPsSD12074</v>
      </c>
      <c r="B383" s="245" t="s">
        <v>158</v>
      </c>
      <c r="C383" s="246" t="s">
        <v>129</v>
      </c>
      <c r="D383" s="247" t="s">
        <v>446</v>
      </c>
      <c r="E383" s="246" t="s">
        <v>447</v>
      </c>
      <c r="F383" s="248">
        <v>79702</v>
      </c>
      <c r="G383" s="248" t="s">
        <v>88</v>
      </c>
      <c r="H383" s="310"/>
      <c r="I383" s="311"/>
      <c r="J383" s="311"/>
      <c r="K383" s="311"/>
      <c r="L383" s="311"/>
      <c r="M383" s="311"/>
      <c r="N383" s="311">
        <f>_xlfn.XLOOKUP(CONCATENATE(tblPiNAnalysis[[#This Row],[Admin 2 P-Code]],tblPiNAnalysis[[#This Row],[Population Group]]),'Overall severity &amp; PIN Analysis'!A:A,'Overall severity &amp; PIN Analysis'!P:P,0,0)</f>
        <v>18146</v>
      </c>
      <c r="O383" s="311"/>
      <c r="P383" s="311"/>
      <c r="Q383" s="311"/>
      <c r="R383" s="311"/>
      <c r="S383" s="311"/>
      <c r="T383" s="326" t="str">
        <f>IF(tblPiNAnalysis[[#This Row],[Site Management ]]="", "", tblPiNAnalysis[[#This Row],[Site Management ]]/tblPiNAnalysis[[#This Row],[Total Population]])</f>
        <v/>
      </c>
      <c r="U383" s="315" t="str">
        <f>IF(tblPiNAnalysis[[#This Row],[Education]]="", "", tblPiNAnalysis[[#This Row],[Education]]/tblPiNAnalysis[[#This Row],[Total Population]])</f>
        <v/>
      </c>
      <c r="V383" s="315" t="str">
        <f>IF(tblPiNAnalysis[[#This Row],[Food Security and Livlihoods]]="", "", tblPiNAnalysis[[#This Row],[Food Security and Livlihoods]]/tblPiNAnalysis[[#This Row],[Total Population]])</f>
        <v/>
      </c>
      <c r="W383" s="315" t="str">
        <f>IF(tblPiNAnalysis[[#This Row],[Health ]]="", "", tblPiNAnalysis[[#This Row],[Health ]]/tblPiNAnalysis[[#This Row],[Total Population]])</f>
        <v/>
      </c>
      <c r="X383" s="315" t="str">
        <f>IF(tblPiNAnalysis[[#This Row],[Nutrition]]="", "", tblPiNAnalysis[[#This Row],[Nutrition]]/tblPiNAnalysis[[#This Row],[Total Population]])</f>
        <v/>
      </c>
      <c r="Y383" s="315" t="str">
        <f>IF(tblPiNAnalysis[[#This Row],[Protection]]="", "", tblPiNAnalysis[[#This Row],[Protection]]/tblPiNAnalysis[[#This Row],[Total Population]])</f>
        <v/>
      </c>
      <c r="Z383" s="327">
        <f>IF(tblPiNAnalysis[[#This Row],[Shelter NFI ]]="", "", tblPiNAnalysis[[#This Row],[Shelter NFI ]]/tblPiNAnalysis[[#This Row],[Total Population]])</f>
        <v>0.22767308223131164</v>
      </c>
      <c r="AA383" s="328" t="str">
        <f>IF(tblPiNAnalysis[[#This Row],[WASH]]="", "", tblPiNAnalysis[[#This Row],[WASH]]/tblPiNAnalysis[[#This Row],[Total Population]])</f>
        <v/>
      </c>
      <c r="AB383" s="329" t="str">
        <f>IFERROR(IF(tblPiNAnalysis[[#This Row],[CP]]="", "", MROUND(tblPiNAnalysis[[#This Row],[CP]]/tblPiNAnalysis[[#This Row],[Total Population]], 0.05)), "")</f>
        <v/>
      </c>
      <c r="AC383" s="315" t="str">
        <f>IFERROR(IF(tblPiNAnalysis[[#This Row],[GBV]]="", "", MROUND(tblPiNAnalysis[[#This Row],[GBV]]/tblPiNAnalysis[[#This Row],[Total Population]], 0.05)), "")</f>
        <v/>
      </c>
      <c r="AD383" s="315" t="str">
        <f>IFERROR(IF(tblPiNAnalysis[[#This Row],[Mine Action]]="", "", MROUND(tblPiNAnalysis[[#This Row],[Mine Action]]/tblPiNAnalysis[[#This Row],[Total Population]], 0.05)), "")</f>
        <v/>
      </c>
      <c r="AE383" s="315" t="str">
        <f>IFERROR(IF(tblPiNAnalysis[[#This Row],[General Protection]]="", "", MROUND(tblPiNAnalysis[[#This Row],[General Protection]]/tblPiNAnalysis[[#This Row],[Total Population]], 0.05)), "")</f>
        <v/>
      </c>
      <c r="AF383" s="319">
        <f>IFERROR(LARGE(tblPiNAnalysis[[#This Row],[Site Management ]:[General Protection]], 1), "")</f>
        <v>18146</v>
      </c>
      <c r="AG383" s="330">
        <f>IF(tblPiNAnalysis[[#This Row],[Highest PiN]]="", "",tblPiNAnalysis[[#This Row],[Highest PiN]]/ tblPiNAnalysis[[#This Row],[Total Population]])</f>
        <v>0.22767308223131164</v>
      </c>
      <c r="AH383" s="330" t="str">
        <f>IFERROR(IF(tblPiNAnalysis[[#This Row],[Highest PiN]]="", "", IF(tblPiNAnalysis[[#This Row],[Highest sector(s'') PiN %]]&gt;=flag_pin_perc, "Flagged", "")), "")</f>
        <v/>
      </c>
      <c r="AI383" s="321"/>
      <c r="AJ383" s="322"/>
      <c r="AK383" s="323">
        <f>COUNTIFS(tblPiNAnalysis[[#This Row],[Highest PiN greater than 90% of total affected population]:[Manual Flag]],"Flagged")</f>
        <v>0</v>
      </c>
      <c r="AL383" s="331" t="str">
        <f>IF(tblPiNAnalysis[[#This Row],['# Flags]]&gt;0, "Flagged", "")</f>
        <v/>
      </c>
    </row>
    <row r="384" spans="1:38" ht="23.1" customHeight="1" x14ac:dyDescent="0.2">
      <c r="A384" s="309" t="str">
        <f>_xlfn.CONCAT(IF(tblPiNAnalysis[[#This Row],[Population Group]]="", "",tblPiNAnalysis[[#This Row],[Population Group]] ), _xlfn.IFS(tblPiNAnalysis[[#This Row],[Admin 2 P-Code]]&lt;&gt;"", tblPiNAnalysis[[#This Row],[Admin 2 P-Code]], tblPiNAnalysis[[#This Row],[Admin 1 P-Code]]&lt;&gt;"", tblPiNAnalysis[[#This Row],[Admin 1 P-Code]]))</f>
        <v>Non-hosting PopulationSD12074</v>
      </c>
      <c r="B384" s="245" t="s">
        <v>158</v>
      </c>
      <c r="C384" s="246" t="s">
        <v>129</v>
      </c>
      <c r="D384" s="247" t="s">
        <v>446</v>
      </c>
      <c r="E384" s="246" t="s">
        <v>447</v>
      </c>
      <c r="F384" s="248">
        <v>270964</v>
      </c>
      <c r="G384" s="248" t="s">
        <v>568</v>
      </c>
      <c r="H384" s="310"/>
      <c r="I384" s="311"/>
      <c r="J384" s="312"/>
      <c r="K384" s="311"/>
      <c r="L384" s="311"/>
      <c r="M384" s="312"/>
      <c r="N384" s="312">
        <f>_xlfn.XLOOKUP(CONCATENATE(tblPiNAnalysis[[#This Row],[Admin 2 P-Code]],tblPiNAnalysis[[#This Row],[Population Group]]),'Overall severity &amp; PIN Analysis'!A:A,'Overall severity &amp; PIN Analysis'!P:P,0,0)</f>
        <v>0</v>
      </c>
      <c r="O384" s="311"/>
      <c r="P384" s="312"/>
      <c r="Q384" s="312"/>
      <c r="R384" s="312"/>
      <c r="S384" s="312"/>
      <c r="T384" s="313" t="str">
        <f>IF(tblPiNAnalysis[[#This Row],[Site Management ]]="", "", tblPiNAnalysis[[#This Row],[Site Management ]]/tblPiNAnalysis[[#This Row],[Total Population]])</f>
        <v/>
      </c>
      <c r="U384" s="314" t="str">
        <f>IF(tblPiNAnalysis[[#This Row],[Education]]="", "", tblPiNAnalysis[[#This Row],[Education]]/tblPiNAnalysis[[#This Row],[Total Population]])</f>
        <v/>
      </c>
      <c r="V384" s="314" t="str">
        <f>IF(tblPiNAnalysis[[#This Row],[Food Security and Livlihoods]]="", "", tblPiNAnalysis[[#This Row],[Food Security and Livlihoods]]/tblPiNAnalysis[[#This Row],[Total Population]])</f>
        <v/>
      </c>
      <c r="W384" s="315" t="str">
        <f>IF(tblPiNAnalysis[[#This Row],[Health ]]="", "", tblPiNAnalysis[[#This Row],[Health ]]/tblPiNAnalysis[[#This Row],[Total Population]])</f>
        <v/>
      </c>
      <c r="X384" s="314" t="str">
        <f>IF(tblPiNAnalysis[[#This Row],[Nutrition]]="", "", tblPiNAnalysis[[#This Row],[Nutrition]]/tblPiNAnalysis[[#This Row],[Total Population]])</f>
        <v/>
      </c>
      <c r="Y384" s="314" t="str">
        <f>IF(tblPiNAnalysis[[#This Row],[Protection]]="", "", tblPiNAnalysis[[#This Row],[Protection]]/tblPiNAnalysis[[#This Row],[Total Population]])</f>
        <v/>
      </c>
      <c r="Z384" s="316">
        <f>IF(tblPiNAnalysis[[#This Row],[Shelter NFI ]]="", "", tblPiNAnalysis[[#This Row],[Shelter NFI ]]/tblPiNAnalysis[[#This Row],[Total Population]])</f>
        <v>0</v>
      </c>
      <c r="AA384" s="317" t="str">
        <f>IF(tblPiNAnalysis[[#This Row],[WASH]]="", "", tblPiNAnalysis[[#This Row],[WASH]]/tblPiNAnalysis[[#This Row],[Total Population]])</f>
        <v/>
      </c>
      <c r="AB384" s="318" t="str">
        <f>IFERROR(IF(tblPiNAnalysis[[#This Row],[CP]]="", "", MROUND(tblPiNAnalysis[[#This Row],[CP]]/tblPiNAnalysis[[#This Row],[Total Population]], 0.05)), "")</f>
        <v/>
      </c>
      <c r="AC384" s="314" t="str">
        <f>IFERROR(IF(tblPiNAnalysis[[#This Row],[GBV]]="", "", MROUND(tblPiNAnalysis[[#This Row],[GBV]]/tblPiNAnalysis[[#This Row],[Total Population]], 0.05)), "")</f>
        <v/>
      </c>
      <c r="AD384" s="314" t="str">
        <f>IFERROR(IF(tblPiNAnalysis[[#This Row],[Mine Action]]="", "", MROUND(tblPiNAnalysis[[#This Row],[Mine Action]]/tblPiNAnalysis[[#This Row],[Total Population]], 0.05)), "")</f>
        <v/>
      </c>
      <c r="AE384" s="314" t="str">
        <f>IFERROR(IF(tblPiNAnalysis[[#This Row],[General Protection]]="", "", MROUND(tblPiNAnalysis[[#This Row],[General Protection]]/tblPiNAnalysis[[#This Row],[Total Population]], 0.05)), "")</f>
        <v/>
      </c>
      <c r="AF384" s="319">
        <f>IFERROR(LARGE(tblPiNAnalysis[[#This Row],[Site Management ]:[General Protection]], 1), "")</f>
        <v>0</v>
      </c>
      <c r="AG384" s="320">
        <f>IF(tblPiNAnalysis[[#This Row],[Highest PiN]]="", "",tblPiNAnalysis[[#This Row],[Highest PiN]]/ tblPiNAnalysis[[#This Row],[Total Population]])</f>
        <v>0</v>
      </c>
      <c r="AH384" s="320" t="str">
        <f>IFERROR(IF(tblPiNAnalysis[[#This Row],[Highest PiN]]="", "", IF(tblPiNAnalysis[[#This Row],[Highest sector(s'') PiN %]]&gt;=flag_pin_perc, "Flagged", "")), "")</f>
        <v/>
      </c>
      <c r="AI384" s="321"/>
      <c r="AJ384" s="322"/>
      <c r="AK384" s="323">
        <f>COUNTIFS(tblPiNAnalysis[[#This Row],[Highest PiN greater than 90% of total affected population]:[Manual Flag]],"Flagged")</f>
        <v>0</v>
      </c>
      <c r="AL384" s="324" t="str">
        <f>IF(tblPiNAnalysis[[#This Row],['# Flags]]&gt;0, "Flagged", "")</f>
        <v/>
      </c>
    </row>
    <row r="385" spans="1:38" ht="23.1" hidden="1" customHeight="1" x14ac:dyDescent="0.2">
      <c r="A385" s="309" t="str">
        <f>_xlfn.CONCAT(IF(tblPiNAnalysis[[#This Row],[Population Group]]="", "",tblPiNAnalysis[[#This Row],[Population Group]] ), _xlfn.IFS(tblPiNAnalysis[[#This Row],[Admin 2 P-Code]]&lt;&gt;"", tblPiNAnalysis[[#This Row],[Admin 2 P-Code]], tblPiNAnalysis[[#This Row],[Admin 1 P-Code]]&lt;&gt;"", tblPiNAnalysis[[#This Row],[Admin 1 P-Code]]))</f>
        <v>Host CommunitySD12075</v>
      </c>
      <c r="B385" s="245" t="s">
        <v>158</v>
      </c>
      <c r="C385" s="246" t="s">
        <v>129</v>
      </c>
      <c r="D385" s="247" t="s">
        <v>448</v>
      </c>
      <c r="E385" s="246" t="s">
        <v>449</v>
      </c>
      <c r="F385" s="248">
        <v>10923</v>
      </c>
      <c r="G385" s="248" t="s">
        <v>87</v>
      </c>
      <c r="H385" s="310"/>
      <c r="I385" s="311"/>
      <c r="J385" s="312"/>
      <c r="K385" s="311"/>
      <c r="L385" s="311"/>
      <c r="M385" s="312"/>
      <c r="N385" s="312">
        <f>_xlfn.XLOOKUP(CONCATENATE(tblPiNAnalysis[[#This Row],[Admin 2 P-Code]],tblPiNAnalysis[[#This Row],[Population Group]]),'Overall severity &amp; PIN Analysis'!A:A,'Overall severity &amp; PIN Analysis'!P:P,0,0)</f>
        <v>4397</v>
      </c>
      <c r="O385" s="311"/>
      <c r="P385" s="312"/>
      <c r="Q385" s="312"/>
      <c r="R385" s="312"/>
      <c r="S385" s="312"/>
      <c r="T385" s="313" t="str">
        <f>IF(tblPiNAnalysis[[#This Row],[Site Management ]]="", "", tblPiNAnalysis[[#This Row],[Site Management ]]/tblPiNAnalysis[[#This Row],[Total Population]])</f>
        <v/>
      </c>
      <c r="U385" s="314" t="str">
        <f>IF(tblPiNAnalysis[[#This Row],[Education]]="", "", tblPiNAnalysis[[#This Row],[Education]]/tblPiNAnalysis[[#This Row],[Total Population]])</f>
        <v/>
      </c>
      <c r="V385" s="314" t="str">
        <f>IF(tblPiNAnalysis[[#This Row],[Food Security and Livlihoods]]="", "", tblPiNAnalysis[[#This Row],[Food Security and Livlihoods]]/tblPiNAnalysis[[#This Row],[Total Population]])</f>
        <v/>
      </c>
      <c r="W385" s="315" t="str">
        <f>IF(tblPiNAnalysis[[#This Row],[Health ]]="", "", tblPiNAnalysis[[#This Row],[Health ]]/tblPiNAnalysis[[#This Row],[Total Population]])</f>
        <v/>
      </c>
      <c r="X385" s="314" t="str">
        <f>IF(tblPiNAnalysis[[#This Row],[Nutrition]]="", "", tblPiNAnalysis[[#This Row],[Nutrition]]/tblPiNAnalysis[[#This Row],[Total Population]])</f>
        <v/>
      </c>
      <c r="Y385" s="314" t="str">
        <f>IF(tblPiNAnalysis[[#This Row],[Protection]]="", "", tblPiNAnalysis[[#This Row],[Protection]]/tblPiNAnalysis[[#This Row],[Total Population]])</f>
        <v/>
      </c>
      <c r="Z385" s="316">
        <f>IF(tblPiNAnalysis[[#This Row],[Shelter NFI ]]="", "", tblPiNAnalysis[[#This Row],[Shelter NFI ]]/tblPiNAnalysis[[#This Row],[Total Population]])</f>
        <v>0.40254508834569258</v>
      </c>
      <c r="AA385" s="317" t="str">
        <f>IF(tblPiNAnalysis[[#This Row],[WASH]]="", "", tblPiNAnalysis[[#This Row],[WASH]]/tblPiNAnalysis[[#This Row],[Total Population]])</f>
        <v/>
      </c>
      <c r="AB385" s="318" t="str">
        <f>IFERROR(IF(tblPiNAnalysis[[#This Row],[CP]]="", "", MROUND(tblPiNAnalysis[[#This Row],[CP]]/tblPiNAnalysis[[#This Row],[Total Population]], 0.05)), "")</f>
        <v/>
      </c>
      <c r="AC385" s="314" t="str">
        <f>IFERROR(IF(tblPiNAnalysis[[#This Row],[GBV]]="", "", MROUND(tblPiNAnalysis[[#This Row],[GBV]]/tblPiNAnalysis[[#This Row],[Total Population]], 0.05)), "")</f>
        <v/>
      </c>
      <c r="AD385" s="314" t="str">
        <f>IFERROR(IF(tblPiNAnalysis[[#This Row],[Mine Action]]="", "", MROUND(tblPiNAnalysis[[#This Row],[Mine Action]]/tblPiNAnalysis[[#This Row],[Total Population]], 0.05)), "")</f>
        <v/>
      </c>
      <c r="AE385" s="314" t="str">
        <f>IFERROR(IF(tblPiNAnalysis[[#This Row],[General Protection]]="", "", MROUND(tblPiNAnalysis[[#This Row],[General Protection]]/tblPiNAnalysis[[#This Row],[Total Population]], 0.05)), "")</f>
        <v/>
      </c>
      <c r="AF385" s="319">
        <f>IFERROR(LARGE(tblPiNAnalysis[[#This Row],[Site Management ]:[General Protection]], 1), "")</f>
        <v>4397</v>
      </c>
      <c r="AG385" s="320">
        <f>IF(tblPiNAnalysis[[#This Row],[Highest PiN]]="", "",tblPiNAnalysis[[#This Row],[Highest PiN]]/ tblPiNAnalysis[[#This Row],[Total Population]])</f>
        <v>0.40254508834569258</v>
      </c>
      <c r="AH385" s="320" t="str">
        <f>IFERROR(IF(tblPiNAnalysis[[#This Row],[Highest PiN]]="", "", IF(tblPiNAnalysis[[#This Row],[Highest sector(s'') PiN %]]&gt;=flag_pin_perc, "Flagged", "")), "")</f>
        <v/>
      </c>
      <c r="AI385" s="321"/>
      <c r="AJ385" s="322"/>
      <c r="AK385" s="323">
        <f>COUNTIFS(tblPiNAnalysis[[#This Row],[Highest PiN greater than 90% of total affected population]:[Manual Flag]],"Flagged")</f>
        <v>0</v>
      </c>
      <c r="AL385" s="324" t="str">
        <f>IF(tblPiNAnalysis[[#This Row],['# Flags]]&gt;0, "Flagged", "")</f>
        <v/>
      </c>
    </row>
    <row r="386" spans="1:38" ht="23.1" hidden="1" customHeight="1" x14ac:dyDescent="0.2">
      <c r="A386" s="309" t="str">
        <f>_xlfn.CONCAT(IF(tblPiNAnalysis[[#This Row],[Population Group]]="", "",tblPiNAnalysis[[#This Row],[Population Group]] ), _xlfn.IFS(tblPiNAnalysis[[#This Row],[Admin 2 P-Code]]&lt;&gt;"", tblPiNAnalysis[[#This Row],[Admin 2 P-Code]], tblPiNAnalysis[[#This Row],[Admin 1 P-Code]]&lt;&gt;"", tblPiNAnalysis[[#This Row],[Admin 1 P-Code]]))</f>
        <v>IDPsSD12075</v>
      </c>
      <c r="B386" s="245" t="s">
        <v>158</v>
      </c>
      <c r="C386" s="246" t="s">
        <v>129</v>
      </c>
      <c r="D386" s="247" t="s">
        <v>448</v>
      </c>
      <c r="E386" s="246" t="s">
        <v>449</v>
      </c>
      <c r="F386" s="248">
        <v>53678</v>
      </c>
      <c r="G386" s="248" t="s">
        <v>88</v>
      </c>
      <c r="H386" s="310"/>
      <c r="I386" s="311"/>
      <c r="J386" s="311"/>
      <c r="K386" s="311"/>
      <c r="L386" s="311"/>
      <c r="M386" s="311"/>
      <c r="N386" s="311">
        <f>_xlfn.XLOOKUP(CONCATENATE(tblPiNAnalysis[[#This Row],[Admin 2 P-Code]],tblPiNAnalysis[[#This Row],[Population Group]]),'Overall severity &amp; PIN Analysis'!A:A,'Overall severity &amp; PIN Analysis'!P:P,0,0)</f>
        <v>21607</v>
      </c>
      <c r="O386" s="311"/>
      <c r="P386" s="311"/>
      <c r="Q386" s="311"/>
      <c r="R386" s="311"/>
      <c r="S386" s="311"/>
      <c r="T386" s="326" t="str">
        <f>IF(tblPiNAnalysis[[#This Row],[Site Management ]]="", "", tblPiNAnalysis[[#This Row],[Site Management ]]/tblPiNAnalysis[[#This Row],[Total Population]])</f>
        <v/>
      </c>
      <c r="U386" s="315" t="str">
        <f>IF(tblPiNAnalysis[[#This Row],[Education]]="", "", tblPiNAnalysis[[#This Row],[Education]]/tblPiNAnalysis[[#This Row],[Total Population]])</f>
        <v/>
      </c>
      <c r="V386" s="315" t="str">
        <f>IF(tblPiNAnalysis[[#This Row],[Food Security and Livlihoods]]="", "", tblPiNAnalysis[[#This Row],[Food Security and Livlihoods]]/tblPiNAnalysis[[#This Row],[Total Population]])</f>
        <v/>
      </c>
      <c r="W386" s="315" t="str">
        <f>IF(tblPiNAnalysis[[#This Row],[Health ]]="", "", tblPiNAnalysis[[#This Row],[Health ]]/tblPiNAnalysis[[#This Row],[Total Population]])</f>
        <v/>
      </c>
      <c r="X386" s="315" t="str">
        <f>IF(tblPiNAnalysis[[#This Row],[Nutrition]]="", "", tblPiNAnalysis[[#This Row],[Nutrition]]/tblPiNAnalysis[[#This Row],[Total Population]])</f>
        <v/>
      </c>
      <c r="Y386" s="315" t="str">
        <f>IF(tblPiNAnalysis[[#This Row],[Protection]]="", "", tblPiNAnalysis[[#This Row],[Protection]]/tblPiNAnalysis[[#This Row],[Total Population]])</f>
        <v/>
      </c>
      <c r="Z386" s="327">
        <f>IF(tblPiNAnalysis[[#This Row],[Shelter NFI ]]="", "", tblPiNAnalysis[[#This Row],[Shelter NFI ]]/tblPiNAnalysis[[#This Row],[Total Population]])</f>
        <v>0.40252990051790305</v>
      </c>
      <c r="AA386" s="328" t="str">
        <f>IF(tblPiNAnalysis[[#This Row],[WASH]]="", "", tblPiNAnalysis[[#This Row],[WASH]]/tblPiNAnalysis[[#This Row],[Total Population]])</f>
        <v/>
      </c>
      <c r="AB386" s="329" t="str">
        <f>IFERROR(IF(tblPiNAnalysis[[#This Row],[CP]]="", "", MROUND(tblPiNAnalysis[[#This Row],[CP]]/tblPiNAnalysis[[#This Row],[Total Population]], 0.05)), "")</f>
        <v/>
      </c>
      <c r="AC386" s="315" t="str">
        <f>IFERROR(IF(tblPiNAnalysis[[#This Row],[GBV]]="", "", MROUND(tblPiNAnalysis[[#This Row],[GBV]]/tblPiNAnalysis[[#This Row],[Total Population]], 0.05)), "")</f>
        <v/>
      </c>
      <c r="AD386" s="315" t="str">
        <f>IFERROR(IF(tblPiNAnalysis[[#This Row],[Mine Action]]="", "", MROUND(tblPiNAnalysis[[#This Row],[Mine Action]]/tblPiNAnalysis[[#This Row],[Total Population]], 0.05)), "")</f>
        <v/>
      </c>
      <c r="AE386" s="315" t="str">
        <f>IFERROR(IF(tblPiNAnalysis[[#This Row],[General Protection]]="", "", MROUND(tblPiNAnalysis[[#This Row],[General Protection]]/tblPiNAnalysis[[#This Row],[Total Population]], 0.05)), "")</f>
        <v/>
      </c>
      <c r="AF386" s="319">
        <f>IFERROR(LARGE(tblPiNAnalysis[[#This Row],[Site Management ]:[General Protection]], 1), "")</f>
        <v>21607</v>
      </c>
      <c r="AG386" s="330">
        <f>IF(tblPiNAnalysis[[#This Row],[Highest PiN]]="", "",tblPiNAnalysis[[#This Row],[Highest PiN]]/ tblPiNAnalysis[[#This Row],[Total Population]])</f>
        <v>0.40252990051790305</v>
      </c>
      <c r="AH386" s="330" t="str">
        <f>IFERROR(IF(tblPiNAnalysis[[#This Row],[Highest PiN]]="", "", IF(tblPiNAnalysis[[#This Row],[Highest sector(s'') PiN %]]&gt;=flag_pin_perc, "Flagged", "")), "")</f>
        <v/>
      </c>
      <c r="AI386" s="321"/>
      <c r="AJ386" s="322"/>
      <c r="AK386" s="323">
        <f>COUNTIFS(tblPiNAnalysis[[#This Row],[Highest PiN greater than 90% of total affected population]:[Manual Flag]],"Flagged")</f>
        <v>0</v>
      </c>
      <c r="AL386" s="331" t="str">
        <f>IF(tblPiNAnalysis[[#This Row],['# Flags]]&gt;0, "Flagged", "")</f>
        <v/>
      </c>
    </row>
    <row r="387" spans="1:38" ht="23.1" customHeight="1" x14ac:dyDescent="0.2">
      <c r="A387" s="309" t="str">
        <f>_xlfn.CONCAT(IF(tblPiNAnalysis[[#This Row],[Population Group]]="", "",tblPiNAnalysis[[#This Row],[Population Group]] ), _xlfn.IFS(tblPiNAnalysis[[#This Row],[Admin 2 P-Code]]&lt;&gt;"", tblPiNAnalysis[[#This Row],[Admin 2 P-Code]], tblPiNAnalysis[[#This Row],[Admin 1 P-Code]]&lt;&gt;"", tblPiNAnalysis[[#This Row],[Admin 1 P-Code]]))</f>
        <v>Non-hosting PopulationSD12075</v>
      </c>
      <c r="B387" s="245" t="s">
        <v>158</v>
      </c>
      <c r="C387" s="246" t="s">
        <v>129</v>
      </c>
      <c r="D387" s="247" t="s">
        <v>448</v>
      </c>
      <c r="E387" s="246" t="s">
        <v>449</v>
      </c>
      <c r="F387" s="248">
        <v>0</v>
      </c>
      <c r="G387" s="248" t="s">
        <v>568</v>
      </c>
      <c r="H387" s="310"/>
      <c r="I387" s="311"/>
      <c r="J387" s="312"/>
      <c r="K387" s="311"/>
      <c r="L387" s="311"/>
      <c r="M387" s="312"/>
      <c r="N387" s="312">
        <f>_xlfn.XLOOKUP(CONCATENATE(tblPiNAnalysis[[#This Row],[Admin 2 P-Code]],tblPiNAnalysis[[#This Row],[Population Group]]),'Overall severity &amp; PIN Analysis'!A:A,'Overall severity &amp; PIN Analysis'!P:P,0,0)</f>
        <v>0</v>
      </c>
      <c r="O387" s="311"/>
      <c r="P387" s="312"/>
      <c r="Q387" s="312"/>
      <c r="R387" s="312"/>
      <c r="S387" s="312"/>
      <c r="T387" s="313" t="str">
        <f>IF(tblPiNAnalysis[[#This Row],[Site Management ]]="", "", tblPiNAnalysis[[#This Row],[Site Management ]]/tblPiNAnalysis[[#This Row],[Total Population]])</f>
        <v/>
      </c>
      <c r="U387" s="314" t="str">
        <f>IF(tblPiNAnalysis[[#This Row],[Education]]="", "", tblPiNAnalysis[[#This Row],[Education]]/tblPiNAnalysis[[#This Row],[Total Population]])</f>
        <v/>
      </c>
      <c r="V387" s="314" t="str">
        <f>IF(tblPiNAnalysis[[#This Row],[Food Security and Livlihoods]]="", "", tblPiNAnalysis[[#This Row],[Food Security and Livlihoods]]/tblPiNAnalysis[[#This Row],[Total Population]])</f>
        <v/>
      </c>
      <c r="W387" s="315" t="str">
        <f>IF(tblPiNAnalysis[[#This Row],[Health ]]="", "", tblPiNAnalysis[[#This Row],[Health ]]/tblPiNAnalysis[[#This Row],[Total Population]])</f>
        <v/>
      </c>
      <c r="X387" s="314" t="str">
        <f>IF(tblPiNAnalysis[[#This Row],[Nutrition]]="", "", tblPiNAnalysis[[#This Row],[Nutrition]]/tblPiNAnalysis[[#This Row],[Total Population]])</f>
        <v/>
      </c>
      <c r="Y387" s="314" t="str">
        <f>IF(tblPiNAnalysis[[#This Row],[Protection]]="", "", tblPiNAnalysis[[#This Row],[Protection]]/tblPiNAnalysis[[#This Row],[Total Population]])</f>
        <v/>
      </c>
      <c r="Z387" s="316" t="e">
        <f>IF(tblPiNAnalysis[[#This Row],[Shelter NFI ]]="", "", tblPiNAnalysis[[#This Row],[Shelter NFI ]]/tblPiNAnalysis[[#This Row],[Total Population]])</f>
        <v>#DIV/0!</v>
      </c>
      <c r="AA387" s="317" t="str">
        <f>IF(tblPiNAnalysis[[#This Row],[WASH]]="", "", tblPiNAnalysis[[#This Row],[WASH]]/tblPiNAnalysis[[#This Row],[Total Population]])</f>
        <v/>
      </c>
      <c r="AB387" s="318" t="str">
        <f>IFERROR(IF(tblPiNAnalysis[[#This Row],[CP]]="", "", MROUND(tblPiNAnalysis[[#This Row],[CP]]/tblPiNAnalysis[[#This Row],[Total Population]], 0.05)), "")</f>
        <v/>
      </c>
      <c r="AC387" s="314" t="str">
        <f>IFERROR(IF(tblPiNAnalysis[[#This Row],[GBV]]="", "", MROUND(tblPiNAnalysis[[#This Row],[GBV]]/tblPiNAnalysis[[#This Row],[Total Population]], 0.05)), "")</f>
        <v/>
      </c>
      <c r="AD387" s="314" t="str">
        <f>IFERROR(IF(tblPiNAnalysis[[#This Row],[Mine Action]]="", "", MROUND(tblPiNAnalysis[[#This Row],[Mine Action]]/tblPiNAnalysis[[#This Row],[Total Population]], 0.05)), "")</f>
        <v/>
      </c>
      <c r="AE387" s="314" t="str">
        <f>IFERROR(IF(tblPiNAnalysis[[#This Row],[General Protection]]="", "", MROUND(tblPiNAnalysis[[#This Row],[General Protection]]/tblPiNAnalysis[[#This Row],[Total Population]], 0.05)), "")</f>
        <v/>
      </c>
      <c r="AF387" s="319">
        <f>IFERROR(LARGE(tblPiNAnalysis[[#This Row],[Site Management ]:[General Protection]], 1), "")</f>
        <v>0</v>
      </c>
      <c r="AG387" s="320" t="e">
        <f>IF(tblPiNAnalysis[[#This Row],[Highest PiN]]="", "",tblPiNAnalysis[[#This Row],[Highest PiN]]/ tblPiNAnalysis[[#This Row],[Total Population]])</f>
        <v>#DIV/0!</v>
      </c>
      <c r="AH387" s="320" t="str">
        <f>IFERROR(IF(tblPiNAnalysis[[#This Row],[Highest PiN]]="", "", IF(tblPiNAnalysis[[#This Row],[Highest sector(s'') PiN %]]&gt;=flag_pin_perc, "Flagged", "")), "")</f>
        <v/>
      </c>
      <c r="AI387" s="321"/>
      <c r="AJ387" s="322"/>
      <c r="AK387" s="323">
        <f>COUNTIFS(tblPiNAnalysis[[#This Row],[Highest PiN greater than 90% of total affected population]:[Manual Flag]],"Flagged")</f>
        <v>0</v>
      </c>
      <c r="AL387" s="324" t="str">
        <f>IF(tblPiNAnalysis[[#This Row],['# Flags]]&gt;0, "Flagged", "")</f>
        <v/>
      </c>
    </row>
    <row r="388" spans="1:38" ht="23.1" hidden="1" customHeight="1" x14ac:dyDescent="0.2">
      <c r="A388" s="309" t="str">
        <f>_xlfn.CONCAT(IF(tblPiNAnalysis[[#This Row],[Population Group]]="", "",tblPiNAnalysis[[#This Row],[Population Group]] ), _xlfn.IFS(tblPiNAnalysis[[#This Row],[Admin 2 P-Code]]&lt;&gt;"", tblPiNAnalysis[[#This Row],[Admin 2 P-Code]], tblPiNAnalysis[[#This Row],[Admin 1 P-Code]]&lt;&gt;"", tblPiNAnalysis[[#This Row],[Admin 1 P-Code]]))</f>
        <v>Host CommunitySD12076</v>
      </c>
      <c r="B388" s="245" t="s">
        <v>158</v>
      </c>
      <c r="C388" s="246" t="s">
        <v>129</v>
      </c>
      <c r="D388" s="247" t="s">
        <v>450</v>
      </c>
      <c r="E388" s="246" t="s">
        <v>451</v>
      </c>
      <c r="F388" s="248">
        <v>57710</v>
      </c>
      <c r="G388" s="248" t="s">
        <v>87</v>
      </c>
      <c r="H388" s="310"/>
      <c r="I388" s="311"/>
      <c r="J388" s="312"/>
      <c r="K388" s="311"/>
      <c r="L388" s="311"/>
      <c r="M388" s="312"/>
      <c r="N388" s="312">
        <f>_xlfn.XLOOKUP(CONCATENATE(tblPiNAnalysis[[#This Row],[Admin 2 P-Code]],tblPiNAnalysis[[#This Row],[Population Group]]),'Overall severity &amp; PIN Analysis'!A:A,'Overall severity &amp; PIN Analysis'!P:P,0,0)</f>
        <v>2069</v>
      </c>
      <c r="O388" s="311"/>
      <c r="P388" s="312"/>
      <c r="Q388" s="312"/>
      <c r="R388" s="312"/>
      <c r="S388" s="312"/>
      <c r="T388" s="313" t="str">
        <f>IF(tblPiNAnalysis[[#This Row],[Site Management ]]="", "", tblPiNAnalysis[[#This Row],[Site Management ]]/tblPiNAnalysis[[#This Row],[Total Population]])</f>
        <v/>
      </c>
      <c r="U388" s="314" t="str">
        <f>IF(tblPiNAnalysis[[#This Row],[Education]]="", "", tblPiNAnalysis[[#This Row],[Education]]/tblPiNAnalysis[[#This Row],[Total Population]])</f>
        <v/>
      </c>
      <c r="V388" s="314" t="str">
        <f>IF(tblPiNAnalysis[[#This Row],[Food Security and Livlihoods]]="", "", tblPiNAnalysis[[#This Row],[Food Security and Livlihoods]]/tblPiNAnalysis[[#This Row],[Total Population]])</f>
        <v/>
      </c>
      <c r="W388" s="315" t="str">
        <f>IF(tblPiNAnalysis[[#This Row],[Health ]]="", "", tblPiNAnalysis[[#This Row],[Health ]]/tblPiNAnalysis[[#This Row],[Total Population]])</f>
        <v/>
      </c>
      <c r="X388" s="314" t="str">
        <f>IF(tblPiNAnalysis[[#This Row],[Nutrition]]="", "", tblPiNAnalysis[[#This Row],[Nutrition]]/tblPiNAnalysis[[#This Row],[Total Population]])</f>
        <v/>
      </c>
      <c r="Y388" s="314" t="str">
        <f>IF(tblPiNAnalysis[[#This Row],[Protection]]="", "", tblPiNAnalysis[[#This Row],[Protection]]/tblPiNAnalysis[[#This Row],[Total Population]])</f>
        <v/>
      </c>
      <c r="Z388" s="316">
        <f>IF(tblPiNAnalysis[[#This Row],[Shelter NFI ]]="", "", tblPiNAnalysis[[#This Row],[Shelter NFI ]]/tblPiNAnalysis[[#This Row],[Total Population]])</f>
        <v>3.5851672153872811E-2</v>
      </c>
      <c r="AA388" s="317" t="str">
        <f>IF(tblPiNAnalysis[[#This Row],[WASH]]="", "", tblPiNAnalysis[[#This Row],[WASH]]/tblPiNAnalysis[[#This Row],[Total Population]])</f>
        <v/>
      </c>
      <c r="AB388" s="318" t="str">
        <f>IFERROR(IF(tblPiNAnalysis[[#This Row],[CP]]="", "", MROUND(tblPiNAnalysis[[#This Row],[CP]]/tblPiNAnalysis[[#This Row],[Total Population]], 0.05)), "")</f>
        <v/>
      </c>
      <c r="AC388" s="314" t="str">
        <f>IFERROR(IF(tblPiNAnalysis[[#This Row],[GBV]]="", "", MROUND(tblPiNAnalysis[[#This Row],[GBV]]/tblPiNAnalysis[[#This Row],[Total Population]], 0.05)), "")</f>
        <v/>
      </c>
      <c r="AD388" s="314" t="str">
        <f>IFERROR(IF(tblPiNAnalysis[[#This Row],[Mine Action]]="", "", MROUND(tblPiNAnalysis[[#This Row],[Mine Action]]/tblPiNAnalysis[[#This Row],[Total Population]], 0.05)), "")</f>
        <v/>
      </c>
      <c r="AE388" s="314" t="str">
        <f>IFERROR(IF(tblPiNAnalysis[[#This Row],[General Protection]]="", "", MROUND(tblPiNAnalysis[[#This Row],[General Protection]]/tblPiNAnalysis[[#This Row],[Total Population]], 0.05)), "")</f>
        <v/>
      </c>
      <c r="AF388" s="319">
        <f>IFERROR(LARGE(tblPiNAnalysis[[#This Row],[Site Management ]:[General Protection]], 1), "")</f>
        <v>2069</v>
      </c>
      <c r="AG388" s="320">
        <f>IF(tblPiNAnalysis[[#This Row],[Highest PiN]]="", "",tblPiNAnalysis[[#This Row],[Highest PiN]]/ tblPiNAnalysis[[#This Row],[Total Population]])</f>
        <v>3.5851672153872811E-2</v>
      </c>
      <c r="AH388" s="320" t="str">
        <f>IFERROR(IF(tblPiNAnalysis[[#This Row],[Highest PiN]]="", "", IF(tblPiNAnalysis[[#This Row],[Highest sector(s'') PiN %]]&gt;=flag_pin_perc, "Flagged", "")), "")</f>
        <v/>
      </c>
      <c r="AI388" s="321"/>
      <c r="AJ388" s="322"/>
      <c r="AK388" s="323">
        <f>COUNTIFS(tblPiNAnalysis[[#This Row],[Highest PiN greater than 90% of total affected population]:[Manual Flag]],"Flagged")</f>
        <v>0</v>
      </c>
      <c r="AL388" s="324" t="str">
        <f>IF(tblPiNAnalysis[[#This Row],['# Flags]]&gt;0, "Flagged", "")</f>
        <v/>
      </c>
    </row>
    <row r="389" spans="1:38" ht="23.1" hidden="1" customHeight="1" x14ac:dyDescent="0.2">
      <c r="A389" s="309" t="str">
        <f>_xlfn.CONCAT(IF(tblPiNAnalysis[[#This Row],[Population Group]]="", "",tblPiNAnalysis[[#This Row],[Population Group]] ), _xlfn.IFS(tblPiNAnalysis[[#This Row],[Admin 2 P-Code]]&lt;&gt;"", tblPiNAnalysis[[#This Row],[Admin 2 P-Code]], tblPiNAnalysis[[#This Row],[Admin 1 P-Code]]&lt;&gt;"", tblPiNAnalysis[[#This Row],[Admin 1 P-Code]]))</f>
        <v>IDPsSD12076</v>
      </c>
      <c r="B389" s="245" t="s">
        <v>158</v>
      </c>
      <c r="C389" s="246" t="s">
        <v>129</v>
      </c>
      <c r="D389" s="247" t="s">
        <v>450</v>
      </c>
      <c r="E389" s="246" t="s">
        <v>451</v>
      </c>
      <c r="F389" s="248">
        <v>57710</v>
      </c>
      <c r="G389" s="248" t="s">
        <v>88</v>
      </c>
      <c r="H389" s="310"/>
      <c r="I389" s="311"/>
      <c r="J389" s="311"/>
      <c r="K389" s="311"/>
      <c r="L389" s="311"/>
      <c r="M389" s="311"/>
      <c r="N389" s="311">
        <f>_xlfn.XLOOKUP(CONCATENATE(tblPiNAnalysis[[#This Row],[Admin 2 P-Code]],tblPiNAnalysis[[#This Row],[Population Group]]),'Overall severity &amp; PIN Analysis'!A:A,'Overall severity &amp; PIN Analysis'!P:P,0,0)</f>
        <v>2069</v>
      </c>
      <c r="O389" s="311"/>
      <c r="P389" s="311"/>
      <c r="Q389" s="311"/>
      <c r="R389" s="311"/>
      <c r="S389" s="311"/>
      <c r="T389" s="326" t="str">
        <f>IF(tblPiNAnalysis[[#This Row],[Site Management ]]="", "", tblPiNAnalysis[[#This Row],[Site Management ]]/tblPiNAnalysis[[#This Row],[Total Population]])</f>
        <v/>
      </c>
      <c r="U389" s="315" t="str">
        <f>IF(tblPiNAnalysis[[#This Row],[Education]]="", "", tblPiNAnalysis[[#This Row],[Education]]/tblPiNAnalysis[[#This Row],[Total Population]])</f>
        <v/>
      </c>
      <c r="V389" s="315" t="str">
        <f>IF(tblPiNAnalysis[[#This Row],[Food Security and Livlihoods]]="", "", tblPiNAnalysis[[#This Row],[Food Security and Livlihoods]]/tblPiNAnalysis[[#This Row],[Total Population]])</f>
        <v/>
      </c>
      <c r="W389" s="315" t="str">
        <f>IF(tblPiNAnalysis[[#This Row],[Health ]]="", "", tblPiNAnalysis[[#This Row],[Health ]]/tblPiNAnalysis[[#This Row],[Total Population]])</f>
        <v/>
      </c>
      <c r="X389" s="315" t="str">
        <f>IF(tblPiNAnalysis[[#This Row],[Nutrition]]="", "", tblPiNAnalysis[[#This Row],[Nutrition]]/tblPiNAnalysis[[#This Row],[Total Population]])</f>
        <v/>
      </c>
      <c r="Y389" s="315" t="str">
        <f>IF(tblPiNAnalysis[[#This Row],[Protection]]="", "", tblPiNAnalysis[[#This Row],[Protection]]/tblPiNAnalysis[[#This Row],[Total Population]])</f>
        <v/>
      </c>
      <c r="Z389" s="327">
        <f>IF(tblPiNAnalysis[[#This Row],[Shelter NFI ]]="", "", tblPiNAnalysis[[#This Row],[Shelter NFI ]]/tblPiNAnalysis[[#This Row],[Total Population]])</f>
        <v>3.5851672153872811E-2</v>
      </c>
      <c r="AA389" s="328" t="str">
        <f>IF(tblPiNAnalysis[[#This Row],[WASH]]="", "", tblPiNAnalysis[[#This Row],[WASH]]/tblPiNAnalysis[[#This Row],[Total Population]])</f>
        <v/>
      </c>
      <c r="AB389" s="329" t="str">
        <f>IFERROR(IF(tblPiNAnalysis[[#This Row],[CP]]="", "", MROUND(tblPiNAnalysis[[#This Row],[CP]]/tblPiNAnalysis[[#This Row],[Total Population]], 0.05)), "")</f>
        <v/>
      </c>
      <c r="AC389" s="315" t="str">
        <f>IFERROR(IF(tblPiNAnalysis[[#This Row],[GBV]]="", "", MROUND(tblPiNAnalysis[[#This Row],[GBV]]/tblPiNAnalysis[[#This Row],[Total Population]], 0.05)), "")</f>
        <v/>
      </c>
      <c r="AD389" s="315" t="str">
        <f>IFERROR(IF(tblPiNAnalysis[[#This Row],[Mine Action]]="", "", MROUND(tblPiNAnalysis[[#This Row],[Mine Action]]/tblPiNAnalysis[[#This Row],[Total Population]], 0.05)), "")</f>
        <v/>
      </c>
      <c r="AE389" s="315" t="str">
        <f>IFERROR(IF(tblPiNAnalysis[[#This Row],[General Protection]]="", "", MROUND(tblPiNAnalysis[[#This Row],[General Protection]]/tblPiNAnalysis[[#This Row],[Total Population]], 0.05)), "")</f>
        <v/>
      </c>
      <c r="AF389" s="319">
        <f>IFERROR(LARGE(tblPiNAnalysis[[#This Row],[Site Management ]:[General Protection]], 1), "")</f>
        <v>2069</v>
      </c>
      <c r="AG389" s="330">
        <f>IF(tblPiNAnalysis[[#This Row],[Highest PiN]]="", "",tblPiNAnalysis[[#This Row],[Highest PiN]]/ tblPiNAnalysis[[#This Row],[Total Population]])</f>
        <v>3.5851672153872811E-2</v>
      </c>
      <c r="AH389" s="330" t="str">
        <f>IFERROR(IF(tblPiNAnalysis[[#This Row],[Highest PiN]]="", "", IF(tblPiNAnalysis[[#This Row],[Highest sector(s'') PiN %]]&gt;=flag_pin_perc, "Flagged", "")), "")</f>
        <v/>
      </c>
      <c r="AI389" s="321"/>
      <c r="AJ389" s="322"/>
      <c r="AK389" s="323">
        <f>COUNTIFS(tblPiNAnalysis[[#This Row],[Highest PiN greater than 90% of total affected population]:[Manual Flag]],"Flagged")</f>
        <v>0</v>
      </c>
      <c r="AL389" s="331" t="str">
        <f>IF(tblPiNAnalysis[[#This Row],['# Flags]]&gt;0, "Flagged", "")</f>
        <v/>
      </c>
    </row>
    <row r="390" spans="1:38" ht="23.1" customHeight="1" x14ac:dyDescent="0.2">
      <c r="A390" s="309" t="str">
        <f>_xlfn.CONCAT(IF(tblPiNAnalysis[[#This Row],[Population Group]]="", "",tblPiNAnalysis[[#This Row],[Population Group]] ), _xlfn.IFS(tblPiNAnalysis[[#This Row],[Admin 2 P-Code]]&lt;&gt;"", tblPiNAnalysis[[#This Row],[Admin 2 P-Code]], tblPiNAnalysis[[#This Row],[Admin 1 P-Code]]&lt;&gt;"", tblPiNAnalysis[[#This Row],[Admin 1 P-Code]]))</f>
        <v>Non-hosting PopulationSD12076</v>
      </c>
      <c r="B390" s="245" t="s">
        <v>158</v>
      </c>
      <c r="C390" s="246" t="s">
        <v>129</v>
      </c>
      <c r="D390" s="247" t="s">
        <v>450</v>
      </c>
      <c r="E390" s="246" t="s">
        <v>451</v>
      </c>
      <c r="F390" s="248">
        <v>107308</v>
      </c>
      <c r="G390" s="248" t="s">
        <v>568</v>
      </c>
      <c r="H390" s="310"/>
      <c r="I390" s="311"/>
      <c r="J390" s="312"/>
      <c r="K390" s="311"/>
      <c r="L390" s="311"/>
      <c r="M390" s="312"/>
      <c r="N390" s="312">
        <f>_xlfn.XLOOKUP(CONCATENATE(tblPiNAnalysis[[#This Row],[Admin 2 P-Code]],tblPiNAnalysis[[#This Row],[Population Group]]),'Overall severity &amp; PIN Analysis'!A:A,'Overall severity &amp; PIN Analysis'!P:P,0,0)</f>
        <v>2308</v>
      </c>
      <c r="O390" s="311"/>
      <c r="P390" s="312"/>
      <c r="Q390" s="312"/>
      <c r="R390" s="312"/>
      <c r="S390" s="312"/>
      <c r="T390" s="313" t="str">
        <f>IF(tblPiNAnalysis[[#This Row],[Site Management ]]="", "", tblPiNAnalysis[[#This Row],[Site Management ]]/tblPiNAnalysis[[#This Row],[Total Population]])</f>
        <v/>
      </c>
      <c r="U390" s="314" t="str">
        <f>IF(tblPiNAnalysis[[#This Row],[Education]]="", "", tblPiNAnalysis[[#This Row],[Education]]/tblPiNAnalysis[[#This Row],[Total Population]])</f>
        <v/>
      </c>
      <c r="V390" s="314" t="str">
        <f>IF(tblPiNAnalysis[[#This Row],[Food Security and Livlihoods]]="", "", tblPiNAnalysis[[#This Row],[Food Security and Livlihoods]]/tblPiNAnalysis[[#This Row],[Total Population]])</f>
        <v/>
      </c>
      <c r="W390" s="315" t="str">
        <f>IF(tblPiNAnalysis[[#This Row],[Health ]]="", "", tblPiNAnalysis[[#This Row],[Health ]]/tblPiNAnalysis[[#This Row],[Total Population]])</f>
        <v/>
      </c>
      <c r="X390" s="314" t="str">
        <f>IF(tblPiNAnalysis[[#This Row],[Nutrition]]="", "", tblPiNAnalysis[[#This Row],[Nutrition]]/tblPiNAnalysis[[#This Row],[Total Population]])</f>
        <v/>
      </c>
      <c r="Y390" s="314" t="str">
        <f>IF(tblPiNAnalysis[[#This Row],[Protection]]="", "", tblPiNAnalysis[[#This Row],[Protection]]/tblPiNAnalysis[[#This Row],[Total Population]])</f>
        <v/>
      </c>
      <c r="Z390" s="316">
        <f>IF(tblPiNAnalysis[[#This Row],[Shelter NFI ]]="", "", tblPiNAnalysis[[#This Row],[Shelter NFI ]]/tblPiNAnalysis[[#This Row],[Total Population]])</f>
        <v>2.1508182055391956E-2</v>
      </c>
      <c r="AA390" s="317" t="str">
        <f>IF(tblPiNAnalysis[[#This Row],[WASH]]="", "", tblPiNAnalysis[[#This Row],[WASH]]/tblPiNAnalysis[[#This Row],[Total Population]])</f>
        <v/>
      </c>
      <c r="AB390" s="318" t="str">
        <f>IFERROR(IF(tblPiNAnalysis[[#This Row],[CP]]="", "", MROUND(tblPiNAnalysis[[#This Row],[CP]]/tblPiNAnalysis[[#This Row],[Total Population]], 0.05)), "")</f>
        <v/>
      </c>
      <c r="AC390" s="314" t="str">
        <f>IFERROR(IF(tblPiNAnalysis[[#This Row],[GBV]]="", "", MROUND(tblPiNAnalysis[[#This Row],[GBV]]/tblPiNAnalysis[[#This Row],[Total Population]], 0.05)), "")</f>
        <v/>
      </c>
      <c r="AD390" s="314" t="str">
        <f>IFERROR(IF(tblPiNAnalysis[[#This Row],[Mine Action]]="", "", MROUND(tblPiNAnalysis[[#This Row],[Mine Action]]/tblPiNAnalysis[[#This Row],[Total Population]], 0.05)), "")</f>
        <v/>
      </c>
      <c r="AE390" s="314" t="str">
        <f>IFERROR(IF(tblPiNAnalysis[[#This Row],[General Protection]]="", "", MROUND(tblPiNAnalysis[[#This Row],[General Protection]]/tblPiNAnalysis[[#This Row],[Total Population]], 0.05)), "")</f>
        <v/>
      </c>
      <c r="AF390" s="319">
        <f>IFERROR(LARGE(tblPiNAnalysis[[#This Row],[Site Management ]:[General Protection]], 1), "")</f>
        <v>2308</v>
      </c>
      <c r="AG390" s="320">
        <f>IF(tblPiNAnalysis[[#This Row],[Highest PiN]]="", "",tblPiNAnalysis[[#This Row],[Highest PiN]]/ tblPiNAnalysis[[#This Row],[Total Population]])</f>
        <v>2.1508182055391956E-2</v>
      </c>
      <c r="AH390" s="320" t="str">
        <f>IFERROR(IF(tblPiNAnalysis[[#This Row],[Highest PiN]]="", "", IF(tblPiNAnalysis[[#This Row],[Highest sector(s'') PiN %]]&gt;=flag_pin_perc, "Flagged", "")), "")</f>
        <v/>
      </c>
      <c r="AI390" s="321"/>
      <c r="AJ390" s="322"/>
      <c r="AK390" s="323">
        <f>COUNTIFS(tblPiNAnalysis[[#This Row],[Highest PiN greater than 90% of total affected population]:[Manual Flag]],"Flagged")</f>
        <v>0</v>
      </c>
      <c r="AL390" s="324" t="str">
        <f>IF(tblPiNAnalysis[[#This Row],['# Flags]]&gt;0, "Flagged", "")</f>
        <v/>
      </c>
    </row>
    <row r="391" spans="1:38" ht="23.1" hidden="1" customHeight="1" x14ac:dyDescent="0.2">
      <c r="A391" s="309" t="str">
        <f>_xlfn.CONCAT(IF(tblPiNAnalysis[[#This Row],[Population Group]]="", "",tblPiNAnalysis[[#This Row],[Population Group]] ), _xlfn.IFS(tblPiNAnalysis[[#This Row],[Admin 2 P-Code]]&lt;&gt;"", tblPiNAnalysis[[#This Row],[Admin 2 P-Code]], tblPiNAnalysis[[#This Row],[Admin 1 P-Code]]&lt;&gt;"", tblPiNAnalysis[[#This Row],[Admin 1 P-Code]]))</f>
        <v>Host CommunitySD12077</v>
      </c>
      <c r="B391" s="245" t="s">
        <v>158</v>
      </c>
      <c r="C391" s="246" t="s">
        <v>129</v>
      </c>
      <c r="D391" s="247" t="s">
        <v>452</v>
      </c>
      <c r="E391" s="246" t="s">
        <v>453</v>
      </c>
      <c r="F391" s="248">
        <v>50846</v>
      </c>
      <c r="G391" s="248" t="s">
        <v>87</v>
      </c>
      <c r="H391" s="310"/>
      <c r="I391" s="311"/>
      <c r="J391" s="312"/>
      <c r="K391" s="311"/>
      <c r="L391" s="311"/>
      <c r="M391" s="312"/>
      <c r="N391" s="312">
        <f>_xlfn.XLOOKUP(CONCATENATE(tblPiNAnalysis[[#This Row],[Admin 2 P-Code]],tblPiNAnalysis[[#This Row],[Population Group]]),'Overall severity &amp; PIN Analysis'!A:A,'Overall severity &amp; PIN Analysis'!P:P,0,0)</f>
        <v>35445</v>
      </c>
      <c r="O391" s="311"/>
      <c r="P391" s="312"/>
      <c r="Q391" s="312"/>
      <c r="R391" s="312"/>
      <c r="S391" s="312"/>
      <c r="T391" s="313" t="str">
        <f>IF(tblPiNAnalysis[[#This Row],[Site Management ]]="", "", tblPiNAnalysis[[#This Row],[Site Management ]]/tblPiNAnalysis[[#This Row],[Total Population]])</f>
        <v/>
      </c>
      <c r="U391" s="314" t="str">
        <f>IF(tblPiNAnalysis[[#This Row],[Education]]="", "", tblPiNAnalysis[[#This Row],[Education]]/tblPiNAnalysis[[#This Row],[Total Population]])</f>
        <v/>
      </c>
      <c r="V391" s="314" t="str">
        <f>IF(tblPiNAnalysis[[#This Row],[Food Security and Livlihoods]]="", "", tblPiNAnalysis[[#This Row],[Food Security and Livlihoods]]/tblPiNAnalysis[[#This Row],[Total Population]])</f>
        <v/>
      </c>
      <c r="W391" s="315" t="str">
        <f>IF(tblPiNAnalysis[[#This Row],[Health ]]="", "", tblPiNAnalysis[[#This Row],[Health ]]/tblPiNAnalysis[[#This Row],[Total Population]])</f>
        <v/>
      </c>
      <c r="X391" s="314" t="str">
        <f>IF(tblPiNAnalysis[[#This Row],[Nutrition]]="", "", tblPiNAnalysis[[#This Row],[Nutrition]]/tblPiNAnalysis[[#This Row],[Total Population]])</f>
        <v/>
      </c>
      <c r="Y391" s="314" t="str">
        <f>IF(tblPiNAnalysis[[#This Row],[Protection]]="", "", tblPiNAnalysis[[#This Row],[Protection]]/tblPiNAnalysis[[#This Row],[Total Population]])</f>
        <v/>
      </c>
      <c r="Z391" s="316">
        <f>IF(tblPiNAnalysis[[#This Row],[Shelter NFI ]]="", "", tblPiNAnalysis[[#This Row],[Shelter NFI ]]/tblPiNAnalysis[[#This Row],[Total Population]])</f>
        <v>0.69710498367619866</v>
      </c>
      <c r="AA391" s="317" t="str">
        <f>IF(tblPiNAnalysis[[#This Row],[WASH]]="", "", tblPiNAnalysis[[#This Row],[WASH]]/tblPiNAnalysis[[#This Row],[Total Population]])</f>
        <v/>
      </c>
      <c r="AB391" s="318" t="str">
        <f>IFERROR(IF(tblPiNAnalysis[[#This Row],[CP]]="", "", MROUND(tblPiNAnalysis[[#This Row],[CP]]/tblPiNAnalysis[[#This Row],[Total Population]], 0.05)), "")</f>
        <v/>
      </c>
      <c r="AC391" s="314" t="str">
        <f>IFERROR(IF(tblPiNAnalysis[[#This Row],[GBV]]="", "", MROUND(tblPiNAnalysis[[#This Row],[GBV]]/tblPiNAnalysis[[#This Row],[Total Population]], 0.05)), "")</f>
        <v/>
      </c>
      <c r="AD391" s="314" t="str">
        <f>IFERROR(IF(tblPiNAnalysis[[#This Row],[Mine Action]]="", "", MROUND(tblPiNAnalysis[[#This Row],[Mine Action]]/tblPiNAnalysis[[#This Row],[Total Population]], 0.05)), "")</f>
        <v/>
      </c>
      <c r="AE391" s="314" t="str">
        <f>IFERROR(IF(tblPiNAnalysis[[#This Row],[General Protection]]="", "", MROUND(tblPiNAnalysis[[#This Row],[General Protection]]/tblPiNAnalysis[[#This Row],[Total Population]], 0.05)), "")</f>
        <v/>
      </c>
      <c r="AF391" s="319">
        <f>IFERROR(LARGE(tblPiNAnalysis[[#This Row],[Site Management ]:[General Protection]], 1), "")</f>
        <v>35445</v>
      </c>
      <c r="AG391" s="320">
        <f>IF(tblPiNAnalysis[[#This Row],[Highest PiN]]="", "",tblPiNAnalysis[[#This Row],[Highest PiN]]/ tblPiNAnalysis[[#This Row],[Total Population]])</f>
        <v>0.69710498367619866</v>
      </c>
      <c r="AH391" s="320" t="str">
        <f>IFERROR(IF(tblPiNAnalysis[[#This Row],[Highest PiN]]="", "", IF(tblPiNAnalysis[[#This Row],[Highest sector(s'') PiN %]]&gt;=flag_pin_perc, "Flagged", "")), "")</f>
        <v/>
      </c>
      <c r="AI391" s="321"/>
      <c r="AJ391" s="322"/>
      <c r="AK391" s="323">
        <f>COUNTIFS(tblPiNAnalysis[[#This Row],[Highest PiN greater than 90% of total affected population]:[Manual Flag]],"Flagged")</f>
        <v>0</v>
      </c>
      <c r="AL391" s="324" t="str">
        <f>IF(tblPiNAnalysis[[#This Row],['# Flags]]&gt;0, "Flagged", "")</f>
        <v/>
      </c>
    </row>
    <row r="392" spans="1:38" ht="23.1" hidden="1" customHeight="1" x14ac:dyDescent="0.2">
      <c r="A392" s="309" t="str">
        <f>_xlfn.CONCAT(IF(tblPiNAnalysis[[#This Row],[Population Group]]="", "",tblPiNAnalysis[[#This Row],[Population Group]] ), _xlfn.IFS(tblPiNAnalysis[[#This Row],[Admin 2 P-Code]]&lt;&gt;"", tblPiNAnalysis[[#This Row],[Admin 2 P-Code]], tblPiNAnalysis[[#This Row],[Admin 1 P-Code]]&lt;&gt;"", tblPiNAnalysis[[#This Row],[Admin 1 P-Code]]))</f>
        <v>IDPsSD12077</v>
      </c>
      <c r="B392" s="245" t="s">
        <v>158</v>
      </c>
      <c r="C392" s="246" t="s">
        <v>129</v>
      </c>
      <c r="D392" s="247" t="s">
        <v>452</v>
      </c>
      <c r="E392" s="246" t="s">
        <v>453</v>
      </c>
      <c r="F392" s="248">
        <v>51406</v>
      </c>
      <c r="G392" s="248" t="s">
        <v>88</v>
      </c>
      <c r="H392" s="310"/>
      <c r="I392" s="311"/>
      <c r="J392" s="311"/>
      <c r="K392" s="311"/>
      <c r="L392" s="311"/>
      <c r="M392" s="311"/>
      <c r="N392" s="311">
        <f>_xlfn.XLOOKUP(CONCATENATE(tblPiNAnalysis[[#This Row],[Admin 2 P-Code]],tblPiNAnalysis[[#This Row],[Population Group]]),'Overall severity &amp; PIN Analysis'!A:A,'Overall severity &amp; PIN Analysis'!P:P,0,0)</f>
        <v>35836</v>
      </c>
      <c r="O392" s="311"/>
      <c r="P392" s="311"/>
      <c r="Q392" s="311"/>
      <c r="R392" s="311"/>
      <c r="S392" s="311"/>
      <c r="T392" s="326" t="str">
        <f>IF(tblPiNAnalysis[[#This Row],[Site Management ]]="", "", tblPiNAnalysis[[#This Row],[Site Management ]]/tblPiNAnalysis[[#This Row],[Total Population]])</f>
        <v/>
      </c>
      <c r="U392" s="315" t="str">
        <f>IF(tblPiNAnalysis[[#This Row],[Education]]="", "", tblPiNAnalysis[[#This Row],[Education]]/tblPiNAnalysis[[#This Row],[Total Population]])</f>
        <v/>
      </c>
      <c r="V392" s="315" t="str">
        <f>IF(tblPiNAnalysis[[#This Row],[Food Security and Livlihoods]]="", "", tblPiNAnalysis[[#This Row],[Food Security and Livlihoods]]/tblPiNAnalysis[[#This Row],[Total Population]])</f>
        <v/>
      </c>
      <c r="W392" s="315" t="str">
        <f>IF(tblPiNAnalysis[[#This Row],[Health ]]="", "", tblPiNAnalysis[[#This Row],[Health ]]/tblPiNAnalysis[[#This Row],[Total Population]])</f>
        <v/>
      </c>
      <c r="X392" s="315" t="str">
        <f>IF(tblPiNAnalysis[[#This Row],[Nutrition]]="", "", tblPiNAnalysis[[#This Row],[Nutrition]]/tblPiNAnalysis[[#This Row],[Total Population]])</f>
        <v/>
      </c>
      <c r="Y392" s="315" t="str">
        <f>IF(tblPiNAnalysis[[#This Row],[Protection]]="", "", tblPiNAnalysis[[#This Row],[Protection]]/tblPiNAnalysis[[#This Row],[Total Population]])</f>
        <v/>
      </c>
      <c r="Z392" s="327">
        <f>IF(tblPiNAnalysis[[#This Row],[Shelter NFI ]]="", "", tblPiNAnalysis[[#This Row],[Shelter NFI ]]/tblPiNAnalysis[[#This Row],[Total Population]])</f>
        <v>0.69711706804653151</v>
      </c>
      <c r="AA392" s="328" t="str">
        <f>IF(tblPiNAnalysis[[#This Row],[WASH]]="", "", tblPiNAnalysis[[#This Row],[WASH]]/tblPiNAnalysis[[#This Row],[Total Population]])</f>
        <v/>
      </c>
      <c r="AB392" s="329" t="str">
        <f>IFERROR(IF(tblPiNAnalysis[[#This Row],[CP]]="", "", MROUND(tblPiNAnalysis[[#This Row],[CP]]/tblPiNAnalysis[[#This Row],[Total Population]], 0.05)), "")</f>
        <v/>
      </c>
      <c r="AC392" s="315" t="str">
        <f>IFERROR(IF(tblPiNAnalysis[[#This Row],[GBV]]="", "", MROUND(tblPiNAnalysis[[#This Row],[GBV]]/tblPiNAnalysis[[#This Row],[Total Population]], 0.05)), "")</f>
        <v/>
      </c>
      <c r="AD392" s="315" t="str">
        <f>IFERROR(IF(tblPiNAnalysis[[#This Row],[Mine Action]]="", "", MROUND(tblPiNAnalysis[[#This Row],[Mine Action]]/tblPiNAnalysis[[#This Row],[Total Population]], 0.05)), "")</f>
        <v/>
      </c>
      <c r="AE392" s="315" t="str">
        <f>IFERROR(IF(tblPiNAnalysis[[#This Row],[General Protection]]="", "", MROUND(tblPiNAnalysis[[#This Row],[General Protection]]/tblPiNAnalysis[[#This Row],[Total Population]], 0.05)), "")</f>
        <v/>
      </c>
      <c r="AF392" s="319">
        <f>IFERROR(LARGE(tblPiNAnalysis[[#This Row],[Site Management ]:[General Protection]], 1), "")</f>
        <v>35836</v>
      </c>
      <c r="AG392" s="330">
        <f>IF(tblPiNAnalysis[[#This Row],[Highest PiN]]="", "",tblPiNAnalysis[[#This Row],[Highest PiN]]/ tblPiNAnalysis[[#This Row],[Total Population]])</f>
        <v>0.69711706804653151</v>
      </c>
      <c r="AH392" s="330" t="str">
        <f>IFERROR(IF(tblPiNAnalysis[[#This Row],[Highest PiN]]="", "", IF(tblPiNAnalysis[[#This Row],[Highest sector(s'') PiN %]]&gt;=flag_pin_perc, "Flagged", "")), "")</f>
        <v/>
      </c>
      <c r="AI392" s="321"/>
      <c r="AJ392" s="322"/>
      <c r="AK392" s="323">
        <f>COUNTIFS(tblPiNAnalysis[[#This Row],[Highest PiN greater than 90% of total affected population]:[Manual Flag]],"Flagged")</f>
        <v>0</v>
      </c>
      <c r="AL392" s="331" t="str">
        <f>IF(tblPiNAnalysis[[#This Row],['# Flags]]&gt;0, "Flagged", "")</f>
        <v/>
      </c>
    </row>
    <row r="393" spans="1:38" ht="23.1" customHeight="1" x14ac:dyDescent="0.2">
      <c r="A393" s="309" t="str">
        <f>_xlfn.CONCAT(IF(tblPiNAnalysis[[#This Row],[Population Group]]="", "",tblPiNAnalysis[[#This Row],[Population Group]] ), _xlfn.IFS(tblPiNAnalysis[[#This Row],[Admin 2 P-Code]]&lt;&gt;"", tblPiNAnalysis[[#This Row],[Admin 2 P-Code]], tblPiNAnalysis[[#This Row],[Admin 1 P-Code]]&lt;&gt;"", tblPiNAnalysis[[#This Row],[Admin 1 P-Code]]))</f>
        <v>Non-hosting PopulationSD12077</v>
      </c>
      <c r="B393" s="245" t="s">
        <v>158</v>
      </c>
      <c r="C393" s="246" t="s">
        <v>129</v>
      </c>
      <c r="D393" s="247" t="s">
        <v>452</v>
      </c>
      <c r="E393" s="246" t="s">
        <v>453</v>
      </c>
      <c r="F393" s="248">
        <v>32481</v>
      </c>
      <c r="G393" s="248" t="s">
        <v>568</v>
      </c>
      <c r="H393" s="310"/>
      <c r="I393" s="311"/>
      <c r="J393" s="312"/>
      <c r="K393" s="311"/>
      <c r="L393" s="311"/>
      <c r="M393" s="312"/>
      <c r="N393" s="312">
        <f>_xlfn.XLOOKUP(CONCATENATE(tblPiNAnalysis[[#This Row],[Admin 2 P-Code]],tblPiNAnalysis[[#This Row],[Population Group]]),'Overall severity &amp; PIN Analysis'!A:A,'Overall severity &amp; PIN Analysis'!P:P,0,0)</f>
        <v>5100</v>
      </c>
      <c r="O393" s="311"/>
      <c r="P393" s="312"/>
      <c r="Q393" s="312"/>
      <c r="R393" s="312"/>
      <c r="S393" s="312"/>
      <c r="T393" s="313" t="str">
        <f>IF(tblPiNAnalysis[[#This Row],[Site Management ]]="", "", tblPiNAnalysis[[#This Row],[Site Management ]]/tblPiNAnalysis[[#This Row],[Total Population]])</f>
        <v/>
      </c>
      <c r="U393" s="314" t="str">
        <f>IF(tblPiNAnalysis[[#This Row],[Education]]="", "", tblPiNAnalysis[[#This Row],[Education]]/tblPiNAnalysis[[#This Row],[Total Population]])</f>
        <v/>
      </c>
      <c r="V393" s="314" t="str">
        <f>IF(tblPiNAnalysis[[#This Row],[Food Security and Livlihoods]]="", "", tblPiNAnalysis[[#This Row],[Food Security and Livlihoods]]/tblPiNAnalysis[[#This Row],[Total Population]])</f>
        <v/>
      </c>
      <c r="W393" s="315" t="str">
        <f>IF(tblPiNAnalysis[[#This Row],[Health ]]="", "", tblPiNAnalysis[[#This Row],[Health ]]/tblPiNAnalysis[[#This Row],[Total Population]])</f>
        <v/>
      </c>
      <c r="X393" s="314" t="str">
        <f>IF(tblPiNAnalysis[[#This Row],[Nutrition]]="", "", tblPiNAnalysis[[#This Row],[Nutrition]]/tblPiNAnalysis[[#This Row],[Total Population]])</f>
        <v/>
      </c>
      <c r="Y393" s="314" t="str">
        <f>IF(tblPiNAnalysis[[#This Row],[Protection]]="", "", tblPiNAnalysis[[#This Row],[Protection]]/tblPiNAnalysis[[#This Row],[Total Population]])</f>
        <v/>
      </c>
      <c r="Z393" s="316">
        <f>IF(tblPiNAnalysis[[#This Row],[Shelter NFI ]]="", "", tblPiNAnalysis[[#This Row],[Shelter NFI ]]/tblPiNAnalysis[[#This Row],[Total Population]])</f>
        <v>0.15701487023182784</v>
      </c>
      <c r="AA393" s="317" t="str">
        <f>IF(tblPiNAnalysis[[#This Row],[WASH]]="", "", tblPiNAnalysis[[#This Row],[WASH]]/tblPiNAnalysis[[#This Row],[Total Population]])</f>
        <v/>
      </c>
      <c r="AB393" s="318" t="str">
        <f>IFERROR(IF(tblPiNAnalysis[[#This Row],[CP]]="", "", MROUND(tblPiNAnalysis[[#This Row],[CP]]/tblPiNAnalysis[[#This Row],[Total Population]], 0.05)), "")</f>
        <v/>
      </c>
      <c r="AC393" s="314" t="str">
        <f>IFERROR(IF(tblPiNAnalysis[[#This Row],[GBV]]="", "", MROUND(tblPiNAnalysis[[#This Row],[GBV]]/tblPiNAnalysis[[#This Row],[Total Population]], 0.05)), "")</f>
        <v/>
      </c>
      <c r="AD393" s="314" t="str">
        <f>IFERROR(IF(tblPiNAnalysis[[#This Row],[Mine Action]]="", "", MROUND(tblPiNAnalysis[[#This Row],[Mine Action]]/tblPiNAnalysis[[#This Row],[Total Population]], 0.05)), "")</f>
        <v/>
      </c>
      <c r="AE393" s="314" t="str">
        <f>IFERROR(IF(tblPiNAnalysis[[#This Row],[General Protection]]="", "", MROUND(tblPiNAnalysis[[#This Row],[General Protection]]/tblPiNAnalysis[[#This Row],[Total Population]], 0.05)), "")</f>
        <v/>
      </c>
      <c r="AF393" s="319">
        <f>IFERROR(LARGE(tblPiNAnalysis[[#This Row],[Site Management ]:[General Protection]], 1), "")</f>
        <v>5100</v>
      </c>
      <c r="AG393" s="320">
        <f>IF(tblPiNAnalysis[[#This Row],[Highest PiN]]="", "",tblPiNAnalysis[[#This Row],[Highest PiN]]/ tblPiNAnalysis[[#This Row],[Total Population]])</f>
        <v>0.15701487023182784</v>
      </c>
      <c r="AH393" s="320" t="str">
        <f>IFERROR(IF(tblPiNAnalysis[[#This Row],[Highest PiN]]="", "", IF(tblPiNAnalysis[[#This Row],[Highest sector(s'') PiN %]]&gt;=flag_pin_perc, "Flagged", "")), "")</f>
        <v/>
      </c>
      <c r="AI393" s="321"/>
      <c r="AJ393" s="322"/>
      <c r="AK393" s="323">
        <f>COUNTIFS(tblPiNAnalysis[[#This Row],[Highest PiN greater than 90% of total affected population]:[Manual Flag]],"Flagged")</f>
        <v>0</v>
      </c>
      <c r="AL393" s="324" t="str">
        <f>IF(tblPiNAnalysis[[#This Row],['# Flags]]&gt;0, "Flagged", "")</f>
        <v/>
      </c>
    </row>
    <row r="394" spans="1:38" ht="23.1" hidden="1" customHeight="1" x14ac:dyDescent="0.2">
      <c r="A394" s="309" t="str">
        <f>_xlfn.CONCAT(IF(tblPiNAnalysis[[#This Row],[Population Group]]="", "",tblPiNAnalysis[[#This Row],[Population Group]] ), _xlfn.IFS(tblPiNAnalysis[[#This Row],[Admin 2 P-Code]]&lt;&gt;"", tblPiNAnalysis[[#This Row],[Admin 2 P-Code]], tblPiNAnalysis[[#This Row],[Admin 1 P-Code]]&lt;&gt;"", tblPiNAnalysis[[#This Row],[Admin 1 P-Code]]))</f>
        <v>Host CommunitySD12078</v>
      </c>
      <c r="B394" s="245" t="s">
        <v>158</v>
      </c>
      <c r="C394" s="246" t="s">
        <v>129</v>
      </c>
      <c r="D394" s="247" t="s">
        <v>454</v>
      </c>
      <c r="E394" s="246" t="s">
        <v>455</v>
      </c>
      <c r="F394" s="248">
        <v>18265</v>
      </c>
      <c r="G394" s="248" t="s">
        <v>87</v>
      </c>
      <c r="H394" s="310"/>
      <c r="I394" s="311"/>
      <c r="J394" s="312"/>
      <c r="K394" s="311"/>
      <c r="L394" s="311"/>
      <c r="M394" s="312"/>
      <c r="N394" s="312">
        <f>_xlfn.XLOOKUP(CONCATENATE(tblPiNAnalysis[[#This Row],[Admin 2 P-Code]],tblPiNAnalysis[[#This Row],[Population Group]]),'Overall severity &amp; PIN Analysis'!A:A,'Overall severity &amp; PIN Analysis'!P:P,0,0)</f>
        <v>4088</v>
      </c>
      <c r="O394" s="311"/>
      <c r="P394" s="312"/>
      <c r="Q394" s="312"/>
      <c r="R394" s="312"/>
      <c r="S394" s="312"/>
      <c r="T394" s="313" t="str">
        <f>IF(tblPiNAnalysis[[#This Row],[Site Management ]]="", "", tblPiNAnalysis[[#This Row],[Site Management ]]/tblPiNAnalysis[[#This Row],[Total Population]])</f>
        <v/>
      </c>
      <c r="U394" s="314" t="str">
        <f>IF(tblPiNAnalysis[[#This Row],[Education]]="", "", tblPiNAnalysis[[#This Row],[Education]]/tblPiNAnalysis[[#This Row],[Total Population]])</f>
        <v/>
      </c>
      <c r="V394" s="314" t="str">
        <f>IF(tblPiNAnalysis[[#This Row],[Food Security and Livlihoods]]="", "", tblPiNAnalysis[[#This Row],[Food Security and Livlihoods]]/tblPiNAnalysis[[#This Row],[Total Population]])</f>
        <v/>
      </c>
      <c r="W394" s="315" t="str">
        <f>IF(tblPiNAnalysis[[#This Row],[Health ]]="", "", tblPiNAnalysis[[#This Row],[Health ]]/tblPiNAnalysis[[#This Row],[Total Population]])</f>
        <v/>
      </c>
      <c r="X394" s="314" t="str">
        <f>IF(tblPiNAnalysis[[#This Row],[Nutrition]]="", "", tblPiNAnalysis[[#This Row],[Nutrition]]/tblPiNAnalysis[[#This Row],[Total Population]])</f>
        <v/>
      </c>
      <c r="Y394" s="314" t="str">
        <f>IF(tblPiNAnalysis[[#This Row],[Protection]]="", "", tblPiNAnalysis[[#This Row],[Protection]]/tblPiNAnalysis[[#This Row],[Total Population]])</f>
        <v/>
      </c>
      <c r="Z394" s="316">
        <f>IF(tblPiNAnalysis[[#This Row],[Shelter NFI ]]="", "", tblPiNAnalysis[[#This Row],[Shelter NFI ]]/tblPiNAnalysis[[#This Row],[Total Population]])</f>
        <v>0.22381604160963592</v>
      </c>
      <c r="AA394" s="317" t="str">
        <f>IF(tblPiNAnalysis[[#This Row],[WASH]]="", "", tblPiNAnalysis[[#This Row],[WASH]]/tblPiNAnalysis[[#This Row],[Total Population]])</f>
        <v/>
      </c>
      <c r="AB394" s="318" t="str">
        <f>IFERROR(IF(tblPiNAnalysis[[#This Row],[CP]]="", "", MROUND(tblPiNAnalysis[[#This Row],[CP]]/tblPiNAnalysis[[#This Row],[Total Population]], 0.05)), "")</f>
        <v/>
      </c>
      <c r="AC394" s="314" t="str">
        <f>IFERROR(IF(tblPiNAnalysis[[#This Row],[GBV]]="", "", MROUND(tblPiNAnalysis[[#This Row],[GBV]]/tblPiNAnalysis[[#This Row],[Total Population]], 0.05)), "")</f>
        <v/>
      </c>
      <c r="AD394" s="314" t="str">
        <f>IFERROR(IF(tblPiNAnalysis[[#This Row],[Mine Action]]="", "", MROUND(tblPiNAnalysis[[#This Row],[Mine Action]]/tblPiNAnalysis[[#This Row],[Total Population]], 0.05)), "")</f>
        <v/>
      </c>
      <c r="AE394" s="314" t="str">
        <f>IFERROR(IF(tblPiNAnalysis[[#This Row],[General Protection]]="", "", MROUND(tblPiNAnalysis[[#This Row],[General Protection]]/tblPiNAnalysis[[#This Row],[Total Population]], 0.05)), "")</f>
        <v/>
      </c>
      <c r="AF394" s="319">
        <f>IFERROR(LARGE(tblPiNAnalysis[[#This Row],[Site Management ]:[General Protection]], 1), "")</f>
        <v>4088</v>
      </c>
      <c r="AG394" s="320">
        <f>IF(tblPiNAnalysis[[#This Row],[Highest PiN]]="", "",tblPiNAnalysis[[#This Row],[Highest PiN]]/ tblPiNAnalysis[[#This Row],[Total Population]])</f>
        <v>0.22381604160963592</v>
      </c>
      <c r="AH394" s="320" t="str">
        <f>IFERROR(IF(tblPiNAnalysis[[#This Row],[Highest PiN]]="", "", IF(tblPiNAnalysis[[#This Row],[Highest sector(s'') PiN %]]&gt;=flag_pin_perc, "Flagged", "")), "")</f>
        <v/>
      </c>
      <c r="AI394" s="321"/>
      <c r="AJ394" s="322"/>
      <c r="AK394" s="323">
        <f>COUNTIFS(tblPiNAnalysis[[#This Row],[Highest PiN greater than 90% of total affected population]:[Manual Flag]],"Flagged")</f>
        <v>0</v>
      </c>
      <c r="AL394" s="324" t="str">
        <f>IF(tblPiNAnalysis[[#This Row],['# Flags]]&gt;0, "Flagged", "")</f>
        <v/>
      </c>
    </row>
    <row r="395" spans="1:38" ht="23.1" hidden="1" customHeight="1" x14ac:dyDescent="0.2">
      <c r="A395" s="309" t="str">
        <f>_xlfn.CONCAT(IF(tblPiNAnalysis[[#This Row],[Population Group]]="", "",tblPiNAnalysis[[#This Row],[Population Group]] ), _xlfn.IFS(tblPiNAnalysis[[#This Row],[Admin 2 P-Code]]&lt;&gt;"", tblPiNAnalysis[[#This Row],[Admin 2 P-Code]], tblPiNAnalysis[[#This Row],[Admin 1 P-Code]]&lt;&gt;"", tblPiNAnalysis[[#This Row],[Admin 1 P-Code]]))</f>
        <v>IDPsSD12078</v>
      </c>
      <c r="B395" s="249" t="s">
        <v>158</v>
      </c>
      <c r="C395" s="246" t="s">
        <v>129</v>
      </c>
      <c r="D395" s="247" t="s">
        <v>454</v>
      </c>
      <c r="E395" s="246" t="s">
        <v>455</v>
      </c>
      <c r="F395" s="248">
        <v>18585</v>
      </c>
      <c r="G395" s="248" t="s">
        <v>88</v>
      </c>
      <c r="H395" s="310"/>
      <c r="I395" s="311"/>
      <c r="J395" s="311"/>
      <c r="K395" s="311"/>
      <c r="L395" s="311"/>
      <c r="M395" s="311"/>
      <c r="N395" s="311">
        <f>_xlfn.XLOOKUP(CONCATENATE(tblPiNAnalysis[[#This Row],[Admin 2 P-Code]],tblPiNAnalysis[[#This Row],[Population Group]]),'Overall severity &amp; PIN Analysis'!A:A,'Overall severity &amp; PIN Analysis'!P:P,0,0)</f>
        <v>4160</v>
      </c>
      <c r="O395" s="311"/>
      <c r="P395" s="311"/>
      <c r="Q395" s="311"/>
      <c r="R395" s="311"/>
      <c r="S395" s="311"/>
      <c r="T395" s="326" t="str">
        <f>IF(tblPiNAnalysis[[#This Row],[Site Management ]]="", "", tblPiNAnalysis[[#This Row],[Site Management ]]/tblPiNAnalysis[[#This Row],[Total Population]])</f>
        <v/>
      </c>
      <c r="U395" s="315" t="str">
        <f>IF(tblPiNAnalysis[[#This Row],[Education]]="", "", tblPiNAnalysis[[#This Row],[Education]]/tblPiNAnalysis[[#This Row],[Total Population]])</f>
        <v/>
      </c>
      <c r="V395" s="315" t="str">
        <f>IF(tblPiNAnalysis[[#This Row],[Food Security and Livlihoods]]="", "", tblPiNAnalysis[[#This Row],[Food Security and Livlihoods]]/tblPiNAnalysis[[#This Row],[Total Population]])</f>
        <v/>
      </c>
      <c r="W395" s="315" t="str">
        <f>IF(tblPiNAnalysis[[#This Row],[Health ]]="", "", tblPiNAnalysis[[#This Row],[Health ]]/tblPiNAnalysis[[#This Row],[Total Population]])</f>
        <v/>
      </c>
      <c r="X395" s="315" t="str">
        <f>IF(tblPiNAnalysis[[#This Row],[Nutrition]]="", "", tblPiNAnalysis[[#This Row],[Nutrition]]/tblPiNAnalysis[[#This Row],[Total Population]])</f>
        <v/>
      </c>
      <c r="Y395" s="315" t="str">
        <f>IF(tblPiNAnalysis[[#This Row],[Protection]]="", "", tblPiNAnalysis[[#This Row],[Protection]]/tblPiNAnalysis[[#This Row],[Total Population]])</f>
        <v/>
      </c>
      <c r="Z395" s="327">
        <f>IF(tblPiNAnalysis[[#This Row],[Shelter NFI ]]="", "", tblPiNAnalysis[[#This Row],[Shelter NFI ]]/tblPiNAnalysis[[#This Row],[Total Population]])</f>
        <v>0.22383642722625774</v>
      </c>
      <c r="AA395" s="328" t="str">
        <f>IF(tblPiNAnalysis[[#This Row],[WASH]]="", "", tblPiNAnalysis[[#This Row],[WASH]]/tblPiNAnalysis[[#This Row],[Total Population]])</f>
        <v/>
      </c>
      <c r="AB395" s="329" t="str">
        <f>IFERROR(IF(tblPiNAnalysis[[#This Row],[CP]]="", "", MROUND(tblPiNAnalysis[[#This Row],[CP]]/tblPiNAnalysis[[#This Row],[Total Population]], 0.05)), "")</f>
        <v/>
      </c>
      <c r="AC395" s="315" t="str">
        <f>IFERROR(IF(tblPiNAnalysis[[#This Row],[GBV]]="", "", MROUND(tblPiNAnalysis[[#This Row],[GBV]]/tblPiNAnalysis[[#This Row],[Total Population]], 0.05)), "")</f>
        <v/>
      </c>
      <c r="AD395" s="315" t="str">
        <f>IFERROR(IF(tblPiNAnalysis[[#This Row],[Mine Action]]="", "", MROUND(tblPiNAnalysis[[#This Row],[Mine Action]]/tblPiNAnalysis[[#This Row],[Total Population]], 0.05)), "")</f>
        <v/>
      </c>
      <c r="AE395" s="315" t="str">
        <f>IFERROR(IF(tblPiNAnalysis[[#This Row],[General Protection]]="", "", MROUND(tblPiNAnalysis[[#This Row],[General Protection]]/tblPiNAnalysis[[#This Row],[Total Population]], 0.05)), "")</f>
        <v/>
      </c>
      <c r="AF395" s="319">
        <f>IFERROR(LARGE(tblPiNAnalysis[[#This Row],[Site Management ]:[General Protection]], 1), "")</f>
        <v>4160</v>
      </c>
      <c r="AG395" s="330">
        <f>IF(tblPiNAnalysis[[#This Row],[Highest PiN]]="", "",tblPiNAnalysis[[#This Row],[Highest PiN]]/ tblPiNAnalysis[[#This Row],[Total Population]])</f>
        <v>0.22383642722625774</v>
      </c>
      <c r="AH395" s="330" t="str">
        <f>IFERROR(IF(tblPiNAnalysis[[#This Row],[Highest PiN]]="", "", IF(tblPiNAnalysis[[#This Row],[Highest sector(s'') PiN %]]&gt;=flag_pin_perc, "Flagged", "")), "")</f>
        <v/>
      </c>
      <c r="AI395" s="321"/>
      <c r="AJ395" s="322"/>
      <c r="AK395" s="323">
        <f>COUNTIFS(tblPiNAnalysis[[#This Row],[Highest PiN greater than 90% of total affected population]:[Manual Flag]],"Flagged")</f>
        <v>0</v>
      </c>
      <c r="AL395" s="331" t="str">
        <f>IF(tblPiNAnalysis[[#This Row],['# Flags]]&gt;0, "Flagged", "")</f>
        <v/>
      </c>
    </row>
    <row r="396" spans="1:38" ht="23.1" customHeight="1" x14ac:dyDescent="0.2">
      <c r="A396" s="309" t="str">
        <f>_xlfn.CONCAT(IF(tblPiNAnalysis[[#This Row],[Population Group]]="", "",tblPiNAnalysis[[#This Row],[Population Group]] ), _xlfn.IFS(tblPiNAnalysis[[#This Row],[Admin 2 P-Code]]&lt;&gt;"", tblPiNAnalysis[[#This Row],[Admin 2 P-Code]], tblPiNAnalysis[[#This Row],[Admin 1 P-Code]]&lt;&gt;"", tblPiNAnalysis[[#This Row],[Admin 1 P-Code]]))</f>
        <v>Non-hosting PopulationSD12078</v>
      </c>
      <c r="B396" s="245" t="s">
        <v>158</v>
      </c>
      <c r="C396" s="246" t="s">
        <v>129</v>
      </c>
      <c r="D396" s="247" t="s">
        <v>454</v>
      </c>
      <c r="E396" s="246" t="s">
        <v>455</v>
      </c>
      <c r="F396" s="248">
        <v>158588</v>
      </c>
      <c r="G396" s="248" t="s">
        <v>568</v>
      </c>
      <c r="H396" s="310"/>
      <c r="I396" s="311"/>
      <c r="J396" s="312"/>
      <c r="K396" s="311"/>
      <c r="L396" s="311"/>
      <c r="M396" s="312"/>
      <c r="N396" s="312">
        <f>_xlfn.XLOOKUP(CONCATENATE(tblPiNAnalysis[[#This Row],[Admin 2 P-Code]],tblPiNAnalysis[[#This Row],[Population Group]]),'Overall severity &amp; PIN Analysis'!A:A,'Overall severity &amp; PIN Analysis'!P:P,0,0)</f>
        <v>1224</v>
      </c>
      <c r="O396" s="311"/>
      <c r="P396" s="312"/>
      <c r="Q396" s="312"/>
      <c r="R396" s="312"/>
      <c r="S396" s="312"/>
      <c r="T396" s="313" t="str">
        <f>IF(tblPiNAnalysis[[#This Row],[Site Management ]]="", "", tblPiNAnalysis[[#This Row],[Site Management ]]/tblPiNAnalysis[[#This Row],[Total Population]])</f>
        <v/>
      </c>
      <c r="U396" s="314" t="str">
        <f>IF(tblPiNAnalysis[[#This Row],[Education]]="", "", tblPiNAnalysis[[#This Row],[Education]]/tblPiNAnalysis[[#This Row],[Total Population]])</f>
        <v/>
      </c>
      <c r="V396" s="314" t="str">
        <f>IF(tblPiNAnalysis[[#This Row],[Food Security and Livlihoods]]="", "", tblPiNAnalysis[[#This Row],[Food Security and Livlihoods]]/tblPiNAnalysis[[#This Row],[Total Population]])</f>
        <v/>
      </c>
      <c r="W396" s="315" t="str">
        <f>IF(tblPiNAnalysis[[#This Row],[Health ]]="", "", tblPiNAnalysis[[#This Row],[Health ]]/tblPiNAnalysis[[#This Row],[Total Population]])</f>
        <v/>
      </c>
      <c r="X396" s="314" t="str">
        <f>IF(tblPiNAnalysis[[#This Row],[Nutrition]]="", "", tblPiNAnalysis[[#This Row],[Nutrition]]/tblPiNAnalysis[[#This Row],[Total Population]])</f>
        <v/>
      </c>
      <c r="Y396" s="314" t="str">
        <f>IF(tblPiNAnalysis[[#This Row],[Protection]]="", "", tblPiNAnalysis[[#This Row],[Protection]]/tblPiNAnalysis[[#This Row],[Total Population]])</f>
        <v/>
      </c>
      <c r="Z396" s="316">
        <f>IF(tblPiNAnalysis[[#This Row],[Shelter NFI ]]="", "", tblPiNAnalysis[[#This Row],[Shelter NFI ]]/tblPiNAnalysis[[#This Row],[Total Population]])</f>
        <v>7.7181123414129691E-3</v>
      </c>
      <c r="AA396" s="317" t="str">
        <f>IF(tblPiNAnalysis[[#This Row],[WASH]]="", "", tblPiNAnalysis[[#This Row],[WASH]]/tblPiNAnalysis[[#This Row],[Total Population]])</f>
        <v/>
      </c>
      <c r="AB396" s="318" t="str">
        <f>IFERROR(IF(tblPiNAnalysis[[#This Row],[CP]]="", "", MROUND(tblPiNAnalysis[[#This Row],[CP]]/tblPiNAnalysis[[#This Row],[Total Population]], 0.05)), "")</f>
        <v/>
      </c>
      <c r="AC396" s="314" t="str">
        <f>IFERROR(IF(tblPiNAnalysis[[#This Row],[GBV]]="", "", MROUND(tblPiNAnalysis[[#This Row],[GBV]]/tblPiNAnalysis[[#This Row],[Total Population]], 0.05)), "")</f>
        <v/>
      </c>
      <c r="AD396" s="314" t="str">
        <f>IFERROR(IF(tblPiNAnalysis[[#This Row],[Mine Action]]="", "", MROUND(tblPiNAnalysis[[#This Row],[Mine Action]]/tblPiNAnalysis[[#This Row],[Total Population]], 0.05)), "")</f>
        <v/>
      </c>
      <c r="AE396" s="314" t="str">
        <f>IFERROR(IF(tblPiNAnalysis[[#This Row],[General Protection]]="", "", MROUND(tblPiNAnalysis[[#This Row],[General Protection]]/tblPiNAnalysis[[#This Row],[Total Population]], 0.05)), "")</f>
        <v/>
      </c>
      <c r="AF396" s="319">
        <f>IFERROR(LARGE(tblPiNAnalysis[[#This Row],[Site Management ]:[General Protection]], 1), "")</f>
        <v>1224</v>
      </c>
      <c r="AG396" s="320">
        <f>IF(tblPiNAnalysis[[#This Row],[Highest PiN]]="", "",tblPiNAnalysis[[#This Row],[Highest PiN]]/ tblPiNAnalysis[[#This Row],[Total Population]])</f>
        <v>7.7181123414129691E-3</v>
      </c>
      <c r="AH396" s="320" t="str">
        <f>IFERROR(IF(tblPiNAnalysis[[#This Row],[Highest PiN]]="", "", IF(tblPiNAnalysis[[#This Row],[Highest sector(s'') PiN %]]&gt;=flag_pin_perc, "Flagged", "")), "")</f>
        <v/>
      </c>
      <c r="AI396" s="321"/>
      <c r="AJ396" s="322"/>
      <c r="AK396" s="323">
        <f>COUNTIFS(tblPiNAnalysis[[#This Row],[Highest PiN greater than 90% of total affected population]:[Manual Flag]],"Flagged")</f>
        <v>0</v>
      </c>
      <c r="AL396" s="324" t="str">
        <f>IF(tblPiNAnalysis[[#This Row],['# Flags]]&gt;0, "Flagged", "")</f>
        <v/>
      </c>
    </row>
    <row r="397" spans="1:38" ht="23.1" hidden="1" customHeight="1" x14ac:dyDescent="0.2">
      <c r="A397" s="309" t="str">
        <f>_xlfn.CONCAT(IF(tblPiNAnalysis[[#This Row],[Population Group]]="", "",tblPiNAnalysis[[#This Row],[Population Group]] ), _xlfn.IFS(tblPiNAnalysis[[#This Row],[Admin 2 P-Code]]&lt;&gt;"", tblPiNAnalysis[[#This Row],[Admin 2 P-Code]], tblPiNAnalysis[[#This Row],[Admin 1 P-Code]]&lt;&gt;"", tblPiNAnalysis[[#This Row],[Admin 1 P-Code]]))</f>
        <v>Host CommunitySD12079</v>
      </c>
      <c r="B397" s="245" t="s">
        <v>158</v>
      </c>
      <c r="C397" s="246" t="s">
        <v>129</v>
      </c>
      <c r="D397" s="247" t="s">
        <v>456</v>
      </c>
      <c r="E397" s="246" t="s">
        <v>457</v>
      </c>
      <c r="F397" s="248">
        <v>12202</v>
      </c>
      <c r="G397" s="248" t="s">
        <v>87</v>
      </c>
      <c r="H397" s="310"/>
      <c r="I397" s="311"/>
      <c r="J397" s="312"/>
      <c r="K397" s="311"/>
      <c r="L397" s="311"/>
      <c r="M397" s="312"/>
      <c r="N397" s="312">
        <f>_xlfn.XLOOKUP(CONCATENATE(tblPiNAnalysis[[#This Row],[Admin 2 P-Code]],tblPiNAnalysis[[#This Row],[Population Group]]),'Overall severity &amp; PIN Analysis'!A:A,'Overall severity &amp; PIN Analysis'!P:P,0,0)</f>
        <v>3815</v>
      </c>
      <c r="O397" s="311"/>
      <c r="P397" s="312"/>
      <c r="Q397" s="312"/>
      <c r="R397" s="312"/>
      <c r="S397" s="312"/>
      <c r="T397" s="313" t="str">
        <f>IF(tblPiNAnalysis[[#This Row],[Site Management ]]="", "", tblPiNAnalysis[[#This Row],[Site Management ]]/tblPiNAnalysis[[#This Row],[Total Population]])</f>
        <v/>
      </c>
      <c r="U397" s="314" t="str">
        <f>IF(tblPiNAnalysis[[#This Row],[Education]]="", "", tblPiNAnalysis[[#This Row],[Education]]/tblPiNAnalysis[[#This Row],[Total Population]])</f>
        <v/>
      </c>
      <c r="V397" s="314" t="str">
        <f>IF(tblPiNAnalysis[[#This Row],[Food Security and Livlihoods]]="", "", tblPiNAnalysis[[#This Row],[Food Security and Livlihoods]]/tblPiNAnalysis[[#This Row],[Total Population]])</f>
        <v/>
      </c>
      <c r="W397" s="315" t="str">
        <f>IF(tblPiNAnalysis[[#This Row],[Health ]]="", "", tblPiNAnalysis[[#This Row],[Health ]]/tblPiNAnalysis[[#This Row],[Total Population]])</f>
        <v/>
      </c>
      <c r="X397" s="314" t="str">
        <f>IF(tblPiNAnalysis[[#This Row],[Nutrition]]="", "", tblPiNAnalysis[[#This Row],[Nutrition]]/tblPiNAnalysis[[#This Row],[Total Population]])</f>
        <v/>
      </c>
      <c r="Y397" s="314" t="str">
        <f>IF(tblPiNAnalysis[[#This Row],[Protection]]="", "", tblPiNAnalysis[[#This Row],[Protection]]/tblPiNAnalysis[[#This Row],[Total Population]])</f>
        <v/>
      </c>
      <c r="Z397" s="316">
        <f>IF(tblPiNAnalysis[[#This Row],[Shelter NFI ]]="", "", tblPiNAnalysis[[#This Row],[Shelter NFI ]]/tblPiNAnalysis[[#This Row],[Total Population]])</f>
        <v>0.31265366333387967</v>
      </c>
      <c r="AA397" s="317" t="str">
        <f>IF(tblPiNAnalysis[[#This Row],[WASH]]="", "", tblPiNAnalysis[[#This Row],[WASH]]/tblPiNAnalysis[[#This Row],[Total Population]])</f>
        <v/>
      </c>
      <c r="AB397" s="318" t="str">
        <f>IFERROR(IF(tblPiNAnalysis[[#This Row],[CP]]="", "", MROUND(tblPiNAnalysis[[#This Row],[CP]]/tblPiNAnalysis[[#This Row],[Total Population]], 0.05)), "")</f>
        <v/>
      </c>
      <c r="AC397" s="314" t="str">
        <f>IFERROR(IF(tblPiNAnalysis[[#This Row],[GBV]]="", "", MROUND(tblPiNAnalysis[[#This Row],[GBV]]/tblPiNAnalysis[[#This Row],[Total Population]], 0.05)), "")</f>
        <v/>
      </c>
      <c r="AD397" s="314" t="str">
        <f>IFERROR(IF(tblPiNAnalysis[[#This Row],[Mine Action]]="", "", MROUND(tblPiNAnalysis[[#This Row],[Mine Action]]/tblPiNAnalysis[[#This Row],[Total Population]], 0.05)), "")</f>
        <v/>
      </c>
      <c r="AE397" s="314" t="str">
        <f>IFERROR(IF(tblPiNAnalysis[[#This Row],[General Protection]]="", "", MROUND(tblPiNAnalysis[[#This Row],[General Protection]]/tblPiNAnalysis[[#This Row],[Total Population]], 0.05)), "")</f>
        <v/>
      </c>
      <c r="AF397" s="319">
        <f>IFERROR(LARGE(tblPiNAnalysis[[#This Row],[Site Management ]:[General Protection]], 1), "")</f>
        <v>3815</v>
      </c>
      <c r="AG397" s="320">
        <f>IF(tblPiNAnalysis[[#This Row],[Highest PiN]]="", "",tblPiNAnalysis[[#This Row],[Highest PiN]]/ tblPiNAnalysis[[#This Row],[Total Population]])</f>
        <v>0.31265366333387967</v>
      </c>
      <c r="AH397" s="320" t="str">
        <f>IFERROR(IF(tblPiNAnalysis[[#This Row],[Highest PiN]]="", "", IF(tblPiNAnalysis[[#This Row],[Highest sector(s'') PiN %]]&gt;=flag_pin_perc, "Flagged", "")), "")</f>
        <v/>
      </c>
      <c r="AI397" s="321"/>
      <c r="AJ397" s="322"/>
      <c r="AK397" s="323">
        <f>COUNTIFS(tblPiNAnalysis[[#This Row],[Highest PiN greater than 90% of total affected population]:[Manual Flag]],"Flagged")</f>
        <v>0</v>
      </c>
      <c r="AL397" s="324" t="str">
        <f>IF(tblPiNAnalysis[[#This Row],['# Flags]]&gt;0, "Flagged", "")</f>
        <v/>
      </c>
    </row>
    <row r="398" spans="1:38" ht="23.1" hidden="1" customHeight="1" x14ac:dyDescent="0.2">
      <c r="A398" s="309" t="str">
        <f>_xlfn.CONCAT(IF(tblPiNAnalysis[[#This Row],[Population Group]]="", "",tblPiNAnalysis[[#This Row],[Population Group]] ), _xlfn.IFS(tblPiNAnalysis[[#This Row],[Admin 2 P-Code]]&lt;&gt;"", tblPiNAnalysis[[#This Row],[Admin 2 P-Code]], tblPiNAnalysis[[#This Row],[Admin 1 P-Code]]&lt;&gt;"", tblPiNAnalysis[[#This Row],[Admin 1 P-Code]]))</f>
        <v>IDPsSD12079</v>
      </c>
      <c r="B398" s="245" t="s">
        <v>158</v>
      </c>
      <c r="C398" s="246" t="s">
        <v>129</v>
      </c>
      <c r="D398" s="247" t="s">
        <v>456</v>
      </c>
      <c r="E398" s="246" t="s">
        <v>457</v>
      </c>
      <c r="F398" s="248">
        <v>12202</v>
      </c>
      <c r="G398" s="248" t="s">
        <v>88</v>
      </c>
      <c r="H398" s="310"/>
      <c r="I398" s="311"/>
      <c r="J398" s="311"/>
      <c r="K398" s="311"/>
      <c r="L398" s="311"/>
      <c r="M398" s="311"/>
      <c r="N398" s="311">
        <f>_xlfn.XLOOKUP(CONCATENATE(tblPiNAnalysis[[#This Row],[Admin 2 P-Code]],tblPiNAnalysis[[#This Row],[Population Group]]),'Overall severity &amp; PIN Analysis'!A:A,'Overall severity &amp; PIN Analysis'!P:P,0,0)</f>
        <v>3815</v>
      </c>
      <c r="O398" s="311"/>
      <c r="P398" s="311"/>
      <c r="Q398" s="311"/>
      <c r="R398" s="311"/>
      <c r="S398" s="311"/>
      <c r="T398" s="326" t="str">
        <f>IF(tblPiNAnalysis[[#This Row],[Site Management ]]="", "", tblPiNAnalysis[[#This Row],[Site Management ]]/tblPiNAnalysis[[#This Row],[Total Population]])</f>
        <v/>
      </c>
      <c r="U398" s="315" t="str">
        <f>IF(tblPiNAnalysis[[#This Row],[Education]]="", "", tblPiNAnalysis[[#This Row],[Education]]/tblPiNAnalysis[[#This Row],[Total Population]])</f>
        <v/>
      </c>
      <c r="V398" s="315" t="str">
        <f>IF(tblPiNAnalysis[[#This Row],[Food Security and Livlihoods]]="", "", tblPiNAnalysis[[#This Row],[Food Security and Livlihoods]]/tblPiNAnalysis[[#This Row],[Total Population]])</f>
        <v/>
      </c>
      <c r="W398" s="315" t="str">
        <f>IF(tblPiNAnalysis[[#This Row],[Health ]]="", "", tblPiNAnalysis[[#This Row],[Health ]]/tblPiNAnalysis[[#This Row],[Total Population]])</f>
        <v/>
      </c>
      <c r="X398" s="315" t="str">
        <f>IF(tblPiNAnalysis[[#This Row],[Nutrition]]="", "", tblPiNAnalysis[[#This Row],[Nutrition]]/tblPiNAnalysis[[#This Row],[Total Population]])</f>
        <v/>
      </c>
      <c r="Y398" s="315" t="str">
        <f>IF(tblPiNAnalysis[[#This Row],[Protection]]="", "", tblPiNAnalysis[[#This Row],[Protection]]/tblPiNAnalysis[[#This Row],[Total Population]])</f>
        <v/>
      </c>
      <c r="Z398" s="327">
        <f>IF(tblPiNAnalysis[[#This Row],[Shelter NFI ]]="", "", tblPiNAnalysis[[#This Row],[Shelter NFI ]]/tblPiNAnalysis[[#This Row],[Total Population]])</f>
        <v>0.31265366333387967</v>
      </c>
      <c r="AA398" s="328" t="str">
        <f>IF(tblPiNAnalysis[[#This Row],[WASH]]="", "", tblPiNAnalysis[[#This Row],[WASH]]/tblPiNAnalysis[[#This Row],[Total Population]])</f>
        <v/>
      </c>
      <c r="AB398" s="329" t="str">
        <f>IFERROR(IF(tblPiNAnalysis[[#This Row],[CP]]="", "", MROUND(tblPiNAnalysis[[#This Row],[CP]]/tblPiNAnalysis[[#This Row],[Total Population]], 0.05)), "")</f>
        <v/>
      </c>
      <c r="AC398" s="315" t="str">
        <f>IFERROR(IF(tblPiNAnalysis[[#This Row],[GBV]]="", "", MROUND(tblPiNAnalysis[[#This Row],[GBV]]/tblPiNAnalysis[[#This Row],[Total Population]], 0.05)), "")</f>
        <v/>
      </c>
      <c r="AD398" s="315" t="str">
        <f>IFERROR(IF(tblPiNAnalysis[[#This Row],[Mine Action]]="", "", MROUND(tblPiNAnalysis[[#This Row],[Mine Action]]/tblPiNAnalysis[[#This Row],[Total Population]], 0.05)), "")</f>
        <v/>
      </c>
      <c r="AE398" s="315" t="str">
        <f>IFERROR(IF(tblPiNAnalysis[[#This Row],[General Protection]]="", "", MROUND(tblPiNAnalysis[[#This Row],[General Protection]]/tblPiNAnalysis[[#This Row],[Total Population]], 0.05)), "")</f>
        <v/>
      </c>
      <c r="AF398" s="319">
        <f>IFERROR(LARGE(tblPiNAnalysis[[#This Row],[Site Management ]:[General Protection]], 1), "")</f>
        <v>3815</v>
      </c>
      <c r="AG398" s="330">
        <f>IF(tblPiNAnalysis[[#This Row],[Highest PiN]]="", "",tblPiNAnalysis[[#This Row],[Highest PiN]]/ tblPiNAnalysis[[#This Row],[Total Population]])</f>
        <v>0.31265366333387967</v>
      </c>
      <c r="AH398" s="330" t="str">
        <f>IFERROR(IF(tblPiNAnalysis[[#This Row],[Highest PiN]]="", "", IF(tblPiNAnalysis[[#This Row],[Highest sector(s'') PiN %]]&gt;=flag_pin_perc, "Flagged", "")), "")</f>
        <v/>
      </c>
      <c r="AI398" s="321"/>
      <c r="AJ398" s="322"/>
      <c r="AK398" s="323">
        <f>COUNTIFS(tblPiNAnalysis[[#This Row],[Highest PiN greater than 90% of total affected population]:[Manual Flag]],"Flagged")</f>
        <v>0</v>
      </c>
      <c r="AL398" s="331" t="str">
        <f>IF(tblPiNAnalysis[[#This Row],['# Flags]]&gt;0, "Flagged", "")</f>
        <v/>
      </c>
    </row>
    <row r="399" spans="1:38" ht="23.1" customHeight="1" x14ac:dyDescent="0.2">
      <c r="A399" s="309" t="str">
        <f>_xlfn.CONCAT(IF(tblPiNAnalysis[[#This Row],[Population Group]]="", "",tblPiNAnalysis[[#This Row],[Population Group]] ), _xlfn.IFS(tblPiNAnalysis[[#This Row],[Admin 2 P-Code]]&lt;&gt;"", tblPiNAnalysis[[#This Row],[Admin 2 P-Code]], tblPiNAnalysis[[#This Row],[Admin 1 P-Code]]&lt;&gt;"", tblPiNAnalysis[[#This Row],[Admin 1 P-Code]]))</f>
        <v>Non-hosting PopulationSD12079</v>
      </c>
      <c r="B399" s="245" t="s">
        <v>158</v>
      </c>
      <c r="C399" s="246" t="s">
        <v>129</v>
      </c>
      <c r="D399" s="247" t="s">
        <v>456</v>
      </c>
      <c r="E399" s="246" t="s">
        <v>457</v>
      </c>
      <c r="F399" s="248">
        <v>116487</v>
      </c>
      <c r="G399" s="248" t="s">
        <v>568</v>
      </c>
      <c r="H399" s="310"/>
      <c r="I399" s="311"/>
      <c r="J399" s="312"/>
      <c r="K399" s="311"/>
      <c r="L399" s="311"/>
      <c r="M399" s="312"/>
      <c r="N399" s="312">
        <f>_xlfn.XLOOKUP(CONCATENATE(tblPiNAnalysis[[#This Row],[Admin 2 P-Code]],tblPiNAnalysis[[#This Row],[Population Group]]),'Overall severity &amp; PIN Analysis'!A:A,'Overall severity &amp; PIN Analysis'!P:P,0,0)</f>
        <v>13458</v>
      </c>
      <c r="O399" s="311"/>
      <c r="P399" s="312"/>
      <c r="Q399" s="312"/>
      <c r="R399" s="312"/>
      <c r="S399" s="312"/>
      <c r="T399" s="313" t="str">
        <f>IF(tblPiNAnalysis[[#This Row],[Site Management ]]="", "", tblPiNAnalysis[[#This Row],[Site Management ]]/tblPiNAnalysis[[#This Row],[Total Population]])</f>
        <v/>
      </c>
      <c r="U399" s="314" t="str">
        <f>IF(tblPiNAnalysis[[#This Row],[Education]]="", "", tblPiNAnalysis[[#This Row],[Education]]/tblPiNAnalysis[[#This Row],[Total Population]])</f>
        <v/>
      </c>
      <c r="V399" s="314" t="str">
        <f>IF(tblPiNAnalysis[[#This Row],[Food Security and Livlihoods]]="", "", tblPiNAnalysis[[#This Row],[Food Security and Livlihoods]]/tblPiNAnalysis[[#This Row],[Total Population]])</f>
        <v/>
      </c>
      <c r="W399" s="315" t="str">
        <f>IF(tblPiNAnalysis[[#This Row],[Health ]]="", "", tblPiNAnalysis[[#This Row],[Health ]]/tblPiNAnalysis[[#This Row],[Total Population]])</f>
        <v/>
      </c>
      <c r="X399" s="314" t="str">
        <f>IF(tblPiNAnalysis[[#This Row],[Nutrition]]="", "", tblPiNAnalysis[[#This Row],[Nutrition]]/tblPiNAnalysis[[#This Row],[Total Population]])</f>
        <v/>
      </c>
      <c r="Y399" s="314" t="str">
        <f>IF(tblPiNAnalysis[[#This Row],[Protection]]="", "", tblPiNAnalysis[[#This Row],[Protection]]/tblPiNAnalysis[[#This Row],[Total Population]])</f>
        <v/>
      </c>
      <c r="Z399" s="316">
        <f>IF(tblPiNAnalysis[[#This Row],[Shelter NFI ]]="", "", tblPiNAnalysis[[#This Row],[Shelter NFI ]]/tblPiNAnalysis[[#This Row],[Total Population]])</f>
        <v>0.11553220531046383</v>
      </c>
      <c r="AA399" s="317" t="str">
        <f>IF(tblPiNAnalysis[[#This Row],[WASH]]="", "", tblPiNAnalysis[[#This Row],[WASH]]/tblPiNAnalysis[[#This Row],[Total Population]])</f>
        <v/>
      </c>
      <c r="AB399" s="318" t="str">
        <f>IFERROR(IF(tblPiNAnalysis[[#This Row],[CP]]="", "", MROUND(tblPiNAnalysis[[#This Row],[CP]]/tblPiNAnalysis[[#This Row],[Total Population]], 0.05)), "")</f>
        <v/>
      </c>
      <c r="AC399" s="314" t="str">
        <f>IFERROR(IF(tblPiNAnalysis[[#This Row],[GBV]]="", "", MROUND(tblPiNAnalysis[[#This Row],[GBV]]/tblPiNAnalysis[[#This Row],[Total Population]], 0.05)), "")</f>
        <v/>
      </c>
      <c r="AD399" s="314" t="str">
        <f>IFERROR(IF(tblPiNAnalysis[[#This Row],[Mine Action]]="", "", MROUND(tblPiNAnalysis[[#This Row],[Mine Action]]/tblPiNAnalysis[[#This Row],[Total Population]], 0.05)), "")</f>
        <v/>
      </c>
      <c r="AE399" s="314" t="str">
        <f>IFERROR(IF(tblPiNAnalysis[[#This Row],[General Protection]]="", "", MROUND(tblPiNAnalysis[[#This Row],[General Protection]]/tblPiNAnalysis[[#This Row],[Total Population]], 0.05)), "")</f>
        <v/>
      </c>
      <c r="AF399" s="319">
        <f>IFERROR(LARGE(tblPiNAnalysis[[#This Row],[Site Management ]:[General Protection]], 1), "")</f>
        <v>13458</v>
      </c>
      <c r="AG399" s="320">
        <f>IF(tblPiNAnalysis[[#This Row],[Highest PiN]]="", "",tblPiNAnalysis[[#This Row],[Highest PiN]]/ tblPiNAnalysis[[#This Row],[Total Population]])</f>
        <v>0.11553220531046383</v>
      </c>
      <c r="AH399" s="320" t="str">
        <f>IFERROR(IF(tblPiNAnalysis[[#This Row],[Highest PiN]]="", "", IF(tblPiNAnalysis[[#This Row],[Highest sector(s'') PiN %]]&gt;=flag_pin_perc, "Flagged", "")), "")</f>
        <v/>
      </c>
      <c r="AI399" s="321"/>
      <c r="AJ399" s="322"/>
      <c r="AK399" s="323">
        <f>COUNTIFS(tblPiNAnalysis[[#This Row],[Highest PiN greater than 90% of total affected population]:[Manual Flag]],"Flagged")</f>
        <v>0</v>
      </c>
      <c r="AL399" s="324" t="str">
        <f>IF(tblPiNAnalysis[[#This Row],['# Flags]]&gt;0, "Flagged", "")</f>
        <v/>
      </c>
    </row>
    <row r="400" spans="1:38" ht="23.1" hidden="1" customHeight="1" x14ac:dyDescent="0.2">
      <c r="A400" s="309" t="str">
        <f>_xlfn.CONCAT(IF(tblPiNAnalysis[[#This Row],[Population Group]]="", "",tblPiNAnalysis[[#This Row],[Population Group]] ), _xlfn.IFS(tblPiNAnalysis[[#This Row],[Admin 2 P-Code]]&lt;&gt;"", tblPiNAnalysis[[#This Row],[Admin 2 P-Code]], tblPiNAnalysis[[#This Row],[Admin 1 P-Code]]&lt;&gt;"", tblPiNAnalysis[[#This Row],[Admin 1 P-Code]]))</f>
        <v>Host CommunitySD12080</v>
      </c>
      <c r="B400" s="245" t="s">
        <v>158</v>
      </c>
      <c r="C400" s="246" t="s">
        <v>129</v>
      </c>
      <c r="D400" s="247" t="s">
        <v>458</v>
      </c>
      <c r="E400" s="246" t="s">
        <v>459</v>
      </c>
      <c r="F400" s="248">
        <v>133966</v>
      </c>
      <c r="G400" s="248" t="s">
        <v>87</v>
      </c>
      <c r="H400" s="310"/>
      <c r="I400" s="311"/>
      <c r="J400" s="312"/>
      <c r="K400" s="311"/>
      <c r="L400" s="311"/>
      <c r="M400" s="312"/>
      <c r="N400" s="312">
        <f>_xlfn.XLOOKUP(CONCATENATE(tblPiNAnalysis[[#This Row],[Admin 2 P-Code]],tblPiNAnalysis[[#This Row],[Population Group]]),'Overall severity &amp; PIN Analysis'!A:A,'Overall severity &amp; PIN Analysis'!P:P,0,0)</f>
        <v>31255</v>
      </c>
      <c r="O400" s="311"/>
      <c r="P400" s="312"/>
      <c r="Q400" s="312"/>
      <c r="R400" s="312"/>
      <c r="S400" s="312"/>
      <c r="T400" s="313" t="str">
        <f>IF(tblPiNAnalysis[[#This Row],[Site Management ]]="", "", tblPiNAnalysis[[#This Row],[Site Management ]]/tblPiNAnalysis[[#This Row],[Total Population]])</f>
        <v/>
      </c>
      <c r="U400" s="314" t="str">
        <f>IF(tblPiNAnalysis[[#This Row],[Education]]="", "", tblPiNAnalysis[[#This Row],[Education]]/tblPiNAnalysis[[#This Row],[Total Population]])</f>
        <v/>
      </c>
      <c r="V400" s="314" t="str">
        <f>IF(tblPiNAnalysis[[#This Row],[Food Security and Livlihoods]]="", "", tblPiNAnalysis[[#This Row],[Food Security and Livlihoods]]/tblPiNAnalysis[[#This Row],[Total Population]])</f>
        <v/>
      </c>
      <c r="W400" s="315" t="str">
        <f>IF(tblPiNAnalysis[[#This Row],[Health ]]="", "", tblPiNAnalysis[[#This Row],[Health ]]/tblPiNAnalysis[[#This Row],[Total Population]])</f>
        <v/>
      </c>
      <c r="X400" s="314" t="str">
        <f>IF(tblPiNAnalysis[[#This Row],[Nutrition]]="", "", tblPiNAnalysis[[#This Row],[Nutrition]]/tblPiNAnalysis[[#This Row],[Total Population]])</f>
        <v/>
      </c>
      <c r="Y400" s="314" t="str">
        <f>IF(tblPiNAnalysis[[#This Row],[Protection]]="", "", tblPiNAnalysis[[#This Row],[Protection]]/tblPiNAnalysis[[#This Row],[Total Population]])</f>
        <v/>
      </c>
      <c r="Z400" s="316">
        <f>IF(tblPiNAnalysis[[#This Row],[Shelter NFI ]]="", "", tblPiNAnalysis[[#This Row],[Shelter NFI ]]/tblPiNAnalysis[[#This Row],[Total Population]])</f>
        <v>0.23330546556588985</v>
      </c>
      <c r="AA400" s="317" t="str">
        <f>IF(tblPiNAnalysis[[#This Row],[WASH]]="", "", tblPiNAnalysis[[#This Row],[WASH]]/tblPiNAnalysis[[#This Row],[Total Population]])</f>
        <v/>
      </c>
      <c r="AB400" s="318" t="str">
        <f>IFERROR(IF(tblPiNAnalysis[[#This Row],[CP]]="", "", MROUND(tblPiNAnalysis[[#This Row],[CP]]/tblPiNAnalysis[[#This Row],[Total Population]], 0.05)), "")</f>
        <v/>
      </c>
      <c r="AC400" s="314" t="str">
        <f>IFERROR(IF(tblPiNAnalysis[[#This Row],[GBV]]="", "", MROUND(tblPiNAnalysis[[#This Row],[GBV]]/tblPiNAnalysis[[#This Row],[Total Population]], 0.05)), "")</f>
        <v/>
      </c>
      <c r="AD400" s="314" t="str">
        <f>IFERROR(IF(tblPiNAnalysis[[#This Row],[Mine Action]]="", "", MROUND(tblPiNAnalysis[[#This Row],[Mine Action]]/tblPiNAnalysis[[#This Row],[Total Population]], 0.05)), "")</f>
        <v/>
      </c>
      <c r="AE400" s="314" t="str">
        <f>IFERROR(IF(tblPiNAnalysis[[#This Row],[General Protection]]="", "", MROUND(tblPiNAnalysis[[#This Row],[General Protection]]/tblPiNAnalysis[[#This Row],[Total Population]], 0.05)), "")</f>
        <v/>
      </c>
      <c r="AF400" s="319">
        <f>IFERROR(LARGE(tblPiNAnalysis[[#This Row],[Site Management ]:[General Protection]], 1), "")</f>
        <v>31255</v>
      </c>
      <c r="AG400" s="320">
        <f>IF(tblPiNAnalysis[[#This Row],[Highest PiN]]="", "",tblPiNAnalysis[[#This Row],[Highest PiN]]/ tblPiNAnalysis[[#This Row],[Total Population]])</f>
        <v>0.23330546556588985</v>
      </c>
      <c r="AH400" s="320" t="str">
        <f>IFERROR(IF(tblPiNAnalysis[[#This Row],[Highest PiN]]="", "", IF(tblPiNAnalysis[[#This Row],[Highest sector(s'') PiN %]]&gt;=flag_pin_perc, "Flagged", "")), "")</f>
        <v/>
      </c>
      <c r="AI400" s="321"/>
      <c r="AJ400" s="322"/>
      <c r="AK400" s="323">
        <f>COUNTIFS(tblPiNAnalysis[[#This Row],[Highest PiN greater than 90% of total affected population]:[Manual Flag]],"Flagged")</f>
        <v>0</v>
      </c>
      <c r="AL400" s="324" t="str">
        <f>IF(tblPiNAnalysis[[#This Row],['# Flags]]&gt;0, "Flagged", "")</f>
        <v/>
      </c>
    </row>
    <row r="401" spans="1:38" ht="23.1" hidden="1" customHeight="1" x14ac:dyDescent="0.2">
      <c r="A401" s="309" t="str">
        <f>_xlfn.CONCAT(IF(tblPiNAnalysis[[#This Row],[Population Group]]="", "",tblPiNAnalysis[[#This Row],[Population Group]] ), _xlfn.IFS(tblPiNAnalysis[[#This Row],[Admin 2 P-Code]]&lt;&gt;"", tblPiNAnalysis[[#This Row],[Admin 2 P-Code]], tblPiNAnalysis[[#This Row],[Admin 1 P-Code]]&lt;&gt;"", tblPiNAnalysis[[#This Row],[Admin 1 P-Code]]))</f>
        <v>IDPsSD12080</v>
      </c>
      <c r="B401" s="245" t="s">
        <v>158</v>
      </c>
      <c r="C401" s="246" t="s">
        <v>129</v>
      </c>
      <c r="D401" s="247" t="s">
        <v>458</v>
      </c>
      <c r="E401" s="246" t="s">
        <v>459</v>
      </c>
      <c r="F401" s="248">
        <v>133964</v>
      </c>
      <c r="G401" s="248" t="s">
        <v>88</v>
      </c>
      <c r="H401" s="310"/>
      <c r="I401" s="311"/>
      <c r="J401" s="311"/>
      <c r="K401" s="311"/>
      <c r="L401" s="311"/>
      <c r="M401" s="311"/>
      <c r="N401" s="311">
        <f>_xlfn.XLOOKUP(CONCATENATE(tblPiNAnalysis[[#This Row],[Admin 2 P-Code]],tblPiNAnalysis[[#This Row],[Population Group]]),'Overall severity &amp; PIN Analysis'!A:A,'Overall severity &amp; PIN Analysis'!P:P,0,0)</f>
        <v>31254</v>
      </c>
      <c r="O401" s="311"/>
      <c r="P401" s="311"/>
      <c r="Q401" s="311"/>
      <c r="R401" s="311"/>
      <c r="S401" s="311"/>
      <c r="T401" s="326" t="str">
        <f>IF(tblPiNAnalysis[[#This Row],[Site Management ]]="", "", tblPiNAnalysis[[#This Row],[Site Management ]]/tblPiNAnalysis[[#This Row],[Total Population]])</f>
        <v/>
      </c>
      <c r="U401" s="315" t="str">
        <f>IF(tblPiNAnalysis[[#This Row],[Education]]="", "", tblPiNAnalysis[[#This Row],[Education]]/tblPiNAnalysis[[#This Row],[Total Population]])</f>
        <v/>
      </c>
      <c r="V401" s="315" t="str">
        <f>IF(tblPiNAnalysis[[#This Row],[Food Security and Livlihoods]]="", "", tblPiNAnalysis[[#This Row],[Food Security and Livlihoods]]/tblPiNAnalysis[[#This Row],[Total Population]])</f>
        <v/>
      </c>
      <c r="W401" s="315" t="str">
        <f>IF(tblPiNAnalysis[[#This Row],[Health ]]="", "", tblPiNAnalysis[[#This Row],[Health ]]/tblPiNAnalysis[[#This Row],[Total Population]])</f>
        <v/>
      </c>
      <c r="X401" s="315" t="str">
        <f>IF(tblPiNAnalysis[[#This Row],[Nutrition]]="", "", tblPiNAnalysis[[#This Row],[Nutrition]]/tblPiNAnalysis[[#This Row],[Total Population]])</f>
        <v/>
      </c>
      <c r="Y401" s="315" t="str">
        <f>IF(tblPiNAnalysis[[#This Row],[Protection]]="", "", tblPiNAnalysis[[#This Row],[Protection]]/tblPiNAnalysis[[#This Row],[Total Population]])</f>
        <v/>
      </c>
      <c r="Z401" s="327">
        <f>IF(tblPiNAnalysis[[#This Row],[Shelter NFI ]]="", "", tblPiNAnalysis[[#This Row],[Shelter NFI ]]/tblPiNAnalysis[[#This Row],[Total Population]])</f>
        <v>0.23330148398077094</v>
      </c>
      <c r="AA401" s="328" t="str">
        <f>IF(tblPiNAnalysis[[#This Row],[WASH]]="", "", tblPiNAnalysis[[#This Row],[WASH]]/tblPiNAnalysis[[#This Row],[Total Population]])</f>
        <v/>
      </c>
      <c r="AB401" s="329" t="str">
        <f>IFERROR(IF(tblPiNAnalysis[[#This Row],[CP]]="", "", MROUND(tblPiNAnalysis[[#This Row],[CP]]/tblPiNAnalysis[[#This Row],[Total Population]], 0.05)), "")</f>
        <v/>
      </c>
      <c r="AC401" s="315" t="str">
        <f>IFERROR(IF(tblPiNAnalysis[[#This Row],[GBV]]="", "", MROUND(tblPiNAnalysis[[#This Row],[GBV]]/tblPiNAnalysis[[#This Row],[Total Population]], 0.05)), "")</f>
        <v/>
      </c>
      <c r="AD401" s="315" t="str">
        <f>IFERROR(IF(tblPiNAnalysis[[#This Row],[Mine Action]]="", "", MROUND(tblPiNAnalysis[[#This Row],[Mine Action]]/tblPiNAnalysis[[#This Row],[Total Population]], 0.05)), "")</f>
        <v/>
      </c>
      <c r="AE401" s="315" t="str">
        <f>IFERROR(IF(tblPiNAnalysis[[#This Row],[General Protection]]="", "", MROUND(tblPiNAnalysis[[#This Row],[General Protection]]/tblPiNAnalysis[[#This Row],[Total Population]], 0.05)), "")</f>
        <v/>
      </c>
      <c r="AF401" s="319">
        <f>IFERROR(LARGE(tblPiNAnalysis[[#This Row],[Site Management ]:[General Protection]], 1), "")</f>
        <v>31254</v>
      </c>
      <c r="AG401" s="330">
        <f>IF(tblPiNAnalysis[[#This Row],[Highest PiN]]="", "",tblPiNAnalysis[[#This Row],[Highest PiN]]/ tblPiNAnalysis[[#This Row],[Total Population]])</f>
        <v>0.23330148398077094</v>
      </c>
      <c r="AH401" s="330" t="str">
        <f>IFERROR(IF(tblPiNAnalysis[[#This Row],[Highest PiN]]="", "", IF(tblPiNAnalysis[[#This Row],[Highest sector(s'') PiN %]]&gt;=flag_pin_perc, "Flagged", "")), "")</f>
        <v/>
      </c>
      <c r="AI401" s="321"/>
      <c r="AJ401" s="322"/>
      <c r="AK401" s="323">
        <f>COUNTIFS(tblPiNAnalysis[[#This Row],[Highest PiN greater than 90% of total affected population]:[Manual Flag]],"Flagged")</f>
        <v>0</v>
      </c>
      <c r="AL401" s="331" t="str">
        <f>IF(tblPiNAnalysis[[#This Row],['# Flags]]&gt;0, "Flagged", "")</f>
        <v/>
      </c>
    </row>
    <row r="402" spans="1:38" ht="23.1" customHeight="1" x14ac:dyDescent="0.2">
      <c r="A402" s="309" t="str">
        <f>_xlfn.CONCAT(IF(tblPiNAnalysis[[#This Row],[Population Group]]="", "",tblPiNAnalysis[[#This Row],[Population Group]] ), _xlfn.IFS(tblPiNAnalysis[[#This Row],[Admin 2 P-Code]]&lt;&gt;"", tblPiNAnalysis[[#This Row],[Admin 2 P-Code]], tblPiNAnalysis[[#This Row],[Admin 1 P-Code]]&lt;&gt;"", tblPiNAnalysis[[#This Row],[Admin 1 P-Code]]))</f>
        <v>Non-hosting PopulationSD12080</v>
      </c>
      <c r="B402" s="245" t="s">
        <v>158</v>
      </c>
      <c r="C402" s="246" t="s">
        <v>129</v>
      </c>
      <c r="D402" s="247" t="s">
        <v>458</v>
      </c>
      <c r="E402" s="246" t="s">
        <v>459</v>
      </c>
      <c r="F402" s="248">
        <v>396010</v>
      </c>
      <c r="G402" s="248" t="s">
        <v>568</v>
      </c>
      <c r="H402" s="310"/>
      <c r="I402" s="311"/>
      <c r="J402" s="312"/>
      <c r="K402" s="311"/>
      <c r="L402" s="311"/>
      <c r="M402" s="312"/>
      <c r="N402" s="312">
        <f>_xlfn.XLOOKUP(CONCATENATE(tblPiNAnalysis[[#This Row],[Admin 2 P-Code]],tblPiNAnalysis[[#This Row],[Population Group]]),'Overall severity &amp; PIN Analysis'!A:A,'Overall severity &amp; PIN Analysis'!P:P,0,0)</f>
        <v>8941</v>
      </c>
      <c r="O402" s="311"/>
      <c r="P402" s="312"/>
      <c r="Q402" s="312"/>
      <c r="R402" s="312"/>
      <c r="S402" s="312"/>
      <c r="T402" s="313" t="str">
        <f>IF(tblPiNAnalysis[[#This Row],[Site Management ]]="", "", tblPiNAnalysis[[#This Row],[Site Management ]]/tblPiNAnalysis[[#This Row],[Total Population]])</f>
        <v/>
      </c>
      <c r="U402" s="314" t="str">
        <f>IF(tblPiNAnalysis[[#This Row],[Education]]="", "", tblPiNAnalysis[[#This Row],[Education]]/tblPiNAnalysis[[#This Row],[Total Population]])</f>
        <v/>
      </c>
      <c r="V402" s="314" t="str">
        <f>IF(tblPiNAnalysis[[#This Row],[Food Security and Livlihoods]]="", "", tblPiNAnalysis[[#This Row],[Food Security and Livlihoods]]/tblPiNAnalysis[[#This Row],[Total Population]])</f>
        <v/>
      </c>
      <c r="W402" s="315" t="str">
        <f>IF(tblPiNAnalysis[[#This Row],[Health ]]="", "", tblPiNAnalysis[[#This Row],[Health ]]/tblPiNAnalysis[[#This Row],[Total Population]])</f>
        <v/>
      </c>
      <c r="X402" s="314" t="str">
        <f>IF(tblPiNAnalysis[[#This Row],[Nutrition]]="", "", tblPiNAnalysis[[#This Row],[Nutrition]]/tblPiNAnalysis[[#This Row],[Total Population]])</f>
        <v/>
      </c>
      <c r="Y402" s="314" t="str">
        <f>IF(tblPiNAnalysis[[#This Row],[Protection]]="", "", tblPiNAnalysis[[#This Row],[Protection]]/tblPiNAnalysis[[#This Row],[Total Population]])</f>
        <v/>
      </c>
      <c r="Z402" s="316">
        <f>IF(tblPiNAnalysis[[#This Row],[Shelter NFI ]]="", "", tblPiNAnalysis[[#This Row],[Shelter NFI ]]/tblPiNAnalysis[[#This Row],[Total Population]])</f>
        <v>2.257771268402313E-2</v>
      </c>
      <c r="AA402" s="317" t="str">
        <f>IF(tblPiNAnalysis[[#This Row],[WASH]]="", "", tblPiNAnalysis[[#This Row],[WASH]]/tblPiNAnalysis[[#This Row],[Total Population]])</f>
        <v/>
      </c>
      <c r="AB402" s="318" t="str">
        <f>IFERROR(IF(tblPiNAnalysis[[#This Row],[CP]]="", "", MROUND(tblPiNAnalysis[[#This Row],[CP]]/tblPiNAnalysis[[#This Row],[Total Population]], 0.05)), "")</f>
        <v/>
      </c>
      <c r="AC402" s="314" t="str">
        <f>IFERROR(IF(tblPiNAnalysis[[#This Row],[GBV]]="", "", MROUND(tblPiNAnalysis[[#This Row],[GBV]]/tblPiNAnalysis[[#This Row],[Total Population]], 0.05)), "")</f>
        <v/>
      </c>
      <c r="AD402" s="314" t="str">
        <f>IFERROR(IF(tblPiNAnalysis[[#This Row],[Mine Action]]="", "", MROUND(tblPiNAnalysis[[#This Row],[Mine Action]]/tblPiNAnalysis[[#This Row],[Total Population]], 0.05)), "")</f>
        <v/>
      </c>
      <c r="AE402" s="314" t="str">
        <f>IFERROR(IF(tblPiNAnalysis[[#This Row],[General Protection]]="", "", MROUND(tblPiNAnalysis[[#This Row],[General Protection]]/tblPiNAnalysis[[#This Row],[Total Population]], 0.05)), "")</f>
        <v/>
      </c>
      <c r="AF402" s="319">
        <f>IFERROR(LARGE(tblPiNAnalysis[[#This Row],[Site Management ]:[General Protection]], 1), "")</f>
        <v>8941</v>
      </c>
      <c r="AG402" s="320">
        <f>IF(tblPiNAnalysis[[#This Row],[Highest PiN]]="", "",tblPiNAnalysis[[#This Row],[Highest PiN]]/ tblPiNAnalysis[[#This Row],[Total Population]])</f>
        <v>2.257771268402313E-2</v>
      </c>
      <c r="AH402" s="320" t="str">
        <f>IFERROR(IF(tblPiNAnalysis[[#This Row],[Highest PiN]]="", "", IF(tblPiNAnalysis[[#This Row],[Highest sector(s'') PiN %]]&gt;=flag_pin_perc, "Flagged", "")), "")</f>
        <v/>
      </c>
      <c r="AI402" s="321"/>
      <c r="AJ402" s="322"/>
      <c r="AK402" s="323">
        <f>COUNTIFS(tblPiNAnalysis[[#This Row],[Highest PiN greater than 90% of total affected population]:[Manual Flag]],"Flagged")</f>
        <v>0</v>
      </c>
      <c r="AL402" s="324" t="str">
        <f>IF(tblPiNAnalysis[[#This Row],['# Flags]]&gt;0, "Flagged", "")</f>
        <v/>
      </c>
    </row>
    <row r="403" spans="1:38" ht="23.1" hidden="1" customHeight="1" x14ac:dyDescent="0.2">
      <c r="A403" s="309" t="str">
        <f>_xlfn.CONCAT(IF(tblPiNAnalysis[[#This Row],[Population Group]]="", "",tblPiNAnalysis[[#This Row],[Population Group]] ), _xlfn.IFS(tblPiNAnalysis[[#This Row],[Admin 2 P-Code]]&lt;&gt;"", tblPiNAnalysis[[#This Row],[Admin 2 P-Code]], tblPiNAnalysis[[#This Row],[Admin 1 P-Code]]&lt;&gt;"", tblPiNAnalysis[[#This Row],[Admin 1 P-Code]]))</f>
        <v>Host CommunitySD12081</v>
      </c>
      <c r="B403" s="245" t="s">
        <v>158</v>
      </c>
      <c r="C403" s="246" t="s">
        <v>129</v>
      </c>
      <c r="D403" s="247" t="s">
        <v>460</v>
      </c>
      <c r="E403" s="246" t="s">
        <v>461</v>
      </c>
      <c r="F403" s="248">
        <v>32365</v>
      </c>
      <c r="G403" s="248" t="s">
        <v>87</v>
      </c>
      <c r="H403" s="310"/>
      <c r="I403" s="311"/>
      <c r="J403" s="312"/>
      <c r="K403" s="311"/>
      <c r="L403" s="311"/>
      <c r="M403" s="312"/>
      <c r="N403" s="312">
        <f>_xlfn.XLOOKUP(CONCATENATE(tblPiNAnalysis[[#This Row],[Admin 2 P-Code]],tblPiNAnalysis[[#This Row],[Population Group]]),'Overall severity &amp; PIN Analysis'!A:A,'Overall severity &amp; PIN Analysis'!P:P,0,0)</f>
        <v>6169</v>
      </c>
      <c r="O403" s="311"/>
      <c r="P403" s="312"/>
      <c r="Q403" s="312"/>
      <c r="R403" s="312"/>
      <c r="S403" s="312"/>
      <c r="T403" s="313" t="str">
        <f>IF(tblPiNAnalysis[[#This Row],[Site Management ]]="", "", tblPiNAnalysis[[#This Row],[Site Management ]]/tblPiNAnalysis[[#This Row],[Total Population]])</f>
        <v/>
      </c>
      <c r="U403" s="314" t="str">
        <f>IF(tblPiNAnalysis[[#This Row],[Education]]="", "", tblPiNAnalysis[[#This Row],[Education]]/tblPiNAnalysis[[#This Row],[Total Population]])</f>
        <v/>
      </c>
      <c r="V403" s="314" t="str">
        <f>IF(tblPiNAnalysis[[#This Row],[Food Security and Livlihoods]]="", "", tblPiNAnalysis[[#This Row],[Food Security and Livlihoods]]/tblPiNAnalysis[[#This Row],[Total Population]])</f>
        <v/>
      </c>
      <c r="W403" s="315" t="str">
        <f>IF(tblPiNAnalysis[[#This Row],[Health ]]="", "", tblPiNAnalysis[[#This Row],[Health ]]/tblPiNAnalysis[[#This Row],[Total Population]])</f>
        <v/>
      </c>
      <c r="X403" s="314" t="str">
        <f>IF(tblPiNAnalysis[[#This Row],[Nutrition]]="", "", tblPiNAnalysis[[#This Row],[Nutrition]]/tblPiNAnalysis[[#This Row],[Total Population]])</f>
        <v/>
      </c>
      <c r="Y403" s="314" t="str">
        <f>IF(tblPiNAnalysis[[#This Row],[Protection]]="", "", tblPiNAnalysis[[#This Row],[Protection]]/tblPiNAnalysis[[#This Row],[Total Population]])</f>
        <v/>
      </c>
      <c r="Z403" s="316">
        <f>IF(tblPiNAnalysis[[#This Row],[Shelter NFI ]]="", "", tblPiNAnalysis[[#This Row],[Shelter NFI ]]/tblPiNAnalysis[[#This Row],[Total Population]])</f>
        <v>0.19060713733971882</v>
      </c>
      <c r="AA403" s="317" t="str">
        <f>IF(tblPiNAnalysis[[#This Row],[WASH]]="", "", tblPiNAnalysis[[#This Row],[WASH]]/tblPiNAnalysis[[#This Row],[Total Population]])</f>
        <v/>
      </c>
      <c r="AB403" s="318" t="str">
        <f>IFERROR(IF(tblPiNAnalysis[[#This Row],[CP]]="", "", MROUND(tblPiNAnalysis[[#This Row],[CP]]/tblPiNAnalysis[[#This Row],[Total Population]], 0.05)), "")</f>
        <v/>
      </c>
      <c r="AC403" s="314" t="str">
        <f>IFERROR(IF(tblPiNAnalysis[[#This Row],[GBV]]="", "", MROUND(tblPiNAnalysis[[#This Row],[GBV]]/tblPiNAnalysis[[#This Row],[Total Population]], 0.05)), "")</f>
        <v/>
      </c>
      <c r="AD403" s="314" t="str">
        <f>IFERROR(IF(tblPiNAnalysis[[#This Row],[Mine Action]]="", "", MROUND(tblPiNAnalysis[[#This Row],[Mine Action]]/tblPiNAnalysis[[#This Row],[Total Population]], 0.05)), "")</f>
        <v/>
      </c>
      <c r="AE403" s="314" t="str">
        <f>IFERROR(IF(tblPiNAnalysis[[#This Row],[General Protection]]="", "", MROUND(tblPiNAnalysis[[#This Row],[General Protection]]/tblPiNAnalysis[[#This Row],[Total Population]], 0.05)), "")</f>
        <v/>
      </c>
      <c r="AF403" s="319">
        <f>IFERROR(LARGE(tblPiNAnalysis[[#This Row],[Site Management ]:[General Protection]], 1), "")</f>
        <v>6169</v>
      </c>
      <c r="AG403" s="320">
        <f>IF(tblPiNAnalysis[[#This Row],[Highest PiN]]="", "",tblPiNAnalysis[[#This Row],[Highest PiN]]/ tblPiNAnalysis[[#This Row],[Total Population]])</f>
        <v>0.19060713733971882</v>
      </c>
      <c r="AH403" s="320" t="str">
        <f>IFERROR(IF(tblPiNAnalysis[[#This Row],[Highest PiN]]="", "", IF(tblPiNAnalysis[[#This Row],[Highest sector(s'') PiN %]]&gt;=flag_pin_perc, "Flagged", "")), "")</f>
        <v/>
      </c>
      <c r="AI403" s="321"/>
      <c r="AJ403" s="322"/>
      <c r="AK403" s="323">
        <f>COUNTIFS(tblPiNAnalysis[[#This Row],[Highest PiN greater than 90% of total affected population]:[Manual Flag]],"Flagged")</f>
        <v>0</v>
      </c>
      <c r="AL403" s="324" t="str">
        <f>IF(tblPiNAnalysis[[#This Row],['# Flags]]&gt;0, "Flagged", "")</f>
        <v/>
      </c>
    </row>
    <row r="404" spans="1:38" ht="23.1" hidden="1" customHeight="1" x14ac:dyDescent="0.2">
      <c r="A404" s="309" t="str">
        <f>_xlfn.CONCAT(IF(tblPiNAnalysis[[#This Row],[Population Group]]="", "",tblPiNAnalysis[[#This Row],[Population Group]] ), _xlfn.IFS(tblPiNAnalysis[[#This Row],[Admin 2 P-Code]]&lt;&gt;"", tblPiNAnalysis[[#This Row],[Admin 2 P-Code]], tblPiNAnalysis[[#This Row],[Admin 1 P-Code]]&lt;&gt;"", tblPiNAnalysis[[#This Row],[Admin 1 P-Code]]))</f>
        <v>IDPsSD12081</v>
      </c>
      <c r="B404" s="245" t="s">
        <v>158</v>
      </c>
      <c r="C404" s="246" t="s">
        <v>129</v>
      </c>
      <c r="D404" s="247" t="s">
        <v>460</v>
      </c>
      <c r="E404" s="246" t="s">
        <v>461</v>
      </c>
      <c r="F404" s="248">
        <v>25648</v>
      </c>
      <c r="G404" s="248" t="s">
        <v>88</v>
      </c>
      <c r="H404" s="310"/>
      <c r="I404" s="311"/>
      <c r="J404" s="311"/>
      <c r="K404" s="311"/>
      <c r="L404" s="311"/>
      <c r="M404" s="311"/>
      <c r="N404" s="311">
        <f>_xlfn.XLOOKUP(CONCATENATE(tblPiNAnalysis[[#This Row],[Admin 2 P-Code]],tblPiNAnalysis[[#This Row],[Population Group]]),'Overall severity &amp; PIN Analysis'!A:A,'Overall severity &amp; PIN Analysis'!P:P,0,0)</f>
        <v>4888</v>
      </c>
      <c r="O404" s="311"/>
      <c r="P404" s="311"/>
      <c r="Q404" s="311"/>
      <c r="R404" s="311"/>
      <c r="S404" s="311"/>
      <c r="T404" s="326" t="str">
        <f>IF(tblPiNAnalysis[[#This Row],[Site Management ]]="", "", tblPiNAnalysis[[#This Row],[Site Management ]]/tblPiNAnalysis[[#This Row],[Total Population]])</f>
        <v/>
      </c>
      <c r="U404" s="315" t="str">
        <f>IF(tblPiNAnalysis[[#This Row],[Education]]="", "", tblPiNAnalysis[[#This Row],[Education]]/tblPiNAnalysis[[#This Row],[Total Population]])</f>
        <v/>
      </c>
      <c r="V404" s="315" t="str">
        <f>IF(tblPiNAnalysis[[#This Row],[Food Security and Livlihoods]]="", "", tblPiNAnalysis[[#This Row],[Food Security and Livlihoods]]/tblPiNAnalysis[[#This Row],[Total Population]])</f>
        <v/>
      </c>
      <c r="W404" s="315" t="str">
        <f>IF(tblPiNAnalysis[[#This Row],[Health ]]="", "", tblPiNAnalysis[[#This Row],[Health ]]/tblPiNAnalysis[[#This Row],[Total Population]])</f>
        <v/>
      </c>
      <c r="X404" s="315" t="str">
        <f>IF(tblPiNAnalysis[[#This Row],[Nutrition]]="", "", tblPiNAnalysis[[#This Row],[Nutrition]]/tblPiNAnalysis[[#This Row],[Total Population]])</f>
        <v/>
      </c>
      <c r="Y404" s="315" t="str">
        <f>IF(tblPiNAnalysis[[#This Row],[Protection]]="", "", tblPiNAnalysis[[#This Row],[Protection]]/tblPiNAnalysis[[#This Row],[Total Population]])</f>
        <v/>
      </c>
      <c r="Z404" s="327">
        <f>IF(tblPiNAnalysis[[#This Row],[Shelter NFI ]]="", "", tblPiNAnalysis[[#This Row],[Shelter NFI ]]/tblPiNAnalysis[[#This Row],[Total Population]])</f>
        <v>0.19058016219588272</v>
      </c>
      <c r="AA404" s="328" t="str">
        <f>IF(tblPiNAnalysis[[#This Row],[WASH]]="", "", tblPiNAnalysis[[#This Row],[WASH]]/tblPiNAnalysis[[#This Row],[Total Population]])</f>
        <v/>
      </c>
      <c r="AB404" s="329" t="str">
        <f>IFERROR(IF(tblPiNAnalysis[[#This Row],[CP]]="", "", MROUND(tblPiNAnalysis[[#This Row],[CP]]/tblPiNAnalysis[[#This Row],[Total Population]], 0.05)), "")</f>
        <v/>
      </c>
      <c r="AC404" s="315" t="str">
        <f>IFERROR(IF(tblPiNAnalysis[[#This Row],[GBV]]="", "", MROUND(tblPiNAnalysis[[#This Row],[GBV]]/tblPiNAnalysis[[#This Row],[Total Population]], 0.05)), "")</f>
        <v/>
      </c>
      <c r="AD404" s="315" t="str">
        <f>IFERROR(IF(tblPiNAnalysis[[#This Row],[Mine Action]]="", "", MROUND(tblPiNAnalysis[[#This Row],[Mine Action]]/tblPiNAnalysis[[#This Row],[Total Population]], 0.05)), "")</f>
        <v/>
      </c>
      <c r="AE404" s="315" t="str">
        <f>IFERROR(IF(tblPiNAnalysis[[#This Row],[General Protection]]="", "", MROUND(tblPiNAnalysis[[#This Row],[General Protection]]/tblPiNAnalysis[[#This Row],[Total Population]], 0.05)), "")</f>
        <v/>
      </c>
      <c r="AF404" s="319">
        <f>IFERROR(LARGE(tblPiNAnalysis[[#This Row],[Site Management ]:[General Protection]], 1), "")</f>
        <v>4888</v>
      </c>
      <c r="AG404" s="330">
        <f>IF(tblPiNAnalysis[[#This Row],[Highest PiN]]="", "",tblPiNAnalysis[[#This Row],[Highest PiN]]/ tblPiNAnalysis[[#This Row],[Total Population]])</f>
        <v>0.19058016219588272</v>
      </c>
      <c r="AH404" s="330" t="str">
        <f>IFERROR(IF(tblPiNAnalysis[[#This Row],[Highest PiN]]="", "", IF(tblPiNAnalysis[[#This Row],[Highest sector(s'') PiN %]]&gt;=flag_pin_perc, "Flagged", "")), "")</f>
        <v/>
      </c>
      <c r="AI404" s="321"/>
      <c r="AJ404" s="322"/>
      <c r="AK404" s="323">
        <f>COUNTIFS(tblPiNAnalysis[[#This Row],[Highest PiN greater than 90% of total affected population]:[Manual Flag]],"Flagged")</f>
        <v>0</v>
      </c>
      <c r="AL404" s="331" t="str">
        <f>IF(tblPiNAnalysis[[#This Row],['# Flags]]&gt;0, "Flagged", "")</f>
        <v/>
      </c>
    </row>
    <row r="405" spans="1:38" ht="23.1" customHeight="1" x14ac:dyDescent="0.2">
      <c r="A405" s="309" t="str">
        <f>_xlfn.CONCAT(IF(tblPiNAnalysis[[#This Row],[Population Group]]="", "",tblPiNAnalysis[[#This Row],[Population Group]] ), _xlfn.IFS(tblPiNAnalysis[[#This Row],[Admin 2 P-Code]]&lt;&gt;"", tblPiNAnalysis[[#This Row],[Admin 2 P-Code]], tblPiNAnalysis[[#This Row],[Admin 1 P-Code]]&lt;&gt;"", tblPiNAnalysis[[#This Row],[Admin 1 P-Code]]))</f>
        <v>Non-hosting PopulationSD12081</v>
      </c>
      <c r="B405" s="245" t="s">
        <v>158</v>
      </c>
      <c r="C405" s="246" t="s">
        <v>129</v>
      </c>
      <c r="D405" s="247" t="s">
        <v>460</v>
      </c>
      <c r="E405" s="246" t="s">
        <v>461</v>
      </c>
      <c r="F405" s="248">
        <v>177476</v>
      </c>
      <c r="G405" s="248" t="s">
        <v>568</v>
      </c>
      <c r="H405" s="310"/>
      <c r="I405" s="311"/>
      <c r="J405" s="312"/>
      <c r="K405" s="311"/>
      <c r="L405" s="311"/>
      <c r="M405" s="312"/>
      <c r="N405" s="312">
        <f>_xlfn.XLOOKUP(CONCATENATE(tblPiNAnalysis[[#This Row],[Admin 2 P-Code]],tblPiNAnalysis[[#This Row],[Population Group]]),'Overall severity &amp; PIN Analysis'!A:A,'Overall severity &amp; PIN Analysis'!P:P,0,0)</f>
        <v>13782</v>
      </c>
      <c r="O405" s="311"/>
      <c r="P405" s="312"/>
      <c r="Q405" s="312"/>
      <c r="R405" s="312"/>
      <c r="S405" s="312"/>
      <c r="T405" s="313" t="str">
        <f>IF(tblPiNAnalysis[[#This Row],[Site Management ]]="", "", tblPiNAnalysis[[#This Row],[Site Management ]]/tblPiNAnalysis[[#This Row],[Total Population]])</f>
        <v/>
      </c>
      <c r="U405" s="314" t="str">
        <f>IF(tblPiNAnalysis[[#This Row],[Education]]="", "", tblPiNAnalysis[[#This Row],[Education]]/tblPiNAnalysis[[#This Row],[Total Population]])</f>
        <v/>
      </c>
      <c r="V405" s="314" t="str">
        <f>IF(tblPiNAnalysis[[#This Row],[Food Security and Livlihoods]]="", "", tblPiNAnalysis[[#This Row],[Food Security and Livlihoods]]/tblPiNAnalysis[[#This Row],[Total Population]])</f>
        <v/>
      </c>
      <c r="W405" s="315" t="str">
        <f>IF(tblPiNAnalysis[[#This Row],[Health ]]="", "", tblPiNAnalysis[[#This Row],[Health ]]/tblPiNAnalysis[[#This Row],[Total Population]])</f>
        <v/>
      </c>
      <c r="X405" s="314" t="str">
        <f>IF(tblPiNAnalysis[[#This Row],[Nutrition]]="", "", tblPiNAnalysis[[#This Row],[Nutrition]]/tblPiNAnalysis[[#This Row],[Total Population]])</f>
        <v/>
      </c>
      <c r="Y405" s="314" t="str">
        <f>IF(tblPiNAnalysis[[#This Row],[Protection]]="", "", tblPiNAnalysis[[#This Row],[Protection]]/tblPiNAnalysis[[#This Row],[Total Population]])</f>
        <v/>
      </c>
      <c r="Z405" s="316">
        <f>IF(tblPiNAnalysis[[#This Row],[Shelter NFI ]]="", "", tblPiNAnalysis[[#This Row],[Shelter NFI ]]/tblPiNAnalysis[[#This Row],[Total Population]])</f>
        <v>7.7655570330636262E-2</v>
      </c>
      <c r="AA405" s="317" t="str">
        <f>IF(tblPiNAnalysis[[#This Row],[WASH]]="", "", tblPiNAnalysis[[#This Row],[WASH]]/tblPiNAnalysis[[#This Row],[Total Population]])</f>
        <v/>
      </c>
      <c r="AB405" s="318" t="str">
        <f>IFERROR(IF(tblPiNAnalysis[[#This Row],[CP]]="", "", MROUND(tblPiNAnalysis[[#This Row],[CP]]/tblPiNAnalysis[[#This Row],[Total Population]], 0.05)), "")</f>
        <v/>
      </c>
      <c r="AC405" s="314" t="str">
        <f>IFERROR(IF(tblPiNAnalysis[[#This Row],[GBV]]="", "", MROUND(tblPiNAnalysis[[#This Row],[GBV]]/tblPiNAnalysis[[#This Row],[Total Population]], 0.05)), "")</f>
        <v/>
      </c>
      <c r="AD405" s="314" t="str">
        <f>IFERROR(IF(tblPiNAnalysis[[#This Row],[Mine Action]]="", "", MROUND(tblPiNAnalysis[[#This Row],[Mine Action]]/tblPiNAnalysis[[#This Row],[Total Population]], 0.05)), "")</f>
        <v/>
      </c>
      <c r="AE405" s="314" t="str">
        <f>IFERROR(IF(tblPiNAnalysis[[#This Row],[General Protection]]="", "", MROUND(tblPiNAnalysis[[#This Row],[General Protection]]/tblPiNAnalysis[[#This Row],[Total Population]], 0.05)), "")</f>
        <v/>
      </c>
      <c r="AF405" s="319">
        <f>IFERROR(LARGE(tblPiNAnalysis[[#This Row],[Site Management ]:[General Protection]], 1), "")</f>
        <v>13782</v>
      </c>
      <c r="AG405" s="320">
        <f>IF(tblPiNAnalysis[[#This Row],[Highest PiN]]="", "",tblPiNAnalysis[[#This Row],[Highest PiN]]/ tblPiNAnalysis[[#This Row],[Total Population]])</f>
        <v>7.7655570330636262E-2</v>
      </c>
      <c r="AH405" s="320" t="str">
        <f>IFERROR(IF(tblPiNAnalysis[[#This Row],[Highest PiN]]="", "", IF(tblPiNAnalysis[[#This Row],[Highest sector(s'') PiN %]]&gt;=flag_pin_perc, "Flagged", "")), "")</f>
        <v/>
      </c>
      <c r="AI405" s="321"/>
      <c r="AJ405" s="322"/>
      <c r="AK405" s="323">
        <f>COUNTIFS(tblPiNAnalysis[[#This Row],[Highest PiN greater than 90% of total affected population]:[Manual Flag]],"Flagged")</f>
        <v>0</v>
      </c>
      <c r="AL405" s="324" t="str">
        <f>IF(tblPiNAnalysis[[#This Row],['# Flags]]&gt;0, "Flagged", "")</f>
        <v/>
      </c>
    </row>
    <row r="406" spans="1:38" ht="23.1" hidden="1" customHeight="1" x14ac:dyDescent="0.2">
      <c r="A406" s="309" t="str">
        <f>_xlfn.CONCAT(IF(tblPiNAnalysis[[#This Row],[Population Group]]="", "",tblPiNAnalysis[[#This Row],[Population Group]] ), _xlfn.IFS(tblPiNAnalysis[[#This Row],[Admin 2 P-Code]]&lt;&gt;"", tblPiNAnalysis[[#This Row],[Admin 2 P-Code]], tblPiNAnalysis[[#This Row],[Admin 1 P-Code]]&lt;&gt;"", tblPiNAnalysis[[#This Row],[Admin 1 P-Code]]))</f>
        <v>Host CommunitySD12082</v>
      </c>
      <c r="B406" s="245" t="s">
        <v>158</v>
      </c>
      <c r="C406" s="246" t="s">
        <v>129</v>
      </c>
      <c r="D406" s="247" t="s">
        <v>462</v>
      </c>
      <c r="E406" s="246" t="s">
        <v>463</v>
      </c>
      <c r="F406" s="248">
        <v>92865</v>
      </c>
      <c r="G406" s="248" t="s">
        <v>87</v>
      </c>
      <c r="H406" s="310"/>
      <c r="I406" s="311"/>
      <c r="J406" s="312"/>
      <c r="K406" s="311"/>
      <c r="L406" s="311"/>
      <c r="M406" s="312"/>
      <c r="N406" s="312">
        <f>_xlfn.XLOOKUP(CONCATENATE(tblPiNAnalysis[[#This Row],[Admin 2 P-Code]],tblPiNAnalysis[[#This Row],[Population Group]]),'Overall severity &amp; PIN Analysis'!A:A,'Overall severity &amp; PIN Analysis'!P:P,0,0)</f>
        <v>39139</v>
      </c>
      <c r="O406" s="311"/>
      <c r="P406" s="312"/>
      <c r="Q406" s="312"/>
      <c r="R406" s="312"/>
      <c r="S406" s="312"/>
      <c r="T406" s="313" t="str">
        <f>IF(tblPiNAnalysis[[#This Row],[Site Management ]]="", "", tblPiNAnalysis[[#This Row],[Site Management ]]/tblPiNAnalysis[[#This Row],[Total Population]])</f>
        <v/>
      </c>
      <c r="U406" s="314" t="str">
        <f>IF(tblPiNAnalysis[[#This Row],[Education]]="", "", tblPiNAnalysis[[#This Row],[Education]]/tblPiNAnalysis[[#This Row],[Total Population]])</f>
        <v/>
      </c>
      <c r="V406" s="314" t="str">
        <f>IF(tblPiNAnalysis[[#This Row],[Food Security and Livlihoods]]="", "", tblPiNAnalysis[[#This Row],[Food Security and Livlihoods]]/tblPiNAnalysis[[#This Row],[Total Population]])</f>
        <v/>
      </c>
      <c r="W406" s="315" t="str">
        <f>IF(tblPiNAnalysis[[#This Row],[Health ]]="", "", tblPiNAnalysis[[#This Row],[Health ]]/tblPiNAnalysis[[#This Row],[Total Population]])</f>
        <v/>
      </c>
      <c r="X406" s="314" t="str">
        <f>IF(tblPiNAnalysis[[#This Row],[Nutrition]]="", "", tblPiNAnalysis[[#This Row],[Nutrition]]/tblPiNAnalysis[[#This Row],[Total Population]])</f>
        <v/>
      </c>
      <c r="Y406" s="314" t="str">
        <f>IF(tblPiNAnalysis[[#This Row],[Protection]]="", "", tblPiNAnalysis[[#This Row],[Protection]]/tblPiNAnalysis[[#This Row],[Total Population]])</f>
        <v/>
      </c>
      <c r="Z406" s="316">
        <f>IF(tblPiNAnalysis[[#This Row],[Shelter NFI ]]="", "", tblPiNAnalysis[[#This Row],[Shelter NFI ]]/tblPiNAnalysis[[#This Row],[Total Population]])</f>
        <v>0.42146126097022557</v>
      </c>
      <c r="AA406" s="317" t="str">
        <f>IF(tblPiNAnalysis[[#This Row],[WASH]]="", "", tblPiNAnalysis[[#This Row],[WASH]]/tblPiNAnalysis[[#This Row],[Total Population]])</f>
        <v/>
      </c>
      <c r="AB406" s="318" t="str">
        <f>IFERROR(IF(tblPiNAnalysis[[#This Row],[CP]]="", "", MROUND(tblPiNAnalysis[[#This Row],[CP]]/tblPiNAnalysis[[#This Row],[Total Population]], 0.05)), "")</f>
        <v/>
      </c>
      <c r="AC406" s="314" t="str">
        <f>IFERROR(IF(tblPiNAnalysis[[#This Row],[GBV]]="", "", MROUND(tblPiNAnalysis[[#This Row],[GBV]]/tblPiNAnalysis[[#This Row],[Total Population]], 0.05)), "")</f>
        <v/>
      </c>
      <c r="AD406" s="314" t="str">
        <f>IFERROR(IF(tblPiNAnalysis[[#This Row],[Mine Action]]="", "", MROUND(tblPiNAnalysis[[#This Row],[Mine Action]]/tblPiNAnalysis[[#This Row],[Total Population]], 0.05)), "")</f>
        <v/>
      </c>
      <c r="AE406" s="314" t="str">
        <f>IFERROR(IF(tblPiNAnalysis[[#This Row],[General Protection]]="", "", MROUND(tblPiNAnalysis[[#This Row],[General Protection]]/tblPiNAnalysis[[#This Row],[Total Population]], 0.05)), "")</f>
        <v/>
      </c>
      <c r="AF406" s="319">
        <f>IFERROR(LARGE(tblPiNAnalysis[[#This Row],[Site Management ]:[General Protection]], 1), "")</f>
        <v>39139</v>
      </c>
      <c r="AG406" s="320">
        <f>IF(tblPiNAnalysis[[#This Row],[Highest PiN]]="", "",tblPiNAnalysis[[#This Row],[Highest PiN]]/ tblPiNAnalysis[[#This Row],[Total Population]])</f>
        <v>0.42146126097022557</v>
      </c>
      <c r="AH406" s="320" t="str">
        <f>IFERROR(IF(tblPiNAnalysis[[#This Row],[Highest PiN]]="", "", IF(tblPiNAnalysis[[#This Row],[Highest sector(s'') PiN %]]&gt;=flag_pin_perc, "Flagged", "")), "")</f>
        <v/>
      </c>
      <c r="AI406" s="321"/>
      <c r="AJ406" s="322"/>
      <c r="AK406" s="323">
        <f>COUNTIFS(tblPiNAnalysis[[#This Row],[Highest PiN greater than 90% of total affected population]:[Manual Flag]],"Flagged")</f>
        <v>0</v>
      </c>
      <c r="AL406" s="324" t="str">
        <f>IF(tblPiNAnalysis[[#This Row],['# Flags]]&gt;0, "Flagged", "")</f>
        <v/>
      </c>
    </row>
    <row r="407" spans="1:38" ht="23.1" hidden="1" customHeight="1" x14ac:dyDescent="0.2">
      <c r="A407" s="309" t="str">
        <f>_xlfn.CONCAT(IF(tblPiNAnalysis[[#This Row],[Population Group]]="", "",tblPiNAnalysis[[#This Row],[Population Group]] ), _xlfn.IFS(tblPiNAnalysis[[#This Row],[Admin 2 P-Code]]&lt;&gt;"", tblPiNAnalysis[[#This Row],[Admin 2 P-Code]], tblPiNAnalysis[[#This Row],[Admin 1 P-Code]]&lt;&gt;"", tblPiNAnalysis[[#This Row],[Admin 1 P-Code]]))</f>
        <v>IDPsSD12082</v>
      </c>
      <c r="B407" s="245" t="s">
        <v>158</v>
      </c>
      <c r="C407" s="246" t="s">
        <v>129</v>
      </c>
      <c r="D407" s="247" t="s">
        <v>462</v>
      </c>
      <c r="E407" s="246" t="s">
        <v>463</v>
      </c>
      <c r="F407" s="248">
        <v>97820</v>
      </c>
      <c r="G407" s="248" t="s">
        <v>88</v>
      </c>
      <c r="H407" s="310"/>
      <c r="I407" s="311"/>
      <c r="J407" s="311"/>
      <c r="K407" s="311"/>
      <c r="L407" s="311"/>
      <c r="M407" s="311"/>
      <c r="N407" s="311">
        <f>_xlfn.XLOOKUP(CONCATENATE(tblPiNAnalysis[[#This Row],[Admin 2 P-Code]],tblPiNAnalysis[[#This Row],[Population Group]]),'Overall severity &amp; PIN Analysis'!A:A,'Overall severity &amp; PIN Analysis'!P:P,0,0)</f>
        <v>41227</v>
      </c>
      <c r="O407" s="311"/>
      <c r="P407" s="311"/>
      <c r="Q407" s="311"/>
      <c r="R407" s="311"/>
      <c r="S407" s="311"/>
      <c r="T407" s="326" t="str">
        <f>IF(tblPiNAnalysis[[#This Row],[Site Management ]]="", "", tblPiNAnalysis[[#This Row],[Site Management ]]/tblPiNAnalysis[[#This Row],[Total Population]])</f>
        <v/>
      </c>
      <c r="U407" s="315" t="str">
        <f>IF(tblPiNAnalysis[[#This Row],[Education]]="", "", tblPiNAnalysis[[#This Row],[Education]]/tblPiNAnalysis[[#This Row],[Total Population]])</f>
        <v/>
      </c>
      <c r="V407" s="315" t="str">
        <f>IF(tblPiNAnalysis[[#This Row],[Food Security and Livlihoods]]="", "", tblPiNAnalysis[[#This Row],[Food Security and Livlihoods]]/tblPiNAnalysis[[#This Row],[Total Population]])</f>
        <v/>
      </c>
      <c r="W407" s="315" t="str">
        <f>IF(tblPiNAnalysis[[#This Row],[Health ]]="", "", tblPiNAnalysis[[#This Row],[Health ]]/tblPiNAnalysis[[#This Row],[Total Population]])</f>
        <v/>
      </c>
      <c r="X407" s="315" t="str">
        <f>IF(tblPiNAnalysis[[#This Row],[Nutrition]]="", "", tblPiNAnalysis[[#This Row],[Nutrition]]/tblPiNAnalysis[[#This Row],[Total Population]])</f>
        <v/>
      </c>
      <c r="Y407" s="315" t="str">
        <f>IF(tblPiNAnalysis[[#This Row],[Protection]]="", "", tblPiNAnalysis[[#This Row],[Protection]]/tblPiNAnalysis[[#This Row],[Total Population]])</f>
        <v/>
      </c>
      <c r="Z407" s="327">
        <f>IF(tblPiNAnalysis[[#This Row],[Shelter NFI ]]="", "", tblPiNAnalysis[[#This Row],[Shelter NFI ]]/tblPiNAnalysis[[#This Row],[Total Population]])</f>
        <v>0.42145777959517483</v>
      </c>
      <c r="AA407" s="328" t="str">
        <f>IF(tblPiNAnalysis[[#This Row],[WASH]]="", "", tblPiNAnalysis[[#This Row],[WASH]]/tblPiNAnalysis[[#This Row],[Total Population]])</f>
        <v/>
      </c>
      <c r="AB407" s="329" t="str">
        <f>IFERROR(IF(tblPiNAnalysis[[#This Row],[CP]]="", "", MROUND(tblPiNAnalysis[[#This Row],[CP]]/tblPiNAnalysis[[#This Row],[Total Population]], 0.05)), "")</f>
        <v/>
      </c>
      <c r="AC407" s="315" t="str">
        <f>IFERROR(IF(tblPiNAnalysis[[#This Row],[GBV]]="", "", MROUND(tblPiNAnalysis[[#This Row],[GBV]]/tblPiNAnalysis[[#This Row],[Total Population]], 0.05)), "")</f>
        <v/>
      </c>
      <c r="AD407" s="315" t="str">
        <f>IFERROR(IF(tblPiNAnalysis[[#This Row],[Mine Action]]="", "", MROUND(tblPiNAnalysis[[#This Row],[Mine Action]]/tblPiNAnalysis[[#This Row],[Total Population]], 0.05)), "")</f>
        <v/>
      </c>
      <c r="AE407" s="315" t="str">
        <f>IFERROR(IF(tblPiNAnalysis[[#This Row],[General Protection]]="", "", MROUND(tblPiNAnalysis[[#This Row],[General Protection]]/tblPiNAnalysis[[#This Row],[Total Population]], 0.05)), "")</f>
        <v/>
      </c>
      <c r="AF407" s="319">
        <f>IFERROR(LARGE(tblPiNAnalysis[[#This Row],[Site Management ]:[General Protection]], 1), "")</f>
        <v>41227</v>
      </c>
      <c r="AG407" s="330">
        <f>IF(tblPiNAnalysis[[#This Row],[Highest PiN]]="", "",tblPiNAnalysis[[#This Row],[Highest PiN]]/ tblPiNAnalysis[[#This Row],[Total Population]])</f>
        <v>0.42145777959517483</v>
      </c>
      <c r="AH407" s="330" t="str">
        <f>IFERROR(IF(tblPiNAnalysis[[#This Row],[Highest PiN]]="", "", IF(tblPiNAnalysis[[#This Row],[Highest sector(s'') PiN %]]&gt;=flag_pin_perc, "Flagged", "")), "")</f>
        <v/>
      </c>
      <c r="AI407" s="321"/>
      <c r="AJ407" s="322"/>
      <c r="AK407" s="323">
        <f>COUNTIFS(tblPiNAnalysis[[#This Row],[Highest PiN greater than 90% of total affected population]:[Manual Flag]],"Flagged")</f>
        <v>0</v>
      </c>
      <c r="AL407" s="331" t="str">
        <f>IF(tblPiNAnalysis[[#This Row],['# Flags]]&gt;0, "Flagged", "")</f>
        <v/>
      </c>
    </row>
    <row r="408" spans="1:38" ht="23.1" customHeight="1" x14ac:dyDescent="0.2">
      <c r="A408" s="309" t="str">
        <f>_xlfn.CONCAT(IF(tblPiNAnalysis[[#This Row],[Population Group]]="", "",tblPiNAnalysis[[#This Row],[Population Group]] ), _xlfn.IFS(tblPiNAnalysis[[#This Row],[Admin 2 P-Code]]&lt;&gt;"", tblPiNAnalysis[[#This Row],[Admin 2 P-Code]], tblPiNAnalysis[[#This Row],[Admin 1 P-Code]]&lt;&gt;"", tblPiNAnalysis[[#This Row],[Admin 1 P-Code]]))</f>
        <v>Non-hosting PopulationSD12082</v>
      </c>
      <c r="B408" s="245" t="s">
        <v>158</v>
      </c>
      <c r="C408" s="246" t="s">
        <v>129</v>
      </c>
      <c r="D408" s="247" t="s">
        <v>462</v>
      </c>
      <c r="E408" s="246" t="s">
        <v>463</v>
      </c>
      <c r="F408" s="248">
        <v>0</v>
      </c>
      <c r="G408" s="248" t="s">
        <v>568</v>
      </c>
      <c r="H408" s="310"/>
      <c r="I408" s="311"/>
      <c r="J408" s="312"/>
      <c r="K408" s="311"/>
      <c r="L408" s="311"/>
      <c r="M408" s="312"/>
      <c r="N408" s="312">
        <f>_xlfn.XLOOKUP(CONCATENATE(tblPiNAnalysis[[#This Row],[Admin 2 P-Code]],tblPiNAnalysis[[#This Row],[Population Group]]),'Overall severity &amp; PIN Analysis'!A:A,'Overall severity &amp; PIN Analysis'!P:P,0,0)</f>
        <v>0</v>
      </c>
      <c r="O408" s="311"/>
      <c r="P408" s="312"/>
      <c r="Q408" s="312"/>
      <c r="R408" s="312"/>
      <c r="S408" s="312"/>
      <c r="T408" s="313" t="str">
        <f>IF(tblPiNAnalysis[[#This Row],[Site Management ]]="", "", tblPiNAnalysis[[#This Row],[Site Management ]]/tblPiNAnalysis[[#This Row],[Total Population]])</f>
        <v/>
      </c>
      <c r="U408" s="314" t="str">
        <f>IF(tblPiNAnalysis[[#This Row],[Education]]="", "", tblPiNAnalysis[[#This Row],[Education]]/tblPiNAnalysis[[#This Row],[Total Population]])</f>
        <v/>
      </c>
      <c r="V408" s="314" t="str">
        <f>IF(tblPiNAnalysis[[#This Row],[Food Security and Livlihoods]]="", "", tblPiNAnalysis[[#This Row],[Food Security and Livlihoods]]/tblPiNAnalysis[[#This Row],[Total Population]])</f>
        <v/>
      </c>
      <c r="W408" s="315" t="str">
        <f>IF(tblPiNAnalysis[[#This Row],[Health ]]="", "", tblPiNAnalysis[[#This Row],[Health ]]/tblPiNAnalysis[[#This Row],[Total Population]])</f>
        <v/>
      </c>
      <c r="X408" s="314" t="str">
        <f>IF(tblPiNAnalysis[[#This Row],[Nutrition]]="", "", tblPiNAnalysis[[#This Row],[Nutrition]]/tblPiNAnalysis[[#This Row],[Total Population]])</f>
        <v/>
      </c>
      <c r="Y408" s="314" t="str">
        <f>IF(tblPiNAnalysis[[#This Row],[Protection]]="", "", tblPiNAnalysis[[#This Row],[Protection]]/tblPiNAnalysis[[#This Row],[Total Population]])</f>
        <v/>
      </c>
      <c r="Z408" s="316" t="e">
        <f>IF(tblPiNAnalysis[[#This Row],[Shelter NFI ]]="", "", tblPiNAnalysis[[#This Row],[Shelter NFI ]]/tblPiNAnalysis[[#This Row],[Total Population]])</f>
        <v>#DIV/0!</v>
      </c>
      <c r="AA408" s="317" t="str">
        <f>IF(tblPiNAnalysis[[#This Row],[WASH]]="", "", tblPiNAnalysis[[#This Row],[WASH]]/tblPiNAnalysis[[#This Row],[Total Population]])</f>
        <v/>
      </c>
      <c r="AB408" s="318" t="str">
        <f>IFERROR(IF(tblPiNAnalysis[[#This Row],[CP]]="", "", MROUND(tblPiNAnalysis[[#This Row],[CP]]/tblPiNAnalysis[[#This Row],[Total Population]], 0.05)), "")</f>
        <v/>
      </c>
      <c r="AC408" s="314" t="str">
        <f>IFERROR(IF(tblPiNAnalysis[[#This Row],[GBV]]="", "", MROUND(tblPiNAnalysis[[#This Row],[GBV]]/tblPiNAnalysis[[#This Row],[Total Population]], 0.05)), "")</f>
        <v/>
      </c>
      <c r="AD408" s="314" t="str">
        <f>IFERROR(IF(tblPiNAnalysis[[#This Row],[Mine Action]]="", "", MROUND(tblPiNAnalysis[[#This Row],[Mine Action]]/tblPiNAnalysis[[#This Row],[Total Population]], 0.05)), "")</f>
        <v/>
      </c>
      <c r="AE408" s="314" t="str">
        <f>IFERROR(IF(tblPiNAnalysis[[#This Row],[General Protection]]="", "", MROUND(tblPiNAnalysis[[#This Row],[General Protection]]/tblPiNAnalysis[[#This Row],[Total Population]], 0.05)), "")</f>
        <v/>
      </c>
      <c r="AF408" s="319">
        <f>IFERROR(LARGE(tblPiNAnalysis[[#This Row],[Site Management ]:[General Protection]], 1), "")</f>
        <v>0</v>
      </c>
      <c r="AG408" s="320" t="e">
        <f>IF(tblPiNAnalysis[[#This Row],[Highest PiN]]="", "",tblPiNAnalysis[[#This Row],[Highest PiN]]/ tblPiNAnalysis[[#This Row],[Total Population]])</f>
        <v>#DIV/0!</v>
      </c>
      <c r="AH408" s="320" t="str">
        <f>IFERROR(IF(tblPiNAnalysis[[#This Row],[Highest PiN]]="", "", IF(tblPiNAnalysis[[#This Row],[Highest sector(s'') PiN %]]&gt;=flag_pin_perc, "Flagged", "")), "")</f>
        <v/>
      </c>
      <c r="AI408" s="321"/>
      <c r="AJ408" s="322"/>
      <c r="AK408" s="323">
        <f>COUNTIFS(tblPiNAnalysis[[#This Row],[Highest PiN greater than 90% of total affected population]:[Manual Flag]],"Flagged")</f>
        <v>0</v>
      </c>
      <c r="AL408" s="324" t="str">
        <f>IF(tblPiNAnalysis[[#This Row],['# Flags]]&gt;0, "Flagged", "")</f>
        <v/>
      </c>
    </row>
    <row r="409" spans="1:38" ht="23.1" hidden="1" customHeight="1" x14ac:dyDescent="0.2">
      <c r="A409" s="309" t="str">
        <f>_xlfn.CONCAT(IF(tblPiNAnalysis[[#This Row],[Population Group]]="", "",tblPiNAnalysis[[#This Row],[Population Group]] ), _xlfn.IFS(tblPiNAnalysis[[#This Row],[Admin 2 P-Code]]&lt;&gt;"", tblPiNAnalysis[[#This Row],[Admin 2 P-Code]], tblPiNAnalysis[[#This Row],[Admin 1 P-Code]]&lt;&gt;"", tblPiNAnalysis[[#This Row],[Admin 1 P-Code]]))</f>
        <v>Host CommunitySD12083</v>
      </c>
      <c r="B409" s="245" t="s">
        <v>158</v>
      </c>
      <c r="C409" s="246" t="s">
        <v>129</v>
      </c>
      <c r="D409" s="247" t="s">
        <v>464</v>
      </c>
      <c r="E409" s="246" t="s">
        <v>465</v>
      </c>
      <c r="F409" s="248">
        <v>70923</v>
      </c>
      <c r="G409" s="248" t="s">
        <v>87</v>
      </c>
      <c r="H409" s="310"/>
      <c r="I409" s="311"/>
      <c r="J409" s="312"/>
      <c r="K409" s="311"/>
      <c r="L409" s="311"/>
      <c r="M409" s="312"/>
      <c r="N409" s="312">
        <f>_xlfn.XLOOKUP(CONCATENATE(tblPiNAnalysis[[#This Row],[Admin 2 P-Code]],tblPiNAnalysis[[#This Row],[Population Group]]),'Overall severity &amp; PIN Analysis'!A:A,'Overall severity &amp; PIN Analysis'!P:P,0,0)</f>
        <v>3340</v>
      </c>
      <c r="O409" s="311"/>
      <c r="P409" s="312"/>
      <c r="Q409" s="312"/>
      <c r="R409" s="312"/>
      <c r="S409" s="312"/>
      <c r="T409" s="313" t="str">
        <f>IF(tblPiNAnalysis[[#This Row],[Site Management ]]="", "", tblPiNAnalysis[[#This Row],[Site Management ]]/tblPiNAnalysis[[#This Row],[Total Population]])</f>
        <v/>
      </c>
      <c r="U409" s="314" t="str">
        <f>IF(tblPiNAnalysis[[#This Row],[Education]]="", "", tblPiNAnalysis[[#This Row],[Education]]/tblPiNAnalysis[[#This Row],[Total Population]])</f>
        <v/>
      </c>
      <c r="V409" s="314" t="str">
        <f>IF(tblPiNAnalysis[[#This Row],[Food Security and Livlihoods]]="", "", tblPiNAnalysis[[#This Row],[Food Security and Livlihoods]]/tblPiNAnalysis[[#This Row],[Total Population]])</f>
        <v/>
      </c>
      <c r="W409" s="315" t="str">
        <f>IF(tblPiNAnalysis[[#This Row],[Health ]]="", "", tblPiNAnalysis[[#This Row],[Health ]]/tblPiNAnalysis[[#This Row],[Total Population]])</f>
        <v/>
      </c>
      <c r="X409" s="314" t="str">
        <f>IF(tblPiNAnalysis[[#This Row],[Nutrition]]="", "", tblPiNAnalysis[[#This Row],[Nutrition]]/tblPiNAnalysis[[#This Row],[Total Population]])</f>
        <v/>
      </c>
      <c r="Y409" s="314" t="str">
        <f>IF(tblPiNAnalysis[[#This Row],[Protection]]="", "", tblPiNAnalysis[[#This Row],[Protection]]/tblPiNAnalysis[[#This Row],[Total Population]])</f>
        <v/>
      </c>
      <c r="Z409" s="316">
        <f>IF(tblPiNAnalysis[[#This Row],[Shelter NFI ]]="", "", tblPiNAnalysis[[#This Row],[Shelter NFI ]]/tblPiNAnalysis[[#This Row],[Total Population]])</f>
        <v>4.7093326565430117E-2</v>
      </c>
      <c r="AA409" s="317" t="str">
        <f>IF(tblPiNAnalysis[[#This Row],[WASH]]="", "", tblPiNAnalysis[[#This Row],[WASH]]/tblPiNAnalysis[[#This Row],[Total Population]])</f>
        <v/>
      </c>
      <c r="AB409" s="318" t="str">
        <f>IFERROR(IF(tblPiNAnalysis[[#This Row],[CP]]="", "", MROUND(tblPiNAnalysis[[#This Row],[CP]]/tblPiNAnalysis[[#This Row],[Total Population]], 0.05)), "")</f>
        <v/>
      </c>
      <c r="AC409" s="314" t="str">
        <f>IFERROR(IF(tblPiNAnalysis[[#This Row],[GBV]]="", "", MROUND(tblPiNAnalysis[[#This Row],[GBV]]/tblPiNAnalysis[[#This Row],[Total Population]], 0.05)), "")</f>
        <v/>
      </c>
      <c r="AD409" s="314" t="str">
        <f>IFERROR(IF(tblPiNAnalysis[[#This Row],[Mine Action]]="", "", MROUND(tblPiNAnalysis[[#This Row],[Mine Action]]/tblPiNAnalysis[[#This Row],[Total Population]], 0.05)), "")</f>
        <v/>
      </c>
      <c r="AE409" s="314" t="str">
        <f>IFERROR(IF(tblPiNAnalysis[[#This Row],[General Protection]]="", "", MROUND(tblPiNAnalysis[[#This Row],[General Protection]]/tblPiNAnalysis[[#This Row],[Total Population]], 0.05)), "")</f>
        <v/>
      </c>
      <c r="AF409" s="319">
        <f>IFERROR(LARGE(tblPiNAnalysis[[#This Row],[Site Management ]:[General Protection]], 1), "")</f>
        <v>3340</v>
      </c>
      <c r="AG409" s="320">
        <f>IF(tblPiNAnalysis[[#This Row],[Highest PiN]]="", "",tblPiNAnalysis[[#This Row],[Highest PiN]]/ tblPiNAnalysis[[#This Row],[Total Population]])</f>
        <v>4.7093326565430117E-2</v>
      </c>
      <c r="AH409" s="320" t="str">
        <f>IFERROR(IF(tblPiNAnalysis[[#This Row],[Highest PiN]]="", "", IF(tblPiNAnalysis[[#This Row],[Highest sector(s'') PiN %]]&gt;=flag_pin_perc, "Flagged", "")), "")</f>
        <v/>
      </c>
      <c r="AI409" s="321"/>
      <c r="AJ409" s="322"/>
      <c r="AK409" s="323">
        <f>COUNTIFS(tblPiNAnalysis[[#This Row],[Highest PiN greater than 90% of total affected population]:[Manual Flag]],"Flagged")</f>
        <v>0</v>
      </c>
      <c r="AL409" s="324" t="str">
        <f>IF(tblPiNAnalysis[[#This Row],['# Flags]]&gt;0, "Flagged", "")</f>
        <v/>
      </c>
    </row>
    <row r="410" spans="1:38" ht="23.1" hidden="1" customHeight="1" x14ac:dyDescent="0.2">
      <c r="A410" s="309" t="str">
        <f>_xlfn.CONCAT(IF(tblPiNAnalysis[[#This Row],[Population Group]]="", "",tblPiNAnalysis[[#This Row],[Population Group]] ), _xlfn.IFS(tblPiNAnalysis[[#This Row],[Admin 2 P-Code]]&lt;&gt;"", tblPiNAnalysis[[#This Row],[Admin 2 P-Code]], tblPiNAnalysis[[#This Row],[Admin 1 P-Code]]&lt;&gt;"", tblPiNAnalysis[[#This Row],[Admin 1 P-Code]]))</f>
        <v>IDPsSD12083</v>
      </c>
      <c r="B410" s="245" t="s">
        <v>158</v>
      </c>
      <c r="C410" s="246" t="s">
        <v>129</v>
      </c>
      <c r="D410" s="247" t="s">
        <v>464</v>
      </c>
      <c r="E410" s="246" t="s">
        <v>465</v>
      </c>
      <c r="F410" s="248">
        <v>53565</v>
      </c>
      <c r="G410" s="248" t="s">
        <v>88</v>
      </c>
      <c r="H410" s="310"/>
      <c r="I410" s="311"/>
      <c r="J410" s="311"/>
      <c r="K410" s="311"/>
      <c r="L410" s="311"/>
      <c r="M410" s="311"/>
      <c r="N410" s="311">
        <f>_xlfn.XLOOKUP(CONCATENATE(tblPiNAnalysis[[#This Row],[Admin 2 P-Code]],tblPiNAnalysis[[#This Row],[Population Group]]),'Overall severity &amp; PIN Analysis'!A:A,'Overall severity &amp; PIN Analysis'!P:P,0,0)</f>
        <v>2523</v>
      </c>
      <c r="O410" s="311"/>
      <c r="P410" s="311"/>
      <c r="Q410" s="311"/>
      <c r="R410" s="311"/>
      <c r="S410" s="311"/>
      <c r="T410" s="326" t="str">
        <f>IF(tblPiNAnalysis[[#This Row],[Site Management ]]="", "", tblPiNAnalysis[[#This Row],[Site Management ]]/tblPiNAnalysis[[#This Row],[Total Population]])</f>
        <v/>
      </c>
      <c r="U410" s="315" t="str">
        <f>IF(tblPiNAnalysis[[#This Row],[Education]]="", "", tblPiNAnalysis[[#This Row],[Education]]/tblPiNAnalysis[[#This Row],[Total Population]])</f>
        <v/>
      </c>
      <c r="V410" s="315" t="str">
        <f>IF(tblPiNAnalysis[[#This Row],[Food Security and Livlihoods]]="", "", tblPiNAnalysis[[#This Row],[Food Security and Livlihoods]]/tblPiNAnalysis[[#This Row],[Total Population]])</f>
        <v/>
      </c>
      <c r="W410" s="315" t="str">
        <f>IF(tblPiNAnalysis[[#This Row],[Health ]]="", "", tblPiNAnalysis[[#This Row],[Health ]]/tblPiNAnalysis[[#This Row],[Total Population]])</f>
        <v/>
      </c>
      <c r="X410" s="315" t="str">
        <f>IF(tblPiNAnalysis[[#This Row],[Nutrition]]="", "", tblPiNAnalysis[[#This Row],[Nutrition]]/tblPiNAnalysis[[#This Row],[Total Population]])</f>
        <v/>
      </c>
      <c r="Y410" s="315" t="str">
        <f>IF(tblPiNAnalysis[[#This Row],[Protection]]="", "", tblPiNAnalysis[[#This Row],[Protection]]/tblPiNAnalysis[[#This Row],[Total Population]])</f>
        <v/>
      </c>
      <c r="Z410" s="327">
        <f>IF(tblPiNAnalysis[[#This Row],[Shelter NFI ]]="", "", tblPiNAnalysis[[#This Row],[Shelter NFI ]]/tblPiNAnalysis[[#This Row],[Total Population]])</f>
        <v>4.7101652198263795E-2</v>
      </c>
      <c r="AA410" s="328" t="str">
        <f>IF(tblPiNAnalysis[[#This Row],[WASH]]="", "", tblPiNAnalysis[[#This Row],[WASH]]/tblPiNAnalysis[[#This Row],[Total Population]])</f>
        <v/>
      </c>
      <c r="AB410" s="329" t="str">
        <f>IFERROR(IF(tblPiNAnalysis[[#This Row],[CP]]="", "", MROUND(tblPiNAnalysis[[#This Row],[CP]]/tblPiNAnalysis[[#This Row],[Total Population]], 0.05)), "")</f>
        <v/>
      </c>
      <c r="AC410" s="315" t="str">
        <f>IFERROR(IF(tblPiNAnalysis[[#This Row],[GBV]]="", "", MROUND(tblPiNAnalysis[[#This Row],[GBV]]/tblPiNAnalysis[[#This Row],[Total Population]], 0.05)), "")</f>
        <v/>
      </c>
      <c r="AD410" s="315" t="str">
        <f>IFERROR(IF(tblPiNAnalysis[[#This Row],[Mine Action]]="", "", MROUND(tblPiNAnalysis[[#This Row],[Mine Action]]/tblPiNAnalysis[[#This Row],[Total Population]], 0.05)), "")</f>
        <v/>
      </c>
      <c r="AE410" s="315" t="str">
        <f>IFERROR(IF(tblPiNAnalysis[[#This Row],[General Protection]]="", "", MROUND(tblPiNAnalysis[[#This Row],[General Protection]]/tblPiNAnalysis[[#This Row],[Total Population]], 0.05)), "")</f>
        <v/>
      </c>
      <c r="AF410" s="319">
        <f>IFERROR(LARGE(tblPiNAnalysis[[#This Row],[Site Management ]:[General Protection]], 1), "")</f>
        <v>2523</v>
      </c>
      <c r="AG410" s="330">
        <f>IF(tblPiNAnalysis[[#This Row],[Highest PiN]]="", "",tblPiNAnalysis[[#This Row],[Highest PiN]]/ tblPiNAnalysis[[#This Row],[Total Population]])</f>
        <v>4.7101652198263795E-2</v>
      </c>
      <c r="AH410" s="330" t="str">
        <f>IFERROR(IF(tblPiNAnalysis[[#This Row],[Highest PiN]]="", "", IF(tblPiNAnalysis[[#This Row],[Highest sector(s'') PiN %]]&gt;=flag_pin_perc, "Flagged", "")), "")</f>
        <v/>
      </c>
      <c r="AI410" s="321"/>
      <c r="AJ410" s="322"/>
      <c r="AK410" s="323">
        <f>COUNTIFS(tblPiNAnalysis[[#This Row],[Highest PiN greater than 90% of total affected population]:[Manual Flag]],"Flagged")</f>
        <v>0</v>
      </c>
      <c r="AL410" s="331" t="str">
        <f>IF(tblPiNAnalysis[[#This Row],['# Flags]]&gt;0, "Flagged", "")</f>
        <v/>
      </c>
    </row>
    <row r="411" spans="1:38" ht="23.1" customHeight="1" x14ac:dyDescent="0.2">
      <c r="A411" s="309" t="str">
        <f>_xlfn.CONCAT(IF(tblPiNAnalysis[[#This Row],[Population Group]]="", "",tblPiNAnalysis[[#This Row],[Population Group]] ), _xlfn.IFS(tblPiNAnalysis[[#This Row],[Admin 2 P-Code]]&lt;&gt;"", tblPiNAnalysis[[#This Row],[Admin 2 P-Code]], tblPiNAnalysis[[#This Row],[Admin 1 P-Code]]&lt;&gt;"", tblPiNAnalysis[[#This Row],[Admin 1 P-Code]]))</f>
        <v>Non-hosting PopulationSD12083</v>
      </c>
      <c r="B411" s="245" t="s">
        <v>158</v>
      </c>
      <c r="C411" s="246" t="s">
        <v>129</v>
      </c>
      <c r="D411" s="247" t="s">
        <v>464</v>
      </c>
      <c r="E411" s="246" t="s">
        <v>465</v>
      </c>
      <c r="F411" s="248">
        <v>135437</v>
      </c>
      <c r="G411" s="248" t="s">
        <v>568</v>
      </c>
      <c r="H411" s="310"/>
      <c r="I411" s="311"/>
      <c r="J411" s="312"/>
      <c r="K411" s="311"/>
      <c r="L411" s="311"/>
      <c r="M411" s="312"/>
      <c r="N411" s="312">
        <f>_xlfn.XLOOKUP(CONCATENATE(tblPiNAnalysis[[#This Row],[Admin 2 P-Code]],tblPiNAnalysis[[#This Row],[Population Group]]),'Overall severity &amp; PIN Analysis'!A:A,'Overall severity &amp; PIN Analysis'!P:P,0,0)</f>
        <v>0</v>
      </c>
      <c r="O411" s="311"/>
      <c r="P411" s="312"/>
      <c r="Q411" s="312"/>
      <c r="R411" s="312"/>
      <c r="S411" s="312"/>
      <c r="T411" s="313" t="str">
        <f>IF(tblPiNAnalysis[[#This Row],[Site Management ]]="", "", tblPiNAnalysis[[#This Row],[Site Management ]]/tblPiNAnalysis[[#This Row],[Total Population]])</f>
        <v/>
      </c>
      <c r="U411" s="314" t="str">
        <f>IF(tblPiNAnalysis[[#This Row],[Education]]="", "", tblPiNAnalysis[[#This Row],[Education]]/tblPiNAnalysis[[#This Row],[Total Population]])</f>
        <v/>
      </c>
      <c r="V411" s="314" t="str">
        <f>IF(tblPiNAnalysis[[#This Row],[Food Security and Livlihoods]]="", "", tblPiNAnalysis[[#This Row],[Food Security and Livlihoods]]/tblPiNAnalysis[[#This Row],[Total Population]])</f>
        <v/>
      </c>
      <c r="W411" s="315" t="str">
        <f>IF(tblPiNAnalysis[[#This Row],[Health ]]="", "", tblPiNAnalysis[[#This Row],[Health ]]/tblPiNAnalysis[[#This Row],[Total Population]])</f>
        <v/>
      </c>
      <c r="X411" s="314" t="str">
        <f>IF(tblPiNAnalysis[[#This Row],[Nutrition]]="", "", tblPiNAnalysis[[#This Row],[Nutrition]]/tblPiNAnalysis[[#This Row],[Total Population]])</f>
        <v/>
      </c>
      <c r="Y411" s="314" t="str">
        <f>IF(tblPiNAnalysis[[#This Row],[Protection]]="", "", tblPiNAnalysis[[#This Row],[Protection]]/tblPiNAnalysis[[#This Row],[Total Population]])</f>
        <v/>
      </c>
      <c r="Z411" s="316">
        <f>IF(tblPiNAnalysis[[#This Row],[Shelter NFI ]]="", "", tblPiNAnalysis[[#This Row],[Shelter NFI ]]/tblPiNAnalysis[[#This Row],[Total Population]])</f>
        <v>0</v>
      </c>
      <c r="AA411" s="317" t="str">
        <f>IF(tblPiNAnalysis[[#This Row],[WASH]]="", "", tblPiNAnalysis[[#This Row],[WASH]]/tblPiNAnalysis[[#This Row],[Total Population]])</f>
        <v/>
      </c>
      <c r="AB411" s="318" t="str">
        <f>IFERROR(IF(tblPiNAnalysis[[#This Row],[CP]]="", "", MROUND(tblPiNAnalysis[[#This Row],[CP]]/tblPiNAnalysis[[#This Row],[Total Population]], 0.05)), "")</f>
        <v/>
      </c>
      <c r="AC411" s="314" t="str">
        <f>IFERROR(IF(tblPiNAnalysis[[#This Row],[GBV]]="", "", MROUND(tblPiNAnalysis[[#This Row],[GBV]]/tblPiNAnalysis[[#This Row],[Total Population]], 0.05)), "")</f>
        <v/>
      </c>
      <c r="AD411" s="314" t="str">
        <f>IFERROR(IF(tblPiNAnalysis[[#This Row],[Mine Action]]="", "", MROUND(tblPiNAnalysis[[#This Row],[Mine Action]]/tblPiNAnalysis[[#This Row],[Total Population]], 0.05)), "")</f>
        <v/>
      </c>
      <c r="AE411" s="314" t="str">
        <f>IFERROR(IF(tblPiNAnalysis[[#This Row],[General Protection]]="", "", MROUND(tblPiNAnalysis[[#This Row],[General Protection]]/tblPiNAnalysis[[#This Row],[Total Population]], 0.05)), "")</f>
        <v/>
      </c>
      <c r="AF411" s="319">
        <f>IFERROR(LARGE(tblPiNAnalysis[[#This Row],[Site Management ]:[General Protection]], 1), "")</f>
        <v>0</v>
      </c>
      <c r="AG411" s="320">
        <f>IF(tblPiNAnalysis[[#This Row],[Highest PiN]]="", "",tblPiNAnalysis[[#This Row],[Highest PiN]]/ tblPiNAnalysis[[#This Row],[Total Population]])</f>
        <v>0</v>
      </c>
      <c r="AH411" s="320" t="str">
        <f>IFERROR(IF(tblPiNAnalysis[[#This Row],[Highest PiN]]="", "", IF(tblPiNAnalysis[[#This Row],[Highest sector(s'') PiN %]]&gt;=flag_pin_perc, "Flagged", "")), "")</f>
        <v/>
      </c>
      <c r="AI411" s="321"/>
      <c r="AJ411" s="322"/>
      <c r="AK411" s="323">
        <f>COUNTIFS(tblPiNAnalysis[[#This Row],[Highest PiN greater than 90% of total affected population]:[Manual Flag]],"Flagged")</f>
        <v>0</v>
      </c>
      <c r="AL411" s="324" t="str">
        <f>IF(tblPiNAnalysis[[#This Row],['# Flags]]&gt;0, "Flagged", "")</f>
        <v/>
      </c>
    </row>
    <row r="412" spans="1:38" ht="23.1" hidden="1" customHeight="1" x14ac:dyDescent="0.2">
      <c r="A412" s="309" t="str">
        <f>_xlfn.CONCAT(IF(tblPiNAnalysis[[#This Row],[Population Group]]="", "",tblPiNAnalysis[[#This Row],[Population Group]] ), _xlfn.IFS(tblPiNAnalysis[[#This Row],[Admin 2 P-Code]]&lt;&gt;"", tblPiNAnalysis[[#This Row],[Admin 2 P-Code]], tblPiNAnalysis[[#This Row],[Admin 1 P-Code]]&lt;&gt;"", tblPiNAnalysis[[#This Row],[Admin 1 P-Code]]))</f>
        <v>Host CommunitySD12084</v>
      </c>
      <c r="B412" s="245" t="s">
        <v>158</v>
      </c>
      <c r="C412" s="246" t="s">
        <v>129</v>
      </c>
      <c r="D412" s="247" t="s">
        <v>466</v>
      </c>
      <c r="E412" s="246" t="s">
        <v>467</v>
      </c>
      <c r="F412" s="248">
        <v>64220</v>
      </c>
      <c r="G412" s="248" t="s">
        <v>87</v>
      </c>
      <c r="H412" s="310"/>
      <c r="I412" s="311"/>
      <c r="J412" s="312"/>
      <c r="K412" s="311"/>
      <c r="L412" s="311"/>
      <c r="M412" s="312"/>
      <c r="N412" s="312">
        <f>_xlfn.XLOOKUP(CONCATENATE(tblPiNAnalysis[[#This Row],[Admin 2 P-Code]],tblPiNAnalysis[[#This Row],[Population Group]]),'Overall severity &amp; PIN Analysis'!A:A,'Overall severity &amp; PIN Analysis'!P:P,0,0)</f>
        <v>37841</v>
      </c>
      <c r="O412" s="311"/>
      <c r="P412" s="312"/>
      <c r="Q412" s="312"/>
      <c r="R412" s="312"/>
      <c r="S412" s="312"/>
      <c r="T412" s="313" t="str">
        <f>IF(tblPiNAnalysis[[#This Row],[Site Management ]]="", "", tblPiNAnalysis[[#This Row],[Site Management ]]/tblPiNAnalysis[[#This Row],[Total Population]])</f>
        <v/>
      </c>
      <c r="U412" s="314" t="str">
        <f>IF(tblPiNAnalysis[[#This Row],[Education]]="", "", tblPiNAnalysis[[#This Row],[Education]]/tblPiNAnalysis[[#This Row],[Total Population]])</f>
        <v/>
      </c>
      <c r="V412" s="314" t="str">
        <f>IF(tblPiNAnalysis[[#This Row],[Food Security and Livlihoods]]="", "", tblPiNAnalysis[[#This Row],[Food Security and Livlihoods]]/tblPiNAnalysis[[#This Row],[Total Population]])</f>
        <v/>
      </c>
      <c r="W412" s="315" t="str">
        <f>IF(tblPiNAnalysis[[#This Row],[Health ]]="", "", tblPiNAnalysis[[#This Row],[Health ]]/tblPiNAnalysis[[#This Row],[Total Population]])</f>
        <v/>
      </c>
      <c r="X412" s="314" t="str">
        <f>IF(tblPiNAnalysis[[#This Row],[Nutrition]]="", "", tblPiNAnalysis[[#This Row],[Nutrition]]/tblPiNAnalysis[[#This Row],[Total Population]])</f>
        <v/>
      </c>
      <c r="Y412" s="314" t="str">
        <f>IF(tblPiNAnalysis[[#This Row],[Protection]]="", "", tblPiNAnalysis[[#This Row],[Protection]]/tblPiNAnalysis[[#This Row],[Total Population]])</f>
        <v/>
      </c>
      <c r="Z412" s="316">
        <f>IF(tblPiNAnalysis[[#This Row],[Shelter NFI ]]="", "", tblPiNAnalysis[[#This Row],[Shelter NFI ]]/tblPiNAnalysis[[#This Row],[Total Population]])</f>
        <v>0.58924011211460603</v>
      </c>
      <c r="AA412" s="317" t="str">
        <f>IF(tblPiNAnalysis[[#This Row],[WASH]]="", "", tblPiNAnalysis[[#This Row],[WASH]]/tblPiNAnalysis[[#This Row],[Total Population]])</f>
        <v/>
      </c>
      <c r="AB412" s="318" t="str">
        <f>IFERROR(IF(tblPiNAnalysis[[#This Row],[CP]]="", "", MROUND(tblPiNAnalysis[[#This Row],[CP]]/tblPiNAnalysis[[#This Row],[Total Population]], 0.05)), "")</f>
        <v/>
      </c>
      <c r="AC412" s="314" t="str">
        <f>IFERROR(IF(tblPiNAnalysis[[#This Row],[GBV]]="", "", MROUND(tblPiNAnalysis[[#This Row],[GBV]]/tblPiNAnalysis[[#This Row],[Total Population]], 0.05)), "")</f>
        <v/>
      </c>
      <c r="AD412" s="314" t="str">
        <f>IFERROR(IF(tblPiNAnalysis[[#This Row],[Mine Action]]="", "", MROUND(tblPiNAnalysis[[#This Row],[Mine Action]]/tblPiNAnalysis[[#This Row],[Total Population]], 0.05)), "")</f>
        <v/>
      </c>
      <c r="AE412" s="314" t="str">
        <f>IFERROR(IF(tblPiNAnalysis[[#This Row],[General Protection]]="", "", MROUND(tblPiNAnalysis[[#This Row],[General Protection]]/tblPiNAnalysis[[#This Row],[Total Population]], 0.05)), "")</f>
        <v/>
      </c>
      <c r="AF412" s="319">
        <f>IFERROR(LARGE(tblPiNAnalysis[[#This Row],[Site Management ]:[General Protection]], 1), "")</f>
        <v>37841</v>
      </c>
      <c r="AG412" s="320">
        <f>IF(tblPiNAnalysis[[#This Row],[Highest PiN]]="", "",tblPiNAnalysis[[#This Row],[Highest PiN]]/ tblPiNAnalysis[[#This Row],[Total Population]])</f>
        <v>0.58924011211460603</v>
      </c>
      <c r="AH412" s="320" t="str">
        <f>IFERROR(IF(tblPiNAnalysis[[#This Row],[Highest PiN]]="", "", IF(tblPiNAnalysis[[#This Row],[Highest sector(s'') PiN %]]&gt;=flag_pin_perc, "Flagged", "")), "")</f>
        <v/>
      </c>
      <c r="AI412" s="321"/>
      <c r="AJ412" s="322"/>
      <c r="AK412" s="323">
        <f>COUNTIFS(tblPiNAnalysis[[#This Row],[Highest PiN greater than 90% of total affected population]:[Manual Flag]],"Flagged")</f>
        <v>0</v>
      </c>
      <c r="AL412" s="324" t="str">
        <f>IF(tblPiNAnalysis[[#This Row],['# Flags]]&gt;0, "Flagged", "")</f>
        <v/>
      </c>
    </row>
    <row r="413" spans="1:38" ht="23.1" hidden="1" customHeight="1" x14ac:dyDescent="0.2">
      <c r="A413" s="309" t="str">
        <f>_xlfn.CONCAT(IF(tblPiNAnalysis[[#This Row],[Population Group]]="", "",tblPiNAnalysis[[#This Row],[Population Group]] ), _xlfn.IFS(tblPiNAnalysis[[#This Row],[Admin 2 P-Code]]&lt;&gt;"", tblPiNAnalysis[[#This Row],[Admin 2 P-Code]], tblPiNAnalysis[[#This Row],[Admin 1 P-Code]]&lt;&gt;"", tblPiNAnalysis[[#This Row],[Admin 1 P-Code]]))</f>
        <v>IDPsSD12084</v>
      </c>
      <c r="B413" s="245" t="s">
        <v>158</v>
      </c>
      <c r="C413" s="246" t="s">
        <v>129</v>
      </c>
      <c r="D413" s="247" t="s">
        <v>466</v>
      </c>
      <c r="E413" s="246" t="s">
        <v>467</v>
      </c>
      <c r="F413" s="248">
        <v>64220</v>
      </c>
      <c r="G413" s="248" t="s">
        <v>88</v>
      </c>
      <c r="H413" s="310"/>
      <c r="I413" s="311"/>
      <c r="J413" s="311"/>
      <c r="K413" s="311"/>
      <c r="L413" s="311"/>
      <c r="M413" s="311"/>
      <c r="N413" s="311">
        <f>_xlfn.XLOOKUP(CONCATENATE(tblPiNAnalysis[[#This Row],[Admin 2 P-Code]],tblPiNAnalysis[[#This Row],[Population Group]]),'Overall severity &amp; PIN Analysis'!A:A,'Overall severity &amp; PIN Analysis'!P:P,0,0)</f>
        <v>37841</v>
      </c>
      <c r="O413" s="311"/>
      <c r="P413" s="311"/>
      <c r="Q413" s="311"/>
      <c r="R413" s="311"/>
      <c r="S413" s="311"/>
      <c r="T413" s="326" t="str">
        <f>IF(tblPiNAnalysis[[#This Row],[Site Management ]]="", "", tblPiNAnalysis[[#This Row],[Site Management ]]/tblPiNAnalysis[[#This Row],[Total Population]])</f>
        <v/>
      </c>
      <c r="U413" s="315" t="str">
        <f>IF(tblPiNAnalysis[[#This Row],[Education]]="", "", tblPiNAnalysis[[#This Row],[Education]]/tblPiNAnalysis[[#This Row],[Total Population]])</f>
        <v/>
      </c>
      <c r="V413" s="315" t="str">
        <f>IF(tblPiNAnalysis[[#This Row],[Food Security and Livlihoods]]="", "", tblPiNAnalysis[[#This Row],[Food Security and Livlihoods]]/tblPiNAnalysis[[#This Row],[Total Population]])</f>
        <v/>
      </c>
      <c r="W413" s="315" t="str">
        <f>IF(tblPiNAnalysis[[#This Row],[Health ]]="", "", tblPiNAnalysis[[#This Row],[Health ]]/tblPiNAnalysis[[#This Row],[Total Population]])</f>
        <v/>
      </c>
      <c r="X413" s="315" t="str">
        <f>IF(tblPiNAnalysis[[#This Row],[Nutrition]]="", "", tblPiNAnalysis[[#This Row],[Nutrition]]/tblPiNAnalysis[[#This Row],[Total Population]])</f>
        <v/>
      </c>
      <c r="Y413" s="315" t="str">
        <f>IF(tblPiNAnalysis[[#This Row],[Protection]]="", "", tblPiNAnalysis[[#This Row],[Protection]]/tblPiNAnalysis[[#This Row],[Total Population]])</f>
        <v/>
      </c>
      <c r="Z413" s="327">
        <f>IF(tblPiNAnalysis[[#This Row],[Shelter NFI ]]="", "", tblPiNAnalysis[[#This Row],[Shelter NFI ]]/tblPiNAnalysis[[#This Row],[Total Population]])</f>
        <v>0.58924011211460603</v>
      </c>
      <c r="AA413" s="328" t="str">
        <f>IF(tblPiNAnalysis[[#This Row],[WASH]]="", "", tblPiNAnalysis[[#This Row],[WASH]]/tblPiNAnalysis[[#This Row],[Total Population]])</f>
        <v/>
      </c>
      <c r="AB413" s="329" t="str">
        <f>IFERROR(IF(tblPiNAnalysis[[#This Row],[CP]]="", "", MROUND(tblPiNAnalysis[[#This Row],[CP]]/tblPiNAnalysis[[#This Row],[Total Population]], 0.05)), "")</f>
        <v/>
      </c>
      <c r="AC413" s="315" t="str">
        <f>IFERROR(IF(tblPiNAnalysis[[#This Row],[GBV]]="", "", MROUND(tblPiNAnalysis[[#This Row],[GBV]]/tblPiNAnalysis[[#This Row],[Total Population]], 0.05)), "")</f>
        <v/>
      </c>
      <c r="AD413" s="315" t="str">
        <f>IFERROR(IF(tblPiNAnalysis[[#This Row],[Mine Action]]="", "", MROUND(tblPiNAnalysis[[#This Row],[Mine Action]]/tblPiNAnalysis[[#This Row],[Total Population]], 0.05)), "")</f>
        <v/>
      </c>
      <c r="AE413" s="315" t="str">
        <f>IFERROR(IF(tblPiNAnalysis[[#This Row],[General Protection]]="", "", MROUND(tblPiNAnalysis[[#This Row],[General Protection]]/tblPiNAnalysis[[#This Row],[Total Population]], 0.05)), "")</f>
        <v/>
      </c>
      <c r="AF413" s="319">
        <f>IFERROR(LARGE(tblPiNAnalysis[[#This Row],[Site Management ]:[General Protection]], 1), "")</f>
        <v>37841</v>
      </c>
      <c r="AG413" s="330">
        <f>IF(tblPiNAnalysis[[#This Row],[Highest PiN]]="", "",tblPiNAnalysis[[#This Row],[Highest PiN]]/ tblPiNAnalysis[[#This Row],[Total Population]])</f>
        <v>0.58924011211460603</v>
      </c>
      <c r="AH413" s="330" t="str">
        <f>IFERROR(IF(tblPiNAnalysis[[#This Row],[Highest PiN]]="", "", IF(tblPiNAnalysis[[#This Row],[Highest sector(s'') PiN %]]&gt;=flag_pin_perc, "Flagged", "")), "")</f>
        <v/>
      </c>
      <c r="AI413" s="321"/>
      <c r="AJ413" s="322"/>
      <c r="AK413" s="323">
        <f>COUNTIFS(tblPiNAnalysis[[#This Row],[Highest PiN greater than 90% of total affected population]:[Manual Flag]],"Flagged")</f>
        <v>0</v>
      </c>
      <c r="AL413" s="331" t="str">
        <f>IF(tblPiNAnalysis[[#This Row],['# Flags]]&gt;0, "Flagged", "")</f>
        <v/>
      </c>
    </row>
    <row r="414" spans="1:38" ht="23.1" customHeight="1" x14ac:dyDescent="0.2">
      <c r="A414" s="309" t="str">
        <f>_xlfn.CONCAT(IF(tblPiNAnalysis[[#This Row],[Population Group]]="", "",tblPiNAnalysis[[#This Row],[Population Group]] ), _xlfn.IFS(tblPiNAnalysis[[#This Row],[Admin 2 P-Code]]&lt;&gt;"", tblPiNAnalysis[[#This Row],[Admin 2 P-Code]], tblPiNAnalysis[[#This Row],[Admin 1 P-Code]]&lt;&gt;"", tblPiNAnalysis[[#This Row],[Admin 1 P-Code]]))</f>
        <v>Non-hosting PopulationSD12084</v>
      </c>
      <c r="B414" s="245" t="s">
        <v>158</v>
      </c>
      <c r="C414" s="246" t="s">
        <v>129</v>
      </c>
      <c r="D414" s="247" t="s">
        <v>466</v>
      </c>
      <c r="E414" s="246" t="s">
        <v>467</v>
      </c>
      <c r="F414" s="248">
        <v>203193</v>
      </c>
      <c r="G414" s="248" t="s">
        <v>568</v>
      </c>
      <c r="H414" s="310"/>
      <c r="I414" s="311"/>
      <c r="J414" s="312"/>
      <c r="K414" s="311"/>
      <c r="L414" s="311"/>
      <c r="M414" s="312"/>
      <c r="N414" s="312">
        <f>_xlfn.XLOOKUP(CONCATENATE(tblPiNAnalysis[[#This Row],[Admin 2 P-Code]],tblPiNAnalysis[[#This Row],[Population Group]]),'Overall severity &amp; PIN Analysis'!A:A,'Overall severity &amp; PIN Analysis'!P:P,0,0)</f>
        <v>4948</v>
      </c>
      <c r="O414" s="311"/>
      <c r="P414" s="312"/>
      <c r="Q414" s="312"/>
      <c r="R414" s="312"/>
      <c r="S414" s="312"/>
      <c r="T414" s="313" t="str">
        <f>IF(tblPiNAnalysis[[#This Row],[Site Management ]]="", "", tblPiNAnalysis[[#This Row],[Site Management ]]/tblPiNAnalysis[[#This Row],[Total Population]])</f>
        <v/>
      </c>
      <c r="U414" s="314" t="str">
        <f>IF(tblPiNAnalysis[[#This Row],[Education]]="", "", tblPiNAnalysis[[#This Row],[Education]]/tblPiNAnalysis[[#This Row],[Total Population]])</f>
        <v/>
      </c>
      <c r="V414" s="314" t="str">
        <f>IF(tblPiNAnalysis[[#This Row],[Food Security and Livlihoods]]="", "", tblPiNAnalysis[[#This Row],[Food Security and Livlihoods]]/tblPiNAnalysis[[#This Row],[Total Population]])</f>
        <v/>
      </c>
      <c r="W414" s="315" t="str">
        <f>IF(tblPiNAnalysis[[#This Row],[Health ]]="", "", tblPiNAnalysis[[#This Row],[Health ]]/tblPiNAnalysis[[#This Row],[Total Population]])</f>
        <v/>
      </c>
      <c r="X414" s="314" t="str">
        <f>IF(tblPiNAnalysis[[#This Row],[Nutrition]]="", "", tblPiNAnalysis[[#This Row],[Nutrition]]/tblPiNAnalysis[[#This Row],[Total Population]])</f>
        <v/>
      </c>
      <c r="Y414" s="314" t="str">
        <f>IF(tblPiNAnalysis[[#This Row],[Protection]]="", "", tblPiNAnalysis[[#This Row],[Protection]]/tblPiNAnalysis[[#This Row],[Total Population]])</f>
        <v/>
      </c>
      <c r="Z414" s="316">
        <f>IF(tblPiNAnalysis[[#This Row],[Shelter NFI ]]="", "", tblPiNAnalysis[[#This Row],[Shelter NFI ]]/tblPiNAnalysis[[#This Row],[Total Population]])</f>
        <v>2.4351232571988207E-2</v>
      </c>
      <c r="AA414" s="317" t="str">
        <f>IF(tblPiNAnalysis[[#This Row],[WASH]]="", "", tblPiNAnalysis[[#This Row],[WASH]]/tblPiNAnalysis[[#This Row],[Total Population]])</f>
        <v/>
      </c>
      <c r="AB414" s="318" t="str">
        <f>IFERROR(IF(tblPiNAnalysis[[#This Row],[CP]]="", "", MROUND(tblPiNAnalysis[[#This Row],[CP]]/tblPiNAnalysis[[#This Row],[Total Population]], 0.05)), "")</f>
        <v/>
      </c>
      <c r="AC414" s="314" t="str">
        <f>IFERROR(IF(tblPiNAnalysis[[#This Row],[GBV]]="", "", MROUND(tblPiNAnalysis[[#This Row],[GBV]]/tblPiNAnalysis[[#This Row],[Total Population]], 0.05)), "")</f>
        <v/>
      </c>
      <c r="AD414" s="314" t="str">
        <f>IFERROR(IF(tblPiNAnalysis[[#This Row],[Mine Action]]="", "", MROUND(tblPiNAnalysis[[#This Row],[Mine Action]]/tblPiNAnalysis[[#This Row],[Total Population]], 0.05)), "")</f>
        <v/>
      </c>
      <c r="AE414" s="314" t="str">
        <f>IFERROR(IF(tblPiNAnalysis[[#This Row],[General Protection]]="", "", MROUND(tblPiNAnalysis[[#This Row],[General Protection]]/tblPiNAnalysis[[#This Row],[Total Population]], 0.05)), "")</f>
        <v/>
      </c>
      <c r="AF414" s="319">
        <f>IFERROR(LARGE(tblPiNAnalysis[[#This Row],[Site Management ]:[General Protection]], 1), "")</f>
        <v>4948</v>
      </c>
      <c r="AG414" s="320">
        <f>IF(tblPiNAnalysis[[#This Row],[Highest PiN]]="", "",tblPiNAnalysis[[#This Row],[Highest PiN]]/ tblPiNAnalysis[[#This Row],[Total Population]])</f>
        <v>2.4351232571988207E-2</v>
      </c>
      <c r="AH414" s="320" t="str">
        <f>IFERROR(IF(tblPiNAnalysis[[#This Row],[Highest PiN]]="", "", IF(tblPiNAnalysis[[#This Row],[Highest sector(s'') PiN %]]&gt;=flag_pin_perc, "Flagged", "")), "")</f>
        <v/>
      </c>
      <c r="AI414" s="321"/>
      <c r="AJ414" s="322"/>
      <c r="AK414" s="323">
        <f>COUNTIFS(tblPiNAnalysis[[#This Row],[Highest PiN greater than 90% of total affected population]:[Manual Flag]],"Flagged")</f>
        <v>0</v>
      </c>
      <c r="AL414" s="324" t="str">
        <f>IF(tblPiNAnalysis[[#This Row],['# Flags]]&gt;0, "Flagged", "")</f>
        <v/>
      </c>
    </row>
    <row r="415" spans="1:38" ht="23.1" hidden="1" customHeight="1" x14ac:dyDescent="0.2">
      <c r="A415" s="309" t="str">
        <f>_xlfn.CONCAT(IF(tblPiNAnalysis[[#This Row],[Population Group]]="", "",tblPiNAnalysis[[#This Row],[Population Group]] ), _xlfn.IFS(tblPiNAnalysis[[#This Row],[Admin 2 P-Code]]&lt;&gt;"", tblPiNAnalysis[[#This Row],[Admin 2 P-Code]], tblPiNAnalysis[[#This Row],[Admin 1 P-Code]]&lt;&gt;"", tblPiNAnalysis[[#This Row],[Admin 1 P-Code]]))</f>
        <v>Host CommunitySD13023</v>
      </c>
      <c r="B415" s="245" t="s">
        <v>170</v>
      </c>
      <c r="C415" s="246" t="s">
        <v>130</v>
      </c>
      <c r="D415" s="247" t="s">
        <v>468</v>
      </c>
      <c r="E415" s="246" t="s">
        <v>469</v>
      </c>
      <c r="F415" s="248">
        <v>42517</v>
      </c>
      <c r="G415" s="248" t="s">
        <v>87</v>
      </c>
      <c r="H415" s="310"/>
      <c r="I415" s="311"/>
      <c r="J415" s="312"/>
      <c r="K415" s="311"/>
      <c r="L415" s="311"/>
      <c r="M415" s="312"/>
      <c r="N415" s="312">
        <f>_xlfn.XLOOKUP(CONCATENATE(tblPiNAnalysis[[#This Row],[Admin 2 P-Code]],tblPiNAnalysis[[#This Row],[Population Group]]),'Overall severity &amp; PIN Analysis'!A:A,'Overall severity &amp; PIN Analysis'!P:P,0,0)</f>
        <v>22586</v>
      </c>
      <c r="O415" s="311"/>
      <c r="P415" s="312"/>
      <c r="Q415" s="312"/>
      <c r="R415" s="312"/>
      <c r="S415" s="312"/>
      <c r="T415" s="313" t="str">
        <f>IF(tblPiNAnalysis[[#This Row],[Site Management ]]="", "", tblPiNAnalysis[[#This Row],[Site Management ]]/tblPiNAnalysis[[#This Row],[Total Population]])</f>
        <v/>
      </c>
      <c r="U415" s="314" t="str">
        <f>IF(tblPiNAnalysis[[#This Row],[Education]]="", "", tblPiNAnalysis[[#This Row],[Education]]/tblPiNAnalysis[[#This Row],[Total Population]])</f>
        <v/>
      </c>
      <c r="V415" s="314" t="str">
        <f>IF(tblPiNAnalysis[[#This Row],[Food Security and Livlihoods]]="", "", tblPiNAnalysis[[#This Row],[Food Security and Livlihoods]]/tblPiNAnalysis[[#This Row],[Total Population]])</f>
        <v/>
      </c>
      <c r="W415" s="315" t="str">
        <f>IF(tblPiNAnalysis[[#This Row],[Health ]]="", "", tblPiNAnalysis[[#This Row],[Health ]]/tblPiNAnalysis[[#This Row],[Total Population]])</f>
        <v/>
      </c>
      <c r="X415" s="314" t="str">
        <f>IF(tblPiNAnalysis[[#This Row],[Nutrition]]="", "", tblPiNAnalysis[[#This Row],[Nutrition]]/tblPiNAnalysis[[#This Row],[Total Population]])</f>
        <v/>
      </c>
      <c r="Y415" s="314" t="str">
        <f>IF(tblPiNAnalysis[[#This Row],[Protection]]="", "", tblPiNAnalysis[[#This Row],[Protection]]/tblPiNAnalysis[[#This Row],[Total Population]])</f>
        <v/>
      </c>
      <c r="Z415" s="316">
        <f>IF(tblPiNAnalysis[[#This Row],[Shelter NFI ]]="", "", tblPiNAnalysis[[#This Row],[Shelter NFI ]]/tblPiNAnalysis[[#This Row],[Total Population]])</f>
        <v>0.53122280499564878</v>
      </c>
      <c r="AA415" s="317" t="str">
        <f>IF(tblPiNAnalysis[[#This Row],[WASH]]="", "", tblPiNAnalysis[[#This Row],[WASH]]/tblPiNAnalysis[[#This Row],[Total Population]])</f>
        <v/>
      </c>
      <c r="AB415" s="318" t="str">
        <f>IFERROR(IF(tblPiNAnalysis[[#This Row],[CP]]="", "", MROUND(tblPiNAnalysis[[#This Row],[CP]]/tblPiNAnalysis[[#This Row],[Total Population]], 0.05)), "")</f>
        <v/>
      </c>
      <c r="AC415" s="314" t="str">
        <f>IFERROR(IF(tblPiNAnalysis[[#This Row],[GBV]]="", "", MROUND(tblPiNAnalysis[[#This Row],[GBV]]/tblPiNAnalysis[[#This Row],[Total Population]], 0.05)), "")</f>
        <v/>
      </c>
      <c r="AD415" s="314" t="str">
        <f>IFERROR(IF(tblPiNAnalysis[[#This Row],[Mine Action]]="", "", MROUND(tblPiNAnalysis[[#This Row],[Mine Action]]/tblPiNAnalysis[[#This Row],[Total Population]], 0.05)), "")</f>
        <v/>
      </c>
      <c r="AE415" s="314" t="str">
        <f>IFERROR(IF(tblPiNAnalysis[[#This Row],[General Protection]]="", "", MROUND(tblPiNAnalysis[[#This Row],[General Protection]]/tblPiNAnalysis[[#This Row],[Total Population]], 0.05)), "")</f>
        <v/>
      </c>
      <c r="AF415" s="319">
        <f>IFERROR(LARGE(tblPiNAnalysis[[#This Row],[Site Management ]:[General Protection]], 1), "")</f>
        <v>22586</v>
      </c>
      <c r="AG415" s="320">
        <f>IF(tblPiNAnalysis[[#This Row],[Highest PiN]]="", "",tblPiNAnalysis[[#This Row],[Highest PiN]]/ tblPiNAnalysis[[#This Row],[Total Population]])</f>
        <v>0.53122280499564878</v>
      </c>
      <c r="AH415" s="320" t="str">
        <f>IFERROR(IF(tblPiNAnalysis[[#This Row],[Highest PiN]]="", "", IF(tblPiNAnalysis[[#This Row],[Highest sector(s'') PiN %]]&gt;=flag_pin_perc, "Flagged", "")), "")</f>
        <v/>
      </c>
      <c r="AI415" s="321"/>
      <c r="AJ415" s="322"/>
      <c r="AK415" s="323">
        <f>COUNTIFS(tblPiNAnalysis[[#This Row],[Highest PiN greater than 90% of total affected population]:[Manual Flag]],"Flagged")</f>
        <v>0</v>
      </c>
      <c r="AL415" s="324" t="str">
        <f>IF(tblPiNAnalysis[[#This Row],['# Flags]]&gt;0, "Flagged", "")</f>
        <v/>
      </c>
    </row>
    <row r="416" spans="1:38" ht="23.1" hidden="1" customHeight="1" x14ac:dyDescent="0.2">
      <c r="A416" s="309" t="str">
        <f>_xlfn.CONCAT(IF(tblPiNAnalysis[[#This Row],[Population Group]]="", "",tblPiNAnalysis[[#This Row],[Population Group]] ), _xlfn.IFS(tblPiNAnalysis[[#This Row],[Admin 2 P-Code]]&lt;&gt;"", tblPiNAnalysis[[#This Row],[Admin 2 P-Code]], tblPiNAnalysis[[#This Row],[Admin 1 P-Code]]&lt;&gt;"", tblPiNAnalysis[[#This Row],[Admin 1 P-Code]]))</f>
        <v>IDPsSD13023</v>
      </c>
      <c r="B416" s="245" t="s">
        <v>170</v>
      </c>
      <c r="C416" s="246" t="s">
        <v>130</v>
      </c>
      <c r="D416" s="247" t="s">
        <v>468</v>
      </c>
      <c r="E416" s="246" t="s">
        <v>469</v>
      </c>
      <c r="F416" s="248">
        <v>41575</v>
      </c>
      <c r="G416" s="248" t="s">
        <v>88</v>
      </c>
      <c r="H416" s="310"/>
      <c r="I416" s="311"/>
      <c r="J416" s="312"/>
      <c r="K416" s="311"/>
      <c r="L416" s="311"/>
      <c r="M416" s="312"/>
      <c r="N416" s="312">
        <f>_xlfn.XLOOKUP(CONCATENATE(tblPiNAnalysis[[#This Row],[Admin 2 P-Code]],tblPiNAnalysis[[#This Row],[Population Group]]),'Overall severity &amp; PIN Analysis'!A:A,'Overall severity &amp; PIN Analysis'!P:P,0,0)</f>
        <v>22085</v>
      </c>
      <c r="O416" s="311"/>
      <c r="P416" s="312"/>
      <c r="Q416" s="312"/>
      <c r="R416" s="312"/>
      <c r="S416" s="312"/>
      <c r="T416" s="313" t="str">
        <f>IF(tblPiNAnalysis[[#This Row],[Site Management ]]="", "", tblPiNAnalysis[[#This Row],[Site Management ]]/tblPiNAnalysis[[#This Row],[Total Population]])</f>
        <v/>
      </c>
      <c r="U416" s="314" t="str">
        <f>IF(tblPiNAnalysis[[#This Row],[Education]]="", "", tblPiNAnalysis[[#This Row],[Education]]/tblPiNAnalysis[[#This Row],[Total Population]])</f>
        <v/>
      </c>
      <c r="V416" s="314" t="str">
        <f>IF(tblPiNAnalysis[[#This Row],[Food Security and Livlihoods]]="", "", tblPiNAnalysis[[#This Row],[Food Security and Livlihoods]]/tblPiNAnalysis[[#This Row],[Total Population]])</f>
        <v/>
      </c>
      <c r="W416" s="315" t="str">
        <f>IF(tblPiNAnalysis[[#This Row],[Health ]]="", "", tblPiNAnalysis[[#This Row],[Health ]]/tblPiNAnalysis[[#This Row],[Total Population]])</f>
        <v/>
      </c>
      <c r="X416" s="314" t="str">
        <f>IF(tblPiNAnalysis[[#This Row],[Nutrition]]="", "", tblPiNAnalysis[[#This Row],[Nutrition]]/tblPiNAnalysis[[#This Row],[Total Population]])</f>
        <v/>
      </c>
      <c r="Y416" s="314" t="str">
        <f>IF(tblPiNAnalysis[[#This Row],[Protection]]="", "", tblPiNAnalysis[[#This Row],[Protection]]/tblPiNAnalysis[[#This Row],[Total Population]])</f>
        <v/>
      </c>
      <c r="Z416" s="316">
        <f>IF(tblPiNAnalysis[[#This Row],[Shelter NFI ]]="", "", tblPiNAnalysis[[#This Row],[Shelter NFI ]]/tblPiNAnalysis[[#This Row],[Total Population]])</f>
        <v>0.53120865904990977</v>
      </c>
      <c r="AA416" s="317" t="str">
        <f>IF(tblPiNAnalysis[[#This Row],[WASH]]="", "", tblPiNAnalysis[[#This Row],[WASH]]/tblPiNAnalysis[[#This Row],[Total Population]])</f>
        <v/>
      </c>
      <c r="AB416" s="318" t="str">
        <f>IFERROR(IF(tblPiNAnalysis[[#This Row],[CP]]="", "", MROUND(tblPiNAnalysis[[#This Row],[CP]]/tblPiNAnalysis[[#This Row],[Total Population]], 0.05)), "")</f>
        <v/>
      </c>
      <c r="AC416" s="314" t="str">
        <f>IFERROR(IF(tblPiNAnalysis[[#This Row],[GBV]]="", "", MROUND(tblPiNAnalysis[[#This Row],[GBV]]/tblPiNAnalysis[[#This Row],[Total Population]], 0.05)), "")</f>
        <v/>
      </c>
      <c r="AD416" s="314" t="str">
        <f>IFERROR(IF(tblPiNAnalysis[[#This Row],[Mine Action]]="", "", MROUND(tblPiNAnalysis[[#This Row],[Mine Action]]/tblPiNAnalysis[[#This Row],[Total Population]], 0.05)), "")</f>
        <v/>
      </c>
      <c r="AE416" s="314" t="str">
        <f>IFERROR(IF(tblPiNAnalysis[[#This Row],[General Protection]]="", "", MROUND(tblPiNAnalysis[[#This Row],[General Protection]]/tblPiNAnalysis[[#This Row],[Total Population]], 0.05)), "")</f>
        <v/>
      </c>
      <c r="AF416" s="319">
        <f>IFERROR(LARGE(tblPiNAnalysis[[#This Row],[Site Management ]:[General Protection]], 1), "")</f>
        <v>22085</v>
      </c>
      <c r="AG416" s="320">
        <f>IF(tblPiNAnalysis[[#This Row],[Highest PiN]]="", "",tblPiNAnalysis[[#This Row],[Highest PiN]]/ tblPiNAnalysis[[#This Row],[Total Population]])</f>
        <v>0.53120865904990977</v>
      </c>
      <c r="AH416" s="320" t="str">
        <f>IFERROR(IF(tblPiNAnalysis[[#This Row],[Highest PiN]]="", "", IF(tblPiNAnalysis[[#This Row],[Highest sector(s'') PiN %]]&gt;=flag_pin_perc, "Flagged", "")), "")</f>
        <v/>
      </c>
      <c r="AI416" s="321"/>
      <c r="AJ416" s="322"/>
      <c r="AK416" s="323">
        <f>COUNTIFS(tblPiNAnalysis[[#This Row],[Highest PiN greater than 90% of total affected population]:[Manual Flag]],"Flagged")</f>
        <v>0</v>
      </c>
      <c r="AL416" s="324" t="str">
        <f>IF(tblPiNAnalysis[[#This Row],['# Flags]]&gt;0, "Flagged", "")</f>
        <v/>
      </c>
    </row>
    <row r="417" spans="1:38" ht="23.1" customHeight="1" x14ac:dyDescent="0.2">
      <c r="A417" s="309" t="str">
        <f>_xlfn.CONCAT(IF(tblPiNAnalysis[[#This Row],[Population Group]]="", "",tblPiNAnalysis[[#This Row],[Population Group]] ), _xlfn.IFS(tblPiNAnalysis[[#This Row],[Admin 2 P-Code]]&lt;&gt;"", tblPiNAnalysis[[#This Row],[Admin 2 P-Code]], tblPiNAnalysis[[#This Row],[Admin 1 P-Code]]&lt;&gt;"", tblPiNAnalysis[[#This Row],[Admin 1 P-Code]]))</f>
        <v>Non-hosting PopulationSD13023</v>
      </c>
      <c r="B417" s="245" t="s">
        <v>170</v>
      </c>
      <c r="C417" s="246" t="s">
        <v>130</v>
      </c>
      <c r="D417" s="247" t="s">
        <v>468</v>
      </c>
      <c r="E417" s="246" t="s">
        <v>469</v>
      </c>
      <c r="F417" s="248">
        <v>521374</v>
      </c>
      <c r="G417" s="248" t="s">
        <v>568</v>
      </c>
      <c r="H417" s="310"/>
      <c r="I417" s="311"/>
      <c r="J417" s="312"/>
      <c r="K417" s="311"/>
      <c r="L417" s="311"/>
      <c r="M417" s="312"/>
      <c r="N417" s="312">
        <f>_xlfn.XLOOKUP(CONCATENATE(tblPiNAnalysis[[#This Row],[Admin 2 P-Code]],tblPiNAnalysis[[#This Row],[Population Group]]),'Overall severity &amp; PIN Analysis'!A:A,'Overall severity &amp; PIN Analysis'!P:P,0,0)</f>
        <v>3043</v>
      </c>
      <c r="O417" s="311"/>
      <c r="P417" s="312"/>
      <c r="Q417" s="312"/>
      <c r="R417" s="312"/>
      <c r="S417" s="312"/>
      <c r="T417" s="313" t="str">
        <f>IF(tblPiNAnalysis[[#This Row],[Site Management ]]="", "", tblPiNAnalysis[[#This Row],[Site Management ]]/tblPiNAnalysis[[#This Row],[Total Population]])</f>
        <v/>
      </c>
      <c r="U417" s="314" t="str">
        <f>IF(tblPiNAnalysis[[#This Row],[Education]]="", "", tblPiNAnalysis[[#This Row],[Education]]/tblPiNAnalysis[[#This Row],[Total Population]])</f>
        <v/>
      </c>
      <c r="V417" s="314" t="str">
        <f>IF(tblPiNAnalysis[[#This Row],[Food Security and Livlihoods]]="", "", tblPiNAnalysis[[#This Row],[Food Security and Livlihoods]]/tblPiNAnalysis[[#This Row],[Total Population]])</f>
        <v/>
      </c>
      <c r="W417" s="315" t="str">
        <f>IF(tblPiNAnalysis[[#This Row],[Health ]]="", "", tblPiNAnalysis[[#This Row],[Health ]]/tblPiNAnalysis[[#This Row],[Total Population]])</f>
        <v/>
      </c>
      <c r="X417" s="314" t="str">
        <f>IF(tblPiNAnalysis[[#This Row],[Nutrition]]="", "", tblPiNAnalysis[[#This Row],[Nutrition]]/tblPiNAnalysis[[#This Row],[Total Population]])</f>
        <v/>
      </c>
      <c r="Y417" s="314" t="str">
        <f>IF(tblPiNAnalysis[[#This Row],[Protection]]="", "", tblPiNAnalysis[[#This Row],[Protection]]/tblPiNAnalysis[[#This Row],[Total Population]])</f>
        <v/>
      </c>
      <c r="Z417" s="316">
        <f>IF(tblPiNAnalysis[[#This Row],[Shelter NFI ]]="", "", tblPiNAnalysis[[#This Row],[Shelter NFI ]]/tblPiNAnalysis[[#This Row],[Total Population]])</f>
        <v>5.8365012447878107E-3</v>
      </c>
      <c r="AA417" s="317" t="str">
        <f>IF(tblPiNAnalysis[[#This Row],[WASH]]="", "", tblPiNAnalysis[[#This Row],[WASH]]/tblPiNAnalysis[[#This Row],[Total Population]])</f>
        <v/>
      </c>
      <c r="AB417" s="318" t="str">
        <f>IFERROR(IF(tblPiNAnalysis[[#This Row],[CP]]="", "", MROUND(tblPiNAnalysis[[#This Row],[CP]]/tblPiNAnalysis[[#This Row],[Total Population]], 0.05)), "")</f>
        <v/>
      </c>
      <c r="AC417" s="314" t="str">
        <f>IFERROR(IF(tblPiNAnalysis[[#This Row],[GBV]]="", "", MROUND(tblPiNAnalysis[[#This Row],[GBV]]/tblPiNAnalysis[[#This Row],[Total Population]], 0.05)), "")</f>
        <v/>
      </c>
      <c r="AD417" s="314" t="str">
        <f>IFERROR(IF(tblPiNAnalysis[[#This Row],[Mine Action]]="", "", MROUND(tblPiNAnalysis[[#This Row],[Mine Action]]/tblPiNAnalysis[[#This Row],[Total Population]], 0.05)), "")</f>
        <v/>
      </c>
      <c r="AE417" s="314" t="str">
        <f>IFERROR(IF(tblPiNAnalysis[[#This Row],[General Protection]]="", "", MROUND(tblPiNAnalysis[[#This Row],[General Protection]]/tblPiNAnalysis[[#This Row],[Total Population]], 0.05)), "")</f>
        <v/>
      </c>
      <c r="AF417" s="319">
        <f>IFERROR(LARGE(tblPiNAnalysis[[#This Row],[Site Management ]:[General Protection]], 1), "")</f>
        <v>3043</v>
      </c>
      <c r="AG417" s="320">
        <f>IF(tblPiNAnalysis[[#This Row],[Highest PiN]]="", "",tblPiNAnalysis[[#This Row],[Highest PiN]]/ tblPiNAnalysis[[#This Row],[Total Population]])</f>
        <v>5.8365012447878107E-3</v>
      </c>
      <c r="AH417" s="320" t="str">
        <f>IFERROR(IF(tblPiNAnalysis[[#This Row],[Highest PiN]]="", "", IF(tblPiNAnalysis[[#This Row],[Highest sector(s'') PiN %]]&gt;=flag_pin_perc, "Flagged", "")), "")</f>
        <v/>
      </c>
      <c r="AI417" s="321"/>
      <c r="AJ417" s="322"/>
      <c r="AK417" s="323">
        <f>COUNTIFS(tblPiNAnalysis[[#This Row],[Highest PiN greater than 90% of total affected population]:[Manual Flag]],"Flagged")</f>
        <v>0</v>
      </c>
      <c r="AL417" s="324" t="str">
        <f>IF(tblPiNAnalysis[[#This Row],['# Flags]]&gt;0, "Flagged", "")</f>
        <v/>
      </c>
    </row>
    <row r="418" spans="1:38" ht="23.1" hidden="1" customHeight="1" x14ac:dyDescent="0.2">
      <c r="A418" s="309" t="str">
        <f>_xlfn.CONCAT(IF(tblPiNAnalysis[[#This Row],[Population Group]]="", "",tblPiNAnalysis[[#This Row],[Population Group]] ), _xlfn.IFS(tblPiNAnalysis[[#This Row],[Admin 2 P-Code]]&lt;&gt;"", tblPiNAnalysis[[#This Row],[Admin 2 P-Code]], tblPiNAnalysis[[#This Row],[Admin 1 P-Code]]&lt;&gt;"", tblPiNAnalysis[[#This Row],[Admin 1 P-Code]]))</f>
        <v>Host CommunitySD13024</v>
      </c>
      <c r="B418" s="245" t="s">
        <v>170</v>
      </c>
      <c r="C418" s="246" t="s">
        <v>130</v>
      </c>
      <c r="D418" s="247" t="s">
        <v>470</v>
      </c>
      <c r="E418" s="246" t="s">
        <v>471</v>
      </c>
      <c r="F418" s="248">
        <v>56621</v>
      </c>
      <c r="G418" s="248" t="s">
        <v>87</v>
      </c>
      <c r="H418" s="310"/>
      <c r="I418" s="311"/>
      <c r="J418" s="248"/>
      <c r="K418" s="248"/>
      <c r="L418" s="311"/>
      <c r="M418" s="312"/>
      <c r="N418" s="312">
        <f>_xlfn.XLOOKUP(CONCATENATE(tblPiNAnalysis[[#This Row],[Admin 2 P-Code]],tblPiNAnalysis[[#This Row],[Population Group]]),'Overall severity &amp; PIN Analysis'!A:A,'Overall severity &amp; PIN Analysis'!P:P,0,0)</f>
        <v>25947</v>
      </c>
      <c r="O418" s="311"/>
      <c r="P418" s="312"/>
      <c r="Q418" s="312"/>
      <c r="R418" s="312"/>
      <c r="S418" s="312"/>
      <c r="T418" s="313" t="str">
        <f>IF(tblPiNAnalysis[[#This Row],[Site Management ]]="", "", tblPiNAnalysis[[#This Row],[Site Management ]]/tblPiNAnalysis[[#This Row],[Total Population]])</f>
        <v/>
      </c>
      <c r="U418" s="314" t="str">
        <f>IF(tblPiNAnalysis[[#This Row],[Education]]="", "", tblPiNAnalysis[[#This Row],[Education]]/tblPiNAnalysis[[#This Row],[Total Population]])</f>
        <v/>
      </c>
      <c r="V418" s="314" t="str">
        <f>IF(tblPiNAnalysis[[#This Row],[Food Security and Livlihoods]]="", "", tblPiNAnalysis[[#This Row],[Food Security and Livlihoods]]/tblPiNAnalysis[[#This Row],[Total Population]])</f>
        <v/>
      </c>
      <c r="W418" s="315" t="str">
        <f>IF(tblPiNAnalysis[[#This Row],[Health ]]="", "", tblPiNAnalysis[[#This Row],[Health ]]/tblPiNAnalysis[[#This Row],[Total Population]])</f>
        <v/>
      </c>
      <c r="X418" s="314" t="str">
        <f>IF(tblPiNAnalysis[[#This Row],[Nutrition]]="", "", tblPiNAnalysis[[#This Row],[Nutrition]]/tblPiNAnalysis[[#This Row],[Total Population]])</f>
        <v/>
      </c>
      <c r="Y418" s="314" t="str">
        <f>IF(tblPiNAnalysis[[#This Row],[Protection]]="", "", tblPiNAnalysis[[#This Row],[Protection]]/tblPiNAnalysis[[#This Row],[Total Population]])</f>
        <v/>
      </c>
      <c r="Z418" s="316">
        <f>IF(tblPiNAnalysis[[#This Row],[Shelter NFI ]]="", "", tblPiNAnalysis[[#This Row],[Shelter NFI ]]/tblPiNAnalysis[[#This Row],[Total Population]])</f>
        <v>0.45825753695625299</v>
      </c>
      <c r="AA418" s="317" t="str">
        <f>IF(tblPiNAnalysis[[#This Row],[WASH]]="", "", tblPiNAnalysis[[#This Row],[WASH]]/tblPiNAnalysis[[#This Row],[Total Population]])</f>
        <v/>
      </c>
      <c r="AB418" s="318" t="str">
        <f>IFERROR(IF(tblPiNAnalysis[[#This Row],[CP]]="", "", MROUND(tblPiNAnalysis[[#This Row],[CP]]/tblPiNAnalysis[[#This Row],[Total Population]], 0.05)), "")</f>
        <v/>
      </c>
      <c r="AC418" s="314" t="str">
        <f>IFERROR(IF(tblPiNAnalysis[[#This Row],[GBV]]="", "", MROUND(tblPiNAnalysis[[#This Row],[GBV]]/tblPiNAnalysis[[#This Row],[Total Population]], 0.05)), "")</f>
        <v/>
      </c>
      <c r="AD418" s="314" t="str">
        <f>IFERROR(IF(tblPiNAnalysis[[#This Row],[Mine Action]]="", "", MROUND(tblPiNAnalysis[[#This Row],[Mine Action]]/tblPiNAnalysis[[#This Row],[Total Population]], 0.05)), "")</f>
        <v/>
      </c>
      <c r="AE418" s="314" t="str">
        <f>IFERROR(IF(tblPiNAnalysis[[#This Row],[General Protection]]="", "", MROUND(tblPiNAnalysis[[#This Row],[General Protection]]/tblPiNAnalysis[[#This Row],[Total Population]], 0.05)), "")</f>
        <v/>
      </c>
      <c r="AF418" s="319">
        <f>IFERROR(LARGE(tblPiNAnalysis[[#This Row],[Site Management ]:[General Protection]], 1), "")</f>
        <v>25947</v>
      </c>
      <c r="AG418" s="320">
        <f>IF(tblPiNAnalysis[[#This Row],[Highest PiN]]="", "",tblPiNAnalysis[[#This Row],[Highest PiN]]/ tblPiNAnalysis[[#This Row],[Total Population]])</f>
        <v>0.45825753695625299</v>
      </c>
      <c r="AH418" s="320" t="str">
        <f>IFERROR(IF(tblPiNAnalysis[[#This Row],[Highest PiN]]="", "", IF(tblPiNAnalysis[[#This Row],[Highest sector(s'') PiN %]]&gt;=flag_pin_perc, "Flagged", "")), "")</f>
        <v/>
      </c>
      <c r="AI418" s="321"/>
      <c r="AJ418" s="322"/>
      <c r="AK418" s="323">
        <f>COUNTIFS(tblPiNAnalysis[[#This Row],[Highest PiN greater than 90% of total affected population]:[Manual Flag]],"Flagged")</f>
        <v>0</v>
      </c>
      <c r="AL418" s="324" t="str">
        <f>IF(tblPiNAnalysis[[#This Row],['# Flags]]&gt;0, "Flagged", "")</f>
        <v/>
      </c>
    </row>
    <row r="419" spans="1:38" ht="23.1" hidden="1" customHeight="1" x14ac:dyDescent="0.2">
      <c r="A419" s="309" t="str">
        <f>_xlfn.CONCAT(IF(tblPiNAnalysis[[#This Row],[Population Group]]="", "",tblPiNAnalysis[[#This Row],[Population Group]] ), _xlfn.IFS(tblPiNAnalysis[[#This Row],[Admin 2 P-Code]]&lt;&gt;"", tblPiNAnalysis[[#This Row],[Admin 2 P-Code]], tblPiNAnalysis[[#This Row],[Admin 1 P-Code]]&lt;&gt;"", tblPiNAnalysis[[#This Row],[Admin 1 P-Code]]))</f>
        <v>IDPsSD13024</v>
      </c>
      <c r="B419" s="245" t="s">
        <v>170</v>
      </c>
      <c r="C419" s="246" t="s">
        <v>130</v>
      </c>
      <c r="D419" s="247" t="s">
        <v>470</v>
      </c>
      <c r="E419" s="246" t="s">
        <v>471</v>
      </c>
      <c r="F419" s="248">
        <v>45562</v>
      </c>
      <c r="G419" s="248" t="s">
        <v>88</v>
      </c>
      <c r="H419" s="310"/>
      <c r="I419" s="311"/>
      <c r="J419" s="248"/>
      <c r="K419" s="248"/>
      <c r="L419" s="311"/>
      <c r="M419" s="312"/>
      <c r="N419" s="312">
        <f>_xlfn.XLOOKUP(CONCATENATE(tblPiNAnalysis[[#This Row],[Admin 2 P-Code]],tblPiNAnalysis[[#This Row],[Population Group]]),'Overall severity &amp; PIN Analysis'!A:A,'Overall severity &amp; PIN Analysis'!P:P,0,0)</f>
        <v>20879</v>
      </c>
      <c r="O419" s="311"/>
      <c r="P419" s="312"/>
      <c r="Q419" s="312"/>
      <c r="R419" s="312"/>
      <c r="S419" s="312"/>
      <c r="T419" s="313" t="str">
        <f>IF(tblPiNAnalysis[[#This Row],[Site Management ]]="", "", tblPiNAnalysis[[#This Row],[Site Management ]]/tblPiNAnalysis[[#This Row],[Total Population]])</f>
        <v/>
      </c>
      <c r="U419" s="314" t="str">
        <f>IF(tblPiNAnalysis[[#This Row],[Education]]="", "", tblPiNAnalysis[[#This Row],[Education]]/tblPiNAnalysis[[#This Row],[Total Population]])</f>
        <v/>
      </c>
      <c r="V419" s="314" t="str">
        <f>IF(tblPiNAnalysis[[#This Row],[Food Security and Livlihoods]]="", "", tblPiNAnalysis[[#This Row],[Food Security and Livlihoods]]/tblPiNAnalysis[[#This Row],[Total Population]])</f>
        <v/>
      </c>
      <c r="W419" s="315" t="str">
        <f>IF(tblPiNAnalysis[[#This Row],[Health ]]="", "", tblPiNAnalysis[[#This Row],[Health ]]/tblPiNAnalysis[[#This Row],[Total Population]])</f>
        <v/>
      </c>
      <c r="X419" s="314" t="str">
        <f>IF(tblPiNAnalysis[[#This Row],[Nutrition]]="", "", tblPiNAnalysis[[#This Row],[Nutrition]]/tblPiNAnalysis[[#This Row],[Total Population]])</f>
        <v/>
      </c>
      <c r="Y419" s="314" t="str">
        <f>IF(tblPiNAnalysis[[#This Row],[Protection]]="", "", tblPiNAnalysis[[#This Row],[Protection]]/tblPiNAnalysis[[#This Row],[Total Population]])</f>
        <v/>
      </c>
      <c r="Z419" s="316">
        <f>IF(tblPiNAnalysis[[#This Row],[Shelter NFI ]]="", "", tblPiNAnalysis[[#This Row],[Shelter NFI ]]/tblPiNAnalysis[[#This Row],[Total Population]])</f>
        <v>0.45825468592247925</v>
      </c>
      <c r="AA419" s="317" t="str">
        <f>IF(tblPiNAnalysis[[#This Row],[WASH]]="", "", tblPiNAnalysis[[#This Row],[WASH]]/tblPiNAnalysis[[#This Row],[Total Population]])</f>
        <v/>
      </c>
      <c r="AB419" s="318" t="str">
        <f>IFERROR(IF(tblPiNAnalysis[[#This Row],[CP]]="", "", MROUND(tblPiNAnalysis[[#This Row],[CP]]/tblPiNAnalysis[[#This Row],[Total Population]], 0.05)), "")</f>
        <v/>
      </c>
      <c r="AC419" s="314" t="str">
        <f>IFERROR(IF(tblPiNAnalysis[[#This Row],[GBV]]="", "", MROUND(tblPiNAnalysis[[#This Row],[GBV]]/tblPiNAnalysis[[#This Row],[Total Population]], 0.05)), "")</f>
        <v/>
      </c>
      <c r="AD419" s="314" t="str">
        <f>IFERROR(IF(tblPiNAnalysis[[#This Row],[Mine Action]]="", "", MROUND(tblPiNAnalysis[[#This Row],[Mine Action]]/tblPiNAnalysis[[#This Row],[Total Population]], 0.05)), "")</f>
        <v/>
      </c>
      <c r="AE419" s="314" t="str">
        <f>IFERROR(IF(tblPiNAnalysis[[#This Row],[General Protection]]="", "", MROUND(tblPiNAnalysis[[#This Row],[General Protection]]/tblPiNAnalysis[[#This Row],[Total Population]], 0.05)), "")</f>
        <v/>
      </c>
      <c r="AF419" s="319">
        <f>IFERROR(LARGE(tblPiNAnalysis[[#This Row],[Site Management ]:[General Protection]], 1), "")</f>
        <v>20879</v>
      </c>
      <c r="AG419" s="320">
        <f>IF(tblPiNAnalysis[[#This Row],[Highest PiN]]="", "",tblPiNAnalysis[[#This Row],[Highest PiN]]/ tblPiNAnalysis[[#This Row],[Total Population]])</f>
        <v>0.45825468592247925</v>
      </c>
      <c r="AH419" s="320" t="str">
        <f>IFERROR(IF(tblPiNAnalysis[[#This Row],[Highest PiN]]="", "", IF(tblPiNAnalysis[[#This Row],[Highest sector(s'') PiN %]]&gt;=flag_pin_perc, "Flagged", "")), "")</f>
        <v/>
      </c>
      <c r="AI419" s="321"/>
      <c r="AJ419" s="322"/>
      <c r="AK419" s="323">
        <f>COUNTIFS(tblPiNAnalysis[[#This Row],[Highest PiN greater than 90% of total affected population]:[Manual Flag]],"Flagged")</f>
        <v>0</v>
      </c>
      <c r="AL419" s="324" t="str">
        <f>IF(tblPiNAnalysis[[#This Row],['# Flags]]&gt;0, "Flagged", "")</f>
        <v/>
      </c>
    </row>
    <row r="420" spans="1:38" ht="23.1" customHeight="1" x14ac:dyDescent="0.2">
      <c r="A420" s="309" t="str">
        <f>_xlfn.CONCAT(IF(tblPiNAnalysis[[#This Row],[Population Group]]="", "",tblPiNAnalysis[[#This Row],[Population Group]] ), _xlfn.IFS(tblPiNAnalysis[[#This Row],[Admin 2 P-Code]]&lt;&gt;"", tblPiNAnalysis[[#This Row],[Admin 2 P-Code]], tblPiNAnalysis[[#This Row],[Admin 1 P-Code]]&lt;&gt;"", tblPiNAnalysis[[#This Row],[Admin 1 P-Code]]))</f>
        <v>Non-hosting PopulationSD13024</v>
      </c>
      <c r="B420" s="245" t="s">
        <v>170</v>
      </c>
      <c r="C420" s="246" t="s">
        <v>130</v>
      </c>
      <c r="D420" s="247" t="s">
        <v>470</v>
      </c>
      <c r="E420" s="246" t="s">
        <v>471</v>
      </c>
      <c r="F420" s="248">
        <v>782222</v>
      </c>
      <c r="G420" s="248" t="s">
        <v>568</v>
      </c>
      <c r="H420" s="310"/>
      <c r="I420" s="311"/>
      <c r="J420" s="312"/>
      <c r="K420" s="311"/>
      <c r="L420" s="311"/>
      <c r="M420" s="312"/>
      <c r="N420" s="312">
        <f>_xlfn.XLOOKUP(CONCATENATE(tblPiNAnalysis[[#This Row],[Admin 2 P-Code]],tblPiNAnalysis[[#This Row],[Population Group]]),'Overall severity &amp; PIN Analysis'!A:A,'Overall severity &amp; PIN Analysis'!P:P,0,0)</f>
        <v>78126</v>
      </c>
      <c r="O420" s="311"/>
      <c r="P420" s="312"/>
      <c r="Q420" s="312"/>
      <c r="R420" s="312"/>
      <c r="S420" s="312"/>
      <c r="T420" s="313" t="str">
        <f>IF(tblPiNAnalysis[[#This Row],[Site Management ]]="", "", tblPiNAnalysis[[#This Row],[Site Management ]]/tblPiNAnalysis[[#This Row],[Total Population]])</f>
        <v/>
      </c>
      <c r="U420" s="314" t="str">
        <f>IF(tblPiNAnalysis[[#This Row],[Education]]="", "", tblPiNAnalysis[[#This Row],[Education]]/tblPiNAnalysis[[#This Row],[Total Population]])</f>
        <v/>
      </c>
      <c r="V420" s="314" t="str">
        <f>IF(tblPiNAnalysis[[#This Row],[Food Security and Livlihoods]]="", "", tblPiNAnalysis[[#This Row],[Food Security and Livlihoods]]/tblPiNAnalysis[[#This Row],[Total Population]])</f>
        <v/>
      </c>
      <c r="W420" s="315" t="str">
        <f>IF(tblPiNAnalysis[[#This Row],[Health ]]="", "", tblPiNAnalysis[[#This Row],[Health ]]/tblPiNAnalysis[[#This Row],[Total Population]])</f>
        <v/>
      </c>
      <c r="X420" s="314" t="str">
        <f>IF(tblPiNAnalysis[[#This Row],[Nutrition]]="", "", tblPiNAnalysis[[#This Row],[Nutrition]]/tblPiNAnalysis[[#This Row],[Total Population]])</f>
        <v/>
      </c>
      <c r="Y420" s="314" t="str">
        <f>IF(tblPiNAnalysis[[#This Row],[Protection]]="", "", tblPiNAnalysis[[#This Row],[Protection]]/tblPiNAnalysis[[#This Row],[Total Population]])</f>
        <v/>
      </c>
      <c r="Z420" s="316">
        <f>IF(tblPiNAnalysis[[#This Row],[Shelter NFI ]]="", "", tblPiNAnalysis[[#This Row],[Shelter NFI ]]/tblPiNAnalysis[[#This Row],[Total Population]])</f>
        <v>9.9877017010516198E-2</v>
      </c>
      <c r="AA420" s="317" t="str">
        <f>IF(tblPiNAnalysis[[#This Row],[WASH]]="", "", tblPiNAnalysis[[#This Row],[WASH]]/tblPiNAnalysis[[#This Row],[Total Population]])</f>
        <v/>
      </c>
      <c r="AB420" s="318" t="str">
        <f>IFERROR(IF(tblPiNAnalysis[[#This Row],[CP]]="", "", MROUND(tblPiNAnalysis[[#This Row],[CP]]/tblPiNAnalysis[[#This Row],[Total Population]], 0.05)), "")</f>
        <v/>
      </c>
      <c r="AC420" s="314" t="str">
        <f>IFERROR(IF(tblPiNAnalysis[[#This Row],[GBV]]="", "", MROUND(tblPiNAnalysis[[#This Row],[GBV]]/tblPiNAnalysis[[#This Row],[Total Population]], 0.05)), "")</f>
        <v/>
      </c>
      <c r="AD420" s="314" t="str">
        <f>IFERROR(IF(tblPiNAnalysis[[#This Row],[Mine Action]]="", "", MROUND(tblPiNAnalysis[[#This Row],[Mine Action]]/tblPiNAnalysis[[#This Row],[Total Population]], 0.05)), "")</f>
        <v/>
      </c>
      <c r="AE420" s="314" t="str">
        <f>IFERROR(IF(tblPiNAnalysis[[#This Row],[General Protection]]="", "", MROUND(tblPiNAnalysis[[#This Row],[General Protection]]/tblPiNAnalysis[[#This Row],[Total Population]], 0.05)), "")</f>
        <v/>
      </c>
      <c r="AF420" s="319">
        <f>IFERROR(LARGE(tblPiNAnalysis[[#This Row],[Site Management ]:[General Protection]], 1), "")</f>
        <v>78126</v>
      </c>
      <c r="AG420" s="320">
        <f>IF(tblPiNAnalysis[[#This Row],[Highest PiN]]="", "",tblPiNAnalysis[[#This Row],[Highest PiN]]/ tblPiNAnalysis[[#This Row],[Total Population]])</f>
        <v>9.9877017010516198E-2</v>
      </c>
      <c r="AH420" s="320" t="str">
        <f>IFERROR(IF(tblPiNAnalysis[[#This Row],[Highest PiN]]="", "", IF(tblPiNAnalysis[[#This Row],[Highest sector(s'') PiN %]]&gt;=flag_pin_perc, "Flagged", "")), "")</f>
        <v/>
      </c>
      <c r="AI420" s="321"/>
      <c r="AJ420" s="322"/>
      <c r="AK420" s="323">
        <f>COUNTIFS(tblPiNAnalysis[[#This Row],[Highest PiN greater than 90% of total affected population]:[Manual Flag]],"Flagged")</f>
        <v>0</v>
      </c>
      <c r="AL420" s="324" t="str">
        <f>IF(tblPiNAnalysis[[#This Row],['# Flags]]&gt;0, "Flagged", "")</f>
        <v/>
      </c>
    </row>
    <row r="421" spans="1:38" ht="23.1" hidden="1" customHeight="1" x14ac:dyDescent="0.2">
      <c r="A421" s="309" t="str">
        <f>_xlfn.CONCAT(IF(tblPiNAnalysis[[#This Row],[Population Group]]="", "",tblPiNAnalysis[[#This Row],[Population Group]] ), _xlfn.IFS(tblPiNAnalysis[[#This Row],[Admin 2 P-Code]]&lt;&gt;"", tblPiNAnalysis[[#This Row],[Admin 2 P-Code]], tblPiNAnalysis[[#This Row],[Admin 1 P-Code]]&lt;&gt;"", tblPiNAnalysis[[#This Row],[Admin 1 P-Code]]))</f>
        <v>Host CommunitySD13025</v>
      </c>
      <c r="B421" s="245" t="s">
        <v>170</v>
      </c>
      <c r="C421" s="246" t="s">
        <v>130</v>
      </c>
      <c r="D421" s="247" t="s">
        <v>472</v>
      </c>
      <c r="E421" s="246" t="s">
        <v>473</v>
      </c>
      <c r="F421" s="248">
        <v>3968</v>
      </c>
      <c r="G421" s="248" t="s">
        <v>87</v>
      </c>
      <c r="H421" s="310"/>
      <c r="I421" s="311"/>
      <c r="J421" s="312"/>
      <c r="K421" s="311"/>
      <c r="L421" s="311"/>
      <c r="M421" s="312"/>
      <c r="N421" s="312">
        <f>_xlfn.XLOOKUP(CONCATENATE(tblPiNAnalysis[[#This Row],[Admin 2 P-Code]],tblPiNAnalysis[[#This Row],[Population Group]]),'Overall severity &amp; PIN Analysis'!A:A,'Overall severity &amp; PIN Analysis'!P:P,0,0)</f>
        <v>1615</v>
      </c>
      <c r="O421" s="311"/>
      <c r="P421" s="312"/>
      <c r="Q421" s="312"/>
      <c r="R421" s="312"/>
      <c r="S421" s="312"/>
      <c r="T421" s="313" t="str">
        <f>IF(tblPiNAnalysis[[#This Row],[Site Management ]]="", "", tblPiNAnalysis[[#This Row],[Site Management ]]/tblPiNAnalysis[[#This Row],[Total Population]])</f>
        <v/>
      </c>
      <c r="U421" s="314" t="str">
        <f>IF(tblPiNAnalysis[[#This Row],[Education]]="", "", tblPiNAnalysis[[#This Row],[Education]]/tblPiNAnalysis[[#This Row],[Total Population]])</f>
        <v/>
      </c>
      <c r="V421" s="314" t="str">
        <f>IF(tblPiNAnalysis[[#This Row],[Food Security and Livlihoods]]="", "", tblPiNAnalysis[[#This Row],[Food Security and Livlihoods]]/tblPiNAnalysis[[#This Row],[Total Population]])</f>
        <v/>
      </c>
      <c r="W421" s="315" t="str">
        <f>IF(tblPiNAnalysis[[#This Row],[Health ]]="", "", tblPiNAnalysis[[#This Row],[Health ]]/tblPiNAnalysis[[#This Row],[Total Population]])</f>
        <v/>
      </c>
      <c r="X421" s="314" t="str">
        <f>IF(tblPiNAnalysis[[#This Row],[Nutrition]]="", "", tblPiNAnalysis[[#This Row],[Nutrition]]/tblPiNAnalysis[[#This Row],[Total Population]])</f>
        <v/>
      </c>
      <c r="Y421" s="314" t="str">
        <f>IF(tblPiNAnalysis[[#This Row],[Protection]]="", "", tblPiNAnalysis[[#This Row],[Protection]]/tblPiNAnalysis[[#This Row],[Total Population]])</f>
        <v/>
      </c>
      <c r="Z421" s="316">
        <f>IF(tblPiNAnalysis[[#This Row],[Shelter NFI ]]="", "", tblPiNAnalysis[[#This Row],[Shelter NFI ]]/tblPiNAnalysis[[#This Row],[Total Population]])</f>
        <v>0.40700604838709675</v>
      </c>
      <c r="AA421" s="317" t="str">
        <f>IF(tblPiNAnalysis[[#This Row],[WASH]]="", "", tblPiNAnalysis[[#This Row],[WASH]]/tblPiNAnalysis[[#This Row],[Total Population]])</f>
        <v/>
      </c>
      <c r="AB421" s="318" t="str">
        <f>IFERROR(IF(tblPiNAnalysis[[#This Row],[CP]]="", "", MROUND(tblPiNAnalysis[[#This Row],[CP]]/tblPiNAnalysis[[#This Row],[Total Population]], 0.05)), "")</f>
        <v/>
      </c>
      <c r="AC421" s="314" t="str">
        <f>IFERROR(IF(tblPiNAnalysis[[#This Row],[GBV]]="", "", MROUND(tblPiNAnalysis[[#This Row],[GBV]]/tblPiNAnalysis[[#This Row],[Total Population]], 0.05)), "")</f>
        <v/>
      </c>
      <c r="AD421" s="314" t="str">
        <f>IFERROR(IF(tblPiNAnalysis[[#This Row],[Mine Action]]="", "", MROUND(tblPiNAnalysis[[#This Row],[Mine Action]]/tblPiNAnalysis[[#This Row],[Total Population]], 0.05)), "")</f>
        <v/>
      </c>
      <c r="AE421" s="314" t="str">
        <f>IFERROR(IF(tblPiNAnalysis[[#This Row],[General Protection]]="", "", MROUND(tblPiNAnalysis[[#This Row],[General Protection]]/tblPiNAnalysis[[#This Row],[Total Population]], 0.05)), "")</f>
        <v/>
      </c>
      <c r="AF421" s="319">
        <f>IFERROR(LARGE(tblPiNAnalysis[[#This Row],[Site Management ]:[General Protection]], 1), "")</f>
        <v>1615</v>
      </c>
      <c r="AG421" s="320">
        <f>IF(tblPiNAnalysis[[#This Row],[Highest PiN]]="", "",tblPiNAnalysis[[#This Row],[Highest PiN]]/ tblPiNAnalysis[[#This Row],[Total Population]])</f>
        <v>0.40700604838709675</v>
      </c>
      <c r="AH421" s="320" t="str">
        <f>IFERROR(IF(tblPiNAnalysis[[#This Row],[Highest PiN]]="", "", IF(tblPiNAnalysis[[#This Row],[Highest sector(s'') PiN %]]&gt;=flag_pin_perc, "Flagged", "")), "")</f>
        <v/>
      </c>
      <c r="AI421" s="321"/>
      <c r="AJ421" s="322"/>
      <c r="AK421" s="323">
        <f>COUNTIFS(tblPiNAnalysis[[#This Row],[Highest PiN greater than 90% of total affected population]:[Manual Flag]],"Flagged")</f>
        <v>0</v>
      </c>
      <c r="AL421" s="324" t="str">
        <f>IF(tblPiNAnalysis[[#This Row],['# Flags]]&gt;0, "Flagged", "")</f>
        <v/>
      </c>
    </row>
    <row r="422" spans="1:38" ht="23.1" hidden="1" customHeight="1" x14ac:dyDescent="0.2">
      <c r="A422" s="309" t="str">
        <f>_xlfn.CONCAT(IF(tblPiNAnalysis[[#This Row],[Population Group]]="", "",tblPiNAnalysis[[#This Row],[Population Group]] ), _xlfn.IFS(tblPiNAnalysis[[#This Row],[Admin 2 P-Code]]&lt;&gt;"", tblPiNAnalysis[[#This Row],[Admin 2 P-Code]], tblPiNAnalysis[[#This Row],[Admin 1 P-Code]]&lt;&gt;"", tblPiNAnalysis[[#This Row],[Admin 1 P-Code]]))</f>
        <v>IDPsSD13025</v>
      </c>
      <c r="B422" s="245" t="s">
        <v>170</v>
      </c>
      <c r="C422" s="246" t="s">
        <v>130</v>
      </c>
      <c r="D422" s="247" t="s">
        <v>472</v>
      </c>
      <c r="E422" s="246" t="s">
        <v>473</v>
      </c>
      <c r="F422" s="248">
        <v>3968</v>
      </c>
      <c r="G422" s="248" t="s">
        <v>88</v>
      </c>
      <c r="H422" s="310"/>
      <c r="I422" s="311"/>
      <c r="J422" s="312"/>
      <c r="K422" s="311"/>
      <c r="L422" s="311"/>
      <c r="M422" s="312"/>
      <c r="N422" s="312">
        <f>_xlfn.XLOOKUP(CONCATENATE(tblPiNAnalysis[[#This Row],[Admin 2 P-Code]],tblPiNAnalysis[[#This Row],[Population Group]]),'Overall severity &amp; PIN Analysis'!A:A,'Overall severity &amp; PIN Analysis'!P:P,0,0)</f>
        <v>1615</v>
      </c>
      <c r="O422" s="311"/>
      <c r="P422" s="312"/>
      <c r="Q422" s="312"/>
      <c r="R422" s="312"/>
      <c r="S422" s="312"/>
      <c r="T422" s="313" t="str">
        <f>IF(tblPiNAnalysis[[#This Row],[Site Management ]]="", "", tblPiNAnalysis[[#This Row],[Site Management ]]/tblPiNAnalysis[[#This Row],[Total Population]])</f>
        <v/>
      </c>
      <c r="U422" s="314" t="str">
        <f>IF(tblPiNAnalysis[[#This Row],[Education]]="", "", tblPiNAnalysis[[#This Row],[Education]]/tblPiNAnalysis[[#This Row],[Total Population]])</f>
        <v/>
      </c>
      <c r="V422" s="314" t="str">
        <f>IF(tblPiNAnalysis[[#This Row],[Food Security and Livlihoods]]="", "", tblPiNAnalysis[[#This Row],[Food Security and Livlihoods]]/tblPiNAnalysis[[#This Row],[Total Population]])</f>
        <v/>
      </c>
      <c r="W422" s="315" t="str">
        <f>IF(tblPiNAnalysis[[#This Row],[Health ]]="", "", tblPiNAnalysis[[#This Row],[Health ]]/tblPiNAnalysis[[#This Row],[Total Population]])</f>
        <v/>
      </c>
      <c r="X422" s="314" t="str">
        <f>IF(tblPiNAnalysis[[#This Row],[Nutrition]]="", "", tblPiNAnalysis[[#This Row],[Nutrition]]/tblPiNAnalysis[[#This Row],[Total Population]])</f>
        <v/>
      </c>
      <c r="Y422" s="314" t="str">
        <f>IF(tblPiNAnalysis[[#This Row],[Protection]]="", "", tblPiNAnalysis[[#This Row],[Protection]]/tblPiNAnalysis[[#This Row],[Total Population]])</f>
        <v/>
      </c>
      <c r="Z422" s="316">
        <f>IF(tblPiNAnalysis[[#This Row],[Shelter NFI ]]="", "", tblPiNAnalysis[[#This Row],[Shelter NFI ]]/tblPiNAnalysis[[#This Row],[Total Population]])</f>
        <v>0.40700604838709675</v>
      </c>
      <c r="AA422" s="317" t="str">
        <f>IF(tblPiNAnalysis[[#This Row],[WASH]]="", "", tblPiNAnalysis[[#This Row],[WASH]]/tblPiNAnalysis[[#This Row],[Total Population]])</f>
        <v/>
      </c>
      <c r="AB422" s="318" t="str">
        <f>IFERROR(IF(tblPiNAnalysis[[#This Row],[CP]]="", "", MROUND(tblPiNAnalysis[[#This Row],[CP]]/tblPiNAnalysis[[#This Row],[Total Population]], 0.05)), "")</f>
        <v/>
      </c>
      <c r="AC422" s="314" t="str">
        <f>IFERROR(IF(tblPiNAnalysis[[#This Row],[GBV]]="", "", MROUND(tblPiNAnalysis[[#This Row],[GBV]]/tblPiNAnalysis[[#This Row],[Total Population]], 0.05)), "")</f>
        <v/>
      </c>
      <c r="AD422" s="314" t="str">
        <f>IFERROR(IF(tblPiNAnalysis[[#This Row],[Mine Action]]="", "", MROUND(tblPiNAnalysis[[#This Row],[Mine Action]]/tblPiNAnalysis[[#This Row],[Total Population]], 0.05)), "")</f>
        <v/>
      </c>
      <c r="AE422" s="314" t="str">
        <f>IFERROR(IF(tblPiNAnalysis[[#This Row],[General Protection]]="", "", MROUND(tblPiNAnalysis[[#This Row],[General Protection]]/tblPiNAnalysis[[#This Row],[Total Population]], 0.05)), "")</f>
        <v/>
      </c>
      <c r="AF422" s="319">
        <f>IFERROR(LARGE(tblPiNAnalysis[[#This Row],[Site Management ]:[General Protection]], 1), "")</f>
        <v>1615</v>
      </c>
      <c r="AG422" s="320">
        <f>IF(tblPiNAnalysis[[#This Row],[Highest PiN]]="", "",tblPiNAnalysis[[#This Row],[Highest PiN]]/ tblPiNAnalysis[[#This Row],[Total Population]])</f>
        <v>0.40700604838709675</v>
      </c>
      <c r="AH422" s="320" t="str">
        <f>IFERROR(IF(tblPiNAnalysis[[#This Row],[Highest PiN]]="", "", IF(tblPiNAnalysis[[#This Row],[Highest sector(s'') PiN %]]&gt;=flag_pin_perc, "Flagged", "")), "")</f>
        <v/>
      </c>
      <c r="AI422" s="321"/>
      <c r="AJ422" s="322"/>
      <c r="AK422" s="323">
        <f>COUNTIFS(tblPiNAnalysis[[#This Row],[Highest PiN greater than 90% of total affected population]:[Manual Flag]],"Flagged")</f>
        <v>0</v>
      </c>
      <c r="AL422" s="324" t="str">
        <f>IF(tblPiNAnalysis[[#This Row],['# Flags]]&gt;0, "Flagged", "")</f>
        <v/>
      </c>
    </row>
    <row r="423" spans="1:38" ht="23.1" customHeight="1" x14ac:dyDescent="0.2">
      <c r="A423" s="309" t="str">
        <f>_xlfn.CONCAT(IF(tblPiNAnalysis[[#This Row],[Population Group]]="", "",tblPiNAnalysis[[#This Row],[Population Group]] ), _xlfn.IFS(tblPiNAnalysis[[#This Row],[Admin 2 P-Code]]&lt;&gt;"", tblPiNAnalysis[[#This Row],[Admin 2 P-Code]], tblPiNAnalysis[[#This Row],[Admin 1 P-Code]]&lt;&gt;"", tblPiNAnalysis[[#This Row],[Admin 1 P-Code]]))</f>
        <v>Non-hosting PopulationSD13025</v>
      </c>
      <c r="B423" s="245" t="s">
        <v>170</v>
      </c>
      <c r="C423" s="246" t="s">
        <v>130</v>
      </c>
      <c r="D423" s="247" t="s">
        <v>472</v>
      </c>
      <c r="E423" s="246" t="s">
        <v>473</v>
      </c>
      <c r="F423" s="248">
        <v>418610</v>
      </c>
      <c r="G423" s="248" t="s">
        <v>568</v>
      </c>
      <c r="H423" s="310"/>
      <c r="I423" s="311"/>
      <c r="J423" s="312"/>
      <c r="K423" s="311"/>
      <c r="L423" s="311"/>
      <c r="M423" s="312"/>
      <c r="N423" s="312">
        <f>_xlfn.XLOOKUP(CONCATENATE(tblPiNAnalysis[[#This Row],[Admin 2 P-Code]],tblPiNAnalysis[[#This Row],[Population Group]]),'Overall severity &amp; PIN Analysis'!A:A,'Overall severity &amp; PIN Analysis'!P:P,0,0)</f>
        <v>0</v>
      </c>
      <c r="O423" s="311"/>
      <c r="P423" s="312"/>
      <c r="Q423" s="312"/>
      <c r="R423" s="312"/>
      <c r="S423" s="312"/>
      <c r="T423" s="313" t="str">
        <f>IF(tblPiNAnalysis[[#This Row],[Site Management ]]="", "", tblPiNAnalysis[[#This Row],[Site Management ]]/tblPiNAnalysis[[#This Row],[Total Population]])</f>
        <v/>
      </c>
      <c r="U423" s="314" t="str">
        <f>IF(tblPiNAnalysis[[#This Row],[Education]]="", "", tblPiNAnalysis[[#This Row],[Education]]/tblPiNAnalysis[[#This Row],[Total Population]])</f>
        <v/>
      </c>
      <c r="V423" s="314" t="str">
        <f>IF(tblPiNAnalysis[[#This Row],[Food Security and Livlihoods]]="", "", tblPiNAnalysis[[#This Row],[Food Security and Livlihoods]]/tblPiNAnalysis[[#This Row],[Total Population]])</f>
        <v/>
      </c>
      <c r="W423" s="315" t="str">
        <f>IF(tblPiNAnalysis[[#This Row],[Health ]]="", "", tblPiNAnalysis[[#This Row],[Health ]]/tblPiNAnalysis[[#This Row],[Total Population]])</f>
        <v/>
      </c>
      <c r="X423" s="314" t="str">
        <f>IF(tblPiNAnalysis[[#This Row],[Nutrition]]="", "", tblPiNAnalysis[[#This Row],[Nutrition]]/tblPiNAnalysis[[#This Row],[Total Population]])</f>
        <v/>
      </c>
      <c r="Y423" s="314" t="str">
        <f>IF(tblPiNAnalysis[[#This Row],[Protection]]="", "", tblPiNAnalysis[[#This Row],[Protection]]/tblPiNAnalysis[[#This Row],[Total Population]])</f>
        <v/>
      </c>
      <c r="Z423" s="316">
        <f>IF(tblPiNAnalysis[[#This Row],[Shelter NFI ]]="", "", tblPiNAnalysis[[#This Row],[Shelter NFI ]]/tblPiNAnalysis[[#This Row],[Total Population]])</f>
        <v>0</v>
      </c>
      <c r="AA423" s="317" t="str">
        <f>IF(tblPiNAnalysis[[#This Row],[WASH]]="", "", tblPiNAnalysis[[#This Row],[WASH]]/tblPiNAnalysis[[#This Row],[Total Population]])</f>
        <v/>
      </c>
      <c r="AB423" s="318" t="str">
        <f>IFERROR(IF(tblPiNAnalysis[[#This Row],[CP]]="", "", MROUND(tblPiNAnalysis[[#This Row],[CP]]/tblPiNAnalysis[[#This Row],[Total Population]], 0.05)), "")</f>
        <v/>
      </c>
      <c r="AC423" s="314" t="str">
        <f>IFERROR(IF(tblPiNAnalysis[[#This Row],[GBV]]="", "", MROUND(tblPiNAnalysis[[#This Row],[GBV]]/tblPiNAnalysis[[#This Row],[Total Population]], 0.05)), "")</f>
        <v/>
      </c>
      <c r="AD423" s="314" t="str">
        <f>IFERROR(IF(tblPiNAnalysis[[#This Row],[Mine Action]]="", "", MROUND(tblPiNAnalysis[[#This Row],[Mine Action]]/tblPiNAnalysis[[#This Row],[Total Population]], 0.05)), "")</f>
        <v/>
      </c>
      <c r="AE423" s="314" t="str">
        <f>IFERROR(IF(tblPiNAnalysis[[#This Row],[General Protection]]="", "", MROUND(tblPiNAnalysis[[#This Row],[General Protection]]/tblPiNAnalysis[[#This Row],[Total Population]], 0.05)), "")</f>
        <v/>
      </c>
      <c r="AF423" s="319">
        <f>IFERROR(LARGE(tblPiNAnalysis[[#This Row],[Site Management ]:[General Protection]], 1), "")</f>
        <v>0</v>
      </c>
      <c r="AG423" s="320">
        <f>IF(tblPiNAnalysis[[#This Row],[Highest PiN]]="", "",tblPiNAnalysis[[#This Row],[Highest PiN]]/ tblPiNAnalysis[[#This Row],[Total Population]])</f>
        <v>0</v>
      </c>
      <c r="AH423" s="320" t="str">
        <f>IFERROR(IF(tblPiNAnalysis[[#This Row],[Highest PiN]]="", "", IF(tblPiNAnalysis[[#This Row],[Highest sector(s'') PiN %]]&gt;=flag_pin_perc, "Flagged", "")), "")</f>
        <v/>
      </c>
      <c r="AI423" s="321"/>
      <c r="AJ423" s="322"/>
      <c r="AK423" s="323">
        <f>COUNTIFS(tblPiNAnalysis[[#This Row],[Highest PiN greater than 90% of total affected population]:[Manual Flag]],"Flagged")</f>
        <v>0</v>
      </c>
      <c r="AL423" s="324" t="str">
        <f>IF(tblPiNAnalysis[[#This Row],['# Flags]]&gt;0, "Flagged", "")</f>
        <v/>
      </c>
    </row>
    <row r="424" spans="1:38" ht="23.1" hidden="1" customHeight="1" x14ac:dyDescent="0.2">
      <c r="A424" s="309" t="str">
        <f>_xlfn.CONCAT(IF(tblPiNAnalysis[[#This Row],[Population Group]]="", "",tblPiNAnalysis[[#This Row],[Population Group]] ), _xlfn.IFS(tblPiNAnalysis[[#This Row],[Admin 2 P-Code]]&lt;&gt;"", tblPiNAnalysis[[#This Row],[Admin 2 P-Code]], tblPiNAnalysis[[#This Row],[Admin 1 P-Code]]&lt;&gt;"", tblPiNAnalysis[[#This Row],[Admin 1 P-Code]]))</f>
        <v>Host CommunitySD13026</v>
      </c>
      <c r="B424" s="245" t="s">
        <v>170</v>
      </c>
      <c r="C424" s="246" t="s">
        <v>130</v>
      </c>
      <c r="D424" s="247" t="s">
        <v>474</v>
      </c>
      <c r="E424" s="246" t="s">
        <v>475</v>
      </c>
      <c r="F424" s="248">
        <v>33815</v>
      </c>
      <c r="G424" s="248" t="s">
        <v>87</v>
      </c>
      <c r="H424" s="310"/>
      <c r="I424" s="311"/>
      <c r="J424" s="312"/>
      <c r="K424" s="311"/>
      <c r="L424" s="311"/>
      <c r="M424" s="312"/>
      <c r="N424" s="312">
        <f>_xlfn.XLOOKUP(CONCATENATE(tblPiNAnalysis[[#This Row],[Admin 2 P-Code]],tblPiNAnalysis[[#This Row],[Population Group]]),'Overall severity &amp; PIN Analysis'!A:A,'Overall severity &amp; PIN Analysis'!P:P,0,0)</f>
        <v>15506</v>
      </c>
      <c r="O424" s="311"/>
      <c r="P424" s="312"/>
      <c r="Q424" s="312"/>
      <c r="R424" s="312"/>
      <c r="S424" s="312"/>
      <c r="T424" s="313" t="str">
        <f>IF(tblPiNAnalysis[[#This Row],[Site Management ]]="", "", tblPiNAnalysis[[#This Row],[Site Management ]]/tblPiNAnalysis[[#This Row],[Total Population]])</f>
        <v/>
      </c>
      <c r="U424" s="314" t="str">
        <f>IF(tblPiNAnalysis[[#This Row],[Education]]="", "", tblPiNAnalysis[[#This Row],[Education]]/tblPiNAnalysis[[#This Row],[Total Population]])</f>
        <v/>
      </c>
      <c r="V424" s="314" t="str">
        <f>IF(tblPiNAnalysis[[#This Row],[Food Security and Livlihoods]]="", "", tblPiNAnalysis[[#This Row],[Food Security and Livlihoods]]/tblPiNAnalysis[[#This Row],[Total Population]])</f>
        <v/>
      </c>
      <c r="W424" s="315" t="str">
        <f>IF(tblPiNAnalysis[[#This Row],[Health ]]="", "", tblPiNAnalysis[[#This Row],[Health ]]/tblPiNAnalysis[[#This Row],[Total Population]])</f>
        <v/>
      </c>
      <c r="X424" s="314" t="str">
        <f>IF(tblPiNAnalysis[[#This Row],[Nutrition]]="", "", tblPiNAnalysis[[#This Row],[Nutrition]]/tblPiNAnalysis[[#This Row],[Total Population]])</f>
        <v/>
      </c>
      <c r="Y424" s="314" t="str">
        <f>IF(tblPiNAnalysis[[#This Row],[Protection]]="", "", tblPiNAnalysis[[#This Row],[Protection]]/tblPiNAnalysis[[#This Row],[Total Population]])</f>
        <v/>
      </c>
      <c r="Z424" s="316">
        <f>IF(tblPiNAnalysis[[#This Row],[Shelter NFI ]]="", "", tblPiNAnalysis[[#This Row],[Shelter NFI ]]/tblPiNAnalysis[[#This Row],[Total Population]])</f>
        <v>0.45855389619991127</v>
      </c>
      <c r="AA424" s="317" t="str">
        <f>IF(tblPiNAnalysis[[#This Row],[WASH]]="", "", tblPiNAnalysis[[#This Row],[WASH]]/tblPiNAnalysis[[#This Row],[Total Population]])</f>
        <v/>
      </c>
      <c r="AB424" s="318" t="str">
        <f>IFERROR(IF(tblPiNAnalysis[[#This Row],[CP]]="", "", MROUND(tblPiNAnalysis[[#This Row],[CP]]/tblPiNAnalysis[[#This Row],[Total Population]], 0.05)), "")</f>
        <v/>
      </c>
      <c r="AC424" s="314" t="str">
        <f>IFERROR(IF(tblPiNAnalysis[[#This Row],[GBV]]="", "", MROUND(tblPiNAnalysis[[#This Row],[GBV]]/tblPiNAnalysis[[#This Row],[Total Population]], 0.05)), "")</f>
        <v/>
      </c>
      <c r="AD424" s="314" t="str">
        <f>IFERROR(IF(tblPiNAnalysis[[#This Row],[Mine Action]]="", "", MROUND(tblPiNAnalysis[[#This Row],[Mine Action]]/tblPiNAnalysis[[#This Row],[Total Population]], 0.05)), "")</f>
        <v/>
      </c>
      <c r="AE424" s="314" t="str">
        <f>IFERROR(IF(tblPiNAnalysis[[#This Row],[General Protection]]="", "", MROUND(tblPiNAnalysis[[#This Row],[General Protection]]/tblPiNAnalysis[[#This Row],[Total Population]], 0.05)), "")</f>
        <v/>
      </c>
      <c r="AF424" s="319">
        <f>IFERROR(LARGE(tblPiNAnalysis[[#This Row],[Site Management ]:[General Protection]], 1), "")</f>
        <v>15506</v>
      </c>
      <c r="AG424" s="320">
        <f>IF(tblPiNAnalysis[[#This Row],[Highest PiN]]="", "",tblPiNAnalysis[[#This Row],[Highest PiN]]/ tblPiNAnalysis[[#This Row],[Total Population]])</f>
        <v>0.45855389619991127</v>
      </c>
      <c r="AH424" s="320" t="str">
        <f>IFERROR(IF(tblPiNAnalysis[[#This Row],[Highest PiN]]="", "", IF(tblPiNAnalysis[[#This Row],[Highest sector(s'') PiN %]]&gt;=flag_pin_perc, "Flagged", "")), "")</f>
        <v/>
      </c>
      <c r="AI424" s="321"/>
      <c r="AJ424" s="322"/>
      <c r="AK424" s="323">
        <f>COUNTIFS(tblPiNAnalysis[[#This Row],[Highest PiN greater than 90% of total affected population]:[Manual Flag]],"Flagged")</f>
        <v>0</v>
      </c>
      <c r="AL424" s="324" t="str">
        <f>IF(tblPiNAnalysis[[#This Row],['# Flags]]&gt;0, "Flagged", "")</f>
        <v/>
      </c>
    </row>
    <row r="425" spans="1:38" ht="23.1" hidden="1" customHeight="1" x14ac:dyDescent="0.2">
      <c r="A425" s="309" t="str">
        <f>_xlfn.CONCAT(IF(tblPiNAnalysis[[#This Row],[Population Group]]="", "",tblPiNAnalysis[[#This Row],[Population Group]] ), _xlfn.IFS(tblPiNAnalysis[[#This Row],[Admin 2 P-Code]]&lt;&gt;"", tblPiNAnalysis[[#This Row],[Admin 2 P-Code]], tblPiNAnalysis[[#This Row],[Admin 1 P-Code]]&lt;&gt;"", tblPiNAnalysis[[#This Row],[Admin 1 P-Code]]))</f>
        <v>IDPsSD13026</v>
      </c>
      <c r="B425" s="245" t="s">
        <v>170</v>
      </c>
      <c r="C425" s="246" t="s">
        <v>130</v>
      </c>
      <c r="D425" s="247" t="s">
        <v>474</v>
      </c>
      <c r="E425" s="246" t="s">
        <v>475</v>
      </c>
      <c r="F425" s="248">
        <v>32914</v>
      </c>
      <c r="G425" s="248" t="s">
        <v>88</v>
      </c>
      <c r="H425" s="310"/>
      <c r="I425" s="311"/>
      <c r="J425" s="312"/>
      <c r="K425" s="311"/>
      <c r="L425" s="311"/>
      <c r="M425" s="312"/>
      <c r="N425" s="312">
        <f>_xlfn.XLOOKUP(CONCATENATE(tblPiNAnalysis[[#This Row],[Admin 2 P-Code]],tblPiNAnalysis[[#This Row],[Population Group]]),'Overall severity &amp; PIN Analysis'!A:A,'Overall severity &amp; PIN Analysis'!P:P,0,0)</f>
        <v>15093</v>
      </c>
      <c r="O425" s="311"/>
      <c r="P425" s="312"/>
      <c r="Q425" s="312"/>
      <c r="R425" s="312"/>
      <c r="S425" s="312"/>
      <c r="T425" s="313" t="str">
        <f>IF(tblPiNAnalysis[[#This Row],[Site Management ]]="", "", tblPiNAnalysis[[#This Row],[Site Management ]]/tblPiNAnalysis[[#This Row],[Total Population]])</f>
        <v/>
      </c>
      <c r="U425" s="314" t="str">
        <f>IF(tblPiNAnalysis[[#This Row],[Education]]="", "", tblPiNAnalysis[[#This Row],[Education]]/tblPiNAnalysis[[#This Row],[Total Population]])</f>
        <v/>
      </c>
      <c r="V425" s="314" t="str">
        <f>IF(tblPiNAnalysis[[#This Row],[Food Security and Livlihoods]]="", "", tblPiNAnalysis[[#This Row],[Food Security and Livlihoods]]/tblPiNAnalysis[[#This Row],[Total Population]])</f>
        <v/>
      </c>
      <c r="W425" s="315" t="str">
        <f>IF(tblPiNAnalysis[[#This Row],[Health ]]="", "", tblPiNAnalysis[[#This Row],[Health ]]/tblPiNAnalysis[[#This Row],[Total Population]])</f>
        <v/>
      </c>
      <c r="X425" s="314" t="str">
        <f>IF(tblPiNAnalysis[[#This Row],[Nutrition]]="", "", tblPiNAnalysis[[#This Row],[Nutrition]]/tblPiNAnalysis[[#This Row],[Total Population]])</f>
        <v/>
      </c>
      <c r="Y425" s="314" t="str">
        <f>IF(tblPiNAnalysis[[#This Row],[Protection]]="", "", tblPiNAnalysis[[#This Row],[Protection]]/tblPiNAnalysis[[#This Row],[Total Population]])</f>
        <v/>
      </c>
      <c r="Z425" s="316">
        <f>IF(tblPiNAnalysis[[#This Row],[Shelter NFI ]]="", "", tblPiNAnalysis[[#This Row],[Shelter NFI ]]/tblPiNAnalysis[[#This Row],[Total Population]])</f>
        <v>0.45855866804399342</v>
      </c>
      <c r="AA425" s="317" t="str">
        <f>IF(tblPiNAnalysis[[#This Row],[WASH]]="", "", tblPiNAnalysis[[#This Row],[WASH]]/tblPiNAnalysis[[#This Row],[Total Population]])</f>
        <v/>
      </c>
      <c r="AB425" s="318" t="str">
        <f>IFERROR(IF(tblPiNAnalysis[[#This Row],[CP]]="", "", MROUND(tblPiNAnalysis[[#This Row],[CP]]/tblPiNAnalysis[[#This Row],[Total Population]], 0.05)), "")</f>
        <v/>
      </c>
      <c r="AC425" s="314" t="str">
        <f>IFERROR(IF(tblPiNAnalysis[[#This Row],[GBV]]="", "", MROUND(tblPiNAnalysis[[#This Row],[GBV]]/tblPiNAnalysis[[#This Row],[Total Population]], 0.05)), "")</f>
        <v/>
      </c>
      <c r="AD425" s="314" t="str">
        <f>IFERROR(IF(tblPiNAnalysis[[#This Row],[Mine Action]]="", "", MROUND(tblPiNAnalysis[[#This Row],[Mine Action]]/tblPiNAnalysis[[#This Row],[Total Population]], 0.05)), "")</f>
        <v/>
      </c>
      <c r="AE425" s="314" t="str">
        <f>IFERROR(IF(tblPiNAnalysis[[#This Row],[General Protection]]="", "", MROUND(tblPiNAnalysis[[#This Row],[General Protection]]/tblPiNAnalysis[[#This Row],[Total Population]], 0.05)), "")</f>
        <v/>
      </c>
      <c r="AF425" s="319">
        <f>IFERROR(LARGE(tblPiNAnalysis[[#This Row],[Site Management ]:[General Protection]], 1), "")</f>
        <v>15093</v>
      </c>
      <c r="AG425" s="320">
        <f>IF(tblPiNAnalysis[[#This Row],[Highest PiN]]="", "",tblPiNAnalysis[[#This Row],[Highest PiN]]/ tblPiNAnalysis[[#This Row],[Total Population]])</f>
        <v>0.45855866804399342</v>
      </c>
      <c r="AH425" s="320" t="str">
        <f>IFERROR(IF(tblPiNAnalysis[[#This Row],[Highest PiN]]="", "", IF(tblPiNAnalysis[[#This Row],[Highest sector(s'') PiN %]]&gt;=flag_pin_perc, "Flagged", "")), "")</f>
        <v/>
      </c>
      <c r="AI425" s="321"/>
      <c r="AJ425" s="322"/>
      <c r="AK425" s="323">
        <f>COUNTIFS(tblPiNAnalysis[[#This Row],[Highest PiN greater than 90% of total affected population]:[Manual Flag]],"Flagged")</f>
        <v>0</v>
      </c>
      <c r="AL425" s="324" t="str">
        <f>IF(tblPiNAnalysis[[#This Row],['# Flags]]&gt;0, "Flagged", "")</f>
        <v/>
      </c>
    </row>
    <row r="426" spans="1:38" ht="23.1" customHeight="1" x14ac:dyDescent="0.2">
      <c r="A426" s="309" t="str">
        <f>_xlfn.CONCAT(IF(tblPiNAnalysis[[#This Row],[Population Group]]="", "",tblPiNAnalysis[[#This Row],[Population Group]] ), _xlfn.IFS(tblPiNAnalysis[[#This Row],[Admin 2 P-Code]]&lt;&gt;"", tblPiNAnalysis[[#This Row],[Admin 2 P-Code]], tblPiNAnalysis[[#This Row],[Admin 1 P-Code]]&lt;&gt;"", tblPiNAnalysis[[#This Row],[Admin 1 P-Code]]))</f>
        <v>Non-hosting PopulationSD13026</v>
      </c>
      <c r="B426" s="245" t="s">
        <v>170</v>
      </c>
      <c r="C426" s="246" t="s">
        <v>130</v>
      </c>
      <c r="D426" s="247" t="s">
        <v>474</v>
      </c>
      <c r="E426" s="246" t="s">
        <v>475</v>
      </c>
      <c r="F426" s="248">
        <v>270876</v>
      </c>
      <c r="G426" s="248" t="s">
        <v>568</v>
      </c>
      <c r="H426" s="310"/>
      <c r="I426" s="311"/>
      <c r="J426" s="312"/>
      <c r="K426" s="311"/>
      <c r="L426" s="311"/>
      <c r="M426" s="312"/>
      <c r="N426" s="312">
        <f>_xlfn.XLOOKUP(CONCATENATE(tblPiNAnalysis[[#This Row],[Admin 2 P-Code]],tblPiNAnalysis[[#This Row],[Population Group]]),'Overall severity &amp; PIN Analysis'!A:A,'Overall severity &amp; PIN Analysis'!P:P,0,0)</f>
        <v>3499</v>
      </c>
      <c r="O426" s="311"/>
      <c r="P426" s="312"/>
      <c r="Q426" s="312"/>
      <c r="R426" s="312"/>
      <c r="S426" s="312"/>
      <c r="T426" s="313" t="str">
        <f>IF(tblPiNAnalysis[[#This Row],[Site Management ]]="", "", tblPiNAnalysis[[#This Row],[Site Management ]]/tblPiNAnalysis[[#This Row],[Total Population]])</f>
        <v/>
      </c>
      <c r="U426" s="314" t="str">
        <f>IF(tblPiNAnalysis[[#This Row],[Education]]="", "", tblPiNAnalysis[[#This Row],[Education]]/tblPiNAnalysis[[#This Row],[Total Population]])</f>
        <v/>
      </c>
      <c r="V426" s="314" t="str">
        <f>IF(tblPiNAnalysis[[#This Row],[Food Security and Livlihoods]]="", "", tblPiNAnalysis[[#This Row],[Food Security and Livlihoods]]/tblPiNAnalysis[[#This Row],[Total Population]])</f>
        <v/>
      </c>
      <c r="W426" s="315" t="str">
        <f>IF(tblPiNAnalysis[[#This Row],[Health ]]="", "", tblPiNAnalysis[[#This Row],[Health ]]/tblPiNAnalysis[[#This Row],[Total Population]])</f>
        <v/>
      </c>
      <c r="X426" s="314" t="str">
        <f>IF(tblPiNAnalysis[[#This Row],[Nutrition]]="", "", tblPiNAnalysis[[#This Row],[Nutrition]]/tblPiNAnalysis[[#This Row],[Total Population]])</f>
        <v/>
      </c>
      <c r="Y426" s="314" t="str">
        <f>IF(tblPiNAnalysis[[#This Row],[Protection]]="", "", tblPiNAnalysis[[#This Row],[Protection]]/tblPiNAnalysis[[#This Row],[Total Population]])</f>
        <v/>
      </c>
      <c r="Z426" s="316">
        <f>IF(tblPiNAnalysis[[#This Row],[Shelter NFI ]]="", "", tblPiNAnalysis[[#This Row],[Shelter NFI ]]/tblPiNAnalysis[[#This Row],[Total Population]])</f>
        <v>1.2917349635995806E-2</v>
      </c>
      <c r="AA426" s="317" t="str">
        <f>IF(tblPiNAnalysis[[#This Row],[WASH]]="", "", tblPiNAnalysis[[#This Row],[WASH]]/tblPiNAnalysis[[#This Row],[Total Population]])</f>
        <v/>
      </c>
      <c r="AB426" s="318" t="str">
        <f>IFERROR(IF(tblPiNAnalysis[[#This Row],[CP]]="", "", MROUND(tblPiNAnalysis[[#This Row],[CP]]/tblPiNAnalysis[[#This Row],[Total Population]], 0.05)), "")</f>
        <v/>
      </c>
      <c r="AC426" s="314" t="str">
        <f>IFERROR(IF(tblPiNAnalysis[[#This Row],[GBV]]="", "", MROUND(tblPiNAnalysis[[#This Row],[GBV]]/tblPiNAnalysis[[#This Row],[Total Population]], 0.05)), "")</f>
        <v/>
      </c>
      <c r="AD426" s="314" t="str">
        <f>IFERROR(IF(tblPiNAnalysis[[#This Row],[Mine Action]]="", "", MROUND(tblPiNAnalysis[[#This Row],[Mine Action]]/tblPiNAnalysis[[#This Row],[Total Population]], 0.05)), "")</f>
        <v/>
      </c>
      <c r="AE426" s="314" t="str">
        <f>IFERROR(IF(tblPiNAnalysis[[#This Row],[General Protection]]="", "", MROUND(tblPiNAnalysis[[#This Row],[General Protection]]/tblPiNAnalysis[[#This Row],[Total Population]], 0.05)), "")</f>
        <v/>
      </c>
      <c r="AF426" s="319">
        <f>IFERROR(LARGE(tblPiNAnalysis[[#This Row],[Site Management ]:[General Protection]], 1), "")</f>
        <v>3499</v>
      </c>
      <c r="AG426" s="320">
        <f>IF(tblPiNAnalysis[[#This Row],[Highest PiN]]="", "",tblPiNAnalysis[[#This Row],[Highest PiN]]/ tblPiNAnalysis[[#This Row],[Total Population]])</f>
        <v>1.2917349635995806E-2</v>
      </c>
      <c r="AH426" s="320" t="str">
        <f>IFERROR(IF(tblPiNAnalysis[[#This Row],[Highest PiN]]="", "", IF(tblPiNAnalysis[[#This Row],[Highest sector(s'') PiN %]]&gt;=flag_pin_perc, "Flagged", "")), "")</f>
        <v/>
      </c>
      <c r="AI426" s="321"/>
      <c r="AJ426" s="322"/>
      <c r="AK426" s="323">
        <f>COUNTIFS(tblPiNAnalysis[[#This Row],[Highest PiN greater than 90% of total affected population]:[Manual Flag]],"Flagged")</f>
        <v>0</v>
      </c>
      <c r="AL426" s="324" t="str">
        <f>IF(tblPiNAnalysis[[#This Row],['# Flags]]&gt;0, "Flagged", "")</f>
        <v/>
      </c>
    </row>
    <row r="427" spans="1:38" ht="23.1" hidden="1" customHeight="1" x14ac:dyDescent="0.2">
      <c r="A427" s="309" t="str">
        <f>_xlfn.CONCAT(IF(tblPiNAnalysis[[#This Row],[Population Group]]="", "",tblPiNAnalysis[[#This Row],[Population Group]] ), _xlfn.IFS(tblPiNAnalysis[[#This Row],[Admin 2 P-Code]]&lt;&gt;"", tblPiNAnalysis[[#This Row],[Admin 2 P-Code]], tblPiNAnalysis[[#This Row],[Admin 1 P-Code]]&lt;&gt;"", tblPiNAnalysis[[#This Row],[Admin 1 P-Code]]))</f>
        <v>Host CommunitySD13027</v>
      </c>
      <c r="B427" s="245" t="s">
        <v>170</v>
      </c>
      <c r="C427" s="246" t="s">
        <v>130</v>
      </c>
      <c r="D427" s="247" t="s">
        <v>476</v>
      </c>
      <c r="E427" s="246" t="s">
        <v>477</v>
      </c>
      <c r="F427" s="248">
        <v>7373</v>
      </c>
      <c r="G427" s="248" t="s">
        <v>87</v>
      </c>
      <c r="H427" s="310"/>
      <c r="I427" s="311"/>
      <c r="J427" s="312"/>
      <c r="K427" s="311"/>
      <c r="L427" s="311"/>
      <c r="M427" s="312"/>
      <c r="N427" s="312">
        <f>_xlfn.XLOOKUP(CONCATENATE(tblPiNAnalysis[[#This Row],[Admin 2 P-Code]],tblPiNAnalysis[[#This Row],[Population Group]]),'Overall severity &amp; PIN Analysis'!A:A,'Overall severity &amp; PIN Analysis'!P:P,0,0)</f>
        <v>4540</v>
      </c>
      <c r="O427" s="311"/>
      <c r="P427" s="312"/>
      <c r="Q427" s="312"/>
      <c r="R427" s="312"/>
      <c r="S427" s="312"/>
      <c r="T427" s="313" t="str">
        <f>IF(tblPiNAnalysis[[#This Row],[Site Management ]]="", "", tblPiNAnalysis[[#This Row],[Site Management ]]/tblPiNAnalysis[[#This Row],[Total Population]])</f>
        <v/>
      </c>
      <c r="U427" s="314" t="str">
        <f>IF(tblPiNAnalysis[[#This Row],[Education]]="", "", tblPiNAnalysis[[#This Row],[Education]]/tblPiNAnalysis[[#This Row],[Total Population]])</f>
        <v/>
      </c>
      <c r="V427" s="314" t="str">
        <f>IF(tblPiNAnalysis[[#This Row],[Food Security and Livlihoods]]="", "", tblPiNAnalysis[[#This Row],[Food Security and Livlihoods]]/tblPiNAnalysis[[#This Row],[Total Population]])</f>
        <v/>
      </c>
      <c r="W427" s="315" t="str">
        <f>IF(tblPiNAnalysis[[#This Row],[Health ]]="", "", tblPiNAnalysis[[#This Row],[Health ]]/tblPiNAnalysis[[#This Row],[Total Population]])</f>
        <v/>
      </c>
      <c r="X427" s="314" t="str">
        <f>IF(tblPiNAnalysis[[#This Row],[Nutrition]]="", "", tblPiNAnalysis[[#This Row],[Nutrition]]/tblPiNAnalysis[[#This Row],[Total Population]])</f>
        <v/>
      </c>
      <c r="Y427" s="314" t="str">
        <f>IF(tblPiNAnalysis[[#This Row],[Protection]]="", "", tblPiNAnalysis[[#This Row],[Protection]]/tblPiNAnalysis[[#This Row],[Total Population]])</f>
        <v/>
      </c>
      <c r="Z427" s="316">
        <f>IF(tblPiNAnalysis[[#This Row],[Shelter NFI ]]="", "", tblPiNAnalysis[[#This Row],[Shelter NFI ]]/tblPiNAnalysis[[#This Row],[Total Population]])</f>
        <v>0.61576020615760207</v>
      </c>
      <c r="AA427" s="317" t="str">
        <f>IF(tblPiNAnalysis[[#This Row],[WASH]]="", "", tblPiNAnalysis[[#This Row],[WASH]]/tblPiNAnalysis[[#This Row],[Total Population]])</f>
        <v/>
      </c>
      <c r="AB427" s="318" t="str">
        <f>IFERROR(IF(tblPiNAnalysis[[#This Row],[CP]]="", "", MROUND(tblPiNAnalysis[[#This Row],[CP]]/tblPiNAnalysis[[#This Row],[Total Population]], 0.05)), "")</f>
        <v/>
      </c>
      <c r="AC427" s="314" t="str">
        <f>IFERROR(IF(tblPiNAnalysis[[#This Row],[GBV]]="", "", MROUND(tblPiNAnalysis[[#This Row],[GBV]]/tblPiNAnalysis[[#This Row],[Total Population]], 0.05)), "")</f>
        <v/>
      </c>
      <c r="AD427" s="314" t="str">
        <f>IFERROR(IF(tblPiNAnalysis[[#This Row],[Mine Action]]="", "", MROUND(tblPiNAnalysis[[#This Row],[Mine Action]]/tblPiNAnalysis[[#This Row],[Total Population]], 0.05)), "")</f>
        <v/>
      </c>
      <c r="AE427" s="314" t="str">
        <f>IFERROR(IF(tblPiNAnalysis[[#This Row],[General Protection]]="", "", MROUND(tblPiNAnalysis[[#This Row],[General Protection]]/tblPiNAnalysis[[#This Row],[Total Population]], 0.05)), "")</f>
        <v/>
      </c>
      <c r="AF427" s="319">
        <f>IFERROR(LARGE(tblPiNAnalysis[[#This Row],[Site Management ]:[General Protection]], 1), "")</f>
        <v>4540</v>
      </c>
      <c r="AG427" s="320">
        <f>IF(tblPiNAnalysis[[#This Row],[Highest PiN]]="", "",tblPiNAnalysis[[#This Row],[Highest PiN]]/ tblPiNAnalysis[[#This Row],[Total Population]])</f>
        <v>0.61576020615760207</v>
      </c>
      <c r="AH427" s="320" t="str">
        <f>IFERROR(IF(tblPiNAnalysis[[#This Row],[Highest PiN]]="", "", IF(tblPiNAnalysis[[#This Row],[Highest sector(s'') PiN %]]&gt;=flag_pin_perc, "Flagged", "")), "")</f>
        <v/>
      </c>
      <c r="AI427" s="321"/>
      <c r="AJ427" s="322"/>
      <c r="AK427" s="323">
        <f>COUNTIFS(tblPiNAnalysis[[#This Row],[Highest PiN greater than 90% of total affected population]:[Manual Flag]],"Flagged")</f>
        <v>0</v>
      </c>
      <c r="AL427" s="324" t="str">
        <f>IF(tblPiNAnalysis[[#This Row],['# Flags]]&gt;0, "Flagged", "")</f>
        <v/>
      </c>
    </row>
    <row r="428" spans="1:38" ht="23.1" hidden="1" customHeight="1" x14ac:dyDescent="0.2">
      <c r="A428" s="309" t="str">
        <f>_xlfn.CONCAT(IF(tblPiNAnalysis[[#This Row],[Population Group]]="", "",tblPiNAnalysis[[#This Row],[Population Group]] ), _xlfn.IFS(tblPiNAnalysis[[#This Row],[Admin 2 P-Code]]&lt;&gt;"", tblPiNAnalysis[[#This Row],[Admin 2 P-Code]], tblPiNAnalysis[[#This Row],[Admin 1 P-Code]]&lt;&gt;"", tblPiNAnalysis[[#This Row],[Admin 1 P-Code]]))</f>
        <v>IDPsSD13027</v>
      </c>
      <c r="B428" s="245" t="s">
        <v>170</v>
      </c>
      <c r="C428" s="246" t="s">
        <v>130</v>
      </c>
      <c r="D428" s="247" t="s">
        <v>476</v>
      </c>
      <c r="E428" s="246" t="s">
        <v>477</v>
      </c>
      <c r="F428" s="248">
        <v>7418</v>
      </c>
      <c r="G428" s="248" t="s">
        <v>88</v>
      </c>
      <c r="H428" s="310"/>
      <c r="I428" s="311"/>
      <c r="J428" s="312"/>
      <c r="K428" s="311"/>
      <c r="L428" s="311"/>
      <c r="M428" s="312"/>
      <c r="N428" s="312">
        <f>_xlfn.XLOOKUP(CONCATENATE(tblPiNAnalysis[[#This Row],[Admin 2 P-Code]],tblPiNAnalysis[[#This Row],[Population Group]]),'Overall severity &amp; PIN Analysis'!A:A,'Overall severity &amp; PIN Analysis'!P:P,0,0)</f>
        <v>4567</v>
      </c>
      <c r="O428" s="311"/>
      <c r="P428" s="312"/>
      <c r="Q428" s="312"/>
      <c r="R428" s="312"/>
      <c r="S428" s="312"/>
      <c r="T428" s="313" t="str">
        <f>IF(tblPiNAnalysis[[#This Row],[Site Management ]]="", "", tblPiNAnalysis[[#This Row],[Site Management ]]/tblPiNAnalysis[[#This Row],[Total Population]])</f>
        <v/>
      </c>
      <c r="U428" s="314" t="str">
        <f>IF(tblPiNAnalysis[[#This Row],[Education]]="", "", tblPiNAnalysis[[#This Row],[Education]]/tblPiNAnalysis[[#This Row],[Total Population]])</f>
        <v/>
      </c>
      <c r="V428" s="314" t="str">
        <f>IF(tblPiNAnalysis[[#This Row],[Food Security and Livlihoods]]="", "", tblPiNAnalysis[[#This Row],[Food Security and Livlihoods]]/tblPiNAnalysis[[#This Row],[Total Population]])</f>
        <v/>
      </c>
      <c r="W428" s="315" t="str">
        <f>IF(tblPiNAnalysis[[#This Row],[Health ]]="", "", tblPiNAnalysis[[#This Row],[Health ]]/tblPiNAnalysis[[#This Row],[Total Population]])</f>
        <v/>
      </c>
      <c r="X428" s="314" t="str">
        <f>IF(tblPiNAnalysis[[#This Row],[Nutrition]]="", "", tblPiNAnalysis[[#This Row],[Nutrition]]/tblPiNAnalysis[[#This Row],[Total Population]])</f>
        <v/>
      </c>
      <c r="Y428" s="314" t="str">
        <f>IF(tblPiNAnalysis[[#This Row],[Protection]]="", "", tblPiNAnalysis[[#This Row],[Protection]]/tblPiNAnalysis[[#This Row],[Total Population]])</f>
        <v/>
      </c>
      <c r="Z428" s="316">
        <f>IF(tblPiNAnalysis[[#This Row],[Shelter NFI ]]="", "", tblPiNAnalysis[[#This Row],[Shelter NFI ]]/tblPiNAnalysis[[#This Row],[Total Population]])</f>
        <v>0.61566459962253972</v>
      </c>
      <c r="AA428" s="317" t="str">
        <f>IF(tblPiNAnalysis[[#This Row],[WASH]]="", "", tblPiNAnalysis[[#This Row],[WASH]]/tblPiNAnalysis[[#This Row],[Total Population]])</f>
        <v/>
      </c>
      <c r="AB428" s="318" t="str">
        <f>IFERROR(IF(tblPiNAnalysis[[#This Row],[CP]]="", "", MROUND(tblPiNAnalysis[[#This Row],[CP]]/tblPiNAnalysis[[#This Row],[Total Population]], 0.05)), "")</f>
        <v/>
      </c>
      <c r="AC428" s="314" t="str">
        <f>IFERROR(IF(tblPiNAnalysis[[#This Row],[GBV]]="", "", MROUND(tblPiNAnalysis[[#This Row],[GBV]]/tblPiNAnalysis[[#This Row],[Total Population]], 0.05)), "")</f>
        <v/>
      </c>
      <c r="AD428" s="314" t="str">
        <f>IFERROR(IF(tblPiNAnalysis[[#This Row],[Mine Action]]="", "", MROUND(tblPiNAnalysis[[#This Row],[Mine Action]]/tblPiNAnalysis[[#This Row],[Total Population]], 0.05)), "")</f>
        <v/>
      </c>
      <c r="AE428" s="314" t="str">
        <f>IFERROR(IF(tblPiNAnalysis[[#This Row],[General Protection]]="", "", MROUND(tblPiNAnalysis[[#This Row],[General Protection]]/tblPiNAnalysis[[#This Row],[Total Population]], 0.05)), "")</f>
        <v/>
      </c>
      <c r="AF428" s="319">
        <f>IFERROR(LARGE(tblPiNAnalysis[[#This Row],[Site Management ]:[General Protection]], 1), "")</f>
        <v>4567</v>
      </c>
      <c r="AG428" s="320">
        <f>IF(tblPiNAnalysis[[#This Row],[Highest PiN]]="", "",tblPiNAnalysis[[#This Row],[Highest PiN]]/ tblPiNAnalysis[[#This Row],[Total Population]])</f>
        <v>0.61566459962253972</v>
      </c>
      <c r="AH428" s="320" t="str">
        <f>IFERROR(IF(tblPiNAnalysis[[#This Row],[Highest PiN]]="", "", IF(tblPiNAnalysis[[#This Row],[Highest sector(s'') PiN %]]&gt;=flag_pin_perc, "Flagged", "")), "")</f>
        <v/>
      </c>
      <c r="AI428" s="321"/>
      <c r="AJ428" s="322"/>
      <c r="AK428" s="323">
        <f>COUNTIFS(tblPiNAnalysis[[#This Row],[Highest PiN greater than 90% of total affected population]:[Manual Flag]],"Flagged")</f>
        <v>0</v>
      </c>
      <c r="AL428" s="324" t="str">
        <f>IF(tblPiNAnalysis[[#This Row],['# Flags]]&gt;0, "Flagged", "")</f>
        <v/>
      </c>
    </row>
    <row r="429" spans="1:38" ht="23.1" customHeight="1" x14ac:dyDescent="0.2">
      <c r="A429" s="309" t="str">
        <f>_xlfn.CONCAT(IF(tblPiNAnalysis[[#This Row],[Population Group]]="", "",tblPiNAnalysis[[#This Row],[Population Group]] ), _xlfn.IFS(tblPiNAnalysis[[#This Row],[Admin 2 P-Code]]&lt;&gt;"", tblPiNAnalysis[[#This Row],[Admin 2 P-Code]], tblPiNAnalysis[[#This Row],[Admin 1 P-Code]]&lt;&gt;"", tblPiNAnalysis[[#This Row],[Admin 1 P-Code]]))</f>
        <v>Non-hosting PopulationSD13027</v>
      </c>
      <c r="B429" s="245" t="s">
        <v>170</v>
      </c>
      <c r="C429" s="246" t="s">
        <v>130</v>
      </c>
      <c r="D429" s="247" t="s">
        <v>476</v>
      </c>
      <c r="E429" s="246" t="s">
        <v>477</v>
      </c>
      <c r="F429" s="248">
        <v>342808</v>
      </c>
      <c r="G429" s="248" t="s">
        <v>568</v>
      </c>
      <c r="H429" s="310"/>
      <c r="I429" s="311"/>
      <c r="J429" s="312"/>
      <c r="K429" s="311"/>
      <c r="L429" s="311"/>
      <c r="M429" s="312"/>
      <c r="N429" s="312">
        <f>_xlfn.XLOOKUP(CONCATENATE(tblPiNAnalysis[[#This Row],[Admin 2 P-Code]],tblPiNAnalysis[[#This Row],[Population Group]]),'Overall severity &amp; PIN Analysis'!A:A,'Overall severity &amp; PIN Analysis'!P:P,0,0)</f>
        <v>0</v>
      </c>
      <c r="O429" s="311"/>
      <c r="P429" s="312"/>
      <c r="Q429" s="312"/>
      <c r="R429" s="312"/>
      <c r="S429" s="312"/>
      <c r="T429" s="313" t="str">
        <f>IF(tblPiNAnalysis[[#This Row],[Site Management ]]="", "", tblPiNAnalysis[[#This Row],[Site Management ]]/tblPiNAnalysis[[#This Row],[Total Population]])</f>
        <v/>
      </c>
      <c r="U429" s="314" t="str">
        <f>IF(tblPiNAnalysis[[#This Row],[Education]]="", "", tblPiNAnalysis[[#This Row],[Education]]/tblPiNAnalysis[[#This Row],[Total Population]])</f>
        <v/>
      </c>
      <c r="V429" s="314" t="str">
        <f>IF(tblPiNAnalysis[[#This Row],[Food Security and Livlihoods]]="", "", tblPiNAnalysis[[#This Row],[Food Security and Livlihoods]]/tblPiNAnalysis[[#This Row],[Total Population]])</f>
        <v/>
      </c>
      <c r="W429" s="315" t="str">
        <f>IF(tblPiNAnalysis[[#This Row],[Health ]]="", "", tblPiNAnalysis[[#This Row],[Health ]]/tblPiNAnalysis[[#This Row],[Total Population]])</f>
        <v/>
      </c>
      <c r="X429" s="314" t="str">
        <f>IF(tblPiNAnalysis[[#This Row],[Nutrition]]="", "", tblPiNAnalysis[[#This Row],[Nutrition]]/tblPiNAnalysis[[#This Row],[Total Population]])</f>
        <v/>
      </c>
      <c r="Y429" s="314" t="str">
        <f>IF(tblPiNAnalysis[[#This Row],[Protection]]="", "", tblPiNAnalysis[[#This Row],[Protection]]/tblPiNAnalysis[[#This Row],[Total Population]])</f>
        <v/>
      </c>
      <c r="Z429" s="316">
        <f>IF(tblPiNAnalysis[[#This Row],[Shelter NFI ]]="", "", tblPiNAnalysis[[#This Row],[Shelter NFI ]]/tblPiNAnalysis[[#This Row],[Total Population]])</f>
        <v>0</v>
      </c>
      <c r="AA429" s="317" t="str">
        <f>IF(tblPiNAnalysis[[#This Row],[WASH]]="", "", tblPiNAnalysis[[#This Row],[WASH]]/tblPiNAnalysis[[#This Row],[Total Population]])</f>
        <v/>
      </c>
      <c r="AB429" s="318" t="str">
        <f>IFERROR(IF(tblPiNAnalysis[[#This Row],[CP]]="", "", MROUND(tblPiNAnalysis[[#This Row],[CP]]/tblPiNAnalysis[[#This Row],[Total Population]], 0.05)), "")</f>
        <v/>
      </c>
      <c r="AC429" s="314" t="str">
        <f>IFERROR(IF(tblPiNAnalysis[[#This Row],[GBV]]="", "", MROUND(tblPiNAnalysis[[#This Row],[GBV]]/tblPiNAnalysis[[#This Row],[Total Population]], 0.05)), "")</f>
        <v/>
      </c>
      <c r="AD429" s="314" t="str">
        <f>IFERROR(IF(tblPiNAnalysis[[#This Row],[Mine Action]]="", "", MROUND(tblPiNAnalysis[[#This Row],[Mine Action]]/tblPiNAnalysis[[#This Row],[Total Population]], 0.05)), "")</f>
        <v/>
      </c>
      <c r="AE429" s="314" t="str">
        <f>IFERROR(IF(tblPiNAnalysis[[#This Row],[General Protection]]="", "", MROUND(tblPiNAnalysis[[#This Row],[General Protection]]/tblPiNAnalysis[[#This Row],[Total Population]], 0.05)), "")</f>
        <v/>
      </c>
      <c r="AF429" s="319">
        <f>IFERROR(LARGE(tblPiNAnalysis[[#This Row],[Site Management ]:[General Protection]], 1), "")</f>
        <v>0</v>
      </c>
      <c r="AG429" s="320">
        <f>IF(tblPiNAnalysis[[#This Row],[Highest PiN]]="", "",tblPiNAnalysis[[#This Row],[Highest PiN]]/ tblPiNAnalysis[[#This Row],[Total Population]])</f>
        <v>0</v>
      </c>
      <c r="AH429" s="320" t="str">
        <f>IFERROR(IF(tblPiNAnalysis[[#This Row],[Highest PiN]]="", "", IF(tblPiNAnalysis[[#This Row],[Highest sector(s'') PiN %]]&gt;=flag_pin_perc, "Flagged", "")), "")</f>
        <v/>
      </c>
      <c r="AI429" s="321"/>
      <c r="AJ429" s="322"/>
      <c r="AK429" s="323">
        <f>COUNTIFS(tblPiNAnalysis[[#This Row],[Highest PiN greater than 90% of total affected population]:[Manual Flag]],"Flagged")</f>
        <v>0</v>
      </c>
      <c r="AL429" s="324" t="str">
        <f>IF(tblPiNAnalysis[[#This Row],['# Flags]]&gt;0, "Flagged", "")</f>
        <v/>
      </c>
    </row>
    <row r="430" spans="1:38" ht="23.1" hidden="1" customHeight="1" x14ac:dyDescent="0.2">
      <c r="A430" s="309" t="str">
        <f>_xlfn.CONCAT(IF(tblPiNAnalysis[[#This Row],[Population Group]]="", "",tblPiNAnalysis[[#This Row],[Population Group]] ), _xlfn.IFS(tblPiNAnalysis[[#This Row],[Admin 2 P-Code]]&lt;&gt;"", tblPiNAnalysis[[#This Row],[Admin 2 P-Code]], tblPiNAnalysis[[#This Row],[Admin 1 P-Code]]&lt;&gt;"", tblPiNAnalysis[[#This Row],[Admin 1 P-Code]]))</f>
        <v>Host CommunitySD13028</v>
      </c>
      <c r="B430" s="245" t="s">
        <v>170</v>
      </c>
      <c r="C430" s="246" t="s">
        <v>130</v>
      </c>
      <c r="D430" s="247" t="s">
        <v>478</v>
      </c>
      <c r="E430" s="246" t="s">
        <v>479</v>
      </c>
      <c r="F430" s="248">
        <v>15156</v>
      </c>
      <c r="G430" s="248" t="s">
        <v>87</v>
      </c>
      <c r="H430" s="310"/>
      <c r="I430" s="311"/>
      <c r="J430" s="312"/>
      <c r="K430" s="311"/>
      <c r="L430" s="311"/>
      <c r="M430" s="312"/>
      <c r="N430" s="312">
        <f>_xlfn.XLOOKUP(CONCATENATE(tblPiNAnalysis[[#This Row],[Admin 2 P-Code]],tblPiNAnalysis[[#This Row],[Population Group]]),'Overall severity &amp; PIN Analysis'!A:A,'Overall severity &amp; PIN Analysis'!P:P,0,0)</f>
        <v>4374</v>
      </c>
      <c r="O430" s="311"/>
      <c r="P430" s="312"/>
      <c r="Q430" s="312"/>
      <c r="R430" s="312"/>
      <c r="S430" s="312"/>
      <c r="T430" s="313" t="str">
        <f>IF(tblPiNAnalysis[[#This Row],[Site Management ]]="", "", tblPiNAnalysis[[#This Row],[Site Management ]]/tblPiNAnalysis[[#This Row],[Total Population]])</f>
        <v/>
      </c>
      <c r="U430" s="314" t="str">
        <f>IF(tblPiNAnalysis[[#This Row],[Education]]="", "", tblPiNAnalysis[[#This Row],[Education]]/tblPiNAnalysis[[#This Row],[Total Population]])</f>
        <v/>
      </c>
      <c r="V430" s="314" t="str">
        <f>IF(tblPiNAnalysis[[#This Row],[Food Security and Livlihoods]]="", "", tblPiNAnalysis[[#This Row],[Food Security and Livlihoods]]/tblPiNAnalysis[[#This Row],[Total Population]])</f>
        <v/>
      </c>
      <c r="W430" s="315" t="str">
        <f>IF(tblPiNAnalysis[[#This Row],[Health ]]="", "", tblPiNAnalysis[[#This Row],[Health ]]/tblPiNAnalysis[[#This Row],[Total Population]])</f>
        <v/>
      </c>
      <c r="X430" s="314" t="str">
        <f>IF(tblPiNAnalysis[[#This Row],[Nutrition]]="", "", tblPiNAnalysis[[#This Row],[Nutrition]]/tblPiNAnalysis[[#This Row],[Total Population]])</f>
        <v/>
      </c>
      <c r="Y430" s="314" t="str">
        <f>IF(tblPiNAnalysis[[#This Row],[Protection]]="", "", tblPiNAnalysis[[#This Row],[Protection]]/tblPiNAnalysis[[#This Row],[Total Population]])</f>
        <v/>
      </c>
      <c r="Z430" s="316">
        <f>IF(tblPiNAnalysis[[#This Row],[Shelter NFI ]]="", "", tblPiNAnalysis[[#This Row],[Shelter NFI ]]/tblPiNAnalysis[[#This Row],[Total Population]])</f>
        <v>0.28859857482185275</v>
      </c>
      <c r="AA430" s="317" t="str">
        <f>IF(tblPiNAnalysis[[#This Row],[WASH]]="", "", tblPiNAnalysis[[#This Row],[WASH]]/tblPiNAnalysis[[#This Row],[Total Population]])</f>
        <v/>
      </c>
      <c r="AB430" s="318" t="str">
        <f>IFERROR(IF(tblPiNAnalysis[[#This Row],[CP]]="", "", MROUND(tblPiNAnalysis[[#This Row],[CP]]/tblPiNAnalysis[[#This Row],[Total Population]], 0.05)), "")</f>
        <v/>
      </c>
      <c r="AC430" s="314" t="str">
        <f>IFERROR(IF(tblPiNAnalysis[[#This Row],[GBV]]="", "", MROUND(tblPiNAnalysis[[#This Row],[GBV]]/tblPiNAnalysis[[#This Row],[Total Population]], 0.05)), "")</f>
        <v/>
      </c>
      <c r="AD430" s="314" t="str">
        <f>IFERROR(IF(tblPiNAnalysis[[#This Row],[Mine Action]]="", "", MROUND(tblPiNAnalysis[[#This Row],[Mine Action]]/tblPiNAnalysis[[#This Row],[Total Population]], 0.05)), "")</f>
        <v/>
      </c>
      <c r="AE430" s="314" t="str">
        <f>IFERROR(IF(tblPiNAnalysis[[#This Row],[General Protection]]="", "", MROUND(tblPiNAnalysis[[#This Row],[General Protection]]/tblPiNAnalysis[[#This Row],[Total Population]], 0.05)), "")</f>
        <v/>
      </c>
      <c r="AF430" s="319">
        <f>IFERROR(LARGE(tblPiNAnalysis[[#This Row],[Site Management ]:[General Protection]], 1), "")</f>
        <v>4374</v>
      </c>
      <c r="AG430" s="320">
        <f>IF(tblPiNAnalysis[[#This Row],[Highest PiN]]="", "",tblPiNAnalysis[[#This Row],[Highest PiN]]/ tblPiNAnalysis[[#This Row],[Total Population]])</f>
        <v>0.28859857482185275</v>
      </c>
      <c r="AH430" s="320" t="str">
        <f>IFERROR(IF(tblPiNAnalysis[[#This Row],[Highest PiN]]="", "", IF(tblPiNAnalysis[[#This Row],[Highest sector(s'') PiN %]]&gt;=flag_pin_perc, "Flagged", "")), "")</f>
        <v/>
      </c>
      <c r="AI430" s="321"/>
      <c r="AJ430" s="322"/>
      <c r="AK430" s="323">
        <f>COUNTIFS(tblPiNAnalysis[[#This Row],[Highest PiN greater than 90% of total affected population]:[Manual Flag]],"Flagged")</f>
        <v>0</v>
      </c>
      <c r="AL430" s="324" t="str">
        <f>IF(tblPiNAnalysis[[#This Row],['# Flags]]&gt;0, "Flagged", "")</f>
        <v/>
      </c>
    </row>
    <row r="431" spans="1:38" ht="23.1" hidden="1" customHeight="1" x14ac:dyDescent="0.2">
      <c r="A431" s="309" t="str">
        <f>_xlfn.CONCAT(IF(tblPiNAnalysis[[#This Row],[Population Group]]="", "",tblPiNAnalysis[[#This Row],[Population Group]] ), _xlfn.IFS(tblPiNAnalysis[[#This Row],[Admin 2 P-Code]]&lt;&gt;"", tblPiNAnalysis[[#This Row],[Admin 2 P-Code]], tblPiNAnalysis[[#This Row],[Admin 1 P-Code]]&lt;&gt;"", tblPiNAnalysis[[#This Row],[Admin 1 P-Code]]))</f>
        <v>IDPsSD13028</v>
      </c>
      <c r="B431" s="245" t="s">
        <v>170</v>
      </c>
      <c r="C431" s="246" t="s">
        <v>130</v>
      </c>
      <c r="D431" s="247" t="s">
        <v>478</v>
      </c>
      <c r="E431" s="246" t="s">
        <v>479</v>
      </c>
      <c r="F431" s="248">
        <v>15156</v>
      </c>
      <c r="G431" s="248" t="s">
        <v>88</v>
      </c>
      <c r="H431" s="310"/>
      <c r="I431" s="311"/>
      <c r="J431" s="312"/>
      <c r="K431" s="311"/>
      <c r="L431" s="311"/>
      <c r="M431" s="312"/>
      <c r="N431" s="312">
        <f>_xlfn.XLOOKUP(CONCATENATE(tblPiNAnalysis[[#This Row],[Admin 2 P-Code]],tblPiNAnalysis[[#This Row],[Population Group]]),'Overall severity &amp; PIN Analysis'!A:A,'Overall severity &amp; PIN Analysis'!P:P,0,0)</f>
        <v>4374</v>
      </c>
      <c r="O431" s="311"/>
      <c r="P431" s="312"/>
      <c r="Q431" s="312"/>
      <c r="R431" s="312"/>
      <c r="S431" s="312"/>
      <c r="T431" s="313" t="str">
        <f>IF(tblPiNAnalysis[[#This Row],[Site Management ]]="", "", tblPiNAnalysis[[#This Row],[Site Management ]]/tblPiNAnalysis[[#This Row],[Total Population]])</f>
        <v/>
      </c>
      <c r="U431" s="314" t="str">
        <f>IF(tblPiNAnalysis[[#This Row],[Education]]="", "", tblPiNAnalysis[[#This Row],[Education]]/tblPiNAnalysis[[#This Row],[Total Population]])</f>
        <v/>
      </c>
      <c r="V431" s="314" t="str">
        <f>IF(tblPiNAnalysis[[#This Row],[Food Security and Livlihoods]]="", "", tblPiNAnalysis[[#This Row],[Food Security and Livlihoods]]/tblPiNAnalysis[[#This Row],[Total Population]])</f>
        <v/>
      </c>
      <c r="W431" s="315" t="str">
        <f>IF(tblPiNAnalysis[[#This Row],[Health ]]="", "", tblPiNAnalysis[[#This Row],[Health ]]/tblPiNAnalysis[[#This Row],[Total Population]])</f>
        <v/>
      </c>
      <c r="X431" s="314" t="str">
        <f>IF(tblPiNAnalysis[[#This Row],[Nutrition]]="", "", tblPiNAnalysis[[#This Row],[Nutrition]]/tblPiNAnalysis[[#This Row],[Total Population]])</f>
        <v/>
      </c>
      <c r="Y431" s="314" t="str">
        <f>IF(tblPiNAnalysis[[#This Row],[Protection]]="", "", tblPiNAnalysis[[#This Row],[Protection]]/tblPiNAnalysis[[#This Row],[Total Population]])</f>
        <v/>
      </c>
      <c r="Z431" s="316">
        <f>IF(tblPiNAnalysis[[#This Row],[Shelter NFI ]]="", "", tblPiNAnalysis[[#This Row],[Shelter NFI ]]/tblPiNAnalysis[[#This Row],[Total Population]])</f>
        <v>0.28859857482185275</v>
      </c>
      <c r="AA431" s="317" t="str">
        <f>IF(tblPiNAnalysis[[#This Row],[WASH]]="", "", tblPiNAnalysis[[#This Row],[WASH]]/tblPiNAnalysis[[#This Row],[Total Population]])</f>
        <v/>
      </c>
      <c r="AB431" s="318" t="str">
        <f>IFERROR(IF(tblPiNAnalysis[[#This Row],[CP]]="", "", MROUND(tblPiNAnalysis[[#This Row],[CP]]/tblPiNAnalysis[[#This Row],[Total Population]], 0.05)), "")</f>
        <v/>
      </c>
      <c r="AC431" s="314" t="str">
        <f>IFERROR(IF(tblPiNAnalysis[[#This Row],[GBV]]="", "", MROUND(tblPiNAnalysis[[#This Row],[GBV]]/tblPiNAnalysis[[#This Row],[Total Population]], 0.05)), "")</f>
        <v/>
      </c>
      <c r="AD431" s="314" t="str">
        <f>IFERROR(IF(tblPiNAnalysis[[#This Row],[Mine Action]]="", "", MROUND(tblPiNAnalysis[[#This Row],[Mine Action]]/tblPiNAnalysis[[#This Row],[Total Population]], 0.05)), "")</f>
        <v/>
      </c>
      <c r="AE431" s="314" t="str">
        <f>IFERROR(IF(tblPiNAnalysis[[#This Row],[General Protection]]="", "", MROUND(tblPiNAnalysis[[#This Row],[General Protection]]/tblPiNAnalysis[[#This Row],[Total Population]], 0.05)), "")</f>
        <v/>
      </c>
      <c r="AF431" s="319">
        <f>IFERROR(LARGE(tblPiNAnalysis[[#This Row],[Site Management ]:[General Protection]], 1), "")</f>
        <v>4374</v>
      </c>
      <c r="AG431" s="320">
        <f>IF(tblPiNAnalysis[[#This Row],[Highest PiN]]="", "",tblPiNAnalysis[[#This Row],[Highest PiN]]/ tblPiNAnalysis[[#This Row],[Total Population]])</f>
        <v>0.28859857482185275</v>
      </c>
      <c r="AH431" s="320" t="str">
        <f>IFERROR(IF(tblPiNAnalysis[[#This Row],[Highest PiN]]="", "", IF(tblPiNAnalysis[[#This Row],[Highest sector(s'') PiN %]]&gt;=flag_pin_perc, "Flagged", "")), "")</f>
        <v/>
      </c>
      <c r="AI431" s="321"/>
      <c r="AJ431" s="322"/>
      <c r="AK431" s="323">
        <f>COUNTIFS(tblPiNAnalysis[[#This Row],[Highest PiN greater than 90% of total affected population]:[Manual Flag]],"Flagged")</f>
        <v>0</v>
      </c>
      <c r="AL431" s="324" t="str">
        <f>IF(tblPiNAnalysis[[#This Row],['# Flags]]&gt;0, "Flagged", "")</f>
        <v/>
      </c>
    </row>
    <row r="432" spans="1:38" ht="23.1" customHeight="1" x14ac:dyDescent="0.2">
      <c r="A432" s="309" t="str">
        <f>_xlfn.CONCAT(IF(tblPiNAnalysis[[#This Row],[Population Group]]="", "",tblPiNAnalysis[[#This Row],[Population Group]] ), _xlfn.IFS(tblPiNAnalysis[[#This Row],[Admin 2 P-Code]]&lt;&gt;"", tblPiNAnalysis[[#This Row],[Admin 2 P-Code]], tblPiNAnalysis[[#This Row],[Admin 1 P-Code]]&lt;&gt;"", tblPiNAnalysis[[#This Row],[Admin 1 P-Code]]))</f>
        <v>Non-hosting PopulationSD13028</v>
      </c>
      <c r="B432" s="245" t="s">
        <v>170</v>
      </c>
      <c r="C432" s="246" t="s">
        <v>130</v>
      </c>
      <c r="D432" s="247" t="s">
        <v>478</v>
      </c>
      <c r="E432" s="246" t="s">
        <v>479</v>
      </c>
      <c r="F432" s="248">
        <v>209716</v>
      </c>
      <c r="G432" s="248" t="s">
        <v>568</v>
      </c>
      <c r="H432" s="310"/>
      <c r="I432" s="311"/>
      <c r="J432" s="312"/>
      <c r="K432" s="311"/>
      <c r="L432" s="311"/>
      <c r="M432" s="312"/>
      <c r="N432" s="312">
        <f>_xlfn.XLOOKUP(CONCATENATE(tblPiNAnalysis[[#This Row],[Admin 2 P-Code]],tblPiNAnalysis[[#This Row],[Population Group]]),'Overall severity &amp; PIN Analysis'!A:A,'Overall severity &amp; PIN Analysis'!P:P,0,0)</f>
        <v>2690</v>
      </c>
      <c r="O432" s="311"/>
      <c r="P432" s="312"/>
      <c r="Q432" s="312"/>
      <c r="R432" s="312"/>
      <c r="S432" s="312"/>
      <c r="T432" s="313" t="str">
        <f>IF(tblPiNAnalysis[[#This Row],[Site Management ]]="", "", tblPiNAnalysis[[#This Row],[Site Management ]]/tblPiNAnalysis[[#This Row],[Total Population]])</f>
        <v/>
      </c>
      <c r="U432" s="314" t="str">
        <f>IF(tblPiNAnalysis[[#This Row],[Education]]="", "", tblPiNAnalysis[[#This Row],[Education]]/tblPiNAnalysis[[#This Row],[Total Population]])</f>
        <v/>
      </c>
      <c r="V432" s="314" t="str">
        <f>IF(tblPiNAnalysis[[#This Row],[Food Security and Livlihoods]]="", "", tblPiNAnalysis[[#This Row],[Food Security and Livlihoods]]/tblPiNAnalysis[[#This Row],[Total Population]])</f>
        <v/>
      </c>
      <c r="W432" s="315" t="str">
        <f>IF(tblPiNAnalysis[[#This Row],[Health ]]="", "", tblPiNAnalysis[[#This Row],[Health ]]/tblPiNAnalysis[[#This Row],[Total Population]])</f>
        <v/>
      </c>
      <c r="X432" s="314" t="str">
        <f>IF(tblPiNAnalysis[[#This Row],[Nutrition]]="", "", tblPiNAnalysis[[#This Row],[Nutrition]]/tblPiNAnalysis[[#This Row],[Total Population]])</f>
        <v/>
      </c>
      <c r="Y432" s="314" t="str">
        <f>IF(tblPiNAnalysis[[#This Row],[Protection]]="", "", tblPiNAnalysis[[#This Row],[Protection]]/tblPiNAnalysis[[#This Row],[Total Population]])</f>
        <v/>
      </c>
      <c r="Z432" s="316">
        <f>IF(tblPiNAnalysis[[#This Row],[Shelter NFI ]]="", "", tblPiNAnalysis[[#This Row],[Shelter NFI ]]/tblPiNAnalysis[[#This Row],[Total Population]])</f>
        <v>1.2826870625035763E-2</v>
      </c>
      <c r="AA432" s="317" t="str">
        <f>IF(tblPiNAnalysis[[#This Row],[WASH]]="", "", tblPiNAnalysis[[#This Row],[WASH]]/tblPiNAnalysis[[#This Row],[Total Population]])</f>
        <v/>
      </c>
      <c r="AB432" s="318" t="str">
        <f>IFERROR(IF(tblPiNAnalysis[[#This Row],[CP]]="", "", MROUND(tblPiNAnalysis[[#This Row],[CP]]/tblPiNAnalysis[[#This Row],[Total Population]], 0.05)), "")</f>
        <v/>
      </c>
      <c r="AC432" s="314" t="str">
        <f>IFERROR(IF(tblPiNAnalysis[[#This Row],[GBV]]="", "", MROUND(tblPiNAnalysis[[#This Row],[GBV]]/tblPiNAnalysis[[#This Row],[Total Population]], 0.05)), "")</f>
        <v/>
      </c>
      <c r="AD432" s="314" t="str">
        <f>IFERROR(IF(tblPiNAnalysis[[#This Row],[Mine Action]]="", "", MROUND(tblPiNAnalysis[[#This Row],[Mine Action]]/tblPiNAnalysis[[#This Row],[Total Population]], 0.05)), "")</f>
        <v/>
      </c>
      <c r="AE432" s="314" t="str">
        <f>IFERROR(IF(tblPiNAnalysis[[#This Row],[General Protection]]="", "", MROUND(tblPiNAnalysis[[#This Row],[General Protection]]/tblPiNAnalysis[[#This Row],[Total Population]], 0.05)), "")</f>
        <v/>
      </c>
      <c r="AF432" s="319">
        <f>IFERROR(LARGE(tblPiNAnalysis[[#This Row],[Site Management ]:[General Protection]], 1), "")</f>
        <v>2690</v>
      </c>
      <c r="AG432" s="320">
        <f>IF(tblPiNAnalysis[[#This Row],[Highest PiN]]="", "",tblPiNAnalysis[[#This Row],[Highest PiN]]/ tblPiNAnalysis[[#This Row],[Total Population]])</f>
        <v>1.2826870625035763E-2</v>
      </c>
      <c r="AH432" s="320" t="str">
        <f>IFERROR(IF(tblPiNAnalysis[[#This Row],[Highest PiN]]="", "", IF(tblPiNAnalysis[[#This Row],[Highest sector(s'') PiN %]]&gt;=flag_pin_perc, "Flagged", "")), "")</f>
        <v/>
      </c>
      <c r="AI432" s="321"/>
      <c r="AJ432" s="322"/>
      <c r="AK432" s="323">
        <f>COUNTIFS(tblPiNAnalysis[[#This Row],[Highest PiN greater than 90% of total affected population]:[Manual Flag]],"Flagged")</f>
        <v>0</v>
      </c>
      <c r="AL432" s="324" t="str">
        <f>IF(tblPiNAnalysis[[#This Row],['# Flags]]&gt;0, "Flagged", "")</f>
        <v/>
      </c>
    </row>
    <row r="433" spans="1:38" ht="23.1" hidden="1" customHeight="1" x14ac:dyDescent="0.2">
      <c r="A433" s="309" t="str">
        <f>_xlfn.CONCAT(IF(tblPiNAnalysis[[#This Row],[Population Group]]="", "",tblPiNAnalysis[[#This Row],[Population Group]] ), _xlfn.IFS(tblPiNAnalysis[[#This Row],[Admin 2 P-Code]]&lt;&gt;"", tblPiNAnalysis[[#This Row],[Admin 2 P-Code]], tblPiNAnalysis[[#This Row],[Admin 1 P-Code]]&lt;&gt;"", tblPiNAnalysis[[#This Row],[Admin 1 P-Code]]))</f>
        <v>Host CommunitySD13029</v>
      </c>
      <c r="B433" s="245" t="s">
        <v>170</v>
      </c>
      <c r="C433" s="246" t="s">
        <v>130</v>
      </c>
      <c r="D433" s="247" t="s">
        <v>480</v>
      </c>
      <c r="E433" s="246" t="s">
        <v>481</v>
      </c>
      <c r="F433" s="248">
        <v>8036</v>
      </c>
      <c r="G433" s="248" t="s">
        <v>87</v>
      </c>
      <c r="H433" s="310"/>
      <c r="I433" s="311"/>
      <c r="J433" s="312"/>
      <c r="K433" s="311"/>
      <c r="L433" s="311"/>
      <c r="M433" s="312"/>
      <c r="N433" s="312">
        <f>_xlfn.XLOOKUP(CONCATENATE(tblPiNAnalysis[[#This Row],[Admin 2 P-Code]],tblPiNAnalysis[[#This Row],[Population Group]]),'Overall severity &amp; PIN Analysis'!A:A,'Overall severity &amp; PIN Analysis'!P:P,0,0)</f>
        <v>2489</v>
      </c>
      <c r="O433" s="311"/>
      <c r="P433" s="312"/>
      <c r="Q433" s="312"/>
      <c r="R433" s="312"/>
      <c r="S433" s="312"/>
      <c r="T433" s="313" t="str">
        <f>IF(tblPiNAnalysis[[#This Row],[Site Management ]]="", "", tblPiNAnalysis[[#This Row],[Site Management ]]/tblPiNAnalysis[[#This Row],[Total Population]])</f>
        <v/>
      </c>
      <c r="U433" s="314" t="str">
        <f>IF(tblPiNAnalysis[[#This Row],[Education]]="", "", tblPiNAnalysis[[#This Row],[Education]]/tblPiNAnalysis[[#This Row],[Total Population]])</f>
        <v/>
      </c>
      <c r="V433" s="314" t="str">
        <f>IF(tblPiNAnalysis[[#This Row],[Food Security and Livlihoods]]="", "", tblPiNAnalysis[[#This Row],[Food Security and Livlihoods]]/tblPiNAnalysis[[#This Row],[Total Population]])</f>
        <v/>
      </c>
      <c r="W433" s="315" t="str">
        <f>IF(tblPiNAnalysis[[#This Row],[Health ]]="", "", tblPiNAnalysis[[#This Row],[Health ]]/tblPiNAnalysis[[#This Row],[Total Population]])</f>
        <v/>
      </c>
      <c r="X433" s="314" t="str">
        <f>IF(tblPiNAnalysis[[#This Row],[Nutrition]]="", "", tblPiNAnalysis[[#This Row],[Nutrition]]/tblPiNAnalysis[[#This Row],[Total Population]])</f>
        <v/>
      </c>
      <c r="Y433" s="314" t="str">
        <f>IF(tblPiNAnalysis[[#This Row],[Protection]]="", "", tblPiNAnalysis[[#This Row],[Protection]]/tblPiNAnalysis[[#This Row],[Total Population]])</f>
        <v/>
      </c>
      <c r="Z433" s="316">
        <f>IF(tblPiNAnalysis[[#This Row],[Shelter NFI ]]="", "", tblPiNAnalysis[[#This Row],[Shelter NFI ]]/tblPiNAnalysis[[#This Row],[Total Population]])</f>
        <v>0.30973120955699351</v>
      </c>
      <c r="AA433" s="317" t="str">
        <f>IF(tblPiNAnalysis[[#This Row],[WASH]]="", "", tblPiNAnalysis[[#This Row],[WASH]]/tblPiNAnalysis[[#This Row],[Total Population]])</f>
        <v/>
      </c>
      <c r="AB433" s="318" t="str">
        <f>IFERROR(IF(tblPiNAnalysis[[#This Row],[CP]]="", "", MROUND(tblPiNAnalysis[[#This Row],[CP]]/tblPiNAnalysis[[#This Row],[Total Population]], 0.05)), "")</f>
        <v/>
      </c>
      <c r="AC433" s="314" t="str">
        <f>IFERROR(IF(tblPiNAnalysis[[#This Row],[GBV]]="", "", MROUND(tblPiNAnalysis[[#This Row],[GBV]]/tblPiNAnalysis[[#This Row],[Total Population]], 0.05)), "")</f>
        <v/>
      </c>
      <c r="AD433" s="314" t="str">
        <f>IFERROR(IF(tblPiNAnalysis[[#This Row],[Mine Action]]="", "", MROUND(tblPiNAnalysis[[#This Row],[Mine Action]]/tblPiNAnalysis[[#This Row],[Total Population]], 0.05)), "")</f>
        <v/>
      </c>
      <c r="AE433" s="314" t="str">
        <f>IFERROR(IF(tblPiNAnalysis[[#This Row],[General Protection]]="", "", MROUND(tblPiNAnalysis[[#This Row],[General Protection]]/tblPiNAnalysis[[#This Row],[Total Population]], 0.05)), "")</f>
        <v/>
      </c>
      <c r="AF433" s="319">
        <f>IFERROR(LARGE(tblPiNAnalysis[[#This Row],[Site Management ]:[General Protection]], 1), "")</f>
        <v>2489</v>
      </c>
      <c r="AG433" s="320">
        <f>IF(tblPiNAnalysis[[#This Row],[Highest PiN]]="", "",tblPiNAnalysis[[#This Row],[Highest PiN]]/ tblPiNAnalysis[[#This Row],[Total Population]])</f>
        <v>0.30973120955699351</v>
      </c>
      <c r="AH433" s="320" t="str">
        <f>IFERROR(IF(tblPiNAnalysis[[#This Row],[Highest PiN]]="", "", IF(tblPiNAnalysis[[#This Row],[Highest sector(s'') PiN %]]&gt;=flag_pin_perc, "Flagged", "")), "")</f>
        <v/>
      </c>
      <c r="AI433" s="321"/>
      <c r="AJ433" s="322"/>
      <c r="AK433" s="323">
        <f>COUNTIFS(tblPiNAnalysis[[#This Row],[Highest PiN greater than 90% of total affected population]:[Manual Flag]],"Flagged")</f>
        <v>0</v>
      </c>
      <c r="AL433" s="324" t="str">
        <f>IF(tblPiNAnalysis[[#This Row],['# Flags]]&gt;0, "Flagged", "")</f>
        <v/>
      </c>
    </row>
    <row r="434" spans="1:38" ht="23.1" hidden="1" customHeight="1" x14ac:dyDescent="0.2">
      <c r="A434" s="309" t="str">
        <f>_xlfn.CONCAT(IF(tblPiNAnalysis[[#This Row],[Population Group]]="", "",tblPiNAnalysis[[#This Row],[Population Group]] ), _xlfn.IFS(tblPiNAnalysis[[#This Row],[Admin 2 P-Code]]&lt;&gt;"", tblPiNAnalysis[[#This Row],[Admin 2 P-Code]], tblPiNAnalysis[[#This Row],[Admin 1 P-Code]]&lt;&gt;"", tblPiNAnalysis[[#This Row],[Admin 1 P-Code]]))</f>
        <v>IDPsSD13029</v>
      </c>
      <c r="B434" s="245" t="s">
        <v>170</v>
      </c>
      <c r="C434" s="246" t="s">
        <v>130</v>
      </c>
      <c r="D434" s="247" t="s">
        <v>480</v>
      </c>
      <c r="E434" s="246" t="s">
        <v>481</v>
      </c>
      <c r="F434" s="248">
        <v>8097</v>
      </c>
      <c r="G434" s="248" t="s">
        <v>88</v>
      </c>
      <c r="H434" s="310"/>
      <c r="I434" s="311"/>
      <c r="J434" s="312"/>
      <c r="K434" s="311"/>
      <c r="L434" s="311"/>
      <c r="M434" s="312"/>
      <c r="N434" s="312">
        <f>_xlfn.XLOOKUP(CONCATENATE(tblPiNAnalysis[[#This Row],[Admin 2 P-Code]],tblPiNAnalysis[[#This Row],[Population Group]]),'Overall severity &amp; PIN Analysis'!A:A,'Overall severity &amp; PIN Analysis'!P:P,0,0)</f>
        <v>2508</v>
      </c>
      <c r="O434" s="311"/>
      <c r="P434" s="312"/>
      <c r="Q434" s="312"/>
      <c r="R434" s="312"/>
      <c r="S434" s="312"/>
      <c r="T434" s="313" t="str">
        <f>IF(tblPiNAnalysis[[#This Row],[Site Management ]]="", "", tblPiNAnalysis[[#This Row],[Site Management ]]/tblPiNAnalysis[[#This Row],[Total Population]])</f>
        <v/>
      </c>
      <c r="U434" s="314" t="str">
        <f>IF(tblPiNAnalysis[[#This Row],[Education]]="", "", tblPiNAnalysis[[#This Row],[Education]]/tblPiNAnalysis[[#This Row],[Total Population]])</f>
        <v/>
      </c>
      <c r="V434" s="314" t="str">
        <f>IF(tblPiNAnalysis[[#This Row],[Food Security and Livlihoods]]="", "", tblPiNAnalysis[[#This Row],[Food Security and Livlihoods]]/tblPiNAnalysis[[#This Row],[Total Population]])</f>
        <v/>
      </c>
      <c r="W434" s="315" t="str">
        <f>IF(tblPiNAnalysis[[#This Row],[Health ]]="", "", tblPiNAnalysis[[#This Row],[Health ]]/tblPiNAnalysis[[#This Row],[Total Population]])</f>
        <v/>
      </c>
      <c r="X434" s="314" t="str">
        <f>IF(tblPiNAnalysis[[#This Row],[Nutrition]]="", "", tblPiNAnalysis[[#This Row],[Nutrition]]/tblPiNAnalysis[[#This Row],[Total Population]])</f>
        <v/>
      </c>
      <c r="Y434" s="314" t="str">
        <f>IF(tblPiNAnalysis[[#This Row],[Protection]]="", "", tblPiNAnalysis[[#This Row],[Protection]]/tblPiNAnalysis[[#This Row],[Total Population]])</f>
        <v/>
      </c>
      <c r="Z434" s="316">
        <f>IF(tblPiNAnalysis[[#This Row],[Shelter NFI ]]="", "", tblPiNAnalysis[[#This Row],[Shelter NFI ]]/tblPiNAnalysis[[#This Row],[Total Population]])</f>
        <v>0.30974434975917009</v>
      </c>
      <c r="AA434" s="317" t="str">
        <f>IF(tblPiNAnalysis[[#This Row],[WASH]]="", "", tblPiNAnalysis[[#This Row],[WASH]]/tblPiNAnalysis[[#This Row],[Total Population]])</f>
        <v/>
      </c>
      <c r="AB434" s="318" t="str">
        <f>IFERROR(IF(tblPiNAnalysis[[#This Row],[CP]]="", "", MROUND(tblPiNAnalysis[[#This Row],[CP]]/tblPiNAnalysis[[#This Row],[Total Population]], 0.05)), "")</f>
        <v/>
      </c>
      <c r="AC434" s="314" t="str">
        <f>IFERROR(IF(tblPiNAnalysis[[#This Row],[GBV]]="", "", MROUND(tblPiNAnalysis[[#This Row],[GBV]]/tblPiNAnalysis[[#This Row],[Total Population]], 0.05)), "")</f>
        <v/>
      </c>
      <c r="AD434" s="314" t="str">
        <f>IFERROR(IF(tblPiNAnalysis[[#This Row],[Mine Action]]="", "", MROUND(tblPiNAnalysis[[#This Row],[Mine Action]]/tblPiNAnalysis[[#This Row],[Total Population]], 0.05)), "")</f>
        <v/>
      </c>
      <c r="AE434" s="314" t="str">
        <f>IFERROR(IF(tblPiNAnalysis[[#This Row],[General Protection]]="", "", MROUND(tblPiNAnalysis[[#This Row],[General Protection]]/tblPiNAnalysis[[#This Row],[Total Population]], 0.05)), "")</f>
        <v/>
      </c>
      <c r="AF434" s="319">
        <f>IFERROR(LARGE(tblPiNAnalysis[[#This Row],[Site Management ]:[General Protection]], 1), "")</f>
        <v>2508</v>
      </c>
      <c r="AG434" s="320">
        <f>IF(tblPiNAnalysis[[#This Row],[Highest PiN]]="", "",tblPiNAnalysis[[#This Row],[Highest PiN]]/ tblPiNAnalysis[[#This Row],[Total Population]])</f>
        <v>0.30974434975917009</v>
      </c>
      <c r="AH434" s="320" t="str">
        <f>IFERROR(IF(tblPiNAnalysis[[#This Row],[Highest PiN]]="", "", IF(tblPiNAnalysis[[#This Row],[Highest sector(s'') PiN %]]&gt;=flag_pin_perc, "Flagged", "")), "")</f>
        <v/>
      </c>
      <c r="AI434" s="321"/>
      <c r="AJ434" s="322"/>
      <c r="AK434" s="323">
        <f>COUNTIFS(tblPiNAnalysis[[#This Row],[Highest PiN greater than 90% of total affected population]:[Manual Flag]],"Flagged")</f>
        <v>0</v>
      </c>
      <c r="AL434" s="324" t="str">
        <f>IF(tblPiNAnalysis[[#This Row],['# Flags]]&gt;0, "Flagged", "")</f>
        <v/>
      </c>
    </row>
    <row r="435" spans="1:38" ht="23.1" customHeight="1" x14ac:dyDescent="0.2">
      <c r="A435" s="309" t="str">
        <f>_xlfn.CONCAT(IF(tblPiNAnalysis[[#This Row],[Population Group]]="", "",tblPiNAnalysis[[#This Row],[Population Group]] ), _xlfn.IFS(tblPiNAnalysis[[#This Row],[Admin 2 P-Code]]&lt;&gt;"", tblPiNAnalysis[[#This Row],[Admin 2 P-Code]], tblPiNAnalysis[[#This Row],[Admin 1 P-Code]]&lt;&gt;"", tblPiNAnalysis[[#This Row],[Admin 1 P-Code]]))</f>
        <v>Non-hosting PopulationSD13029</v>
      </c>
      <c r="B435" s="245" t="s">
        <v>170</v>
      </c>
      <c r="C435" s="246" t="s">
        <v>130</v>
      </c>
      <c r="D435" s="247" t="s">
        <v>480</v>
      </c>
      <c r="E435" s="246" t="s">
        <v>481</v>
      </c>
      <c r="F435" s="248">
        <v>280767</v>
      </c>
      <c r="G435" s="248" t="s">
        <v>568</v>
      </c>
      <c r="H435" s="310"/>
      <c r="I435" s="311"/>
      <c r="J435" s="312"/>
      <c r="K435" s="311"/>
      <c r="L435" s="311"/>
      <c r="M435" s="312"/>
      <c r="N435" s="312">
        <f>_xlfn.XLOOKUP(CONCATENATE(tblPiNAnalysis[[#This Row],[Admin 2 P-Code]],tblPiNAnalysis[[#This Row],[Population Group]]),'Overall severity &amp; PIN Analysis'!A:A,'Overall severity &amp; PIN Analysis'!P:P,0,0)</f>
        <v>6957</v>
      </c>
      <c r="O435" s="311"/>
      <c r="P435" s="312"/>
      <c r="Q435" s="312"/>
      <c r="R435" s="312"/>
      <c r="S435" s="312"/>
      <c r="T435" s="313" t="str">
        <f>IF(tblPiNAnalysis[[#This Row],[Site Management ]]="", "", tblPiNAnalysis[[#This Row],[Site Management ]]/tblPiNAnalysis[[#This Row],[Total Population]])</f>
        <v/>
      </c>
      <c r="U435" s="314" t="str">
        <f>IF(tblPiNAnalysis[[#This Row],[Education]]="", "", tblPiNAnalysis[[#This Row],[Education]]/tblPiNAnalysis[[#This Row],[Total Population]])</f>
        <v/>
      </c>
      <c r="V435" s="314" t="str">
        <f>IF(tblPiNAnalysis[[#This Row],[Food Security and Livlihoods]]="", "", tblPiNAnalysis[[#This Row],[Food Security and Livlihoods]]/tblPiNAnalysis[[#This Row],[Total Population]])</f>
        <v/>
      </c>
      <c r="W435" s="315" t="str">
        <f>IF(tblPiNAnalysis[[#This Row],[Health ]]="", "", tblPiNAnalysis[[#This Row],[Health ]]/tblPiNAnalysis[[#This Row],[Total Population]])</f>
        <v/>
      </c>
      <c r="X435" s="314" t="str">
        <f>IF(tblPiNAnalysis[[#This Row],[Nutrition]]="", "", tblPiNAnalysis[[#This Row],[Nutrition]]/tblPiNAnalysis[[#This Row],[Total Population]])</f>
        <v/>
      </c>
      <c r="Y435" s="314" t="str">
        <f>IF(tblPiNAnalysis[[#This Row],[Protection]]="", "", tblPiNAnalysis[[#This Row],[Protection]]/tblPiNAnalysis[[#This Row],[Total Population]])</f>
        <v/>
      </c>
      <c r="Z435" s="316">
        <f>IF(tblPiNAnalysis[[#This Row],[Shelter NFI ]]="", "", tblPiNAnalysis[[#This Row],[Shelter NFI ]]/tblPiNAnalysis[[#This Row],[Total Population]])</f>
        <v>2.477855303507891E-2</v>
      </c>
      <c r="AA435" s="317" t="str">
        <f>IF(tblPiNAnalysis[[#This Row],[WASH]]="", "", tblPiNAnalysis[[#This Row],[WASH]]/tblPiNAnalysis[[#This Row],[Total Population]])</f>
        <v/>
      </c>
      <c r="AB435" s="318" t="str">
        <f>IFERROR(IF(tblPiNAnalysis[[#This Row],[CP]]="", "", MROUND(tblPiNAnalysis[[#This Row],[CP]]/tblPiNAnalysis[[#This Row],[Total Population]], 0.05)), "")</f>
        <v/>
      </c>
      <c r="AC435" s="314" t="str">
        <f>IFERROR(IF(tblPiNAnalysis[[#This Row],[GBV]]="", "", MROUND(tblPiNAnalysis[[#This Row],[GBV]]/tblPiNAnalysis[[#This Row],[Total Population]], 0.05)), "")</f>
        <v/>
      </c>
      <c r="AD435" s="314" t="str">
        <f>IFERROR(IF(tblPiNAnalysis[[#This Row],[Mine Action]]="", "", MROUND(tblPiNAnalysis[[#This Row],[Mine Action]]/tblPiNAnalysis[[#This Row],[Total Population]], 0.05)), "")</f>
        <v/>
      </c>
      <c r="AE435" s="314" t="str">
        <f>IFERROR(IF(tblPiNAnalysis[[#This Row],[General Protection]]="", "", MROUND(tblPiNAnalysis[[#This Row],[General Protection]]/tblPiNAnalysis[[#This Row],[Total Population]], 0.05)), "")</f>
        <v/>
      </c>
      <c r="AF435" s="319">
        <f>IFERROR(LARGE(tblPiNAnalysis[[#This Row],[Site Management ]:[General Protection]], 1), "")</f>
        <v>6957</v>
      </c>
      <c r="AG435" s="320">
        <f>IF(tblPiNAnalysis[[#This Row],[Highest PiN]]="", "",tblPiNAnalysis[[#This Row],[Highest PiN]]/ tblPiNAnalysis[[#This Row],[Total Population]])</f>
        <v>2.477855303507891E-2</v>
      </c>
      <c r="AH435" s="320" t="str">
        <f>IFERROR(IF(tblPiNAnalysis[[#This Row],[Highest PiN]]="", "", IF(tblPiNAnalysis[[#This Row],[Highest sector(s'') PiN %]]&gt;=flag_pin_perc, "Flagged", "")), "")</f>
        <v/>
      </c>
      <c r="AI435" s="321"/>
      <c r="AJ435" s="322"/>
      <c r="AK435" s="323">
        <f>COUNTIFS(tblPiNAnalysis[[#This Row],[Highest PiN greater than 90% of total affected population]:[Manual Flag]],"Flagged")</f>
        <v>0</v>
      </c>
      <c r="AL435" s="324" t="str">
        <f>IF(tblPiNAnalysis[[#This Row],['# Flags]]&gt;0, "Flagged", "")</f>
        <v/>
      </c>
    </row>
    <row r="436" spans="1:38" ht="23.1" hidden="1" customHeight="1" x14ac:dyDescent="0.2">
      <c r="A436" s="309" t="str">
        <f>_xlfn.CONCAT(IF(tblPiNAnalysis[[#This Row],[Population Group]]="", "",tblPiNAnalysis[[#This Row],[Population Group]] ), _xlfn.IFS(tblPiNAnalysis[[#This Row],[Admin 2 P-Code]]&lt;&gt;"", tblPiNAnalysis[[#This Row],[Admin 2 P-Code]], tblPiNAnalysis[[#This Row],[Admin 1 P-Code]]&lt;&gt;"", tblPiNAnalysis[[#This Row],[Admin 1 P-Code]]))</f>
        <v>Host CommunitySD13030</v>
      </c>
      <c r="B436" s="245" t="s">
        <v>170</v>
      </c>
      <c r="C436" s="246" t="s">
        <v>130</v>
      </c>
      <c r="D436" s="247" t="s">
        <v>466</v>
      </c>
      <c r="E436" s="246" t="s">
        <v>482</v>
      </c>
      <c r="F436" s="248">
        <v>43198</v>
      </c>
      <c r="G436" s="248" t="s">
        <v>87</v>
      </c>
      <c r="H436" s="310"/>
      <c r="I436" s="311"/>
      <c r="J436" s="312"/>
      <c r="K436" s="311"/>
      <c r="L436" s="311"/>
      <c r="M436" s="312"/>
      <c r="N436" s="312">
        <f>_xlfn.XLOOKUP(CONCATENATE(tblPiNAnalysis[[#This Row],[Admin 2 P-Code]],tblPiNAnalysis[[#This Row],[Population Group]]),'Overall severity &amp; PIN Analysis'!A:A,'Overall severity &amp; PIN Analysis'!P:P,0,0)</f>
        <v>18156</v>
      </c>
      <c r="O436" s="311"/>
      <c r="P436" s="312"/>
      <c r="Q436" s="312"/>
      <c r="R436" s="312"/>
      <c r="S436" s="312"/>
      <c r="T436" s="313" t="str">
        <f>IF(tblPiNAnalysis[[#This Row],[Site Management ]]="", "", tblPiNAnalysis[[#This Row],[Site Management ]]/tblPiNAnalysis[[#This Row],[Total Population]])</f>
        <v/>
      </c>
      <c r="U436" s="314" t="str">
        <f>IF(tblPiNAnalysis[[#This Row],[Education]]="", "", tblPiNAnalysis[[#This Row],[Education]]/tblPiNAnalysis[[#This Row],[Total Population]])</f>
        <v/>
      </c>
      <c r="V436" s="314" t="str">
        <f>IF(tblPiNAnalysis[[#This Row],[Food Security and Livlihoods]]="", "", tblPiNAnalysis[[#This Row],[Food Security and Livlihoods]]/tblPiNAnalysis[[#This Row],[Total Population]])</f>
        <v/>
      </c>
      <c r="W436" s="315" t="str">
        <f>IF(tblPiNAnalysis[[#This Row],[Health ]]="", "", tblPiNAnalysis[[#This Row],[Health ]]/tblPiNAnalysis[[#This Row],[Total Population]])</f>
        <v/>
      </c>
      <c r="X436" s="314" t="str">
        <f>IF(tblPiNAnalysis[[#This Row],[Nutrition]]="", "", tblPiNAnalysis[[#This Row],[Nutrition]]/tblPiNAnalysis[[#This Row],[Total Population]])</f>
        <v/>
      </c>
      <c r="Y436" s="314" t="str">
        <f>IF(tblPiNAnalysis[[#This Row],[Protection]]="", "", tblPiNAnalysis[[#This Row],[Protection]]/tblPiNAnalysis[[#This Row],[Total Population]])</f>
        <v/>
      </c>
      <c r="Z436" s="316">
        <f>IF(tblPiNAnalysis[[#This Row],[Shelter NFI ]]="", "", tblPiNAnalysis[[#This Row],[Shelter NFI ]]/tblPiNAnalysis[[#This Row],[Total Population]])</f>
        <v>0.42029723598314739</v>
      </c>
      <c r="AA436" s="317" t="str">
        <f>IF(tblPiNAnalysis[[#This Row],[WASH]]="", "", tblPiNAnalysis[[#This Row],[WASH]]/tblPiNAnalysis[[#This Row],[Total Population]])</f>
        <v/>
      </c>
      <c r="AB436" s="318" t="str">
        <f>IFERROR(IF(tblPiNAnalysis[[#This Row],[CP]]="", "", MROUND(tblPiNAnalysis[[#This Row],[CP]]/tblPiNAnalysis[[#This Row],[Total Population]], 0.05)), "")</f>
        <v/>
      </c>
      <c r="AC436" s="314" t="str">
        <f>IFERROR(IF(tblPiNAnalysis[[#This Row],[GBV]]="", "", MROUND(tblPiNAnalysis[[#This Row],[GBV]]/tblPiNAnalysis[[#This Row],[Total Population]], 0.05)), "")</f>
        <v/>
      </c>
      <c r="AD436" s="314" t="str">
        <f>IFERROR(IF(tblPiNAnalysis[[#This Row],[Mine Action]]="", "", MROUND(tblPiNAnalysis[[#This Row],[Mine Action]]/tblPiNAnalysis[[#This Row],[Total Population]], 0.05)), "")</f>
        <v/>
      </c>
      <c r="AE436" s="314" t="str">
        <f>IFERROR(IF(tblPiNAnalysis[[#This Row],[General Protection]]="", "", MROUND(tblPiNAnalysis[[#This Row],[General Protection]]/tblPiNAnalysis[[#This Row],[Total Population]], 0.05)), "")</f>
        <v/>
      </c>
      <c r="AF436" s="319">
        <f>IFERROR(LARGE(tblPiNAnalysis[[#This Row],[Site Management ]:[General Protection]], 1), "")</f>
        <v>18156</v>
      </c>
      <c r="AG436" s="320">
        <f>IF(tblPiNAnalysis[[#This Row],[Highest PiN]]="", "",tblPiNAnalysis[[#This Row],[Highest PiN]]/ tblPiNAnalysis[[#This Row],[Total Population]])</f>
        <v>0.42029723598314739</v>
      </c>
      <c r="AH436" s="320" t="str">
        <f>IFERROR(IF(tblPiNAnalysis[[#This Row],[Highest PiN]]="", "", IF(tblPiNAnalysis[[#This Row],[Highest sector(s'') PiN %]]&gt;=flag_pin_perc, "Flagged", "")), "")</f>
        <v/>
      </c>
      <c r="AI436" s="321"/>
      <c r="AJ436" s="322"/>
      <c r="AK436" s="323">
        <f>COUNTIFS(tblPiNAnalysis[[#This Row],[Highest PiN greater than 90% of total affected population]:[Manual Flag]],"Flagged")</f>
        <v>0</v>
      </c>
      <c r="AL436" s="324" t="str">
        <f>IF(tblPiNAnalysis[[#This Row],['# Flags]]&gt;0, "Flagged", "")</f>
        <v/>
      </c>
    </row>
    <row r="437" spans="1:38" ht="23.1" hidden="1" customHeight="1" x14ac:dyDescent="0.2">
      <c r="A437" s="309" t="str">
        <f>_xlfn.CONCAT(IF(tblPiNAnalysis[[#This Row],[Population Group]]="", "",tblPiNAnalysis[[#This Row],[Population Group]] ), _xlfn.IFS(tblPiNAnalysis[[#This Row],[Admin 2 P-Code]]&lt;&gt;"", tblPiNAnalysis[[#This Row],[Admin 2 P-Code]], tblPiNAnalysis[[#This Row],[Admin 1 P-Code]]&lt;&gt;"", tblPiNAnalysis[[#This Row],[Admin 1 P-Code]]))</f>
        <v>IDPsSD13030</v>
      </c>
      <c r="B437" s="245" t="s">
        <v>170</v>
      </c>
      <c r="C437" s="246" t="s">
        <v>130</v>
      </c>
      <c r="D437" s="247" t="s">
        <v>466</v>
      </c>
      <c r="E437" s="246" t="s">
        <v>482</v>
      </c>
      <c r="F437" s="248">
        <v>42037</v>
      </c>
      <c r="G437" s="248" t="s">
        <v>88</v>
      </c>
      <c r="H437" s="310"/>
      <c r="I437" s="311"/>
      <c r="J437" s="312"/>
      <c r="K437" s="311"/>
      <c r="L437" s="311"/>
      <c r="M437" s="312"/>
      <c r="N437" s="312">
        <f>_xlfn.XLOOKUP(CONCATENATE(tblPiNAnalysis[[#This Row],[Admin 2 P-Code]],tblPiNAnalysis[[#This Row],[Population Group]]),'Overall severity &amp; PIN Analysis'!A:A,'Overall severity &amp; PIN Analysis'!P:P,0,0)</f>
        <v>17668</v>
      </c>
      <c r="O437" s="311"/>
      <c r="P437" s="312"/>
      <c r="Q437" s="312"/>
      <c r="R437" s="312"/>
      <c r="S437" s="312"/>
      <c r="T437" s="313" t="str">
        <f>IF(tblPiNAnalysis[[#This Row],[Site Management ]]="", "", tblPiNAnalysis[[#This Row],[Site Management ]]/tblPiNAnalysis[[#This Row],[Total Population]])</f>
        <v/>
      </c>
      <c r="U437" s="314" t="str">
        <f>IF(tblPiNAnalysis[[#This Row],[Education]]="", "", tblPiNAnalysis[[#This Row],[Education]]/tblPiNAnalysis[[#This Row],[Total Population]])</f>
        <v/>
      </c>
      <c r="V437" s="314" t="str">
        <f>IF(tblPiNAnalysis[[#This Row],[Food Security and Livlihoods]]="", "", tblPiNAnalysis[[#This Row],[Food Security and Livlihoods]]/tblPiNAnalysis[[#This Row],[Total Population]])</f>
        <v/>
      </c>
      <c r="W437" s="315" t="str">
        <f>IF(tblPiNAnalysis[[#This Row],[Health ]]="", "", tblPiNAnalysis[[#This Row],[Health ]]/tblPiNAnalysis[[#This Row],[Total Population]])</f>
        <v/>
      </c>
      <c r="X437" s="314" t="str">
        <f>IF(tblPiNAnalysis[[#This Row],[Nutrition]]="", "", tblPiNAnalysis[[#This Row],[Nutrition]]/tblPiNAnalysis[[#This Row],[Total Population]])</f>
        <v/>
      </c>
      <c r="Y437" s="314" t="str">
        <f>IF(tblPiNAnalysis[[#This Row],[Protection]]="", "", tblPiNAnalysis[[#This Row],[Protection]]/tblPiNAnalysis[[#This Row],[Total Population]])</f>
        <v/>
      </c>
      <c r="Z437" s="316">
        <f>IF(tblPiNAnalysis[[#This Row],[Shelter NFI ]]="", "", tblPiNAnalysis[[#This Row],[Shelter NFI ]]/tblPiNAnalysis[[#This Row],[Total Population]])</f>
        <v>0.42029640554749387</v>
      </c>
      <c r="AA437" s="317" t="str">
        <f>IF(tblPiNAnalysis[[#This Row],[WASH]]="", "", tblPiNAnalysis[[#This Row],[WASH]]/tblPiNAnalysis[[#This Row],[Total Population]])</f>
        <v/>
      </c>
      <c r="AB437" s="318" t="str">
        <f>IFERROR(IF(tblPiNAnalysis[[#This Row],[CP]]="", "", MROUND(tblPiNAnalysis[[#This Row],[CP]]/tblPiNAnalysis[[#This Row],[Total Population]], 0.05)), "")</f>
        <v/>
      </c>
      <c r="AC437" s="314" t="str">
        <f>IFERROR(IF(tblPiNAnalysis[[#This Row],[GBV]]="", "", MROUND(tblPiNAnalysis[[#This Row],[GBV]]/tblPiNAnalysis[[#This Row],[Total Population]], 0.05)), "")</f>
        <v/>
      </c>
      <c r="AD437" s="314" t="str">
        <f>IFERROR(IF(tblPiNAnalysis[[#This Row],[Mine Action]]="", "", MROUND(tblPiNAnalysis[[#This Row],[Mine Action]]/tblPiNAnalysis[[#This Row],[Total Population]], 0.05)), "")</f>
        <v/>
      </c>
      <c r="AE437" s="314" t="str">
        <f>IFERROR(IF(tblPiNAnalysis[[#This Row],[General Protection]]="", "", MROUND(tblPiNAnalysis[[#This Row],[General Protection]]/tblPiNAnalysis[[#This Row],[Total Population]], 0.05)), "")</f>
        <v/>
      </c>
      <c r="AF437" s="319">
        <f>IFERROR(LARGE(tblPiNAnalysis[[#This Row],[Site Management ]:[General Protection]], 1), "")</f>
        <v>17668</v>
      </c>
      <c r="AG437" s="320">
        <f>IF(tblPiNAnalysis[[#This Row],[Highest PiN]]="", "",tblPiNAnalysis[[#This Row],[Highest PiN]]/ tblPiNAnalysis[[#This Row],[Total Population]])</f>
        <v>0.42029640554749387</v>
      </c>
      <c r="AH437" s="320" t="str">
        <f>IFERROR(IF(tblPiNAnalysis[[#This Row],[Highest PiN]]="", "", IF(tblPiNAnalysis[[#This Row],[Highest sector(s'') PiN %]]&gt;=flag_pin_perc, "Flagged", "")), "")</f>
        <v/>
      </c>
      <c r="AI437" s="321"/>
      <c r="AJ437" s="322"/>
      <c r="AK437" s="323">
        <f>COUNTIFS(tblPiNAnalysis[[#This Row],[Highest PiN greater than 90% of total affected population]:[Manual Flag]],"Flagged")</f>
        <v>0</v>
      </c>
      <c r="AL437" s="324" t="str">
        <f>IF(tblPiNAnalysis[[#This Row],['# Flags]]&gt;0, "Flagged", "")</f>
        <v/>
      </c>
    </row>
    <row r="438" spans="1:38" ht="23.1" customHeight="1" x14ac:dyDescent="0.2">
      <c r="A438" s="309" t="str">
        <f>_xlfn.CONCAT(IF(tblPiNAnalysis[[#This Row],[Population Group]]="", "",tblPiNAnalysis[[#This Row],[Population Group]] ), _xlfn.IFS(tblPiNAnalysis[[#This Row],[Admin 2 P-Code]]&lt;&gt;"", tblPiNAnalysis[[#This Row],[Admin 2 P-Code]], tblPiNAnalysis[[#This Row],[Admin 1 P-Code]]&lt;&gt;"", tblPiNAnalysis[[#This Row],[Admin 1 P-Code]]))</f>
        <v>Non-hosting PopulationSD13030</v>
      </c>
      <c r="B438" s="245" t="s">
        <v>170</v>
      </c>
      <c r="C438" s="246" t="s">
        <v>130</v>
      </c>
      <c r="D438" s="247" t="s">
        <v>466</v>
      </c>
      <c r="E438" s="246" t="s">
        <v>482</v>
      </c>
      <c r="F438" s="248">
        <v>197595</v>
      </c>
      <c r="G438" s="248" t="s">
        <v>568</v>
      </c>
      <c r="H438" s="310"/>
      <c r="I438" s="311"/>
      <c r="J438" s="312"/>
      <c r="K438" s="311"/>
      <c r="L438" s="311"/>
      <c r="M438" s="312"/>
      <c r="N438" s="312">
        <f>_xlfn.XLOOKUP(CONCATENATE(tblPiNAnalysis[[#This Row],[Admin 2 P-Code]],tblPiNAnalysis[[#This Row],[Population Group]]),'Overall severity &amp; PIN Analysis'!A:A,'Overall severity &amp; PIN Analysis'!P:P,0,0)</f>
        <v>12583</v>
      </c>
      <c r="O438" s="311"/>
      <c r="P438" s="312"/>
      <c r="Q438" s="312"/>
      <c r="R438" s="312"/>
      <c r="S438" s="312"/>
      <c r="T438" s="313" t="str">
        <f>IF(tblPiNAnalysis[[#This Row],[Site Management ]]="", "", tblPiNAnalysis[[#This Row],[Site Management ]]/tblPiNAnalysis[[#This Row],[Total Population]])</f>
        <v/>
      </c>
      <c r="U438" s="314" t="str">
        <f>IF(tblPiNAnalysis[[#This Row],[Education]]="", "", tblPiNAnalysis[[#This Row],[Education]]/tblPiNAnalysis[[#This Row],[Total Population]])</f>
        <v/>
      </c>
      <c r="V438" s="314" t="str">
        <f>IF(tblPiNAnalysis[[#This Row],[Food Security and Livlihoods]]="", "", tblPiNAnalysis[[#This Row],[Food Security and Livlihoods]]/tblPiNAnalysis[[#This Row],[Total Population]])</f>
        <v/>
      </c>
      <c r="W438" s="315" t="str">
        <f>IF(tblPiNAnalysis[[#This Row],[Health ]]="", "", tblPiNAnalysis[[#This Row],[Health ]]/tblPiNAnalysis[[#This Row],[Total Population]])</f>
        <v/>
      </c>
      <c r="X438" s="314" t="str">
        <f>IF(tblPiNAnalysis[[#This Row],[Nutrition]]="", "", tblPiNAnalysis[[#This Row],[Nutrition]]/tblPiNAnalysis[[#This Row],[Total Population]])</f>
        <v/>
      </c>
      <c r="Y438" s="314" t="str">
        <f>IF(tblPiNAnalysis[[#This Row],[Protection]]="", "", tblPiNAnalysis[[#This Row],[Protection]]/tblPiNAnalysis[[#This Row],[Total Population]])</f>
        <v/>
      </c>
      <c r="Z438" s="316">
        <f>IF(tblPiNAnalysis[[#This Row],[Shelter NFI ]]="", "", tblPiNAnalysis[[#This Row],[Shelter NFI ]]/tblPiNAnalysis[[#This Row],[Total Population]])</f>
        <v>6.3680761152863183E-2</v>
      </c>
      <c r="AA438" s="317" t="str">
        <f>IF(tblPiNAnalysis[[#This Row],[WASH]]="", "", tblPiNAnalysis[[#This Row],[WASH]]/tblPiNAnalysis[[#This Row],[Total Population]])</f>
        <v/>
      </c>
      <c r="AB438" s="318" t="str">
        <f>IFERROR(IF(tblPiNAnalysis[[#This Row],[CP]]="", "", MROUND(tblPiNAnalysis[[#This Row],[CP]]/tblPiNAnalysis[[#This Row],[Total Population]], 0.05)), "")</f>
        <v/>
      </c>
      <c r="AC438" s="314" t="str">
        <f>IFERROR(IF(tblPiNAnalysis[[#This Row],[GBV]]="", "", MROUND(tblPiNAnalysis[[#This Row],[GBV]]/tblPiNAnalysis[[#This Row],[Total Population]], 0.05)), "")</f>
        <v/>
      </c>
      <c r="AD438" s="314" t="str">
        <f>IFERROR(IF(tblPiNAnalysis[[#This Row],[Mine Action]]="", "", MROUND(tblPiNAnalysis[[#This Row],[Mine Action]]/tblPiNAnalysis[[#This Row],[Total Population]], 0.05)), "")</f>
        <v/>
      </c>
      <c r="AE438" s="314" t="str">
        <f>IFERROR(IF(tblPiNAnalysis[[#This Row],[General Protection]]="", "", MROUND(tblPiNAnalysis[[#This Row],[General Protection]]/tblPiNAnalysis[[#This Row],[Total Population]], 0.05)), "")</f>
        <v/>
      </c>
      <c r="AF438" s="319">
        <f>IFERROR(LARGE(tblPiNAnalysis[[#This Row],[Site Management ]:[General Protection]], 1), "")</f>
        <v>12583</v>
      </c>
      <c r="AG438" s="320">
        <f>IF(tblPiNAnalysis[[#This Row],[Highest PiN]]="", "",tblPiNAnalysis[[#This Row],[Highest PiN]]/ tblPiNAnalysis[[#This Row],[Total Population]])</f>
        <v>6.3680761152863183E-2</v>
      </c>
      <c r="AH438" s="320" t="str">
        <f>IFERROR(IF(tblPiNAnalysis[[#This Row],[Highest PiN]]="", "", IF(tblPiNAnalysis[[#This Row],[Highest sector(s'') PiN %]]&gt;=flag_pin_perc, "Flagged", "")), "")</f>
        <v/>
      </c>
      <c r="AI438" s="321"/>
      <c r="AJ438" s="322"/>
      <c r="AK438" s="323">
        <f>COUNTIFS(tblPiNAnalysis[[#This Row],[Highest PiN greater than 90% of total affected population]:[Manual Flag]],"Flagged")</f>
        <v>0</v>
      </c>
      <c r="AL438" s="324" t="str">
        <f>IF(tblPiNAnalysis[[#This Row],['# Flags]]&gt;0, "Flagged", "")</f>
        <v/>
      </c>
    </row>
    <row r="439" spans="1:38" ht="23.1" hidden="1" customHeight="1" x14ac:dyDescent="0.2">
      <c r="A439" s="309" t="str">
        <f>_xlfn.CONCAT(IF(tblPiNAnalysis[[#This Row],[Population Group]]="", "",tblPiNAnalysis[[#This Row],[Population Group]] ), _xlfn.IFS(tblPiNAnalysis[[#This Row],[Admin 2 P-Code]]&lt;&gt;"", tblPiNAnalysis[[#This Row],[Admin 2 P-Code]], tblPiNAnalysis[[#This Row],[Admin 1 P-Code]]&lt;&gt;"", tblPiNAnalysis[[#This Row],[Admin 1 P-Code]]))</f>
        <v>Host CommunitySD14037</v>
      </c>
      <c r="B439" s="245" t="s">
        <v>182</v>
      </c>
      <c r="C439" s="246" t="s">
        <v>131</v>
      </c>
      <c r="D439" s="247" t="s">
        <v>483</v>
      </c>
      <c r="E439" s="246" t="s">
        <v>484</v>
      </c>
      <c r="F439" s="248">
        <v>55928</v>
      </c>
      <c r="G439" s="248" t="s">
        <v>87</v>
      </c>
      <c r="H439" s="310"/>
      <c r="I439" s="311"/>
      <c r="J439" s="312"/>
      <c r="K439" s="311"/>
      <c r="L439" s="311"/>
      <c r="M439" s="312"/>
      <c r="N439" s="312">
        <f>_xlfn.XLOOKUP(CONCATENATE(tblPiNAnalysis[[#This Row],[Admin 2 P-Code]],tblPiNAnalysis[[#This Row],[Population Group]]),'Overall severity &amp; PIN Analysis'!A:A,'Overall severity &amp; PIN Analysis'!P:P,0,0)</f>
        <v>2546</v>
      </c>
      <c r="O439" s="311"/>
      <c r="P439" s="312"/>
      <c r="Q439" s="312"/>
      <c r="R439" s="312"/>
      <c r="S439" s="312"/>
      <c r="T439" s="313" t="str">
        <f>IF(tblPiNAnalysis[[#This Row],[Site Management ]]="", "", tblPiNAnalysis[[#This Row],[Site Management ]]/tblPiNAnalysis[[#This Row],[Total Population]])</f>
        <v/>
      </c>
      <c r="U439" s="314" t="str">
        <f>IF(tblPiNAnalysis[[#This Row],[Education]]="", "", tblPiNAnalysis[[#This Row],[Education]]/tblPiNAnalysis[[#This Row],[Total Population]])</f>
        <v/>
      </c>
      <c r="V439" s="314" t="str">
        <f>IF(tblPiNAnalysis[[#This Row],[Food Security and Livlihoods]]="", "", tblPiNAnalysis[[#This Row],[Food Security and Livlihoods]]/tblPiNAnalysis[[#This Row],[Total Population]])</f>
        <v/>
      </c>
      <c r="W439" s="315" t="str">
        <f>IF(tblPiNAnalysis[[#This Row],[Health ]]="", "", tblPiNAnalysis[[#This Row],[Health ]]/tblPiNAnalysis[[#This Row],[Total Population]])</f>
        <v/>
      </c>
      <c r="X439" s="314" t="str">
        <f>IF(tblPiNAnalysis[[#This Row],[Nutrition]]="", "", tblPiNAnalysis[[#This Row],[Nutrition]]/tblPiNAnalysis[[#This Row],[Total Population]])</f>
        <v/>
      </c>
      <c r="Y439" s="314" t="str">
        <f>IF(tblPiNAnalysis[[#This Row],[Protection]]="", "", tblPiNAnalysis[[#This Row],[Protection]]/tblPiNAnalysis[[#This Row],[Total Population]])</f>
        <v/>
      </c>
      <c r="Z439" s="316">
        <f>IF(tblPiNAnalysis[[#This Row],[Shelter NFI ]]="", "", tblPiNAnalysis[[#This Row],[Shelter NFI ]]/tblPiNAnalysis[[#This Row],[Total Population]])</f>
        <v>4.5522815047918753E-2</v>
      </c>
      <c r="AA439" s="317" t="str">
        <f>IF(tblPiNAnalysis[[#This Row],[WASH]]="", "", tblPiNAnalysis[[#This Row],[WASH]]/tblPiNAnalysis[[#This Row],[Total Population]])</f>
        <v/>
      </c>
      <c r="AB439" s="318" t="str">
        <f>IFERROR(IF(tblPiNAnalysis[[#This Row],[CP]]="", "", MROUND(tblPiNAnalysis[[#This Row],[CP]]/tblPiNAnalysis[[#This Row],[Total Population]], 0.05)), "")</f>
        <v/>
      </c>
      <c r="AC439" s="314" t="str">
        <f>IFERROR(IF(tblPiNAnalysis[[#This Row],[GBV]]="", "", MROUND(tblPiNAnalysis[[#This Row],[GBV]]/tblPiNAnalysis[[#This Row],[Total Population]], 0.05)), "")</f>
        <v/>
      </c>
      <c r="AD439" s="314" t="str">
        <f>IFERROR(IF(tblPiNAnalysis[[#This Row],[Mine Action]]="", "", MROUND(tblPiNAnalysis[[#This Row],[Mine Action]]/tblPiNAnalysis[[#This Row],[Total Population]], 0.05)), "")</f>
        <v/>
      </c>
      <c r="AE439" s="314" t="str">
        <f>IFERROR(IF(tblPiNAnalysis[[#This Row],[General Protection]]="", "", MROUND(tblPiNAnalysis[[#This Row],[General Protection]]/tblPiNAnalysis[[#This Row],[Total Population]], 0.05)), "")</f>
        <v/>
      </c>
      <c r="AF439" s="319">
        <f>IFERROR(LARGE(tblPiNAnalysis[[#This Row],[Site Management ]:[General Protection]], 1), "")</f>
        <v>2546</v>
      </c>
      <c r="AG439" s="320">
        <f>IF(tblPiNAnalysis[[#This Row],[Highest PiN]]="", "",tblPiNAnalysis[[#This Row],[Highest PiN]]/ tblPiNAnalysis[[#This Row],[Total Population]])</f>
        <v>4.5522815047918753E-2</v>
      </c>
      <c r="AH439" s="320" t="str">
        <f>IFERROR(IF(tblPiNAnalysis[[#This Row],[Highest PiN]]="", "", IF(tblPiNAnalysis[[#This Row],[Highest sector(s'') PiN %]]&gt;=flag_pin_perc, "Flagged", "")), "")</f>
        <v/>
      </c>
      <c r="AI439" s="321"/>
      <c r="AJ439" s="322"/>
      <c r="AK439" s="323">
        <f>COUNTIFS(tblPiNAnalysis[[#This Row],[Highest PiN greater than 90% of total affected population]:[Manual Flag]],"Flagged")</f>
        <v>0</v>
      </c>
      <c r="AL439" s="324" t="str">
        <f>IF(tblPiNAnalysis[[#This Row],['# Flags]]&gt;0, "Flagged", "")</f>
        <v/>
      </c>
    </row>
    <row r="440" spans="1:38" ht="23.1" hidden="1" customHeight="1" x14ac:dyDescent="0.2">
      <c r="A440" s="309" t="str">
        <f>_xlfn.CONCAT(IF(tblPiNAnalysis[[#This Row],[Population Group]]="", "",tblPiNAnalysis[[#This Row],[Population Group]] ), _xlfn.IFS(tblPiNAnalysis[[#This Row],[Admin 2 P-Code]]&lt;&gt;"", tblPiNAnalysis[[#This Row],[Admin 2 P-Code]], tblPiNAnalysis[[#This Row],[Admin 1 P-Code]]&lt;&gt;"", tblPiNAnalysis[[#This Row],[Admin 1 P-Code]]))</f>
        <v>IDPsSD14037</v>
      </c>
      <c r="B440" s="245" t="s">
        <v>182</v>
      </c>
      <c r="C440" s="246" t="s">
        <v>131</v>
      </c>
      <c r="D440" s="247" t="s">
        <v>483</v>
      </c>
      <c r="E440" s="246" t="s">
        <v>484</v>
      </c>
      <c r="F440" s="248">
        <v>50273</v>
      </c>
      <c r="G440" s="248" t="s">
        <v>88</v>
      </c>
      <c r="H440" s="310"/>
      <c r="I440" s="311"/>
      <c r="J440" s="312"/>
      <c r="K440" s="311"/>
      <c r="L440" s="311"/>
      <c r="M440" s="312"/>
      <c r="N440" s="312">
        <f>_xlfn.XLOOKUP(CONCATENATE(tblPiNAnalysis[[#This Row],[Admin 2 P-Code]],tblPiNAnalysis[[#This Row],[Population Group]]),'Overall severity &amp; PIN Analysis'!A:A,'Overall severity &amp; PIN Analysis'!P:P,0,0)</f>
        <v>2289</v>
      </c>
      <c r="O440" s="311"/>
      <c r="P440" s="312"/>
      <c r="Q440" s="312"/>
      <c r="R440" s="312"/>
      <c r="S440" s="312"/>
      <c r="T440" s="313" t="str">
        <f>IF(tblPiNAnalysis[[#This Row],[Site Management ]]="", "", tblPiNAnalysis[[#This Row],[Site Management ]]/tblPiNAnalysis[[#This Row],[Total Population]])</f>
        <v/>
      </c>
      <c r="U440" s="314" t="str">
        <f>IF(tblPiNAnalysis[[#This Row],[Education]]="", "", tblPiNAnalysis[[#This Row],[Education]]/tblPiNAnalysis[[#This Row],[Total Population]])</f>
        <v/>
      </c>
      <c r="V440" s="314" t="str">
        <f>IF(tblPiNAnalysis[[#This Row],[Food Security and Livlihoods]]="", "", tblPiNAnalysis[[#This Row],[Food Security and Livlihoods]]/tblPiNAnalysis[[#This Row],[Total Population]])</f>
        <v/>
      </c>
      <c r="W440" s="315" t="str">
        <f>IF(tblPiNAnalysis[[#This Row],[Health ]]="", "", tblPiNAnalysis[[#This Row],[Health ]]/tblPiNAnalysis[[#This Row],[Total Population]])</f>
        <v/>
      </c>
      <c r="X440" s="314" t="str">
        <f>IF(tblPiNAnalysis[[#This Row],[Nutrition]]="", "", tblPiNAnalysis[[#This Row],[Nutrition]]/tblPiNAnalysis[[#This Row],[Total Population]])</f>
        <v/>
      </c>
      <c r="Y440" s="314" t="str">
        <f>IF(tblPiNAnalysis[[#This Row],[Protection]]="", "", tblPiNAnalysis[[#This Row],[Protection]]/tblPiNAnalysis[[#This Row],[Total Population]])</f>
        <v/>
      </c>
      <c r="Z440" s="316">
        <f>IF(tblPiNAnalysis[[#This Row],[Shelter NFI ]]="", "", tblPiNAnalysis[[#This Row],[Shelter NFI ]]/tblPiNAnalysis[[#This Row],[Total Population]])</f>
        <v>4.5531398563841426E-2</v>
      </c>
      <c r="AA440" s="317" t="str">
        <f>IF(tblPiNAnalysis[[#This Row],[WASH]]="", "", tblPiNAnalysis[[#This Row],[WASH]]/tblPiNAnalysis[[#This Row],[Total Population]])</f>
        <v/>
      </c>
      <c r="AB440" s="318" t="str">
        <f>IFERROR(IF(tblPiNAnalysis[[#This Row],[CP]]="", "", MROUND(tblPiNAnalysis[[#This Row],[CP]]/tblPiNAnalysis[[#This Row],[Total Population]], 0.05)), "")</f>
        <v/>
      </c>
      <c r="AC440" s="314" t="str">
        <f>IFERROR(IF(tblPiNAnalysis[[#This Row],[GBV]]="", "", MROUND(tblPiNAnalysis[[#This Row],[GBV]]/tblPiNAnalysis[[#This Row],[Total Population]], 0.05)), "")</f>
        <v/>
      </c>
      <c r="AD440" s="314" t="str">
        <f>IFERROR(IF(tblPiNAnalysis[[#This Row],[Mine Action]]="", "", MROUND(tblPiNAnalysis[[#This Row],[Mine Action]]/tblPiNAnalysis[[#This Row],[Total Population]], 0.05)), "")</f>
        <v/>
      </c>
      <c r="AE440" s="314" t="str">
        <f>IFERROR(IF(tblPiNAnalysis[[#This Row],[General Protection]]="", "", MROUND(tblPiNAnalysis[[#This Row],[General Protection]]/tblPiNAnalysis[[#This Row],[Total Population]], 0.05)), "")</f>
        <v/>
      </c>
      <c r="AF440" s="319">
        <f>IFERROR(LARGE(tblPiNAnalysis[[#This Row],[Site Management ]:[General Protection]], 1), "")</f>
        <v>2289</v>
      </c>
      <c r="AG440" s="320">
        <f>IF(tblPiNAnalysis[[#This Row],[Highest PiN]]="", "",tblPiNAnalysis[[#This Row],[Highest PiN]]/ tblPiNAnalysis[[#This Row],[Total Population]])</f>
        <v>4.5531398563841426E-2</v>
      </c>
      <c r="AH440" s="320" t="str">
        <f>IFERROR(IF(tblPiNAnalysis[[#This Row],[Highest PiN]]="", "", IF(tblPiNAnalysis[[#This Row],[Highest sector(s'') PiN %]]&gt;=flag_pin_perc, "Flagged", "")), "")</f>
        <v/>
      </c>
      <c r="AI440" s="321"/>
      <c r="AJ440" s="322"/>
      <c r="AK440" s="323">
        <f>COUNTIFS(tblPiNAnalysis[[#This Row],[Highest PiN greater than 90% of total affected population]:[Manual Flag]],"Flagged")</f>
        <v>0</v>
      </c>
      <c r="AL440" s="324" t="str">
        <f>IF(tblPiNAnalysis[[#This Row],['# Flags]]&gt;0, "Flagged", "")</f>
        <v/>
      </c>
    </row>
    <row r="441" spans="1:38" ht="23.1" customHeight="1" x14ac:dyDescent="0.2">
      <c r="A441" s="309" t="str">
        <f>_xlfn.CONCAT(IF(tblPiNAnalysis[[#This Row],[Population Group]]="", "",tblPiNAnalysis[[#This Row],[Population Group]] ), _xlfn.IFS(tblPiNAnalysis[[#This Row],[Admin 2 P-Code]]&lt;&gt;"", tblPiNAnalysis[[#This Row],[Admin 2 P-Code]], tblPiNAnalysis[[#This Row],[Admin 1 P-Code]]&lt;&gt;"", tblPiNAnalysis[[#This Row],[Admin 1 P-Code]]))</f>
        <v>Non-hosting PopulationSD14037</v>
      </c>
      <c r="B441" s="245" t="s">
        <v>182</v>
      </c>
      <c r="C441" s="246" t="s">
        <v>131</v>
      </c>
      <c r="D441" s="247" t="s">
        <v>483</v>
      </c>
      <c r="E441" s="246" t="s">
        <v>484</v>
      </c>
      <c r="F441" s="248">
        <v>152131</v>
      </c>
      <c r="G441" s="248" t="s">
        <v>568</v>
      </c>
      <c r="H441" s="310"/>
      <c r="I441" s="311"/>
      <c r="J441" s="312"/>
      <c r="K441" s="311"/>
      <c r="L441" s="311"/>
      <c r="M441" s="312"/>
      <c r="N441" s="312">
        <f>_xlfn.XLOOKUP(CONCATENATE(tblPiNAnalysis[[#This Row],[Admin 2 P-Code]],tblPiNAnalysis[[#This Row],[Population Group]]),'Overall severity &amp; PIN Analysis'!A:A,'Overall severity &amp; PIN Analysis'!P:P,0,0)</f>
        <v>6927</v>
      </c>
      <c r="O441" s="311"/>
      <c r="P441" s="312"/>
      <c r="Q441" s="312"/>
      <c r="R441" s="312"/>
      <c r="S441" s="312"/>
      <c r="T441" s="313" t="str">
        <f>IF(tblPiNAnalysis[[#This Row],[Site Management ]]="", "", tblPiNAnalysis[[#This Row],[Site Management ]]/tblPiNAnalysis[[#This Row],[Total Population]])</f>
        <v/>
      </c>
      <c r="U441" s="314" t="str">
        <f>IF(tblPiNAnalysis[[#This Row],[Education]]="", "", tblPiNAnalysis[[#This Row],[Education]]/tblPiNAnalysis[[#This Row],[Total Population]])</f>
        <v/>
      </c>
      <c r="V441" s="314" t="str">
        <f>IF(tblPiNAnalysis[[#This Row],[Food Security and Livlihoods]]="", "", tblPiNAnalysis[[#This Row],[Food Security and Livlihoods]]/tblPiNAnalysis[[#This Row],[Total Population]])</f>
        <v/>
      </c>
      <c r="W441" s="315" t="str">
        <f>IF(tblPiNAnalysis[[#This Row],[Health ]]="", "", tblPiNAnalysis[[#This Row],[Health ]]/tblPiNAnalysis[[#This Row],[Total Population]])</f>
        <v/>
      </c>
      <c r="X441" s="314" t="str">
        <f>IF(tblPiNAnalysis[[#This Row],[Nutrition]]="", "", tblPiNAnalysis[[#This Row],[Nutrition]]/tblPiNAnalysis[[#This Row],[Total Population]])</f>
        <v/>
      </c>
      <c r="Y441" s="314" t="str">
        <f>IF(tblPiNAnalysis[[#This Row],[Protection]]="", "", tblPiNAnalysis[[#This Row],[Protection]]/tblPiNAnalysis[[#This Row],[Total Population]])</f>
        <v/>
      </c>
      <c r="Z441" s="316">
        <f>IF(tblPiNAnalysis[[#This Row],[Shelter NFI ]]="", "", tblPiNAnalysis[[#This Row],[Shelter NFI ]]/tblPiNAnalysis[[#This Row],[Total Population]])</f>
        <v>4.5533126055833456E-2</v>
      </c>
      <c r="AA441" s="317" t="str">
        <f>IF(tblPiNAnalysis[[#This Row],[WASH]]="", "", tblPiNAnalysis[[#This Row],[WASH]]/tblPiNAnalysis[[#This Row],[Total Population]])</f>
        <v/>
      </c>
      <c r="AB441" s="318" t="str">
        <f>IFERROR(IF(tblPiNAnalysis[[#This Row],[CP]]="", "", MROUND(tblPiNAnalysis[[#This Row],[CP]]/tblPiNAnalysis[[#This Row],[Total Population]], 0.05)), "")</f>
        <v/>
      </c>
      <c r="AC441" s="314" t="str">
        <f>IFERROR(IF(tblPiNAnalysis[[#This Row],[GBV]]="", "", MROUND(tblPiNAnalysis[[#This Row],[GBV]]/tblPiNAnalysis[[#This Row],[Total Population]], 0.05)), "")</f>
        <v/>
      </c>
      <c r="AD441" s="314" t="str">
        <f>IFERROR(IF(tblPiNAnalysis[[#This Row],[Mine Action]]="", "", MROUND(tblPiNAnalysis[[#This Row],[Mine Action]]/tblPiNAnalysis[[#This Row],[Total Population]], 0.05)), "")</f>
        <v/>
      </c>
      <c r="AE441" s="314" t="str">
        <f>IFERROR(IF(tblPiNAnalysis[[#This Row],[General Protection]]="", "", MROUND(tblPiNAnalysis[[#This Row],[General Protection]]/tblPiNAnalysis[[#This Row],[Total Population]], 0.05)), "")</f>
        <v/>
      </c>
      <c r="AF441" s="319">
        <f>IFERROR(LARGE(tblPiNAnalysis[[#This Row],[Site Management ]:[General Protection]], 1), "")</f>
        <v>6927</v>
      </c>
      <c r="AG441" s="320">
        <f>IF(tblPiNAnalysis[[#This Row],[Highest PiN]]="", "",tblPiNAnalysis[[#This Row],[Highest PiN]]/ tblPiNAnalysis[[#This Row],[Total Population]])</f>
        <v>4.5533126055833456E-2</v>
      </c>
      <c r="AH441" s="320" t="str">
        <f>IFERROR(IF(tblPiNAnalysis[[#This Row],[Highest PiN]]="", "", IF(tblPiNAnalysis[[#This Row],[Highest sector(s'') PiN %]]&gt;=flag_pin_perc, "Flagged", "")), "")</f>
        <v/>
      </c>
      <c r="AI441" s="321"/>
      <c r="AJ441" s="322"/>
      <c r="AK441" s="323">
        <f>COUNTIFS(tblPiNAnalysis[[#This Row],[Highest PiN greater than 90% of total affected population]:[Manual Flag]],"Flagged")</f>
        <v>0</v>
      </c>
      <c r="AL441" s="324" t="str">
        <f>IF(tblPiNAnalysis[[#This Row],['# Flags]]&gt;0, "Flagged", "")</f>
        <v/>
      </c>
    </row>
    <row r="442" spans="1:38" ht="23.1" hidden="1" customHeight="1" x14ac:dyDescent="0.2">
      <c r="A442" s="309" t="str">
        <f>_xlfn.CONCAT(IF(tblPiNAnalysis[[#This Row],[Population Group]]="", "",tblPiNAnalysis[[#This Row],[Population Group]] ), _xlfn.IFS(tblPiNAnalysis[[#This Row],[Admin 2 P-Code]]&lt;&gt;"", tblPiNAnalysis[[#This Row],[Admin 2 P-Code]], tblPiNAnalysis[[#This Row],[Admin 1 P-Code]]&lt;&gt;"", tblPiNAnalysis[[#This Row],[Admin 1 P-Code]]))</f>
        <v>Host CommunitySD14038</v>
      </c>
      <c r="B442" s="245" t="s">
        <v>182</v>
      </c>
      <c r="C442" s="246" t="s">
        <v>131</v>
      </c>
      <c r="D442" s="247" t="s">
        <v>182</v>
      </c>
      <c r="E442" s="246" t="s">
        <v>485</v>
      </c>
      <c r="F442" s="248">
        <v>144677</v>
      </c>
      <c r="G442" s="248" t="s">
        <v>87</v>
      </c>
      <c r="H442" s="310"/>
      <c r="I442" s="311"/>
      <c r="J442" s="312"/>
      <c r="K442" s="311"/>
      <c r="L442" s="311"/>
      <c r="M442" s="312"/>
      <c r="N442" s="312">
        <f>_xlfn.XLOOKUP(CONCATENATE(tblPiNAnalysis[[#This Row],[Admin 2 P-Code]],tblPiNAnalysis[[#This Row],[Population Group]]),'Overall severity &amp; PIN Analysis'!A:A,'Overall severity &amp; PIN Analysis'!P:P,0,0)</f>
        <v>26350</v>
      </c>
      <c r="O442" s="311"/>
      <c r="P442" s="312"/>
      <c r="Q442" s="312"/>
      <c r="R442" s="312"/>
      <c r="S442" s="312"/>
      <c r="T442" s="313" t="str">
        <f>IF(tblPiNAnalysis[[#This Row],[Site Management ]]="", "", tblPiNAnalysis[[#This Row],[Site Management ]]/tblPiNAnalysis[[#This Row],[Total Population]])</f>
        <v/>
      </c>
      <c r="U442" s="314" t="str">
        <f>IF(tblPiNAnalysis[[#This Row],[Education]]="", "", tblPiNAnalysis[[#This Row],[Education]]/tblPiNAnalysis[[#This Row],[Total Population]])</f>
        <v/>
      </c>
      <c r="V442" s="314" t="str">
        <f>IF(tblPiNAnalysis[[#This Row],[Food Security and Livlihoods]]="", "", tblPiNAnalysis[[#This Row],[Food Security and Livlihoods]]/tblPiNAnalysis[[#This Row],[Total Population]])</f>
        <v/>
      </c>
      <c r="W442" s="315" t="str">
        <f>IF(tblPiNAnalysis[[#This Row],[Health ]]="", "", tblPiNAnalysis[[#This Row],[Health ]]/tblPiNAnalysis[[#This Row],[Total Population]])</f>
        <v/>
      </c>
      <c r="X442" s="314" t="str">
        <f>IF(tblPiNAnalysis[[#This Row],[Nutrition]]="", "", tblPiNAnalysis[[#This Row],[Nutrition]]/tblPiNAnalysis[[#This Row],[Total Population]])</f>
        <v/>
      </c>
      <c r="Y442" s="314" t="str">
        <f>IF(tblPiNAnalysis[[#This Row],[Protection]]="", "", tblPiNAnalysis[[#This Row],[Protection]]/tblPiNAnalysis[[#This Row],[Total Population]])</f>
        <v/>
      </c>
      <c r="Z442" s="316">
        <f>IF(tblPiNAnalysis[[#This Row],[Shelter NFI ]]="", "", tblPiNAnalysis[[#This Row],[Shelter NFI ]]/tblPiNAnalysis[[#This Row],[Total Population]])</f>
        <v>0.18212984786800943</v>
      </c>
      <c r="AA442" s="317" t="str">
        <f>IF(tblPiNAnalysis[[#This Row],[WASH]]="", "", tblPiNAnalysis[[#This Row],[WASH]]/tblPiNAnalysis[[#This Row],[Total Population]])</f>
        <v/>
      </c>
      <c r="AB442" s="318" t="str">
        <f>IFERROR(IF(tblPiNAnalysis[[#This Row],[CP]]="", "", MROUND(tblPiNAnalysis[[#This Row],[CP]]/tblPiNAnalysis[[#This Row],[Total Population]], 0.05)), "")</f>
        <v/>
      </c>
      <c r="AC442" s="314" t="str">
        <f>IFERROR(IF(tblPiNAnalysis[[#This Row],[GBV]]="", "", MROUND(tblPiNAnalysis[[#This Row],[GBV]]/tblPiNAnalysis[[#This Row],[Total Population]], 0.05)), "")</f>
        <v/>
      </c>
      <c r="AD442" s="314" t="str">
        <f>IFERROR(IF(tblPiNAnalysis[[#This Row],[Mine Action]]="", "", MROUND(tblPiNAnalysis[[#This Row],[Mine Action]]/tblPiNAnalysis[[#This Row],[Total Population]], 0.05)), "")</f>
        <v/>
      </c>
      <c r="AE442" s="314" t="str">
        <f>IFERROR(IF(tblPiNAnalysis[[#This Row],[General Protection]]="", "", MROUND(tblPiNAnalysis[[#This Row],[General Protection]]/tblPiNAnalysis[[#This Row],[Total Population]], 0.05)), "")</f>
        <v/>
      </c>
      <c r="AF442" s="319">
        <f>IFERROR(LARGE(tblPiNAnalysis[[#This Row],[Site Management ]:[General Protection]], 1), "")</f>
        <v>26350</v>
      </c>
      <c r="AG442" s="320">
        <f>IF(tblPiNAnalysis[[#This Row],[Highest PiN]]="", "",tblPiNAnalysis[[#This Row],[Highest PiN]]/ tblPiNAnalysis[[#This Row],[Total Population]])</f>
        <v>0.18212984786800943</v>
      </c>
      <c r="AH442" s="320" t="str">
        <f>IFERROR(IF(tblPiNAnalysis[[#This Row],[Highest PiN]]="", "", IF(tblPiNAnalysis[[#This Row],[Highest sector(s'') PiN %]]&gt;=flag_pin_perc, "Flagged", "")), "")</f>
        <v/>
      </c>
      <c r="AI442" s="321"/>
      <c r="AJ442" s="322"/>
      <c r="AK442" s="323">
        <f>COUNTIFS(tblPiNAnalysis[[#This Row],[Highest PiN greater than 90% of total affected population]:[Manual Flag]],"Flagged")</f>
        <v>0</v>
      </c>
      <c r="AL442" s="324" t="str">
        <f>IF(tblPiNAnalysis[[#This Row],['# Flags]]&gt;0, "Flagged", "")</f>
        <v/>
      </c>
    </row>
    <row r="443" spans="1:38" ht="23.1" hidden="1" customHeight="1" x14ac:dyDescent="0.2">
      <c r="A443" s="309" t="str">
        <f>_xlfn.CONCAT(IF(tblPiNAnalysis[[#This Row],[Population Group]]="", "",tblPiNAnalysis[[#This Row],[Population Group]] ), _xlfn.IFS(tblPiNAnalysis[[#This Row],[Admin 2 P-Code]]&lt;&gt;"", tblPiNAnalysis[[#This Row],[Admin 2 P-Code]], tblPiNAnalysis[[#This Row],[Admin 1 P-Code]]&lt;&gt;"", tblPiNAnalysis[[#This Row],[Admin 1 P-Code]]))</f>
        <v>IDPsSD14038</v>
      </c>
      <c r="B443" s="245" t="s">
        <v>182</v>
      </c>
      <c r="C443" s="246" t="s">
        <v>131</v>
      </c>
      <c r="D443" s="247" t="s">
        <v>182</v>
      </c>
      <c r="E443" s="246" t="s">
        <v>485</v>
      </c>
      <c r="F443" s="248">
        <v>146662</v>
      </c>
      <c r="G443" s="248" t="s">
        <v>88</v>
      </c>
      <c r="H443" s="310"/>
      <c r="I443" s="311"/>
      <c r="J443" s="312"/>
      <c r="K443" s="311"/>
      <c r="L443" s="311"/>
      <c r="M443" s="312"/>
      <c r="N443" s="312">
        <f>_xlfn.XLOOKUP(CONCATENATE(tblPiNAnalysis[[#This Row],[Admin 2 P-Code]],tblPiNAnalysis[[#This Row],[Population Group]]),'Overall severity &amp; PIN Analysis'!A:A,'Overall severity &amp; PIN Analysis'!P:P,0,0)</f>
        <v>26711</v>
      </c>
      <c r="O443" s="311"/>
      <c r="P443" s="312"/>
      <c r="Q443" s="312"/>
      <c r="R443" s="312"/>
      <c r="S443" s="312"/>
      <c r="T443" s="313" t="str">
        <f>IF(tblPiNAnalysis[[#This Row],[Site Management ]]="", "", tblPiNAnalysis[[#This Row],[Site Management ]]/tblPiNAnalysis[[#This Row],[Total Population]])</f>
        <v/>
      </c>
      <c r="U443" s="314" t="str">
        <f>IF(tblPiNAnalysis[[#This Row],[Education]]="", "", tblPiNAnalysis[[#This Row],[Education]]/tblPiNAnalysis[[#This Row],[Total Population]])</f>
        <v/>
      </c>
      <c r="V443" s="314" t="str">
        <f>IF(tblPiNAnalysis[[#This Row],[Food Security and Livlihoods]]="", "", tblPiNAnalysis[[#This Row],[Food Security and Livlihoods]]/tblPiNAnalysis[[#This Row],[Total Population]])</f>
        <v/>
      </c>
      <c r="W443" s="315" t="str">
        <f>IF(tblPiNAnalysis[[#This Row],[Health ]]="", "", tblPiNAnalysis[[#This Row],[Health ]]/tblPiNAnalysis[[#This Row],[Total Population]])</f>
        <v/>
      </c>
      <c r="X443" s="314" t="str">
        <f>IF(tblPiNAnalysis[[#This Row],[Nutrition]]="", "", tblPiNAnalysis[[#This Row],[Nutrition]]/tblPiNAnalysis[[#This Row],[Total Population]])</f>
        <v/>
      </c>
      <c r="Y443" s="314" t="str">
        <f>IF(tblPiNAnalysis[[#This Row],[Protection]]="", "", tblPiNAnalysis[[#This Row],[Protection]]/tblPiNAnalysis[[#This Row],[Total Population]])</f>
        <v/>
      </c>
      <c r="Z443" s="316">
        <f>IF(tblPiNAnalysis[[#This Row],[Shelter NFI ]]="", "", tblPiNAnalysis[[#This Row],[Shelter NFI ]]/tblPiNAnalysis[[#This Row],[Total Population]])</f>
        <v>0.1821262494715741</v>
      </c>
      <c r="AA443" s="317" t="str">
        <f>IF(tblPiNAnalysis[[#This Row],[WASH]]="", "", tblPiNAnalysis[[#This Row],[WASH]]/tblPiNAnalysis[[#This Row],[Total Population]])</f>
        <v/>
      </c>
      <c r="AB443" s="318" t="str">
        <f>IFERROR(IF(tblPiNAnalysis[[#This Row],[CP]]="", "", MROUND(tblPiNAnalysis[[#This Row],[CP]]/tblPiNAnalysis[[#This Row],[Total Population]], 0.05)), "")</f>
        <v/>
      </c>
      <c r="AC443" s="314" t="str">
        <f>IFERROR(IF(tblPiNAnalysis[[#This Row],[GBV]]="", "", MROUND(tblPiNAnalysis[[#This Row],[GBV]]/tblPiNAnalysis[[#This Row],[Total Population]], 0.05)), "")</f>
        <v/>
      </c>
      <c r="AD443" s="314" t="str">
        <f>IFERROR(IF(tblPiNAnalysis[[#This Row],[Mine Action]]="", "", MROUND(tblPiNAnalysis[[#This Row],[Mine Action]]/tblPiNAnalysis[[#This Row],[Total Population]], 0.05)), "")</f>
        <v/>
      </c>
      <c r="AE443" s="314" t="str">
        <f>IFERROR(IF(tblPiNAnalysis[[#This Row],[General Protection]]="", "", MROUND(tblPiNAnalysis[[#This Row],[General Protection]]/tblPiNAnalysis[[#This Row],[Total Population]], 0.05)), "")</f>
        <v/>
      </c>
      <c r="AF443" s="319">
        <f>IFERROR(LARGE(tblPiNAnalysis[[#This Row],[Site Management ]:[General Protection]], 1), "")</f>
        <v>26711</v>
      </c>
      <c r="AG443" s="320">
        <f>IF(tblPiNAnalysis[[#This Row],[Highest PiN]]="", "",tblPiNAnalysis[[#This Row],[Highest PiN]]/ tblPiNAnalysis[[#This Row],[Total Population]])</f>
        <v>0.1821262494715741</v>
      </c>
      <c r="AH443" s="320" t="str">
        <f>IFERROR(IF(tblPiNAnalysis[[#This Row],[Highest PiN]]="", "", IF(tblPiNAnalysis[[#This Row],[Highest sector(s'') PiN %]]&gt;=flag_pin_perc, "Flagged", "")), "")</f>
        <v/>
      </c>
      <c r="AI443" s="321"/>
      <c r="AJ443" s="322"/>
      <c r="AK443" s="323">
        <f>COUNTIFS(tblPiNAnalysis[[#This Row],[Highest PiN greater than 90% of total affected population]:[Manual Flag]],"Flagged")</f>
        <v>0</v>
      </c>
      <c r="AL443" s="324" t="str">
        <f>IF(tblPiNAnalysis[[#This Row],['# Flags]]&gt;0, "Flagged", "")</f>
        <v/>
      </c>
    </row>
    <row r="444" spans="1:38" ht="23.1" customHeight="1" x14ac:dyDescent="0.2">
      <c r="A444" s="309" t="str">
        <f>_xlfn.CONCAT(IF(tblPiNAnalysis[[#This Row],[Population Group]]="", "",tblPiNAnalysis[[#This Row],[Population Group]] ), _xlfn.IFS(tblPiNAnalysis[[#This Row],[Admin 2 P-Code]]&lt;&gt;"", tblPiNAnalysis[[#This Row],[Admin 2 P-Code]], tblPiNAnalysis[[#This Row],[Admin 1 P-Code]]&lt;&gt;"", tblPiNAnalysis[[#This Row],[Admin 1 P-Code]]))</f>
        <v>Non-hosting PopulationSD14038</v>
      </c>
      <c r="B444" s="245" t="s">
        <v>182</v>
      </c>
      <c r="C444" s="246" t="s">
        <v>131</v>
      </c>
      <c r="D444" s="247" t="s">
        <v>182</v>
      </c>
      <c r="E444" s="246" t="s">
        <v>485</v>
      </c>
      <c r="F444" s="248">
        <v>273531</v>
      </c>
      <c r="G444" s="248" t="s">
        <v>568</v>
      </c>
      <c r="H444" s="310"/>
      <c r="I444" s="311"/>
      <c r="J444" s="312"/>
      <c r="K444" s="311"/>
      <c r="L444" s="311"/>
      <c r="M444" s="312"/>
      <c r="N444" s="312">
        <f>_xlfn.XLOOKUP(CONCATENATE(tblPiNAnalysis[[#This Row],[Admin 2 P-Code]],tblPiNAnalysis[[#This Row],[Population Group]]),'Overall severity &amp; PIN Analysis'!A:A,'Overall severity &amp; PIN Analysis'!P:P,0,0)</f>
        <v>49818</v>
      </c>
      <c r="O444" s="311"/>
      <c r="P444" s="312"/>
      <c r="Q444" s="312"/>
      <c r="R444" s="312"/>
      <c r="S444" s="312"/>
      <c r="T444" s="313" t="str">
        <f>IF(tblPiNAnalysis[[#This Row],[Site Management ]]="", "", tblPiNAnalysis[[#This Row],[Site Management ]]/tblPiNAnalysis[[#This Row],[Total Population]])</f>
        <v/>
      </c>
      <c r="U444" s="314" t="str">
        <f>IF(tblPiNAnalysis[[#This Row],[Education]]="", "", tblPiNAnalysis[[#This Row],[Education]]/tblPiNAnalysis[[#This Row],[Total Population]])</f>
        <v/>
      </c>
      <c r="V444" s="314" t="str">
        <f>IF(tblPiNAnalysis[[#This Row],[Food Security and Livlihoods]]="", "", tblPiNAnalysis[[#This Row],[Food Security and Livlihoods]]/tblPiNAnalysis[[#This Row],[Total Population]])</f>
        <v/>
      </c>
      <c r="W444" s="315" t="str">
        <f>IF(tblPiNAnalysis[[#This Row],[Health ]]="", "", tblPiNAnalysis[[#This Row],[Health ]]/tblPiNAnalysis[[#This Row],[Total Population]])</f>
        <v/>
      </c>
      <c r="X444" s="314" t="str">
        <f>IF(tblPiNAnalysis[[#This Row],[Nutrition]]="", "", tblPiNAnalysis[[#This Row],[Nutrition]]/tblPiNAnalysis[[#This Row],[Total Population]])</f>
        <v/>
      </c>
      <c r="Y444" s="314" t="str">
        <f>IF(tblPiNAnalysis[[#This Row],[Protection]]="", "", tblPiNAnalysis[[#This Row],[Protection]]/tblPiNAnalysis[[#This Row],[Total Population]])</f>
        <v/>
      </c>
      <c r="Z444" s="316">
        <f>IF(tblPiNAnalysis[[#This Row],[Shelter NFI ]]="", "", tblPiNAnalysis[[#This Row],[Shelter NFI ]]/tblPiNAnalysis[[#This Row],[Total Population]])</f>
        <v>0.18212926505588031</v>
      </c>
      <c r="AA444" s="317" t="str">
        <f>IF(tblPiNAnalysis[[#This Row],[WASH]]="", "", tblPiNAnalysis[[#This Row],[WASH]]/tblPiNAnalysis[[#This Row],[Total Population]])</f>
        <v/>
      </c>
      <c r="AB444" s="318" t="str">
        <f>IFERROR(IF(tblPiNAnalysis[[#This Row],[CP]]="", "", MROUND(tblPiNAnalysis[[#This Row],[CP]]/tblPiNAnalysis[[#This Row],[Total Population]], 0.05)), "")</f>
        <v/>
      </c>
      <c r="AC444" s="314" t="str">
        <f>IFERROR(IF(tblPiNAnalysis[[#This Row],[GBV]]="", "", MROUND(tblPiNAnalysis[[#This Row],[GBV]]/tblPiNAnalysis[[#This Row],[Total Population]], 0.05)), "")</f>
        <v/>
      </c>
      <c r="AD444" s="314" t="str">
        <f>IFERROR(IF(tblPiNAnalysis[[#This Row],[Mine Action]]="", "", MROUND(tblPiNAnalysis[[#This Row],[Mine Action]]/tblPiNAnalysis[[#This Row],[Total Population]], 0.05)), "")</f>
        <v/>
      </c>
      <c r="AE444" s="314" t="str">
        <f>IFERROR(IF(tblPiNAnalysis[[#This Row],[General Protection]]="", "", MROUND(tblPiNAnalysis[[#This Row],[General Protection]]/tblPiNAnalysis[[#This Row],[Total Population]], 0.05)), "")</f>
        <v/>
      </c>
      <c r="AF444" s="319">
        <f>IFERROR(LARGE(tblPiNAnalysis[[#This Row],[Site Management ]:[General Protection]], 1), "")</f>
        <v>49818</v>
      </c>
      <c r="AG444" s="320">
        <f>IF(tblPiNAnalysis[[#This Row],[Highest PiN]]="", "",tblPiNAnalysis[[#This Row],[Highest PiN]]/ tblPiNAnalysis[[#This Row],[Total Population]])</f>
        <v>0.18212926505588031</v>
      </c>
      <c r="AH444" s="320" t="str">
        <f>IFERROR(IF(tblPiNAnalysis[[#This Row],[Highest PiN]]="", "", IF(tblPiNAnalysis[[#This Row],[Highest sector(s'') PiN %]]&gt;=flag_pin_perc, "Flagged", "")), "")</f>
        <v/>
      </c>
      <c r="AI444" s="321"/>
      <c r="AJ444" s="322"/>
      <c r="AK444" s="323">
        <f>COUNTIFS(tblPiNAnalysis[[#This Row],[Highest PiN greater than 90% of total affected population]:[Manual Flag]],"Flagged")</f>
        <v>0</v>
      </c>
      <c r="AL444" s="324" t="str">
        <f>IF(tblPiNAnalysis[[#This Row],['# Flags]]&gt;0, "Flagged", "")</f>
        <v/>
      </c>
    </row>
    <row r="445" spans="1:38" ht="23.1" hidden="1" customHeight="1" x14ac:dyDescent="0.2">
      <c r="A445" s="309" t="str">
        <f>_xlfn.CONCAT(IF(tblPiNAnalysis[[#This Row],[Population Group]]="", "",tblPiNAnalysis[[#This Row],[Population Group]] ), _xlfn.IFS(tblPiNAnalysis[[#This Row],[Admin 2 P-Code]]&lt;&gt;"", tblPiNAnalysis[[#This Row],[Admin 2 P-Code]], tblPiNAnalysis[[#This Row],[Admin 1 P-Code]]&lt;&gt;"", tblPiNAnalysis[[#This Row],[Admin 1 P-Code]]))</f>
        <v>Host CommunitySD14039</v>
      </c>
      <c r="B445" s="245" t="s">
        <v>182</v>
      </c>
      <c r="C445" s="246" t="s">
        <v>131</v>
      </c>
      <c r="D445" s="247" t="s">
        <v>486</v>
      </c>
      <c r="E445" s="246" t="s">
        <v>487</v>
      </c>
      <c r="F445" s="248">
        <v>64062</v>
      </c>
      <c r="G445" s="248" t="s">
        <v>87</v>
      </c>
      <c r="H445" s="310"/>
      <c r="I445" s="311"/>
      <c r="J445" s="312"/>
      <c r="K445" s="311"/>
      <c r="L445" s="311"/>
      <c r="M445" s="312"/>
      <c r="N445" s="312">
        <f>_xlfn.XLOOKUP(CONCATENATE(tblPiNAnalysis[[#This Row],[Admin 2 P-Code]],tblPiNAnalysis[[#This Row],[Population Group]]),'Overall severity &amp; PIN Analysis'!A:A,'Overall severity &amp; PIN Analysis'!P:P,0,0)</f>
        <v>5834</v>
      </c>
      <c r="O445" s="311"/>
      <c r="P445" s="312"/>
      <c r="Q445" s="312"/>
      <c r="R445" s="312"/>
      <c r="S445" s="312"/>
      <c r="T445" s="313" t="str">
        <f>IF(tblPiNAnalysis[[#This Row],[Site Management ]]="", "", tblPiNAnalysis[[#This Row],[Site Management ]]/tblPiNAnalysis[[#This Row],[Total Population]])</f>
        <v/>
      </c>
      <c r="U445" s="314" t="str">
        <f>IF(tblPiNAnalysis[[#This Row],[Education]]="", "", tblPiNAnalysis[[#This Row],[Education]]/tblPiNAnalysis[[#This Row],[Total Population]])</f>
        <v/>
      </c>
      <c r="V445" s="314" t="str">
        <f>IF(tblPiNAnalysis[[#This Row],[Food Security and Livlihoods]]="", "", tblPiNAnalysis[[#This Row],[Food Security and Livlihoods]]/tblPiNAnalysis[[#This Row],[Total Population]])</f>
        <v/>
      </c>
      <c r="W445" s="315" t="str">
        <f>IF(tblPiNAnalysis[[#This Row],[Health ]]="", "", tblPiNAnalysis[[#This Row],[Health ]]/tblPiNAnalysis[[#This Row],[Total Population]])</f>
        <v/>
      </c>
      <c r="X445" s="314" t="str">
        <f>IF(tblPiNAnalysis[[#This Row],[Nutrition]]="", "", tblPiNAnalysis[[#This Row],[Nutrition]]/tblPiNAnalysis[[#This Row],[Total Population]])</f>
        <v/>
      </c>
      <c r="Y445" s="314" t="str">
        <f>IF(tblPiNAnalysis[[#This Row],[Protection]]="", "", tblPiNAnalysis[[#This Row],[Protection]]/tblPiNAnalysis[[#This Row],[Total Population]])</f>
        <v/>
      </c>
      <c r="Z445" s="316">
        <f>IF(tblPiNAnalysis[[#This Row],[Shelter NFI ]]="", "", tblPiNAnalysis[[#This Row],[Shelter NFI ]]/tblPiNAnalysis[[#This Row],[Total Population]])</f>
        <v>9.1068027848022232E-2</v>
      </c>
      <c r="AA445" s="317" t="str">
        <f>IF(tblPiNAnalysis[[#This Row],[WASH]]="", "", tblPiNAnalysis[[#This Row],[WASH]]/tblPiNAnalysis[[#This Row],[Total Population]])</f>
        <v/>
      </c>
      <c r="AB445" s="318" t="str">
        <f>IFERROR(IF(tblPiNAnalysis[[#This Row],[CP]]="", "", MROUND(tblPiNAnalysis[[#This Row],[CP]]/tblPiNAnalysis[[#This Row],[Total Population]], 0.05)), "")</f>
        <v/>
      </c>
      <c r="AC445" s="314" t="str">
        <f>IFERROR(IF(tblPiNAnalysis[[#This Row],[GBV]]="", "", MROUND(tblPiNAnalysis[[#This Row],[GBV]]/tblPiNAnalysis[[#This Row],[Total Population]], 0.05)), "")</f>
        <v/>
      </c>
      <c r="AD445" s="314" t="str">
        <f>IFERROR(IF(tblPiNAnalysis[[#This Row],[Mine Action]]="", "", MROUND(tblPiNAnalysis[[#This Row],[Mine Action]]/tblPiNAnalysis[[#This Row],[Total Population]], 0.05)), "")</f>
        <v/>
      </c>
      <c r="AE445" s="314" t="str">
        <f>IFERROR(IF(tblPiNAnalysis[[#This Row],[General Protection]]="", "", MROUND(tblPiNAnalysis[[#This Row],[General Protection]]/tblPiNAnalysis[[#This Row],[Total Population]], 0.05)), "")</f>
        <v/>
      </c>
      <c r="AF445" s="319">
        <f>IFERROR(LARGE(tblPiNAnalysis[[#This Row],[Site Management ]:[General Protection]], 1), "")</f>
        <v>5834</v>
      </c>
      <c r="AG445" s="320">
        <f>IF(tblPiNAnalysis[[#This Row],[Highest PiN]]="", "",tblPiNAnalysis[[#This Row],[Highest PiN]]/ tblPiNAnalysis[[#This Row],[Total Population]])</f>
        <v>9.1068027848022232E-2</v>
      </c>
      <c r="AH445" s="320" t="str">
        <f>IFERROR(IF(tblPiNAnalysis[[#This Row],[Highest PiN]]="", "", IF(tblPiNAnalysis[[#This Row],[Highest sector(s'') PiN %]]&gt;=flag_pin_perc, "Flagged", "")), "")</f>
        <v/>
      </c>
      <c r="AI445" s="321"/>
      <c r="AJ445" s="322"/>
      <c r="AK445" s="323">
        <f>COUNTIFS(tblPiNAnalysis[[#This Row],[Highest PiN greater than 90% of total affected population]:[Manual Flag]],"Flagged")</f>
        <v>0</v>
      </c>
      <c r="AL445" s="324" t="str">
        <f>IF(tblPiNAnalysis[[#This Row],['# Flags]]&gt;0, "Flagged", "")</f>
        <v/>
      </c>
    </row>
    <row r="446" spans="1:38" ht="23.1" hidden="1" customHeight="1" x14ac:dyDescent="0.2">
      <c r="A446" s="309" t="str">
        <f>_xlfn.CONCAT(IF(tblPiNAnalysis[[#This Row],[Population Group]]="", "",tblPiNAnalysis[[#This Row],[Population Group]] ), _xlfn.IFS(tblPiNAnalysis[[#This Row],[Admin 2 P-Code]]&lt;&gt;"", tblPiNAnalysis[[#This Row],[Admin 2 P-Code]], tblPiNAnalysis[[#This Row],[Admin 1 P-Code]]&lt;&gt;"", tblPiNAnalysis[[#This Row],[Admin 1 P-Code]]))</f>
        <v>IDPsSD14039</v>
      </c>
      <c r="B446" s="245" t="s">
        <v>182</v>
      </c>
      <c r="C446" s="246" t="s">
        <v>131</v>
      </c>
      <c r="D446" s="247" t="s">
        <v>486</v>
      </c>
      <c r="E446" s="246" t="s">
        <v>487</v>
      </c>
      <c r="F446" s="248">
        <v>64062</v>
      </c>
      <c r="G446" s="248" t="s">
        <v>88</v>
      </c>
      <c r="H446" s="310"/>
      <c r="I446" s="311"/>
      <c r="J446" s="312"/>
      <c r="K446" s="311"/>
      <c r="L446" s="311"/>
      <c r="M446" s="312"/>
      <c r="N446" s="312">
        <f>_xlfn.XLOOKUP(CONCATENATE(tblPiNAnalysis[[#This Row],[Admin 2 P-Code]],tblPiNAnalysis[[#This Row],[Population Group]]),'Overall severity &amp; PIN Analysis'!A:A,'Overall severity &amp; PIN Analysis'!P:P,0,0)</f>
        <v>5834</v>
      </c>
      <c r="O446" s="311"/>
      <c r="P446" s="312"/>
      <c r="Q446" s="312"/>
      <c r="R446" s="312"/>
      <c r="S446" s="312"/>
      <c r="T446" s="313" t="str">
        <f>IF(tblPiNAnalysis[[#This Row],[Site Management ]]="", "", tblPiNAnalysis[[#This Row],[Site Management ]]/tblPiNAnalysis[[#This Row],[Total Population]])</f>
        <v/>
      </c>
      <c r="U446" s="314" t="str">
        <f>IF(tblPiNAnalysis[[#This Row],[Education]]="", "", tblPiNAnalysis[[#This Row],[Education]]/tblPiNAnalysis[[#This Row],[Total Population]])</f>
        <v/>
      </c>
      <c r="V446" s="314" t="str">
        <f>IF(tblPiNAnalysis[[#This Row],[Food Security and Livlihoods]]="", "", tblPiNAnalysis[[#This Row],[Food Security and Livlihoods]]/tblPiNAnalysis[[#This Row],[Total Population]])</f>
        <v/>
      </c>
      <c r="W446" s="315" t="str">
        <f>IF(tblPiNAnalysis[[#This Row],[Health ]]="", "", tblPiNAnalysis[[#This Row],[Health ]]/tblPiNAnalysis[[#This Row],[Total Population]])</f>
        <v/>
      </c>
      <c r="X446" s="314" t="str">
        <f>IF(tblPiNAnalysis[[#This Row],[Nutrition]]="", "", tblPiNAnalysis[[#This Row],[Nutrition]]/tblPiNAnalysis[[#This Row],[Total Population]])</f>
        <v/>
      </c>
      <c r="Y446" s="314" t="str">
        <f>IF(tblPiNAnalysis[[#This Row],[Protection]]="", "", tblPiNAnalysis[[#This Row],[Protection]]/tblPiNAnalysis[[#This Row],[Total Population]])</f>
        <v/>
      </c>
      <c r="Z446" s="316">
        <f>IF(tblPiNAnalysis[[#This Row],[Shelter NFI ]]="", "", tblPiNAnalysis[[#This Row],[Shelter NFI ]]/tblPiNAnalysis[[#This Row],[Total Population]])</f>
        <v>9.1068027848022232E-2</v>
      </c>
      <c r="AA446" s="317" t="str">
        <f>IF(tblPiNAnalysis[[#This Row],[WASH]]="", "", tblPiNAnalysis[[#This Row],[WASH]]/tblPiNAnalysis[[#This Row],[Total Population]])</f>
        <v/>
      </c>
      <c r="AB446" s="318" t="str">
        <f>IFERROR(IF(tblPiNAnalysis[[#This Row],[CP]]="", "", MROUND(tblPiNAnalysis[[#This Row],[CP]]/tblPiNAnalysis[[#This Row],[Total Population]], 0.05)), "")</f>
        <v/>
      </c>
      <c r="AC446" s="314" t="str">
        <f>IFERROR(IF(tblPiNAnalysis[[#This Row],[GBV]]="", "", MROUND(tblPiNAnalysis[[#This Row],[GBV]]/tblPiNAnalysis[[#This Row],[Total Population]], 0.05)), "")</f>
        <v/>
      </c>
      <c r="AD446" s="314" t="str">
        <f>IFERROR(IF(tblPiNAnalysis[[#This Row],[Mine Action]]="", "", MROUND(tblPiNAnalysis[[#This Row],[Mine Action]]/tblPiNAnalysis[[#This Row],[Total Population]], 0.05)), "")</f>
        <v/>
      </c>
      <c r="AE446" s="314" t="str">
        <f>IFERROR(IF(tblPiNAnalysis[[#This Row],[General Protection]]="", "", MROUND(tblPiNAnalysis[[#This Row],[General Protection]]/tblPiNAnalysis[[#This Row],[Total Population]], 0.05)), "")</f>
        <v/>
      </c>
      <c r="AF446" s="319">
        <f>IFERROR(LARGE(tblPiNAnalysis[[#This Row],[Site Management ]:[General Protection]], 1), "")</f>
        <v>5834</v>
      </c>
      <c r="AG446" s="320">
        <f>IF(tblPiNAnalysis[[#This Row],[Highest PiN]]="", "",tblPiNAnalysis[[#This Row],[Highest PiN]]/ tblPiNAnalysis[[#This Row],[Total Population]])</f>
        <v>9.1068027848022232E-2</v>
      </c>
      <c r="AH446" s="320" t="str">
        <f>IFERROR(IF(tblPiNAnalysis[[#This Row],[Highest PiN]]="", "", IF(tblPiNAnalysis[[#This Row],[Highest sector(s'') PiN %]]&gt;=flag_pin_perc, "Flagged", "")), "")</f>
        <v/>
      </c>
      <c r="AI446" s="321"/>
      <c r="AJ446" s="322"/>
      <c r="AK446" s="323">
        <f>COUNTIFS(tblPiNAnalysis[[#This Row],[Highest PiN greater than 90% of total affected population]:[Manual Flag]],"Flagged")</f>
        <v>0</v>
      </c>
      <c r="AL446" s="324" t="str">
        <f>IF(tblPiNAnalysis[[#This Row],['# Flags]]&gt;0, "Flagged", "")</f>
        <v/>
      </c>
    </row>
    <row r="447" spans="1:38" ht="23.1" customHeight="1" x14ac:dyDescent="0.2">
      <c r="A447" s="309" t="str">
        <f>_xlfn.CONCAT(IF(tblPiNAnalysis[[#This Row],[Population Group]]="", "",tblPiNAnalysis[[#This Row],[Population Group]] ), _xlfn.IFS(tblPiNAnalysis[[#This Row],[Admin 2 P-Code]]&lt;&gt;"", tblPiNAnalysis[[#This Row],[Admin 2 P-Code]], tblPiNAnalysis[[#This Row],[Admin 1 P-Code]]&lt;&gt;"", tblPiNAnalysis[[#This Row],[Admin 1 P-Code]]))</f>
        <v>Non-hosting PopulationSD14039</v>
      </c>
      <c r="B447" s="245" t="s">
        <v>182</v>
      </c>
      <c r="C447" s="246" t="s">
        <v>131</v>
      </c>
      <c r="D447" s="247" t="s">
        <v>486</v>
      </c>
      <c r="E447" s="246" t="s">
        <v>487</v>
      </c>
      <c r="F447" s="248">
        <v>47908</v>
      </c>
      <c r="G447" s="248" t="s">
        <v>568</v>
      </c>
      <c r="H447" s="310"/>
      <c r="I447" s="311"/>
      <c r="J447" s="312"/>
      <c r="K447" s="311"/>
      <c r="L447" s="311"/>
      <c r="M447" s="312"/>
      <c r="N447" s="312">
        <f>_xlfn.XLOOKUP(CONCATENATE(tblPiNAnalysis[[#This Row],[Admin 2 P-Code]],tblPiNAnalysis[[#This Row],[Population Group]]),'Overall severity &amp; PIN Analysis'!A:A,'Overall severity &amp; PIN Analysis'!P:P,0,0)</f>
        <v>4363</v>
      </c>
      <c r="O447" s="311"/>
      <c r="P447" s="312"/>
      <c r="Q447" s="312"/>
      <c r="R447" s="312"/>
      <c r="S447" s="312"/>
      <c r="T447" s="313" t="str">
        <f>IF(tblPiNAnalysis[[#This Row],[Site Management ]]="", "", tblPiNAnalysis[[#This Row],[Site Management ]]/tblPiNAnalysis[[#This Row],[Total Population]])</f>
        <v/>
      </c>
      <c r="U447" s="314" t="str">
        <f>IF(tblPiNAnalysis[[#This Row],[Education]]="", "", tblPiNAnalysis[[#This Row],[Education]]/tblPiNAnalysis[[#This Row],[Total Population]])</f>
        <v/>
      </c>
      <c r="V447" s="314" t="str">
        <f>IF(tblPiNAnalysis[[#This Row],[Food Security and Livlihoods]]="", "", tblPiNAnalysis[[#This Row],[Food Security and Livlihoods]]/tblPiNAnalysis[[#This Row],[Total Population]])</f>
        <v/>
      </c>
      <c r="W447" s="315" t="str">
        <f>IF(tblPiNAnalysis[[#This Row],[Health ]]="", "", tblPiNAnalysis[[#This Row],[Health ]]/tblPiNAnalysis[[#This Row],[Total Population]])</f>
        <v/>
      </c>
      <c r="X447" s="314" t="str">
        <f>IF(tblPiNAnalysis[[#This Row],[Nutrition]]="", "", tblPiNAnalysis[[#This Row],[Nutrition]]/tblPiNAnalysis[[#This Row],[Total Population]])</f>
        <v/>
      </c>
      <c r="Y447" s="314" t="str">
        <f>IF(tblPiNAnalysis[[#This Row],[Protection]]="", "", tblPiNAnalysis[[#This Row],[Protection]]/tblPiNAnalysis[[#This Row],[Total Population]])</f>
        <v/>
      </c>
      <c r="Z447" s="316">
        <f>IF(tblPiNAnalysis[[#This Row],[Shelter NFI ]]="", "", tblPiNAnalysis[[#This Row],[Shelter NFI ]]/tblPiNAnalysis[[#This Row],[Total Population]])</f>
        <v>9.1070384904400101E-2</v>
      </c>
      <c r="AA447" s="317" t="str">
        <f>IF(tblPiNAnalysis[[#This Row],[WASH]]="", "", tblPiNAnalysis[[#This Row],[WASH]]/tblPiNAnalysis[[#This Row],[Total Population]])</f>
        <v/>
      </c>
      <c r="AB447" s="318" t="str">
        <f>IFERROR(IF(tblPiNAnalysis[[#This Row],[CP]]="", "", MROUND(tblPiNAnalysis[[#This Row],[CP]]/tblPiNAnalysis[[#This Row],[Total Population]], 0.05)), "")</f>
        <v/>
      </c>
      <c r="AC447" s="314" t="str">
        <f>IFERROR(IF(tblPiNAnalysis[[#This Row],[GBV]]="", "", MROUND(tblPiNAnalysis[[#This Row],[GBV]]/tblPiNAnalysis[[#This Row],[Total Population]], 0.05)), "")</f>
        <v/>
      </c>
      <c r="AD447" s="314" t="str">
        <f>IFERROR(IF(tblPiNAnalysis[[#This Row],[Mine Action]]="", "", MROUND(tblPiNAnalysis[[#This Row],[Mine Action]]/tblPiNAnalysis[[#This Row],[Total Population]], 0.05)), "")</f>
        <v/>
      </c>
      <c r="AE447" s="314" t="str">
        <f>IFERROR(IF(tblPiNAnalysis[[#This Row],[General Protection]]="", "", MROUND(tblPiNAnalysis[[#This Row],[General Protection]]/tblPiNAnalysis[[#This Row],[Total Population]], 0.05)), "")</f>
        <v/>
      </c>
      <c r="AF447" s="319">
        <f>IFERROR(LARGE(tblPiNAnalysis[[#This Row],[Site Management ]:[General Protection]], 1), "")</f>
        <v>4363</v>
      </c>
      <c r="AG447" s="320">
        <f>IF(tblPiNAnalysis[[#This Row],[Highest PiN]]="", "",tblPiNAnalysis[[#This Row],[Highest PiN]]/ tblPiNAnalysis[[#This Row],[Total Population]])</f>
        <v>9.1070384904400101E-2</v>
      </c>
      <c r="AH447" s="320" t="str">
        <f>IFERROR(IF(tblPiNAnalysis[[#This Row],[Highest PiN]]="", "", IF(tblPiNAnalysis[[#This Row],[Highest sector(s'') PiN %]]&gt;=flag_pin_perc, "Flagged", "")), "")</f>
        <v/>
      </c>
      <c r="AI447" s="321"/>
      <c r="AJ447" s="322"/>
      <c r="AK447" s="323">
        <f>COUNTIFS(tblPiNAnalysis[[#This Row],[Highest PiN greater than 90% of total affected population]:[Manual Flag]],"Flagged")</f>
        <v>0</v>
      </c>
      <c r="AL447" s="324" t="str">
        <f>IF(tblPiNAnalysis[[#This Row],['# Flags]]&gt;0, "Flagged", "")</f>
        <v/>
      </c>
    </row>
    <row r="448" spans="1:38" ht="23.1" hidden="1" customHeight="1" x14ac:dyDescent="0.2">
      <c r="A448" s="309" t="str">
        <f>_xlfn.CONCAT(IF(tblPiNAnalysis[[#This Row],[Population Group]]="", "",tblPiNAnalysis[[#This Row],[Population Group]] ), _xlfn.IFS(tblPiNAnalysis[[#This Row],[Admin 2 P-Code]]&lt;&gt;"", tblPiNAnalysis[[#This Row],[Admin 2 P-Code]], tblPiNAnalysis[[#This Row],[Admin 1 P-Code]]&lt;&gt;"", tblPiNAnalysis[[#This Row],[Admin 1 P-Code]]))</f>
        <v>Host CommunitySD14040</v>
      </c>
      <c r="B448" s="245" t="s">
        <v>182</v>
      </c>
      <c r="C448" s="246" t="s">
        <v>131</v>
      </c>
      <c r="D448" s="247" t="s">
        <v>488</v>
      </c>
      <c r="E448" s="246" t="s">
        <v>489</v>
      </c>
      <c r="F448" s="248">
        <v>68132</v>
      </c>
      <c r="G448" s="248" t="s">
        <v>87</v>
      </c>
      <c r="H448" s="310"/>
      <c r="I448" s="311"/>
      <c r="J448" s="312"/>
      <c r="K448" s="311"/>
      <c r="L448" s="311"/>
      <c r="M448" s="312"/>
      <c r="N448" s="312">
        <f>_xlfn.XLOOKUP(CONCATENATE(tblPiNAnalysis[[#This Row],[Admin 2 P-Code]],tblPiNAnalysis[[#This Row],[Population Group]]),'Overall severity &amp; PIN Analysis'!A:A,'Overall severity &amp; PIN Analysis'!P:P,0,0)</f>
        <v>6204</v>
      </c>
      <c r="O448" s="311"/>
      <c r="P448" s="312"/>
      <c r="Q448" s="312"/>
      <c r="R448" s="312"/>
      <c r="S448" s="312"/>
      <c r="T448" s="313" t="str">
        <f>IF(tblPiNAnalysis[[#This Row],[Site Management ]]="", "", tblPiNAnalysis[[#This Row],[Site Management ]]/tblPiNAnalysis[[#This Row],[Total Population]])</f>
        <v/>
      </c>
      <c r="U448" s="314" t="str">
        <f>IF(tblPiNAnalysis[[#This Row],[Education]]="", "", tblPiNAnalysis[[#This Row],[Education]]/tblPiNAnalysis[[#This Row],[Total Population]])</f>
        <v/>
      </c>
      <c r="V448" s="314" t="str">
        <f>IF(tblPiNAnalysis[[#This Row],[Food Security and Livlihoods]]="", "", tblPiNAnalysis[[#This Row],[Food Security and Livlihoods]]/tblPiNAnalysis[[#This Row],[Total Population]])</f>
        <v/>
      </c>
      <c r="W448" s="315" t="str">
        <f>IF(tblPiNAnalysis[[#This Row],[Health ]]="", "", tblPiNAnalysis[[#This Row],[Health ]]/tblPiNAnalysis[[#This Row],[Total Population]])</f>
        <v/>
      </c>
      <c r="X448" s="314" t="str">
        <f>IF(tblPiNAnalysis[[#This Row],[Nutrition]]="", "", tblPiNAnalysis[[#This Row],[Nutrition]]/tblPiNAnalysis[[#This Row],[Total Population]])</f>
        <v/>
      </c>
      <c r="Y448" s="314" t="str">
        <f>IF(tblPiNAnalysis[[#This Row],[Protection]]="", "", tblPiNAnalysis[[#This Row],[Protection]]/tblPiNAnalysis[[#This Row],[Total Population]])</f>
        <v/>
      </c>
      <c r="Z448" s="316">
        <f>IF(tblPiNAnalysis[[#This Row],[Shelter NFI ]]="", "", tblPiNAnalysis[[#This Row],[Shelter NFI ]]/tblPiNAnalysis[[#This Row],[Total Population]])</f>
        <v>9.1058533435096581E-2</v>
      </c>
      <c r="AA448" s="317" t="str">
        <f>IF(tblPiNAnalysis[[#This Row],[WASH]]="", "", tblPiNAnalysis[[#This Row],[WASH]]/tblPiNAnalysis[[#This Row],[Total Population]])</f>
        <v/>
      </c>
      <c r="AB448" s="318" t="str">
        <f>IFERROR(IF(tblPiNAnalysis[[#This Row],[CP]]="", "", MROUND(tblPiNAnalysis[[#This Row],[CP]]/tblPiNAnalysis[[#This Row],[Total Population]], 0.05)), "")</f>
        <v/>
      </c>
      <c r="AC448" s="314" t="str">
        <f>IFERROR(IF(tblPiNAnalysis[[#This Row],[GBV]]="", "", MROUND(tblPiNAnalysis[[#This Row],[GBV]]/tblPiNAnalysis[[#This Row],[Total Population]], 0.05)), "")</f>
        <v/>
      </c>
      <c r="AD448" s="314" t="str">
        <f>IFERROR(IF(tblPiNAnalysis[[#This Row],[Mine Action]]="", "", MROUND(tblPiNAnalysis[[#This Row],[Mine Action]]/tblPiNAnalysis[[#This Row],[Total Population]], 0.05)), "")</f>
        <v/>
      </c>
      <c r="AE448" s="314" t="str">
        <f>IFERROR(IF(tblPiNAnalysis[[#This Row],[General Protection]]="", "", MROUND(tblPiNAnalysis[[#This Row],[General Protection]]/tblPiNAnalysis[[#This Row],[Total Population]], 0.05)), "")</f>
        <v/>
      </c>
      <c r="AF448" s="319">
        <f>IFERROR(LARGE(tblPiNAnalysis[[#This Row],[Site Management ]:[General Protection]], 1), "")</f>
        <v>6204</v>
      </c>
      <c r="AG448" s="320">
        <f>IF(tblPiNAnalysis[[#This Row],[Highest PiN]]="", "",tblPiNAnalysis[[#This Row],[Highest PiN]]/ tblPiNAnalysis[[#This Row],[Total Population]])</f>
        <v>9.1058533435096581E-2</v>
      </c>
      <c r="AH448" s="320" t="str">
        <f>IFERROR(IF(tblPiNAnalysis[[#This Row],[Highest PiN]]="", "", IF(tblPiNAnalysis[[#This Row],[Highest sector(s'') PiN %]]&gt;=flag_pin_perc, "Flagged", "")), "")</f>
        <v/>
      </c>
      <c r="AI448" s="321"/>
      <c r="AJ448" s="322"/>
      <c r="AK448" s="323">
        <f>COUNTIFS(tblPiNAnalysis[[#This Row],[Highest PiN greater than 90% of total affected population]:[Manual Flag]],"Flagged")</f>
        <v>0</v>
      </c>
      <c r="AL448" s="324" t="str">
        <f>IF(tblPiNAnalysis[[#This Row],['# Flags]]&gt;0, "Flagged", "")</f>
        <v/>
      </c>
    </row>
    <row r="449" spans="1:38" ht="23.1" hidden="1" customHeight="1" x14ac:dyDescent="0.2">
      <c r="A449" s="309" t="str">
        <f>_xlfn.CONCAT(IF(tblPiNAnalysis[[#This Row],[Population Group]]="", "",tblPiNAnalysis[[#This Row],[Population Group]] ), _xlfn.IFS(tblPiNAnalysis[[#This Row],[Admin 2 P-Code]]&lt;&gt;"", tblPiNAnalysis[[#This Row],[Admin 2 P-Code]], tblPiNAnalysis[[#This Row],[Admin 1 P-Code]]&lt;&gt;"", tblPiNAnalysis[[#This Row],[Admin 1 P-Code]]))</f>
        <v>IDPsSD14040</v>
      </c>
      <c r="B449" s="245" t="s">
        <v>182</v>
      </c>
      <c r="C449" s="246" t="s">
        <v>131</v>
      </c>
      <c r="D449" s="247" t="s">
        <v>488</v>
      </c>
      <c r="E449" s="246" t="s">
        <v>489</v>
      </c>
      <c r="F449" s="248">
        <v>65160</v>
      </c>
      <c r="G449" s="248" t="s">
        <v>88</v>
      </c>
      <c r="H449" s="310"/>
      <c r="I449" s="311"/>
      <c r="J449" s="312"/>
      <c r="K449" s="311"/>
      <c r="L449" s="311"/>
      <c r="M449" s="312"/>
      <c r="N449" s="312">
        <f>_xlfn.XLOOKUP(CONCATENATE(tblPiNAnalysis[[#This Row],[Admin 2 P-Code]],tblPiNAnalysis[[#This Row],[Population Group]]),'Overall severity &amp; PIN Analysis'!A:A,'Overall severity &amp; PIN Analysis'!P:P,0,0)</f>
        <v>5934</v>
      </c>
      <c r="O449" s="311"/>
      <c r="P449" s="312"/>
      <c r="Q449" s="312"/>
      <c r="R449" s="312"/>
      <c r="S449" s="312"/>
      <c r="T449" s="313" t="str">
        <f>IF(tblPiNAnalysis[[#This Row],[Site Management ]]="", "", tblPiNAnalysis[[#This Row],[Site Management ]]/tblPiNAnalysis[[#This Row],[Total Population]])</f>
        <v/>
      </c>
      <c r="U449" s="314" t="str">
        <f>IF(tblPiNAnalysis[[#This Row],[Education]]="", "", tblPiNAnalysis[[#This Row],[Education]]/tblPiNAnalysis[[#This Row],[Total Population]])</f>
        <v/>
      </c>
      <c r="V449" s="314" t="str">
        <f>IF(tblPiNAnalysis[[#This Row],[Food Security and Livlihoods]]="", "", tblPiNAnalysis[[#This Row],[Food Security and Livlihoods]]/tblPiNAnalysis[[#This Row],[Total Population]])</f>
        <v/>
      </c>
      <c r="W449" s="315" t="str">
        <f>IF(tblPiNAnalysis[[#This Row],[Health ]]="", "", tblPiNAnalysis[[#This Row],[Health ]]/tblPiNAnalysis[[#This Row],[Total Population]])</f>
        <v/>
      </c>
      <c r="X449" s="314" t="str">
        <f>IF(tblPiNAnalysis[[#This Row],[Nutrition]]="", "", tblPiNAnalysis[[#This Row],[Nutrition]]/tblPiNAnalysis[[#This Row],[Total Population]])</f>
        <v/>
      </c>
      <c r="Y449" s="314" t="str">
        <f>IF(tblPiNAnalysis[[#This Row],[Protection]]="", "", tblPiNAnalysis[[#This Row],[Protection]]/tblPiNAnalysis[[#This Row],[Total Population]])</f>
        <v/>
      </c>
      <c r="Z449" s="316">
        <f>IF(tblPiNAnalysis[[#This Row],[Shelter NFI ]]="", "", tblPiNAnalysis[[#This Row],[Shelter NFI ]]/tblPiNAnalysis[[#This Row],[Total Population]])</f>
        <v>9.1068139963167594E-2</v>
      </c>
      <c r="AA449" s="317" t="str">
        <f>IF(tblPiNAnalysis[[#This Row],[WASH]]="", "", tblPiNAnalysis[[#This Row],[WASH]]/tblPiNAnalysis[[#This Row],[Total Population]])</f>
        <v/>
      </c>
      <c r="AB449" s="318" t="str">
        <f>IFERROR(IF(tblPiNAnalysis[[#This Row],[CP]]="", "", MROUND(tblPiNAnalysis[[#This Row],[CP]]/tblPiNAnalysis[[#This Row],[Total Population]], 0.05)), "")</f>
        <v/>
      </c>
      <c r="AC449" s="314" t="str">
        <f>IFERROR(IF(tblPiNAnalysis[[#This Row],[GBV]]="", "", MROUND(tblPiNAnalysis[[#This Row],[GBV]]/tblPiNAnalysis[[#This Row],[Total Population]], 0.05)), "")</f>
        <v/>
      </c>
      <c r="AD449" s="314" t="str">
        <f>IFERROR(IF(tblPiNAnalysis[[#This Row],[Mine Action]]="", "", MROUND(tblPiNAnalysis[[#This Row],[Mine Action]]/tblPiNAnalysis[[#This Row],[Total Population]], 0.05)), "")</f>
        <v/>
      </c>
      <c r="AE449" s="314" t="str">
        <f>IFERROR(IF(tblPiNAnalysis[[#This Row],[General Protection]]="", "", MROUND(tblPiNAnalysis[[#This Row],[General Protection]]/tblPiNAnalysis[[#This Row],[Total Population]], 0.05)), "")</f>
        <v/>
      </c>
      <c r="AF449" s="319">
        <f>IFERROR(LARGE(tblPiNAnalysis[[#This Row],[Site Management ]:[General Protection]], 1), "")</f>
        <v>5934</v>
      </c>
      <c r="AG449" s="320">
        <f>IF(tblPiNAnalysis[[#This Row],[Highest PiN]]="", "",tblPiNAnalysis[[#This Row],[Highest PiN]]/ tblPiNAnalysis[[#This Row],[Total Population]])</f>
        <v>9.1068139963167594E-2</v>
      </c>
      <c r="AH449" s="320" t="str">
        <f>IFERROR(IF(tblPiNAnalysis[[#This Row],[Highest PiN]]="", "", IF(tblPiNAnalysis[[#This Row],[Highest sector(s'') PiN %]]&gt;=flag_pin_perc, "Flagged", "")), "")</f>
        <v/>
      </c>
      <c r="AI449" s="321"/>
      <c r="AJ449" s="322"/>
      <c r="AK449" s="323">
        <f>COUNTIFS(tblPiNAnalysis[[#This Row],[Highest PiN greater than 90% of total affected population]:[Manual Flag]],"Flagged")</f>
        <v>0</v>
      </c>
      <c r="AL449" s="324" t="str">
        <f>IF(tblPiNAnalysis[[#This Row],['# Flags]]&gt;0, "Flagged", "")</f>
        <v/>
      </c>
    </row>
    <row r="450" spans="1:38" ht="23.1" customHeight="1" x14ac:dyDescent="0.2">
      <c r="A450" s="309" t="str">
        <f>_xlfn.CONCAT(IF(tblPiNAnalysis[[#This Row],[Population Group]]="", "",tblPiNAnalysis[[#This Row],[Population Group]] ), _xlfn.IFS(tblPiNAnalysis[[#This Row],[Admin 2 P-Code]]&lt;&gt;"", tblPiNAnalysis[[#This Row],[Admin 2 P-Code]], tblPiNAnalysis[[#This Row],[Admin 1 P-Code]]&lt;&gt;"", tblPiNAnalysis[[#This Row],[Admin 1 P-Code]]))</f>
        <v>Non-hosting PopulationSD14040</v>
      </c>
      <c r="B450" s="245" t="s">
        <v>182</v>
      </c>
      <c r="C450" s="246" t="s">
        <v>131</v>
      </c>
      <c r="D450" s="247" t="s">
        <v>488</v>
      </c>
      <c r="E450" s="246" t="s">
        <v>489</v>
      </c>
      <c r="F450" s="248">
        <v>228846</v>
      </c>
      <c r="G450" s="248" t="s">
        <v>568</v>
      </c>
      <c r="H450" s="310"/>
      <c r="I450" s="311"/>
      <c r="J450" s="312"/>
      <c r="K450" s="311"/>
      <c r="L450" s="311"/>
      <c r="M450" s="312"/>
      <c r="N450" s="312">
        <f>_xlfn.XLOOKUP(CONCATENATE(tblPiNAnalysis[[#This Row],[Admin 2 P-Code]],tblPiNAnalysis[[#This Row],[Population Group]]),'Overall severity &amp; PIN Analysis'!A:A,'Overall severity &amp; PIN Analysis'!P:P,0,0)</f>
        <v>20840</v>
      </c>
      <c r="O450" s="311"/>
      <c r="P450" s="312"/>
      <c r="Q450" s="312"/>
      <c r="R450" s="312"/>
      <c r="S450" s="312"/>
      <c r="T450" s="313" t="str">
        <f>IF(tblPiNAnalysis[[#This Row],[Site Management ]]="", "", tblPiNAnalysis[[#This Row],[Site Management ]]/tblPiNAnalysis[[#This Row],[Total Population]])</f>
        <v/>
      </c>
      <c r="U450" s="314" t="str">
        <f>IF(tblPiNAnalysis[[#This Row],[Education]]="", "", tblPiNAnalysis[[#This Row],[Education]]/tblPiNAnalysis[[#This Row],[Total Population]])</f>
        <v/>
      </c>
      <c r="V450" s="314" t="str">
        <f>IF(tblPiNAnalysis[[#This Row],[Food Security and Livlihoods]]="", "", tblPiNAnalysis[[#This Row],[Food Security and Livlihoods]]/tblPiNAnalysis[[#This Row],[Total Population]])</f>
        <v/>
      </c>
      <c r="W450" s="315" t="str">
        <f>IF(tblPiNAnalysis[[#This Row],[Health ]]="", "", tblPiNAnalysis[[#This Row],[Health ]]/tblPiNAnalysis[[#This Row],[Total Population]])</f>
        <v/>
      </c>
      <c r="X450" s="314" t="str">
        <f>IF(tblPiNAnalysis[[#This Row],[Nutrition]]="", "", tblPiNAnalysis[[#This Row],[Nutrition]]/tblPiNAnalysis[[#This Row],[Total Population]])</f>
        <v/>
      </c>
      <c r="Y450" s="314" t="str">
        <f>IF(tblPiNAnalysis[[#This Row],[Protection]]="", "", tblPiNAnalysis[[#This Row],[Protection]]/tblPiNAnalysis[[#This Row],[Total Population]])</f>
        <v/>
      </c>
      <c r="Z450" s="316">
        <f>IF(tblPiNAnalysis[[#This Row],[Shelter NFI ]]="", "", tblPiNAnalysis[[#This Row],[Shelter NFI ]]/tblPiNAnalysis[[#This Row],[Total Population]])</f>
        <v>9.106560743906382E-2</v>
      </c>
      <c r="AA450" s="317" t="str">
        <f>IF(tblPiNAnalysis[[#This Row],[WASH]]="", "", tblPiNAnalysis[[#This Row],[WASH]]/tblPiNAnalysis[[#This Row],[Total Population]])</f>
        <v/>
      </c>
      <c r="AB450" s="318" t="str">
        <f>IFERROR(IF(tblPiNAnalysis[[#This Row],[CP]]="", "", MROUND(tblPiNAnalysis[[#This Row],[CP]]/tblPiNAnalysis[[#This Row],[Total Population]], 0.05)), "")</f>
        <v/>
      </c>
      <c r="AC450" s="314" t="str">
        <f>IFERROR(IF(tblPiNAnalysis[[#This Row],[GBV]]="", "", MROUND(tblPiNAnalysis[[#This Row],[GBV]]/tblPiNAnalysis[[#This Row],[Total Population]], 0.05)), "")</f>
        <v/>
      </c>
      <c r="AD450" s="314" t="str">
        <f>IFERROR(IF(tblPiNAnalysis[[#This Row],[Mine Action]]="", "", MROUND(tblPiNAnalysis[[#This Row],[Mine Action]]/tblPiNAnalysis[[#This Row],[Total Population]], 0.05)), "")</f>
        <v/>
      </c>
      <c r="AE450" s="314" t="str">
        <f>IFERROR(IF(tblPiNAnalysis[[#This Row],[General Protection]]="", "", MROUND(tblPiNAnalysis[[#This Row],[General Protection]]/tblPiNAnalysis[[#This Row],[Total Population]], 0.05)), "")</f>
        <v/>
      </c>
      <c r="AF450" s="319">
        <f>IFERROR(LARGE(tblPiNAnalysis[[#This Row],[Site Management ]:[General Protection]], 1), "")</f>
        <v>20840</v>
      </c>
      <c r="AG450" s="320">
        <f>IF(tblPiNAnalysis[[#This Row],[Highest PiN]]="", "",tblPiNAnalysis[[#This Row],[Highest PiN]]/ tblPiNAnalysis[[#This Row],[Total Population]])</f>
        <v>9.106560743906382E-2</v>
      </c>
      <c r="AH450" s="320" t="str">
        <f>IFERROR(IF(tblPiNAnalysis[[#This Row],[Highest PiN]]="", "", IF(tblPiNAnalysis[[#This Row],[Highest sector(s'') PiN %]]&gt;=flag_pin_perc, "Flagged", "")), "")</f>
        <v/>
      </c>
      <c r="AI450" s="321"/>
      <c r="AJ450" s="322"/>
      <c r="AK450" s="323">
        <f>COUNTIFS(tblPiNAnalysis[[#This Row],[Highest PiN greater than 90% of total affected population]:[Manual Flag]],"Flagged")</f>
        <v>0</v>
      </c>
      <c r="AL450" s="324" t="str">
        <f>IF(tblPiNAnalysis[[#This Row],['# Flags]]&gt;0, "Flagged", "")</f>
        <v/>
      </c>
    </row>
    <row r="451" spans="1:38" ht="23.1" hidden="1" customHeight="1" x14ac:dyDescent="0.2">
      <c r="A451" s="309" t="str">
        <f>_xlfn.CONCAT(IF(tblPiNAnalysis[[#This Row],[Population Group]]="", "",tblPiNAnalysis[[#This Row],[Population Group]] ), _xlfn.IFS(tblPiNAnalysis[[#This Row],[Admin 2 P-Code]]&lt;&gt;"", tblPiNAnalysis[[#This Row],[Admin 2 P-Code]], tblPiNAnalysis[[#This Row],[Admin 1 P-Code]]&lt;&gt;"", tblPiNAnalysis[[#This Row],[Admin 1 P-Code]]))</f>
        <v>Host CommunitySD14041</v>
      </c>
      <c r="B451" s="245" t="s">
        <v>182</v>
      </c>
      <c r="C451" s="246" t="s">
        <v>131</v>
      </c>
      <c r="D451" s="247" t="s">
        <v>490</v>
      </c>
      <c r="E451" s="246" t="s">
        <v>491</v>
      </c>
      <c r="F451" s="248">
        <v>102333</v>
      </c>
      <c r="G451" s="248" t="s">
        <v>87</v>
      </c>
      <c r="H451" s="310"/>
      <c r="I451" s="311"/>
      <c r="J451" s="312"/>
      <c r="K451" s="311"/>
      <c r="L451" s="311"/>
      <c r="M451" s="312"/>
      <c r="N451" s="312">
        <f>_xlfn.XLOOKUP(CONCATENATE(tblPiNAnalysis[[#This Row],[Admin 2 P-Code]],tblPiNAnalysis[[#This Row],[Population Group]]),'Overall severity &amp; PIN Analysis'!A:A,'Overall severity &amp; PIN Analysis'!P:P,0,0)</f>
        <v>9319</v>
      </c>
      <c r="O451" s="311"/>
      <c r="P451" s="312"/>
      <c r="Q451" s="312"/>
      <c r="R451" s="312"/>
      <c r="S451" s="312"/>
      <c r="T451" s="313" t="str">
        <f>IF(tblPiNAnalysis[[#This Row],[Site Management ]]="", "", tblPiNAnalysis[[#This Row],[Site Management ]]/tblPiNAnalysis[[#This Row],[Total Population]])</f>
        <v/>
      </c>
      <c r="U451" s="314" t="str">
        <f>IF(tblPiNAnalysis[[#This Row],[Education]]="", "", tblPiNAnalysis[[#This Row],[Education]]/tblPiNAnalysis[[#This Row],[Total Population]])</f>
        <v/>
      </c>
      <c r="V451" s="314" t="str">
        <f>IF(tblPiNAnalysis[[#This Row],[Food Security and Livlihoods]]="", "", tblPiNAnalysis[[#This Row],[Food Security and Livlihoods]]/tblPiNAnalysis[[#This Row],[Total Population]])</f>
        <v/>
      </c>
      <c r="W451" s="315" t="str">
        <f>IF(tblPiNAnalysis[[#This Row],[Health ]]="", "", tblPiNAnalysis[[#This Row],[Health ]]/tblPiNAnalysis[[#This Row],[Total Population]])</f>
        <v/>
      </c>
      <c r="X451" s="314" t="str">
        <f>IF(tblPiNAnalysis[[#This Row],[Nutrition]]="", "", tblPiNAnalysis[[#This Row],[Nutrition]]/tblPiNAnalysis[[#This Row],[Total Population]])</f>
        <v/>
      </c>
      <c r="Y451" s="314" t="str">
        <f>IF(tblPiNAnalysis[[#This Row],[Protection]]="", "", tblPiNAnalysis[[#This Row],[Protection]]/tblPiNAnalysis[[#This Row],[Total Population]])</f>
        <v/>
      </c>
      <c r="Z451" s="316">
        <f>IF(tblPiNAnalysis[[#This Row],[Shelter NFI ]]="", "", tblPiNAnalysis[[#This Row],[Shelter NFI ]]/tblPiNAnalysis[[#This Row],[Total Population]])</f>
        <v>9.1065443209912736E-2</v>
      </c>
      <c r="AA451" s="317" t="str">
        <f>IF(tblPiNAnalysis[[#This Row],[WASH]]="", "", tblPiNAnalysis[[#This Row],[WASH]]/tblPiNAnalysis[[#This Row],[Total Population]])</f>
        <v/>
      </c>
      <c r="AB451" s="318" t="str">
        <f>IFERROR(IF(tblPiNAnalysis[[#This Row],[CP]]="", "", MROUND(tblPiNAnalysis[[#This Row],[CP]]/tblPiNAnalysis[[#This Row],[Total Population]], 0.05)), "")</f>
        <v/>
      </c>
      <c r="AC451" s="314" t="str">
        <f>IFERROR(IF(tblPiNAnalysis[[#This Row],[GBV]]="", "", MROUND(tblPiNAnalysis[[#This Row],[GBV]]/tblPiNAnalysis[[#This Row],[Total Population]], 0.05)), "")</f>
        <v/>
      </c>
      <c r="AD451" s="314" t="str">
        <f>IFERROR(IF(tblPiNAnalysis[[#This Row],[Mine Action]]="", "", MROUND(tblPiNAnalysis[[#This Row],[Mine Action]]/tblPiNAnalysis[[#This Row],[Total Population]], 0.05)), "")</f>
        <v/>
      </c>
      <c r="AE451" s="314" t="str">
        <f>IFERROR(IF(tblPiNAnalysis[[#This Row],[General Protection]]="", "", MROUND(tblPiNAnalysis[[#This Row],[General Protection]]/tblPiNAnalysis[[#This Row],[Total Population]], 0.05)), "")</f>
        <v/>
      </c>
      <c r="AF451" s="319">
        <f>IFERROR(LARGE(tblPiNAnalysis[[#This Row],[Site Management ]:[General Protection]], 1), "")</f>
        <v>9319</v>
      </c>
      <c r="AG451" s="320">
        <f>IF(tblPiNAnalysis[[#This Row],[Highest PiN]]="", "",tblPiNAnalysis[[#This Row],[Highest PiN]]/ tblPiNAnalysis[[#This Row],[Total Population]])</f>
        <v>9.1065443209912736E-2</v>
      </c>
      <c r="AH451" s="320" t="str">
        <f>IFERROR(IF(tblPiNAnalysis[[#This Row],[Highest PiN]]="", "", IF(tblPiNAnalysis[[#This Row],[Highest sector(s'') PiN %]]&gt;=flag_pin_perc, "Flagged", "")), "")</f>
        <v/>
      </c>
      <c r="AI451" s="321"/>
      <c r="AJ451" s="322"/>
      <c r="AK451" s="323">
        <f>COUNTIFS(tblPiNAnalysis[[#This Row],[Highest PiN greater than 90% of total affected population]:[Manual Flag]],"Flagged")</f>
        <v>0</v>
      </c>
      <c r="AL451" s="324" t="str">
        <f>IF(tblPiNAnalysis[[#This Row],['# Flags]]&gt;0, "Flagged", "")</f>
        <v/>
      </c>
    </row>
    <row r="452" spans="1:38" ht="23.1" hidden="1" customHeight="1" x14ac:dyDescent="0.2">
      <c r="A452" s="309" t="str">
        <f>_xlfn.CONCAT(IF(tblPiNAnalysis[[#This Row],[Population Group]]="", "",tblPiNAnalysis[[#This Row],[Population Group]] ), _xlfn.IFS(tblPiNAnalysis[[#This Row],[Admin 2 P-Code]]&lt;&gt;"", tblPiNAnalysis[[#This Row],[Admin 2 P-Code]], tblPiNAnalysis[[#This Row],[Admin 1 P-Code]]&lt;&gt;"", tblPiNAnalysis[[#This Row],[Admin 1 P-Code]]))</f>
        <v>IDPsSD14041</v>
      </c>
      <c r="B452" s="245" t="s">
        <v>182</v>
      </c>
      <c r="C452" s="246" t="s">
        <v>131</v>
      </c>
      <c r="D452" s="247" t="s">
        <v>490</v>
      </c>
      <c r="E452" s="246" t="s">
        <v>491</v>
      </c>
      <c r="F452" s="248">
        <v>76275</v>
      </c>
      <c r="G452" s="248" t="s">
        <v>88</v>
      </c>
      <c r="H452" s="310"/>
      <c r="I452" s="311"/>
      <c r="J452" s="312"/>
      <c r="K452" s="311"/>
      <c r="L452" s="311"/>
      <c r="M452" s="312"/>
      <c r="N452" s="312">
        <f>_xlfn.XLOOKUP(CONCATENATE(tblPiNAnalysis[[#This Row],[Admin 2 P-Code]],tblPiNAnalysis[[#This Row],[Population Group]]),'Overall severity &amp; PIN Analysis'!A:A,'Overall severity &amp; PIN Analysis'!P:P,0,0)</f>
        <v>6946</v>
      </c>
      <c r="O452" s="311"/>
      <c r="P452" s="312"/>
      <c r="Q452" s="312"/>
      <c r="R452" s="312"/>
      <c r="S452" s="312"/>
      <c r="T452" s="313" t="str">
        <f>IF(tblPiNAnalysis[[#This Row],[Site Management ]]="", "", tblPiNAnalysis[[#This Row],[Site Management ]]/tblPiNAnalysis[[#This Row],[Total Population]])</f>
        <v/>
      </c>
      <c r="U452" s="314" t="str">
        <f>IF(tblPiNAnalysis[[#This Row],[Education]]="", "", tblPiNAnalysis[[#This Row],[Education]]/tblPiNAnalysis[[#This Row],[Total Population]])</f>
        <v/>
      </c>
      <c r="V452" s="314" t="str">
        <f>IF(tblPiNAnalysis[[#This Row],[Food Security and Livlihoods]]="", "", tblPiNAnalysis[[#This Row],[Food Security and Livlihoods]]/tblPiNAnalysis[[#This Row],[Total Population]])</f>
        <v/>
      </c>
      <c r="W452" s="315" t="str">
        <f>IF(tblPiNAnalysis[[#This Row],[Health ]]="", "", tblPiNAnalysis[[#This Row],[Health ]]/tblPiNAnalysis[[#This Row],[Total Population]])</f>
        <v/>
      </c>
      <c r="X452" s="314" t="str">
        <f>IF(tblPiNAnalysis[[#This Row],[Nutrition]]="", "", tblPiNAnalysis[[#This Row],[Nutrition]]/tblPiNAnalysis[[#This Row],[Total Population]])</f>
        <v/>
      </c>
      <c r="Y452" s="314" t="str">
        <f>IF(tblPiNAnalysis[[#This Row],[Protection]]="", "", tblPiNAnalysis[[#This Row],[Protection]]/tblPiNAnalysis[[#This Row],[Total Population]])</f>
        <v/>
      </c>
      <c r="Z452" s="316">
        <f>IF(tblPiNAnalysis[[#This Row],[Shelter NFI ]]="", "", tblPiNAnalysis[[#This Row],[Shelter NFI ]]/tblPiNAnalysis[[#This Row],[Total Population]])</f>
        <v>9.1065224516551954E-2</v>
      </c>
      <c r="AA452" s="317" t="str">
        <f>IF(tblPiNAnalysis[[#This Row],[WASH]]="", "", tblPiNAnalysis[[#This Row],[WASH]]/tblPiNAnalysis[[#This Row],[Total Population]])</f>
        <v/>
      </c>
      <c r="AB452" s="318" t="str">
        <f>IFERROR(IF(tblPiNAnalysis[[#This Row],[CP]]="", "", MROUND(tblPiNAnalysis[[#This Row],[CP]]/tblPiNAnalysis[[#This Row],[Total Population]], 0.05)), "")</f>
        <v/>
      </c>
      <c r="AC452" s="314" t="str">
        <f>IFERROR(IF(tblPiNAnalysis[[#This Row],[GBV]]="", "", MROUND(tblPiNAnalysis[[#This Row],[GBV]]/tblPiNAnalysis[[#This Row],[Total Population]], 0.05)), "")</f>
        <v/>
      </c>
      <c r="AD452" s="314" t="str">
        <f>IFERROR(IF(tblPiNAnalysis[[#This Row],[Mine Action]]="", "", MROUND(tblPiNAnalysis[[#This Row],[Mine Action]]/tblPiNAnalysis[[#This Row],[Total Population]], 0.05)), "")</f>
        <v/>
      </c>
      <c r="AE452" s="314" t="str">
        <f>IFERROR(IF(tblPiNAnalysis[[#This Row],[General Protection]]="", "", MROUND(tblPiNAnalysis[[#This Row],[General Protection]]/tblPiNAnalysis[[#This Row],[Total Population]], 0.05)), "")</f>
        <v/>
      </c>
      <c r="AF452" s="319">
        <f>IFERROR(LARGE(tblPiNAnalysis[[#This Row],[Site Management ]:[General Protection]], 1), "")</f>
        <v>6946</v>
      </c>
      <c r="AG452" s="320">
        <f>IF(tblPiNAnalysis[[#This Row],[Highest PiN]]="", "",tblPiNAnalysis[[#This Row],[Highest PiN]]/ tblPiNAnalysis[[#This Row],[Total Population]])</f>
        <v>9.1065224516551954E-2</v>
      </c>
      <c r="AH452" s="320" t="str">
        <f>IFERROR(IF(tblPiNAnalysis[[#This Row],[Highest PiN]]="", "", IF(tblPiNAnalysis[[#This Row],[Highest sector(s'') PiN %]]&gt;=flag_pin_perc, "Flagged", "")), "")</f>
        <v/>
      </c>
      <c r="AI452" s="321"/>
      <c r="AJ452" s="322"/>
      <c r="AK452" s="323">
        <f>COUNTIFS(tblPiNAnalysis[[#This Row],[Highest PiN greater than 90% of total affected population]:[Manual Flag]],"Flagged")</f>
        <v>0</v>
      </c>
      <c r="AL452" s="324" t="str">
        <f>IF(tblPiNAnalysis[[#This Row],['# Flags]]&gt;0, "Flagged", "")</f>
        <v/>
      </c>
    </row>
    <row r="453" spans="1:38" ht="23.1" customHeight="1" x14ac:dyDescent="0.2">
      <c r="A453" s="309" t="str">
        <f>_xlfn.CONCAT(IF(tblPiNAnalysis[[#This Row],[Population Group]]="", "",tblPiNAnalysis[[#This Row],[Population Group]] ), _xlfn.IFS(tblPiNAnalysis[[#This Row],[Admin 2 P-Code]]&lt;&gt;"", tblPiNAnalysis[[#This Row],[Admin 2 P-Code]], tblPiNAnalysis[[#This Row],[Admin 1 P-Code]]&lt;&gt;"", tblPiNAnalysis[[#This Row],[Admin 1 P-Code]]))</f>
        <v>Non-hosting PopulationSD14041</v>
      </c>
      <c r="B453" s="245" t="s">
        <v>182</v>
      </c>
      <c r="C453" s="246" t="s">
        <v>131</v>
      </c>
      <c r="D453" s="247" t="s">
        <v>490</v>
      </c>
      <c r="E453" s="246" t="s">
        <v>491</v>
      </c>
      <c r="F453" s="248">
        <v>255865</v>
      </c>
      <c r="G453" s="248" t="s">
        <v>568</v>
      </c>
      <c r="H453" s="310"/>
      <c r="I453" s="311"/>
      <c r="J453" s="312"/>
      <c r="K453" s="311"/>
      <c r="L453" s="311"/>
      <c r="M453" s="312"/>
      <c r="N453" s="312">
        <f>_xlfn.XLOOKUP(CONCATENATE(tblPiNAnalysis[[#This Row],[Admin 2 P-Code]],tblPiNAnalysis[[#This Row],[Population Group]]),'Overall severity &amp; PIN Analysis'!A:A,'Overall severity &amp; PIN Analysis'!P:P,0,0)</f>
        <v>23301</v>
      </c>
      <c r="O453" s="311"/>
      <c r="P453" s="312"/>
      <c r="Q453" s="312"/>
      <c r="R453" s="312"/>
      <c r="S453" s="312"/>
      <c r="T453" s="313" t="str">
        <f>IF(tblPiNAnalysis[[#This Row],[Site Management ]]="", "", tblPiNAnalysis[[#This Row],[Site Management ]]/tblPiNAnalysis[[#This Row],[Total Population]])</f>
        <v/>
      </c>
      <c r="U453" s="314" t="str">
        <f>IF(tblPiNAnalysis[[#This Row],[Education]]="", "", tblPiNAnalysis[[#This Row],[Education]]/tblPiNAnalysis[[#This Row],[Total Population]])</f>
        <v/>
      </c>
      <c r="V453" s="314" t="str">
        <f>IF(tblPiNAnalysis[[#This Row],[Food Security and Livlihoods]]="", "", tblPiNAnalysis[[#This Row],[Food Security and Livlihoods]]/tblPiNAnalysis[[#This Row],[Total Population]])</f>
        <v/>
      </c>
      <c r="W453" s="315" t="str">
        <f>IF(tblPiNAnalysis[[#This Row],[Health ]]="", "", tblPiNAnalysis[[#This Row],[Health ]]/tblPiNAnalysis[[#This Row],[Total Population]])</f>
        <v/>
      </c>
      <c r="X453" s="314" t="str">
        <f>IF(tblPiNAnalysis[[#This Row],[Nutrition]]="", "", tblPiNAnalysis[[#This Row],[Nutrition]]/tblPiNAnalysis[[#This Row],[Total Population]])</f>
        <v/>
      </c>
      <c r="Y453" s="314" t="str">
        <f>IF(tblPiNAnalysis[[#This Row],[Protection]]="", "", tblPiNAnalysis[[#This Row],[Protection]]/tblPiNAnalysis[[#This Row],[Total Population]])</f>
        <v/>
      </c>
      <c r="Z453" s="316">
        <f>IF(tblPiNAnalysis[[#This Row],[Shelter NFI ]]="", "", tblPiNAnalysis[[#This Row],[Shelter NFI ]]/tblPiNAnalysis[[#This Row],[Total Population]])</f>
        <v>9.1067555156039315E-2</v>
      </c>
      <c r="AA453" s="317" t="str">
        <f>IF(tblPiNAnalysis[[#This Row],[WASH]]="", "", tblPiNAnalysis[[#This Row],[WASH]]/tblPiNAnalysis[[#This Row],[Total Population]])</f>
        <v/>
      </c>
      <c r="AB453" s="318" t="str">
        <f>IFERROR(IF(tblPiNAnalysis[[#This Row],[CP]]="", "", MROUND(tblPiNAnalysis[[#This Row],[CP]]/tblPiNAnalysis[[#This Row],[Total Population]], 0.05)), "")</f>
        <v/>
      </c>
      <c r="AC453" s="314" t="str">
        <f>IFERROR(IF(tblPiNAnalysis[[#This Row],[GBV]]="", "", MROUND(tblPiNAnalysis[[#This Row],[GBV]]/tblPiNAnalysis[[#This Row],[Total Population]], 0.05)), "")</f>
        <v/>
      </c>
      <c r="AD453" s="314" t="str">
        <f>IFERROR(IF(tblPiNAnalysis[[#This Row],[Mine Action]]="", "", MROUND(tblPiNAnalysis[[#This Row],[Mine Action]]/tblPiNAnalysis[[#This Row],[Total Population]], 0.05)), "")</f>
        <v/>
      </c>
      <c r="AE453" s="314" t="str">
        <f>IFERROR(IF(tblPiNAnalysis[[#This Row],[General Protection]]="", "", MROUND(tblPiNAnalysis[[#This Row],[General Protection]]/tblPiNAnalysis[[#This Row],[Total Population]], 0.05)), "")</f>
        <v/>
      </c>
      <c r="AF453" s="319">
        <f>IFERROR(LARGE(tblPiNAnalysis[[#This Row],[Site Management ]:[General Protection]], 1), "")</f>
        <v>23301</v>
      </c>
      <c r="AG453" s="320">
        <f>IF(tblPiNAnalysis[[#This Row],[Highest PiN]]="", "",tblPiNAnalysis[[#This Row],[Highest PiN]]/ tblPiNAnalysis[[#This Row],[Total Population]])</f>
        <v>9.1067555156039315E-2</v>
      </c>
      <c r="AH453" s="320" t="str">
        <f>IFERROR(IF(tblPiNAnalysis[[#This Row],[Highest PiN]]="", "", IF(tblPiNAnalysis[[#This Row],[Highest sector(s'') PiN %]]&gt;=flag_pin_perc, "Flagged", "")), "")</f>
        <v/>
      </c>
      <c r="AI453" s="321"/>
      <c r="AJ453" s="322"/>
      <c r="AK453" s="323">
        <f>COUNTIFS(tblPiNAnalysis[[#This Row],[Highest PiN greater than 90% of total affected population]:[Manual Flag]],"Flagged")</f>
        <v>0</v>
      </c>
      <c r="AL453" s="324" t="str">
        <f>IF(tblPiNAnalysis[[#This Row],['# Flags]]&gt;0, "Flagged", "")</f>
        <v/>
      </c>
    </row>
    <row r="454" spans="1:38" ht="23.1" hidden="1" customHeight="1" x14ac:dyDescent="0.2">
      <c r="A454" s="309" t="str">
        <f>_xlfn.CONCAT(IF(tblPiNAnalysis[[#This Row],[Population Group]]="", "",tblPiNAnalysis[[#This Row],[Population Group]] ), _xlfn.IFS(tblPiNAnalysis[[#This Row],[Admin 2 P-Code]]&lt;&gt;"", tblPiNAnalysis[[#This Row],[Admin 2 P-Code]], tblPiNAnalysis[[#This Row],[Admin 1 P-Code]]&lt;&gt;"", tblPiNAnalysis[[#This Row],[Admin 1 P-Code]]))</f>
        <v>Host CommunitySD14042</v>
      </c>
      <c r="B454" s="245" t="s">
        <v>182</v>
      </c>
      <c r="C454" s="246" t="s">
        <v>131</v>
      </c>
      <c r="D454" s="247" t="s">
        <v>492</v>
      </c>
      <c r="E454" s="246" t="s">
        <v>493</v>
      </c>
      <c r="F454" s="248">
        <v>56261</v>
      </c>
      <c r="G454" s="248" t="s">
        <v>87</v>
      </c>
      <c r="H454" s="310"/>
      <c r="I454" s="311"/>
      <c r="J454" s="312"/>
      <c r="K454" s="311"/>
      <c r="L454" s="311"/>
      <c r="M454" s="312"/>
      <c r="N454" s="312">
        <f>_xlfn.XLOOKUP(CONCATENATE(tblPiNAnalysis[[#This Row],[Admin 2 P-Code]],tblPiNAnalysis[[#This Row],[Population Group]]),'Overall severity &amp; PIN Analysis'!A:A,'Overall severity &amp; PIN Analysis'!P:P,0,0)</f>
        <v>5123</v>
      </c>
      <c r="O454" s="311"/>
      <c r="P454" s="312"/>
      <c r="Q454" s="312"/>
      <c r="R454" s="312"/>
      <c r="S454" s="312"/>
      <c r="T454" s="313" t="str">
        <f>IF(tblPiNAnalysis[[#This Row],[Site Management ]]="", "", tblPiNAnalysis[[#This Row],[Site Management ]]/tblPiNAnalysis[[#This Row],[Total Population]])</f>
        <v/>
      </c>
      <c r="U454" s="314" t="str">
        <f>IF(tblPiNAnalysis[[#This Row],[Education]]="", "", tblPiNAnalysis[[#This Row],[Education]]/tblPiNAnalysis[[#This Row],[Total Population]])</f>
        <v/>
      </c>
      <c r="V454" s="314" t="str">
        <f>IF(tblPiNAnalysis[[#This Row],[Food Security and Livlihoods]]="", "", tblPiNAnalysis[[#This Row],[Food Security and Livlihoods]]/tblPiNAnalysis[[#This Row],[Total Population]])</f>
        <v/>
      </c>
      <c r="W454" s="315" t="str">
        <f>IF(tblPiNAnalysis[[#This Row],[Health ]]="", "", tblPiNAnalysis[[#This Row],[Health ]]/tblPiNAnalysis[[#This Row],[Total Population]])</f>
        <v/>
      </c>
      <c r="X454" s="314" t="str">
        <f>IF(tblPiNAnalysis[[#This Row],[Nutrition]]="", "", tblPiNAnalysis[[#This Row],[Nutrition]]/tblPiNAnalysis[[#This Row],[Total Population]])</f>
        <v/>
      </c>
      <c r="Y454" s="314" t="str">
        <f>IF(tblPiNAnalysis[[#This Row],[Protection]]="", "", tblPiNAnalysis[[#This Row],[Protection]]/tblPiNAnalysis[[#This Row],[Total Population]])</f>
        <v/>
      </c>
      <c r="Z454" s="316">
        <f>IF(tblPiNAnalysis[[#This Row],[Shelter NFI ]]="", "", tblPiNAnalysis[[#This Row],[Shelter NFI ]]/tblPiNAnalysis[[#This Row],[Total Population]])</f>
        <v>9.1057748706919531E-2</v>
      </c>
      <c r="AA454" s="317" t="str">
        <f>IF(tblPiNAnalysis[[#This Row],[WASH]]="", "", tblPiNAnalysis[[#This Row],[WASH]]/tblPiNAnalysis[[#This Row],[Total Population]])</f>
        <v/>
      </c>
      <c r="AB454" s="318" t="str">
        <f>IFERROR(IF(tblPiNAnalysis[[#This Row],[CP]]="", "", MROUND(tblPiNAnalysis[[#This Row],[CP]]/tblPiNAnalysis[[#This Row],[Total Population]], 0.05)), "")</f>
        <v/>
      </c>
      <c r="AC454" s="314" t="str">
        <f>IFERROR(IF(tblPiNAnalysis[[#This Row],[GBV]]="", "", MROUND(tblPiNAnalysis[[#This Row],[GBV]]/tblPiNAnalysis[[#This Row],[Total Population]], 0.05)), "")</f>
        <v/>
      </c>
      <c r="AD454" s="314" t="str">
        <f>IFERROR(IF(tblPiNAnalysis[[#This Row],[Mine Action]]="", "", MROUND(tblPiNAnalysis[[#This Row],[Mine Action]]/tblPiNAnalysis[[#This Row],[Total Population]], 0.05)), "")</f>
        <v/>
      </c>
      <c r="AE454" s="314" t="str">
        <f>IFERROR(IF(tblPiNAnalysis[[#This Row],[General Protection]]="", "", MROUND(tblPiNAnalysis[[#This Row],[General Protection]]/tblPiNAnalysis[[#This Row],[Total Population]], 0.05)), "")</f>
        <v/>
      </c>
      <c r="AF454" s="319">
        <f>IFERROR(LARGE(tblPiNAnalysis[[#This Row],[Site Management ]:[General Protection]], 1), "")</f>
        <v>5123</v>
      </c>
      <c r="AG454" s="320">
        <f>IF(tblPiNAnalysis[[#This Row],[Highest PiN]]="", "",tblPiNAnalysis[[#This Row],[Highest PiN]]/ tblPiNAnalysis[[#This Row],[Total Population]])</f>
        <v>9.1057748706919531E-2</v>
      </c>
      <c r="AH454" s="320" t="str">
        <f>IFERROR(IF(tblPiNAnalysis[[#This Row],[Highest PiN]]="", "", IF(tblPiNAnalysis[[#This Row],[Highest sector(s'') PiN %]]&gt;=flag_pin_perc, "Flagged", "")), "")</f>
        <v/>
      </c>
      <c r="AI454" s="321"/>
      <c r="AJ454" s="322"/>
      <c r="AK454" s="323">
        <f>COUNTIFS(tblPiNAnalysis[[#This Row],[Highest PiN greater than 90% of total affected population]:[Manual Flag]],"Flagged")</f>
        <v>0</v>
      </c>
      <c r="AL454" s="324" t="str">
        <f>IF(tblPiNAnalysis[[#This Row],['# Flags]]&gt;0, "Flagged", "")</f>
        <v/>
      </c>
    </row>
    <row r="455" spans="1:38" ht="23.1" hidden="1" customHeight="1" x14ac:dyDescent="0.2">
      <c r="A455" s="309" t="str">
        <f>_xlfn.CONCAT(IF(tblPiNAnalysis[[#This Row],[Population Group]]="", "",tblPiNAnalysis[[#This Row],[Population Group]] ), _xlfn.IFS(tblPiNAnalysis[[#This Row],[Admin 2 P-Code]]&lt;&gt;"", tblPiNAnalysis[[#This Row],[Admin 2 P-Code]], tblPiNAnalysis[[#This Row],[Admin 1 P-Code]]&lt;&gt;"", tblPiNAnalysis[[#This Row],[Admin 1 P-Code]]))</f>
        <v>IDPsSD14042</v>
      </c>
      <c r="B455" s="245" t="s">
        <v>182</v>
      </c>
      <c r="C455" s="246" t="s">
        <v>131</v>
      </c>
      <c r="D455" s="247" t="s">
        <v>492</v>
      </c>
      <c r="E455" s="246" t="s">
        <v>493</v>
      </c>
      <c r="F455" s="248">
        <v>56261</v>
      </c>
      <c r="G455" s="248" t="s">
        <v>88</v>
      </c>
      <c r="H455" s="310"/>
      <c r="I455" s="311"/>
      <c r="J455" s="312"/>
      <c r="K455" s="311"/>
      <c r="L455" s="311"/>
      <c r="M455" s="312"/>
      <c r="N455" s="312">
        <f>_xlfn.XLOOKUP(CONCATENATE(tblPiNAnalysis[[#This Row],[Admin 2 P-Code]],tblPiNAnalysis[[#This Row],[Population Group]]),'Overall severity &amp; PIN Analysis'!A:A,'Overall severity &amp; PIN Analysis'!P:P,0,0)</f>
        <v>5123</v>
      </c>
      <c r="O455" s="311"/>
      <c r="P455" s="312"/>
      <c r="Q455" s="312"/>
      <c r="R455" s="312"/>
      <c r="S455" s="312"/>
      <c r="T455" s="313" t="str">
        <f>IF(tblPiNAnalysis[[#This Row],[Site Management ]]="", "", tblPiNAnalysis[[#This Row],[Site Management ]]/tblPiNAnalysis[[#This Row],[Total Population]])</f>
        <v/>
      </c>
      <c r="U455" s="314" t="str">
        <f>IF(tblPiNAnalysis[[#This Row],[Education]]="", "", tblPiNAnalysis[[#This Row],[Education]]/tblPiNAnalysis[[#This Row],[Total Population]])</f>
        <v/>
      </c>
      <c r="V455" s="314" t="str">
        <f>IF(tblPiNAnalysis[[#This Row],[Food Security and Livlihoods]]="", "", tblPiNAnalysis[[#This Row],[Food Security and Livlihoods]]/tblPiNAnalysis[[#This Row],[Total Population]])</f>
        <v/>
      </c>
      <c r="W455" s="315" t="str">
        <f>IF(tblPiNAnalysis[[#This Row],[Health ]]="", "", tblPiNAnalysis[[#This Row],[Health ]]/tblPiNAnalysis[[#This Row],[Total Population]])</f>
        <v/>
      </c>
      <c r="X455" s="314" t="str">
        <f>IF(tblPiNAnalysis[[#This Row],[Nutrition]]="", "", tblPiNAnalysis[[#This Row],[Nutrition]]/tblPiNAnalysis[[#This Row],[Total Population]])</f>
        <v/>
      </c>
      <c r="Y455" s="314" t="str">
        <f>IF(tblPiNAnalysis[[#This Row],[Protection]]="", "", tblPiNAnalysis[[#This Row],[Protection]]/tblPiNAnalysis[[#This Row],[Total Population]])</f>
        <v/>
      </c>
      <c r="Z455" s="316">
        <f>IF(tblPiNAnalysis[[#This Row],[Shelter NFI ]]="", "", tblPiNAnalysis[[#This Row],[Shelter NFI ]]/tblPiNAnalysis[[#This Row],[Total Population]])</f>
        <v>9.1057748706919531E-2</v>
      </c>
      <c r="AA455" s="317" t="str">
        <f>IF(tblPiNAnalysis[[#This Row],[WASH]]="", "", tblPiNAnalysis[[#This Row],[WASH]]/tblPiNAnalysis[[#This Row],[Total Population]])</f>
        <v/>
      </c>
      <c r="AB455" s="318" t="str">
        <f>IFERROR(IF(tblPiNAnalysis[[#This Row],[CP]]="", "", MROUND(tblPiNAnalysis[[#This Row],[CP]]/tblPiNAnalysis[[#This Row],[Total Population]], 0.05)), "")</f>
        <v/>
      </c>
      <c r="AC455" s="314" t="str">
        <f>IFERROR(IF(tblPiNAnalysis[[#This Row],[GBV]]="", "", MROUND(tblPiNAnalysis[[#This Row],[GBV]]/tblPiNAnalysis[[#This Row],[Total Population]], 0.05)), "")</f>
        <v/>
      </c>
      <c r="AD455" s="314" t="str">
        <f>IFERROR(IF(tblPiNAnalysis[[#This Row],[Mine Action]]="", "", MROUND(tblPiNAnalysis[[#This Row],[Mine Action]]/tblPiNAnalysis[[#This Row],[Total Population]], 0.05)), "")</f>
        <v/>
      </c>
      <c r="AE455" s="314" t="str">
        <f>IFERROR(IF(tblPiNAnalysis[[#This Row],[General Protection]]="", "", MROUND(tblPiNAnalysis[[#This Row],[General Protection]]/tblPiNAnalysis[[#This Row],[Total Population]], 0.05)), "")</f>
        <v/>
      </c>
      <c r="AF455" s="319">
        <f>IFERROR(LARGE(tblPiNAnalysis[[#This Row],[Site Management ]:[General Protection]], 1), "")</f>
        <v>5123</v>
      </c>
      <c r="AG455" s="320">
        <f>IF(tblPiNAnalysis[[#This Row],[Highest PiN]]="", "",tblPiNAnalysis[[#This Row],[Highest PiN]]/ tblPiNAnalysis[[#This Row],[Total Population]])</f>
        <v>9.1057748706919531E-2</v>
      </c>
      <c r="AH455" s="320" t="str">
        <f>IFERROR(IF(tblPiNAnalysis[[#This Row],[Highest PiN]]="", "", IF(tblPiNAnalysis[[#This Row],[Highest sector(s'') PiN %]]&gt;=flag_pin_perc, "Flagged", "")), "")</f>
        <v/>
      </c>
      <c r="AI455" s="321"/>
      <c r="AJ455" s="322"/>
      <c r="AK455" s="323">
        <f>COUNTIFS(tblPiNAnalysis[[#This Row],[Highest PiN greater than 90% of total affected population]:[Manual Flag]],"Flagged")</f>
        <v>0</v>
      </c>
      <c r="AL455" s="324" t="str">
        <f>IF(tblPiNAnalysis[[#This Row],['# Flags]]&gt;0, "Flagged", "")</f>
        <v/>
      </c>
    </row>
    <row r="456" spans="1:38" ht="23.1" customHeight="1" x14ac:dyDescent="0.2">
      <c r="A456" s="309" t="str">
        <f>_xlfn.CONCAT(IF(tblPiNAnalysis[[#This Row],[Population Group]]="", "",tblPiNAnalysis[[#This Row],[Population Group]] ), _xlfn.IFS(tblPiNAnalysis[[#This Row],[Admin 2 P-Code]]&lt;&gt;"", tblPiNAnalysis[[#This Row],[Admin 2 P-Code]], tblPiNAnalysis[[#This Row],[Admin 1 P-Code]]&lt;&gt;"", tblPiNAnalysis[[#This Row],[Admin 1 P-Code]]))</f>
        <v>Non-hosting PopulationSD14042</v>
      </c>
      <c r="B456" s="245" t="s">
        <v>182</v>
      </c>
      <c r="C456" s="246" t="s">
        <v>131</v>
      </c>
      <c r="D456" s="247" t="s">
        <v>492</v>
      </c>
      <c r="E456" s="246" t="s">
        <v>493</v>
      </c>
      <c r="F456" s="248">
        <v>302576</v>
      </c>
      <c r="G456" s="248" t="s">
        <v>568</v>
      </c>
      <c r="H456" s="310"/>
      <c r="I456" s="311"/>
      <c r="J456" s="312"/>
      <c r="K456" s="311"/>
      <c r="L456" s="311"/>
      <c r="M456" s="312"/>
      <c r="N456" s="312">
        <f>_xlfn.XLOOKUP(CONCATENATE(tblPiNAnalysis[[#This Row],[Admin 2 P-Code]],tblPiNAnalysis[[#This Row],[Population Group]]),'Overall severity &amp; PIN Analysis'!A:A,'Overall severity &amp; PIN Analysis'!P:P,0,0)</f>
        <v>27554</v>
      </c>
      <c r="O456" s="311"/>
      <c r="P456" s="312"/>
      <c r="Q456" s="312"/>
      <c r="R456" s="312"/>
      <c r="S456" s="312"/>
      <c r="T456" s="313" t="str">
        <f>IF(tblPiNAnalysis[[#This Row],[Site Management ]]="", "", tblPiNAnalysis[[#This Row],[Site Management ]]/tblPiNAnalysis[[#This Row],[Total Population]])</f>
        <v/>
      </c>
      <c r="U456" s="314" t="str">
        <f>IF(tblPiNAnalysis[[#This Row],[Education]]="", "", tblPiNAnalysis[[#This Row],[Education]]/tblPiNAnalysis[[#This Row],[Total Population]])</f>
        <v/>
      </c>
      <c r="V456" s="314" t="str">
        <f>IF(tblPiNAnalysis[[#This Row],[Food Security and Livlihoods]]="", "", tblPiNAnalysis[[#This Row],[Food Security and Livlihoods]]/tblPiNAnalysis[[#This Row],[Total Population]])</f>
        <v/>
      </c>
      <c r="W456" s="315" t="str">
        <f>IF(tblPiNAnalysis[[#This Row],[Health ]]="", "", tblPiNAnalysis[[#This Row],[Health ]]/tblPiNAnalysis[[#This Row],[Total Population]])</f>
        <v/>
      </c>
      <c r="X456" s="314" t="str">
        <f>IF(tblPiNAnalysis[[#This Row],[Nutrition]]="", "", tblPiNAnalysis[[#This Row],[Nutrition]]/tblPiNAnalysis[[#This Row],[Total Population]])</f>
        <v/>
      </c>
      <c r="Y456" s="314" t="str">
        <f>IF(tblPiNAnalysis[[#This Row],[Protection]]="", "", tblPiNAnalysis[[#This Row],[Protection]]/tblPiNAnalysis[[#This Row],[Total Population]])</f>
        <v/>
      </c>
      <c r="Z456" s="316">
        <f>IF(tblPiNAnalysis[[#This Row],[Shelter NFI ]]="", "", tblPiNAnalysis[[#This Row],[Shelter NFI ]]/tblPiNAnalysis[[#This Row],[Total Population]])</f>
        <v>9.1064724234572472E-2</v>
      </c>
      <c r="AA456" s="317" t="str">
        <f>IF(tblPiNAnalysis[[#This Row],[WASH]]="", "", tblPiNAnalysis[[#This Row],[WASH]]/tblPiNAnalysis[[#This Row],[Total Population]])</f>
        <v/>
      </c>
      <c r="AB456" s="318" t="str">
        <f>IFERROR(IF(tblPiNAnalysis[[#This Row],[CP]]="", "", MROUND(tblPiNAnalysis[[#This Row],[CP]]/tblPiNAnalysis[[#This Row],[Total Population]], 0.05)), "")</f>
        <v/>
      </c>
      <c r="AC456" s="314" t="str">
        <f>IFERROR(IF(tblPiNAnalysis[[#This Row],[GBV]]="", "", MROUND(tblPiNAnalysis[[#This Row],[GBV]]/tblPiNAnalysis[[#This Row],[Total Population]], 0.05)), "")</f>
        <v/>
      </c>
      <c r="AD456" s="314" t="str">
        <f>IFERROR(IF(tblPiNAnalysis[[#This Row],[Mine Action]]="", "", MROUND(tblPiNAnalysis[[#This Row],[Mine Action]]/tblPiNAnalysis[[#This Row],[Total Population]], 0.05)), "")</f>
        <v/>
      </c>
      <c r="AE456" s="314" t="str">
        <f>IFERROR(IF(tblPiNAnalysis[[#This Row],[General Protection]]="", "", MROUND(tblPiNAnalysis[[#This Row],[General Protection]]/tblPiNAnalysis[[#This Row],[Total Population]], 0.05)), "")</f>
        <v/>
      </c>
      <c r="AF456" s="319">
        <f>IFERROR(LARGE(tblPiNAnalysis[[#This Row],[Site Management ]:[General Protection]], 1), "")</f>
        <v>27554</v>
      </c>
      <c r="AG456" s="320">
        <f>IF(tblPiNAnalysis[[#This Row],[Highest PiN]]="", "",tblPiNAnalysis[[#This Row],[Highest PiN]]/ tblPiNAnalysis[[#This Row],[Total Population]])</f>
        <v>9.1064724234572472E-2</v>
      </c>
      <c r="AH456" s="320" t="str">
        <f>IFERROR(IF(tblPiNAnalysis[[#This Row],[Highest PiN]]="", "", IF(tblPiNAnalysis[[#This Row],[Highest sector(s'') PiN %]]&gt;=flag_pin_perc, "Flagged", "")), "")</f>
        <v/>
      </c>
      <c r="AI456" s="321"/>
      <c r="AJ456" s="322"/>
      <c r="AK456" s="323">
        <f>COUNTIFS(tblPiNAnalysis[[#This Row],[Highest PiN greater than 90% of total affected population]:[Manual Flag]],"Flagged")</f>
        <v>0</v>
      </c>
      <c r="AL456" s="324" t="str">
        <f>IF(tblPiNAnalysis[[#This Row],['# Flags]]&gt;0, "Flagged", "")</f>
        <v/>
      </c>
    </row>
    <row r="457" spans="1:38" ht="23.1" hidden="1" customHeight="1" x14ac:dyDescent="0.2">
      <c r="A457" s="309" t="str">
        <f>_xlfn.CONCAT(IF(tblPiNAnalysis[[#This Row],[Population Group]]="", "",tblPiNAnalysis[[#This Row],[Population Group]] ), _xlfn.IFS(tblPiNAnalysis[[#This Row],[Admin 2 P-Code]]&lt;&gt;"", tblPiNAnalysis[[#This Row],[Admin 2 P-Code]], tblPiNAnalysis[[#This Row],[Admin 1 P-Code]]&lt;&gt;"", tblPiNAnalysis[[#This Row],[Admin 1 P-Code]]))</f>
        <v>Host CommunitySD14043</v>
      </c>
      <c r="B457" s="245" t="s">
        <v>182</v>
      </c>
      <c r="C457" s="246" t="s">
        <v>131</v>
      </c>
      <c r="D457" s="247" t="s">
        <v>494</v>
      </c>
      <c r="E457" s="246" t="s">
        <v>495</v>
      </c>
      <c r="F457" s="248">
        <v>76117</v>
      </c>
      <c r="G457" s="248" t="s">
        <v>87</v>
      </c>
      <c r="H457" s="310"/>
      <c r="I457" s="311"/>
      <c r="J457" s="312"/>
      <c r="K457" s="311"/>
      <c r="L457" s="311"/>
      <c r="M457" s="312"/>
      <c r="N457" s="312">
        <f>_xlfn.XLOOKUP(CONCATENATE(tblPiNAnalysis[[#This Row],[Admin 2 P-Code]],tblPiNAnalysis[[#This Row],[Population Group]]),'Overall severity &amp; PIN Analysis'!A:A,'Overall severity &amp; PIN Analysis'!P:P,0,0)</f>
        <v>6932</v>
      </c>
      <c r="O457" s="311"/>
      <c r="P457" s="312"/>
      <c r="Q457" s="312"/>
      <c r="R457" s="312"/>
      <c r="S457" s="312"/>
      <c r="T457" s="313" t="str">
        <f>IF(tblPiNAnalysis[[#This Row],[Site Management ]]="", "", tblPiNAnalysis[[#This Row],[Site Management ]]/tblPiNAnalysis[[#This Row],[Total Population]])</f>
        <v/>
      </c>
      <c r="U457" s="314" t="str">
        <f>IF(tblPiNAnalysis[[#This Row],[Education]]="", "", tblPiNAnalysis[[#This Row],[Education]]/tblPiNAnalysis[[#This Row],[Total Population]])</f>
        <v/>
      </c>
      <c r="V457" s="314" t="str">
        <f>IF(tblPiNAnalysis[[#This Row],[Food Security and Livlihoods]]="", "", tblPiNAnalysis[[#This Row],[Food Security and Livlihoods]]/tblPiNAnalysis[[#This Row],[Total Population]])</f>
        <v/>
      </c>
      <c r="W457" s="315" t="str">
        <f>IF(tblPiNAnalysis[[#This Row],[Health ]]="", "", tblPiNAnalysis[[#This Row],[Health ]]/tblPiNAnalysis[[#This Row],[Total Population]])</f>
        <v/>
      </c>
      <c r="X457" s="314" t="str">
        <f>IF(tblPiNAnalysis[[#This Row],[Nutrition]]="", "", tblPiNAnalysis[[#This Row],[Nutrition]]/tblPiNAnalysis[[#This Row],[Total Population]])</f>
        <v/>
      </c>
      <c r="Y457" s="314" t="str">
        <f>IF(tblPiNAnalysis[[#This Row],[Protection]]="", "", tblPiNAnalysis[[#This Row],[Protection]]/tblPiNAnalysis[[#This Row],[Total Population]])</f>
        <v/>
      </c>
      <c r="Z457" s="316">
        <f>IF(tblPiNAnalysis[[#This Row],[Shelter NFI ]]="", "", tblPiNAnalysis[[#This Row],[Shelter NFI ]]/tblPiNAnalysis[[#This Row],[Total Population]])</f>
        <v>9.1070325945583772E-2</v>
      </c>
      <c r="AA457" s="317" t="str">
        <f>IF(tblPiNAnalysis[[#This Row],[WASH]]="", "", tblPiNAnalysis[[#This Row],[WASH]]/tblPiNAnalysis[[#This Row],[Total Population]])</f>
        <v/>
      </c>
      <c r="AB457" s="318" t="str">
        <f>IFERROR(IF(tblPiNAnalysis[[#This Row],[CP]]="", "", MROUND(tblPiNAnalysis[[#This Row],[CP]]/tblPiNAnalysis[[#This Row],[Total Population]], 0.05)), "")</f>
        <v/>
      </c>
      <c r="AC457" s="314" t="str">
        <f>IFERROR(IF(tblPiNAnalysis[[#This Row],[GBV]]="", "", MROUND(tblPiNAnalysis[[#This Row],[GBV]]/tblPiNAnalysis[[#This Row],[Total Population]], 0.05)), "")</f>
        <v/>
      </c>
      <c r="AD457" s="314" t="str">
        <f>IFERROR(IF(tblPiNAnalysis[[#This Row],[Mine Action]]="", "", MROUND(tblPiNAnalysis[[#This Row],[Mine Action]]/tblPiNAnalysis[[#This Row],[Total Population]], 0.05)), "")</f>
        <v/>
      </c>
      <c r="AE457" s="314" t="str">
        <f>IFERROR(IF(tblPiNAnalysis[[#This Row],[General Protection]]="", "", MROUND(tblPiNAnalysis[[#This Row],[General Protection]]/tblPiNAnalysis[[#This Row],[Total Population]], 0.05)), "")</f>
        <v/>
      </c>
      <c r="AF457" s="319">
        <f>IFERROR(LARGE(tblPiNAnalysis[[#This Row],[Site Management ]:[General Protection]], 1), "")</f>
        <v>6932</v>
      </c>
      <c r="AG457" s="320">
        <f>IF(tblPiNAnalysis[[#This Row],[Highest PiN]]="", "",tblPiNAnalysis[[#This Row],[Highest PiN]]/ tblPiNAnalysis[[#This Row],[Total Population]])</f>
        <v>9.1070325945583772E-2</v>
      </c>
      <c r="AH457" s="320" t="str">
        <f>IFERROR(IF(tblPiNAnalysis[[#This Row],[Highest PiN]]="", "", IF(tblPiNAnalysis[[#This Row],[Highest sector(s'') PiN %]]&gt;=flag_pin_perc, "Flagged", "")), "")</f>
        <v/>
      </c>
      <c r="AI457" s="321"/>
      <c r="AJ457" s="322"/>
      <c r="AK457" s="323">
        <f>COUNTIFS(tblPiNAnalysis[[#This Row],[Highest PiN greater than 90% of total affected population]:[Manual Flag]],"Flagged")</f>
        <v>0</v>
      </c>
      <c r="AL457" s="324" t="str">
        <f>IF(tblPiNAnalysis[[#This Row],['# Flags]]&gt;0, "Flagged", "")</f>
        <v/>
      </c>
    </row>
    <row r="458" spans="1:38" ht="23.1" hidden="1" customHeight="1" x14ac:dyDescent="0.2">
      <c r="A458" s="309" t="str">
        <f>_xlfn.CONCAT(IF(tblPiNAnalysis[[#This Row],[Population Group]]="", "",tblPiNAnalysis[[#This Row],[Population Group]] ), _xlfn.IFS(tblPiNAnalysis[[#This Row],[Admin 2 P-Code]]&lt;&gt;"", tblPiNAnalysis[[#This Row],[Admin 2 P-Code]], tblPiNAnalysis[[#This Row],[Admin 1 P-Code]]&lt;&gt;"", tblPiNAnalysis[[#This Row],[Admin 1 P-Code]]))</f>
        <v>IDPsSD14043</v>
      </c>
      <c r="B458" s="245" t="s">
        <v>182</v>
      </c>
      <c r="C458" s="246" t="s">
        <v>131</v>
      </c>
      <c r="D458" s="247" t="s">
        <v>494</v>
      </c>
      <c r="E458" s="246" t="s">
        <v>495</v>
      </c>
      <c r="F458" s="248">
        <v>76117</v>
      </c>
      <c r="G458" s="248" t="s">
        <v>88</v>
      </c>
      <c r="H458" s="310"/>
      <c r="I458" s="311"/>
      <c r="J458" s="312"/>
      <c r="K458" s="311"/>
      <c r="L458" s="311"/>
      <c r="M458" s="312"/>
      <c r="N458" s="312">
        <f>_xlfn.XLOOKUP(CONCATENATE(tblPiNAnalysis[[#This Row],[Admin 2 P-Code]],tblPiNAnalysis[[#This Row],[Population Group]]),'Overall severity &amp; PIN Analysis'!A:A,'Overall severity &amp; PIN Analysis'!P:P,0,0)</f>
        <v>6932</v>
      </c>
      <c r="O458" s="311"/>
      <c r="P458" s="312"/>
      <c r="Q458" s="312"/>
      <c r="R458" s="312"/>
      <c r="S458" s="312"/>
      <c r="T458" s="313" t="str">
        <f>IF(tblPiNAnalysis[[#This Row],[Site Management ]]="", "", tblPiNAnalysis[[#This Row],[Site Management ]]/tblPiNAnalysis[[#This Row],[Total Population]])</f>
        <v/>
      </c>
      <c r="U458" s="314" t="str">
        <f>IF(tblPiNAnalysis[[#This Row],[Education]]="", "", tblPiNAnalysis[[#This Row],[Education]]/tblPiNAnalysis[[#This Row],[Total Population]])</f>
        <v/>
      </c>
      <c r="V458" s="314" t="str">
        <f>IF(tblPiNAnalysis[[#This Row],[Food Security and Livlihoods]]="", "", tblPiNAnalysis[[#This Row],[Food Security and Livlihoods]]/tblPiNAnalysis[[#This Row],[Total Population]])</f>
        <v/>
      </c>
      <c r="W458" s="315" t="str">
        <f>IF(tblPiNAnalysis[[#This Row],[Health ]]="", "", tblPiNAnalysis[[#This Row],[Health ]]/tblPiNAnalysis[[#This Row],[Total Population]])</f>
        <v/>
      </c>
      <c r="X458" s="314" t="str">
        <f>IF(tblPiNAnalysis[[#This Row],[Nutrition]]="", "", tblPiNAnalysis[[#This Row],[Nutrition]]/tblPiNAnalysis[[#This Row],[Total Population]])</f>
        <v/>
      </c>
      <c r="Y458" s="314" t="str">
        <f>IF(tblPiNAnalysis[[#This Row],[Protection]]="", "", tblPiNAnalysis[[#This Row],[Protection]]/tblPiNAnalysis[[#This Row],[Total Population]])</f>
        <v/>
      </c>
      <c r="Z458" s="316">
        <f>IF(tblPiNAnalysis[[#This Row],[Shelter NFI ]]="", "", tblPiNAnalysis[[#This Row],[Shelter NFI ]]/tblPiNAnalysis[[#This Row],[Total Population]])</f>
        <v>9.1070325945583772E-2</v>
      </c>
      <c r="AA458" s="317" t="str">
        <f>IF(tblPiNAnalysis[[#This Row],[WASH]]="", "", tblPiNAnalysis[[#This Row],[WASH]]/tblPiNAnalysis[[#This Row],[Total Population]])</f>
        <v/>
      </c>
      <c r="AB458" s="318" t="str">
        <f>IFERROR(IF(tblPiNAnalysis[[#This Row],[CP]]="", "", MROUND(tblPiNAnalysis[[#This Row],[CP]]/tblPiNAnalysis[[#This Row],[Total Population]], 0.05)), "")</f>
        <v/>
      </c>
      <c r="AC458" s="314" t="str">
        <f>IFERROR(IF(tblPiNAnalysis[[#This Row],[GBV]]="", "", MROUND(tblPiNAnalysis[[#This Row],[GBV]]/tblPiNAnalysis[[#This Row],[Total Population]], 0.05)), "")</f>
        <v/>
      </c>
      <c r="AD458" s="314" t="str">
        <f>IFERROR(IF(tblPiNAnalysis[[#This Row],[Mine Action]]="", "", MROUND(tblPiNAnalysis[[#This Row],[Mine Action]]/tblPiNAnalysis[[#This Row],[Total Population]], 0.05)), "")</f>
        <v/>
      </c>
      <c r="AE458" s="314" t="str">
        <f>IFERROR(IF(tblPiNAnalysis[[#This Row],[General Protection]]="", "", MROUND(tblPiNAnalysis[[#This Row],[General Protection]]/tblPiNAnalysis[[#This Row],[Total Population]], 0.05)), "")</f>
        <v/>
      </c>
      <c r="AF458" s="319">
        <f>IFERROR(LARGE(tblPiNAnalysis[[#This Row],[Site Management ]:[General Protection]], 1), "")</f>
        <v>6932</v>
      </c>
      <c r="AG458" s="320">
        <f>IF(tblPiNAnalysis[[#This Row],[Highest PiN]]="", "",tblPiNAnalysis[[#This Row],[Highest PiN]]/ tblPiNAnalysis[[#This Row],[Total Population]])</f>
        <v>9.1070325945583772E-2</v>
      </c>
      <c r="AH458" s="320" t="str">
        <f>IFERROR(IF(tblPiNAnalysis[[#This Row],[Highest PiN]]="", "", IF(tblPiNAnalysis[[#This Row],[Highest sector(s'') PiN %]]&gt;=flag_pin_perc, "Flagged", "")), "")</f>
        <v/>
      </c>
      <c r="AI458" s="321"/>
      <c r="AJ458" s="322"/>
      <c r="AK458" s="323">
        <f>COUNTIFS(tblPiNAnalysis[[#This Row],[Highest PiN greater than 90% of total affected population]:[Manual Flag]],"Flagged")</f>
        <v>0</v>
      </c>
      <c r="AL458" s="324" t="str">
        <f>IF(tblPiNAnalysis[[#This Row],['# Flags]]&gt;0, "Flagged", "")</f>
        <v/>
      </c>
    </row>
    <row r="459" spans="1:38" ht="23.1" customHeight="1" x14ac:dyDescent="0.2">
      <c r="A459" s="309" t="str">
        <f>_xlfn.CONCAT(IF(tblPiNAnalysis[[#This Row],[Population Group]]="", "",tblPiNAnalysis[[#This Row],[Population Group]] ), _xlfn.IFS(tblPiNAnalysis[[#This Row],[Admin 2 P-Code]]&lt;&gt;"", tblPiNAnalysis[[#This Row],[Admin 2 P-Code]], tblPiNAnalysis[[#This Row],[Admin 1 P-Code]]&lt;&gt;"", tblPiNAnalysis[[#This Row],[Admin 1 P-Code]]))</f>
        <v>Non-hosting PopulationSD14043</v>
      </c>
      <c r="B459" s="245" t="s">
        <v>182</v>
      </c>
      <c r="C459" s="246" t="s">
        <v>131</v>
      </c>
      <c r="D459" s="247" t="s">
        <v>494</v>
      </c>
      <c r="E459" s="246" t="s">
        <v>495</v>
      </c>
      <c r="F459" s="248">
        <v>166149</v>
      </c>
      <c r="G459" s="248" t="s">
        <v>568</v>
      </c>
      <c r="H459" s="310"/>
      <c r="I459" s="311"/>
      <c r="J459" s="312"/>
      <c r="K459" s="311"/>
      <c r="L459" s="311"/>
      <c r="M459" s="312"/>
      <c r="N459" s="312">
        <f>_xlfn.XLOOKUP(CONCATENATE(tblPiNAnalysis[[#This Row],[Admin 2 P-Code]],tblPiNAnalysis[[#This Row],[Population Group]]),'Overall severity &amp; PIN Analysis'!A:A,'Overall severity &amp; PIN Analysis'!P:P,0,0)</f>
        <v>15130</v>
      </c>
      <c r="O459" s="311"/>
      <c r="P459" s="312"/>
      <c r="Q459" s="312"/>
      <c r="R459" s="312"/>
      <c r="S459" s="312"/>
      <c r="T459" s="313" t="str">
        <f>IF(tblPiNAnalysis[[#This Row],[Site Management ]]="", "", tblPiNAnalysis[[#This Row],[Site Management ]]/tblPiNAnalysis[[#This Row],[Total Population]])</f>
        <v/>
      </c>
      <c r="U459" s="314" t="str">
        <f>IF(tblPiNAnalysis[[#This Row],[Education]]="", "", tblPiNAnalysis[[#This Row],[Education]]/tblPiNAnalysis[[#This Row],[Total Population]])</f>
        <v/>
      </c>
      <c r="V459" s="314" t="str">
        <f>IF(tblPiNAnalysis[[#This Row],[Food Security and Livlihoods]]="", "", tblPiNAnalysis[[#This Row],[Food Security and Livlihoods]]/tblPiNAnalysis[[#This Row],[Total Population]])</f>
        <v/>
      </c>
      <c r="W459" s="315" t="str">
        <f>IF(tblPiNAnalysis[[#This Row],[Health ]]="", "", tblPiNAnalysis[[#This Row],[Health ]]/tblPiNAnalysis[[#This Row],[Total Population]])</f>
        <v/>
      </c>
      <c r="X459" s="314" t="str">
        <f>IF(tblPiNAnalysis[[#This Row],[Nutrition]]="", "", tblPiNAnalysis[[#This Row],[Nutrition]]/tblPiNAnalysis[[#This Row],[Total Population]])</f>
        <v/>
      </c>
      <c r="Y459" s="314" t="str">
        <f>IF(tblPiNAnalysis[[#This Row],[Protection]]="", "", tblPiNAnalysis[[#This Row],[Protection]]/tblPiNAnalysis[[#This Row],[Total Population]])</f>
        <v/>
      </c>
      <c r="Z459" s="316">
        <f>IF(tblPiNAnalysis[[#This Row],[Shelter NFI ]]="", "", tblPiNAnalysis[[#This Row],[Shelter NFI ]]/tblPiNAnalysis[[#This Row],[Total Population]])</f>
        <v>9.1062841184719745E-2</v>
      </c>
      <c r="AA459" s="317" t="str">
        <f>IF(tblPiNAnalysis[[#This Row],[WASH]]="", "", tblPiNAnalysis[[#This Row],[WASH]]/tblPiNAnalysis[[#This Row],[Total Population]])</f>
        <v/>
      </c>
      <c r="AB459" s="318" t="str">
        <f>IFERROR(IF(tblPiNAnalysis[[#This Row],[CP]]="", "", MROUND(tblPiNAnalysis[[#This Row],[CP]]/tblPiNAnalysis[[#This Row],[Total Population]], 0.05)), "")</f>
        <v/>
      </c>
      <c r="AC459" s="314" t="str">
        <f>IFERROR(IF(tblPiNAnalysis[[#This Row],[GBV]]="", "", MROUND(tblPiNAnalysis[[#This Row],[GBV]]/tblPiNAnalysis[[#This Row],[Total Population]], 0.05)), "")</f>
        <v/>
      </c>
      <c r="AD459" s="314" t="str">
        <f>IFERROR(IF(tblPiNAnalysis[[#This Row],[Mine Action]]="", "", MROUND(tblPiNAnalysis[[#This Row],[Mine Action]]/tblPiNAnalysis[[#This Row],[Total Population]], 0.05)), "")</f>
        <v/>
      </c>
      <c r="AE459" s="314" t="str">
        <f>IFERROR(IF(tblPiNAnalysis[[#This Row],[General Protection]]="", "", MROUND(tblPiNAnalysis[[#This Row],[General Protection]]/tblPiNAnalysis[[#This Row],[Total Population]], 0.05)), "")</f>
        <v/>
      </c>
      <c r="AF459" s="319">
        <f>IFERROR(LARGE(tblPiNAnalysis[[#This Row],[Site Management ]:[General Protection]], 1), "")</f>
        <v>15130</v>
      </c>
      <c r="AG459" s="320">
        <f>IF(tblPiNAnalysis[[#This Row],[Highest PiN]]="", "",tblPiNAnalysis[[#This Row],[Highest PiN]]/ tblPiNAnalysis[[#This Row],[Total Population]])</f>
        <v>9.1062841184719745E-2</v>
      </c>
      <c r="AH459" s="320" t="str">
        <f>IFERROR(IF(tblPiNAnalysis[[#This Row],[Highest PiN]]="", "", IF(tblPiNAnalysis[[#This Row],[Highest sector(s'') PiN %]]&gt;=flag_pin_perc, "Flagged", "")), "")</f>
        <v/>
      </c>
      <c r="AI459" s="321"/>
      <c r="AJ459" s="322"/>
      <c r="AK459" s="323">
        <f>COUNTIFS(tblPiNAnalysis[[#This Row],[Highest PiN greater than 90% of total affected population]:[Manual Flag]],"Flagged")</f>
        <v>0</v>
      </c>
      <c r="AL459" s="324" t="str">
        <f>IF(tblPiNAnalysis[[#This Row],['# Flags]]&gt;0, "Flagged", "")</f>
        <v/>
      </c>
    </row>
    <row r="460" spans="1:38" ht="23.1" hidden="1" customHeight="1" x14ac:dyDescent="0.2">
      <c r="A460" s="309" t="str">
        <f>_xlfn.CONCAT(IF(tblPiNAnalysis[[#This Row],[Population Group]]="", "",tblPiNAnalysis[[#This Row],[Population Group]] ), _xlfn.IFS(tblPiNAnalysis[[#This Row],[Admin 2 P-Code]]&lt;&gt;"", tblPiNAnalysis[[#This Row],[Admin 2 P-Code]], tblPiNAnalysis[[#This Row],[Admin 1 P-Code]]&lt;&gt;"", tblPiNAnalysis[[#This Row],[Admin 1 P-Code]]))</f>
        <v>Host CommunitySD15030</v>
      </c>
      <c r="B460" s="245" t="s">
        <v>147</v>
      </c>
      <c r="C460" s="246" t="s">
        <v>132</v>
      </c>
      <c r="D460" s="247" t="s">
        <v>496</v>
      </c>
      <c r="E460" s="246" t="s">
        <v>497</v>
      </c>
      <c r="F460" s="248">
        <v>22270</v>
      </c>
      <c r="G460" s="248" t="s">
        <v>87</v>
      </c>
      <c r="H460" s="310"/>
      <c r="I460" s="311"/>
      <c r="J460" s="312"/>
      <c r="K460" s="311"/>
      <c r="L460" s="311"/>
      <c r="M460" s="312"/>
      <c r="N460" s="312">
        <f>_xlfn.XLOOKUP(CONCATENATE(tblPiNAnalysis[[#This Row],[Admin 2 P-Code]],tblPiNAnalysis[[#This Row],[Population Group]]),'Overall severity &amp; PIN Analysis'!A:A,'Overall severity &amp; PIN Analysis'!P:P,0,0)</f>
        <v>6084</v>
      </c>
      <c r="O460" s="311"/>
      <c r="P460" s="312"/>
      <c r="Q460" s="312"/>
      <c r="R460" s="312"/>
      <c r="S460" s="312"/>
      <c r="T460" s="313" t="str">
        <f>IF(tblPiNAnalysis[[#This Row],[Site Management ]]="", "", tblPiNAnalysis[[#This Row],[Site Management ]]/tblPiNAnalysis[[#This Row],[Total Population]])</f>
        <v/>
      </c>
      <c r="U460" s="314" t="str">
        <f>IF(tblPiNAnalysis[[#This Row],[Education]]="", "", tblPiNAnalysis[[#This Row],[Education]]/tblPiNAnalysis[[#This Row],[Total Population]])</f>
        <v/>
      </c>
      <c r="V460" s="314" t="str">
        <f>IF(tblPiNAnalysis[[#This Row],[Food Security and Livlihoods]]="", "", tblPiNAnalysis[[#This Row],[Food Security and Livlihoods]]/tblPiNAnalysis[[#This Row],[Total Population]])</f>
        <v/>
      </c>
      <c r="W460" s="315" t="str">
        <f>IF(tblPiNAnalysis[[#This Row],[Health ]]="", "", tblPiNAnalysis[[#This Row],[Health ]]/tblPiNAnalysis[[#This Row],[Total Population]])</f>
        <v/>
      </c>
      <c r="X460" s="314" t="str">
        <f>IF(tblPiNAnalysis[[#This Row],[Nutrition]]="", "", tblPiNAnalysis[[#This Row],[Nutrition]]/tblPiNAnalysis[[#This Row],[Total Population]])</f>
        <v/>
      </c>
      <c r="Y460" s="314" t="str">
        <f>IF(tblPiNAnalysis[[#This Row],[Protection]]="", "", tblPiNAnalysis[[#This Row],[Protection]]/tblPiNAnalysis[[#This Row],[Total Population]])</f>
        <v/>
      </c>
      <c r="Z460" s="316">
        <f>IF(tblPiNAnalysis[[#This Row],[Shelter NFI ]]="", "", tblPiNAnalysis[[#This Row],[Shelter NFI ]]/tblPiNAnalysis[[#This Row],[Total Population]])</f>
        <v>0.27319263583295916</v>
      </c>
      <c r="AA460" s="317" t="str">
        <f>IF(tblPiNAnalysis[[#This Row],[WASH]]="", "", tblPiNAnalysis[[#This Row],[WASH]]/tblPiNAnalysis[[#This Row],[Total Population]])</f>
        <v/>
      </c>
      <c r="AB460" s="318" t="str">
        <f>IFERROR(IF(tblPiNAnalysis[[#This Row],[CP]]="", "", MROUND(tblPiNAnalysis[[#This Row],[CP]]/tblPiNAnalysis[[#This Row],[Total Population]], 0.05)), "")</f>
        <v/>
      </c>
      <c r="AC460" s="314" t="str">
        <f>IFERROR(IF(tblPiNAnalysis[[#This Row],[GBV]]="", "", MROUND(tblPiNAnalysis[[#This Row],[GBV]]/tblPiNAnalysis[[#This Row],[Total Population]], 0.05)), "")</f>
        <v/>
      </c>
      <c r="AD460" s="314" t="str">
        <f>IFERROR(IF(tblPiNAnalysis[[#This Row],[Mine Action]]="", "", MROUND(tblPiNAnalysis[[#This Row],[Mine Action]]/tblPiNAnalysis[[#This Row],[Total Population]], 0.05)), "")</f>
        <v/>
      </c>
      <c r="AE460" s="314" t="str">
        <f>IFERROR(IF(tblPiNAnalysis[[#This Row],[General Protection]]="", "", MROUND(tblPiNAnalysis[[#This Row],[General Protection]]/tblPiNAnalysis[[#This Row],[Total Population]], 0.05)), "")</f>
        <v/>
      </c>
      <c r="AF460" s="319">
        <f>IFERROR(LARGE(tblPiNAnalysis[[#This Row],[Site Management ]:[General Protection]], 1), "")</f>
        <v>6084</v>
      </c>
      <c r="AG460" s="320">
        <f>IF(tblPiNAnalysis[[#This Row],[Highest PiN]]="", "",tblPiNAnalysis[[#This Row],[Highest PiN]]/ tblPiNAnalysis[[#This Row],[Total Population]])</f>
        <v>0.27319263583295916</v>
      </c>
      <c r="AH460" s="320" t="str">
        <f>IFERROR(IF(tblPiNAnalysis[[#This Row],[Highest PiN]]="", "", IF(tblPiNAnalysis[[#This Row],[Highest sector(s'') PiN %]]&gt;=flag_pin_perc, "Flagged", "")), "")</f>
        <v/>
      </c>
      <c r="AI460" s="321"/>
      <c r="AJ460" s="322"/>
      <c r="AK460" s="323">
        <f>COUNTIFS(tblPiNAnalysis[[#This Row],[Highest PiN greater than 90% of total affected population]:[Manual Flag]],"Flagged")</f>
        <v>0</v>
      </c>
      <c r="AL460" s="324" t="str">
        <f>IF(tblPiNAnalysis[[#This Row],['# Flags]]&gt;0, "Flagged", "")</f>
        <v/>
      </c>
    </row>
    <row r="461" spans="1:38" ht="23.1" hidden="1" customHeight="1" x14ac:dyDescent="0.2">
      <c r="A461" s="309" t="str">
        <f>_xlfn.CONCAT(IF(tblPiNAnalysis[[#This Row],[Population Group]]="", "",tblPiNAnalysis[[#This Row],[Population Group]] ), _xlfn.IFS(tblPiNAnalysis[[#This Row],[Admin 2 P-Code]]&lt;&gt;"", tblPiNAnalysis[[#This Row],[Admin 2 P-Code]], tblPiNAnalysis[[#This Row],[Admin 1 P-Code]]&lt;&gt;"", tblPiNAnalysis[[#This Row],[Admin 1 P-Code]]))</f>
        <v>IDPsSD15030</v>
      </c>
      <c r="B461" s="245" t="s">
        <v>147</v>
      </c>
      <c r="C461" s="246" t="s">
        <v>132</v>
      </c>
      <c r="D461" s="247" t="s">
        <v>496</v>
      </c>
      <c r="E461" s="246" t="s">
        <v>497</v>
      </c>
      <c r="F461" s="248">
        <v>20005</v>
      </c>
      <c r="G461" s="248" t="s">
        <v>88</v>
      </c>
      <c r="H461" s="310"/>
      <c r="I461" s="311"/>
      <c r="J461" s="311"/>
      <c r="K461" s="311"/>
      <c r="L461" s="311"/>
      <c r="M461" s="311"/>
      <c r="N461" s="311">
        <f>_xlfn.XLOOKUP(CONCATENATE(tblPiNAnalysis[[#This Row],[Admin 2 P-Code]],tblPiNAnalysis[[#This Row],[Population Group]]),'Overall severity &amp; PIN Analysis'!A:A,'Overall severity &amp; PIN Analysis'!P:P,0,0)</f>
        <v>5466</v>
      </c>
      <c r="O461" s="311"/>
      <c r="P461" s="311"/>
      <c r="Q461" s="311"/>
      <c r="R461" s="311"/>
      <c r="S461" s="311"/>
      <c r="T461" s="326" t="str">
        <f>IF(tblPiNAnalysis[[#This Row],[Site Management ]]="", "", tblPiNAnalysis[[#This Row],[Site Management ]]/tblPiNAnalysis[[#This Row],[Total Population]])</f>
        <v/>
      </c>
      <c r="U461" s="315" t="str">
        <f>IF(tblPiNAnalysis[[#This Row],[Education]]="", "", tblPiNAnalysis[[#This Row],[Education]]/tblPiNAnalysis[[#This Row],[Total Population]])</f>
        <v/>
      </c>
      <c r="V461" s="315" t="str">
        <f>IF(tblPiNAnalysis[[#This Row],[Food Security and Livlihoods]]="", "", tblPiNAnalysis[[#This Row],[Food Security and Livlihoods]]/tblPiNAnalysis[[#This Row],[Total Population]])</f>
        <v/>
      </c>
      <c r="W461" s="315" t="str">
        <f>IF(tblPiNAnalysis[[#This Row],[Health ]]="", "", tblPiNAnalysis[[#This Row],[Health ]]/tblPiNAnalysis[[#This Row],[Total Population]])</f>
        <v/>
      </c>
      <c r="X461" s="315" t="str">
        <f>IF(tblPiNAnalysis[[#This Row],[Nutrition]]="", "", tblPiNAnalysis[[#This Row],[Nutrition]]/tblPiNAnalysis[[#This Row],[Total Population]])</f>
        <v/>
      </c>
      <c r="Y461" s="315" t="str">
        <f>IF(tblPiNAnalysis[[#This Row],[Protection]]="", "", tblPiNAnalysis[[#This Row],[Protection]]/tblPiNAnalysis[[#This Row],[Total Population]])</f>
        <v/>
      </c>
      <c r="Z461" s="327">
        <f>IF(tblPiNAnalysis[[#This Row],[Shelter NFI ]]="", "", tblPiNAnalysis[[#This Row],[Shelter NFI ]]/tblPiNAnalysis[[#This Row],[Total Population]])</f>
        <v>0.27323169207698078</v>
      </c>
      <c r="AA461" s="328" t="str">
        <f>IF(tblPiNAnalysis[[#This Row],[WASH]]="", "", tblPiNAnalysis[[#This Row],[WASH]]/tblPiNAnalysis[[#This Row],[Total Population]])</f>
        <v/>
      </c>
      <c r="AB461" s="329" t="str">
        <f>IFERROR(IF(tblPiNAnalysis[[#This Row],[CP]]="", "", MROUND(tblPiNAnalysis[[#This Row],[CP]]/tblPiNAnalysis[[#This Row],[Total Population]], 0.05)), "")</f>
        <v/>
      </c>
      <c r="AC461" s="315" t="str">
        <f>IFERROR(IF(tblPiNAnalysis[[#This Row],[GBV]]="", "", MROUND(tblPiNAnalysis[[#This Row],[GBV]]/tblPiNAnalysis[[#This Row],[Total Population]], 0.05)), "")</f>
        <v/>
      </c>
      <c r="AD461" s="315" t="str">
        <f>IFERROR(IF(tblPiNAnalysis[[#This Row],[Mine Action]]="", "", MROUND(tblPiNAnalysis[[#This Row],[Mine Action]]/tblPiNAnalysis[[#This Row],[Total Population]], 0.05)), "")</f>
        <v/>
      </c>
      <c r="AE461" s="315" t="str">
        <f>IFERROR(IF(tblPiNAnalysis[[#This Row],[General Protection]]="", "", MROUND(tblPiNAnalysis[[#This Row],[General Protection]]/tblPiNAnalysis[[#This Row],[Total Population]], 0.05)), "")</f>
        <v/>
      </c>
      <c r="AF461" s="319">
        <f>IFERROR(LARGE(tblPiNAnalysis[[#This Row],[Site Management ]:[General Protection]], 1), "")</f>
        <v>5466</v>
      </c>
      <c r="AG461" s="330">
        <f>IF(tblPiNAnalysis[[#This Row],[Highest PiN]]="", "",tblPiNAnalysis[[#This Row],[Highest PiN]]/ tblPiNAnalysis[[#This Row],[Total Population]])</f>
        <v>0.27323169207698078</v>
      </c>
      <c r="AH461" s="330" t="str">
        <f>IFERROR(IF(tblPiNAnalysis[[#This Row],[Highest PiN]]="", "", IF(tblPiNAnalysis[[#This Row],[Highest sector(s'') PiN %]]&gt;=flag_pin_perc, "Flagged", "")), "")</f>
        <v/>
      </c>
      <c r="AI461" s="321"/>
      <c r="AJ461" s="322"/>
      <c r="AK461" s="323">
        <f>COUNTIFS(tblPiNAnalysis[[#This Row],[Highest PiN greater than 90% of total affected population]:[Manual Flag]],"Flagged")</f>
        <v>0</v>
      </c>
      <c r="AL461" s="331" t="str">
        <f>IF(tblPiNAnalysis[[#This Row],['# Flags]]&gt;0, "Flagged", "")</f>
        <v/>
      </c>
    </row>
    <row r="462" spans="1:38" ht="23.1" customHeight="1" x14ac:dyDescent="0.2">
      <c r="A462" s="309" t="str">
        <f>_xlfn.CONCAT(IF(tblPiNAnalysis[[#This Row],[Population Group]]="", "",tblPiNAnalysis[[#This Row],[Population Group]] ), _xlfn.IFS(tblPiNAnalysis[[#This Row],[Admin 2 P-Code]]&lt;&gt;"", tblPiNAnalysis[[#This Row],[Admin 2 P-Code]], tblPiNAnalysis[[#This Row],[Admin 1 P-Code]]&lt;&gt;"", tblPiNAnalysis[[#This Row],[Admin 1 P-Code]]))</f>
        <v>Non-hosting PopulationSD15030</v>
      </c>
      <c r="B462" s="245" t="s">
        <v>147</v>
      </c>
      <c r="C462" s="246" t="s">
        <v>132</v>
      </c>
      <c r="D462" s="247" t="s">
        <v>496</v>
      </c>
      <c r="E462" s="246" t="s">
        <v>497</v>
      </c>
      <c r="F462" s="248">
        <v>214843</v>
      </c>
      <c r="G462" s="248" t="s">
        <v>568</v>
      </c>
      <c r="H462" s="310"/>
      <c r="I462" s="311"/>
      <c r="J462" s="312"/>
      <c r="K462" s="311"/>
      <c r="L462" s="311"/>
      <c r="M462" s="312"/>
      <c r="N462" s="312">
        <f>_xlfn.XLOOKUP(CONCATENATE(tblPiNAnalysis[[#This Row],[Admin 2 P-Code]],tblPiNAnalysis[[#This Row],[Population Group]]),'Overall severity &amp; PIN Analysis'!A:A,'Overall severity &amp; PIN Analysis'!P:P,0,0)</f>
        <v>58694</v>
      </c>
      <c r="O462" s="311"/>
      <c r="P462" s="312"/>
      <c r="Q462" s="312"/>
      <c r="R462" s="312"/>
      <c r="S462" s="312"/>
      <c r="T462" s="313" t="str">
        <f>IF(tblPiNAnalysis[[#This Row],[Site Management ]]="", "", tblPiNAnalysis[[#This Row],[Site Management ]]/tblPiNAnalysis[[#This Row],[Total Population]])</f>
        <v/>
      </c>
      <c r="U462" s="314" t="str">
        <f>IF(tblPiNAnalysis[[#This Row],[Education]]="", "", tblPiNAnalysis[[#This Row],[Education]]/tblPiNAnalysis[[#This Row],[Total Population]])</f>
        <v/>
      </c>
      <c r="V462" s="314" t="str">
        <f>IF(tblPiNAnalysis[[#This Row],[Food Security and Livlihoods]]="", "", tblPiNAnalysis[[#This Row],[Food Security and Livlihoods]]/tblPiNAnalysis[[#This Row],[Total Population]])</f>
        <v/>
      </c>
      <c r="W462" s="315" t="str">
        <f>IF(tblPiNAnalysis[[#This Row],[Health ]]="", "", tblPiNAnalysis[[#This Row],[Health ]]/tblPiNAnalysis[[#This Row],[Total Population]])</f>
        <v/>
      </c>
      <c r="X462" s="314" t="str">
        <f>IF(tblPiNAnalysis[[#This Row],[Nutrition]]="", "", tblPiNAnalysis[[#This Row],[Nutrition]]/tblPiNAnalysis[[#This Row],[Total Population]])</f>
        <v/>
      </c>
      <c r="Y462" s="314" t="str">
        <f>IF(tblPiNAnalysis[[#This Row],[Protection]]="", "", tblPiNAnalysis[[#This Row],[Protection]]/tblPiNAnalysis[[#This Row],[Total Population]])</f>
        <v/>
      </c>
      <c r="Z462" s="316">
        <f>IF(tblPiNAnalysis[[#This Row],[Shelter NFI ]]="", "", tblPiNAnalysis[[#This Row],[Shelter NFI ]]/tblPiNAnalysis[[#This Row],[Total Population]])</f>
        <v>0.27319484460745752</v>
      </c>
      <c r="AA462" s="317" t="str">
        <f>IF(tblPiNAnalysis[[#This Row],[WASH]]="", "", tblPiNAnalysis[[#This Row],[WASH]]/tblPiNAnalysis[[#This Row],[Total Population]])</f>
        <v/>
      </c>
      <c r="AB462" s="318" t="str">
        <f>IFERROR(IF(tblPiNAnalysis[[#This Row],[CP]]="", "", MROUND(tblPiNAnalysis[[#This Row],[CP]]/tblPiNAnalysis[[#This Row],[Total Population]], 0.05)), "")</f>
        <v/>
      </c>
      <c r="AC462" s="314" t="str">
        <f>IFERROR(IF(tblPiNAnalysis[[#This Row],[GBV]]="", "", MROUND(tblPiNAnalysis[[#This Row],[GBV]]/tblPiNAnalysis[[#This Row],[Total Population]], 0.05)), "")</f>
        <v/>
      </c>
      <c r="AD462" s="314" t="str">
        <f>IFERROR(IF(tblPiNAnalysis[[#This Row],[Mine Action]]="", "", MROUND(tblPiNAnalysis[[#This Row],[Mine Action]]/tblPiNAnalysis[[#This Row],[Total Population]], 0.05)), "")</f>
        <v/>
      </c>
      <c r="AE462" s="314" t="str">
        <f>IFERROR(IF(tblPiNAnalysis[[#This Row],[General Protection]]="", "", MROUND(tblPiNAnalysis[[#This Row],[General Protection]]/tblPiNAnalysis[[#This Row],[Total Population]], 0.05)), "")</f>
        <v/>
      </c>
      <c r="AF462" s="319">
        <f>IFERROR(LARGE(tblPiNAnalysis[[#This Row],[Site Management ]:[General Protection]], 1), "")</f>
        <v>58694</v>
      </c>
      <c r="AG462" s="320">
        <f>IF(tblPiNAnalysis[[#This Row],[Highest PiN]]="", "",tblPiNAnalysis[[#This Row],[Highest PiN]]/ tblPiNAnalysis[[#This Row],[Total Population]])</f>
        <v>0.27319484460745752</v>
      </c>
      <c r="AH462" s="320" t="str">
        <f>IFERROR(IF(tblPiNAnalysis[[#This Row],[Highest PiN]]="", "", IF(tblPiNAnalysis[[#This Row],[Highest sector(s'') PiN %]]&gt;=flag_pin_perc, "Flagged", "")), "")</f>
        <v/>
      </c>
      <c r="AI462" s="321"/>
      <c r="AJ462" s="322"/>
      <c r="AK462" s="323">
        <f>COUNTIFS(tblPiNAnalysis[[#This Row],[Highest PiN greater than 90% of total affected population]:[Manual Flag]],"Flagged")</f>
        <v>0</v>
      </c>
      <c r="AL462" s="324" t="str">
        <f>IF(tblPiNAnalysis[[#This Row],['# Flags]]&gt;0, "Flagged", "")</f>
        <v/>
      </c>
    </row>
    <row r="463" spans="1:38" ht="23.1" hidden="1" customHeight="1" x14ac:dyDescent="0.2">
      <c r="A463" s="309" t="str">
        <f>_xlfn.CONCAT(IF(tblPiNAnalysis[[#This Row],[Population Group]]="", "",tblPiNAnalysis[[#This Row],[Population Group]] ), _xlfn.IFS(tblPiNAnalysis[[#This Row],[Admin 2 P-Code]]&lt;&gt;"", tblPiNAnalysis[[#This Row],[Admin 2 P-Code]], tblPiNAnalysis[[#This Row],[Admin 1 P-Code]]&lt;&gt;"", tblPiNAnalysis[[#This Row],[Admin 1 P-Code]]))</f>
        <v>Host CommunitySD15031</v>
      </c>
      <c r="B463" s="245" t="s">
        <v>147</v>
      </c>
      <c r="C463" s="246" t="s">
        <v>132</v>
      </c>
      <c r="D463" s="247" t="s">
        <v>498</v>
      </c>
      <c r="E463" s="246" t="s">
        <v>499</v>
      </c>
      <c r="F463" s="248">
        <v>23698</v>
      </c>
      <c r="G463" s="248" t="s">
        <v>87</v>
      </c>
      <c r="H463" s="310"/>
      <c r="I463" s="311"/>
      <c r="J463" s="312"/>
      <c r="K463" s="311"/>
      <c r="L463" s="311"/>
      <c r="M463" s="312"/>
      <c r="N463" s="312">
        <f>_xlfn.XLOOKUP(CONCATENATE(tblPiNAnalysis[[#This Row],[Admin 2 P-Code]],tblPiNAnalysis[[#This Row],[Population Group]]),'Overall severity &amp; PIN Analysis'!A:A,'Overall severity &amp; PIN Analysis'!P:P,0,0)</f>
        <v>5396</v>
      </c>
      <c r="O463" s="311"/>
      <c r="P463" s="312"/>
      <c r="Q463" s="312"/>
      <c r="R463" s="312"/>
      <c r="S463" s="312"/>
      <c r="T463" s="313" t="str">
        <f>IF(tblPiNAnalysis[[#This Row],[Site Management ]]="", "", tblPiNAnalysis[[#This Row],[Site Management ]]/tblPiNAnalysis[[#This Row],[Total Population]])</f>
        <v/>
      </c>
      <c r="U463" s="314" t="str">
        <f>IF(tblPiNAnalysis[[#This Row],[Education]]="", "", tblPiNAnalysis[[#This Row],[Education]]/tblPiNAnalysis[[#This Row],[Total Population]])</f>
        <v/>
      </c>
      <c r="V463" s="314" t="str">
        <f>IF(tblPiNAnalysis[[#This Row],[Food Security and Livlihoods]]="", "", tblPiNAnalysis[[#This Row],[Food Security and Livlihoods]]/tblPiNAnalysis[[#This Row],[Total Population]])</f>
        <v/>
      </c>
      <c r="W463" s="315" t="str">
        <f>IF(tblPiNAnalysis[[#This Row],[Health ]]="", "", tblPiNAnalysis[[#This Row],[Health ]]/tblPiNAnalysis[[#This Row],[Total Population]])</f>
        <v/>
      </c>
      <c r="X463" s="314" t="str">
        <f>IF(tblPiNAnalysis[[#This Row],[Nutrition]]="", "", tblPiNAnalysis[[#This Row],[Nutrition]]/tblPiNAnalysis[[#This Row],[Total Population]])</f>
        <v/>
      </c>
      <c r="Y463" s="314" t="str">
        <f>IF(tblPiNAnalysis[[#This Row],[Protection]]="", "", tblPiNAnalysis[[#This Row],[Protection]]/tblPiNAnalysis[[#This Row],[Total Population]])</f>
        <v/>
      </c>
      <c r="Z463" s="316">
        <f>IF(tblPiNAnalysis[[#This Row],[Shelter NFI ]]="", "", tblPiNAnalysis[[#This Row],[Shelter NFI ]]/tblPiNAnalysis[[#This Row],[Total Population]])</f>
        <v>0.22769853996117817</v>
      </c>
      <c r="AA463" s="317" t="str">
        <f>IF(tblPiNAnalysis[[#This Row],[WASH]]="", "", tblPiNAnalysis[[#This Row],[WASH]]/tblPiNAnalysis[[#This Row],[Total Population]])</f>
        <v/>
      </c>
      <c r="AB463" s="318" t="str">
        <f>IFERROR(IF(tblPiNAnalysis[[#This Row],[CP]]="", "", MROUND(tblPiNAnalysis[[#This Row],[CP]]/tblPiNAnalysis[[#This Row],[Total Population]], 0.05)), "")</f>
        <v/>
      </c>
      <c r="AC463" s="314" t="str">
        <f>IFERROR(IF(tblPiNAnalysis[[#This Row],[GBV]]="", "", MROUND(tblPiNAnalysis[[#This Row],[GBV]]/tblPiNAnalysis[[#This Row],[Total Population]], 0.05)), "")</f>
        <v/>
      </c>
      <c r="AD463" s="314" t="str">
        <f>IFERROR(IF(tblPiNAnalysis[[#This Row],[Mine Action]]="", "", MROUND(tblPiNAnalysis[[#This Row],[Mine Action]]/tblPiNAnalysis[[#This Row],[Total Population]], 0.05)), "")</f>
        <v/>
      </c>
      <c r="AE463" s="314" t="str">
        <f>IFERROR(IF(tblPiNAnalysis[[#This Row],[General Protection]]="", "", MROUND(tblPiNAnalysis[[#This Row],[General Protection]]/tblPiNAnalysis[[#This Row],[Total Population]], 0.05)), "")</f>
        <v/>
      </c>
      <c r="AF463" s="319">
        <f>IFERROR(LARGE(tblPiNAnalysis[[#This Row],[Site Management ]:[General Protection]], 1), "")</f>
        <v>5396</v>
      </c>
      <c r="AG463" s="320">
        <f>IF(tblPiNAnalysis[[#This Row],[Highest PiN]]="", "",tblPiNAnalysis[[#This Row],[Highest PiN]]/ tblPiNAnalysis[[#This Row],[Total Population]])</f>
        <v>0.22769853996117817</v>
      </c>
      <c r="AH463" s="320" t="str">
        <f>IFERROR(IF(tblPiNAnalysis[[#This Row],[Highest PiN]]="", "", IF(tblPiNAnalysis[[#This Row],[Highest sector(s'') PiN %]]&gt;=flag_pin_perc, "Flagged", "")), "")</f>
        <v/>
      </c>
      <c r="AI463" s="321"/>
      <c r="AJ463" s="322"/>
      <c r="AK463" s="323">
        <f>COUNTIFS(tblPiNAnalysis[[#This Row],[Highest PiN greater than 90% of total affected population]:[Manual Flag]],"Flagged")</f>
        <v>0</v>
      </c>
      <c r="AL463" s="324" t="str">
        <f>IF(tblPiNAnalysis[[#This Row],['# Flags]]&gt;0, "Flagged", "")</f>
        <v/>
      </c>
    </row>
    <row r="464" spans="1:38" ht="23.1" hidden="1" customHeight="1" x14ac:dyDescent="0.2">
      <c r="A464" s="309" t="str">
        <f>_xlfn.CONCAT(IF(tblPiNAnalysis[[#This Row],[Population Group]]="", "",tblPiNAnalysis[[#This Row],[Population Group]] ), _xlfn.IFS(tblPiNAnalysis[[#This Row],[Admin 2 P-Code]]&lt;&gt;"", tblPiNAnalysis[[#This Row],[Admin 2 P-Code]], tblPiNAnalysis[[#This Row],[Admin 1 P-Code]]&lt;&gt;"", tblPiNAnalysis[[#This Row],[Admin 1 P-Code]]))</f>
        <v>IDPsSD15031</v>
      </c>
      <c r="B464" s="245" t="s">
        <v>147</v>
      </c>
      <c r="C464" s="246" t="s">
        <v>132</v>
      </c>
      <c r="D464" s="247" t="s">
        <v>498</v>
      </c>
      <c r="E464" s="246" t="s">
        <v>499</v>
      </c>
      <c r="F464" s="248">
        <v>25521</v>
      </c>
      <c r="G464" s="248" t="s">
        <v>88</v>
      </c>
      <c r="H464" s="310"/>
      <c r="I464" s="311"/>
      <c r="J464" s="311"/>
      <c r="K464" s="311"/>
      <c r="L464" s="311"/>
      <c r="M464" s="311"/>
      <c r="N464" s="311">
        <f>_xlfn.XLOOKUP(CONCATENATE(tblPiNAnalysis[[#This Row],[Admin 2 P-Code]],tblPiNAnalysis[[#This Row],[Population Group]]),'Overall severity &amp; PIN Analysis'!A:A,'Overall severity &amp; PIN Analysis'!P:P,0,0)</f>
        <v>5810</v>
      </c>
      <c r="O464" s="311"/>
      <c r="P464" s="311"/>
      <c r="Q464" s="311"/>
      <c r="R464" s="311"/>
      <c r="S464" s="311"/>
      <c r="T464" s="326" t="str">
        <f>IF(tblPiNAnalysis[[#This Row],[Site Management ]]="", "", tblPiNAnalysis[[#This Row],[Site Management ]]/tblPiNAnalysis[[#This Row],[Total Population]])</f>
        <v/>
      </c>
      <c r="U464" s="315" t="str">
        <f>IF(tblPiNAnalysis[[#This Row],[Education]]="", "", tblPiNAnalysis[[#This Row],[Education]]/tblPiNAnalysis[[#This Row],[Total Population]])</f>
        <v/>
      </c>
      <c r="V464" s="315" t="str">
        <f>IF(tblPiNAnalysis[[#This Row],[Food Security and Livlihoods]]="", "", tblPiNAnalysis[[#This Row],[Food Security and Livlihoods]]/tblPiNAnalysis[[#This Row],[Total Population]])</f>
        <v/>
      </c>
      <c r="W464" s="315" t="str">
        <f>IF(tblPiNAnalysis[[#This Row],[Health ]]="", "", tblPiNAnalysis[[#This Row],[Health ]]/tblPiNAnalysis[[#This Row],[Total Population]])</f>
        <v/>
      </c>
      <c r="X464" s="315" t="str">
        <f>IF(tblPiNAnalysis[[#This Row],[Nutrition]]="", "", tblPiNAnalysis[[#This Row],[Nutrition]]/tblPiNAnalysis[[#This Row],[Total Population]])</f>
        <v/>
      </c>
      <c r="Y464" s="315" t="str">
        <f>IF(tblPiNAnalysis[[#This Row],[Protection]]="", "", tblPiNAnalysis[[#This Row],[Protection]]/tblPiNAnalysis[[#This Row],[Total Population]])</f>
        <v/>
      </c>
      <c r="Z464" s="327">
        <f>IF(tblPiNAnalysis[[#This Row],[Shelter NFI ]]="", "", tblPiNAnalysis[[#This Row],[Shelter NFI ]]/tblPiNAnalysis[[#This Row],[Total Population]])</f>
        <v>0.22765565612632735</v>
      </c>
      <c r="AA464" s="328" t="str">
        <f>IF(tblPiNAnalysis[[#This Row],[WASH]]="", "", tblPiNAnalysis[[#This Row],[WASH]]/tblPiNAnalysis[[#This Row],[Total Population]])</f>
        <v/>
      </c>
      <c r="AB464" s="329" t="str">
        <f>IFERROR(IF(tblPiNAnalysis[[#This Row],[CP]]="", "", MROUND(tblPiNAnalysis[[#This Row],[CP]]/tblPiNAnalysis[[#This Row],[Total Population]], 0.05)), "")</f>
        <v/>
      </c>
      <c r="AC464" s="315" t="str">
        <f>IFERROR(IF(tblPiNAnalysis[[#This Row],[GBV]]="", "", MROUND(tblPiNAnalysis[[#This Row],[GBV]]/tblPiNAnalysis[[#This Row],[Total Population]], 0.05)), "")</f>
        <v/>
      </c>
      <c r="AD464" s="315" t="str">
        <f>IFERROR(IF(tblPiNAnalysis[[#This Row],[Mine Action]]="", "", MROUND(tblPiNAnalysis[[#This Row],[Mine Action]]/tblPiNAnalysis[[#This Row],[Total Population]], 0.05)), "")</f>
        <v/>
      </c>
      <c r="AE464" s="315" t="str">
        <f>IFERROR(IF(tblPiNAnalysis[[#This Row],[General Protection]]="", "", MROUND(tblPiNAnalysis[[#This Row],[General Protection]]/tblPiNAnalysis[[#This Row],[Total Population]], 0.05)), "")</f>
        <v/>
      </c>
      <c r="AF464" s="319">
        <f>IFERROR(LARGE(tblPiNAnalysis[[#This Row],[Site Management ]:[General Protection]], 1), "")</f>
        <v>5810</v>
      </c>
      <c r="AG464" s="330">
        <f>IF(tblPiNAnalysis[[#This Row],[Highest PiN]]="", "",tblPiNAnalysis[[#This Row],[Highest PiN]]/ tblPiNAnalysis[[#This Row],[Total Population]])</f>
        <v>0.22765565612632735</v>
      </c>
      <c r="AH464" s="330" t="str">
        <f>IFERROR(IF(tblPiNAnalysis[[#This Row],[Highest PiN]]="", "", IF(tblPiNAnalysis[[#This Row],[Highest sector(s'') PiN %]]&gt;=flag_pin_perc, "Flagged", "")), "")</f>
        <v/>
      </c>
      <c r="AI464" s="321"/>
      <c r="AJ464" s="322"/>
      <c r="AK464" s="323">
        <f>COUNTIFS(tblPiNAnalysis[[#This Row],[Highest PiN greater than 90% of total affected population]:[Manual Flag]],"Flagged")</f>
        <v>0</v>
      </c>
      <c r="AL464" s="331" t="str">
        <f>IF(tblPiNAnalysis[[#This Row],['# Flags]]&gt;0, "Flagged", "")</f>
        <v/>
      </c>
    </row>
    <row r="465" spans="1:38" ht="23.1" customHeight="1" x14ac:dyDescent="0.2">
      <c r="A465" s="309" t="str">
        <f>_xlfn.CONCAT(IF(tblPiNAnalysis[[#This Row],[Population Group]]="", "",tblPiNAnalysis[[#This Row],[Population Group]] ), _xlfn.IFS(tblPiNAnalysis[[#This Row],[Admin 2 P-Code]]&lt;&gt;"", tblPiNAnalysis[[#This Row],[Admin 2 P-Code]], tblPiNAnalysis[[#This Row],[Admin 1 P-Code]]&lt;&gt;"", tblPiNAnalysis[[#This Row],[Admin 1 P-Code]]))</f>
        <v>Non-hosting PopulationSD15031</v>
      </c>
      <c r="B465" s="245" t="s">
        <v>147</v>
      </c>
      <c r="C465" s="246" t="s">
        <v>132</v>
      </c>
      <c r="D465" s="247" t="s">
        <v>498</v>
      </c>
      <c r="E465" s="246" t="s">
        <v>499</v>
      </c>
      <c r="F465" s="248">
        <v>754177</v>
      </c>
      <c r="G465" s="248" t="s">
        <v>568</v>
      </c>
      <c r="H465" s="310"/>
      <c r="I465" s="311"/>
      <c r="J465" s="312"/>
      <c r="K465" s="311"/>
      <c r="L465" s="311"/>
      <c r="M465" s="312"/>
      <c r="N465" s="312">
        <f>_xlfn.XLOOKUP(CONCATENATE(tblPiNAnalysis[[#This Row],[Admin 2 P-Code]],tblPiNAnalysis[[#This Row],[Population Group]]),'Overall severity &amp; PIN Analysis'!A:A,'Overall severity &amp; PIN Analysis'!P:P,0,0)</f>
        <v>171697</v>
      </c>
      <c r="O465" s="311"/>
      <c r="P465" s="312"/>
      <c r="Q465" s="312"/>
      <c r="R465" s="312"/>
      <c r="S465" s="312"/>
      <c r="T465" s="313" t="str">
        <f>IF(tblPiNAnalysis[[#This Row],[Site Management ]]="", "", tblPiNAnalysis[[#This Row],[Site Management ]]/tblPiNAnalysis[[#This Row],[Total Population]])</f>
        <v/>
      </c>
      <c r="U465" s="314" t="str">
        <f>IF(tblPiNAnalysis[[#This Row],[Education]]="", "", tblPiNAnalysis[[#This Row],[Education]]/tblPiNAnalysis[[#This Row],[Total Population]])</f>
        <v/>
      </c>
      <c r="V465" s="314" t="str">
        <f>IF(tblPiNAnalysis[[#This Row],[Food Security and Livlihoods]]="", "", tblPiNAnalysis[[#This Row],[Food Security and Livlihoods]]/tblPiNAnalysis[[#This Row],[Total Population]])</f>
        <v/>
      </c>
      <c r="W465" s="315" t="str">
        <f>IF(tblPiNAnalysis[[#This Row],[Health ]]="", "", tblPiNAnalysis[[#This Row],[Health ]]/tblPiNAnalysis[[#This Row],[Total Population]])</f>
        <v/>
      </c>
      <c r="X465" s="314" t="str">
        <f>IF(tblPiNAnalysis[[#This Row],[Nutrition]]="", "", tblPiNAnalysis[[#This Row],[Nutrition]]/tblPiNAnalysis[[#This Row],[Total Population]])</f>
        <v/>
      </c>
      <c r="Y465" s="314" t="str">
        <f>IF(tblPiNAnalysis[[#This Row],[Protection]]="", "", tblPiNAnalysis[[#This Row],[Protection]]/tblPiNAnalysis[[#This Row],[Total Population]])</f>
        <v/>
      </c>
      <c r="Z465" s="316">
        <f>IF(tblPiNAnalysis[[#This Row],[Shelter NFI ]]="", "", tblPiNAnalysis[[#This Row],[Shelter NFI ]]/tblPiNAnalysis[[#This Row],[Total Population]])</f>
        <v>0.22766141104806961</v>
      </c>
      <c r="AA465" s="317" t="str">
        <f>IF(tblPiNAnalysis[[#This Row],[WASH]]="", "", tblPiNAnalysis[[#This Row],[WASH]]/tblPiNAnalysis[[#This Row],[Total Population]])</f>
        <v/>
      </c>
      <c r="AB465" s="318" t="str">
        <f>IFERROR(IF(tblPiNAnalysis[[#This Row],[CP]]="", "", MROUND(tblPiNAnalysis[[#This Row],[CP]]/tblPiNAnalysis[[#This Row],[Total Population]], 0.05)), "")</f>
        <v/>
      </c>
      <c r="AC465" s="314" t="str">
        <f>IFERROR(IF(tblPiNAnalysis[[#This Row],[GBV]]="", "", MROUND(tblPiNAnalysis[[#This Row],[GBV]]/tblPiNAnalysis[[#This Row],[Total Population]], 0.05)), "")</f>
        <v/>
      </c>
      <c r="AD465" s="314" t="str">
        <f>IFERROR(IF(tblPiNAnalysis[[#This Row],[Mine Action]]="", "", MROUND(tblPiNAnalysis[[#This Row],[Mine Action]]/tblPiNAnalysis[[#This Row],[Total Population]], 0.05)), "")</f>
        <v/>
      </c>
      <c r="AE465" s="314" t="str">
        <f>IFERROR(IF(tblPiNAnalysis[[#This Row],[General Protection]]="", "", MROUND(tblPiNAnalysis[[#This Row],[General Protection]]/tblPiNAnalysis[[#This Row],[Total Population]], 0.05)), "")</f>
        <v/>
      </c>
      <c r="AF465" s="319">
        <f>IFERROR(LARGE(tblPiNAnalysis[[#This Row],[Site Management ]:[General Protection]], 1), "")</f>
        <v>171697</v>
      </c>
      <c r="AG465" s="320">
        <f>IF(tblPiNAnalysis[[#This Row],[Highest PiN]]="", "",tblPiNAnalysis[[#This Row],[Highest PiN]]/ tblPiNAnalysis[[#This Row],[Total Population]])</f>
        <v>0.22766141104806961</v>
      </c>
      <c r="AH465" s="320" t="str">
        <f>IFERROR(IF(tblPiNAnalysis[[#This Row],[Highest PiN]]="", "", IF(tblPiNAnalysis[[#This Row],[Highest sector(s'') PiN %]]&gt;=flag_pin_perc, "Flagged", "")), "")</f>
        <v/>
      </c>
      <c r="AI465" s="321"/>
      <c r="AJ465" s="322"/>
      <c r="AK465" s="323">
        <f>COUNTIFS(tblPiNAnalysis[[#This Row],[Highest PiN greater than 90% of total affected population]:[Manual Flag]],"Flagged")</f>
        <v>0</v>
      </c>
      <c r="AL465" s="324" t="str">
        <f>IF(tblPiNAnalysis[[#This Row],['# Flags]]&gt;0, "Flagged", "")</f>
        <v/>
      </c>
    </row>
    <row r="466" spans="1:38" ht="23.1" hidden="1" customHeight="1" x14ac:dyDescent="0.2">
      <c r="A466" s="309" t="str">
        <f>_xlfn.CONCAT(IF(tblPiNAnalysis[[#This Row],[Population Group]]="", "",tblPiNAnalysis[[#This Row],[Population Group]] ), _xlfn.IFS(tblPiNAnalysis[[#This Row],[Admin 2 P-Code]]&lt;&gt;"", tblPiNAnalysis[[#This Row],[Admin 2 P-Code]], tblPiNAnalysis[[#This Row],[Admin 1 P-Code]]&lt;&gt;"", tblPiNAnalysis[[#This Row],[Admin 1 P-Code]]))</f>
        <v>Host CommunitySD15032</v>
      </c>
      <c r="B466" s="245" t="s">
        <v>147</v>
      </c>
      <c r="C466" s="246" t="s">
        <v>132</v>
      </c>
      <c r="D466" s="247" t="s">
        <v>500</v>
      </c>
      <c r="E466" s="246" t="s">
        <v>501</v>
      </c>
      <c r="F466" s="248">
        <v>35143</v>
      </c>
      <c r="G466" s="248" t="s">
        <v>87</v>
      </c>
      <c r="H466" s="310"/>
      <c r="I466" s="311"/>
      <c r="J466" s="312"/>
      <c r="K466" s="311"/>
      <c r="L466" s="311"/>
      <c r="M466" s="312"/>
      <c r="N466" s="312">
        <f>_xlfn.XLOOKUP(CONCATENATE(tblPiNAnalysis[[#This Row],[Admin 2 P-Code]],tblPiNAnalysis[[#This Row],[Population Group]]),'Overall severity &amp; PIN Analysis'!A:A,'Overall severity &amp; PIN Analysis'!P:P,0,0)</f>
        <v>8001</v>
      </c>
      <c r="O466" s="311"/>
      <c r="P466" s="312"/>
      <c r="Q466" s="312"/>
      <c r="R466" s="312"/>
      <c r="S466" s="312"/>
      <c r="T466" s="313" t="str">
        <f>IF(tblPiNAnalysis[[#This Row],[Site Management ]]="", "", tblPiNAnalysis[[#This Row],[Site Management ]]/tblPiNAnalysis[[#This Row],[Total Population]])</f>
        <v/>
      </c>
      <c r="U466" s="314" t="str">
        <f>IF(tblPiNAnalysis[[#This Row],[Education]]="", "", tblPiNAnalysis[[#This Row],[Education]]/tblPiNAnalysis[[#This Row],[Total Population]])</f>
        <v/>
      </c>
      <c r="V466" s="314" t="str">
        <f>IF(tblPiNAnalysis[[#This Row],[Food Security and Livlihoods]]="", "", tblPiNAnalysis[[#This Row],[Food Security and Livlihoods]]/tblPiNAnalysis[[#This Row],[Total Population]])</f>
        <v/>
      </c>
      <c r="W466" s="315" t="str">
        <f>IF(tblPiNAnalysis[[#This Row],[Health ]]="", "", tblPiNAnalysis[[#This Row],[Health ]]/tblPiNAnalysis[[#This Row],[Total Population]])</f>
        <v/>
      </c>
      <c r="X466" s="314" t="str">
        <f>IF(tblPiNAnalysis[[#This Row],[Nutrition]]="", "", tblPiNAnalysis[[#This Row],[Nutrition]]/tblPiNAnalysis[[#This Row],[Total Population]])</f>
        <v/>
      </c>
      <c r="Y466" s="314" t="str">
        <f>IF(tblPiNAnalysis[[#This Row],[Protection]]="", "", tblPiNAnalysis[[#This Row],[Protection]]/tblPiNAnalysis[[#This Row],[Total Population]])</f>
        <v/>
      </c>
      <c r="Z466" s="316">
        <f>IF(tblPiNAnalysis[[#This Row],[Shelter NFI ]]="", "", tblPiNAnalysis[[#This Row],[Shelter NFI ]]/tblPiNAnalysis[[#This Row],[Total Population]])</f>
        <v>0.22766980622029992</v>
      </c>
      <c r="AA466" s="317" t="str">
        <f>IF(tblPiNAnalysis[[#This Row],[WASH]]="", "", tblPiNAnalysis[[#This Row],[WASH]]/tblPiNAnalysis[[#This Row],[Total Population]])</f>
        <v/>
      </c>
      <c r="AB466" s="318" t="str">
        <f>IFERROR(IF(tblPiNAnalysis[[#This Row],[CP]]="", "", MROUND(tblPiNAnalysis[[#This Row],[CP]]/tblPiNAnalysis[[#This Row],[Total Population]], 0.05)), "")</f>
        <v/>
      </c>
      <c r="AC466" s="314" t="str">
        <f>IFERROR(IF(tblPiNAnalysis[[#This Row],[GBV]]="", "", MROUND(tblPiNAnalysis[[#This Row],[GBV]]/tblPiNAnalysis[[#This Row],[Total Population]], 0.05)), "")</f>
        <v/>
      </c>
      <c r="AD466" s="314" t="str">
        <f>IFERROR(IF(tblPiNAnalysis[[#This Row],[Mine Action]]="", "", MROUND(tblPiNAnalysis[[#This Row],[Mine Action]]/tblPiNAnalysis[[#This Row],[Total Population]], 0.05)), "")</f>
        <v/>
      </c>
      <c r="AE466" s="314" t="str">
        <f>IFERROR(IF(tblPiNAnalysis[[#This Row],[General Protection]]="", "", MROUND(tblPiNAnalysis[[#This Row],[General Protection]]/tblPiNAnalysis[[#This Row],[Total Population]], 0.05)), "")</f>
        <v/>
      </c>
      <c r="AF466" s="319">
        <f>IFERROR(LARGE(tblPiNAnalysis[[#This Row],[Site Management ]:[General Protection]], 1), "")</f>
        <v>8001</v>
      </c>
      <c r="AG466" s="320">
        <f>IF(tblPiNAnalysis[[#This Row],[Highest PiN]]="", "",tblPiNAnalysis[[#This Row],[Highest PiN]]/ tblPiNAnalysis[[#This Row],[Total Population]])</f>
        <v>0.22766980622029992</v>
      </c>
      <c r="AH466" s="320" t="str">
        <f>IFERROR(IF(tblPiNAnalysis[[#This Row],[Highest PiN]]="", "", IF(tblPiNAnalysis[[#This Row],[Highest sector(s'') PiN %]]&gt;=flag_pin_perc, "Flagged", "")), "")</f>
        <v/>
      </c>
      <c r="AI466" s="321"/>
      <c r="AJ466" s="322"/>
      <c r="AK466" s="323">
        <f>COUNTIFS(tblPiNAnalysis[[#This Row],[Highest PiN greater than 90% of total affected population]:[Manual Flag]],"Flagged")</f>
        <v>0</v>
      </c>
      <c r="AL466" s="324" t="str">
        <f>IF(tblPiNAnalysis[[#This Row],['# Flags]]&gt;0, "Flagged", "")</f>
        <v/>
      </c>
    </row>
    <row r="467" spans="1:38" ht="23.1" hidden="1" customHeight="1" x14ac:dyDescent="0.2">
      <c r="A467" s="309" t="str">
        <f>_xlfn.CONCAT(IF(tblPiNAnalysis[[#This Row],[Population Group]]="", "",tblPiNAnalysis[[#This Row],[Population Group]] ), _xlfn.IFS(tblPiNAnalysis[[#This Row],[Admin 2 P-Code]]&lt;&gt;"", tblPiNAnalysis[[#This Row],[Admin 2 P-Code]], tblPiNAnalysis[[#This Row],[Admin 1 P-Code]]&lt;&gt;"", tblPiNAnalysis[[#This Row],[Admin 1 P-Code]]))</f>
        <v>IDPsSD15032</v>
      </c>
      <c r="B467" s="245" t="s">
        <v>147</v>
      </c>
      <c r="C467" s="246" t="s">
        <v>132</v>
      </c>
      <c r="D467" s="247" t="s">
        <v>500</v>
      </c>
      <c r="E467" s="246" t="s">
        <v>501</v>
      </c>
      <c r="F467" s="248">
        <v>33941</v>
      </c>
      <c r="G467" s="248" t="s">
        <v>88</v>
      </c>
      <c r="H467" s="310"/>
      <c r="I467" s="311"/>
      <c r="J467" s="311"/>
      <c r="K467" s="311"/>
      <c r="L467" s="311"/>
      <c r="M467" s="311"/>
      <c r="N467" s="311">
        <f>_xlfn.XLOOKUP(CONCATENATE(tblPiNAnalysis[[#This Row],[Admin 2 P-Code]],tblPiNAnalysis[[#This Row],[Population Group]]),'Overall severity &amp; PIN Analysis'!A:A,'Overall severity &amp; PIN Analysis'!P:P,0,0)</f>
        <v>7727</v>
      </c>
      <c r="O467" s="311"/>
      <c r="P467" s="311"/>
      <c r="Q467" s="311"/>
      <c r="R467" s="311"/>
      <c r="S467" s="311"/>
      <c r="T467" s="326" t="str">
        <f>IF(tblPiNAnalysis[[#This Row],[Site Management ]]="", "", tblPiNAnalysis[[#This Row],[Site Management ]]/tblPiNAnalysis[[#This Row],[Total Population]])</f>
        <v/>
      </c>
      <c r="U467" s="315" t="str">
        <f>IF(tblPiNAnalysis[[#This Row],[Education]]="", "", tblPiNAnalysis[[#This Row],[Education]]/tblPiNAnalysis[[#This Row],[Total Population]])</f>
        <v/>
      </c>
      <c r="V467" s="315" t="str">
        <f>IF(tblPiNAnalysis[[#This Row],[Food Security and Livlihoods]]="", "", tblPiNAnalysis[[#This Row],[Food Security and Livlihoods]]/tblPiNAnalysis[[#This Row],[Total Population]])</f>
        <v/>
      </c>
      <c r="W467" s="315" t="str">
        <f>IF(tblPiNAnalysis[[#This Row],[Health ]]="", "", tblPiNAnalysis[[#This Row],[Health ]]/tblPiNAnalysis[[#This Row],[Total Population]])</f>
        <v/>
      </c>
      <c r="X467" s="315" t="str">
        <f>IF(tblPiNAnalysis[[#This Row],[Nutrition]]="", "", tblPiNAnalysis[[#This Row],[Nutrition]]/tblPiNAnalysis[[#This Row],[Total Population]])</f>
        <v/>
      </c>
      <c r="Y467" s="315" t="str">
        <f>IF(tblPiNAnalysis[[#This Row],[Protection]]="", "", tblPiNAnalysis[[#This Row],[Protection]]/tblPiNAnalysis[[#This Row],[Total Population]])</f>
        <v/>
      </c>
      <c r="Z467" s="327">
        <f>IF(tblPiNAnalysis[[#This Row],[Shelter NFI ]]="", "", tblPiNAnalysis[[#This Row],[Shelter NFI ]]/tblPiNAnalysis[[#This Row],[Total Population]])</f>
        <v>0.22765976252909462</v>
      </c>
      <c r="AA467" s="328" t="str">
        <f>IF(tblPiNAnalysis[[#This Row],[WASH]]="", "", tblPiNAnalysis[[#This Row],[WASH]]/tblPiNAnalysis[[#This Row],[Total Population]])</f>
        <v/>
      </c>
      <c r="AB467" s="329" t="str">
        <f>IFERROR(IF(tblPiNAnalysis[[#This Row],[CP]]="", "", MROUND(tblPiNAnalysis[[#This Row],[CP]]/tblPiNAnalysis[[#This Row],[Total Population]], 0.05)), "")</f>
        <v/>
      </c>
      <c r="AC467" s="315" t="str">
        <f>IFERROR(IF(tblPiNAnalysis[[#This Row],[GBV]]="", "", MROUND(tblPiNAnalysis[[#This Row],[GBV]]/tblPiNAnalysis[[#This Row],[Total Population]], 0.05)), "")</f>
        <v/>
      </c>
      <c r="AD467" s="315" t="str">
        <f>IFERROR(IF(tblPiNAnalysis[[#This Row],[Mine Action]]="", "", MROUND(tblPiNAnalysis[[#This Row],[Mine Action]]/tblPiNAnalysis[[#This Row],[Total Population]], 0.05)), "")</f>
        <v/>
      </c>
      <c r="AE467" s="315" t="str">
        <f>IFERROR(IF(tblPiNAnalysis[[#This Row],[General Protection]]="", "", MROUND(tblPiNAnalysis[[#This Row],[General Protection]]/tblPiNAnalysis[[#This Row],[Total Population]], 0.05)), "")</f>
        <v/>
      </c>
      <c r="AF467" s="319">
        <f>IFERROR(LARGE(tblPiNAnalysis[[#This Row],[Site Management ]:[General Protection]], 1), "")</f>
        <v>7727</v>
      </c>
      <c r="AG467" s="330">
        <f>IF(tblPiNAnalysis[[#This Row],[Highest PiN]]="", "",tblPiNAnalysis[[#This Row],[Highest PiN]]/ tblPiNAnalysis[[#This Row],[Total Population]])</f>
        <v>0.22765976252909462</v>
      </c>
      <c r="AH467" s="330" t="str">
        <f>IFERROR(IF(tblPiNAnalysis[[#This Row],[Highest PiN]]="", "", IF(tblPiNAnalysis[[#This Row],[Highest sector(s'') PiN %]]&gt;=flag_pin_perc, "Flagged", "")), "")</f>
        <v/>
      </c>
      <c r="AI467" s="321"/>
      <c r="AJ467" s="322"/>
      <c r="AK467" s="323">
        <f>COUNTIFS(tblPiNAnalysis[[#This Row],[Highest PiN greater than 90% of total affected population]:[Manual Flag]],"Flagged")</f>
        <v>0</v>
      </c>
      <c r="AL467" s="331" t="str">
        <f>IF(tblPiNAnalysis[[#This Row],['# Flags]]&gt;0, "Flagged", "")</f>
        <v/>
      </c>
    </row>
    <row r="468" spans="1:38" ht="23.1" customHeight="1" x14ac:dyDescent="0.2">
      <c r="A468" s="309" t="str">
        <f>_xlfn.CONCAT(IF(tblPiNAnalysis[[#This Row],[Population Group]]="", "",tblPiNAnalysis[[#This Row],[Population Group]] ), _xlfn.IFS(tblPiNAnalysis[[#This Row],[Admin 2 P-Code]]&lt;&gt;"", tblPiNAnalysis[[#This Row],[Admin 2 P-Code]], tblPiNAnalysis[[#This Row],[Admin 1 P-Code]]&lt;&gt;"", tblPiNAnalysis[[#This Row],[Admin 1 P-Code]]))</f>
        <v>Non-hosting PopulationSD15032</v>
      </c>
      <c r="B468" s="245" t="s">
        <v>147</v>
      </c>
      <c r="C468" s="246" t="s">
        <v>132</v>
      </c>
      <c r="D468" s="247" t="s">
        <v>500</v>
      </c>
      <c r="E468" s="246" t="s">
        <v>501</v>
      </c>
      <c r="F468" s="248">
        <v>295661</v>
      </c>
      <c r="G468" s="248" t="s">
        <v>568</v>
      </c>
      <c r="H468" s="310"/>
      <c r="I468" s="311"/>
      <c r="J468" s="312"/>
      <c r="K468" s="311"/>
      <c r="L468" s="311"/>
      <c r="M468" s="312"/>
      <c r="N468" s="312">
        <f>_xlfn.XLOOKUP(CONCATENATE(tblPiNAnalysis[[#This Row],[Admin 2 P-Code]],tblPiNAnalysis[[#This Row],[Population Group]]),'Overall severity &amp; PIN Analysis'!A:A,'Overall severity &amp; PIN Analysis'!P:P,0,0)</f>
        <v>67311</v>
      </c>
      <c r="O468" s="311"/>
      <c r="P468" s="312"/>
      <c r="Q468" s="312"/>
      <c r="R468" s="312"/>
      <c r="S468" s="312"/>
      <c r="T468" s="313" t="str">
        <f>IF(tblPiNAnalysis[[#This Row],[Site Management ]]="", "", tblPiNAnalysis[[#This Row],[Site Management ]]/tblPiNAnalysis[[#This Row],[Total Population]])</f>
        <v/>
      </c>
      <c r="U468" s="314" t="str">
        <f>IF(tblPiNAnalysis[[#This Row],[Education]]="", "", tblPiNAnalysis[[#This Row],[Education]]/tblPiNAnalysis[[#This Row],[Total Population]])</f>
        <v/>
      </c>
      <c r="V468" s="314" t="str">
        <f>IF(tblPiNAnalysis[[#This Row],[Food Security and Livlihoods]]="", "", tblPiNAnalysis[[#This Row],[Food Security and Livlihoods]]/tblPiNAnalysis[[#This Row],[Total Population]])</f>
        <v/>
      </c>
      <c r="W468" s="315" t="str">
        <f>IF(tblPiNAnalysis[[#This Row],[Health ]]="", "", tblPiNAnalysis[[#This Row],[Health ]]/tblPiNAnalysis[[#This Row],[Total Population]])</f>
        <v/>
      </c>
      <c r="X468" s="314" t="str">
        <f>IF(tblPiNAnalysis[[#This Row],[Nutrition]]="", "", tblPiNAnalysis[[#This Row],[Nutrition]]/tblPiNAnalysis[[#This Row],[Total Population]])</f>
        <v/>
      </c>
      <c r="Y468" s="314" t="str">
        <f>IF(tblPiNAnalysis[[#This Row],[Protection]]="", "", tblPiNAnalysis[[#This Row],[Protection]]/tblPiNAnalysis[[#This Row],[Total Population]])</f>
        <v/>
      </c>
      <c r="Z468" s="316">
        <f>IF(tblPiNAnalysis[[#This Row],[Shelter NFI ]]="", "", tblPiNAnalysis[[#This Row],[Shelter NFI ]]/tblPiNAnalysis[[#This Row],[Total Population]])</f>
        <v>0.22766276242047481</v>
      </c>
      <c r="AA468" s="317" t="str">
        <f>IF(tblPiNAnalysis[[#This Row],[WASH]]="", "", tblPiNAnalysis[[#This Row],[WASH]]/tblPiNAnalysis[[#This Row],[Total Population]])</f>
        <v/>
      </c>
      <c r="AB468" s="318" t="str">
        <f>IFERROR(IF(tblPiNAnalysis[[#This Row],[CP]]="", "", MROUND(tblPiNAnalysis[[#This Row],[CP]]/tblPiNAnalysis[[#This Row],[Total Population]], 0.05)), "")</f>
        <v/>
      </c>
      <c r="AC468" s="314" t="str">
        <f>IFERROR(IF(tblPiNAnalysis[[#This Row],[GBV]]="", "", MROUND(tblPiNAnalysis[[#This Row],[GBV]]/tblPiNAnalysis[[#This Row],[Total Population]], 0.05)), "")</f>
        <v/>
      </c>
      <c r="AD468" s="314" t="str">
        <f>IFERROR(IF(tblPiNAnalysis[[#This Row],[Mine Action]]="", "", MROUND(tblPiNAnalysis[[#This Row],[Mine Action]]/tblPiNAnalysis[[#This Row],[Total Population]], 0.05)), "")</f>
        <v/>
      </c>
      <c r="AE468" s="314" t="str">
        <f>IFERROR(IF(tblPiNAnalysis[[#This Row],[General Protection]]="", "", MROUND(tblPiNAnalysis[[#This Row],[General Protection]]/tblPiNAnalysis[[#This Row],[Total Population]], 0.05)), "")</f>
        <v/>
      </c>
      <c r="AF468" s="319">
        <f>IFERROR(LARGE(tblPiNAnalysis[[#This Row],[Site Management ]:[General Protection]], 1), "")</f>
        <v>67311</v>
      </c>
      <c r="AG468" s="320">
        <f>IF(tblPiNAnalysis[[#This Row],[Highest PiN]]="", "",tblPiNAnalysis[[#This Row],[Highest PiN]]/ tblPiNAnalysis[[#This Row],[Total Population]])</f>
        <v>0.22766276242047481</v>
      </c>
      <c r="AH468" s="320" t="str">
        <f>IFERROR(IF(tblPiNAnalysis[[#This Row],[Highest PiN]]="", "", IF(tblPiNAnalysis[[#This Row],[Highest sector(s'') PiN %]]&gt;=flag_pin_perc, "Flagged", "")), "")</f>
        <v/>
      </c>
      <c r="AI468" s="321"/>
      <c r="AJ468" s="322"/>
      <c r="AK468" s="323">
        <f>COUNTIFS(tblPiNAnalysis[[#This Row],[Highest PiN greater than 90% of total affected population]:[Manual Flag]],"Flagged")</f>
        <v>0</v>
      </c>
      <c r="AL468" s="324" t="str">
        <f>IF(tblPiNAnalysis[[#This Row],['# Flags]]&gt;0, "Flagged", "")</f>
        <v/>
      </c>
    </row>
    <row r="469" spans="1:38" ht="23.1" hidden="1" customHeight="1" x14ac:dyDescent="0.2">
      <c r="A469" s="309" t="str">
        <f>_xlfn.CONCAT(IF(tblPiNAnalysis[[#This Row],[Population Group]]="", "",tblPiNAnalysis[[#This Row],[Population Group]] ), _xlfn.IFS(tblPiNAnalysis[[#This Row],[Admin 2 P-Code]]&lt;&gt;"", tblPiNAnalysis[[#This Row],[Admin 2 P-Code]], tblPiNAnalysis[[#This Row],[Admin 1 P-Code]]&lt;&gt;"", tblPiNAnalysis[[#This Row],[Admin 1 P-Code]]))</f>
        <v>Host CommunitySD15033</v>
      </c>
      <c r="B469" s="245" t="s">
        <v>147</v>
      </c>
      <c r="C469" s="246" t="s">
        <v>132</v>
      </c>
      <c r="D469" s="247" t="s">
        <v>502</v>
      </c>
      <c r="E469" s="246" t="s">
        <v>503</v>
      </c>
      <c r="F469" s="248">
        <v>31901</v>
      </c>
      <c r="G469" s="248" t="s">
        <v>87</v>
      </c>
      <c r="H469" s="310"/>
      <c r="I469" s="311"/>
      <c r="J469" s="312"/>
      <c r="K469" s="311"/>
      <c r="L469" s="311"/>
      <c r="M469" s="312"/>
      <c r="N469" s="312">
        <f>_xlfn.XLOOKUP(CONCATENATE(tblPiNAnalysis[[#This Row],[Admin 2 P-Code]],tblPiNAnalysis[[#This Row],[Population Group]]),'Overall severity &amp; PIN Analysis'!A:A,'Overall severity &amp; PIN Analysis'!P:P,0,0)</f>
        <v>7262</v>
      </c>
      <c r="O469" s="311"/>
      <c r="P469" s="312"/>
      <c r="Q469" s="312"/>
      <c r="R469" s="312"/>
      <c r="S469" s="312"/>
      <c r="T469" s="313" t="str">
        <f>IF(tblPiNAnalysis[[#This Row],[Site Management ]]="", "", tblPiNAnalysis[[#This Row],[Site Management ]]/tblPiNAnalysis[[#This Row],[Total Population]])</f>
        <v/>
      </c>
      <c r="U469" s="314" t="str">
        <f>IF(tblPiNAnalysis[[#This Row],[Education]]="", "", tblPiNAnalysis[[#This Row],[Education]]/tblPiNAnalysis[[#This Row],[Total Population]])</f>
        <v/>
      </c>
      <c r="V469" s="314" t="str">
        <f>IF(tblPiNAnalysis[[#This Row],[Food Security and Livlihoods]]="", "", tblPiNAnalysis[[#This Row],[Food Security and Livlihoods]]/tblPiNAnalysis[[#This Row],[Total Population]])</f>
        <v/>
      </c>
      <c r="W469" s="315" t="str">
        <f>IF(tblPiNAnalysis[[#This Row],[Health ]]="", "", tblPiNAnalysis[[#This Row],[Health ]]/tblPiNAnalysis[[#This Row],[Total Population]])</f>
        <v/>
      </c>
      <c r="X469" s="314" t="str">
        <f>IF(tblPiNAnalysis[[#This Row],[Nutrition]]="", "", tblPiNAnalysis[[#This Row],[Nutrition]]/tblPiNAnalysis[[#This Row],[Total Population]])</f>
        <v/>
      </c>
      <c r="Y469" s="314" t="str">
        <f>IF(tblPiNAnalysis[[#This Row],[Protection]]="", "", tblPiNAnalysis[[#This Row],[Protection]]/tblPiNAnalysis[[#This Row],[Total Population]])</f>
        <v/>
      </c>
      <c r="Z469" s="316">
        <f>IF(tblPiNAnalysis[[#This Row],[Shelter NFI ]]="", "", tblPiNAnalysis[[#This Row],[Shelter NFI ]]/tblPiNAnalysis[[#This Row],[Total Population]])</f>
        <v>0.22764176671577693</v>
      </c>
      <c r="AA469" s="317" t="str">
        <f>IF(tblPiNAnalysis[[#This Row],[WASH]]="", "", tblPiNAnalysis[[#This Row],[WASH]]/tblPiNAnalysis[[#This Row],[Total Population]])</f>
        <v/>
      </c>
      <c r="AB469" s="318" t="str">
        <f>IFERROR(IF(tblPiNAnalysis[[#This Row],[CP]]="", "", MROUND(tblPiNAnalysis[[#This Row],[CP]]/tblPiNAnalysis[[#This Row],[Total Population]], 0.05)), "")</f>
        <v/>
      </c>
      <c r="AC469" s="314" t="str">
        <f>IFERROR(IF(tblPiNAnalysis[[#This Row],[GBV]]="", "", MROUND(tblPiNAnalysis[[#This Row],[GBV]]/tblPiNAnalysis[[#This Row],[Total Population]], 0.05)), "")</f>
        <v/>
      </c>
      <c r="AD469" s="314" t="str">
        <f>IFERROR(IF(tblPiNAnalysis[[#This Row],[Mine Action]]="", "", MROUND(tblPiNAnalysis[[#This Row],[Mine Action]]/tblPiNAnalysis[[#This Row],[Total Population]], 0.05)), "")</f>
        <v/>
      </c>
      <c r="AE469" s="314" t="str">
        <f>IFERROR(IF(tblPiNAnalysis[[#This Row],[General Protection]]="", "", MROUND(tblPiNAnalysis[[#This Row],[General Protection]]/tblPiNAnalysis[[#This Row],[Total Population]], 0.05)), "")</f>
        <v/>
      </c>
      <c r="AF469" s="319">
        <f>IFERROR(LARGE(tblPiNAnalysis[[#This Row],[Site Management ]:[General Protection]], 1), "")</f>
        <v>7262</v>
      </c>
      <c r="AG469" s="320">
        <f>IF(tblPiNAnalysis[[#This Row],[Highest PiN]]="", "",tblPiNAnalysis[[#This Row],[Highest PiN]]/ tblPiNAnalysis[[#This Row],[Total Population]])</f>
        <v>0.22764176671577693</v>
      </c>
      <c r="AH469" s="320" t="str">
        <f>IFERROR(IF(tblPiNAnalysis[[#This Row],[Highest PiN]]="", "", IF(tblPiNAnalysis[[#This Row],[Highest sector(s'') PiN %]]&gt;=flag_pin_perc, "Flagged", "")), "")</f>
        <v/>
      </c>
      <c r="AI469" s="321"/>
      <c r="AJ469" s="322"/>
      <c r="AK469" s="323">
        <f>COUNTIFS(tblPiNAnalysis[[#This Row],[Highest PiN greater than 90% of total affected population]:[Manual Flag]],"Flagged")</f>
        <v>0</v>
      </c>
      <c r="AL469" s="324" t="str">
        <f>IF(tblPiNAnalysis[[#This Row],['# Flags]]&gt;0, "Flagged", "")</f>
        <v/>
      </c>
    </row>
    <row r="470" spans="1:38" ht="23.1" hidden="1" customHeight="1" x14ac:dyDescent="0.2">
      <c r="A470" s="309" t="str">
        <f>_xlfn.CONCAT(IF(tblPiNAnalysis[[#This Row],[Population Group]]="", "",tblPiNAnalysis[[#This Row],[Population Group]] ), _xlfn.IFS(tblPiNAnalysis[[#This Row],[Admin 2 P-Code]]&lt;&gt;"", tblPiNAnalysis[[#This Row],[Admin 2 P-Code]], tblPiNAnalysis[[#This Row],[Admin 1 P-Code]]&lt;&gt;"", tblPiNAnalysis[[#This Row],[Admin 1 P-Code]]))</f>
        <v>IDPsSD15033</v>
      </c>
      <c r="B470" s="245" t="s">
        <v>147</v>
      </c>
      <c r="C470" s="246" t="s">
        <v>132</v>
      </c>
      <c r="D470" s="247" t="s">
        <v>502</v>
      </c>
      <c r="E470" s="246" t="s">
        <v>503</v>
      </c>
      <c r="F470" s="248">
        <v>32763</v>
      </c>
      <c r="G470" s="248" t="s">
        <v>88</v>
      </c>
      <c r="H470" s="310"/>
      <c r="I470" s="311"/>
      <c r="J470" s="311"/>
      <c r="K470" s="311"/>
      <c r="L470" s="311"/>
      <c r="M470" s="311"/>
      <c r="N470" s="311">
        <f>_xlfn.XLOOKUP(CONCATENATE(tblPiNAnalysis[[#This Row],[Admin 2 P-Code]],tblPiNAnalysis[[#This Row],[Population Group]]),'Overall severity &amp; PIN Analysis'!A:A,'Overall severity &amp; PIN Analysis'!P:P,0,0)</f>
        <v>7459</v>
      </c>
      <c r="O470" s="311"/>
      <c r="P470" s="311"/>
      <c r="Q470" s="311"/>
      <c r="R470" s="311"/>
      <c r="S470" s="311"/>
      <c r="T470" s="326" t="str">
        <f>IF(tblPiNAnalysis[[#This Row],[Site Management ]]="", "", tblPiNAnalysis[[#This Row],[Site Management ]]/tblPiNAnalysis[[#This Row],[Total Population]])</f>
        <v/>
      </c>
      <c r="U470" s="315" t="str">
        <f>IF(tblPiNAnalysis[[#This Row],[Education]]="", "", tblPiNAnalysis[[#This Row],[Education]]/tblPiNAnalysis[[#This Row],[Total Population]])</f>
        <v/>
      </c>
      <c r="V470" s="315" t="str">
        <f>IF(tblPiNAnalysis[[#This Row],[Food Security and Livlihoods]]="", "", tblPiNAnalysis[[#This Row],[Food Security and Livlihoods]]/tblPiNAnalysis[[#This Row],[Total Population]])</f>
        <v/>
      </c>
      <c r="W470" s="315" t="str">
        <f>IF(tblPiNAnalysis[[#This Row],[Health ]]="", "", tblPiNAnalysis[[#This Row],[Health ]]/tblPiNAnalysis[[#This Row],[Total Population]])</f>
        <v/>
      </c>
      <c r="X470" s="315" t="str">
        <f>IF(tblPiNAnalysis[[#This Row],[Nutrition]]="", "", tblPiNAnalysis[[#This Row],[Nutrition]]/tblPiNAnalysis[[#This Row],[Total Population]])</f>
        <v/>
      </c>
      <c r="Y470" s="315" t="str">
        <f>IF(tblPiNAnalysis[[#This Row],[Protection]]="", "", tblPiNAnalysis[[#This Row],[Protection]]/tblPiNAnalysis[[#This Row],[Total Population]])</f>
        <v/>
      </c>
      <c r="Z470" s="327">
        <f>IF(tblPiNAnalysis[[#This Row],[Shelter NFI ]]="", "", tblPiNAnalysis[[#This Row],[Shelter NFI ]]/tblPiNAnalysis[[#This Row],[Total Population]])</f>
        <v>0.22766535421054238</v>
      </c>
      <c r="AA470" s="328" t="str">
        <f>IF(tblPiNAnalysis[[#This Row],[WASH]]="", "", tblPiNAnalysis[[#This Row],[WASH]]/tblPiNAnalysis[[#This Row],[Total Population]])</f>
        <v/>
      </c>
      <c r="AB470" s="329" t="str">
        <f>IFERROR(IF(tblPiNAnalysis[[#This Row],[CP]]="", "", MROUND(tblPiNAnalysis[[#This Row],[CP]]/tblPiNAnalysis[[#This Row],[Total Population]], 0.05)), "")</f>
        <v/>
      </c>
      <c r="AC470" s="315" t="str">
        <f>IFERROR(IF(tblPiNAnalysis[[#This Row],[GBV]]="", "", MROUND(tblPiNAnalysis[[#This Row],[GBV]]/tblPiNAnalysis[[#This Row],[Total Population]], 0.05)), "")</f>
        <v/>
      </c>
      <c r="AD470" s="315" t="str">
        <f>IFERROR(IF(tblPiNAnalysis[[#This Row],[Mine Action]]="", "", MROUND(tblPiNAnalysis[[#This Row],[Mine Action]]/tblPiNAnalysis[[#This Row],[Total Population]], 0.05)), "")</f>
        <v/>
      </c>
      <c r="AE470" s="315" t="str">
        <f>IFERROR(IF(tblPiNAnalysis[[#This Row],[General Protection]]="", "", MROUND(tblPiNAnalysis[[#This Row],[General Protection]]/tblPiNAnalysis[[#This Row],[Total Population]], 0.05)), "")</f>
        <v/>
      </c>
      <c r="AF470" s="319">
        <f>IFERROR(LARGE(tblPiNAnalysis[[#This Row],[Site Management ]:[General Protection]], 1), "")</f>
        <v>7459</v>
      </c>
      <c r="AG470" s="330">
        <f>IF(tblPiNAnalysis[[#This Row],[Highest PiN]]="", "",tblPiNAnalysis[[#This Row],[Highest PiN]]/ tblPiNAnalysis[[#This Row],[Total Population]])</f>
        <v>0.22766535421054238</v>
      </c>
      <c r="AH470" s="330" t="str">
        <f>IFERROR(IF(tblPiNAnalysis[[#This Row],[Highest PiN]]="", "", IF(tblPiNAnalysis[[#This Row],[Highest sector(s'') PiN %]]&gt;=flag_pin_perc, "Flagged", "")), "")</f>
        <v/>
      </c>
      <c r="AI470" s="321"/>
      <c r="AJ470" s="322"/>
      <c r="AK470" s="323">
        <f>COUNTIFS(tblPiNAnalysis[[#This Row],[Highest PiN greater than 90% of total affected population]:[Manual Flag]],"Flagged")</f>
        <v>0</v>
      </c>
      <c r="AL470" s="331" t="str">
        <f>IF(tblPiNAnalysis[[#This Row],['# Flags]]&gt;0, "Flagged", "")</f>
        <v/>
      </c>
    </row>
    <row r="471" spans="1:38" ht="23.1" customHeight="1" x14ac:dyDescent="0.2">
      <c r="A471" s="309" t="str">
        <f>_xlfn.CONCAT(IF(tblPiNAnalysis[[#This Row],[Population Group]]="", "",tblPiNAnalysis[[#This Row],[Population Group]] ), _xlfn.IFS(tblPiNAnalysis[[#This Row],[Admin 2 P-Code]]&lt;&gt;"", tblPiNAnalysis[[#This Row],[Admin 2 P-Code]], tblPiNAnalysis[[#This Row],[Admin 1 P-Code]]&lt;&gt;"", tblPiNAnalysis[[#This Row],[Admin 1 P-Code]]))</f>
        <v>Non-hosting PopulationSD15033</v>
      </c>
      <c r="B471" s="245" t="s">
        <v>147</v>
      </c>
      <c r="C471" s="246" t="s">
        <v>132</v>
      </c>
      <c r="D471" s="247" t="s">
        <v>502</v>
      </c>
      <c r="E471" s="246" t="s">
        <v>503</v>
      </c>
      <c r="F471" s="248">
        <v>599444</v>
      </c>
      <c r="G471" s="248" t="s">
        <v>568</v>
      </c>
      <c r="H471" s="310"/>
      <c r="I471" s="311"/>
      <c r="J471" s="312"/>
      <c r="K471" s="311"/>
      <c r="L471" s="311"/>
      <c r="M471" s="312"/>
      <c r="N471" s="312">
        <f>_xlfn.XLOOKUP(CONCATENATE(tblPiNAnalysis[[#This Row],[Admin 2 P-Code]],tblPiNAnalysis[[#This Row],[Population Group]]),'Overall severity &amp; PIN Analysis'!A:A,'Overall severity &amp; PIN Analysis'!P:P,0,0)</f>
        <v>136471</v>
      </c>
      <c r="O471" s="311"/>
      <c r="P471" s="312"/>
      <c r="Q471" s="312"/>
      <c r="R471" s="312"/>
      <c r="S471" s="312"/>
      <c r="T471" s="313" t="str">
        <f>IF(tblPiNAnalysis[[#This Row],[Site Management ]]="", "", tblPiNAnalysis[[#This Row],[Site Management ]]/tblPiNAnalysis[[#This Row],[Total Population]])</f>
        <v/>
      </c>
      <c r="U471" s="314" t="str">
        <f>IF(tblPiNAnalysis[[#This Row],[Education]]="", "", tblPiNAnalysis[[#This Row],[Education]]/tblPiNAnalysis[[#This Row],[Total Population]])</f>
        <v/>
      </c>
      <c r="V471" s="314" t="str">
        <f>IF(tblPiNAnalysis[[#This Row],[Food Security and Livlihoods]]="", "", tblPiNAnalysis[[#This Row],[Food Security and Livlihoods]]/tblPiNAnalysis[[#This Row],[Total Population]])</f>
        <v/>
      </c>
      <c r="W471" s="315" t="str">
        <f>IF(tblPiNAnalysis[[#This Row],[Health ]]="", "", tblPiNAnalysis[[#This Row],[Health ]]/tblPiNAnalysis[[#This Row],[Total Population]])</f>
        <v/>
      </c>
      <c r="X471" s="314" t="str">
        <f>IF(tblPiNAnalysis[[#This Row],[Nutrition]]="", "", tblPiNAnalysis[[#This Row],[Nutrition]]/tblPiNAnalysis[[#This Row],[Total Population]])</f>
        <v/>
      </c>
      <c r="Y471" s="314" t="str">
        <f>IF(tblPiNAnalysis[[#This Row],[Protection]]="", "", tblPiNAnalysis[[#This Row],[Protection]]/tblPiNAnalysis[[#This Row],[Total Population]])</f>
        <v/>
      </c>
      <c r="Z471" s="316">
        <f>IF(tblPiNAnalysis[[#This Row],[Shelter NFI ]]="", "", tblPiNAnalysis[[#This Row],[Shelter NFI ]]/tblPiNAnalysis[[#This Row],[Total Population]])</f>
        <v>0.22766263404087789</v>
      </c>
      <c r="AA471" s="317" t="str">
        <f>IF(tblPiNAnalysis[[#This Row],[WASH]]="", "", tblPiNAnalysis[[#This Row],[WASH]]/tblPiNAnalysis[[#This Row],[Total Population]])</f>
        <v/>
      </c>
      <c r="AB471" s="318" t="str">
        <f>IFERROR(IF(tblPiNAnalysis[[#This Row],[CP]]="", "", MROUND(tblPiNAnalysis[[#This Row],[CP]]/tblPiNAnalysis[[#This Row],[Total Population]], 0.05)), "")</f>
        <v/>
      </c>
      <c r="AC471" s="314" t="str">
        <f>IFERROR(IF(tblPiNAnalysis[[#This Row],[GBV]]="", "", MROUND(tblPiNAnalysis[[#This Row],[GBV]]/tblPiNAnalysis[[#This Row],[Total Population]], 0.05)), "")</f>
        <v/>
      </c>
      <c r="AD471" s="314" t="str">
        <f>IFERROR(IF(tblPiNAnalysis[[#This Row],[Mine Action]]="", "", MROUND(tblPiNAnalysis[[#This Row],[Mine Action]]/tblPiNAnalysis[[#This Row],[Total Population]], 0.05)), "")</f>
        <v/>
      </c>
      <c r="AE471" s="314" t="str">
        <f>IFERROR(IF(tblPiNAnalysis[[#This Row],[General Protection]]="", "", MROUND(tblPiNAnalysis[[#This Row],[General Protection]]/tblPiNAnalysis[[#This Row],[Total Population]], 0.05)), "")</f>
        <v/>
      </c>
      <c r="AF471" s="319">
        <f>IFERROR(LARGE(tblPiNAnalysis[[#This Row],[Site Management ]:[General Protection]], 1), "")</f>
        <v>136471</v>
      </c>
      <c r="AG471" s="320">
        <f>IF(tblPiNAnalysis[[#This Row],[Highest PiN]]="", "",tblPiNAnalysis[[#This Row],[Highest PiN]]/ tblPiNAnalysis[[#This Row],[Total Population]])</f>
        <v>0.22766263404087789</v>
      </c>
      <c r="AH471" s="320" t="str">
        <f>IFERROR(IF(tblPiNAnalysis[[#This Row],[Highest PiN]]="", "", IF(tblPiNAnalysis[[#This Row],[Highest sector(s'') PiN %]]&gt;=flag_pin_perc, "Flagged", "")), "")</f>
        <v/>
      </c>
      <c r="AI471" s="321"/>
      <c r="AJ471" s="322"/>
      <c r="AK471" s="323">
        <f>COUNTIFS(tblPiNAnalysis[[#This Row],[Highest PiN greater than 90% of total affected population]:[Manual Flag]],"Flagged")</f>
        <v>0</v>
      </c>
      <c r="AL471" s="324" t="str">
        <f>IF(tblPiNAnalysis[[#This Row],['# Flags]]&gt;0, "Flagged", "")</f>
        <v/>
      </c>
    </row>
    <row r="472" spans="1:38" ht="23.1" hidden="1" customHeight="1" x14ac:dyDescent="0.2">
      <c r="A472" s="309" t="str">
        <f>_xlfn.CONCAT(IF(tblPiNAnalysis[[#This Row],[Population Group]]="", "",tblPiNAnalysis[[#This Row],[Population Group]] ), _xlfn.IFS(tblPiNAnalysis[[#This Row],[Admin 2 P-Code]]&lt;&gt;"", tblPiNAnalysis[[#This Row],[Admin 2 P-Code]], tblPiNAnalysis[[#This Row],[Admin 1 P-Code]]&lt;&gt;"", tblPiNAnalysis[[#This Row],[Admin 1 P-Code]]))</f>
        <v>Host CommunitySD15034</v>
      </c>
      <c r="B472" s="245" t="s">
        <v>147</v>
      </c>
      <c r="C472" s="246" t="s">
        <v>132</v>
      </c>
      <c r="D472" s="247" t="s">
        <v>504</v>
      </c>
      <c r="E472" s="246" t="s">
        <v>505</v>
      </c>
      <c r="F472" s="248">
        <v>62155</v>
      </c>
      <c r="G472" s="248" t="s">
        <v>87</v>
      </c>
      <c r="H472" s="310"/>
      <c r="I472" s="311"/>
      <c r="J472" s="312"/>
      <c r="K472" s="311"/>
      <c r="L472" s="311"/>
      <c r="M472" s="312"/>
      <c r="N472" s="312">
        <f>_xlfn.XLOOKUP(CONCATENATE(tblPiNAnalysis[[#This Row],[Admin 2 P-Code]],tblPiNAnalysis[[#This Row],[Population Group]]),'Overall severity &amp; PIN Analysis'!A:A,'Overall severity &amp; PIN Analysis'!P:P,0,0)</f>
        <v>14151</v>
      </c>
      <c r="O472" s="311"/>
      <c r="P472" s="312"/>
      <c r="Q472" s="312"/>
      <c r="R472" s="312"/>
      <c r="S472" s="312"/>
      <c r="T472" s="313" t="str">
        <f>IF(tblPiNAnalysis[[#This Row],[Site Management ]]="", "", tblPiNAnalysis[[#This Row],[Site Management ]]/tblPiNAnalysis[[#This Row],[Total Population]])</f>
        <v/>
      </c>
      <c r="U472" s="314" t="str">
        <f>IF(tblPiNAnalysis[[#This Row],[Education]]="", "", tblPiNAnalysis[[#This Row],[Education]]/tblPiNAnalysis[[#This Row],[Total Population]])</f>
        <v/>
      </c>
      <c r="V472" s="314" t="str">
        <f>IF(tblPiNAnalysis[[#This Row],[Food Security and Livlihoods]]="", "", tblPiNAnalysis[[#This Row],[Food Security and Livlihoods]]/tblPiNAnalysis[[#This Row],[Total Population]])</f>
        <v/>
      </c>
      <c r="W472" s="315" t="str">
        <f>IF(tblPiNAnalysis[[#This Row],[Health ]]="", "", tblPiNAnalysis[[#This Row],[Health ]]/tblPiNAnalysis[[#This Row],[Total Population]])</f>
        <v/>
      </c>
      <c r="X472" s="314" t="str">
        <f>IF(tblPiNAnalysis[[#This Row],[Nutrition]]="", "", tblPiNAnalysis[[#This Row],[Nutrition]]/tblPiNAnalysis[[#This Row],[Total Population]])</f>
        <v/>
      </c>
      <c r="Y472" s="314" t="str">
        <f>IF(tblPiNAnalysis[[#This Row],[Protection]]="", "", tblPiNAnalysis[[#This Row],[Protection]]/tblPiNAnalysis[[#This Row],[Total Population]])</f>
        <v/>
      </c>
      <c r="Z472" s="316">
        <f>IF(tblPiNAnalysis[[#This Row],[Shelter NFI ]]="", "", tblPiNAnalysis[[#This Row],[Shelter NFI ]]/tblPiNAnalysis[[#This Row],[Total Population]])</f>
        <v>0.2276727535998713</v>
      </c>
      <c r="AA472" s="317" t="str">
        <f>IF(tblPiNAnalysis[[#This Row],[WASH]]="", "", tblPiNAnalysis[[#This Row],[WASH]]/tblPiNAnalysis[[#This Row],[Total Population]])</f>
        <v/>
      </c>
      <c r="AB472" s="318" t="str">
        <f>IFERROR(IF(tblPiNAnalysis[[#This Row],[CP]]="", "", MROUND(tblPiNAnalysis[[#This Row],[CP]]/tblPiNAnalysis[[#This Row],[Total Population]], 0.05)), "")</f>
        <v/>
      </c>
      <c r="AC472" s="314" t="str">
        <f>IFERROR(IF(tblPiNAnalysis[[#This Row],[GBV]]="", "", MROUND(tblPiNAnalysis[[#This Row],[GBV]]/tblPiNAnalysis[[#This Row],[Total Population]], 0.05)), "")</f>
        <v/>
      </c>
      <c r="AD472" s="314" t="str">
        <f>IFERROR(IF(tblPiNAnalysis[[#This Row],[Mine Action]]="", "", MROUND(tblPiNAnalysis[[#This Row],[Mine Action]]/tblPiNAnalysis[[#This Row],[Total Population]], 0.05)), "")</f>
        <v/>
      </c>
      <c r="AE472" s="314" t="str">
        <f>IFERROR(IF(tblPiNAnalysis[[#This Row],[General Protection]]="", "", MROUND(tblPiNAnalysis[[#This Row],[General Protection]]/tblPiNAnalysis[[#This Row],[Total Population]], 0.05)), "")</f>
        <v/>
      </c>
      <c r="AF472" s="319">
        <f>IFERROR(LARGE(tblPiNAnalysis[[#This Row],[Site Management ]:[General Protection]], 1), "")</f>
        <v>14151</v>
      </c>
      <c r="AG472" s="320">
        <f>IF(tblPiNAnalysis[[#This Row],[Highest PiN]]="", "",tblPiNAnalysis[[#This Row],[Highest PiN]]/ tblPiNAnalysis[[#This Row],[Total Population]])</f>
        <v>0.2276727535998713</v>
      </c>
      <c r="AH472" s="320" t="str">
        <f>IFERROR(IF(tblPiNAnalysis[[#This Row],[Highest PiN]]="", "", IF(tblPiNAnalysis[[#This Row],[Highest sector(s'') PiN %]]&gt;=flag_pin_perc, "Flagged", "")), "")</f>
        <v/>
      </c>
      <c r="AI472" s="321"/>
      <c r="AJ472" s="322"/>
      <c r="AK472" s="323">
        <f>COUNTIFS(tblPiNAnalysis[[#This Row],[Highest PiN greater than 90% of total affected population]:[Manual Flag]],"Flagged")</f>
        <v>0</v>
      </c>
      <c r="AL472" s="324" t="str">
        <f>IF(tblPiNAnalysis[[#This Row],['# Flags]]&gt;0, "Flagged", "")</f>
        <v/>
      </c>
    </row>
    <row r="473" spans="1:38" ht="23.1" hidden="1" customHeight="1" x14ac:dyDescent="0.2">
      <c r="A473" s="309" t="str">
        <f>_xlfn.CONCAT(IF(tblPiNAnalysis[[#This Row],[Population Group]]="", "",tblPiNAnalysis[[#This Row],[Population Group]] ), _xlfn.IFS(tblPiNAnalysis[[#This Row],[Admin 2 P-Code]]&lt;&gt;"", tblPiNAnalysis[[#This Row],[Admin 2 P-Code]], tblPiNAnalysis[[#This Row],[Admin 1 P-Code]]&lt;&gt;"", tblPiNAnalysis[[#This Row],[Admin 1 P-Code]]))</f>
        <v>IDPsSD15034</v>
      </c>
      <c r="B473" s="249" t="s">
        <v>147</v>
      </c>
      <c r="C473" s="246" t="s">
        <v>132</v>
      </c>
      <c r="D473" s="247" t="s">
        <v>504</v>
      </c>
      <c r="E473" s="246" t="s">
        <v>505</v>
      </c>
      <c r="F473" s="248">
        <v>39576</v>
      </c>
      <c r="G473" s="248" t="s">
        <v>88</v>
      </c>
      <c r="H473" s="310"/>
      <c r="I473" s="311"/>
      <c r="J473" s="311"/>
      <c r="K473" s="311"/>
      <c r="L473" s="311"/>
      <c r="M473" s="311"/>
      <c r="N473" s="311">
        <f>_xlfn.XLOOKUP(CONCATENATE(tblPiNAnalysis[[#This Row],[Admin 2 P-Code]],tblPiNAnalysis[[#This Row],[Population Group]]),'Overall severity &amp; PIN Analysis'!A:A,'Overall severity &amp; PIN Analysis'!P:P,0,0)</f>
        <v>9010</v>
      </c>
      <c r="O473" s="311"/>
      <c r="P473" s="311"/>
      <c r="Q473" s="311"/>
      <c r="R473" s="311"/>
      <c r="S473" s="311"/>
      <c r="T473" s="326" t="str">
        <f>IF(tblPiNAnalysis[[#This Row],[Site Management ]]="", "", tblPiNAnalysis[[#This Row],[Site Management ]]/tblPiNAnalysis[[#This Row],[Total Population]])</f>
        <v/>
      </c>
      <c r="U473" s="315" t="str">
        <f>IF(tblPiNAnalysis[[#This Row],[Education]]="", "", tblPiNAnalysis[[#This Row],[Education]]/tblPiNAnalysis[[#This Row],[Total Population]])</f>
        <v/>
      </c>
      <c r="V473" s="315" t="str">
        <f>IF(tblPiNAnalysis[[#This Row],[Food Security and Livlihoods]]="", "", tblPiNAnalysis[[#This Row],[Food Security and Livlihoods]]/tblPiNAnalysis[[#This Row],[Total Population]])</f>
        <v/>
      </c>
      <c r="W473" s="315" t="str">
        <f>IF(tblPiNAnalysis[[#This Row],[Health ]]="", "", tblPiNAnalysis[[#This Row],[Health ]]/tblPiNAnalysis[[#This Row],[Total Population]])</f>
        <v/>
      </c>
      <c r="X473" s="315" t="str">
        <f>IF(tblPiNAnalysis[[#This Row],[Nutrition]]="", "", tblPiNAnalysis[[#This Row],[Nutrition]]/tblPiNAnalysis[[#This Row],[Total Population]])</f>
        <v/>
      </c>
      <c r="Y473" s="315" t="str">
        <f>IF(tblPiNAnalysis[[#This Row],[Protection]]="", "", tblPiNAnalysis[[#This Row],[Protection]]/tblPiNAnalysis[[#This Row],[Total Population]])</f>
        <v/>
      </c>
      <c r="Z473" s="327">
        <f>IF(tblPiNAnalysis[[#This Row],[Shelter NFI ]]="", "", tblPiNAnalysis[[#This Row],[Shelter NFI ]]/tblPiNAnalysis[[#This Row],[Total Population]])</f>
        <v>0.22766323024054982</v>
      </c>
      <c r="AA473" s="328" t="str">
        <f>IF(tblPiNAnalysis[[#This Row],[WASH]]="", "", tblPiNAnalysis[[#This Row],[WASH]]/tblPiNAnalysis[[#This Row],[Total Population]])</f>
        <v/>
      </c>
      <c r="AB473" s="329" t="str">
        <f>IFERROR(IF(tblPiNAnalysis[[#This Row],[CP]]="", "", MROUND(tblPiNAnalysis[[#This Row],[CP]]/tblPiNAnalysis[[#This Row],[Total Population]], 0.05)), "")</f>
        <v/>
      </c>
      <c r="AC473" s="315" t="str">
        <f>IFERROR(IF(tblPiNAnalysis[[#This Row],[GBV]]="", "", MROUND(tblPiNAnalysis[[#This Row],[GBV]]/tblPiNAnalysis[[#This Row],[Total Population]], 0.05)), "")</f>
        <v/>
      </c>
      <c r="AD473" s="315" t="str">
        <f>IFERROR(IF(tblPiNAnalysis[[#This Row],[Mine Action]]="", "", MROUND(tblPiNAnalysis[[#This Row],[Mine Action]]/tblPiNAnalysis[[#This Row],[Total Population]], 0.05)), "")</f>
        <v/>
      </c>
      <c r="AE473" s="315" t="str">
        <f>IFERROR(IF(tblPiNAnalysis[[#This Row],[General Protection]]="", "", MROUND(tblPiNAnalysis[[#This Row],[General Protection]]/tblPiNAnalysis[[#This Row],[Total Population]], 0.05)), "")</f>
        <v/>
      </c>
      <c r="AF473" s="319">
        <f>IFERROR(LARGE(tblPiNAnalysis[[#This Row],[Site Management ]:[General Protection]], 1), "")</f>
        <v>9010</v>
      </c>
      <c r="AG473" s="330">
        <f>IF(tblPiNAnalysis[[#This Row],[Highest PiN]]="", "",tblPiNAnalysis[[#This Row],[Highest PiN]]/ tblPiNAnalysis[[#This Row],[Total Population]])</f>
        <v>0.22766323024054982</v>
      </c>
      <c r="AH473" s="330" t="str">
        <f>IFERROR(IF(tblPiNAnalysis[[#This Row],[Highest PiN]]="", "", IF(tblPiNAnalysis[[#This Row],[Highest sector(s'') PiN %]]&gt;=flag_pin_perc, "Flagged", "")), "")</f>
        <v/>
      </c>
      <c r="AI473" s="321"/>
      <c r="AJ473" s="322"/>
      <c r="AK473" s="323">
        <f>COUNTIFS(tblPiNAnalysis[[#This Row],[Highest PiN greater than 90% of total affected population]:[Manual Flag]],"Flagged")</f>
        <v>0</v>
      </c>
      <c r="AL473" s="331" t="str">
        <f>IF(tblPiNAnalysis[[#This Row],['# Flags]]&gt;0, "Flagged", "")</f>
        <v/>
      </c>
    </row>
    <row r="474" spans="1:38" ht="23.1" customHeight="1" x14ac:dyDescent="0.2">
      <c r="A474" s="309" t="str">
        <f>_xlfn.CONCAT(IF(tblPiNAnalysis[[#This Row],[Population Group]]="", "",tblPiNAnalysis[[#This Row],[Population Group]] ), _xlfn.IFS(tblPiNAnalysis[[#This Row],[Admin 2 P-Code]]&lt;&gt;"", tblPiNAnalysis[[#This Row],[Admin 2 P-Code]], tblPiNAnalysis[[#This Row],[Admin 1 P-Code]]&lt;&gt;"", tblPiNAnalysis[[#This Row],[Admin 1 P-Code]]))</f>
        <v>Non-hosting PopulationSD15034</v>
      </c>
      <c r="B474" s="245" t="s">
        <v>147</v>
      </c>
      <c r="C474" s="246" t="s">
        <v>132</v>
      </c>
      <c r="D474" s="247" t="s">
        <v>504</v>
      </c>
      <c r="E474" s="246" t="s">
        <v>505</v>
      </c>
      <c r="F474" s="248">
        <v>790733</v>
      </c>
      <c r="G474" s="248" t="s">
        <v>568</v>
      </c>
      <c r="H474" s="310"/>
      <c r="I474" s="311"/>
      <c r="J474" s="312"/>
      <c r="K474" s="311"/>
      <c r="L474" s="311"/>
      <c r="M474" s="312"/>
      <c r="N474" s="312">
        <f>_xlfn.XLOOKUP(CONCATENATE(tblPiNAnalysis[[#This Row],[Admin 2 P-Code]],tblPiNAnalysis[[#This Row],[Population Group]]),'Overall severity &amp; PIN Analysis'!A:A,'Overall severity &amp; PIN Analysis'!P:P,0,0)</f>
        <v>180020</v>
      </c>
      <c r="O474" s="311"/>
      <c r="P474" s="312"/>
      <c r="Q474" s="312"/>
      <c r="R474" s="312"/>
      <c r="S474" s="312"/>
      <c r="T474" s="313" t="str">
        <f>IF(tblPiNAnalysis[[#This Row],[Site Management ]]="", "", tblPiNAnalysis[[#This Row],[Site Management ]]/tblPiNAnalysis[[#This Row],[Total Population]])</f>
        <v/>
      </c>
      <c r="U474" s="314" t="str">
        <f>IF(tblPiNAnalysis[[#This Row],[Education]]="", "", tblPiNAnalysis[[#This Row],[Education]]/tblPiNAnalysis[[#This Row],[Total Population]])</f>
        <v/>
      </c>
      <c r="V474" s="314" t="str">
        <f>IF(tblPiNAnalysis[[#This Row],[Food Security and Livlihoods]]="", "", tblPiNAnalysis[[#This Row],[Food Security and Livlihoods]]/tblPiNAnalysis[[#This Row],[Total Population]])</f>
        <v/>
      </c>
      <c r="W474" s="315" t="str">
        <f>IF(tblPiNAnalysis[[#This Row],[Health ]]="", "", tblPiNAnalysis[[#This Row],[Health ]]/tblPiNAnalysis[[#This Row],[Total Population]])</f>
        <v/>
      </c>
      <c r="X474" s="314" t="str">
        <f>IF(tblPiNAnalysis[[#This Row],[Nutrition]]="", "", tblPiNAnalysis[[#This Row],[Nutrition]]/tblPiNAnalysis[[#This Row],[Total Population]])</f>
        <v/>
      </c>
      <c r="Y474" s="314" t="str">
        <f>IF(tblPiNAnalysis[[#This Row],[Protection]]="", "", tblPiNAnalysis[[#This Row],[Protection]]/tblPiNAnalysis[[#This Row],[Total Population]])</f>
        <v/>
      </c>
      <c r="Z474" s="316">
        <f>IF(tblPiNAnalysis[[#This Row],[Shelter NFI ]]="", "", tblPiNAnalysis[[#This Row],[Shelter NFI ]]/tblPiNAnalysis[[#This Row],[Total Population]])</f>
        <v>0.2276621817984073</v>
      </c>
      <c r="AA474" s="317" t="str">
        <f>IF(tblPiNAnalysis[[#This Row],[WASH]]="", "", tblPiNAnalysis[[#This Row],[WASH]]/tblPiNAnalysis[[#This Row],[Total Population]])</f>
        <v/>
      </c>
      <c r="AB474" s="318" t="str">
        <f>IFERROR(IF(tblPiNAnalysis[[#This Row],[CP]]="", "", MROUND(tblPiNAnalysis[[#This Row],[CP]]/tblPiNAnalysis[[#This Row],[Total Population]], 0.05)), "")</f>
        <v/>
      </c>
      <c r="AC474" s="314" t="str">
        <f>IFERROR(IF(tblPiNAnalysis[[#This Row],[GBV]]="", "", MROUND(tblPiNAnalysis[[#This Row],[GBV]]/tblPiNAnalysis[[#This Row],[Total Population]], 0.05)), "")</f>
        <v/>
      </c>
      <c r="AD474" s="314" t="str">
        <f>IFERROR(IF(tblPiNAnalysis[[#This Row],[Mine Action]]="", "", MROUND(tblPiNAnalysis[[#This Row],[Mine Action]]/tblPiNAnalysis[[#This Row],[Total Population]], 0.05)), "")</f>
        <v/>
      </c>
      <c r="AE474" s="314" t="str">
        <f>IFERROR(IF(tblPiNAnalysis[[#This Row],[General Protection]]="", "", MROUND(tblPiNAnalysis[[#This Row],[General Protection]]/tblPiNAnalysis[[#This Row],[Total Population]], 0.05)), "")</f>
        <v/>
      </c>
      <c r="AF474" s="319">
        <f>IFERROR(LARGE(tblPiNAnalysis[[#This Row],[Site Management ]:[General Protection]], 1), "")</f>
        <v>180020</v>
      </c>
      <c r="AG474" s="320">
        <f>IF(tblPiNAnalysis[[#This Row],[Highest PiN]]="", "",tblPiNAnalysis[[#This Row],[Highest PiN]]/ tblPiNAnalysis[[#This Row],[Total Population]])</f>
        <v>0.2276621817984073</v>
      </c>
      <c r="AH474" s="320" t="str">
        <f>IFERROR(IF(tblPiNAnalysis[[#This Row],[Highest PiN]]="", "", IF(tblPiNAnalysis[[#This Row],[Highest sector(s'') PiN %]]&gt;=flag_pin_perc, "Flagged", "")), "")</f>
        <v/>
      </c>
      <c r="AI474" s="321"/>
      <c r="AJ474" s="322"/>
      <c r="AK474" s="323">
        <f>COUNTIFS(tblPiNAnalysis[[#This Row],[Highest PiN greater than 90% of total affected population]:[Manual Flag]],"Flagged")</f>
        <v>0</v>
      </c>
      <c r="AL474" s="324" t="str">
        <f>IF(tblPiNAnalysis[[#This Row],['# Flags]]&gt;0, "Flagged", "")</f>
        <v/>
      </c>
    </row>
    <row r="475" spans="1:38" ht="23.1" hidden="1" customHeight="1" x14ac:dyDescent="0.2">
      <c r="A475" s="309" t="str">
        <f>_xlfn.CONCAT(IF(tblPiNAnalysis[[#This Row],[Population Group]]="", "",tblPiNAnalysis[[#This Row],[Population Group]] ), _xlfn.IFS(tblPiNAnalysis[[#This Row],[Admin 2 P-Code]]&lt;&gt;"", tblPiNAnalysis[[#This Row],[Admin 2 P-Code]], tblPiNAnalysis[[#This Row],[Admin 1 P-Code]]&lt;&gt;"", tblPiNAnalysis[[#This Row],[Admin 1 P-Code]]))</f>
        <v>Host CommunitySD15035</v>
      </c>
      <c r="B475" s="245" t="s">
        <v>147</v>
      </c>
      <c r="C475" s="246" t="s">
        <v>132</v>
      </c>
      <c r="D475" s="247" t="s">
        <v>506</v>
      </c>
      <c r="E475" s="246" t="s">
        <v>507</v>
      </c>
      <c r="F475" s="248">
        <v>67437</v>
      </c>
      <c r="G475" s="248" t="s">
        <v>87</v>
      </c>
      <c r="H475" s="310"/>
      <c r="I475" s="311"/>
      <c r="J475" s="312"/>
      <c r="K475" s="311"/>
      <c r="L475" s="311"/>
      <c r="M475" s="312"/>
      <c r="N475" s="312">
        <f>_xlfn.XLOOKUP(CONCATENATE(tblPiNAnalysis[[#This Row],[Admin 2 P-Code]],tblPiNAnalysis[[#This Row],[Population Group]]),'Overall severity &amp; PIN Analysis'!A:A,'Overall severity &amp; PIN Analysis'!P:P,0,0)</f>
        <v>15353</v>
      </c>
      <c r="O475" s="311"/>
      <c r="P475" s="312"/>
      <c r="Q475" s="312"/>
      <c r="R475" s="312"/>
      <c r="S475" s="312"/>
      <c r="T475" s="313" t="str">
        <f>IF(tblPiNAnalysis[[#This Row],[Site Management ]]="", "", tblPiNAnalysis[[#This Row],[Site Management ]]/tblPiNAnalysis[[#This Row],[Total Population]])</f>
        <v/>
      </c>
      <c r="U475" s="314" t="str">
        <f>IF(tblPiNAnalysis[[#This Row],[Education]]="", "", tblPiNAnalysis[[#This Row],[Education]]/tblPiNAnalysis[[#This Row],[Total Population]])</f>
        <v/>
      </c>
      <c r="V475" s="314" t="str">
        <f>IF(tblPiNAnalysis[[#This Row],[Food Security and Livlihoods]]="", "", tblPiNAnalysis[[#This Row],[Food Security and Livlihoods]]/tblPiNAnalysis[[#This Row],[Total Population]])</f>
        <v/>
      </c>
      <c r="W475" s="315" t="str">
        <f>IF(tblPiNAnalysis[[#This Row],[Health ]]="", "", tblPiNAnalysis[[#This Row],[Health ]]/tblPiNAnalysis[[#This Row],[Total Population]])</f>
        <v/>
      </c>
      <c r="X475" s="314" t="str">
        <f>IF(tblPiNAnalysis[[#This Row],[Nutrition]]="", "", tblPiNAnalysis[[#This Row],[Nutrition]]/tblPiNAnalysis[[#This Row],[Total Population]])</f>
        <v/>
      </c>
      <c r="Y475" s="314" t="str">
        <f>IF(tblPiNAnalysis[[#This Row],[Protection]]="", "", tblPiNAnalysis[[#This Row],[Protection]]/tblPiNAnalysis[[#This Row],[Total Population]])</f>
        <v/>
      </c>
      <c r="Z475" s="316">
        <f>IF(tblPiNAnalysis[[#This Row],[Shelter NFI ]]="", "", tblPiNAnalysis[[#This Row],[Shelter NFI ]]/tblPiNAnalysis[[#This Row],[Total Population]])</f>
        <v>0.22766433856784851</v>
      </c>
      <c r="AA475" s="317" t="str">
        <f>IF(tblPiNAnalysis[[#This Row],[WASH]]="", "", tblPiNAnalysis[[#This Row],[WASH]]/tblPiNAnalysis[[#This Row],[Total Population]])</f>
        <v/>
      </c>
      <c r="AB475" s="318" t="str">
        <f>IFERROR(IF(tblPiNAnalysis[[#This Row],[CP]]="", "", MROUND(tblPiNAnalysis[[#This Row],[CP]]/tblPiNAnalysis[[#This Row],[Total Population]], 0.05)), "")</f>
        <v/>
      </c>
      <c r="AC475" s="314" t="str">
        <f>IFERROR(IF(tblPiNAnalysis[[#This Row],[GBV]]="", "", MROUND(tblPiNAnalysis[[#This Row],[GBV]]/tblPiNAnalysis[[#This Row],[Total Population]], 0.05)), "")</f>
        <v/>
      </c>
      <c r="AD475" s="314" t="str">
        <f>IFERROR(IF(tblPiNAnalysis[[#This Row],[Mine Action]]="", "", MROUND(tblPiNAnalysis[[#This Row],[Mine Action]]/tblPiNAnalysis[[#This Row],[Total Population]], 0.05)), "")</f>
        <v/>
      </c>
      <c r="AE475" s="314" t="str">
        <f>IFERROR(IF(tblPiNAnalysis[[#This Row],[General Protection]]="", "", MROUND(tblPiNAnalysis[[#This Row],[General Protection]]/tblPiNAnalysis[[#This Row],[Total Population]], 0.05)), "")</f>
        <v/>
      </c>
      <c r="AF475" s="319">
        <f>IFERROR(LARGE(tblPiNAnalysis[[#This Row],[Site Management ]:[General Protection]], 1), "")</f>
        <v>15353</v>
      </c>
      <c r="AG475" s="320">
        <f>IF(tblPiNAnalysis[[#This Row],[Highest PiN]]="", "",tblPiNAnalysis[[#This Row],[Highest PiN]]/ tblPiNAnalysis[[#This Row],[Total Population]])</f>
        <v>0.22766433856784851</v>
      </c>
      <c r="AH475" s="320" t="str">
        <f>IFERROR(IF(tblPiNAnalysis[[#This Row],[Highest PiN]]="", "", IF(tblPiNAnalysis[[#This Row],[Highest sector(s'') PiN %]]&gt;=flag_pin_perc, "Flagged", "")), "")</f>
        <v/>
      </c>
      <c r="AI475" s="321"/>
      <c r="AJ475" s="322"/>
      <c r="AK475" s="323">
        <f>COUNTIFS(tblPiNAnalysis[[#This Row],[Highest PiN greater than 90% of total affected population]:[Manual Flag]],"Flagged")</f>
        <v>0</v>
      </c>
      <c r="AL475" s="324" t="str">
        <f>IF(tblPiNAnalysis[[#This Row],['# Flags]]&gt;0, "Flagged", "")</f>
        <v/>
      </c>
    </row>
    <row r="476" spans="1:38" ht="23.1" hidden="1" customHeight="1" x14ac:dyDescent="0.2">
      <c r="A476" s="309" t="str">
        <f>_xlfn.CONCAT(IF(tblPiNAnalysis[[#This Row],[Population Group]]="", "",tblPiNAnalysis[[#This Row],[Population Group]] ), _xlfn.IFS(tblPiNAnalysis[[#This Row],[Admin 2 P-Code]]&lt;&gt;"", tblPiNAnalysis[[#This Row],[Admin 2 P-Code]], tblPiNAnalysis[[#This Row],[Admin 1 P-Code]]&lt;&gt;"", tblPiNAnalysis[[#This Row],[Admin 1 P-Code]]))</f>
        <v>IDPsSD15035</v>
      </c>
      <c r="B476" s="245" t="s">
        <v>147</v>
      </c>
      <c r="C476" s="246" t="s">
        <v>132</v>
      </c>
      <c r="D476" s="247" t="s">
        <v>506</v>
      </c>
      <c r="E476" s="246" t="s">
        <v>507</v>
      </c>
      <c r="F476" s="248">
        <v>67437</v>
      </c>
      <c r="G476" s="248" t="s">
        <v>88</v>
      </c>
      <c r="H476" s="310"/>
      <c r="I476" s="311"/>
      <c r="J476" s="311"/>
      <c r="K476" s="311"/>
      <c r="L476" s="311"/>
      <c r="M476" s="311"/>
      <c r="N476" s="311">
        <f>_xlfn.XLOOKUP(CONCATENATE(tblPiNAnalysis[[#This Row],[Admin 2 P-Code]],tblPiNAnalysis[[#This Row],[Population Group]]),'Overall severity &amp; PIN Analysis'!A:A,'Overall severity &amp; PIN Analysis'!P:P,0,0)</f>
        <v>15353</v>
      </c>
      <c r="O476" s="311"/>
      <c r="P476" s="311"/>
      <c r="Q476" s="311"/>
      <c r="R476" s="311"/>
      <c r="S476" s="311"/>
      <c r="T476" s="326" t="str">
        <f>IF(tblPiNAnalysis[[#This Row],[Site Management ]]="", "", tblPiNAnalysis[[#This Row],[Site Management ]]/tblPiNAnalysis[[#This Row],[Total Population]])</f>
        <v/>
      </c>
      <c r="U476" s="315" t="str">
        <f>IF(tblPiNAnalysis[[#This Row],[Education]]="", "", tblPiNAnalysis[[#This Row],[Education]]/tblPiNAnalysis[[#This Row],[Total Population]])</f>
        <v/>
      </c>
      <c r="V476" s="315" t="str">
        <f>IF(tblPiNAnalysis[[#This Row],[Food Security and Livlihoods]]="", "", tblPiNAnalysis[[#This Row],[Food Security and Livlihoods]]/tblPiNAnalysis[[#This Row],[Total Population]])</f>
        <v/>
      </c>
      <c r="W476" s="315" t="str">
        <f>IF(tblPiNAnalysis[[#This Row],[Health ]]="", "", tblPiNAnalysis[[#This Row],[Health ]]/tblPiNAnalysis[[#This Row],[Total Population]])</f>
        <v/>
      </c>
      <c r="X476" s="315" t="str">
        <f>IF(tblPiNAnalysis[[#This Row],[Nutrition]]="", "", tblPiNAnalysis[[#This Row],[Nutrition]]/tblPiNAnalysis[[#This Row],[Total Population]])</f>
        <v/>
      </c>
      <c r="Y476" s="315" t="str">
        <f>IF(tblPiNAnalysis[[#This Row],[Protection]]="", "", tblPiNAnalysis[[#This Row],[Protection]]/tblPiNAnalysis[[#This Row],[Total Population]])</f>
        <v/>
      </c>
      <c r="Z476" s="327">
        <f>IF(tblPiNAnalysis[[#This Row],[Shelter NFI ]]="", "", tblPiNAnalysis[[#This Row],[Shelter NFI ]]/tblPiNAnalysis[[#This Row],[Total Population]])</f>
        <v>0.22766433856784851</v>
      </c>
      <c r="AA476" s="328" t="str">
        <f>IF(tblPiNAnalysis[[#This Row],[WASH]]="", "", tblPiNAnalysis[[#This Row],[WASH]]/tblPiNAnalysis[[#This Row],[Total Population]])</f>
        <v/>
      </c>
      <c r="AB476" s="329" t="str">
        <f>IFERROR(IF(tblPiNAnalysis[[#This Row],[CP]]="", "", MROUND(tblPiNAnalysis[[#This Row],[CP]]/tblPiNAnalysis[[#This Row],[Total Population]], 0.05)), "")</f>
        <v/>
      </c>
      <c r="AC476" s="315" t="str">
        <f>IFERROR(IF(tblPiNAnalysis[[#This Row],[GBV]]="", "", MROUND(tblPiNAnalysis[[#This Row],[GBV]]/tblPiNAnalysis[[#This Row],[Total Population]], 0.05)), "")</f>
        <v/>
      </c>
      <c r="AD476" s="315" t="str">
        <f>IFERROR(IF(tblPiNAnalysis[[#This Row],[Mine Action]]="", "", MROUND(tblPiNAnalysis[[#This Row],[Mine Action]]/tblPiNAnalysis[[#This Row],[Total Population]], 0.05)), "")</f>
        <v/>
      </c>
      <c r="AE476" s="315" t="str">
        <f>IFERROR(IF(tblPiNAnalysis[[#This Row],[General Protection]]="", "", MROUND(tblPiNAnalysis[[#This Row],[General Protection]]/tblPiNAnalysis[[#This Row],[Total Population]], 0.05)), "")</f>
        <v/>
      </c>
      <c r="AF476" s="319">
        <f>IFERROR(LARGE(tblPiNAnalysis[[#This Row],[Site Management ]:[General Protection]], 1), "")</f>
        <v>15353</v>
      </c>
      <c r="AG476" s="330">
        <f>IF(tblPiNAnalysis[[#This Row],[Highest PiN]]="", "",tblPiNAnalysis[[#This Row],[Highest PiN]]/ tblPiNAnalysis[[#This Row],[Total Population]])</f>
        <v>0.22766433856784851</v>
      </c>
      <c r="AH476" s="330" t="str">
        <f>IFERROR(IF(tblPiNAnalysis[[#This Row],[Highest PiN]]="", "", IF(tblPiNAnalysis[[#This Row],[Highest sector(s'') PiN %]]&gt;=flag_pin_perc, "Flagged", "")), "")</f>
        <v/>
      </c>
      <c r="AI476" s="321"/>
      <c r="AJ476" s="322"/>
      <c r="AK476" s="323">
        <f>COUNTIFS(tblPiNAnalysis[[#This Row],[Highest PiN greater than 90% of total affected population]:[Manual Flag]],"Flagged")</f>
        <v>0</v>
      </c>
      <c r="AL476" s="331" t="str">
        <f>IF(tblPiNAnalysis[[#This Row],['# Flags]]&gt;0, "Flagged", "")</f>
        <v/>
      </c>
    </row>
    <row r="477" spans="1:38" ht="23.1" customHeight="1" x14ac:dyDescent="0.2">
      <c r="A477" s="309" t="str">
        <f>_xlfn.CONCAT(IF(tblPiNAnalysis[[#This Row],[Population Group]]="", "",tblPiNAnalysis[[#This Row],[Population Group]] ), _xlfn.IFS(tblPiNAnalysis[[#This Row],[Admin 2 P-Code]]&lt;&gt;"", tblPiNAnalysis[[#This Row],[Admin 2 P-Code]], tblPiNAnalysis[[#This Row],[Admin 1 P-Code]]&lt;&gt;"", tblPiNAnalysis[[#This Row],[Admin 1 P-Code]]))</f>
        <v>Non-hosting PopulationSD15035</v>
      </c>
      <c r="B477" s="245" t="s">
        <v>147</v>
      </c>
      <c r="C477" s="246" t="s">
        <v>132</v>
      </c>
      <c r="D477" s="247" t="s">
        <v>506</v>
      </c>
      <c r="E477" s="246" t="s">
        <v>507</v>
      </c>
      <c r="F477" s="248">
        <v>524833</v>
      </c>
      <c r="G477" s="248" t="s">
        <v>568</v>
      </c>
      <c r="H477" s="310"/>
      <c r="I477" s="311"/>
      <c r="J477" s="312"/>
      <c r="K477" s="311"/>
      <c r="L477" s="311"/>
      <c r="M477" s="312"/>
      <c r="N477" s="312">
        <f>_xlfn.XLOOKUP(CONCATENATE(tblPiNAnalysis[[#This Row],[Admin 2 P-Code]],tblPiNAnalysis[[#This Row],[Population Group]]),'Overall severity &amp; PIN Analysis'!A:A,'Overall severity &amp; PIN Analysis'!P:P,0,0)</f>
        <v>119484</v>
      </c>
      <c r="O477" s="311"/>
      <c r="P477" s="312"/>
      <c r="Q477" s="312"/>
      <c r="R477" s="312"/>
      <c r="S477" s="312"/>
      <c r="T477" s="313" t="str">
        <f>IF(tblPiNAnalysis[[#This Row],[Site Management ]]="", "", tblPiNAnalysis[[#This Row],[Site Management ]]/tblPiNAnalysis[[#This Row],[Total Population]])</f>
        <v/>
      </c>
      <c r="U477" s="314" t="str">
        <f>IF(tblPiNAnalysis[[#This Row],[Education]]="", "", tblPiNAnalysis[[#This Row],[Education]]/tblPiNAnalysis[[#This Row],[Total Population]])</f>
        <v/>
      </c>
      <c r="V477" s="314" t="str">
        <f>IF(tblPiNAnalysis[[#This Row],[Food Security and Livlihoods]]="", "", tblPiNAnalysis[[#This Row],[Food Security and Livlihoods]]/tblPiNAnalysis[[#This Row],[Total Population]])</f>
        <v/>
      </c>
      <c r="W477" s="315" t="str">
        <f>IF(tblPiNAnalysis[[#This Row],[Health ]]="", "", tblPiNAnalysis[[#This Row],[Health ]]/tblPiNAnalysis[[#This Row],[Total Population]])</f>
        <v/>
      </c>
      <c r="X477" s="314" t="str">
        <f>IF(tblPiNAnalysis[[#This Row],[Nutrition]]="", "", tblPiNAnalysis[[#This Row],[Nutrition]]/tblPiNAnalysis[[#This Row],[Total Population]])</f>
        <v/>
      </c>
      <c r="Y477" s="314" t="str">
        <f>IF(tblPiNAnalysis[[#This Row],[Protection]]="", "", tblPiNAnalysis[[#This Row],[Protection]]/tblPiNAnalysis[[#This Row],[Total Population]])</f>
        <v/>
      </c>
      <c r="Z477" s="316">
        <f>IF(tblPiNAnalysis[[#This Row],[Shelter NFI ]]="", "", tblPiNAnalysis[[#This Row],[Shelter NFI ]]/tblPiNAnalysis[[#This Row],[Total Population]])</f>
        <v>0.22766098930516945</v>
      </c>
      <c r="AA477" s="317" t="str">
        <f>IF(tblPiNAnalysis[[#This Row],[WASH]]="", "", tblPiNAnalysis[[#This Row],[WASH]]/tblPiNAnalysis[[#This Row],[Total Population]])</f>
        <v/>
      </c>
      <c r="AB477" s="318" t="str">
        <f>IFERROR(IF(tblPiNAnalysis[[#This Row],[CP]]="", "", MROUND(tblPiNAnalysis[[#This Row],[CP]]/tblPiNAnalysis[[#This Row],[Total Population]], 0.05)), "")</f>
        <v/>
      </c>
      <c r="AC477" s="314" t="str">
        <f>IFERROR(IF(tblPiNAnalysis[[#This Row],[GBV]]="", "", MROUND(tblPiNAnalysis[[#This Row],[GBV]]/tblPiNAnalysis[[#This Row],[Total Population]], 0.05)), "")</f>
        <v/>
      </c>
      <c r="AD477" s="314" t="str">
        <f>IFERROR(IF(tblPiNAnalysis[[#This Row],[Mine Action]]="", "", MROUND(tblPiNAnalysis[[#This Row],[Mine Action]]/tblPiNAnalysis[[#This Row],[Total Population]], 0.05)), "")</f>
        <v/>
      </c>
      <c r="AE477" s="314" t="str">
        <f>IFERROR(IF(tblPiNAnalysis[[#This Row],[General Protection]]="", "", MROUND(tblPiNAnalysis[[#This Row],[General Protection]]/tblPiNAnalysis[[#This Row],[Total Population]], 0.05)), "")</f>
        <v/>
      </c>
      <c r="AF477" s="319">
        <f>IFERROR(LARGE(tblPiNAnalysis[[#This Row],[Site Management ]:[General Protection]], 1), "")</f>
        <v>119484</v>
      </c>
      <c r="AG477" s="320">
        <f>IF(tblPiNAnalysis[[#This Row],[Highest PiN]]="", "",tblPiNAnalysis[[#This Row],[Highest PiN]]/ tblPiNAnalysis[[#This Row],[Total Population]])</f>
        <v>0.22766098930516945</v>
      </c>
      <c r="AH477" s="320" t="str">
        <f>IFERROR(IF(tblPiNAnalysis[[#This Row],[Highest PiN]]="", "", IF(tblPiNAnalysis[[#This Row],[Highest sector(s'') PiN %]]&gt;=flag_pin_perc, "Flagged", "")), "")</f>
        <v/>
      </c>
      <c r="AI477" s="321"/>
      <c r="AJ477" s="322"/>
      <c r="AK477" s="323">
        <f>COUNTIFS(tblPiNAnalysis[[#This Row],[Highest PiN greater than 90% of total affected population]:[Manual Flag]],"Flagged")</f>
        <v>0</v>
      </c>
      <c r="AL477" s="324" t="str">
        <f>IF(tblPiNAnalysis[[#This Row],['# Flags]]&gt;0, "Flagged", "")</f>
        <v/>
      </c>
    </row>
    <row r="478" spans="1:38" ht="23.1" hidden="1" customHeight="1" x14ac:dyDescent="0.2">
      <c r="A478" s="309" t="str">
        <f>_xlfn.CONCAT(IF(tblPiNAnalysis[[#This Row],[Population Group]]="", "",tblPiNAnalysis[[#This Row],[Population Group]] ), _xlfn.IFS(tblPiNAnalysis[[#This Row],[Admin 2 P-Code]]&lt;&gt;"", tblPiNAnalysis[[#This Row],[Admin 2 P-Code]], tblPiNAnalysis[[#This Row],[Admin 1 P-Code]]&lt;&gt;"", tblPiNAnalysis[[#This Row],[Admin 1 P-Code]]))</f>
        <v>Host CommunitySD15036</v>
      </c>
      <c r="B478" s="245" t="s">
        <v>147</v>
      </c>
      <c r="C478" s="246" t="s">
        <v>132</v>
      </c>
      <c r="D478" s="247" t="s">
        <v>508</v>
      </c>
      <c r="E478" s="246" t="s">
        <v>509</v>
      </c>
      <c r="F478" s="248">
        <v>81831</v>
      </c>
      <c r="G478" s="248" t="s">
        <v>87</v>
      </c>
      <c r="H478" s="310"/>
      <c r="I478" s="311"/>
      <c r="J478" s="312"/>
      <c r="K478" s="311"/>
      <c r="L478" s="311"/>
      <c r="M478" s="312"/>
      <c r="N478" s="312">
        <f>_xlfn.XLOOKUP(CONCATENATE(tblPiNAnalysis[[#This Row],[Admin 2 P-Code]],tblPiNAnalysis[[#This Row],[Population Group]]),'Overall severity &amp; PIN Analysis'!A:A,'Overall severity &amp; PIN Analysis'!P:P,0,0)</f>
        <v>36662</v>
      </c>
      <c r="O478" s="311"/>
      <c r="P478" s="312"/>
      <c r="Q478" s="312"/>
      <c r="R478" s="312"/>
      <c r="S478" s="312"/>
      <c r="T478" s="313" t="str">
        <f>IF(tblPiNAnalysis[[#This Row],[Site Management ]]="", "", tblPiNAnalysis[[#This Row],[Site Management ]]/tblPiNAnalysis[[#This Row],[Total Population]])</f>
        <v/>
      </c>
      <c r="U478" s="314" t="str">
        <f>IF(tblPiNAnalysis[[#This Row],[Education]]="", "", tblPiNAnalysis[[#This Row],[Education]]/tblPiNAnalysis[[#This Row],[Total Population]])</f>
        <v/>
      </c>
      <c r="V478" s="314" t="str">
        <f>IF(tblPiNAnalysis[[#This Row],[Food Security and Livlihoods]]="", "", tblPiNAnalysis[[#This Row],[Food Security and Livlihoods]]/tblPiNAnalysis[[#This Row],[Total Population]])</f>
        <v/>
      </c>
      <c r="W478" s="315" t="str">
        <f>IF(tblPiNAnalysis[[#This Row],[Health ]]="", "", tblPiNAnalysis[[#This Row],[Health ]]/tblPiNAnalysis[[#This Row],[Total Population]])</f>
        <v/>
      </c>
      <c r="X478" s="314" t="str">
        <f>IF(tblPiNAnalysis[[#This Row],[Nutrition]]="", "", tblPiNAnalysis[[#This Row],[Nutrition]]/tblPiNAnalysis[[#This Row],[Total Population]])</f>
        <v/>
      </c>
      <c r="Y478" s="314" t="str">
        <f>IF(tblPiNAnalysis[[#This Row],[Protection]]="", "", tblPiNAnalysis[[#This Row],[Protection]]/tblPiNAnalysis[[#This Row],[Total Population]])</f>
        <v/>
      </c>
      <c r="Z478" s="316">
        <f>IF(tblPiNAnalysis[[#This Row],[Shelter NFI ]]="", "", tblPiNAnalysis[[#This Row],[Shelter NFI ]]/tblPiNAnalysis[[#This Row],[Total Population]])</f>
        <v>0.44802092116679498</v>
      </c>
      <c r="AA478" s="317" t="str">
        <f>IF(tblPiNAnalysis[[#This Row],[WASH]]="", "", tblPiNAnalysis[[#This Row],[WASH]]/tblPiNAnalysis[[#This Row],[Total Population]])</f>
        <v/>
      </c>
      <c r="AB478" s="318" t="str">
        <f>IFERROR(IF(tblPiNAnalysis[[#This Row],[CP]]="", "", MROUND(tblPiNAnalysis[[#This Row],[CP]]/tblPiNAnalysis[[#This Row],[Total Population]], 0.05)), "")</f>
        <v/>
      </c>
      <c r="AC478" s="314" t="str">
        <f>IFERROR(IF(tblPiNAnalysis[[#This Row],[GBV]]="", "", MROUND(tblPiNAnalysis[[#This Row],[GBV]]/tblPiNAnalysis[[#This Row],[Total Population]], 0.05)), "")</f>
        <v/>
      </c>
      <c r="AD478" s="314" t="str">
        <f>IFERROR(IF(tblPiNAnalysis[[#This Row],[Mine Action]]="", "", MROUND(tblPiNAnalysis[[#This Row],[Mine Action]]/tblPiNAnalysis[[#This Row],[Total Population]], 0.05)), "")</f>
        <v/>
      </c>
      <c r="AE478" s="314" t="str">
        <f>IFERROR(IF(tblPiNAnalysis[[#This Row],[General Protection]]="", "", MROUND(tblPiNAnalysis[[#This Row],[General Protection]]/tblPiNAnalysis[[#This Row],[Total Population]], 0.05)), "")</f>
        <v/>
      </c>
      <c r="AF478" s="319">
        <f>IFERROR(LARGE(tblPiNAnalysis[[#This Row],[Site Management ]:[General Protection]], 1), "")</f>
        <v>36662</v>
      </c>
      <c r="AG478" s="320">
        <f>IF(tblPiNAnalysis[[#This Row],[Highest PiN]]="", "",tblPiNAnalysis[[#This Row],[Highest PiN]]/ tblPiNAnalysis[[#This Row],[Total Population]])</f>
        <v>0.44802092116679498</v>
      </c>
      <c r="AH478" s="320" t="str">
        <f>IFERROR(IF(tblPiNAnalysis[[#This Row],[Highest PiN]]="", "", IF(tblPiNAnalysis[[#This Row],[Highest sector(s'') PiN %]]&gt;=flag_pin_perc, "Flagged", "")), "")</f>
        <v/>
      </c>
      <c r="AI478" s="321"/>
      <c r="AJ478" s="322"/>
      <c r="AK478" s="323">
        <f>COUNTIFS(tblPiNAnalysis[[#This Row],[Highest PiN greater than 90% of total affected population]:[Manual Flag]],"Flagged")</f>
        <v>0</v>
      </c>
      <c r="AL478" s="324" t="str">
        <f>IF(tblPiNAnalysis[[#This Row],['# Flags]]&gt;0, "Flagged", "")</f>
        <v/>
      </c>
    </row>
    <row r="479" spans="1:38" ht="23.1" hidden="1" customHeight="1" x14ac:dyDescent="0.2">
      <c r="A479" s="309" t="str">
        <f>_xlfn.CONCAT(IF(tblPiNAnalysis[[#This Row],[Population Group]]="", "",tblPiNAnalysis[[#This Row],[Population Group]] ), _xlfn.IFS(tblPiNAnalysis[[#This Row],[Admin 2 P-Code]]&lt;&gt;"", tblPiNAnalysis[[#This Row],[Admin 2 P-Code]], tblPiNAnalysis[[#This Row],[Admin 1 P-Code]]&lt;&gt;"", tblPiNAnalysis[[#This Row],[Admin 1 P-Code]]))</f>
        <v>IDPsSD15036</v>
      </c>
      <c r="B479" s="249" t="s">
        <v>147</v>
      </c>
      <c r="C479" s="246" t="s">
        <v>132</v>
      </c>
      <c r="D479" s="247" t="s">
        <v>508</v>
      </c>
      <c r="E479" s="246" t="s">
        <v>509</v>
      </c>
      <c r="F479" s="248">
        <v>78131</v>
      </c>
      <c r="G479" s="248" t="s">
        <v>88</v>
      </c>
      <c r="H479" s="310"/>
      <c r="I479" s="311"/>
      <c r="J479" s="311"/>
      <c r="K479" s="311"/>
      <c r="L479" s="311"/>
      <c r="M479" s="311"/>
      <c r="N479" s="311">
        <f>_xlfn.XLOOKUP(CONCATENATE(tblPiNAnalysis[[#This Row],[Admin 2 P-Code]],tblPiNAnalysis[[#This Row],[Population Group]]),'Overall severity &amp; PIN Analysis'!A:A,'Overall severity &amp; PIN Analysis'!P:P,0,0)</f>
        <v>35004</v>
      </c>
      <c r="O479" s="311"/>
      <c r="P479" s="311"/>
      <c r="Q479" s="311"/>
      <c r="R479" s="311"/>
      <c r="S479" s="311"/>
      <c r="T479" s="326" t="str">
        <f>IF(tblPiNAnalysis[[#This Row],[Site Management ]]="", "", tblPiNAnalysis[[#This Row],[Site Management ]]/tblPiNAnalysis[[#This Row],[Total Population]])</f>
        <v/>
      </c>
      <c r="U479" s="315" t="str">
        <f>IF(tblPiNAnalysis[[#This Row],[Education]]="", "", tblPiNAnalysis[[#This Row],[Education]]/tblPiNAnalysis[[#This Row],[Total Population]])</f>
        <v/>
      </c>
      <c r="V479" s="315" t="str">
        <f>IF(tblPiNAnalysis[[#This Row],[Food Security and Livlihoods]]="", "", tblPiNAnalysis[[#This Row],[Food Security and Livlihoods]]/tblPiNAnalysis[[#This Row],[Total Population]])</f>
        <v/>
      </c>
      <c r="W479" s="315" t="str">
        <f>IF(tblPiNAnalysis[[#This Row],[Health ]]="", "", tblPiNAnalysis[[#This Row],[Health ]]/tblPiNAnalysis[[#This Row],[Total Population]])</f>
        <v/>
      </c>
      <c r="X479" s="315" t="str">
        <f>IF(tblPiNAnalysis[[#This Row],[Nutrition]]="", "", tblPiNAnalysis[[#This Row],[Nutrition]]/tblPiNAnalysis[[#This Row],[Total Population]])</f>
        <v/>
      </c>
      <c r="Y479" s="315" t="str">
        <f>IF(tblPiNAnalysis[[#This Row],[Protection]]="", "", tblPiNAnalysis[[#This Row],[Protection]]/tblPiNAnalysis[[#This Row],[Total Population]])</f>
        <v/>
      </c>
      <c r="Z479" s="327">
        <f>IF(tblPiNAnalysis[[#This Row],[Shelter NFI ]]="", "", tblPiNAnalysis[[#This Row],[Shelter NFI ]]/tblPiNAnalysis[[#This Row],[Total Population]])</f>
        <v>0.44801679231035058</v>
      </c>
      <c r="AA479" s="328" t="str">
        <f>IF(tblPiNAnalysis[[#This Row],[WASH]]="", "", tblPiNAnalysis[[#This Row],[WASH]]/tblPiNAnalysis[[#This Row],[Total Population]])</f>
        <v/>
      </c>
      <c r="AB479" s="329" t="str">
        <f>IFERROR(IF(tblPiNAnalysis[[#This Row],[CP]]="", "", MROUND(tblPiNAnalysis[[#This Row],[CP]]/tblPiNAnalysis[[#This Row],[Total Population]], 0.05)), "")</f>
        <v/>
      </c>
      <c r="AC479" s="315" t="str">
        <f>IFERROR(IF(tblPiNAnalysis[[#This Row],[GBV]]="", "", MROUND(tblPiNAnalysis[[#This Row],[GBV]]/tblPiNAnalysis[[#This Row],[Total Population]], 0.05)), "")</f>
        <v/>
      </c>
      <c r="AD479" s="315" t="str">
        <f>IFERROR(IF(tblPiNAnalysis[[#This Row],[Mine Action]]="", "", MROUND(tblPiNAnalysis[[#This Row],[Mine Action]]/tblPiNAnalysis[[#This Row],[Total Population]], 0.05)), "")</f>
        <v/>
      </c>
      <c r="AE479" s="315" t="str">
        <f>IFERROR(IF(tblPiNAnalysis[[#This Row],[General Protection]]="", "", MROUND(tblPiNAnalysis[[#This Row],[General Protection]]/tblPiNAnalysis[[#This Row],[Total Population]], 0.05)), "")</f>
        <v/>
      </c>
      <c r="AF479" s="319">
        <f>IFERROR(LARGE(tblPiNAnalysis[[#This Row],[Site Management ]:[General Protection]], 1), "")</f>
        <v>35004</v>
      </c>
      <c r="AG479" s="330">
        <f>IF(tblPiNAnalysis[[#This Row],[Highest PiN]]="", "",tblPiNAnalysis[[#This Row],[Highest PiN]]/ tblPiNAnalysis[[#This Row],[Total Population]])</f>
        <v>0.44801679231035058</v>
      </c>
      <c r="AH479" s="330" t="str">
        <f>IFERROR(IF(tblPiNAnalysis[[#This Row],[Highest PiN]]="", "", IF(tblPiNAnalysis[[#This Row],[Highest sector(s'') PiN %]]&gt;=flag_pin_perc, "Flagged", "")), "")</f>
        <v/>
      </c>
      <c r="AI479" s="321"/>
      <c r="AJ479" s="322"/>
      <c r="AK479" s="323">
        <f>COUNTIFS(tblPiNAnalysis[[#This Row],[Highest PiN greater than 90% of total affected population]:[Manual Flag]],"Flagged")</f>
        <v>0</v>
      </c>
      <c r="AL479" s="331" t="str">
        <f>IF(tblPiNAnalysis[[#This Row],['# Flags]]&gt;0, "Flagged", "")</f>
        <v/>
      </c>
    </row>
    <row r="480" spans="1:38" ht="23.1" customHeight="1" x14ac:dyDescent="0.2">
      <c r="A480" s="309" t="str">
        <f>_xlfn.CONCAT(IF(tblPiNAnalysis[[#This Row],[Population Group]]="", "",tblPiNAnalysis[[#This Row],[Population Group]] ), _xlfn.IFS(tblPiNAnalysis[[#This Row],[Admin 2 P-Code]]&lt;&gt;"", tblPiNAnalysis[[#This Row],[Admin 2 P-Code]], tblPiNAnalysis[[#This Row],[Admin 1 P-Code]]&lt;&gt;"", tblPiNAnalysis[[#This Row],[Admin 1 P-Code]]))</f>
        <v>Non-hosting PopulationSD15036</v>
      </c>
      <c r="B480" s="245" t="s">
        <v>147</v>
      </c>
      <c r="C480" s="246" t="s">
        <v>132</v>
      </c>
      <c r="D480" s="247" t="s">
        <v>508</v>
      </c>
      <c r="E480" s="246" t="s">
        <v>509</v>
      </c>
      <c r="F480" s="248">
        <v>725439</v>
      </c>
      <c r="G480" s="248" t="s">
        <v>568</v>
      </c>
      <c r="H480" s="310"/>
      <c r="I480" s="311"/>
      <c r="J480" s="312"/>
      <c r="K480" s="311"/>
      <c r="L480" s="311"/>
      <c r="M480" s="312"/>
      <c r="N480" s="312">
        <f>_xlfn.XLOOKUP(CONCATENATE(tblPiNAnalysis[[#This Row],[Admin 2 P-Code]],tblPiNAnalysis[[#This Row],[Population Group]]),'Overall severity &amp; PIN Analysis'!A:A,'Overall severity &amp; PIN Analysis'!P:P,0,0)</f>
        <v>49458</v>
      </c>
      <c r="O480" s="311"/>
      <c r="P480" s="312"/>
      <c r="Q480" s="312"/>
      <c r="R480" s="312"/>
      <c r="S480" s="312"/>
      <c r="T480" s="313" t="str">
        <f>IF(tblPiNAnalysis[[#This Row],[Site Management ]]="", "", tblPiNAnalysis[[#This Row],[Site Management ]]/tblPiNAnalysis[[#This Row],[Total Population]])</f>
        <v/>
      </c>
      <c r="U480" s="314" t="str">
        <f>IF(tblPiNAnalysis[[#This Row],[Education]]="", "", tblPiNAnalysis[[#This Row],[Education]]/tblPiNAnalysis[[#This Row],[Total Population]])</f>
        <v/>
      </c>
      <c r="V480" s="314" t="str">
        <f>IF(tblPiNAnalysis[[#This Row],[Food Security and Livlihoods]]="", "", tblPiNAnalysis[[#This Row],[Food Security and Livlihoods]]/tblPiNAnalysis[[#This Row],[Total Population]])</f>
        <v/>
      </c>
      <c r="W480" s="315" t="str">
        <f>IF(tblPiNAnalysis[[#This Row],[Health ]]="", "", tblPiNAnalysis[[#This Row],[Health ]]/tblPiNAnalysis[[#This Row],[Total Population]])</f>
        <v/>
      </c>
      <c r="X480" s="314" t="str">
        <f>IF(tblPiNAnalysis[[#This Row],[Nutrition]]="", "", tblPiNAnalysis[[#This Row],[Nutrition]]/tblPiNAnalysis[[#This Row],[Total Population]])</f>
        <v/>
      </c>
      <c r="Y480" s="314" t="str">
        <f>IF(tblPiNAnalysis[[#This Row],[Protection]]="", "", tblPiNAnalysis[[#This Row],[Protection]]/tblPiNAnalysis[[#This Row],[Total Population]])</f>
        <v/>
      </c>
      <c r="Z480" s="316">
        <f>IF(tblPiNAnalysis[[#This Row],[Shelter NFI ]]="", "", tblPiNAnalysis[[#This Row],[Shelter NFI ]]/tblPiNAnalysis[[#This Row],[Total Population]])</f>
        <v>6.8176648898115491E-2</v>
      </c>
      <c r="AA480" s="317" t="str">
        <f>IF(tblPiNAnalysis[[#This Row],[WASH]]="", "", tblPiNAnalysis[[#This Row],[WASH]]/tblPiNAnalysis[[#This Row],[Total Population]])</f>
        <v/>
      </c>
      <c r="AB480" s="318" t="str">
        <f>IFERROR(IF(tblPiNAnalysis[[#This Row],[CP]]="", "", MROUND(tblPiNAnalysis[[#This Row],[CP]]/tblPiNAnalysis[[#This Row],[Total Population]], 0.05)), "")</f>
        <v/>
      </c>
      <c r="AC480" s="314" t="str">
        <f>IFERROR(IF(tblPiNAnalysis[[#This Row],[GBV]]="", "", MROUND(tblPiNAnalysis[[#This Row],[GBV]]/tblPiNAnalysis[[#This Row],[Total Population]], 0.05)), "")</f>
        <v/>
      </c>
      <c r="AD480" s="314" t="str">
        <f>IFERROR(IF(tblPiNAnalysis[[#This Row],[Mine Action]]="", "", MROUND(tblPiNAnalysis[[#This Row],[Mine Action]]/tblPiNAnalysis[[#This Row],[Total Population]], 0.05)), "")</f>
        <v/>
      </c>
      <c r="AE480" s="314" t="str">
        <f>IFERROR(IF(tblPiNAnalysis[[#This Row],[General Protection]]="", "", MROUND(tblPiNAnalysis[[#This Row],[General Protection]]/tblPiNAnalysis[[#This Row],[Total Population]], 0.05)), "")</f>
        <v/>
      </c>
      <c r="AF480" s="319">
        <f>IFERROR(LARGE(tblPiNAnalysis[[#This Row],[Site Management ]:[General Protection]], 1), "")</f>
        <v>49458</v>
      </c>
      <c r="AG480" s="320">
        <f>IF(tblPiNAnalysis[[#This Row],[Highest PiN]]="", "",tblPiNAnalysis[[#This Row],[Highest PiN]]/ tblPiNAnalysis[[#This Row],[Total Population]])</f>
        <v>6.8176648898115491E-2</v>
      </c>
      <c r="AH480" s="320" t="str">
        <f>IFERROR(IF(tblPiNAnalysis[[#This Row],[Highest PiN]]="", "", IF(tblPiNAnalysis[[#This Row],[Highest sector(s'') PiN %]]&gt;=flag_pin_perc, "Flagged", "")), "")</f>
        <v/>
      </c>
      <c r="AI480" s="321"/>
      <c r="AJ480" s="322"/>
      <c r="AK480" s="323">
        <f>COUNTIFS(tblPiNAnalysis[[#This Row],[Highest PiN greater than 90% of total affected population]:[Manual Flag]],"Flagged")</f>
        <v>0</v>
      </c>
      <c r="AL480" s="324" t="str">
        <f>IF(tblPiNAnalysis[[#This Row],['# Flags]]&gt;0, "Flagged", "")</f>
        <v/>
      </c>
    </row>
    <row r="481" spans="1:38" ht="23.1" hidden="1" customHeight="1" x14ac:dyDescent="0.2">
      <c r="A481" s="309" t="str">
        <f>_xlfn.CONCAT(IF(tblPiNAnalysis[[#This Row],[Population Group]]="", "",tblPiNAnalysis[[#This Row],[Population Group]] ), _xlfn.IFS(tblPiNAnalysis[[#This Row],[Admin 2 P-Code]]&lt;&gt;"", tblPiNAnalysis[[#This Row],[Admin 2 P-Code]], tblPiNAnalysis[[#This Row],[Admin 1 P-Code]]&lt;&gt;"", tblPiNAnalysis[[#This Row],[Admin 1 P-Code]]))</f>
        <v>Host CommunitySD15037</v>
      </c>
      <c r="B481" s="245" t="s">
        <v>147</v>
      </c>
      <c r="C481" s="246" t="s">
        <v>132</v>
      </c>
      <c r="D481" s="247" t="s">
        <v>510</v>
      </c>
      <c r="E481" s="246" t="s">
        <v>511</v>
      </c>
      <c r="F481" s="248">
        <v>84484</v>
      </c>
      <c r="G481" s="248" t="s">
        <v>87</v>
      </c>
      <c r="H481" s="310"/>
      <c r="I481" s="311"/>
      <c r="J481" s="312"/>
      <c r="K481" s="311"/>
      <c r="L481" s="311"/>
      <c r="M481" s="312"/>
      <c r="N481" s="312">
        <f>_xlfn.XLOOKUP(CONCATENATE(tblPiNAnalysis[[#This Row],[Admin 2 P-Code]],tblPiNAnalysis[[#This Row],[Population Group]]),'Overall severity &amp; PIN Analysis'!A:A,'Overall severity &amp; PIN Analysis'!P:P,0,0)</f>
        <v>34680</v>
      </c>
      <c r="O481" s="311"/>
      <c r="P481" s="312"/>
      <c r="Q481" s="312"/>
      <c r="R481" s="312"/>
      <c r="S481" s="312"/>
      <c r="T481" s="313" t="str">
        <f>IF(tblPiNAnalysis[[#This Row],[Site Management ]]="", "", tblPiNAnalysis[[#This Row],[Site Management ]]/tblPiNAnalysis[[#This Row],[Total Population]])</f>
        <v/>
      </c>
      <c r="U481" s="314" t="str">
        <f>IF(tblPiNAnalysis[[#This Row],[Education]]="", "", tblPiNAnalysis[[#This Row],[Education]]/tblPiNAnalysis[[#This Row],[Total Population]])</f>
        <v/>
      </c>
      <c r="V481" s="314" t="str">
        <f>IF(tblPiNAnalysis[[#This Row],[Food Security and Livlihoods]]="", "", tblPiNAnalysis[[#This Row],[Food Security and Livlihoods]]/tblPiNAnalysis[[#This Row],[Total Population]])</f>
        <v/>
      </c>
      <c r="W481" s="315" t="str">
        <f>IF(tblPiNAnalysis[[#This Row],[Health ]]="", "", tblPiNAnalysis[[#This Row],[Health ]]/tblPiNAnalysis[[#This Row],[Total Population]])</f>
        <v/>
      </c>
      <c r="X481" s="314" t="str">
        <f>IF(tblPiNAnalysis[[#This Row],[Nutrition]]="", "", tblPiNAnalysis[[#This Row],[Nutrition]]/tblPiNAnalysis[[#This Row],[Total Population]])</f>
        <v/>
      </c>
      <c r="Y481" s="314" t="str">
        <f>IF(tblPiNAnalysis[[#This Row],[Protection]]="", "", tblPiNAnalysis[[#This Row],[Protection]]/tblPiNAnalysis[[#This Row],[Total Population]])</f>
        <v/>
      </c>
      <c r="Z481" s="316">
        <f>IF(tblPiNAnalysis[[#This Row],[Shelter NFI ]]="", "", tblPiNAnalysis[[#This Row],[Shelter NFI ]]/tblPiNAnalysis[[#This Row],[Total Population]])</f>
        <v>0.41049192746555563</v>
      </c>
      <c r="AA481" s="317" t="str">
        <f>IF(tblPiNAnalysis[[#This Row],[WASH]]="", "", tblPiNAnalysis[[#This Row],[WASH]]/tblPiNAnalysis[[#This Row],[Total Population]])</f>
        <v/>
      </c>
      <c r="AB481" s="318" t="str">
        <f>IFERROR(IF(tblPiNAnalysis[[#This Row],[CP]]="", "", MROUND(tblPiNAnalysis[[#This Row],[CP]]/tblPiNAnalysis[[#This Row],[Total Population]], 0.05)), "")</f>
        <v/>
      </c>
      <c r="AC481" s="314" t="str">
        <f>IFERROR(IF(tblPiNAnalysis[[#This Row],[GBV]]="", "", MROUND(tblPiNAnalysis[[#This Row],[GBV]]/tblPiNAnalysis[[#This Row],[Total Population]], 0.05)), "")</f>
        <v/>
      </c>
      <c r="AD481" s="314" t="str">
        <f>IFERROR(IF(tblPiNAnalysis[[#This Row],[Mine Action]]="", "", MROUND(tblPiNAnalysis[[#This Row],[Mine Action]]/tblPiNAnalysis[[#This Row],[Total Population]], 0.05)), "")</f>
        <v/>
      </c>
      <c r="AE481" s="314" t="str">
        <f>IFERROR(IF(tblPiNAnalysis[[#This Row],[General Protection]]="", "", MROUND(tblPiNAnalysis[[#This Row],[General Protection]]/tblPiNAnalysis[[#This Row],[Total Population]], 0.05)), "")</f>
        <v/>
      </c>
      <c r="AF481" s="319">
        <f>IFERROR(LARGE(tblPiNAnalysis[[#This Row],[Site Management ]:[General Protection]], 1), "")</f>
        <v>34680</v>
      </c>
      <c r="AG481" s="320">
        <f>IF(tblPiNAnalysis[[#This Row],[Highest PiN]]="", "",tblPiNAnalysis[[#This Row],[Highest PiN]]/ tblPiNAnalysis[[#This Row],[Total Population]])</f>
        <v>0.41049192746555563</v>
      </c>
      <c r="AH481" s="320" t="str">
        <f>IFERROR(IF(tblPiNAnalysis[[#This Row],[Highest PiN]]="", "", IF(tblPiNAnalysis[[#This Row],[Highest sector(s'') PiN %]]&gt;=flag_pin_perc, "Flagged", "")), "")</f>
        <v/>
      </c>
      <c r="AI481" s="321"/>
      <c r="AJ481" s="322"/>
      <c r="AK481" s="323">
        <f>COUNTIFS(tblPiNAnalysis[[#This Row],[Highest PiN greater than 90% of total affected population]:[Manual Flag]],"Flagged")</f>
        <v>0</v>
      </c>
      <c r="AL481" s="324" t="str">
        <f>IF(tblPiNAnalysis[[#This Row],['# Flags]]&gt;0, "Flagged", "")</f>
        <v/>
      </c>
    </row>
    <row r="482" spans="1:38" ht="23.1" hidden="1" customHeight="1" x14ac:dyDescent="0.2">
      <c r="A482" s="309" t="str">
        <f>_xlfn.CONCAT(IF(tblPiNAnalysis[[#This Row],[Population Group]]="", "",tblPiNAnalysis[[#This Row],[Population Group]] ), _xlfn.IFS(tblPiNAnalysis[[#This Row],[Admin 2 P-Code]]&lt;&gt;"", tblPiNAnalysis[[#This Row],[Admin 2 P-Code]], tblPiNAnalysis[[#This Row],[Admin 1 P-Code]]&lt;&gt;"", tblPiNAnalysis[[#This Row],[Admin 1 P-Code]]))</f>
        <v>IDPsSD15037</v>
      </c>
      <c r="B482" s="245" t="s">
        <v>147</v>
      </c>
      <c r="C482" s="246" t="s">
        <v>132</v>
      </c>
      <c r="D482" s="247" t="s">
        <v>510</v>
      </c>
      <c r="E482" s="246" t="s">
        <v>511</v>
      </c>
      <c r="F482" s="248">
        <v>84123</v>
      </c>
      <c r="G482" s="248" t="s">
        <v>88</v>
      </c>
      <c r="H482" s="310"/>
      <c r="I482" s="311"/>
      <c r="J482" s="311"/>
      <c r="K482" s="311"/>
      <c r="L482" s="311"/>
      <c r="M482" s="311"/>
      <c r="N482" s="311">
        <f>_xlfn.XLOOKUP(CONCATENATE(tblPiNAnalysis[[#This Row],[Admin 2 P-Code]],tblPiNAnalysis[[#This Row],[Population Group]]),'Overall severity &amp; PIN Analysis'!A:A,'Overall severity &amp; PIN Analysis'!P:P,0,0)</f>
        <v>34533</v>
      </c>
      <c r="O482" s="311"/>
      <c r="P482" s="311"/>
      <c r="Q482" s="311"/>
      <c r="R482" s="311"/>
      <c r="S482" s="311"/>
      <c r="T482" s="326" t="str">
        <f>IF(tblPiNAnalysis[[#This Row],[Site Management ]]="", "", tblPiNAnalysis[[#This Row],[Site Management ]]/tblPiNAnalysis[[#This Row],[Total Population]])</f>
        <v/>
      </c>
      <c r="U482" s="315" t="str">
        <f>IF(tblPiNAnalysis[[#This Row],[Education]]="", "", tblPiNAnalysis[[#This Row],[Education]]/tblPiNAnalysis[[#This Row],[Total Population]])</f>
        <v/>
      </c>
      <c r="V482" s="315" t="str">
        <f>IF(tblPiNAnalysis[[#This Row],[Food Security and Livlihoods]]="", "", tblPiNAnalysis[[#This Row],[Food Security and Livlihoods]]/tblPiNAnalysis[[#This Row],[Total Population]])</f>
        <v/>
      </c>
      <c r="W482" s="315" t="str">
        <f>IF(tblPiNAnalysis[[#This Row],[Health ]]="", "", tblPiNAnalysis[[#This Row],[Health ]]/tblPiNAnalysis[[#This Row],[Total Population]])</f>
        <v/>
      </c>
      <c r="X482" s="315" t="str">
        <f>IF(tblPiNAnalysis[[#This Row],[Nutrition]]="", "", tblPiNAnalysis[[#This Row],[Nutrition]]/tblPiNAnalysis[[#This Row],[Total Population]])</f>
        <v/>
      </c>
      <c r="Y482" s="315" t="str">
        <f>IF(tblPiNAnalysis[[#This Row],[Protection]]="", "", tblPiNAnalysis[[#This Row],[Protection]]/tblPiNAnalysis[[#This Row],[Total Population]])</f>
        <v/>
      </c>
      <c r="Z482" s="327">
        <f>IF(tblPiNAnalysis[[#This Row],[Shelter NFI ]]="", "", tblPiNAnalysis[[#This Row],[Shelter NFI ]]/tblPiNAnalysis[[#This Row],[Total Population]])</f>
        <v>0.41050604472023111</v>
      </c>
      <c r="AA482" s="328" t="str">
        <f>IF(tblPiNAnalysis[[#This Row],[WASH]]="", "", tblPiNAnalysis[[#This Row],[WASH]]/tblPiNAnalysis[[#This Row],[Total Population]])</f>
        <v/>
      </c>
      <c r="AB482" s="329" t="str">
        <f>IFERROR(IF(tblPiNAnalysis[[#This Row],[CP]]="", "", MROUND(tblPiNAnalysis[[#This Row],[CP]]/tblPiNAnalysis[[#This Row],[Total Population]], 0.05)), "")</f>
        <v/>
      </c>
      <c r="AC482" s="315" t="str">
        <f>IFERROR(IF(tblPiNAnalysis[[#This Row],[GBV]]="", "", MROUND(tblPiNAnalysis[[#This Row],[GBV]]/tblPiNAnalysis[[#This Row],[Total Population]], 0.05)), "")</f>
        <v/>
      </c>
      <c r="AD482" s="315" t="str">
        <f>IFERROR(IF(tblPiNAnalysis[[#This Row],[Mine Action]]="", "", MROUND(tblPiNAnalysis[[#This Row],[Mine Action]]/tblPiNAnalysis[[#This Row],[Total Population]], 0.05)), "")</f>
        <v/>
      </c>
      <c r="AE482" s="315" t="str">
        <f>IFERROR(IF(tblPiNAnalysis[[#This Row],[General Protection]]="", "", MROUND(tblPiNAnalysis[[#This Row],[General Protection]]/tblPiNAnalysis[[#This Row],[Total Population]], 0.05)), "")</f>
        <v/>
      </c>
      <c r="AF482" s="319">
        <f>IFERROR(LARGE(tblPiNAnalysis[[#This Row],[Site Management ]:[General Protection]], 1), "")</f>
        <v>34533</v>
      </c>
      <c r="AG482" s="330">
        <f>IF(tblPiNAnalysis[[#This Row],[Highest PiN]]="", "",tblPiNAnalysis[[#This Row],[Highest PiN]]/ tblPiNAnalysis[[#This Row],[Total Population]])</f>
        <v>0.41050604472023111</v>
      </c>
      <c r="AH482" s="330" t="str">
        <f>IFERROR(IF(tblPiNAnalysis[[#This Row],[Highest PiN]]="", "", IF(tblPiNAnalysis[[#This Row],[Highest sector(s'') PiN %]]&gt;=flag_pin_perc, "Flagged", "")), "")</f>
        <v/>
      </c>
      <c r="AI482" s="321"/>
      <c r="AJ482" s="322"/>
      <c r="AK482" s="323">
        <f>COUNTIFS(tblPiNAnalysis[[#This Row],[Highest PiN greater than 90% of total affected population]:[Manual Flag]],"Flagged")</f>
        <v>0</v>
      </c>
      <c r="AL482" s="333" t="str">
        <f>IF(tblPiNAnalysis[[#This Row],['# Flags]]&gt;0, "Flagged", "")</f>
        <v/>
      </c>
    </row>
    <row r="483" spans="1:38" ht="23.1" customHeight="1" x14ac:dyDescent="0.2">
      <c r="A483" s="309" t="str">
        <f>_xlfn.CONCAT(IF(tblPiNAnalysis[[#This Row],[Population Group]]="", "",tblPiNAnalysis[[#This Row],[Population Group]] ), _xlfn.IFS(tblPiNAnalysis[[#This Row],[Admin 2 P-Code]]&lt;&gt;"", tblPiNAnalysis[[#This Row],[Admin 2 P-Code]], tblPiNAnalysis[[#This Row],[Admin 1 P-Code]]&lt;&gt;"", tblPiNAnalysis[[#This Row],[Admin 1 P-Code]]))</f>
        <v>Non-hosting PopulationSD15037</v>
      </c>
      <c r="B483" s="245" t="s">
        <v>147</v>
      </c>
      <c r="C483" s="246" t="s">
        <v>132</v>
      </c>
      <c r="D483" s="247" t="s">
        <v>510</v>
      </c>
      <c r="E483" s="246" t="s">
        <v>511</v>
      </c>
      <c r="F483" s="248">
        <v>419203</v>
      </c>
      <c r="G483" s="248" t="s">
        <v>568</v>
      </c>
      <c r="H483" s="310"/>
      <c r="I483" s="311"/>
      <c r="J483" s="312"/>
      <c r="K483" s="311"/>
      <c r="L483" s="311"/>
      <c r="M483" s="312"/>
      <c r="N483" s="312">
        <f>_xlfn.XLOOKUP(CONCATENATE(tblPiNAnalysis[[#This Row],[Admin 2 P-Code]],tblPiNAnalysis[[#This Row],[Population Group]]),'Overall severity &amp; PIN Analysis'!A:A,'Overall severity &amp; PIN Analysis'!P:P,0,0)</f>
        <v>19779</v>
      </c>
      <c r="O483" s="311"/>
      <c r="P483" s="312"/>
      <c r="Q483" s="312"/>
      <c r="R483" s="312"/>
      <c r="S483" s="312"/>
      <c r="T483" s="313" t="str">
        <f>IF(tblPiNAnalysis[[#This Row],[Site Management ]]="", "", tblPiNAnalysis[[#This Row],[Site Management ]]/tblPiNAnalysis[[#This Row],[Total Population]])</f>
        <v/>
      </c>
      <c r="U483" s="314" t="str">
        <f>IF(tblPiNAnalysis[[#This Row],[Education]]="", "", tblPiNAnalysis[[#This Row],[Education]]/tblPiNAnalysis[[#This Row],[Total Population]])</f>
        <v/>
      </c>
      <c r="V483" s="314" t="str">
        <f>IF(tblPiNAnalysis[[#This Row],[Food Security and Livlihoods]]="", "", tblPiNAnalysis[[#This Row],[Food Security and Livlihoods]]/tblPiNAnalysis[[#This Row],[Total Population]])</f>
        <v/>
      </c>
      <c r="W483" s="315" t="str">
        <f>IF(tblPiNAnalysis[[#This Row],[Health ]]="", "", tblPiNAnalysis[[#This Row],[Health ]]/tblPiNAnalysis[[#This Row],[Total Population]])</f>
        <v/>
      </c>
      <c r="X483" s="314" t="str">
        <f>IF(tblPiNAnalysis[[#This Row],[Nutrition]]="", "", tblPiNAnalysis[[#This Row],[Nutrition]]/tblPiNAnalysis[[#This Row],[Total Population]])</f>
        <v/>
      </c>
      <c r="Y483" s="314" t="str">
        <f>IF(tblPiNAnalysis[[#This Row],[Protection]]="", "", tblPiNAnalysis[[#This Row],[Protection]]/tblPiNAnalysis[[#This Row],[Total Population]])</f>
        <v/>
      </c>
      <c r="Z483" s="316">
        <f>IF(tblPiNAnalysis[[#This Row],[Shelter NFI ]]="", "", tblPiNAnalysis[[#This Row],[Shelter NFI ]]/tblPiNAnalysis[[#This Row],[Total Population]])</f>
        <v>4.7182391347390169E-2</v>
      </c>
      <c r="AA483" s="317" t="str">
        <f>IF(tblPiNAnalysis[[#This Row],[WASH]]="", "", tblPiNAnalysis[[#This Row],[WASH]]/tblPiNAnalysis[[#This Row],[Total Population]])</f>
        <v/>
      </c>
      <c r="AB483" s="318" t="str">
        <f>IFERROR(IF(tblPiNAnalysis[[#This Row],[CP]]="", "", MROUND(tblPiNAnalysis[[#This Row],[CP]]/tblPiNAnalysis[[#This Row],[Total Population]], 0.05)), "")</f>
        <v/>
      </c>
      <c r="AC483" s="314" t="str">
        <f>IFERROR(IF(tblPiNAnalysis[[#This Row],[GBV]]="", "", MROUND(tblPiNAnalysis[[#This Row],[GBV]]/tblPiNAnalysis[[#This Row],[Total Population]], 0.05)), "")</f>
        <v/>
      </c>
      <c r="AD483" s="314" t="str">
        <f>IFERROR(IF(tblPiNAnalysis[[#This Row],[Mine Action]]="", "", MROUND(tblPiNAnalysis[[#This Row],[Mine Action]]/tblPiNAnalysis[[#This Row],[Total Population]], 0.05)), "")</f>
        <v/>
      </c>
      <c r="AE483" s="314" t="str">
        <f>IFERROR(IF(tblPiNAnalysis[[#This Row],[General Protection]]="", "", MROUND(tblPiNAnalysis[[#This Row],[General Protection]]/tblPiNAnalysis[[#This Row],[Total Population]], 0.05)), "")</f>
        <v/>
      </c>
      <c r="AF483" s="319">
        <f>IFERROR(LARGE(tblPiNAnalysis[[#This Row],[Site Management ]:[General Protection]], 1), "")</f>
        <v>19779</v>
      </c>
      <c r="AG483" s="320">
        <f>IF(tblPiNAnalysis[[#This Row],[Highest PiN]]="", "",tblPiNAnalysis[[#This Row],[Highest PiN]]/ tblPiNAnalysis[[#This Row],[Total Population]])</f>
        <v>4.7182391347390169E-2</v>
      </c>
      <c r="AH483" s="320" t="str">
        <f>IFERROR(IF(tblPiNAnalysis[[#This Row],[Highest PiN]]="", "", IF(tblPiNAnalysis[[#This Row],[Highest sector(s'') PiN %]]&gt;=flag_pin_perc, "Flagged", "")), "")</f>
        <v/>
      </c>
      <c r="AI483" s="321"/>
      <c r="AJ483" s="322"/>
      <c r="AK483" s="323">
        <f>COUNTIFS(tblPiNAnalysis[[#This Row],[Highest PiN greater than 90% of total affected population]:[Manual Flag]],"Flagged")</f>
        <v>0</v>
      </c>
      <c r="AL483" s="324" t="str">
        <f>IF(tblPiNAnalysis[[#This Row],['# Flags]]&gt;0, "Flagged", "")</f>
        <v/>
      </c>
    </row>
    <row r="484" spans="1:38" ht="23.1" hidden="1" customHeight="1" x14ac:dyDescent="0.2">
      <c r="A484" s="309" t="str">
        <f>_xlfn.CONCAT(IF(tblPiNAnalysis[[#This Row],[Population Group]]="", "",tblPiNAnalysis[[#This Row],[Population Group]] ), _xlfn.IFS(tblPiNAnalysis[[#This Row],[Admin 2 P-Code]]&lt;&gt;"", tblPiNAnalysis[[#This Row],[Admin 2 P-Code]], tblPiNAnalysis[[#This Row],[Admin 1 P-Code]]&lt;&gt;"", tblPiNAnalysis[[#This Row],[Admin 1 P-Code]]))</f>
        <v>Host CommunitySD16008</v>
      </c>
      <c r="B484" s="245" t="s">
        <v>179</v>
      </c>
      <c r="C484" s="246" t="s">
        <v>133</v>
      </c>
      <c r="D484" s="247" t="s">
        <v>512</v>
      </c>
      <c r="E484" s="246" t="s">
        <v>513</v>
      </c>
      <c r="F484" s="248">
        <v>48025</v>
      </c>
      <c r="G484" s="248" t="s">
        <v>87</v>
      </c>
      <c r="H484" s="310"/>
      <c r="I484" s="311"/>
      <c r="J484" s="312"/>
      <c r="K484" s="311"/>
      <c r="L484" s="311"/>
      <c r="M484" s="312"/>
      <c r="N484" s="312">
        <f>_xlfn.XLOOKUP(CONCATENATE(tblPiNAnalysis[[#This Row],[Admin 2 P-Code]],tblPiNAnalysis[[#This Row],[Population Group]]),'Overall severity &amp; PIN Analysis'!A:A,'Overall severity &amp; PIN Analysis'!P:P,0,0)</f>
        <v>5719</v>
      </c>
      <c r="O484" s="311"/>
      <c r="P484" s="312"/>
      <c r="Q484" s="312"/>
      <c r="R484" s="312"/>
      <c r="S484" s="312"/>
      <c r="T484" s="313" t="str">
        <f>IF(tblPiNAnalysis[[#This Row],[Site Management ]]="", "", tblPiNAnalysis[[#This Row],[Site Management ]]/tblPiNAnalysis[[#This Row],[Total Population]])</f>
        <v/>
      </c>
      <c r="U484" s="314" t="str">
        <f>IF(tblPiNAnalysis[[#This Row],[Education]]="", "", tblPiNAnalysis[[#This Row],[Education]]/tblPiNAnalysis[[#This Row],[Total Population]])</f>
        <v/>
      </c>
      <c r="V484" s="314" t="str">
        <f>IF(tblPiNAnalysis[[#This Row],[Food Security and Livlihoods]]="", "", tblPiNAnalysis[[#This Row],[Food Security and Livlihoods]]/tblPiNAnalysis[[#This Row],[Total Population]])</f>
        <v/>
      </c>
      <c r="W484" s="315" t="str">
        <f>IF(tblPiNAnalysis[[#This Row],[Health ]]="", "", tblPiNAnalysis[[#This Row],[Health ]]/tblPiNAnalysis[[#This Row],[Total Population]])</f>
        <v/>
      </c>
      <c r="X484" s="314" t="str">
        <f>IF(tblPiNAnalysis[[#This Row],[Nutrition]]="", "", tblPiNAnalysis[[#This Row],[Nutrition]]/tblPiNAnalysis[[#This Row],[Total Population]])</f>
        <v/>
      </c>
      <c r="Y484" s="314" t="str">
        <f>IF(tblPiNAnalysis[[#This Row],[Protection]]="", "", tblPiNAnalysis[[#This Row],[Protection]]/tblPiNAnalysis[[#This Row],[Total Population]])</f>
        <v/>
      </c>
      <c r="Z484" s="316">
        <f>IF(tblPiNAnalysis[[#This Row],[Shelter NFI ]]="", "", tblPiNAnalysis[[#This Row],[Shelter NFI ]]/tblPiNAnalysis[[#This Row],[Total Population]])</f>
        <v>0.11908381051535659</v>
      </c>
      <c r="AA484" s="317" t="str">
        <f>IF(tblPiNAnalysis[[#This Row],[WASH]]="", "", tblPiNAnalysis[[#This Row],[WASH]]/tblPiNAnalysis[[#This Row],[Total Population]])</f>
        <v/>
      </c>
      <c r="AB484" s="318" t="str">
        <f>IFERROR(IF(tblPiNAnalysis[[#This Row],[CP]]="", "", MROUND(tblPiNAnalysis[[#This Row],[CP]]/tblPiNAnalysis[[#This Row],[Total Population]], 0.05)), "")</f>
        <v/>
      </c>
      <c r="AC484" s="314" t="str">
        <f>IFERROR(IF(tblPiNAnalysis[[#This Row],[GBV]]="", "", MROUND(tblPiNAnalysis[[#This Row],[GBV]]/tblPiNAnalysis[[#This Row],[Total Population]], 0.05)), "")</f>
        <v/>
      </c>
      <c r="AD484" s="314" t="str">
        <f>IFERROR(IF(tblPiNAnalysis[[#This Row],[Mine Action]]="", "", MROUND(tblPiNAnalysis[[#This Row],[Mine Action]]/tblPiNAnalysis[[#This Row],[Total Population]], 0.05)), "")</f>
        <v/>
      </c>
      <c r="AE484" s="314" t="str">
        <f>IFERROR(IF(tblPiNAnalysis[[#This Row],[General Protection]]="", "", MROUND(tblPiNAnalysis[[#This Row],[General Protection]]/tblPiNAnalysis[[#This Row],[Total Population]], 0.05)), "")</f>
        <v/>
      </c>
      <c r="AF484" s="319">
        <f>IFERROR(LARGE(tblPiNAnalysis[[#This Row],[Site Management ]:[General Protection]], 1), "")</f>
        <v>5719</v>
      </c>
      <c r="AG484" s="320">
        <f>IF(tblPiNAnalysis[[#This Row],[Highest PiN]]="", "",tblPiNAnalysis[[#This Row],[Highest PiN]]/ tblPiNAnalysis[[#This Row],[Total Population]])</f>
        <v>0.11908381051535659</v>
      </c>
      <c r="AH484" s="320" t="str">
        <f>IFERROR(IF(tblPiNAnalysis[[#This Row],[Highest PiN]]="", "", IF(tblPiNAnalysis[[#This Row],[Highest sector(s'') PiN %]]&gt;=flag_pin_perc, "Flagged", "")), "")</f>
        <v/>
      </c>
      <c r="AI484" s="321"/>
      <c r="AJ484" s="322"/>
      <c r="AK484" s="323">
        <f>COUNTIFS(tblPiNAnalysis[[#This Row],[Highest PiN greater than 90% of total affected population]:[Manual Flag]],"Flagged")</f>
        <v>0</v>
      </c>
      <c r="AL484" s="324" t="str">
        <f>IF(tblPiNAnalysis[[#This Row],['# Flags]]&gt;0, "Flagged", "")</f>
        <v/>
      </c>
    </row>
    <row r="485" spans="1:38" ht="23.1" hidden="1" customHeight="1" x14ac:dyDescent="0.2">
      <c r="A485" s="309" t="str">
        <f>_xlfn.CONCAT(IF(tblPiNAnalysis[[#This Row],[Population Group]]="", "",tblPiNAnalysis[[#This Row],[Population Group]] ), _xlfn.IFS(tblPiNAnalysis[[#This Row],[Admin 2 P-Code]]&lt;&gt;"", tblPiNAnalysis[[#This Row],[Admin 2 P-Code]], tblPiNAnalysis[[#This Row],[Admin 1 P-Code]]&lt;&gt;"", tblPiNAnalysis[[#This Row],[Admin 1 P-Code]]))</f>
        <v>IDPsSD16008</v>
      </c>
      <c r="B485" s="245" t="s">
        <v>179</v>
      </c>
      <c r="C485" s="246" t="s">
        <v>133</v>
      </c>
      <c r="D485" s="247" t="s">
        <v>512</v>
      </c>
      <c r="E485" s="246" t="s">
        <v>513</v>
      </c>
      <c r="F485" s="248">
        <v>47265</v>
      </c>
      <c r="G485" s="250" t="s">
        <v>88</v>
      </c>
      <c r="H485" s="310"/>
      <c r="I485" s="311"/>
      <c r="J485" s="312"/>
      <c r="K485" s="311"/>
      <c r="L485" s="311"/>
      <c r="M485" s="312"/>
      <c r="N485" s="312">
        <f>_xlfn.XLOOKUP(CONCATENATE(tblPiNAnalysis[[#This Row],[Admin 2 P-Code]],tblPiNAnalysis[[#This Row],[Population Group]]),'Overall severity &amp; PIN Analysis'!A:A,'Overall severity &amp; PIN Analysis'!P:P,0,0)</f>
        <v>5629</v>
      </c>
      <c r="O485" s="311"/>
      <c r="P485" s="312"/>
      <c r="Q485" s="312"/>
      <c r="R485" s="312"/>
      <c r="S485" s="312"/>
      <c r="T485" s="313" t="str">
        <f>IF(tblPiNAnalysis[[#This Row],[Site Management ]]="", "", tblPiNAnalysis[[#This Row],[Site Management ]]/tblPiNAnalysis[[#This Row],[Total Population]])</f>
        <v/>
      </c>
      <c r="U485" s="314" t="str">
        <f>IF(tblPiNAnalysis[[#This Row],[Education]]="", "", tblPiNAnalysis[[#This Row],[Education]]/tblPiNAnalysis[[#This Row],[Total Population]])</f>
        <v/>
      </c>
      <c r="V485" s="314" t="str">
        <f>IF(tblPiNAnalysis[[#This Row],[Food Security and Livlihoods]]="", "", tblPiNAnalysis[[#This Row],[Food Security and Livlihoods]]/tblPiNAnalysis[[#This Row],[Total Population]])</f>
        <v/>
      </c>
      <c r="W485" s="315" t="str">
        <f>IF(tblPiNAnalysis[[#This Row],[Health ]]="", "", tblPiNAnalysis[[#This Row],[Health ]]/tblPiNAnalysis[[#This Row],[Total Population]])</f>
        <v/>
      </c>
      <c r="X485" s="314" t="str">
        <f>IF(tblPiNAnalysis[[#This Row],[Nutrition]]="", "", tblPiNAnalysis[[#This Row],[Nutrition]]/tblPiNAnalysis[[#This Row],[Total Population]])</f>
        <v/>
      </c>
      <c r="Y485" s="314" t="str">
        <f>IF(tblPiNAnalysis[[#This Row],[Protection]]="", "", tblPiNAnalysis[[#This Row],[Protection]]/tblPiNAnalysis[[#This Row],[Total Population]])</f>
        <v/>
      </c>
      <c r="Z485" s="316">
        <f>IF(tblPiNAnalysis[[#This Row],[Shelter NFI ]]="", "", tblPiNAnalysis[[#This Row],[Shelter NFI ]]/tblPiNAnalysis[[#This Row],[Total Population]])</f>
        <v>0.11909446736485772</v>
      </c>
      <c r="AA485" s="317" t="str">
        <f>IF(tblPiNAnalysis[[#This Row],[WASH]]="", "", tblPiNAnalysis[[#This Row],[WASH]]/tblPiNAnalysis[[#This Row],[Total Population]])</f>
        <v/>
      </c>
      <c r="AB485" s="318" t="str">
        <f>IFERROR(IF(tblPiNAnalysis[[#This Row],[CP]]="", "", MROUND(tblPiNAnalysis[[#This Row],[CP]]/tblPiNAnalysis[[#This Row],[Total Population]], 0.05)), "")</f>
        <v/>
      </c>
      <c r="AC485" s="314" t="str">
        <f>IFERROR(IF(tblPiNAnalysis[[#This Row],[GBV]]="", "", MROUND(tblPiNAnalysis[[#This Row],[GBV]]/tblPiNAnalysis[[#This Row],[Total Population]], 0.05)), "")</f>
        <v/>
      </c>
      <c r="AD485" s="314" t="str">
        <f>IFERROR(IF(tblPiNAnalysis[[#This Row],[Mine Action]]="", "", MROUND(tblPiNAnalysis[[#This Row],[Mine Action]]/tblPiNAnalysis[[#This Row],[Total Population]], 0.05)), "")</f>
        <v/>
      </c>
      <c r="AE485" s="314" t="str">
        <f>IFERROR(IF(tblPiNAnalysis[[#This Row],[General Protection]]="", "", MROUND(tblPiNAnalysis[[#This Row],[General Protection]]/tblPiNAnalysis[[#This Row],[Total Population]], 0.05)), "")</f>
        <v/>
      </c>
      <c r="AF485" s="319">
        <f>IFERROR(LARGE(tblPiNAnalysis[[#This Row],[Site Management ]:[General Protection]], 1), "")</f>
        <v>5629</v>
      </c>
      <c r="AG485" s="320">
        <f>IF(tblPiNAnalysis[[#This Row],[Highest PiN]]="", "",tblPiNAnalysis[[#This Row],[Highest PiN]]/ tblPiNAnalysis[[#This Row],[Total Population]])</f>
        <v>0.11909446736485772</v>
      </c>
      <c r="AH485" s="320" t="str">
        <f>IFERROR(IF(tblPiNAnalysis[[#This Row],[Highest PiN]]="", "", IF(tblPiNAnalysis[[#This Row],[Highest sector(s'') PiN %]]&gt;=flag_pin_perc, "Flagged", "")), "")</f>
        <v/>
      </c>
      <c r="AI485" s="321"/>
      <c r="AJ485" s="322"/>
      <c r="AK485" s="323">
        <f>COUNTIFS(tblPiNAnalysis[[#This Row],[Highest PiN greater than 90% of total affected population]:[Manual Flag]],"Flagged")</f>
        <v>0</v>
      </c>
      <c r="AL485" s="324" t="str">
        <f>IF(tblPiNAnalysis[[#This Row],['# Flags]]&gt;0, "Flagged", "")</f>
        <v/>
      </c>
    </row>
    <row r="486" spans="1:38" ht="23.1" customHeight="1" x14ac:dyDescent="0.2">
      <c r="A486" s="309" t="str">
        <f>_xlfn.CONCAT(IF(tblPiNAnalysis[[#This Row],[Population Group]]="", "",tblPiNAnalysis[[#This Row],[Population Group]] ), _xlfn.IFS(tblPiNAnalysis[[#This Row],[Admin 2 P-Code]]&lt;&gt;"", tblPiNAnalysis[[#This Row],[Admin 2 P-Code]], tblPiNAnalysis[[#This Row],[Admin 1 P-Code]]&lt;&gt;"", tblPiNAnalysis[[#This Row],[Admin 1 P-Code]]))</f>
        <v>Non-hosting PopulationSD16008</v>
      </c>
      <c r="B486" s="245" t="s">
        <v>179</v>
      </c>
      <c r="C486" s="246" t="s">
        <v>133</v>
      </c>
      <c r="D486" s="247" t="s">
        <v>512</v>
      </c>
      <c r="E486" s="246" t="s">
        <v>513</v>
      </c>
      <c r="F486" s="248">
        <v>88417</v>
      </c>
      <c r="G486" s="248" t="s">
        <v>568</v>
      </c>
      <c r="H486" s="310"/>
      <c r="I486" s="311"/>
      <c r="J486" s="312"/>
      <c r="K486" s="311"/>
      <c r="L486" s="311"/>
      <c r="M486" s="312"/>
      <c r="N486" s="312">
        <f>_xlfn.XLOOKUP(CONCATENATE(tblPiNAnalysis[[#This Row],[Admin 2 P-Code]],tblPiNAnalysis[[#This Row],[Population Group]]),'Overall severity &amp; PIN Analysis'!A:A,'Overall severity &amp; PIN Analysis'!P:P,0,0)</f>
        <v>1858</v>
      </c>
      <c r="O486" s="311"/>
      <c r="P486" s="312"/>
      <c r="Q486" s="312"/>
      <c r="R486" s="312"/>
      <c r="S486" s="312"/>
      <c r="T486" s="313" t="str">
        <f>IF(tblPiNAnalysis[[#This Row],[Site Management ]]="", "", tblPiNAnalysis[[#This Row],[Site Management ]]/tblPiNAnalysis[[#This Row],[Total Population]])</f>
        <v/>
      </c>
      <c r="U486" s="314" t="str">
        <f>IF(tblPiNAnalysis[[#This Row],[Education]]="", "", tblPiNAnalysis[[#This Row],[Education]]/tblPiNAnalysis[[#This Row],[Total Population]])</f>
        <v/>
      </c>
      <c r="V486" s="314" t="str">
        <f>IF(tblPiNAnalysis[[#This Row],[Food Security and Livlihoods]]="", "", tblPiNAnalysis[[#This Row],[Food Security and Livlihoods]]/tblPiNAnalysis[[#This Row],[Total Population]])</f>
        <v/>
      </c>
      <c r="W486" s="315" t="str">
        <f>IF(tblPiNAnalysis[[#This Row],[Health ]]="", "", tblPiNAnalysis[[#This Row],[Health ]]/tblPiNAnalysis[[#This Row],[Total Population]])</f>
        <v/>
      </c>
      <c r="X486" s="314" t="str">
        <f>IF(tblPiNAnalysis[[#This Row],[Nutrition]]="", "", tblPiNAnalysis[[#This Row],[Nutrition]]/tblPiNAnalysis[[#This Row],[Total Population]])</f>
        <v/>
      </c>
      <c r="Y486" s="314" t="str">
        <f>IF(tblPiNAnalysis[[#This Row],[Protection]]="", "", tblPiNAnalysis[[#This Row],[Protection]]/tblPiNAnalysis[[#This Row],[Total Population]])</f>
        <v/>
      </c>
      <c r="Z486" s="316">
        <f>IF(tblPiNAnalysis[[#This Row],[Shelter NFI ]]="", "", tblPiNAnalysis[[#This Row],[Shelter NFI ]]/tblPiNAnalysis[[#This Row],[Total Population]])</f>
        <v>2.1014058382437768E-2</v>
      </c>
      <c r="AA486" s="317" t="str">
        <f>IF(tblPiNAnalysis[[#This Row],[WASH]]="", "", tblPiNAnalysis[[#This Row],[WASH]]/tblPiNAnalysis[[#This Row],[Total Population]])</f>
        <v/>
      </c>
      <c r="AB486" s="318" t="str">
        <f>IFERROR(IF(tblPiNAnalysis[[#This Row],[CP]]="", "", MROUND(tblPiNAnalysis[[#This Row],[CP]]/tblPiNAnalysis[[#This Row],[Total Population]], 0.05)), "")</f>
        <v/>
      </c>
      <c r="AC486" s="314" t="str">
        <f>IFERROR(IF(tblPiNAnalysis[[#This Row],[GBV]]="", "", MROUND(tblPiNAnalysis[[#This Row],[GBV]]/tblPiNAnalysis[[#This Row],[Total Population]], 0.05)), "")</f>
        <v/>
      </c>
      <c r="AD486" s="314" t="str">
        <f>IFERROR(IF(tblPiNAnalysis[[#This Row],[Mine Action]]="", "", MROUND(tblPiNAnalysis[[#This Row],[Mine Action]]/tblPiNAnalysis[[#This Row],[Total Population]], 0.05)), "")</f>
        <v/>
      </c>
      <c r="AE486" s="314" t="str">
        <f>IFERROR(IF(tblPiNAnalysis[[#This Row],[General Protection]]="", "", MROUND(tblPiNAnalysis[[#This Row],[General Protection]]/tblPiNAnalysis[[#This Row],[Total Population]], 0.05)), "")</f>
        <v/>
      </c>
      <c r="AF486" s="319">
        <f>IFERROR(LARGE(tblPiNAnalysis[[#This Row],[Site Management ]:[General Protection]], 1), "")</f>
        <v>1858</v>
      </c>
      <c r="AG486" s="320">
        <f>IF(tblPiNAnalysis[[#This Row],[Highest PiN]]="", "",tblPiNAnalysis[[#This Row],[Highest PiN]]/ tblPiNAnalysis[[#This Row],[Total Population]])</f>
        <v>2.1014058382437768E-2</v>
      </c>
      <c r="AH486" s="320" t="str">
        <f>IFERROR(IF(tblPiNAnalysis[[#This Row],[Highest PiN]]="", "", IF(tblPiNAnalysis[[#This Row],[Highest sector(s'') PiN %]]&gt;=flag_pin_perc, "Flagged", "")), "")</f>
        <v/>
      </c>
      <c r="AI486" s="321"/>
      <c r="AJ486" s="322"/>
      <c r="AK486" s="323">
        <f>COUNTIFS(tblPiNAnalysis[[#This Row],[Highest PiN greater than 90% of total affected population]:[Manual Flag]],"Flagged")</f>
        <v>0</v>
      </c>
      <c r="AL486" s="324" t="str">
        <f>IF(tblPiNAnalysis[[#This Row],['# Flags]]&gt;0, "Flagged", "")</f>
        <v/>
      </c>
    </row>
    <row r="487" spans="1:38" ht="23.1" hidden="1" customHeight="1" x14ac:dyDescent="0.2">
      <c r="A487" s="309" t="str">
        <f>_xlfn.CONCAT(IF(tblPiNAnalysis[[#This Row],[Population Group]]="", "",tblPiNAnalysis[[#This Row],[Population Group]] ), _xlfn.IFS(tblPiNAnalysis[[#This Row],[Admin 2 P-Code]]&lt;&gt;"", tblPiNAnalysis[[#This Row],[Admin 2 P-Code]], tblPiNAnalysis[[#This Row],[Admin 1 P-Code]]&lt;&gt;"", tblPiNAnalysis[[#This Row],[Admin 1 P-Code]]))</f>
        <v>Host CommunitySD16009</v>
      </c>
      <c r="B487" s="245" t="s">
        <v>179</v>
      </c>
      <c r="C487" s="246" t="s">
        <v>133</v>
      </c>
      <c r="D487" s="247" t="s">
        <v>514</v>
      </c>
      <c r="E487" s="246" t="s">
        <v>515</v>
      </c>
      <c r="F487" s="248">
        <v>107824</v>
      </c>
      <c r="G487" s="248" t="s">
        <v>87</v>
      </c>
      <c r="H487" s="310"/>
      <c r="I487" s="311"/>
      <c r="J487" s="312"/>
      <c r="K487" s="311"/>
      <c r="L487" s="311"/>
      <c r="M487" s="312"/>
      <c r="N487" s="312">
        <f>_xlfn.XLOOKUP(CONCATENATE(tblPiNAnalysis[[#This Row],[Admin 2 P-Code]],tblPiNAnalysis[[#This Row],[Population Group]]),'Overall severity &amp; PIN Analysis'!A:A,'Overall severity &amp; PIN Analysis'!P:P,0,0)</f>
        <v>32508</v>
      </c>
      <c r="O487" s="311"/>
      <c r="P487" s="312"/>
      <c r="Q487" s="312"/>
      <c r="R487" s="312"/>
      <c r="S487" s="312"/>
      <c r="T487" s="313" t="str">
        <f>IF(tblPiNAnalysis[[#This Row],[Site Management ]]="", "", tblPiNAnalysis[[#This Row],[Site Management ]]/tblPiNAnalysis[[#This Row],[Total Population]])</f>
        <v/>
      </c>
      <c r="U487" s="314" t="str">
        <f>IF(tblPiNAnalysis[[#This Row],[Education]]="", "", tblPiNAnalysis[[#This Row],[Education]]/tblPiNAnalysis[[#This Row],[Total Population]])</f>
        <v/>
      </c>
      <c r="V487" s="314" t="str">
        <f>IF(tblPiNAnalysis[[#This Row],[Food Security and Livlihoods]]="", "", tblPiNAnalysis[[#This Row],[Food Security and Livlihoods]]/tblPiNAnalysis[[#This Row],[Total Population]])</f>
        <v/>
      </c>
      <c r="W487" s="315" t="str">
        <f>IF(tblPiNAnalysis[[#This Row],[Health ]]="", "", tblPiNAnalysis[[#This Row],[Health ]]/tblPiNAnalysis[[#This Row],[Total Population]])</f>
        <v/>
      </c>
      <c r="X487" s="314" t="str">
        <f>IF(tblPiNAnalysis[[#This Row],[Nutrition]]="", "", tblPiNAnalysis[[#This Row],[Nutrition]]/tblPiNAnalysis[[#This Row],[Total Population]])</f>
        <v/>
      </c>
      <c r="Y487" s="314" t="str">
        <f>IF(tblPiNAnalysis[[#This Row],[Protection]]="", "", tblPiNAnalysis[[#This Row],[Protection]]/tblPiNAnalysis[[#This Row],[Total Population]])</f>
        <v/>
      </c>
      <c r="Z487" s="316">
        <f>IF(tblPiNAnalysis[[#This Row],[Shelter NFI ]]="", "", tblPiNAnalysis[[#This Row],[Shelter NFI ]]/tblPiNAnalysis[[#This Row],[Total Population]])</f>
        <v>0.30149131918682298</v>
      </c>
      <c r="AA487" s="317" t="str">
        <f>IF(tblPiNAnalysis[[#This Row],[WASH]]="", "", tblPiNAnalysis[[#This Row],[WASH]]/tblPiNAnalysis[[#This Row],[Total Population]])</f>
        <v/>
      </c>
      <c r="AB487" s="318" t="str">
        <f>IFERROR(IF(tblPiNAnalysis[[#This Row],[CP]]="", "", MROUND(tblPiNAnalysis[[#This Row],[CP]]/tblPiNAnalysis[[#This Row],[Total Population]], 0.05)), "")</f>
        <v/>
      </c>
      <c r="AC487" s="314" t="str">
        <f>IFERROR(IF(tblPiNAnalysis[[#This Row],[GBV]]="", "", MROUND(tblPiNAnalysis[[#This Row],[GBV]]/tblPiNAnalysis[[#This Row],[Total Population]], 0.05)), "")</f>
        <v/>
      </c>
      <c r="AD487" s="314" t="str">
        <f>IFERROR(IF(tblPiNAnalysis[[#This Row],[Mine Action]]="", "", MROUND(tblPiNAnalysis[[#This Row],[Mine Action]]/tblPiNAnalysis[[#This Row],[Total Population]], 0.05)), "")</f>
        <v/>
      </c>
      <c r="AE487" s="314" t="str">
        <f>IFERROR(IF(tblPiNAnalysis[[#This Row],[General Protection]]="", "", MROUND(tblPiNAnalysis[[#This Row],[General Protection]]/tblPiNAnalysis[[#This Row],[Total Population]], 0.05)), "")</f>
        <v/>
      </c>
      <c r="AF487" s="319">
        <f>IFERROR(LARGE(tblPiNAnalysis[[#This Row],[Site Management ]:[General Protection]], 1), "")</f>
        <v>32508</v>
      </c>
      <c r="AG487" s="320">
        <f>IF(tblPiNAnalysis[[#This Row],[Highest PiN]]="", "",tblPiNAnalysis[[#This Row],[Highest PiN]]/ tblPiNAnalysis[[#This Row],[Total Population]])</f>
        <v>0.30149131918682298</v>
      </c>
      <c r="AH487" s="320" t="str">
        <f>IFERROR(IF(tblPiNAnalysis[[#This Row],[Highest PiN]]="", "", IF(tblPiNAnalysis[[#This Row],[Highest sector(s'') PiN %]]&gt;=flag_pin_perc, "Flagged", "")), "")</f>
        <v/>
      </c>
      <c r="AI487" s="321"/>
      <c r="AJ487" s="322"/>
      <c r="AK487" s="323">
        <f>COUNTIFS(tblPiNAnalysis[[#This Row],[Highest PiN greater than 90% of total affected population]:[Manual Flag]],"Flagged")</f>
        <v>0</v>
      </c>
      <c r="AL487" s="324" t="str">
        <f>IF(tblPiNAnalysis[[#This Row],['# Flags]]&gt;0, "Flagged", "")</f>
        <v/>
      </c>
    </row>
    <row r="488" spans="1:38" ht="23.1" hidden="1" customHeight="1" x14ac:dyDescent="0.2">
      <c r="A488" s="309" t="str">
        <f>_xlfn.CONCAT(IF(tblPiNAnalysis[[#This Row],[Population Group]]="", "",tblPiNAnalysis[[#This Row],[Population Group]] ), _xlfn.IFS(tblPiNAnalysis[[#This Row],[Admin 2 P-Code]]&lt;&gt;"", tblPiNAnalysis[[#This Row],[Admin 2 P-Code]], tblPiNAnalysis[[#This Row],[Admin 1 P-Code]]&lt;&gt;"", tblPiNAnalysis[[#This Row],[Admin 1 P-Code]]))</f>
        <v>IDPsSD16009</v>
      </c>
      <c r="B488" s="245" t="s">
        <v>179</v>
      </c>
      <c r="C488" s="246" t="s">
        <v>133</v>
      </c>
      <c r="D488" s="247" t="s">
        <v>514</v>
      </c>
      <c r="E488" s="246" t="s">
        <v>515</v>
      </c>
      <c r="F488" s="248">
        <v>107773</v>
      </c>
      <c r="G488" s="248" t="s">
        <v>88</v>
      </c>
      <c r="H488" s="310"/>
      <c r="I488" s="311"/>
      <c r="J488" s="312"/>
      <c r="K488" s="311"/>
      <c r="L488" s="311"/>
      <c r="M488" s="312"/>
      <c r="N488" s="312">
        <f>_xlfn.XLOOKUP(CONCATENATE(tblPiNAnalysis[[#This Row],[Admin 2 P-Code]],tblPiNAnalysis[[#This Row],[Population Group]]),'Overall severity &amp; PIN Analysis'!A:A,'Overall severity &amp; PIN Analysis'!P:P,0,0)</f>
        <v>32494</v>
      </c>
      <c r="O488" s="311"/>
      <c r="P488" s="312"/>
      <c r="Q488" s="312"/>
      <c r="R488" s="312"/>
      <c r="S488" s="312"/>
      <c r="T488" s="313" t="str">
        <f>IF(tblPiNAnalysis[[#This Row],[Site Management ]]="", "", tblPiNAnalysis[[#This Row],[Site Management ]]/tblPiNAnalysis[[#This Row],[Total Population]])</f>
        <v/>
      </c>
      <c r="U488" s="314" t="str">
        <f>IF(tblPiNAnalysis[[#This Row],[Education]]="", "", tblPiNAnalysis[[#This Row],[Education]]/tblPiNAnalysis[[#This Row],[Total Population]])</f>
        <v/>
      </c>
      <c r="V488" s="314" t="str">
        <f>IF(tblPiNAnalysis[[#This Row],[Food Security and Livlihoods]]="", "", tblPiNAnalysis[[#This Row],[Food Security and Livlihoods]]/tblPiNAnalysis[[#This Row],[Total Population]])</f>
        <v/>
      </c>
      <c r="W488" s="315" t="str">
        <f>IF(tblPiNAnalysis[[#This Row],[Health ]]="", "", tblPiNAnalysis[[#This Row],[Health ]]/tblPiNAnalysis[[#This Row],[Total Population]])</f>
        <v/>
      </c>
      <c r="X488" s="314" t="str">
        <f>IF(tblPiNAnalysis[[#This Row],[Nutrition]]="", "", tblPiNAnalysis[[#This Row],[Nutrition]]/tblPiNAnalysis[[#This Row],[Total Population]])</f>
        <v/>
      </c>
      <c r="Y488" s="314" t="str">
        <f>IF(tblPiNAnalysis[[#This Row],[Protection]]="", "", tblPiNAnalysis[[#This Row],[Protection]]/tblPiNAnalysis[[#This Row],[Total Population]])</f>
        <v/>
      </c>
      <c r="Z488" s="316">
        <f>IF(tblPiNAnalysis[[#This Row],[Shelter NFI ]]="", "", tblPiNAnalysis[[#This Row],[Shelter NFI ]]/tblPiNAnalysis[[#This Row],[Total Population]])</f>
        <v>0.30150408729459138</v>
      </c>
      <c r="AA488" s="317" t="str">
        <f>IF(tblPiNAnalysis[[#This Row],[WASH]]="", "", tblPiNAnalysis[[#This Row],[WASH]]/tblPiNAnalysis[[#This Row],[Total Population]])</f>
        <v/>
      </c>
      <c r="AB488" s="318" t="str">
        <f>IFERROR(IF(tblPiNAnalysis[[#This Row],[CP]]="", "", MROUND(tblPiNAnalysis[[#This Row],[CP]]/tblPiNAnalysis[[#This Row],[Total Population]], 0.05)), "")</f>
        <v/>
      </c>
      <c r="AC488" s="314" t="str">
        <f>IFERROR(IF(tblPiNAnalysis[[#This Row],[GBV]]="", "", MROUND(tblPiNAnalysis[[#This Row],[GBV]]/tblPiNAnalysis[[#This Row],[Total Population]], 0.05)), "")</f>
        <v/>
      </c>
      <c r="AD488" s="314" t="str">
        <f>IFERROR(IF(tblPiNAnalysis[[#This Row],[Mine Action]]="", "", MROUND(tblPiNAnalysis[[#This Row],[Mine Action]]/tblPiNAnalysis[[#This Row],[Total Population]], 0.05)), "")</f>
        <v/>
      </c>
      <c r="AE488" s="314" t="str">
        <f>IFERROR(IF(tblPiNAnalysis[[#This Row],[General Protection]]="", "", MROUND(tblPiNAnalysis[[#This Row],[General Protection]]/tblPiNAnalysis[[#This Row],[Total Population]], 0.05)), "")</f>
        <v/>
      </c>
      <c r="AF488" s="319">
        <f>IFERROR(LARGE(tblPiNAnalysis[[#This Row],[Site Management ]:[General Protection]], 1), "")</f>
        <v>32494</v>
      </c>
      <c r="AG488" s="320">
        <f>IF(tblPiNAnalysis[[#This Row],[Highest PiN]]="", "",tblPiNAnalysis[[#This Row],[Highest PiN]]/ tblPiNAnalysis[[#This Row],[Total Population]])</f>
        <v>0.30150408729459138</v>
      </c>
      <c r="AH488" s="320" t="str">
        <f>IFERROR(IF(tblPiNAnalysis[[#This Row],[Highest PiN]]="", "", IF(tblPiNAnalysis[[#This Row],[Highest sector(s'') PiN %]]&gt;=flag_pin_perc, "Flagged", "")), "")</f>
        <v/>
      </c>
      <c r="AI488" s="321"/>
      <c r="AJ488" s="322"/>
      <c r="AK488" s="323">
        <f>COUNTIFS(tblPiNAnalysis[[#This Row],[Highest PiN greater than 90% of total affected population]:[Manual Flag]],"Flagged")</f>
        <v>0</v>
      </c>
      <c r="AL488" s="324" t="str">
        <f>IF(tblPiNAnalysis[[#This Row],['# Flags]]&gt;0, "Flagged", "")</f>
        <v/>
      </c>
    </row>
    <row r="489" spans="1:38" ht="23.1" customHeight="1" x14ac:dyDescent="0.2">
      <c r="A489" s="309" t="str">
        <f>_xlfn.CONCAT(IF(tblPiNAnalysis[[#This Row],[Population Group]]="", "",tblPiNAnalysis[[#This Row],[Population Group]] ), _xlfn.IFS(tblPiNAnalysis[[#This Row],[Admin 2 P-Code]]&lt;&gt;"", tblPiNAnalysis[[#This Row],[Admin 2 P-Code]], tblPiNAnalysis[[#This Row],[Admin 1 P-Code]]&lt;&gt;"", tblPiNAnalysis[[#This Row],[Admin 1 P-Code]]))</f>
        <v>Non-hosting PopulationSD16009</v>
      </c>
      <c r="B489" s="245" t="s">
        <v>179</v>
      </c>
      <c r="C489" s="246" t="s">
        <v>133</v>
      </c>
      <c r="D489" s="247" t="s">
        <v>514</v>
      </c>
      <c r="E489" s="246" t="s">
        <v>515</v>
      </c>
      <c r="F489" s="248">
        <v>30038</v>
      </c>
      <c r="G489" s="248" t="s">
        <v>568</v>
      </c>
      <c r="H489" s="310"/>
      <c r="I489" s="311"/>
      <c r="J489" s="312"/>
      <c r="K489" s="311"/>
      <c r="L489" s="311"/>
      <c r="M489" s="312"/>
      <c r="N489" s="312">
        <f>_xlfn.XLOOKUP(CONCATENATE(tblPiNAnalysis[[#This Row],[Admin 2 P-Code]],tblPiNAnalysis[[#This Row],[Population Group]]),'Overall severity &amp; PIN Analysis'!A:A,'Overall severity &amp; PIN Analysis'!P:P,0,0)</f>
        <v>1109</v>
      </c>
      <c r="O489" s="311"/>
      <c r="P489" s="312"/>
      <c r="Q489" s="312"/>
      <c r="R489" s="312"/>
      <c r="S489" s="312"/>
      <c r="T489" s="313" t="str">
        <f>IF(tblPiNAnalysis[[#This Row],[Site Management ]]="", "", tblPiNAnalysis[[#This Row],[Site Management ]]/tblPiNAnalysis[[#This Row],[Total Population]])</f>
        <v/>
      </c>
      <c r="U489" s="314" t="str">
        <f>IF(tblPiNAnalysis[[#This Row],[Education]]="", "", tblPiNAnalysis[[#This Row],[Education]]/tblPiNAnalysis[[#This Row],[Total Population]])</f>
        <v/>
      </c>
      <c r="V489" s="314" t="str">
        <f>IF(tblPiNAnalysis[[#This Row],[Food Security and Livlihoods]]="", "", tblPiNAnalysis[[#This Row],[Food Security and Livlihoods]]/tblPiNAnalysis[[#This Row],[Total Population]])</f>
        <v/>
      </c>
      <c r="W489" s="315" t="str">
        <f>IF(tblPiNAnalysis[[#This Row],[Health ]]="", "", tblPiNAnalysis[[#This Row],[Health ]]/tblPiNAnalysis[[#This Row],[Total Population]])</f>
        <v/>
      </c>
      <c r="X489" s="314" t="str">
        <f>IF(tblPiNAnalysis[[#This Row],[Nutrition]]="", "", tblPiNAnalysis[[#This Row],[Nutrition]]/tblPiNAnalysis[[#This Row],[Total Population]])</f>
        <v/>
      </c>
      <c r="Y489" s="314" t="str">
        <f>IF(tblPiNAnalysis[[#This Row],[Protection]]="", "", tblPiNAnalysis[[#This Row],[Protection]]/tblPiNAnalysis[[#This Row],[Total Population]])</f>
        <v/>
      </c>
      <c r="Z489" s="316">
        <f>IF(tblPiNAnalysis[[#This Row],[Shelter NFI ]]="", "", tblPiNAnalysis[[#This Row],[Shelter NFI ]]/tblPiNAnalysis[[#This Row],[Total Population]])</f>
        <v>3.6919901458153007E-2</v>
      </c>
      <c r="AA489" s="317" t="str">
        <f>IF(tblPiNAnalysis[[#This Row],[WASH]]="", "", tblPiNAnalysis[[#This Row],[WASH]]/tblPiNAnalysis[[#This Row],[Total Population]])</f>
        <v/>
      </c>
      <c r="AB489" s="318" t="str">
        <f>IFERROR(IF(tblPiNAnalysis[[#This Row],[CP]]="", "", MROUND(tblPiNAnalysis[[#This Row],[CP]]/tblPiNAnalysis[[#This Row],[Total Population]], 0.05)), "")</f>
        <v/>
      </c>
      <c r="AC489" s="314" t="str">
        <f>IFERROR(IF(tblPiNAnalysis[[#This Row],[GBV]]="", "", MROUND(tblPiNAnalysis[[#This Row],[GBV]]/tblPiNAnalysis[[#This Row],[Total Population]], 0.05)), "")</f>
        <v/>
      </c>
      <c r="AD489" s="314" t="str">
        <f>IFERROR(IF(tblPiNAnalysis[[#This Row],[Mine Action]]="", "", MROUND(tblPiNAnalysis[[#This Row],[Mine Action]]/tblPiNAnalysis[[#This Row],[Total Population]], 0.05)), "")</f>
        <v/>
      </c>
      <c r="AE489" s="314" t="str">
        <f>IFERROR(IF(tblPiNAnalysis[[#This Row],[General Protection]]="", "", MROUND(tblPiNAnalysis[[#This Row],[General Protection]]/tblPiNAnalysis[[#This Row],[Total Population]], 0.05)), "")</f>
        <v/>
      </c>
      <c r="AF489" s="319">
        <f>IFERROR(LARGE(tblPiNAnalysis[[#This Row],[Site Management ]:[General Protection]], 1), "")</f>
        <v>1109</v>
      </c>
      <c r="AG489" s="320">
        <f>IF(tblPiNAnalysis[[#This Row],[Highest PiN]]="", "",tblPiNAnalysis[[#This Row],[Highest PiN]]/ tblPiNAnalysis[[#This Row],[Total Population]])</f>
        <v>3.6919901458153007E-2</v>
      </c>
      <c r="AH489" s="320" t="str">
        <f>IFERROR(IF(tblPiNAnalysis[[#This Row],[Highest PiN]]="", "", IF(tblPiNAnalysis[[#This Row],[Highest sector(s'') PiN %]]&gt;=flag_pin_perc, "Flagged", "")), "")</f>
        <v/>
      </c>
      <c r="AI489" s="321"/>
      <c r="AJ489" s="322"/>
      <c r="AK489" s="323">
        <f>COUNTIFS(tblPiNAnalysis[[#This Row],[Highest PiN greater than 90% of total affected population]:[Manual Flag]],"Flagged")</f>
        <v>0</v>
      </c>
      <c r="AL489" s="324" t="str">
        <f>IF(tblPiNAnalysis[[#This Row],['# Flags]]&gt;0, "Flagged", "")</f>
        <v/>
      </c>
    </row>
    <row r="490" spans="1:38" ht="23.1" hidden="1" customHeight="1" x14ac:dyDescent="0.2">
      <c r="A490" s="309" t="str">
        <f>_xlfn.CONCAT(IF(tblPiNAnalysis[[#This Row],[Population Group]]="", "",tblPiNAnalysis[[#This Row],[Population Group]] ), _xlfn.IFS(tblPiNAnalysis[[#This Row],[Admin 2 P-Code]]&lt;&gt;"", tblPiNAnalysis[[#This Row],[Admin 2 P-Code]], tblPiNAnalysis[[#This Row],[Admin 1 P-Code]]&lt;&gt;"", tblPiNAnalysis[[#This Row],[Admin 1 P-Code]]))</f>
        <v>Host CommunitySD16010</v>
      </c>
      <c r="B490" s="245" t="s">
        <v>179</v>
      </c>
      <c r="C490" s="246" t="s">
        <v>133</v>
      </c>
      <c r="D490" s="247" t="s">
        <v>516</v>
      </c>
      <c r="E490" s="246" t="s">
        <v>517</v>
      </c>
      <c r="F490" s="248">
        <v>223515</v>
      </c>
      <c r="G490" s="248" t="s">
        <v>87</v>
      </c>
      <c r="H490" s="310"/>
      <c r="I490" s="311"/>
      <c r="J490" s="312"/>
      <c r="K490" s="311"/>
      <c r="L490" s="311"/>
      <c r="M490" s="312"/>
      <c r="N490" s="312">
        <f>_xlfn.XLOOKUP(CONCATENATE(tblPiNAnalysis[[#This Row],[Admin 2 P-Code]],tblPiNAnalysis[[#This Row],[Population Group]]),'Overall severity &amp; PIN Analysis'!A:A,'Overall severity &amp; PIN Analysis'!P:P,0,0)</f>
        <v>101197</v>
      </c>
      <c r="O490" s="311"/>
      <c r="P490" s="312"/>
      <c r="Q490" s="312"/>
      <c r="R490" s="312"/>
      <c r="S490" s="312"/>
      <c r="T490" s="313" t="str">
        <f>IF(tblPiNAnalysis[[#This Row],[Site Management ]]="", "", tblPiNAnalysis[[#This Row],[Site Management ]]/tblPiNAnalysis[[#This Row],[Total Population]])</f>
        <v/>
      </c>
      <c r="U490" s="314" t="str">
        <f>IF(tblPiNAnalysis[[#This Row],[Education]]="", "", tblPiNAnalysis[[#This Row],[Education]]/tblPiNAnalysis[[#This Row],[Total Population]])</f>
        <v/>
      </c>
      <c r="V490" s="314" t="str">
        <f>IF(tblPiNAnalysis[[#This Row],[Food Security and Livlihoods]]="", "", tblPiNAnalysis[[#This Row],[Food Security and Livlihoods]]/tblPiNAnalysis[[#This Row],[Total Population]])</f>
        <v/>
      </c>
      <c r="W490" s="315" t="str">
        <f>IF(tblPiNAnalysis[[#This Row],[Health ]]="", "", tblPiNAnalysis[[#This Row],[Health ]]/tblPiNAnalysis[[#This Row],[Total Population]])</f>
        <v/>
      </c>
      <c r="X490" s="314" t="str">
        <f>IF(tblPiNAnalysis[[#This Row],[Nutrition]]="", "", tblPiNAnalysis[[#This Row],[Nutrition]]/tblPiNAnalysis[[#This Row],[Total Population]])</f>
        <v/>
      </c>
      <c r="Y490" s="314" t="str">
        <f>IF(tblPiNAnalysis[[#This Row],[Protection]]="", "", tblPiNAnalysis[[#This Row],[Protection]]/tblPiNAnalysis[[#This Row],[Total Population]])</f>
        <v/>
      </c>
      <c r="Z490" s="316">
        <f>IF(tblPiNAnalysis[[#This Row],[Shelter NFI ]]="", "", tblPiNAnalysis[[#This Row],[Shelter NFI ]]/tblPiNAnalysis[[#This Row],[Total Population]])</f>
        <v>0.45275261168154263</v>
      </c>
      <c r="AA490" s="317" t="str">
        <f>IF(tblPiNAnalysis[[#This Row],[WASH]]="", "", tblPiNAnalysis[[#This Row],[WASH]]/tblPiNAnalysis[[#This Row],[Total Population]])</f>
        <v/>
      </c>
      <c r="AB490" s="318" t="str">
        <f>IFERROR(IF(tblPiNAnalysis[[#This Row],[CP]]="", "", MROUND(tblPiNAnalysis[[#This Row],[CP]]/tblPiNAnalysis[[#This Row],[Total Population]], 0.05)), "")</f>
        <v/>
      </c>
      <c r="AC490" s="314" t="str">
        <f>IFERROR(IF(tblPiNAnalysis[[#This Row],[GBV]]="", "", MROUND(tblPiNAnalysis[[#This Row],[GBV]]/tblPiNAnalysis[[#This Row],[Total Population]], 0.05)), "")</f>
        <v/>
      </c>
      <c r="AD490" s="314" t="str">
        <f>IFERROR(IF(tblPiNAnalysis[[#This Row],[Mine Action]]="", "", MROUND(tblPiNAnalysis[[#This Row],[Mine Action]]/tblPiNAnalysis[[#This Row],[Total Population]], 0.05)), "")</f>
        <v/>
      </c>
      <c r="AE490" s="314" t="str">
        <f>IFERROR(IF(tblPiNAnalysis[[#This Row],[General Protection]]="", "", MROUND(tblPiNAnalysis[[#This Row],[General Protection]]/tblPiNAnalysis[[#This Row],[Total Population]], 0.05)), "")</f>
        <v/>
      </c>
      <c r="AF490" s="319">
        <f>IFERROR(LARGE(tblPiNAnalysis[[#This Row],[Site Management ]:[General Protection]], 1), "")</f>
        <v>101197</v>
      </c>
      <c r="AG490" s="320">
        <f>IF(tblPiNAnalysis[[#This Row],[Highest PiN]]="", "",tblPiNAnalysis[[#This Row],[Highest PiN]]/ tblPiNAnalysis[[#This Row],[Total Population]])</f>
        <v>0.45275261168154263</v>
      </c>
      <c r="AH490" s="320" t="str">
        <f>IFERROR(IF(tblPiNAnalysis[[#This Row],[Highest PiN]]="", "", IF(tblPiNAnalysis[[#This Row],[Highest sector(s'') PiN %]]&gt;=flag_pin_perc, "Flagged", "")), "")</f>
        <v/>
      </c>
      <c r="AI490" s="321"/>
      <c r="AJ490" s="322"/>
      <c r="AK490" s="323">
        <f>COUNTIFS(tblPiNAnalysis[[#This Row],[Highest PiN greater than 90% of total affected population]:[Manual Flag]],"Flagged")</f>
        <v>0</v>
      </c>
      <c r="AL490" s="324" t="str">
        <f>IF(tblPiNAnalysis[[#This Row],['# Flags]]&gt;0, "Flagged", "")</f>
        <v/>
      </c>
    </row>
    <row r="491" spans="1:38" ht="23.1" hidden="1" customHeight="1" x14ac:dyDescent="0.2">
      <c r="A491" s="309" t="str">
        <f>_xlfn.CONCAT(IF(tblPiNAnalysis[[#This Row],[Population Group]]="", "",tblPiNAnalysis[[#This Row],[Population Group]] ), _xlfn.IFS(tblPiNAnalysis[[#This Row],[Admin 2 P-Code]]&lt;&gt;"", tblPiNAnalysis[[#This Row],[Admin 2 P-Code]], tblPiNAnalysis[[#This Row],[Admin 1 P-Code]]&lt;&gt;"", tblPiNAnalysis[[#This Row],[Admin 1 P-Code]]))</f>
        <v>IDPsSD16010</v>
      </c>
      <c r="B491" s="245" t="s">
        <v>179</v>
      </c>
      <c r="C491" s="246" t="s">
        <v>133</v>
      </c>
      <c r="D491" s="247" t="s">
        <v>516</v>
      </c>
      <c r="E491" s="246" t="s">
        <v>517</v>
      </c>
      <c r="F491" s="248">
        <v>266545</v>
      </c>
      <c r="G491" s="248" t="s">
        <v>88</v>
      </c>
      <c r="H491" s="310"/>
      <c r="I491" s="311"/>
      <c r="J491" s="312"/>
      <c r="K491" s="311"/>
      <c r="L491" s="311"/>
      <c r="M491" s="312"/>
      <c r="N491" s="312">
        <f>_xlfn.XLOOKUP(CONCATENATE(tblPiNAnalysis[[#This Row],[Admin 2 P-Code]],tblPiNAnalysis[[#This Row],[Population Group]]),'Overall severity &amp; PIN Analysis'!A:A,'Overall severity &amp; PIN Analysis'!P:P,0,0)</f>
        <v>120679</v>
      </c>
      <c r="O491" s="311"/>
      <c r="P491" s="312"/>
      <c r="Q491" s="312"/>
      <c r="R491" s="312"/>
      <c r="S491" s="312"/>
      <c r="T491" s="313" t="str">
        <f>IF(tblPiNAnalysis[[#This Row],[Site Management ]]="", "", tblPiNAnalysis[[#This Row],[Site Management ]]/tblPiNAnalysis[[#This Row],[Total Population]])</f>
        <v/>
      </c>
      <c r="U491" s="314" t="str">
        <f>IF(tblPiNAnalysis[[#This Row],[Education]]="", "", tblPiNAnalysis[[#This Row],[Education]]/tblPiNAnalysis[[#This Row],[Total Population]])</f>
        <v/>
      </c>
      <c r="V491" s="314" t="str">
        <f>IF(tblPiNAnalysis[[#This Row],[Food Security and Livlihoods]]="", "", tblPiNAnalysis[[#This Row],[Food Security and Livlihoods]]/tblPiNAnalysis[[#This Row],[Total Population]])</f>
        <v/>
      </c>
      <c r="W491" s="315" t="str">
        <f>IF(tblPiNAnalysis[[#This Row],[Health ]]="", "", tblPiNAnalysis[[#This Row],[Health ]]/tblPiNAnalysis[[#This Row],[Total Population]])</f>
        <v/>
      </c>
      <c r="X491" s="314" t="str">
        <f>IF(tblPiNAnalysis[[#This Row],[Nutrition]]="", "", tblPiNAnalysis[[#This Row],[Nutrition]]/tblPiNAnalysis[[#This Row],[Total Population]])</f>
        <v/>
      </c>
      <c r="Y491" s="314" t="str">
        <f>IF(tblPiNAnalysis[[#This Row],[Protection]]="", "", tblPiNAnalysis[[#This Row],[Protection]]/tblPiNAnalysis[[#This Row],[Total Population]])</f>
        <v/>
      </c>
      <c r="Z491" s="316">
        <f>IF(tblPiNAnalysis[[#This Row],[Shelter NFI ]]="", "", tblPiNAnalysis[[#This Row],[Shelter NFI ]]/tblPiNAnalysis[[#This Row],[Total Population]])</f>
        <v>0.45275281847342852</v>
      </c>
      <c r="AA491" s="317" t="str">
        <f>IF(tblPiNAnalysis[[#This Row],[WASH]]="", "", tblPiNAnalysis[[#This Row],[WASH]]/tblPiNAnalysis[[#This Row],[Total Population]])</f>
        <v/>
      </c>
      <c r="AB491" s="318" t="str">
        <f>IFERROR(IF(tblPiNAnalysis[[#This Row],[CP]]="", "", MROUND(tblPiNAnalysis[[#This Row],[CP]]/tblPiNAnalysis[[#This Row],[Total Population]], 0.05)), "")</f>
        <v/>
      </c>
      <c r="AC491" s="314" t="str">
        <f>IFERROR(IF(tblPiNAnalysis[[#This Row],[GBV]]="", "", MROUND(tblPiNAnalysis[[#This Row],[GBV]]/tblPiNAnalysis[[#This Row],[Total Population]], 0.05)), "")</f>
        <v/>
      </c>
      <c r="AD491" s="314" t="str">
        <f>IFERROR(IF(tblPiNAnalysis[[#This Row],[Mine Action]]="", "", MROUND(tblPiNAnalysis[[#This Row],[Mine Action]]/tblPiNAnalysis[[#This Row],[Total Population]], 0.05)), "")</f>
        <v/>
      </c>
      <c r="AE491" s="314" t="str">
        <f>IFERROR(IF(tblPiNAnalysis[[#This Row],[General Protection]]="", "", MROUND(tblPiNAnalysis[[#This Row],[General Protection]]/tblPiNAnalysis[[#This Row],[Total Population]], 0.05)), "")</f>
        <v/>
      </c>
      <c r="AF491" s="319">
        <f>IFERROR(LARGE(tblPiNAnalysis[[#This Row],[Site Management ]:[General Protection]], 1), "")</f>
        <v>120679</v>
      </c>
      <c r="AG491" s="320">
        <f>IF(tblPiNAnalysis[[#This Row],[Highest PiN]]="", "",tblPiNAnalysis[[#This Row],[Highest PiN]]/ tblPiNAnalysis[[#This Row],[Total Population]])</f>
        <v>0.45275281847342852</v>
      </c>
      <c r="AH491" s="320" t="str">
        <f>IFERROR(IF(tblPiNAnalysis[[#This Row],[Highest PiN]]="", "", IF(tblPiNAnalysis[[#This Row],[Highest sector(s'') PiN %]]&gt;=flag_pin_perc, "Flagged", "")), "")</f>
        <v/>
      </c>
      <c r="AI491" s="321"/>
      <c r="AJ491" s="322"/>
      <c r="AK491" s="323">
        <f>COUNTIFS(tblPiNAnalysis[[#This Row],[Highest PiN greater than 90% of total affected population]:[Manual Flag]],"Flagged")</f>
        <v>0</v>
      </c>
      <c r="AL491" s="324" t="str">
        <f>IF(tblPiNAnalysis[[#This Row],['# Flags]]&gt;0, "Flagged", "")</f>
        <v/>
      </c>
    </row>
    <row r="492" spans="1:38" ht="23.1" customHeight="1" x14ac:dyDescent="0.2">
      <c r="A492" s="309" t="str">
        <f>_xlfn.CONCAT(IF(tblPiNAnalysis[[#This Row],[Population Group]]="", "",tblPiNAnalysis[[#This Row],[Population Group]] ), _xlfn.IFS(tblPiNAnalysis[[#This Row],[Admin 2 P-Code]]&lt;&gt;"", tblPiNAnalysis[[#This Row],[Admin 2 P-Code]], tblPiNAnalysis[[#This Row],[Admin 1 P-Code]]&lt;&gt;"", tblPiNAnalysis[[#This Row],[Admin 1 P-Code]]))</f>
        <v>Non-hosting PopulationSD16010</v>
      </c>
      <c r="B492" s="245" t="s">
        <v>179</v>
      </c>
      <c r="C492" s="246" t="s">
        <v>133</v>
      </c>
      <c r="D492" s="247" t="s">
        <v>516</v>
      </c>
      <c r="E492" s="246" t="s">
        <v>517</v>
      </c>
      <c r="F492" s="248">
        <v>0</v>
      </c>
      <c r="G492" s="248" t="s">
        <v>568</v>
      </c>
      <c r="H492" s="310"/>
      <c r="I492" s="311"/>
      <c r="J492" s="312"/>
      <c r="K492" s="311"/>
      <c r="L492" s="311"/>
      <c r="M492" s="312"/>
      <c r="N492" s="312">
        <f>_xlfn.XLOOKUP(CONCATENATE(tblPiNAnalysis[[#This Row],[Admin 2 P-Code]],tblPiNAnalysis[[#This Row],[Population Group]]),'Overall severity &amp; PIN Analysis'!A:A,'Overall severity &amp; PIN Analysis'!P:P,0,0)</f>
        <v>0</v>
      </c>
      <c r="O492" s="311"/>
      <c r="P492" s="312"/>
      <c r="Q492" s="312"/>
      <c r="R492" s="312"/>
      <c r="S492" s="312"/>
      <c r="T492" s="313" t="str">
        <f>IF(tblPiNAnalysis[[#This Row],[Site Management ]]="", "", tblPiNAnalysis[[#This Row],[Site Management ]]/tblPiNAnalysis[[#This Row],[Total Population]])</f>
        <v/>
      </c>
      <c r="U492" s="314" t="str">
        <f>IF(tblPiNAnalysis[[#This Row],[Education]]="", "", tblPiNAnalysis[[#This Row],[Education]]/tblPiNAnalysis[[#This Row],[Total Population]])</f>
        <v/>
      </c>
      <c r="V492" s="314" t="str">
        <f>IF(tblPiNAnalysis[[#This Row],[Food Security and Livlihoods]]="", "", tblPiNAnalysis[[#This Row],[Food Security and Livlihoods]]/tblPiNAnalysis[[#This Row],[Total Population]])</f>
        <v/>
      </c>
      <c r="W492" s="315" t="str">
        <f>IF(tblPiNAnalysis[[#This Row],[Health ]]="", "", tblPiNAnalysis[[#This Row],[Health ]]/tblPiNAnalysis[[#This Row],[Total Population]])</f>
        <v/>
      </c>
      <c r="X492" s="314" t="str">
        <f>IF(tblPiNAnalysis[[#This Row],[Nutrition]]="", "", tblPiNAnalysis[[#This Row],[Nutrition]]/tblPiNAnalysis[[#This Row],[Total Population]])</f>
        <v/>
      </c>
      <c r="Y492" s="314" t="str">
        <f>IF(tblPiNAnalysis[[#This Row],[Protection]]="", "", tblPiNAnalysis[[#This Row],[Protection]]/tblPiNAnalysis[[#This Row],[Total Population]])</f>
        <v/>
      </c>
      <c r="Z492" s="316" t="e">
        <f>IF(tblPiNAnalysis[[#This Row],[Shelter NFI ]]="", "", tblPiNAnalysis[[#This Row],[Shelter NFI ]]/tblPiNAnalysis[[#This Row],[Total Population]])</f>
        <v>#DIV/0!</v>
      </c>
      <c r="AA492" s="317" t="str">
        <f>IF(tblPiNAnalysis[[#This Row],[WASH]]="", "", tblPiNAnalysis[[#This Row],[WASH]]/tblPiNAnalysis[[#This Row],[Total Population]])</f>
        <v/>
      </c>
      <c r="AB492" s="318" t="str">
        <f>IFERROR(IF(tblPiNAnalysis[[#This Row],[CP]]="", "", MROUND(tblPiNAnalysis[[#This Row],[CP]]/tblPiNAnalysis[[#This Row],[Total Population]], 0.05)), "")</f>
        <v/>
      </c>
      <c r="AC492" s="314" t="str">
        <f>IFERROR(IF(tblPiNAnalysis[[#This Row],[GBV]]="", "", MROUND(tblPiNAnalysis[[#This Row],[GBV]]/tblPiNAnalysis[[#This Row],[Total Population]], 0.05)), "")</f>
        <v/>
      </c>
      <c r="AD492" s="314" t="str">
        <f>IFERROR(IF(tblPiNAnalysis[[#This Row],[Mine Action]]="", "", MROUND(tblPiNAnalysis[[#This Row],[Mine Action]]/tblPiNAnalysis[[#This Row],[Total Population]], 0.05)), "")</f>
        <v/>
      </c>
      <c r="AE492" s="314" t="str">
        <f>IFERROR(IF(tblPiNAnalysis[[#This Row],[General Protection]]="", "", MROUND(tblPiNAnalysis[[#This Row],[General Protection]]/tblPiNAnalysis[[#This Row],[Total Population]], 0.05)), "")</f>
        <v/>
      </c>
      <c r="AF492" s="319">
        <f>IFERROR(LARGE(tblPiNAnalysis[[#This Row],[Site Management ]:[General Protection]], 1), "")</f>
        <v>0</v>
      </c>
      <c r="AG492" s="320" t="e">
        <f>IF(tblPiNAnalysis[[#This Row],[Highest PiN]]="", "",tblPiNAnalysis[[#This Row],[Highest PiN]]/ tblPiNAnalysis[[#This Row],[Total Population]])</f>
        <v>#DIV/0!</v>
      </c>
      <c r="AH492" s="320" t="str">
        <f>IFERROR(IF(tblPiNAnalysis[[#This Row],[Highest PiN]]="", "", IF(tblPiNAnalysis[[#This Row],[Highest sector(s'') PiN %]]&gt;=flag_pin_perc, "Flagged", "")), "")</f>
        <v/>
      </c>
      <c r="AI492" s="321"/>
      <c r="AJ492" s="322"/>
      <c r="AK492" s="323">
        <f>COUNTIFS(tblPiNAnalysis[[#This Row],[Highest PiN greater than 90% of total affected population]:[Manual Flag]],"Flagged")</f>
        <v>0</v>
      </c>
      <c r="AL492" s="324" t="str">
        <f>IF(tblPiNAnalysis[[#This Row],['# Flags]]&gt;0, "Flagged", "")</f>
        <v/>
      </c>
    </row>
    <row r="493" spans="1:38" ht="23.1" hidden="1" customHeight="1" x14ac:dyDescent="0.2">
      <c r="A493" s="309" t="str">
        <f>_xlfn.CONCAT(IF(tblPiNAnalysis[[#This Row],[Population Group]]="", "",tblPiNAnalysis[[#This Row],[Population Group]] ), _xlfn.IFS(tblPiNAnalysis[[#This Row],[Admin 2 P-Code]]&lt;&gt;"", tblPiNAnalysis[[#This Row],[Admin 2 P-Code]], tblPiNAnalysis[[#This Row],[Admin 1 P-Code]]&lt;&gt;"", tblPiNAnalysis[[#This Row],[Admin 1 P-Code]]))</f>
        <v>Host CommunitySD16011</v>
      </c>
      <c r="B493" s="245" t="s">
        <v>179</v>
      </c>
      <c r="C493" s="246" t="s">
        <v>133</v>
      </c>
      <c r="D493" s="247" t="s">
        <v>518</v>
      </c>
      <c r="E493" s="246" t="s">
        <v>519</v>
      </c>
      <c r="F493" s="248">
        <v>145177</v>
      </c>
      <c r="G493" s="248" t="s">
        <v>87</v>
      </c>
      <c r="H493" s="310"/>
      <c r="I493" s="311"/>
      <c r="J493" s="312"/>
      <c r="K493" s="311"/>
      <c r="L493" s="311"/>
      <c r="M493" s="312"/>
      <c r="N493" s="312">
        <f>_xlfn.XLOOKUP(CONCATENATE(tblPiNAnalysis[[#This Row],[Admin 2 P-Code]],tblPiNAnalysis[[#This Row],[Population Group]]),'Overall severity &amp; PIN Analysis'!A:A,'Overall severity &amp; PIN Analysis'!P:P,0,0)</f>
        <v>65598</v>
      </c>
      <c r="O493" s="311"/>
      <c r="P493" s="312"/>
      <c r="Q493" s="312"/>
      <c r="R493" s="312"/>
      <c r="S493" s="312"/>
      <c r="T493" s="313" t="str">
        <f>IF(tblPiNAnalysis[[#This Row],[Site Management ]]="", "", tblPiNAnalysis[[#This Row],[Site Management ]]/tblPiNAnalysis[[#This Row],[Total Population]])</f>
        <v/>
      </c>
      <c r="U493" s="314" t="str">
        <f>IF(tblPiNAnalysis[[#This Row],[Education]]="", "", tblPiNAnalysis[[#This Row],[Education]]/tblPiNAnalysis[[#This Row],[Total Population]])</f>
        <v/>
      </c>
      <c r="V493" s="314" t="str">
        <f>IF(tblPiNAnalysis[[#This Row],[Food Security and Livlihoods]]="", "", tblPiNAnalysis[[#This Row],[Food Security and Livlihoods]]/tblPiNAnalysis[[#This Row],[Total Population]])</f>
        <v/>
      </c>
      <c r="W493" s="315" t="str">
        <f>IF(tblPiNAnalysis[[#This Row],[Health ]]="", "", tblPiNAnalysis[[#This Row],[Health ]]/tblPiNAnalysis[[#This Row],[Total Population]])</f>
        <v/>
      </c>
      <c r="X493" s="314" t="str">
        <f>IF(tblPiNAnalysis[[#This Row],[Nutrition]]="", "", tblPiNAnalysis[[#This Row],[Nutrition]]/tblPiNAnalysis[[#This Row],[Total Population]])</f>
        <v/>
      </c>
      <c r="Y493" s="314" t="str">
        <f>IF(tblPiNAnalysis[[#This Row],[Protection]]="", "", tblPiNAnalysis[[#This Row],[Protection]]/tblPiNAnalysis[[#This Row],[Total Population]])</f>
        <v/>
      </c>
      <c r="Z493" s="316">
        <f>IF(tblPiNAnalysis[[#This Row],[Shelter NFI ]]="", "", tblPiNAnalysis[[#This Row],[Shelter NFI ]]/tblPiNAnalysis[[#This Row],[Total Population]])</f>
        <v>0.45184843329177488</v>
      </c>
      <c r="AA493" s="317" t="str">
        <f>IF(tblPiNAnalysis[[#This Row],[WASH]]="", "", tblPiNAnalysis[[#This Row],[WASH]]/tblPiNAnalysis[[#This Row],[Total Population]])</f>
        <v/>
      </c>
      <c r="AB493" s="318" t="str">
        <f>IFERROR(IF(tblPiNAnalysis[[#This Row],[CP]]="", "", MROUND(tblPiNAnalysis[[#This Row],[CP]]/tblPiNAnalysis[[#This Row],[Total Population]], 0.05)), "")</f>
        <v/>
      </c>
      <c r="AC493" s="314" t="str">
        <f>IFERROR(IF(tblPiNAnalysis[[#This Row],[GBV]]="", "", MROUND(tblPiNAnalysis[[#This Row],[GBV]]/tblPiNAnalysis[[#This Row],[Total Population]], 0.05)), "")</f>
        <v/>
      </c>
      <c r="AD493" s="314" t="str">
        <f>IFERROR(IF(tblPiNAnalysis[[#This Row],[Mine Action]]="", "", MROUND(tblPiNAnalysis[[#This Row],[Mine Action]]/tblPiNAnalysis[[#This Row],[Total Population]], 0.05)), "")</f>
        <v/>
      </c>
      <c r="AE493" s="314" t="str">
        <f>IFERROR(IF(tblPiNAnalysis[[#This Row],[General Protection]]="", "", MROUND(tblPiNAnalysis[[#This Row],[General Protection]]/tblPiNAnalysis[[#This Row],[Total Population]], 0.05)), "")</f>
        <v/>
      </c>
      <c r="AF493" s="319">
        <f>IFERROR(LARGE(tblPiNAnalysis[[#This Row],[Site Management ]:[General Protection]], 1), "")</f>
        <v>65598</v>
      </c>
      <c r="AG493" s="320">
        <f>IF(tblPiNAnalysis[[#This Row],[Highest PiN]]="", "",tblPiNAnalysis[[#This Row],[Highest PiN]]/ tblPiNAnalysis[[#This Row],[Total Population]])</f>
        <v>0.45184843329177488</v>
      </c>
      <c r="AH493" s="320" t="str">
        <f>IFERROR(IF(tblPiNAnalysis[[#This Row],[Highest PiN]]="", "", IF(tblPiNAnalysis[[#This Row],[Highest sector(s'') PiN %]]&gt;=flag_pin_perc, "Flagged", "")), "")</f>
        <v/>
      </c>
      <c r="AI493" s="321"/>
      <c r="AJ493" s="322"/>
      <c r="AK493" s="323">
        <f>COUNTIFS(tblPiNAnalysis[[#This Row],[Highest PiN greater than 90% of total affected population]:[Manual Flag]],"Flagged")</f>
        <v>0</v>
      </c>
      <c r="AL493" s="324" t="str">
        <f>IF(tblPiNAnalysis[[#This Row],['# Flags]]&gt;0, "Flagged", "")</f>
        <v/>
      </c>
    </row>
    <row r="494" spans="1:38" ht="23.1" hidden="1" customHeight="1" x14ac:dyDescent="0.2">
      <c r="A494" s="309" t="str">
        <f>_xlfn.CONCAT(IF(tblPiNAnalysis[[#This Row],[Population Group]]="", "",tblPiNAnalysis[[#This Row],[Population Group]] ), _xlfn.IFS(tblPiNAnalysis[[#This Row],[Admin 2 P-Code]]&lt;&gt;"", tblPiNAnalysis[[#This Row],[Admin 2 P-Code]], tblPiNAnalysis[[#This Row],[Admin 1 P-Code]]&lt;&gt;"", tblPiNAnalysis[[#This Row],[Admin 1 P-Code]]))</f>
        <v>IDPsSD16011</v>
      </c>
      <c r="B494" s="245" t="s">
        <v>179</v>
      </c>
      <c r="C494" s="246" t="s">
        <v>133</v>
      </c>
      <c r="D494" s="247" t="s">
        <v>518</v>
      </c>
      <c r="E494" s="246" t="s">
        <v>519</v>
      </c>
      <c r="F494" s="248">
        <v>143830</v>
      </c>
      <c r="G494" s="248" t="s">
        <v>88</v>
      </c>
      <c r="H494" s="310"/>
      <c r="I494" s="311"/>
      <c r="J494" s="312"/>
      <c r="K494" s="311"/>
      <c r="L494" s="311"/>
      <c r="M494" s="312"/>
      <c r="N494" s="312">
        <f>_xlfn.XLOOKUP(CONCATENATE(tblPiNAnalysis[[#This Row],[Admin 2 P-Code]],tblPiNAnalysis[[#This Row],[Population Group]]),'Overall severity &amp; PIN Analysis'!A:A,'Overall severity &amp; PIN Analysis'!P:P,0,0)</f>
        <v>64989</v>
      </c>
      <c r="O494" s="311"/>
      <c r="P494" s="312"/>
      <c r="Q494" s="312"/>
      <c r="R494" s="312"/>
      <c r="S494" s="312"/>
      <c r="T494" s="313" t="str">
        <f>IF(tblPiNAnalysis[[#This Row],[Site Management ]]="", "", tblPiNAnalysis[[#This Row],[Site Management ]]/tblPiNAnalysis[[#This Row],[Total Population]])</f>
        <v/>
      </c>
      <c r="U494" s="314" t="str">
        <f>IF(tblPiNAnalysis[[#This Row],[Education]]="", "", tblPiNAnalysis[[#This Row],[Education]]/tblPiNAnalysis[[#This Row],[Total Population]])</f>
        <v/>
      </c>
      <c r="V494" s="314" t="str">
        <f>IF(tblPiNAnalysis[[#This Row],[Food Security and Livlihoods]]="", "", tblPiNAnalysis[[#This Row],[Food Security and Livlihoods]]/tblPiNAnalysis[[#This Row],[Total Population]])</f>
        <v/>
      </c>
      <c r="W494" s="315" t="str">
        <f>IF(tblPiNAnalysis[[#This Row],[Health ]]="", "", tblPiNAnalysis[[#This Row],[Health ]]/tblPiNAnalysis[[#This Row],[Total Population]])</f>
        <v/>
      </c>
      <c r="X494" s="314" t="str">
        <f>IF(tblPiNAnalysis[[#This Row],[Nutrition]]="", "", tblPiNAnalysis[[#This Row],[Nutrition]]/tblPiNAnalysis[[#This Row],[Total Population]])</f>
        <v/>
      </c>
      <c r="Y494" s="314" t="str">
        <f>IF(tblPiNAnalysis[[#This Row],[Protection]]="", "", tblPiNAnalysis[[#This Row],[Protection]]/tblPiNAnalysis[[#This Row],[Total Population]])</f>
        <v/>
      </c>
      <c r="Z494" s="316">
        <f>IF(tblPiNAnalysis[[#This Row],[Shelter NFI ]]="", "", tblPiNAnalysis[[#This Row],[Shelter NFI ]]/tblPiNAnalysis[[#This Row],[Total Population]])</f>
        <v>0.45184592922199818</v>
      </c>
      <c r="AA494" s="317" t="str">
        <f>IF(tblPiNAnalysis[[#This Row],[WASH]]="", "", tblPiNAnalysis[[#This Row],[WASH]]/tblPiNAnalysis[[#This Row],[Total Population]])</f>
        <v/>
      </c>
      <c r="AB494" s="318" t="str">
        <f>IFERROR(IF(tblPiNAnalysis[[#This Row],[CP]]="", "", MROUND(tblPiNAnalysis[[#This Row],[CP]]/tblPiNAnalysis[[#This Row],[Total Population]], 0.05)), "")</f>
        <v/>
      </c>
      <c r="AC494" s="314" t="str">
        <f>IFERROR(IF(tblPiNAnalysis[[#This Row],[GBV]]="", "", MROUND(tblPiNAnalysis[[#This Row],[GBV]]/tblPiNAnalysis[[#This Row],[Total Population]], 0.05)), "")</f>
        <v/>
      </c>
      <c r="AD494" s="314" t="str">
        <f>IFERROR(IF(tblPiNAnalysis[[#This Row],[Mine Action]]="", "", MROUND(tblPiNAnalysis[[#This Row],[Mine Action]]/tblPiNAnalysis[[#This Row],[Total Population]], 0.05)), "")</f>
        <v/>
      </c>
      <c r="AE494" s="314" t="str">
        <f>IFERROR(IF(tblPiNAnalysis[[#This Row],[General Protection]]="", "", MROUND(tblPiNAnalysis[[#This Row],[General Protection]]/tblPiNAnalysis[[#This Row],[Total Population]], 0.05)), "")</f>
        <v/>
      </c>
      <c r="AF494" s="319">
        <f>IFERROR(LARGE(tblPiNAnalysis[[#This Row],[Site Management ]:[General Protection]], 1), "")</f>
        <v>64989</v>
      </c>
      <c r="AG494" s="320">
        <f>IF(tblPiNAnalysis[[#This Row],[Highest PiN]]="", "",tblPiNAnalysis[[#This Row],[Highest PiN]]/ tblPiNAnalysis[[#This Row],[Total Population]])</f>
        <v>0.45184592922199818</v>
      </c>
      <c r="AH494" s="320" t="str">
        <f>IFERROR(IF(tblPiNAnalysis[[#This Row],[Highest PiN]]="", "", IF(tblPiNAnalysis[[#This Row],[Highest sector(s'') PiN %]]&gt;=flag_pin_perc, "Flagged", "")), "")</f>
        <v/>
      </c>
      <c r="AI494" s="321"/>
      <c r="AJ494" s="322"/>
      <c r="AK494" s="323">
        <f>COUNTIFS(tblPiNAnalysis[[#This Row],[Highest PiN greater than 90% of total affected population]:[Manual Flag]],"Flagged")</f>
        <v>0</v>
      </c>
      <c r="AL494" s="324" t="str">
        <f>IF(tblPiNAnalysis[[#This Row],['# Flags]]&gt;0, "Flagged", "")</f>
        <v/>
      </c>
    </row>
    <row r="495" spans="1:38" ht="23.1" customHeight="1" x14ac:dyDescent="0.2">
      <c r="A495" s="309" t="str">
        <f>_xlfn.CONCAT(IF(tblPiNAnalysis[[#This Row],[Population Group]]="", "",tblPiNAnalysis[[#This Row],[Population Group]] ), _xlfn.IFS(tblPiNAnalysis[[#This Row],[Admin 2 P-Code]]&lt;&gt;"", tblPiNAnalysis[[#This Row],[Admin 2 P-Code]], tblPiNAnalysis[[#This Row],[Admin 1 P-Code]]&lt;&gt;"", tblPiNAnalysis[[#This Row],[Admin 1 P-Code]]))</f>
        <v>Non-hosting PopulationSD16011</v>
      </c>
      <c r="B495" s="245" t="s">
        <v>179</v>
      </c>
      <c r="C495" s="246" t="s">
        <v>133</v>
      </c>
      <c r="D495" s="247" t="s">
        <v>518</v>
      </c>
      <c r="E495" s="246" t="s">
        <v>519</v>
      </c>
      <c r="F495" s="248">
        <v>132100</v>
      </c>
      <c r="G495" s="248" t="s">
        <v>568</v>
      </c>
      <c r="H495" s="310"/>
      <c r="I495" s="311"/>
      <c r="J495" s="312"/>
      <c r="K495" s="311"/>
      <c r="L495" s="311"/>
      <c r="M495" s="312"/>
      <c r="N495" s="312">
        <f>_xlfn.XLOOKUP(CONCATENATE(tblPiNAnalysis[[#This Row],[Admin 2 P-Code]],tblPiNAnalysis[[#This Row],[Population Group]]),'Overall severity &amp; PIN Analysis'!A:A,'Overall severity &amp; PIN Analysis'!P:P,0,0)</f>
        <v>14692</v>
      </c>
      <c r="O495" s="311"/>
      <c r="P495" s="312"/>
      <c r="Q495" s="312"/>
      <c r="R495" s="312"/>
      <c r="S495" s="312"/>
      <c r="T495" s="313" t="str">
        <f>IF(tblPiNAnalysis[[#This Row],[Site Management ]]="", "", tblPiNAnalysis[[#This Row],[Site Management ]]/tblPiNAnalysis[[#This Row],[Total Population]])</f>
        <v/>
      </c>
      <c r="U495" s="314" t="str">
        <f>IF(tblPiNAnalysis[[#This Row],[Education]]="", "", tblPiNAnalysis[[#This Row],[Education]]/tblPiNAnalysis[[#This Row],[Total Population]])</f>
        <v/>
      </c>
      <c r="V495" s="314" t="str">
        <f>IF(tblPiNAnalysis[[#This Row],[Food Security and Livlihoods]]="", "", tblPiNAnalysis[[#This Row],[Food Security and Livlihoods]]/tblPiNAnalysis[[#This Row],[Total Population]])</f>
        <v/>
      </c>
      <c r="W495" s="315" t="str">
        <f>IF(tblPiNAnalysis[[#This Row],[Health ]]="", "", tblPiNAnalysis[[#This Row],[Health ]]/tblPiNAnalysis[[#This Row],[Total Population]])</f>
        <v/>
      </c>
      <c r="X495" s="314" t="str">
        <f>IF(tblPiNAnalysis[[#This Row],[Nutrition]]="", "", tblPiNAnalysis[[#This Row],[Nutrition]]/tblPiNAnalysis[[#This Row],[Total Population]])</f>
        <v/>
      </c>
      <c r="Y495" s="314" t="str">
        <f>IF(tblPiNAnalysis[[#This Row],[Protection]]="", "", tblPiNAnalysis[[#This Row],[Protection]]/tblPiNAnalysis[[#This Row],[Total Population]])</f>
        <v/>
      </c>
      <c r="Z495" s="316">
        <f>IF(tblPiNAnalysis[[#This Row],[Shelter NFI ]]="", "", tblPiNAnalysis[[#This Row],[Shelter NFI ]]/tblPiNAnalysis[[#This Row],[Total Population]])</f>
        <v>0.11121877365632096</v>
      </c>
      <c r="AA495" s="317" t="str">
        <f>IF(tblPiNAnalysis[[#This Row],[WASH]]="", "", tblPiNAnalysis[[#This Row],[WASH]]/tblPiNAnalysis[[#This Row],[Total Population]])</f>
        <v/>
      </c>
      <c r="AB495" s="318" t="str">
        <f>IFERROR(IF(tblPiNAnalysis[[#This Row],[CP]]="", "", MROUND(tblPiNAnalysis[[#This Row],[CP]]/tblPiNAnalysis[[#This Row],[Total Population]], 0.05)), "")</f>
        <v/>
      </c>
      <c r="AC495" s="314" t="str">
        <f>IFERROR(IF(tblPiNAnalysis[[#This Row],[GBV]]="", "", MROUND(tblPiNAnalysis[[#This Row],[GBV]]/tblPiNAnalysis[[#This Row],[Total Population]], 0.05)), "")</f>
        <v/>
      </c>
      <c r="AD495" s="314" t="str">
        <f>IFERROR(IF(tblPiNAnalysis[[#This Row],[Mine Action]]="", "", MROUND(tblPiNAnalysis[[#This Row],[Mine Action]]/tblPiNAnalysis[[#This Row],[Total Population]], 0.05)), "")</f>
        <v/>
      </c>
      <c r="AE495" s="314" t="str">
        <f>IFERROR(IF(tblPiNAnalysis[[#This Row],[General Protection]]="", "", MROUND(tblPiNAnalysis[[#This Row],[General Protection]]/tblPiNAnalysis[[#This Row],[Total Population]], 0.05)), "")</f>
        <v/>
      </c>
      <c r="AF495" s="319">
        <f>IFERROR(LARGE(tblPiNAnalysis[[#This Row],[Site Management ]:[General Protection]], 1), "")</f>
        <v>14692</v>
      </c>
      <c r="AG495" s="320">
        <f>IF(tblPiNAnalysis[[#This Row],[Highest PiN]]="", "",tblPiNAnalysis[[#This Row],[Highest PiN]]/ tblPiNAnalysis[[#This Row],[Total Population]])</f>
        <v>0.11121877365632096</v>
      </c>
      <c r="AH495" s="320" t="str">
        <f>IFERROR(IF(tblPiNAnalysis[[#This Row],[Highest PiN]]="", "", IF(tblPiNAnalysis[[#This Row],[Highest sector(s'') PiN %]]&gt;=flag_pin_perc, "Flagged", "")), "")</f>
        <v/>
      </c>
      <c r="AI495" s="321"/>
      <c r="AJ495" s="322"/>
      <c r="AK495" s="323">
        <f>COUNTIFS(tblPiNAnalysis[[#This Row],[Highest PiN greater than 90% of total affected population]:[Manual Flag]],"Flagged")</f>
        <v>0</v>
      </c>
      <c r="AL495" s="324" t="str">
        <f>IF(tblPiNAnalysis[[#This Row],['# Flags]]&gt;0, "Flagged", "")</f>
        <v/>
      </c>
    </row>
    <row r="496" spans="1:38" ht="23.1" hidden="1" customHeight="1" x14ac:dyDescent="0.2">
      <c r="A496" s="309" t="str">
        <f>_xlfn.CONCAT(IF(tblPiNAnalysis[[#This Row],[Population Group]]="", "",tblPiNAnalysis[[#This Row],[Population Group]] ), _xlfn.IFS(tblPiNAnalysis[[#This Row],[Admin 2 P-Code]]&lt;&gt;"", tblPiNAnalysis[[#This Row],[Admin 2 P-Code]], tblPiNAnalysis[[#This Row],[Admin 1 P-Code]]&lt;&gt;"", tblPiNAnalysis[[#This Row],[Admin 1 P-Code]]))</f>
        <v>Host CommunitySD16012</v>
      </c>
      <c r="B496" s="245" t="s">
        <v>179</v>
      </c>
      <c r="C496" s="246" t="s">
        <v>133</v>
      </c>
      <c r="D496" s="247" t="s">
        <v>520</v>
      </c>
      <c r="E496" s="246" t="s">
        <v>521</v>
      </c>
      <c r="F496" s="248">
        <v>99538</v>
      </c>
      <c r="G496" s="248" t="s">
        <v>87</v>
      </c>
      <c r="H496" s="310"/>
      <c r="I496" s="311"/>
      <c r="J496" s="312"/>
      <c r="K496" s="311"/>
      <c r="L496" s="311"/>
      <c r="M496" s="312"/>
      <c r="N496" s="312">
        <f>_xlfn.XLOOKUP(CONCATENATE(tblPiNAnalysis[[#This Row],[Admin 2 P-Code]],tblPiNAnalysis[[#This Row],[Population Group]]),'Overall severity &amp; PIN Analysis'!A:A,'Overall severity &amp; PIN Analysis'!P:P,0,0)</f>
        <v>35796</v>
      </c>
      <c r="O496" s="311"/>
      <c r="P496" s="312"/>
      <c r="Q496" s="312"/>
      <c r="R496" s="312"/>
      <c r="S496" s="312"/>
      <c r="T496" s="313" t="str">
        <f>IF(tblPiNAnalysis[[#This Row],[Site Management ]]="", "", tblPiNAnalysis[[#This Row],[Site Management ]]/tblPiNAnalysis[[#This Row],[Total Population]])</f>
        <v/>
      </c>
      <c r="U496" s="314" t="str">
        <f>IF(tblPiNAnalysis[[#This Row],[Education]]="", "", tblPiNAnalysis[[#This Row],[Education]]/tblPiNAnalysis[[#This Row],[Total Population]])</f>
        <v/>
      </c>
      <c r="V496" s="314" t="str">
        <f>IF(tblPiNAnalysis[[#This Row],[Food Security and Livlihoods]]="", "", tblPiNAnalysis[[#This Row],[Food Security and Livlihoods]]/tblPiNAnalysis[[#This Row],[Total Population]])</f>
        <v/>
      </c>
      <c r="W496" s="315" t="str">
        <f>IF(tblPiNAnalysis[[#This Row],[Health ]]="", "", tblPiNAnalysis[[#This Row],[Health ]]/tblPiNAnalysis[[#This Row],[Total Population]])</f>
        <v/>
      </c>
      <c r="X496" s="314" t="str">
        <f>IF(tblPiNAnalysis[[#This Row],[Nutrition]]="", "", tblPiNAnalysis[[#This Row],[Nutrition]]/tblPiNAnalysis[[#This Row],[Total Population]])</f>
        <v/>
      </c>
      <c r="Y496" s="314" t="str">
        <f>IF(tblPiNAnalysis[[#This Row],[Protection]]="", "", tblPiNAnalysis[[#This Row],[Protection]]/tblPiNAnalysis[[#This Row],[Total Population]])</f>
        <v/>
      </c>
      <c r="Z496" s="316">
        <f>IF(tblPiNAnalysis[[#This Row],[Shelter NFI ]]="", "", tblPiNAnalysis[[#This Row],[Shelter NFI ]]/tblPiNAnalysis[[#This Row],[Total Population]])</f>
        <v>0.35962145110410093</v>
      </c>
      <c r="AA496" s="317" t="str">
        <f>IF(tblPiNAnalysis[[#This Row],[WASH]]="", "", tblPiNAnalysis[[#This Row],[WASH]]/tblPiNAnalysis[[#This Row],[Total Population]])</f>
        <v/>
      </c>
      <c r="AB496" s="318" t="str">
        <f>IFERROR(IF(tblPiNAnalysis[[#This Row],[CP]]="", "", MROUND(tblPiNAnalysis[[#This Row],[CP]]/tblPiNAnalysis[[#This Row],[Total Population]], 0.05)), "")</f>
        <v/>
      </c>
      <c r="AC496" s="314" t="str">
        <f>IFERROR(IF(tblPiNAnalysis[[#This Row],[GBV]]="", "", MROUND(tblPiNAnalysis[[#This Row],[GBV]]/tblPiNAnalysis[[#This Row],[Total Population]], 0.05)), "")</f>
        <v/>
      </c>
      <c r="AD496" s="314" t="str">
        <f>IFERROR(IF(tblPiNAnalysis[[#This Row],[Mine Action]]="", "", MROUND(tblPiNAnalysis[[#This Row],[Mine Action]]/tblPiNAnalysis[[#This Row],[Total Population]], 0.05)), "")</f>
        <v/>
      </c>
      <c r="AE496" s="314" t="str">
        <f>IFERROR(IF(tblPiNAnalysis[[#This Row],[General Protection]]="", "", MROUND(tblPiNAnalysis[[#This Row],[General Protection]]/tblPiNAnalysis[[#This Row],[Total Population]], 0.05)), "")</f>
        <v/>
      </c>
      <c r="AF496" s="319">
        <f>IFERROR(LARGE(tblPiNAnalysis[[#This Row],[Site Management ]:[General Protection]], 1), "")</f>
        <v>35796</v>
      </c>
      <c r="AG496" s="320">
        <f>IF(tblPiNAnalysis[[#This Row],[Highest PiN]]="", "",tblPiNAnalysis[[#This Row],[Highest PiN]]/ tblPiNAnalysis[[#This Row],[Total Population]])</f>
        <v>0.35962145110410093</v>
      </c>
      <c r="AH496" s="320" t="str">
        <f>IFERROR(IF(tblPiNAnalysis[[#This Row],[Highest PiN]]="", "", IF(tblPiNAnalysis[[#This Row],[Highest sector(s'') PiN %]]&gt;=flag_pin_perc, "Flagged", "")), "")</f>
        <v/>
      </c>
      <c r="AI496" s="321"/>
      <c r="AJ496" s="322"/>
      <c r="AK496" s="323">
        <f>COUNTIFS(tblPiNAnalysis[[#This Row],[Highest PiN greater than 90% of total affected population]:[Manual Flag]],"Flagged")</f>
        <v>0</v>
      </c>
      <c r="AL496" s="324" t="str">
        <f>IF(tblPiNAnalysis[[#This Row],['# Flags]]&gt;0, "Flagged", "")</f>
        <v/>
      </c>
    </row>
    <row r="497" spans="1:38" ht="23.1" hidden="1" customHeight="1" x14ac:dyDescent="0.2">
      <c r="A497" s="309" t="str">
        <f>_xlfn.CONCAT(IF(tblPiNAnalysis[[#This Row],[Population Group]]="", "",tblPiNAnalysis[[#This Row],[Population Group]] ), _xlfn.IFS(tblPiNAnalysis[[#This Row],[Admin 2 P-Code]]&lt;&gt;"", tblPiNAnalysis[[#This Row],[Admin 2 P-Code]], tblPiNAnalysis[[#This Row],[Admin 1 P-Code]]&lt;&gt;"", tblPiNAnalysis[[#This Row],[Admin 1 P-Code]]))</f>
        <v>IDPsSD16012</v>
      </c>
      <c r="B497" s="245" t="s">
        <v>179</v>
      </c>
      <c r="C497" s="246" t="s">
        <v>133</v>
      </c>
      <c r="D497" s="247" t="s">
        <v>520</v>
      </c>
      <c r="E497" s="246" t="s">
        <v>521</v>
      </c>
      <c r="F497" s="248">
        <v>156069</v>
      </c>
      <c r="G497" s="248" t="s">
        <v>88</v>
      </c>
      <c r="H497" s="310"/>
      <c r="I497" s="311"/>
      <c r="J497" s="312"/>
      <c r="K497" s="311"/>
      <c r="L497" s="311"/>
      <c r="M497" s="312"/>
      <c r="N497" s="312">
        <f>_xlfn.XLOOKUP(CONCATENATE(tblPiNAnalysis[[#This Row],[Admin 2 P-Code]],tblPiNAnalysis[[#This Row],[Population Group]]),'Overall severity &amp; PIN Analysis'!A:A,'Overall severity &amp; PIN Analysis'!P:P,0,0)</f>
        <v>56125</v>
      </c>
      <c r="O497" s="311"/>
      <c r="P497" s="312"/>
      <c r="Q497" s="312"/>
      <c r="R497" s="312"/>
      <c r="S497" s="312"/>
      <c r="T497" s="313" t="str">
        <f>IF(tblPiNAnalysis[[#This Row],[Site Management ]]="", "", tblPiNAnalysis[[#This Row],[Site Management ]]/tblPiNAnalysis[[#This Row],[Total Population]])</f>
        <v/>
      </c>
      <c r="U497" s="314" t="str">
        <f>IF(tblPiNAnalysis[[#This Row],[Education]]="", "", tblPiNAnalysis[[#This Row],[Education]]/tblPiNAnalysis[[#This Row],[Total Population]])</f>
        <v/>
      </c>
      <c r="V497" s="314" t="str">
        <f>IF(tblPiNAnalysis[[#This Row],[Food Security and Livlihoods]]="", "", tblPiNAnalysis[[#This Row],[Food Security and Livlihoods]]/tblPiNAnalysis[[#This Row],[Total Population]])</f>
        <v/>
      </c>
      <c r="W497" s="315" t="str">
        <f>IF(tblPiNAnalysis[[#This Row],[Health ]]="", "", tblPiNAnalysis[[#This Row],[Health ]]/tblPiNAnalysis[[#This Row],[Total Population]])</f>
        <v/>
      </c>
      <c r="X497" s="314" t="str">
        <f>IF(tblPiNAnalysis[[#This Row],[Nutrition]]="", "", tblPiNAnalysis[[#This Row],[Nutrition]]/tblPiNAnalysis[[#This Row],[Total Population]])</f>
        <v/>
      </c>
      <c r="Y497" s="314" t="str">
        <f>IF(tblPiNAnalysis[[#This Row],[Protection]]="", "", tblPiNAnalysis[[#This Row],[Protection]]/tblPiNAnalysis[[#This Row],[Total Population]])</f>
        <v/>
      </c>
      <c r="Z497" s="316">
        <f>IF(tblPiNAnalysis[[#This Row],[Shelter NFI ]]="", "", tblPiNAnalysis[[#This Row],[Shelter NFI ]]/tblPiNAnalysis[[#This Row],[Total Population]])</f>
        <v>0.35961657984609374</v>
      </c>
      <c r="AA497" s="317" t="str">
        <f>IF(tblPiNAnalysis[[#This Row],[WASH]]="", "", tblPiNAnalysis[[#This Row],[WASH]]/tblPiNAnalysis[[#This Row],[Total Population]])</f>
        <v/>
      </c>
      <c r="AB497" s="318" t="str">
        <f>IFERROR(IF(tblPiNAnalysis[[#This Row],[CP]]="", "", MROUND(tblPiNAnalysis[[#This Row],[CP]]/tblPiNAnalysis[[#This Row],[Total Population]], 0.05)), "")</f>
        <v/>
      </c>
      <c r="AC497" s="314" t="str">
        <f>IFERROR(IF(tblPiNAnalysis[[#This Row],[GBV]]="", "", MROUND(tblPiNAnalysis[[#This Row],[GBV]]/tblPiNAnalysis[[#This Row],[Total Population]], 0.05)), "")</f>
        <v/>
      </c>
      <c r="AD497" s="314" t="str">
        <f>IFERROR(IF(tblPiNAnalysis[[#This Row],[Mine Action]]="", "", MROUND(tblPiNAnalysis[[#This Row],[Mine Action]]/tblPiNAnalysis[[#This Row],[Total Population]], 0.05)), "")</f>
        <v/>
      </c>
      <c r="AE497" s="314" t="str">
        <f>IFERROR(IF(tblPiNAnalysis[[#This Row],[General Protection]]="", "", MROUND(tblPiNAnalysis[[#This Row],[General Protection]]/tblPiNAnalysis[[#This Row],[Total Population]], 0.05)), "")</f>
        <v/>
      </c>
      <c r="AF497" s="319">
        <f>IFERROR(LARGE(tblPiNAnalysis[[#This Row],[Site Management ]:[General Protection]], 1), "")</f>
        <v>56125</v>
      </c>
      <c r="AG497" s="320">
        <f>IF(tblPiNAnalysis[[#This Row],[Highest PiN]]="", "",tblPiNAnalysis[[#This Row],[Highest PiN]]/ tblPiNAnalysis[[#This Row],[Total Population]])</f>
        <v>0.35961657984609374</v>
      </c>
      <c r="AH497" s="320" t="str">
        <f>IFERROR(IF(tblPiNAnalysis[[#This Row],[Highest PiN]]="", "", IF(tblPiNAnalysis[[#This Row],[Highest sector(s'') PiN %]]&gt;=flag_pin_perc, "Flagged", "")), "")</f>
        <v/>
      </c>
      <c r="AI497" s="321"/>
      <c r="AJ497" s="322"/>
      <c r="AK497" s="323">
        <f>COUNTIFS(tblPiNAnalysis[[#This Row],[Highest PiN greater than 90% of total affected population]:[Manual Flag]],"Flagged")</f>
        <v>0</v>
      </c>
      <c r="AL497" s="324" t="str">
        <f>IF(tblPiNAnalysis[[#This Row],['# Flags]]&gt;0, "Flagged", "")</f>
        <v/>
      </c>
    </row>
    <row r="498" spans="1:38" ht="23.1" customHeight="1" x14ac:dyDescent="0.2">
      <c r="A498" s="309" t="str">
        <f>_xlfn.CONCAT(IF(tblPiNAnalysis[[#This Row],[Population Group]]="", "",tblPiNAnalysis[[#This Row],[Population Group]] ), _xlfn.IFS(tblPiNAnalysis[[#This Row],[Admin 2 P-Code]]&lt;&gt;"", tblPiNAnalysis[[#This Row],[Admin 2 P-Code]], tblPiNAnalysis[[#This Row],[Admin 1 P-Code]]&lt;&gt;"", tblPiNAnalysis[[#This Row],[Admin 1 P-Code]]))</f>
        <v>Non-hosting PopulationSD16012</v>
      </c>
      <c r="B498" s="245" t="s">
        <v>179</v>
      </c>
      <c r="C498" s="246" t="s">
        <v>133</v>
      </c>
      <c r="D498" s="247" t="s">
        <v>520</v>
      </c>
      <c r="E498" s="246" t="s">
        <v>521</v>
      </c>
      <c r="F498" s="248">
        <v>7134</v>
      </c>
      <c r="G498" s="248" t="s">
        <v>568</v>
      </c>
      <c r="H498" s="310"/>
      <c r="I498" s="311"/>
      <c r="J498" s="312"/>
      <c r="K498" s="311"/>
      <c r="L498" s="311"/>
      <c r="M498" s="312"/>
      <c r="N498" s="312">
        <f>_xlfn.XLOOKUP(CONCATENATE(tblPiNAnalysis[[#This Row],[Admin 2 P-Code]],tblPiNAnalysis[[#This Row],[Population Group]]),'Overall severity &amp; PIN Analysis'!A:A,'Overall severity &amp; PIN Analysis'!P:P,0,0)</f>
        <v>455</v>
      </c>
      <c r="O498" s="311"/>
      <c r="P498" s="312"/>
      <c r="Q498" s="312"/>
      <c r="R498" s="312"/>
      <c r="S498" s="312"/>
      <c r="T498" s="313" t="str">
        <f>IF(tblPiNAnalysis[[#This Row],[Site Management ]]="", "", tblPiNAnalysis[[#This Row],[Site Management ]]/tblPiNAnalysis[[#This Row],[Total Population]])</f>
        <v/>
      </c>
      <c r="U498" s="314" t="str">
        <f>IF(tblPiNAnalysis[[#This Row],[Education]]="", "", tblPiNAnalysis[[#This Row],[Education]]/tblPiNAnalysis[[#This Row],[Total Population]])</f>
        <v/>
      </c>
      <c r="V498" s="314" t="str">
        <f>IF(tblPiNAnalysis[[#This Row],[Food Security and Livlihoods]]="", "", tblPiNAnalysis[[#This Row],[Food Security and Livlihoods]]/tblPiNAnalysis[[#This Row],[Total Population]])</f>
        <v/>
      </c>
      <c r="W498" s="315" t="str">
        <f>IF(tblPiNAnalysis[[#This Row],[Health ]]="", "", tblPiNAnalysis[[#This Row],[Health ]]/tblPiNAnalysis[[#This Row],[Total Population]])</f>
        <v/>
      </c>
      <c r="X498" s="314" t="str">
        <f>IF(tblPiNAnalysis[[#This Row],[Nutrition]]="", "", tblPiNAnalysis[[#This Row],[Nutrition]]/tblPiNAnalysis[[#This Row],[Total Population]])</f>
        <v/>
      </c>
      <c r="Y498" s="314" t="str">
        <f>IF(tblPiNAnalysis[[#This Row],[Protection]]="", "", tblPiNAnalysis[[#This Row],[Protection]]/tblPiNAnalysis[[#This Row],[Total Population]])</f>
        <v/>
      </c>
      <c r="Z498" s="316">
        <f>IF(tblPiNAnalysis[[#This Row],[Shelter NFI ]]="", "", tblPiNAnalysis[[#This Row],[Shelter NFI ]]/tblPiNAnalysis[[#This Row],[Total Population]])</f>
        <v>6.3779086066722737E-2</v>
      </c>
      <c r="AA498" s="317" t="str">
        <f>IF(tblPiNAnalysis[[#This Row],[WASH]]="", "", tblPiNAnalysis[[#This Row],[WASH]]/tblPiNAnalysis[[#This Row],[Total Population]])</f>
        <v/>
      </c>
      <c r="AB498" s="318" t="str">
        <f>IFERROR(IF(tblPiNAnalysis[[#This Row],[CP]]="", "", MROUND(tblPiNAnalysis[[#This Row],[CP]]/tblPiNAnalysis[[#This Row],[Total Population]], 0.05)), "")</f>
        <v/>
      </c>
      <c r="AC498" s="314" t="str">
        <f>IFERROR(IF(tblPiNAnalysis[[#This Row],[GBV]]="", "", MROUND(tblPiNAnalysis[[#This Row],[GBV]]/tblPiNAnalysis[[#This Row],[Total Population]], 0.05)), "")</f>
        <v/>
      </c>
      <c r="AD498" s="314" t="str">
        <f>IFERROR(IF(tblPiNAnalysis[[#This Row],[Mine Action]]="", "", MROUND(tblPiNAnalysis[[#This Row],[Mine Action]]/tblPiNAnalysis[[#This Row],[Total Population]], 0.05)), "")</f>
        <v/>
      </c>
      <c r="AE498" s="314" t="str">
        <f>IFERROR(IF(tblPiNAnalysis[[#This Row],[General Protection]]="", "", MROUND(tblPiNAnalysis[[#This Row],[General Protection]]/tblPiNAnalysis[[#This Row],[Total Population]], 0.05)), "")</f>
        <v/>
      </c>
      <c r="AF498" s="319">
        <f>IFERROR(LARGE(tblPiNAnalysis[[#This Row],[Site Management ]:[General Protection]], 1), "")</f>
        <v>455</v>
      </c>
      <c r="AG498" s="320">
        <f>IF(tblPiNAnalysis[[#This Row],[Highest PiN]]="", "",tblPiNAnalysis[[#This Row],[Highest PiN]]/ tblPiNAnalysis[[#This Row],[Total Population]])</f>
        <v>6.3779086066722737E-2</v>
      </c>
      <c r="AH498" s="320" t="str">
        <f>IFERROR(IF(tblPiNAnalysis[[#This Row],[Highest PiN]]="", "", IF(tblPiNAnalysis[[#This Row],[Highest sector(s'') PiN %]]&gt;=flag_pin_perc, "Flagged", "")), "")</f>
        <v/>
      </c>
      <c r="AI498" s="321"/>
      <c r="AJ498" s="322"/>
      <c r="AK498" s="323">
        <f>COUNTIFS(tblPiNAnalysis[[#This Row],[Highest PiN greater than 90% of total affected population]:[Manual Flag]],"Flagged")</f>
        <v>0</v>
      </c>
      <c r="AL498" s="324" t="str">
        <f>IF(tblPiNAnalysis[[#This Row],['# Flags]]&gt;0, "Flagged", "")</f>
        <v/>
      </c>
    </row>
    <row r="499" spans="1:38" ht="23.1" hidden="1" customHeight="1" x14ac:dyDescent="0.2">
      <c r="A499" s="309" t="str">
        <f>_xlfn.CONCAT(IF(tblPiNAnalysis[[#This Row],[Population Group]]="", "",tblPiNAnalysis[[#This Row],[Population Group]] ), _xlfn.IFS(tblPiNAnalysis[[#This Row],[Admin 2 P-Code]]&lt;&gt;"", tblPiNAnalysis[[#This Row],[Admin 2 P-Code]], tblPiNAnalysis[[#This Row],[Admin 1 P-Code]]&lt;&gt;"", tblPiNAnalysis[[#This Row],[Admin 1 P-Code]]))</f>
        <v>Host CommunitySD16013</v>
      </c>
      <c r="B499" s="245" t="s">
        <v>179</v>
      </c>
      <c r="C499" s="246" t="s">
        <v>133</v>
      </c>
      <c r="D499" s="247" t="s">
        <v>522</v>
      </c>
      <c r="E499" s="246" t="s">
        <v>523</v>
      </c>
      <c r="F499" s="248">
        <v>26356</v>
      </c>
      <c r="G499" s="248" t="s">
        <v>87</v>
      </c>
      <c r="H499" s="310"/>
      <c r="I499" s="311"/>
      <c r="J499" s="312"/>
      <c r="K499" s="311"/>
      <c r="L499" s="311"/>
      <c r="M499" s="312"/>
      <c r="N499" s="312">
        <f>_xlfn.XLOOKUP(CONCATENATE(tblPiNAnalysis[[#This Row],[Admin 2 P-Code]],tblPiNAnalysis[[#This Row],[Population Group]]),'Overall severity &amp; PIN Analysis'!A:A,'Overall severity &amp; PIN Analysis'!P:P,0,0)</f>
        <v>10584</v>
      </c>
      <c r="O499" s="311"/>
      <c r="P499" s="312"/>
      <c r="Q499" s="312"/>
      <c r="R499" s="312"/>
      <c r="S499" s="312"/>
      <c r="T499" s="313" t="str">
        <f>IF(tblPiNAnalysis[[#This Row],[Site Management ]]="", "", tblPiNAnalysis[[#This Row],[Site Management ]]/tblPiNAnalysis[[#This Row],[Total Population]])</f>
        <v/>
      </c>
      <c r="U499" s="314" t="str">
        <f>IF(tblPiNAnalysis[[#This Row],[Education]]="", "", tblPiNAnalysis[[#This Row],[Education]]/tblPiNAnalysis[[#This Row],[Total Population]])</f>
        <v/>
      </c>
      <c r="V499" s="314" t="str">
        <f>IF(tblPiNAnalysis[[#This Row],[Food Security and Livlihoods]]="", "", tblPiNAnalysis[[#This Row],[Food Security and Livlihoods]]/tblPiNAnalysis[[#This Row],[Total Population]])</f>
        <v/>
      </c>
      <c r="W499" s="315" t="str">
        <f>IF(tblPiNAnalysis[[#This Row],[Health ]]="", "", tblPiNAnalysis[[#This Row],[Health ]]/tblPiNAnalysis[[#This Row],[Total Population]])</f>
        <v/>
      </c>
      <c r="X499" s="314" t="str">
        <f>IF(tblPiNAnalysis[[#This Row],[Nutrition]]="", "", tblPiNAnalysis[[#This Row],[Nutrition]]/tblPiNAnalysis[[#This Row],[Total Population]])</f>
        <v/>
      </c>
      <c r="Y499" s="314" t="str">
        <f>IF(tblPiNAnalysis[[#This Row],[Protection]]="", "", tblPiNAnalysis[[#This Row],[Protection]]/tblPiNAnalysis[[#This Row],[Total Population]])</f>
        <v/>
      </c>
      <c r="Z499" s="316">
        <f>IF(tblPiNAnalysis[[#This Row],[Shelter NFI ]]="", "", tblPiNAnalysis[[#This Row],[Shelter NFI ]]/tblPiNAnalysis[[#This Row],[Total Population]])</f>
        <v>0.40157838822279557</v>
      </c>
      <c r="AA499" s="317" t="str">
        <f>IF(tblPiNAnalysis[[#This Row],[WASH]]="", "", tblPiNAnalysis[[#This Row],[WASH]]/tblPiNAnalysis[[#This Row],[Total Population]])</f>
        <v/>
      </c>
      <c r="AB499" s="318" t="str">
        <f>IFERROR(IF(tblPiNAnalysis[[#This Row],[CP]]="", "", MROUND(tblPiNAnalysis[[#This Row],[CP]]/tblPiNAnalysis[[#This Row],[Total Population]], 0.05)), "")</f>
        <v/>
      </c>
      <c r="AC499" s="314" t="str">
        <f>IFERROR(IF(tblPiNAnalysis[[#This Row],[GBV]]="", "", MROUND(tblPiNAnalysis[[#This Row],[GBV]]/tblPiNAnalysis[[#This Row],[Total Population]], 0.05)), "")</f>
        <v/>
      </c>
      <c r="AD499" s="314" t="str">
        <f>IFERROR(IF(tblPiNAnalysis[[#This Row],[Mine Action]]="", "", MROUND(tblPiNAnalysis[[#This Row],[Mine Action]]/tblPiNAnalysis[[#This Row],[Total Population]], 0.05)), "")</f>
        <v/>
      </c>
      <c r="AE499" s="314" t="str">
        <f>IFERROR(IF(tblPiNAnalysis[[#This Row],[General Protection]]="", "", MROUND(tblPiNAnalysis[[#This Row],[General Protection]]/tblPiNAnalysis[[#This Row],[Total Population]], 0.05)), "")</f>
        <v/>
      </c>
      <c r="AF499" s="319">
        <f>IFERROR(LARGE(tblPiNAnalysis[[#This Row],[Site Management ]:[General Protection]], 1), "")</f>
        <v>10584</v>
      </c>
      <c r="AG499" s="320">
        <f>IF(tblPiNAnalysis[[#This Row],[Highest PiN]]="", "",tblPiNAnalysis[[#This Row],[Highest PiN]]/ tblPiNAnalysis[[#This Row],[Total Population]])</f>
        <v>0.40157838822279557</v>
      </c>
      <c r="AH499" s="320" t="str">
        <f>IFERROR(IF(tblPiNAnalysis[[#This Row],[Highest PiN]]="", "", IF(tblPiNAnalysis[[#This Row],[Highest sector(s'') PiN %]]&gt;=flag_pin_perc, "Flagged", "")), "")</f>
        <v/>
      </c>
      <c r="AI499" s="321"/>
      <c r="AJ499" s="322"/>
      <c r="AK499" s="323">
        <f>COUNTIFS(tblPiNAnalysis[[#This Row],[Highest PiN greater than 90% of total affected population]:[Manual Flag]],"Flagged")</f>
        <v>0</v>
      </c>
      <c r="AL499" s="324" t="str">
        <f>IF(tblPiNAnalysis[[#This Row],['# Flags]]&gt;0, "Flagged", "")</f>
        <v/>
      </c>
    </row>
    <row r="500" spans="1:38" ht="23.1" hidden="1" customHeight="1" x14ac:dyDescent="0.2">
      <c r="A500" s="309" t="str">
        <f>_xlfn.CONCAT(IF(tblPiNAnalysis[[#This Row],[Population Group]]="", "",tblPiNAnalysis[[#This Row],[Population Group]] ), _xlfn.IFS(tblPiNAnalysis[[#This Row],[Admin 2 P-Code]]&lt;&gt;"", tblPiNAnalysis[[#This Row],[Admin 2 P-Code]], tblPiNAnalysis[[#This Row],[Admin 1 P-Code]]&lt;&gt;"", tblPiNAnalysis[[#This Row],[Admin 1 P-Code]]))</f>
        <v>IDPsSD16013</v>
      </c>
      <c r="B500" s="245" t="s">
        <v>179</v>
      </c>
      <c r="C500" s="246" t="s">
        <v>133</v>
      </c>
      <c r="D500" s="247" t="s">
        <v>522</v>
      </c>
      <c r="E500" s="246" t="s">
        <v>523</v>
      </c>
      <c r="F500" s="248">
        <v>31649</v>
      </c>
      <c r="G500" s="248" t="s">
        <v>88</v>
      </c>
      <c r="H500" s="310"/>
      <c r="I500" s="311"/>
      <c r="J500" s="312"/>
      <c r="K500" s="311"/>
      <c r="L500" s="311"/>
      <c r="M500" s="312"/>
      <c r="N500" s="312">
        <f>_xlfn.XLOOKUP(CONCATENATE(tblPiNAnalysis[[#This Row],[Admin 2 P-Code]],tblPiNAnalysis[[#This Row],[Population Group]]),'Overall severity &amp; PIN Analysis'!A:A,'Overall severity &amp; PIN Analysis'!P:P,0,0)</f>
        <v>12708</v>
      </c>
      <c r="O500" s="311"/>
      <c r="P500" s="312"/>
      <c r="Q500" s="312"/>
      <c r="R500" s="312"/>
      <c r="S500" s="312"/>
      <c r="T500" s="313" t="str">
        <f>IF(tblPiNAnalysis[[#This Row],[Site Management ]]="", "", tblPiNAnalysis[[#This Row],[Site Management ]]/tblPiNAnalysis[[#This Row],[Total Population]])</f>
        <v/>
      </c>
      <c r="U500" s="314" t="str">
        <f>IF(tblPiNAnalysis[[#This Row],[Education]]="", "", tblPiNAnalysis[[#This Row],[Education]]/tblPiNAnalysis[[#This Row],[Total Population]])</f>
        <v/>
      </c>
      <c r="V500" s="314" t="str">
        <f>IF(tblPiNAnalysis[[#This Row],[Food Security and Livlihoods]]="", "", tblPiNAnalysis[[#This Row],[Food Security and Livlihoods]]/tblPiNAnalysis[[#This Row],[Total Population]])</f>
        <v/>
      </c>
      <c r="W500" s="315" t="str">
        <f>IF(tblPiNAnalysis[[#This Row],[Health ]]="", "", tblPiNAnalysis[[#This Row],[Health ]]/tblPiNAnalysis[[#This Row],[Total Population]])</f>
        <v/>
      </c>
      <c r="X500" s="314" t="str">
        <f>IF(tblPiNAnalysis[[#This Row],[Nutrition]]="", "", tblPiNAnalysis[[#This Row],[Nutrition]]/tblPiNAnalysis[[#This Row],[Total Population]])</f>
        <v/>
      </c>
      <c r="Y500" s="314" t="str">
        <f>IF(tblPiNAnalysis[[#This Row],[Protection]]="", "", tblPiNAnalysis[[#This Row],[Protection]]/tblPiNAnalysis[[#This Row],[Total Population]])</f>
        <v/>
      </c>
      <c r="Z500" s="316">
        <f>IF(tblPiNAnalysis[[#This Row],[Shelter NFI ]]="", "", tblPiNAnalysis[[#This Row],[Shelter NFI ]]/tblPiNAnalysis[[#This Row],[Total Population]])</f>
        <v>0.40152927422667384</v>
      </c>
      <c r="AA500" s="317" t="str">
        <f>IF(tblPiNAnalysis[[#This Row],[WASH]]="", "", tblPiNAnalysis[[#This Row],[WASH]]/tblPiNAnalysis[[#This Row],[Total Population]])</f>
        <v/>
      </c>
      <c r="AB500" s="318" t="str">
        <f>IFERROR(IF(tblPiNAnalysis[[#This Row],[CP]]="", "", MROUND(tblPiNAnalysis[[#This Row],[CP]]/tblPiNAnalysis[[#This Row],[Total Population]], 0.05)), "")</f>
        <v/>
      </c>
      <c r="AC500" s="314" t="str">
        <f>IFERROR(IF(tblPiNAnalysis[[#This Row],[GBV]]="", "", MROUND(tblPiNAnalysis[[#This Row],[GBV]]/tblPiNAnalysis[[#This Row],[Total Population]], 0.05)), "")</f>
        <v/>
      </c>
      <c r="AD500" s="314" t="str">
        <f>IFERROR(IF(tblPiNAnalysis[[#This Row],[Mine Action]]="", "", MROUND(tblPiNAnalysis[[#This Row],[Mine Action]]/tblPiNAnalysis[[#This Row],[Total Population]], 0.05)), "")</f>
        <v/>
      </c>
      <c r="AE500" s="314" t="str">
        <f>IFERROR(IF(tblPiNAnalysis[[#This Row],[General Protection]]="", "", MROUND(tblPiNAnalysis[[#This Row],[General Protection]]/tblPiNAnalysis[[#This Row],[Total Population]], 0.05)), "")</f>
        <v/>
      </c>
      <c r="AF500" s="319">
        <f>IFERROR(LARGE(tblPiNAnalysis[[#This Row],[Site Management ]:[General Protection]], 1), "")</f>
        <v>12708</v>
      </c>
      <c r="AG500" s="320">
        <f>IF(tblPiNAnalysis[[#This Row],[Highest PiN]]="", "",tblPiNAnalysis[[#This Row],[Highest PiN]]/ tblPiNAnalysis[[#This Row],[Total Population]])</f>
        <v>0.40152927422667384</v>
      </c>
      <c r="AH500" s="320" t="str">
        <f>IFERROR(IF(tblPiNAnalysis[[#This Row],[Highest PiN]]="", "", IF(tblPiNAnalysis[[#This Row],[Highest sector(s'') PiN %]]&gt;=flag_pin_perc, "Flagged", "")), "")</f>
        <v/>
      </c>
      <c r="AI500" s="321"/>
      <c r="AJ500" s="322"/>
      <c r="AK500" s="323">
        <f>COUNTIFS(tblPiNAnalysis[[#This Row],[Highest PiN greater than 90% of total affected population]:[Manual Flag]],"Flagged")</f>
        <v>0</v>
      </c>
      <c r="AL500" s="324" t="str">
        <f>IF(tblPiNAnalysis[[#This Row],['# Flags]]&gt;0, "Flagged", "")</f>
        <v/>
      </c>
    </row>
    <row r="501" spans="1:38" ht="23.1" customHeight="1" x14ac:dyDescent="0.2">
      <c r="A501" s="309" t="str">
        <f>_xlfn.CONCAT(IF(tblPiNAnalysis[[#This Row],[Population Group]]="", "",tblPiNAnalysis[[#This Row],[Population Group]] ), _xlfn.IFS(tblPiNAnalysis[[#This Row],[Admin 2 P-Code]]&lt;&gt;"", tblPiNAnalysis[[#This Row],[Admin 2 P-Code]], tblPiNAnalysis[[#This Row],[Admin 1 P-Code]]&lt;&gt;"", tblPiNAnalysis[[#This Row],[Admin 1 P-Code]]))</f>
        <v>Non-hosting PopulationSD16013</v>
      </c>
      <c r="B501" s="245" t="s">
        <v>179</v>
      </c>
      <c r="C501" s="246" t="s">
        <v>133</v>
      </c>
      <c r="D501" s="247" t="s">
        <v>522</v>
      </c>
      <c r="E501" s="246" t="s">
        <v>523</v>
      </c>
      <c r="F501" s="248">
        <v>123573</v>
      </c>
      <c r="G501" s="248" t="s">
        <v>568</v>
      </c>
      <c r="H501" s="310"/>
      <c r="I501" s="311"/>
      <c r="J501" s="312"/>
      <c r="K501" s="311"/>
      <c r="L501" s="311"/>
      <c r="M501" s="312"/>
      <c r="N501" s="312">
        <f>_xlfn.XLOOKUP(CONCATENATE(tblPiNAnalysis[[#This Row],[Admin 2 P-Code]],tblPiNAnalysis[[#This Row],[Population Group]]),'Overall severity &amp; PIN Analysis'!A:A,'Overall severity &amp; PIN Analysis'!P:P,0,0)</f>
        <v>2658</v>
      </c>
      <c r="O501" s="311"/>
      <c r="P501" s="312"/>
      <c r="Q501" s="312"/>
      <c r="R501" s="312"/>
      <c r="S501" s="312"/>
      <c r="T501" s="313" t="str">
        <f>IF(tblPiNAnalysis[[#This Row],[Site Management ]]="", "", tblPiNAnalysis[[#This Row],[Site Management ]]/tblPiNAnalysis[[#This Row],[Total Population]])</f>
        <v/>
      </c>
      <c r="U501" s="314" t="str">
        <f>IF(tblPiNAnalysis[[#This Row],[Education]]="", "", tblPiNAnalysis[[#This Row],[Education]]/tblPiNAnalysis[[#This Row],[Total Population]])</f>
        <v/>
      </c>
      <c r="V501" s="314" t="str">
        <f>IF(tblPiNAnalysis[[#This Row],[Food Security and Livlihoods]]="", "", tblPiNAnalysis[[#This Row],[Food Security and Livlihoods]]/tblPiNAnalysis[[#This Row],[Total Population]])</f>
        <v/>
      </c>
      <c r="W501" s="315" t="str">
        <f>IF(tblPiNAnalysis[[#This Row],[Health ]]="", "", tblPiNAnalysis[[#This Row],[Health ]]/tblPiNAnalysis[[#This Row],[Total Population]])</f>
        <v/>
      </c>
      <c r="X501" s="314" t="str">
        <f>IF(tblPiNAnalysis[[#This Row],[Nutrition]]="", "", tblPiNAnalysis[[#This Row],[Nutrition]]/tblPiNAnalysis[[#This Row],[Total Population]])</f>
        <v/>
      </c>
      <c r="Y501" s="314" t="str">
        <f>IF(tblPiNAnalysis[[#This Row],[Protection]]="", "", tblPiNAnalysis[[#This Row],[Protection]]/tblPiNAnalysis[[#This Row],[Total Population]])</f>
        <v/>
      </c>
      <c r="Z501" s="316">
        <f>IF(tblPiNAnalysis[[#This Row],[Shelter NFI ]]="", "", tblPiNAnalysis[[#This Row],[Shelter NFI ]]/tblPiNAnalysis[[#This Row],[Total Population]])</f>
        <v>2.1509553057706781E-2</v>
      </c>
      <c r="AA501" s="317" t="str">
        <f>IF(tblPiNAnalysis[[#This Row],[WASH]]="", "", tblPiNAnalysis[[#This Row],[WASH]]/tblPiNAnalysis[[#This Row],[Total Population]])</f>
        <v/>
      </c>
      <c r="AB501" s="318" t="str">
        <f>IFERROR(IF(tblPiNAnalysis[[#This Row],[CP]]="", "", MROUND(tblPiNAnalysis[[#This Row],[CP]]/tblPiNAnalysis[[#This Row],[Total Population]], 0.05)), "")</f>
        <v/>
      </c>
      <c r="AC501" s="314" t="str">
        <f>IFERROR(IF(tblPiNAnalysis[[#This Row],[GBV]]="", "", MROUND(tblPiNAnalysis[[#This Row],[GBV]]/tblPiNAnalysis[[#This Row],[Total Population]], 0.05)), "")</f>
        <v/>
      </c>
      <c r="AD501" s="314" t="str">
        <f>IFERROR(IF(tblPiNAnalysis[[#This Row],[Mine Action]]="", "", MROUND(tblPiNAnalysis[[#This Row],[Mine Action]]/tblPiNAnalysis[[#This Row],[Total Population]], 0.05)), "")</f>
        <v/>
      </c>
      <c r="AE501" s="314" t="str">
        <f>IFERROR(IF(tblPiNAnalysis[[#This Row],[General Protection]]="", "", MROUND(tblPiNAnalysis[[#This Row],[General Protection]]/tblPiNAnalysis[[#This Row],[Total Population]], 0.05)), "")</f>
        <v/>
      </c>
      <c r="AF501" s="319">
        <f>IFERROR(LARGE(tblPiNAnalysis[[#This Row],[Site Management ]:[General Protection]], 1), "")</f>
        <v>2658</v>
      </c>
      <c r="AG501" s="320">
        <f>IF(tblPiNAnalysis[[#This Row],[Highest PiN]]="", "",tblPiNAnalysis[[#This Row],[Highest PiN]]/ tblPiNAnalysis[[#This Row],[Total Population]])</f>
        <v>2.1509553057706781E-2</v>
      </c>
      <c r="AH501" s="320" t="str">
        <f>IFERROR(IF(tblPiNAnalysis[[#This Row],[Highest PiN]]="", "", IF(tblPiNAnalysis[[#This Row],[Highest sector(s'') PiN %]]&gt;=flag_pin_perc, "Flagged", "")), "")</f>
        <v/>
      </c>
      <c r="AI501" s="321"/>
      <c r="AJ501" s="322"/>
      <c r="AK501" s="323">
        <f>COUNTIFS(tblPiNAnalysis[[#This Row],[Highest PiN greater than 90% of total affected population]:[Manual Flag]],"Flagged")</f>
        <v>0</v>
      </c>
      <c r="AL501" s="324" t="str">
        <f>IF(tblPiNAnalysis[[#This Row],['# Flags]]&gt;0, "Flagged", "")</f>
        <v/>
      </c>
    </row>
    <row r="502" spans="1:38" ht="23.1" hidden="1" customHeight="1" x14ac:dyDescent="0.2">
      <c r="A502" s="309" t="str">
        <f>_xlfn.CONCAT(IF(tblPiNAnalysis[[#This Row],[Population Group]]="", "",tblPiNAnalysis[[#This Row],[Population Group]] ), _xlfn.IFS(tblPiNAnalysis[[#This Row],[Admin 2 P-Code]]&lt;&gt;"", tblPiNAnalysis[[#This Row],[Admin 2 P-Code]], tblPiNAnalysis[[#This Row],[Admin 1 P-Code]]&lt;&gt;"", tblPiNAnalysis[[#This Row],[Admin 1 P-Code]]))</f>
        <v>Host CommunitySD16014</v>
      </c>
      <c r="B502" s="245" t="s">
        <v>179</v>
      </c>
      <c r="C502" s="246" t="s">
        <v>133</v>
      </c>
      <c r="D502" s="247" t="s">
        <v>524</v>
      </c>
      <c r="E502" s="246" t="s">
        <v>525</v>
      </c>
      <c r="F502" s="248">
        <v>19265</v>
      </c>
      <c r="G502" s="248" t="s">
        <v>87</v>
      </c>
      <c r="H502" s="310"/>
      <c r="I502" s="311"/>
      <c r="J502" s="312"/>
      <c r="K502" s="311"/>
      <c r="L502" s="311"/>
      <c r="M502" s="312"/>
      <c r="N502" s="312">
        <f>_xlfn.XLOOKUP(CONCATENATE(tblPiNAnalysis[[#This Row],[Admin 2 P-Code]],tblPiNAnalysis[[#This Row],[Population Group]]),'Overall severity &amp; PIN Analysis'!A:A,'Overall severity &amp; PIN Analysis'!P:P,0,0)</f>
        <v>9616</v>
      </c>
      <c r="O502" s="311"/>
      <c r="P502" s="312"/>
      <c r="Q502" s="312"/>
      <c r="R502" s="312"/>
      <c r="S502" s="312"/>
      <c r="T502" s="313" t="str">
        <f>IF(tblPiNAnalysis[[#This Row],[Site Management ]]="", "", tblPiNAnalysis[[#This Row],[Site Management ]]/tblPiNAnalysis[[#This Row],[Total Population]])</f>
        <v/>
      </c>
      <c r="U502" s="314" t="str">
        <f>IF(tblPiNAnalysis[[#This Row],[Education]]="", "", tblPiNAnalysis[[#This Row],[Education]]/tblPiNAnalysis[[#This Row],[Total Population]])</f>
        <v/>
      </c>
      <c r="V502" s="314" t="str">
        <f>IF(tblPiNAnalysis[[#This Row],[Food Security and Livlihoods]]="", "", tblPiNAnalysis[[#This Row],[Food Security and Livlihoods]]/tblPiNAnalysis[[#This Row],[Total Population]])</f>
        <v/>
      </c>
      <c r="W502" s="315" t="str">
        <f>IF(tblPiNAnalysis[[#This Row],[Health ]]="", "", tblPiNAnalysis[[#This Row],[Health ]]/tblPiNAnalysis[[#This Row],[Total Population]])</f>
        <v/>
      </c>
      <c r="X502" s="314" t="str">
        <f>IF(tblPiNAnalysis[[#This Row],[Nutrition]]="", "", tblPiNAnalysis[[#This Row],[Nutrition]]/tblPiNAnalysis[[#This Row],[Total Population]])</f>
        <v/>
      </c>
      <c r="Y502" s="314" t="str">
        <f>IF(tblPiNAnalysis[[#This Row],[Protection]]="", "", tblPiNAnalysis[[#This Row],[Protection]]/tblPiNAnalysis[[#This Row],[Total Population]])</f>
        <v/>
      </c>
      <c r="Z502" s="316">
        <f>IF(tblPiNAnalysis[[#This Row],[Shelter NFI ]]="", "", tblPiNAnalysis[[#This Row],[Shelter NFI ]]/tblPiNAnalysis[[#This Row],[Total Population]])</f>
        <v>0.49914352452634309</v>
      </c>
      <c r="AA502" s="317" t="str">
        <f>IF(tblPiNAnalysis[[#This Row],[WASH]]="", "", tblPiNAnalysis[[#This Row],[WASH]]/tblPiNAnalysis[[#This Row],[Total Population]])</f>
        <v/>
      </c>
      <c r="AB502" s="318" t="str">
        <f>IFERROR(IF(tblPiNAnalysis[[#This Row],[CP]]="", "", MROUND(tblPiNAnalysis[[#This Row],[CP]]/tblPiNAnalysis[[#This Row],[Total Population]], 0.05)), "")</f>
        <v/>
      </c>
      <c r="AC502" s="314" t="str">
        <f>IFERROR(IF(tblPiNAnalysis[[#This Row],[GBV]]="", "", MROUND(tblPiNAnalysis[[#This Row],[GBV]]/tblPiNAnalysis[[#This Row],[Total Population]], 0.05)), "")</f>
        <v/>
      </c>
      <c r="AD502" s="314" t="str">
        <f>IFERROR(IF(tblPiNAnalysis[[#This Row],[Mine Action]]="", "", MROUND(tblPiNAnalysis[[#This Row],[Mine Action]]/tblPiNAnalysis[[#This Row],[Total Population]], 0.05)), "")</f>
        <v/>
      </c>
      <c r="AE502" s="314" t="str">
        <f>IFERROR(IF(tblPiNAnalysis[[#This Row],[General Protection]]="", "", MROUND(tblPiNAnalysis[[#This Row],[General Protection]]/tblPiNAnalysis[[#This Row],[Total Population]], 0.05)), "")</f>
        <v/>
      </c>
      <c r="AF502" s="319">
        <f>IFERROR(LARGE(tblPiNAnalysis[[#This Row],[Site Management ]:[General Protection]], 1), "")</f>
        <v>9616</v>
      </c>
      <c r="AG502" s="320">
        <f>IF(tblPiNAnalysis[[#This Row],[Highest PiN]]="", "",tblPiNAnalysis[[#This Row],[Highest PiN]]/ tblPiNAnalysis[[#This Row],[Total Population]])</f>
        <v>0.49914352452634309</v>
      </c>
      <c r="AH502" s="320" t="str">
        <f>IFERROR(IF(tblPiNAnalysis[[#This Row],[Highest PiN]]="", "", IF(tblPiNAnalysis[[#This Row],[Highest sector(s'') PiN %]]&gt;=flag_pin_perc, "Flagged", "")), "")</f>
        <v/>
      </c>
      <c r="AI502" s="321"/>
      <c r="AJ502" s="322"/>
      <c r="AK502" s="323">
        <f>COUNTIFS(tblPiNAnalysis[[#This Row],[Highest PiN greater than 90% of total affected population]:[Manual Flag]],"Flagged")</f>
        <v>0</v>
      </c>
      <c r="AL502" s="324" t="str">
        <f>IF(tblPiNAnalysis[[#This Row],['# Flags]]&gt;0, "Flagged", "")</f>
        <v/>
      </c>
    </row>
    <row r="503" spans="1:38" ht="23.1" hidden="1" customHeight="1" x14ac:dyDescent="0.2">
      <c r="A503" s="309" t="str">
        <f>_xlfn.CONCAT(IF(tblPiNAnalysis[[#This Row],[Population Group]]="", "",tblPiNAnalysis[[#This Row],[Population Group]] ), _xlfn.IFS(tblPiNAnalysis[[#This Row],[Admin 2 P-Code]]&lt;&gt;"", tblPiNAnalysis[[#This Row],[Admin 2 P-Code]], tblPiNAnalysis[[#This Row],[Admin 1 P-Code]]&lt;&gt;"", tblPiNAnalysis[[#This Row],[Admin 1 P-Code]]))</f>
        <v>IDPsSD16014</v>
      </c>
      <c r="B503" s="245" t="s">
        <v>179</v>
      </c>
      <c r="C503" s="246" t="s">
        <v>133</v>
      </c>
      <c r="D503" s="247" t="s">
        <v>524</v>
      </c>
      <c r="E503" s="246" t="s">
        <v>525</v>
      </c>
      <c r="F503" s="248">
        <v>17265</v>
      </c>
      <c r="G503" s="248" t="s">
        <v>88</v>
      </c>
      <c r="H503" s="310"/>
      <c r="I503" s="311"/>
      <c r="J503" s="312"/>
      <c r="K503" s="311"/>
      <c r="L503" s="311"/>
      <c r="M503" s="312"/>
      <c r="N503" s="312">
        <f>_xlfn.XLOOKUP(CONCATENATE(tblPiNAnalysis[[#This Row],[Admin 2 P-Code]],tblPiNAnalysis[[#This Row],[Population Group]]),'Overall severity &amp; PIN Analysis'!A:A,'Overall severity &amp; PIN Analysis'!P:P,0,0)</f>
        <v>8617</v>
      </c>
      <c r="O503" s="311"/>
      <c r="P503" s="312"/>
      <c r="Q503" s="312"/>
      <c r="R503" s="312"/>
      <c r="S503" s="312"/>
      <c r="T503" s="313" t="str">
        <f>IF(tblPiNAnalysis[[#This Row],[Site Management ]]="", "", tblPiNAnalysis[[#This Row],[Site Management ]]/tblPiNAnalysis[[#This Row],[Total Population]])</f>
        <v/>
      </c>
      <c r="U503" s="314" t="str">
        <f>IF(tblPiNAnalysis[[#This Row],[Education]]="", "", tblPiNAnalysis[[#This Row],[Education]]/tblPiNAnalysis[[#This Row],[Total Population]])</f>
        <v/>
      </c>
      <c r="V503" s="314" t="str">
        <f>IF(tblPiNAnalysis[[#This Row],[Food Security and Livlihoods]]="", "", tblPiNAnalysis[[#This Row],[Food Security and Livlihoods]]/tblPiNAnalysis[[#This Row],[Total Population]])</f>
        <v/>
      </c>
      <c r="W503" s="315" t="str">
        <f>IF(tblPiNAnalysis[[#This Row],[Health ]]="", "", tblPiNAnalysis[[#This Row],[Health ]]/tblPiNAnalysis[[#This Row],[Total Population]])</f>
        <v/>
      </c>
      <c r="X503" s="314" t="str">
        <f>IF(tblPiNAnalysis[[#This Row],[Nutrition]]="", "", tblPiNAnalysis[[#This Row],[Nutrition]]/tblPiNAnalysis[[#This Row],[Total Population]])</f>
        <v/>
      </c>
      <c r="Y503" s="314" t="str">
        <f>IF(tblPiNAnalysis[[#This Row],[Protection]]="", "", tblPiNAnalysis[[#This Row],[Protection]]/tblPiNAnalysis[[#This Row],[Total Population]])</f>
        <v/>
      </c>
      <c r="Z503" s="316">
        <f>IF(tblPiNAnalysis[[#This Row],[Shelter NFI ]]="", "", tblPiNAnalysis[[#This Row],[Shelter NFI ]]/tblPiNAnalysis[[#This Row],[Total Population]])</f>
        <v>0.49910222994497538</v>
      </c>
      <c r="AA503" s="317" t="str">
        <f>IF(tblPiNAnalysis[[#This Row],[WASH]]="", "", tblPiNAnalysis[[#This Row],[WASH]]/tblPiNAnalysis[[#This Row],[Total Population]])</f>
        <v/>
      </c>
      <c r="AB503" s="318" t="str">
        <f>IFERROR(IF(tblPiNAnalysis[[#This Row],[CP]]="", "", MROUND(tblPiNAnalysis[[#This Row],[CP]]/tblPiNAnalysis[[#This Row],[Total Population]], 0.05)), "")</f>
        <v/>
      </c>
      <c r="AC503" s="314" t="str">
        <f>IFERROR(IF(tblPiNAnalysis[[#This Row],[GBV]]="", "", MROUND(tblPiNAnalysis[[#This Row],[GBV]]/tblPiNAnalysis[[#This Row],[Total Population]], 0.05)), "")</f>
        <v/>
      </c>
      <c r="AD503" s="314" t="str">
        <f>IFERROR(IF(tblPiNAnalysis[[#This Row],[Mine Action]]="", "", MROUND(tblPiNAnalysis[[#This Row],[Mine Action]]/tblPiNAnalysis[[#This Row],[Total Population]], 0.05)), "")</f>
        <v/>
      </c>
      <c r="AE503" s="314" t="str">
        <f>IFERROR(IF(tblPiNAnalysis[[#This Row],[General Protection]]="", "", MROUND(tblPiNAnalysis[[#This Row],[General Protection]]/tblPiNAnalysis[[#This Row],[Total Population]], 0.05)), "")</f>
        <v/>
      </c>
      <c r="AF503" s="319">
        <f>IFERROR(LARGE(tblPiNAnalysis[[#This Row],[Site Management ]:[General Protection]], 1), "")</f>
        <v>8617</v>
      </c>
      <c r="AG503" s="320">
        <f>IF(tblPiNAnalysis[[#This Row],[Highest PiN]]="", "",tblPiNAnalysis[[#This Row],[Highest PiN]]/ tblPiNAnalysis[[#This Row],[Total Population]])</f>
        <v>0.49910222994497538</v>
      </c>
      <c r="AH503" s="320" t="str">
        <f>IFERROR(IF(tblPiNAnalysis[[#This Row],[Highest PiN]]="", "", IF(tblPiNAnalysis[[#This Row],[Highest sector(s'') PiN %]]&gt;=flag_pin_perc, "Flagged", "")), "")</f>
        <v/>
      </c>
      <c r="AI503" s="321"/>
      <c r="AJ503" s="322"/>
      <c r="AK503" s="323">
        <f>COUNTIFS(tblPiNAnalysis[[#This Row],[Highest PiN greater than 90% of total affected population]:[Manual Flag]],"Flagged")</f>
        <v>0</v>
      </c>
      <c r="AL503" s="324" t="str">
        <f>IF(tblPiNAnalysis[[#This Row],['# Flags]]&gt;0, "Flagged", "")</f>
        <v/>
      </c>
    </row>
    <row r="504" spans="1:38" ht="23.1" customHeight="1" x14ac:dyDescent="0.2">
      <c r="A504" s="309" t="str">
        <f>_xlfn.CONCAT(IF(tblPiNAnalysis[[#This Row],[Population Group]]="", "",tblPiNAnalysis[[#This Row],[Population Group]] ), _xlfn.IFS(tblPiNAnalysis[[#This Row],[Admin 2 P-Code]]&lt;&gt;"", tblPiNAnalysis[[#This Row],[Admin 2 P-Code]], tblPiNAnalysis[[#This Row],[Admin 1 P-Code]]&lt;&gt;"", tblPiNAnalysis[[#This Row],[Admin 1 P-Code]]))</f>
        <v>Non-hosting PopulationSD16014</v>
      </c>
      <c r="B504" s="245" t="s">
        <v>179</v>
      </c>
      <c r="C504" s="246" t="s">
        <v>133</v>
      </c>
      <c r="D504" s="247" t="s">
        <v>524</v>
      </c>
      <c r="E504" s="246" t="s">
        <v>525</v>
      </c>
      <c r="F504" s="248">
        <v>29945</v>
      </c>
      <c r="G504" s="248" t="s">
        <v>568</v>
      </c>
      <c r="H504" s="310"/>
      <c r="I504" s="311"/>
      <c r="J504" s="312"/>
      <c r="K504" s="311"/>
      <c r="L504" s="311"/>
      <c r="M504" s="312"/>
      <c r="N504" s="312">
        <f>_xlfn.XLOOKUP(CONCATENATE(tblPiNAnalysis[[#This Row],[Admin 2 P-Code]],tblPiNAnalysis[[#This Row],[Population Group]]),'Overall severity &amp; PIN Analysis'!A:A,'Overall severity &amp; PIN Analysis'!P:P,0,0)</f>
        <v>525</v>
      </c>
      <c r="O504" s="311"/>
      <c r="P504" s="312"/>
      <c r="Q504" s="312"/>
      <c r="R504" s="312"/>
      <c r="S504" s="312"/>
      <c r="T504" s="313" t="str">
        <f>IF(tblPiNAnalysis[[#This Row],[Site Management ]]="", "", tblPiNAnalysis[[#This Row],[Site Management ]]/tblPiNAnalysis[[#This Row],[Total Population]])</f>
        <v/>
      </c>
      <c r="U504" s="314" t="str">
        <f>IF(tblPiNAnalysis[[#This Row],[Education]]="", "", tblPiNAnalysis[[#This Row],[Education]]/tblPiNAnalysis[[#This Row],[Total Population]])</f>
        <v/>
      </c>
      <c r="V504" s="314" t="str">
        <f>IF(tblPiNAnalysis[[#This Row],[Food Security and Livlihoods]]="", "", tblPiNAnalysis[[#This Row],[Food Security and Livlihoods]]/tblPiNAnalysis[[#This Row],[Total Population]])</f>
        <v/>
      </c>
      <c r="W504" s="315" t="str">
        <f>IF(tblPiNAnalysis[[#This Row],[Health ]]="", "", tblPiNAnalysis[[#This Row],[Health ]]/tblPiNAnalysis[[#This Row],[Total Population]])</f>
        <v/>
      </c>
      <c r="X504" s="314" t="str">
        <f>IF(tblPiNAnalysis[[#This Row],[Nutrition]]="", "", tblPiNAnalysis[[#This Row],[Nutrition]]/tblPiNAnalysis[[#This Row],[Total Population]])</f>
        <v/>
      </c>
      <c r="Y504" s="314" t="str">
        <f>IF(tblPiNAnalysis[[#This Row],[Protection]]="", "", tblPiNAnalysis[[#This Row],[Protection]]/tblPiNAnalysis[[#This Row],[Total Population]])</f>
        <v/>
      </c>
      <c r="Z504" s="316">
        <f>IF(tblPiNAnalysis[[#This Row],[Shelter NFI ]]="", "", tblPiNAnalysis[[#This Row],[Shelter NFI ]]/tblPiNAnalysis[[#This Row],[Total Population]])</f>
        <v>1.7532142260811488E-2</v>
      </c>
      <c r="AA504" s="317" t="str">
        <f>IF(tblPiNAnalysis[[#This Row],[WASH]]="", "", tblPiNAnalysis[[#This Row],[WASH]]/tblPiNAnalysis[[#This Row],[Total Population]])</f>
        <v/>
      </c>
      <c r="AB504" s="318" t="str">
        <f>IFERROR(IF(tblPiNAnalysis[[#This Row],[CP]]="", "", MROUND(tblPiNAnalysis[[#This Row],[CP]]/tblPiNAnalysis[[#This Row],[Total Population]], 0.05)), "")</f>
        <v/>
      </c>
      <c r="AC504" s="314" t="str">
        <f>IFERROR(IF(tblPiNAnalysis[[#This Row],[GBV]]="", "", MROUND(tblPiNAnalysis[[#This Row],[GBV]]/tblPiNAnalysis[[#This Row],[Total Population]], 0.05)), "")</f>
        <v/>
      </c>
      <c r="AD504" s="314" t="str">
        <f>IFERROR(IF(tblPiNAnalysis[[#This Row],[Mine Action]]="", "", MROUND(tblPiNAnalysis[[#This Row],[Mine Action]]/tblPiNAnalysis[[#This Row],[Total Population]], 0.05)), "")</f>
        <v/>
      </c>
      <c r="AE504" s="314" t="str">
        <f>IFERROR(IF(tblPiNAnalysis[[#This Row],[General Protection]]="", "", MROUND(tblPiNAnalysis[[#This Row],[General Protection]]/tblPiNAnalysis[[#This Row],[Total Population]], 0.05)), "")</f>
        <v/>
      </c>
      <c r="AF504" s="319">
        <f>IFERROR(LARGE(tblPiNAnalysis[[#This Row],[Site Management ]:[General Protection]], 1), "")</f>
        <v>525</v>
      </c>
      <c r="AG504" s="320">
        <f>IF(tblPiNAnalysis[[#This Row],[Highest PiN]]="", "",tblPiNAnalysis[[#This Row],[Highest PiN]]/ tblPiNAnalysis[[#This Row],[Total Population]])</f>
        <v>1.7532142260811488E-2</v>
      </c>
      <c r="AH504" s="320" t="str">
        <f>IFERROR(IF(tblPiNAnalysis[[#This Row],[Highest PiN]]="", "", IF(tblPiNAnalysis[[#This Row],[Highest sector(s'') PiN %]]&gt;=flag_pin_perc, "Flagged", "")), "")</f>
        <v/>
      </c>
      <c r="AI504" s="321"/>
      <c r="AJ504" s="322"/>
      <c r="AK504" s="323">
        <f>COUNTIFS(tblPiNAnalysis[[#This Row],[Highest PiN greater than 90% of total affected population]:[Manual Flag]],"Flagged")</f>
        <v>0</v>
      </c>
      <c r="AL504" s="324" t="str">
        <f>IF(tblPiNAnalysis[[#This Row],['# Flags]]&gt;0, "Flagged", "")</f>
        <v/>
      </c>
    </row>
    <row r="505" spans="1:38" ht="23.1" hidden="1" customHeight="1" x14ac:dyDescent="0.2">
      <c r="A505" s="309" t="str">
        <f>_xlfn.CONCAT(IF(tblPiNAnalysis[[#This Row],[Population Group]]="", "",tblPiNAnalysis[[#This Row],[Population Group]] ), _xlfn.IFS(tblPiNAnalysis[[#This Row],[Admin 2 P-Code]]&lt;&gt;"", tblPiNAnalysis[[#This Row],[Admin 2 P-Code]], tblPiNAnalysis[[#This Row],[Admin 1 P-Code]]&lt;&gt;"", tblPiNAnalysis[[#This Row],[Admin 1 P-Code]]))</f>
        <v>Host CommunitySD17014</v>
      </c>
      <c r="B505" s="245" t="s">
        <v>173</v>
      </c>
      <c r="C505" s="246" t="s">
        <v>134</v>
      </c>
      <c r="D505" s="247" t="s">
        <v>526</v>
      </c>
      <c r="E505" s="246" t="s">
        <v>527</v>
      </c>
      <c r="F505" s="248">
        <v>36548</v>
      </c>
      <c r="G505" s="248" t="s">
        <v>87</v>
      </c>
      <c r="H505" s="310"/>
      <c r="I505" s="311"/>
      <c r="J505" s="312"/>
      <c r="K505" s="311"/>
      <c r="L505" s="311"/>
      <c r="M505" s="312"/>
      <c r="N505" s="312">
        <f>_xlfn.XLOOKUP(CONCATENATE(tblPiNAnalysis[[#This Row],[Admin 2 P-Code]],tblPiNAnalysis[[#This Row],[Population Group]]),'Overall severity &amp; PIN Analysis'!A:A,'Overall severity &amp; PIN Analysis'!P:P,0,0)</f>
        <v>12026</v>
      </c>
      <c r="O505" s="311"/>
      <c r="P505" s="312"/>
      <c r="Q505" s="312"/>
      <c r="R505" s="312"/>
      <c r="S505" s="312"/>
      <c r="T505" s="313" t="str">
        <f>IF(tblPiNAnalysis[[#This Row],[Site Management ]]="", "", tblPiNAnalysis[[#This Row],[Site Management ]]/tblPiNAnalysis[[#This Row],[Total Population]])</f>
        <v/>
      </c>
      <c r="U505" s="314" t="str">
        <f>IF(tblPiNAnalysis[[#This Row],[Education]]="", "", tblPiNAnalysis[[#This Row],[Education]]/tblPiNAnalysis[[#This Row],[Total Population]])</f>
        <v/>
      </c>
      <c r="V505" s="314" t="str">
        <f>IF(tblPiNAnalysis[[#This Row],[Food Security and Livlihoods]]="", "", tblPiNAnalysis[[#This Row],[Food Security and Livlihoods]]/tblPiNAnalysis[[#This Row],[Total Population]])</f>
        <v/>
      </c>
      <c r="W505" s="315" t="str">
        <f>IF(tblPiNAnalysis[[#This Row],[Health ]]="", "", tblPiNAnalysis[[#This Row],[Health ]]/tblPiNAnalysis[[#This Row],[Total Population]])</f>
        <v/>
      </c>
      <c r="X505" s="314" t="str">
        <f>IF(tblPiNAnalysis[[#This Row],[Nutrition]]="", "", tblPiNAnalysis[[#This Row],[Nutrition]]/tblPiNAnalysis[[#This Row],[Total Population]])</f>
        <v/>
      </c>
      <c r="Y505" s="314" t="str">
        <f>IF(tblPiNAnalysis[[#This Row],[Protection]]="", "", tblPiNAnalysis[[#This Row],[Protection]]/tblPiNAnalysis[[#This Row],[Total Population]])</f>
        <v/>
      </c>
      <c r="Z505" s="316">
        <f>IF(tblPiNAnalysis[[#This Row],[Shelter NFI ]]="", "", tblPiNAnalysis[[#This Row],[Shelter NFI ]]/tblPiNAnalysis[[#This Row],[Total Population]])</f>
        <v>0.32904673306336873</v>
      </c>
      <c r="AA505" s="317" t="str">
        <f>IF(tblPiNAnalysis[[#This Row],[WASH]]="", "", tblPiNAnalysis[[#This Row],[WASH]]/tblPiNAnalysis[[#This Row],[Total Population]])</f>
        <v/>
      </c>
      <c r="AB505" s="318" t="str">
        <f>IFERROR(IF(tblPiNAnalysis[[#This Row],[CP]]="", "", MROUND(tblPiNAnalysis[[#This Row],[CP]]/tblPiNAnalysis[[#This Row],[Total Population]], 0.05)), "")</f>
        <v/>
      </c>
      <c r="AC505" s="314" t="str">
        <f>IFERROR(IF(tblPiNAnalysis[[#This Row],[GBV]]="", "", MROUND(tblPiNAnalysis[[#This Row],[GBV]]/tblPiNAnalysis[[#This Row],[Total Population]], 0.05)), "")</f>
        <v/>
      </c>
      <c r="AD505" s="314" t="str">
        <f>IFERROR(IF(tblPiNAnalysis[[#This Row],[Mine Action]]="", "", MROUND(tblPiNAnalysis[[#This Row],[Mine Action]]/tblPiNAnalysis[[#This Row],[Total Population]], 0.05)), "")</f>
        <v/>
      </c>
      <c r="AE505" s="314" t="str">
        <f>IFERROR(IF(tblPiNAnalysis[[#This Row],[General Protection]]="", "", MROUND(tblPiNAnalysis[[#This Row],[General Protection]]/tblPiNAnalysis[[#This Row],[Total Population]], 0.05)), "")</f>
        <v/>
      </c>
      <c r="AF505" s="319">
        <f>IFERROR(LARGE(tblPiNAnalysis[[#This Row],[Site Management ]:[General Protection]], 1), "")</f>
        <v>12026</v>
      </c>
      <c r="AG505" s="320">
        <f>IF(tblPiNAnalysis[[#This Row],[Highest PiN]]="", "",tblPiNAnalysis[[#This Row],[Highest PiN]]/ tblPiNAnalysis[[#This Row],[Total Population]])</f>
        <v>0.32904673306336873</v>
      </c>
      <c r="AH505" s="320" t="str">
        <f>IFERROR(IF(tblPiNAnalysis[[#This Row],[Highest PiN]]="", "", IF(tblPiNAnalysis[[#This Row],[Highest sector(s'') PiN %]]&gt;=flag_pin_perc, "Flagged", "")), "")</f>
        <v/>
      </c>
      <c r="AI505" s="321"/>
      <c r="AJ505" s="322"/>
      <c r="AK505" s="323">
        <f>COUNTIFS(tblPiNAnalysis[[#This Row],[Highest PiN greater than 90% of total affected population]:[Manual Flag]],"Flagged")</f>
        <v>0</v>
      </c>
      <c r="AL505" s="324" t="str">
        <f>IF(tblPiNAnalysis[[#This Row],['# Flags]]&gt;0, "Flagged", "")</f>
        <v/>
      </c>
    </row>
    <row r="506" spans="1:38" ht="23.1" hidden="1" customHeight="1" x14ac:dyDescent="0.2">
      <c r="A506" s="309" t="str">
        <f>_xlfn.CONCAT(IF(tblPiNAnalysis[[#This Row],[Population Group]]="", "",tblPiNAnalysis[[#This Row],[Population Group]] ), _xlfn.IFS(tblPiNAnalysis[[#This Row],[Admin 2 P-Code]]&lt;&gt;"", tblPiNAnalysis[[#This Row],[Admin 2 P-Code]], tblPiNAnalysis[[#This Row],[Admin 1 P-Code]]&lt;&gt;"", tblPiNAnalysis[[#This Row],[Admin 1 P-Code]]))</f>
        <v>IDPsSD17014</v>
      </c>
      <c r="B506" s="245" t="s">
        <v>173</v>
      </c>
      <c r="C506" s="246" t="s">
        <v>134</v>
      </c>
      <c r="D506" s="247" t="s">
        <v>526</v>
      </c>
      <c r="E506" s="246" t="s">
        <v>527</v>
      </c>
      <c r="F506" s="248">
        <v>36214</v>
      </c>
      <c r="G506" s="248" t="s">
        <v>88</v>
      </c>
      <c r="H506" s="310"/>
      <c r="I506" s="311"/>
      <c r="J506" s="312"/>
      <c r="K506" s="311"/>
      <c r="L506" s="311"/>
      <c r="M506" s="312"/>
      <c r="N506" s="312">
        <f>_xlfn.XLOOKUP(CONCATENATE(tblPiNAnalysis[[#This Row],[Admin 2 P-Code]],tblPiNAnalysis[[#This Row],[Population Group]]),'Overall severity &amp; PIN Analysis'!A:A,'Overall severity &amp; PIN Analysis'!P:P,0,0)</f>
        <v>11917</v>
      </c>
      <c r="O506" s="311"/>
      <c r="P506" s="312"/>
      <c r="Q506" s="312"/>
      <c r="R506" s="312"/>
      <c r="S506" s="312"/>
      <c r="T506" s="313" t="str">
        <f>IF(tblPiNAnalysis[[#This Row],[Site Management ]]="", "", tblPiNAnalysis[[#This Row],[Site Management ]]/tblPiNAnalysis[[#This Row],[Total Population]])</f>
        <v/>
      </c>
      <c r="U506" s="314" t="str">
        <f>IF(tblPiNAnalysis[[#This Row],[Education]]="", "", tblPiNAnalysis[[#This Row],[Education]]/tblPiNAnalysis[[#This Row],[Total Population]])</f>
        <v/>
      </c>
      <c r="V506" s="314" t="str">
        <f>IF(tblPiNAnalysis[[#This Row],[Food Security and Livlihoods]]="", "", tblPiNAnalysis[[#This Row],[Food Security and Livlihoods]]/tblPiNAnalysis[[#This Row],[Total Population]])</f>
        <v/>
      </c>
      <c r="W506" s="315" t="str">
        <f>IF(tblPiNAnalysis[[#This Row],[Health ]]="", "", tblPiNAnalysis[[#This Row],[Health ]]/tblPiNAnalysis[[#This Row],[Total Population]])</f>
        <v/>
      </c>
      <c r="X506" s="314" t="str">
        <f>IF(tblPiNAnalysis[[#This Row],[Nutrition]]="", "", tblPiNAnalysis[[#This Row],[Nutrition]]/tblPiNAnalysis[[#This Row],[Total Population]])</f>
        <v/>
      </c>
      <c r="Y506" s="314" t="str">
        <f>IF(tblPiNAnalysis[[#This Row],[Protection]]="", "", tblPiNAnalysis[[#This Row],[Protection]]/tblPiNAnalysis[[#This Row],[Total Population]])</f>
        <v/>
      </c>
      <c r="Z506" s="316">
        <f>IF(tblPiNAnalysis[[#This Row],[Shelter NFI ]]="", "", tblPiNAnalysis[[#This Row],[Shelter NFI ]]/tblPiNAnalysis[[#This Row],[Total Population]])</f>
        <v>0.32907162975644777</v>
      </c>
      <c r="AA506" s="317" t="str">
        <f>IF(tblPiNAnalysis[[#This Row],[WASH]]="", "", tblPiNAnalysis[[#This Row],[WASH]]/tblPiNAnalysis[[#This Row],[Total Population]])</f>
        <v/>
      </c>
      <c r="AB506" s="318" t="str">
        <f>IFERROR(IF(tblPiNAnalysis[[#This Row],[CP]]="", "", MROUND(tblPiNAnalysis[[#This Row],[CP]]/tblPiNAnalysis[[#This Row],[Total Population]], 0.05)), "")</f>
        <v/>
      </c>
      <c r="AC506" s="314" t="str">
        <f>IFERROR(IF(tblPiNAnalysis[[#This Row],[GBV]]="", "", MROUND(tblPiNAnalysis[[#This Row],[GBV]]/tblPiNAnalysis[[#This Row],[Total Population]], 0.05)), "")</f>
        <v/>
      </c>
      <c r="AD506" s="314" t="str">
        <f>IFERROR(IF(tblPiNAnalysis[[#This Row],[Mine Action]]="", "", MROUND(tblPiNAnalysis[[#This Row],[Mine Action]]/tblPiNAnalysis[[#This Row],[Total Population]], 0.05)), "")</f>
        <v/>
      </c>
      <c r="AE506" s="314" t="str">
        <f>IFERROR(IF(tblPiNAnalysis[[#This Row],[General Protection]]="", "", MROUND(tblPiNAnalysis[[#This Row],[General Protection]]/tblPiNAnalysis[[#This Row],[Total Population]], 0.05)), "")</f>
        <v/>
      </c>
      <c r="AF506" s="319">
        <f>IFERROR(LARGE(tblPiNAnalysis[[#This Row],[Site Management ]:[General Protection]], 1), "")</f>
        <v>11917</v>
      </c>
      <c r="AG506" s="320">
        <f>IF(tblPiNAnalysis[[#This Row],[Highest PiN]]="", "",tblPiNAnalysis[[#This Row],[Highest PiN]]/ tblPiNAnalysis[[#This Row],[Total Population]])</f>
        <v>0.32907162975644777</v>
      </c>
      <c r="AH506" s="320" t="str">
        <f>IFERROR(IF(tblPiNAnalysis[[#This Row],[Highest PiN]]="", "", IF(tblPiNAnalysis[[#This Row],[Highest sector(s'') PiN %]]&gt;=flag_pin_perc, "Flagged", "")), "")</f>
        <v/>
      </c>
      <c r="AI506" s="321"/>
      <c r="AJ506" s="322"/>
      <c r="AK506" s="323">
        <f>COUNTIFS(tblPiNAnalysis[[#This Row],[Highest PiN greater than 90% of total affected population]:[Manual Flag]],"Flagged")</f>
        <v>0</v>
      </c>
      <c r="AL506" s="324" t="str">
        <f>IF(tblPiNAnalysis[[#This Row],['# Flags]]&gt;0, "Flagged", "")</f>
        <v/>
      </c>
    </row>
    <row r="507" spans="1:38" ht="23.1" customHeight="1" x14ac:dyDescent="0.2">
      <c r="A507" s="309" t="str">
        <f>_xlfn.CONCAT(IF(tblPiNAnalysis[[#This Row],[Population Group]]="", "",tblPiNAnalysis[[#This Row],[Population Group]] ), _xlfn.IFS(tblPiNAnalysis[[#This Row],[Admin 2 P-Code]]&lt;&gt;"", tblPiNAnalysis[[#This Row],[Admin 2 P-Code]], tblPiNAnalysis[[#This Row],[Admin 1 P-Code]]&lt;&gt;"", tblPiNAnalysis[[#This Row],[Admin 1 P-Code]]))</f>
        <v>Non-hosting PopulationSD17014</v>
      </c>
      <c r="B507" s="245" t="s">
        <v>173</v>
      </c>
      <c r="C507" s="246" t="s">
        <v>134</v>
      </c>
      <c r="D507" s="247" t="s">
        <v>526</v>
      </c>
      <c r="E507" s="246" t="s">
        <v>527</v>
      </c>
      <c r="F507" s="248">
        <v>11681</v>
      </c>
      <c r="G507" s="248" t="s">
        <v>568</v>
      </c>
      <c r="H507" s="310"/>
      <c r="I507" s="311"/>
      <c r="J507" s="312"/>
      <c r="K507" s="311"/>
      <c r="L507" s="311"/>
      <c r="M507" s="312"/>
      <c r="N507" s="312">
        <f>_xlfn.XLOOKUP(CONCATENATE(tblPiNAnalysis[[#This Row],[Admin 2 P-Code]],tblPiNAnalysis[[#This Row],[Population Group]]),'Overall severity &amp; PIN Analysis'!A:A,'Overall severity &amp; PIN Analysis'!P:P,0,0)</f>
        <v>1788</v>
      </c>
      <c r="O507" s="311"/>
      <c r="P507" s="312"/>
      <c r="Q507" s="312"/>
      <c r="R507" s="312"/>
      <c r="S507" s="312"/>
      <c r="T507" s="313" t="str">
        <f>IF(tblPiNAnalysis[[#This Row],[Site Management ]]="", "", tblPiNAnalysis[[#This Row],[Site Management ]]/tblPiNAnalysis[[#This Row],[Total Population]])</f>
        <v/>
      </c>
      <c r="U507" s="314" t="str">
        <f>IF(tblPiNAnalysis[[#This Row],[Education]]="", "", tblPiNAnalysis[[#This Row],[Education]]/tblPiNAnalysis[[#This Row],[Total Population]])</f>
        <v/>
      </c>
      <c r="V507" s="314" t="str">
        <f>IF(tblPiNAnalysis[[#This Row],[Food Security and Livlihoods]]="", "", tblPiNAnalysis[[#This Row],[Food Security and Livlihoods]]/tblPiNAnalysis[[#This Row],[Total Population]])</f>
        <v/>
      </c>
      <c r="W507" s="315" t="str">
        <f>IF(tblPiNAnalysis[[#This Row],[Health ]]="", "", tblPiNAnalysis[[#This Row],[Health ]]/tblPiNAnalysis[[#This Row],[Total Population]])</f>
        <v/>
      </c>
      <c r="X507" s="314" t="str">
        <f>IF(tblPiNAnalysis[[#This Row],[Nutrition]]="", "", tblPiNAnalysis[[#This Row],[Nutrition]]/tblPiNAnalysis[[#This Row],[Total Population]])</f>
        <v/>
      </c>
      <c r="Y507" s="314" t="str">
        <f>IF(tblPiNAnalysis[[#This Row],[Protection]]="", "", tblPiNAnalysis[[#This Row],[Protection]]/tblPiNAnalysis[[#This Row],[Total Population]])</f>
        <v/>
      </c>
      <c r="Z507" s="316">
        <f>IF(tblPiNAnalysis[[#This Row],[Shelter NFI ]]="", "", tblPiNAnalysis[[#This Row],[Shelter NFI ]]/tblPiNAnalysis[[#This Row],[Total Population]])</f>
        <v>0.153069086550809</v>
      </c>
      <c r="AA507" s="317" t="str">
        <f>IF(tblPiNAnalysis[[#This Row],[WASH]]="", "", tblPiNAnalysis[[#This Row],[WASH]]/tblPiNAnalysis[[#This Row],[Total Population]])</f>
        <v/>
      </c>
      <c r="AB507" s="318" t="str">
        <f>IFERROR(IF(tblPiNAnalysis[[#This Row],[CP]]="", "", MROUND(tblPiNAnalysis[[#This Row],[CP]]/tblPiNAnalysis[[#This Row],[Total Population]], 0.05)), "")</f>
        <v/>
      </c>
      <c r="AC507" s="314" t="str">
        <f>IFERROR(IF(tblPiNAnalysis[[#This Row],[GBV]]="", "", MROUND(tblPiNAnalysis[[#This Row],[GBV]]/tblPiNAnalysis[[#This Row],[Total Population]], 0.05)), "")</f>
        <v/>
      </c>
      <c r="AD507" s="314" t="str">
        <f>IFERROR(IF(tblPiNAnalysis[[#This Row],[Mine Action]]="", "", MROUND(tblPiNAnalysis[[#This Row],[Mine Action]]/tblPiNAnalysis[[#This Row],[Total Population]], 0.05)), "")</f>
        <v/>
      </c>
      <c r="AE507" s="314" t="str">
        <f>IFERROR(IF(tblPiNAnalysis[[#This Row],[General Protection]]="", "", MROUND(tblPiNAnalysis[[#This Row],[General Protection]]/tblPiNAnalysis[[#This Row],[Total Population]], 0.05)), "")</f>
        <v/>
      </c>
      <c r="AF507" s="319">
        <f>IFERROR(LARGE(tblPiNAnalysis[[#This Row],[Site Management ]:[General Protection]], 1), "")</f>
        <v>1788</v>
      </c>
      <c r="AG507" s="320">
        <f>IF(tblPiNAnalysis[[#This Row],[Highest PiN]]="", "",tblPiNAnalysis[[#This Row],[Highest PiN]]/ tblPiNAnalysis[[#This Row],[Total Population]])</f>
        <v>0.153069086550809</v>
      </c>
      <c r="AH507" s="320" t="str">
        <f>IFERROR(IF(tblPiNAnalysis[[#This Row],[Highest PiN]]="", "", IF(tblPiNAnalysis[[#This Row],[Highest sector(s'') PiN %]]&gt;=flag_pin_perc, "Flagged", "")), "")</f>
        <v/>
      </c>
      <c r="AI507" s="321"/>
      <c r="AJ507" s="322"/>
      <c r="AK507" s="323">
        <f>COUNTIFS(tblPiNAnalysis[[#This Row],[Highest PiN greater than 90% of total affected population]:[Manual Flag]],"Flagged")</f>
        <v>0</v>
      </c>
      <c r="AL507" s="324" t="str">
        <f>IF(tblPiNAnalysis[[#This Row],['# Flags]]&gt;0, "Flagged", "")</f>
        <v/>
      </c>
    </row>
    <row r="508" spans="1:38" ht="23.1" hidden="1" customHeight="1" x14ac:dyDescent="0.2">
      <c r="A508" s="309" t="str">
        <f>_xlfn.CONCAT(IF(tblPiNAnalysis[[#This Row],[Population Group]]="", "",tblPiNAnalysis[[#This Row],[Population Group]] ), _xlfn.IFS(tblPiNAnalysis[[#This Row],[Admin 2 P-Code]]&lt;&gt;"", tblPiNAnalysis[[#This Row],[Admin 2 P-Code]], tblPiNAnalysis[[#This Row],[Admin 1 P-Code]]&lt;&gt;"", tblPiNAnalysis[[#This Row],[Admin 1 P-Code]]))</f>
        <v>Host CommunitySD17015</v>
      </c>
      <c r="B508" s="245" t="s">
        <v>173</v>
      </c>
      <c r="C508" s="246" t="s">
        <v>134</v>
      </c>
      <c r="D508" s="247" t="s">
        <v>528</v>
      </c>
      <c r="E508" s="246" t="s">
        <v>529</v>
      </c>
      <c r="F508" s="248">
        <v>40452</v>
      </c>
      <c r="G508" s="248" t="s">
        <v>87</v>
      </c>
      <c r="H508" s="310"/>
      <c r="I508" s="311"/>
      <c r="J508" s="312"/>
      <c r="K508" s="311"/>
      <c r="L508" s="311"/>
      <c r="M508" s="312"/>
      <c r="N508" s="312">
        <f>_xlfn.XLOOKUP(CONCATENATE(tblPiNAnalysis[[#This Row],[Admin 2 P-Code]],tblPiNAnalysis[[#This Row],[Population Group]]),'Overall severity &amp; PIN Analysis'!A:A,'Overall severity &amp; PIN Analysis'!P:P,0,0)</f>
        <v>17498</v>
      </c>
      <c r="O508" s="311"/>
      <c r="P508" s="312"/>
      <c r="Q508" s="312"/>
      <c r="R508" s="312"/>
      <c r="S508" s="312"/>
      <c r="T508" s="313" t="str">
        <f>IF(tblPiNAnalysis[[#This Row],[Site Management ]]="", "", tblPiNAnalysis[[#This Row],[Site Management ]]/tblPiNAnalysis[[#This Row],[Total Population]])</f>
        <v/>
      </c>
      <c r="U508" s="314" t="str">
        <f>IF(tblPiNAnalysis[[#This Row],[Education]]="", "", tblPiNAnalysis[[#This Row],[Education]]/tblPiNAnalysis[[#This Row],[Total Population]])</f>
        <v/>
      </c>
      <c r="V508" s="314" t="str">
        <f>IF(tblPiNAnalysis[[#This Row],[Food Security and Livlihoods]]="", "", tblPiNAnalysis[[#This Row],[Food Security and Livlihoods]]/tblPiNAnalysis[[#This Row],[Total Population]])</f>
        <v/>
      </c>
      <c r="W508" s="315" t="str">
        <f>IF(tblPiNAnalysis[[#This Row],[Health ]]="", "", tblPiNAnalysis[[#This Row],[Health ]]/tblPiNAnalysis[[#This Row],[Total Population]])</f>
        <v/>
      </c>
      <c r="X508" s="314" t="str">
        <f>IF(tblPiNAnalysis[[#This Row],[Nutrition]]="", "", tblPiNAnalysis[[#This Row],[Nutrition]]/tblPiNAnalysis[[#This Row],[Total Population]])</f>
        <v/>
      </c>
      <c r="Y508" s="314" t="str">
        <f>IF(tblPiNAnalysis[[#This Row],[Protection]]="", "", tblPiNAnalysis[[#This Row],[Protection]]/tblPiNAnalysis[[#This Row],[Total Population]])</f>
        <v/>
      </c>
      <c r="Z508" s="316">
        <f>IF(tblPiNAnalysis[[#This Row],[Shelter NFI ]]="", "", tblPiNAnalysis[[#This Row],[Shelter NFI ]]/tblPiNAnalysis[[#This Row],[Total Population]])</f>
        <v>0.43256204884801741</v>
      </c>
      <c r="AA508" s="317" t="str">
        <f>IF(tblPiNAnalysis[[#This Row],[WASH]]="", "", tblPiNAnalysis[[#This Row],[WASH]]/tblPiNAnalysis[[#This Row],[Total Population]])</f>
        <v/>
      </c>
      <c r="AB508" s="318" t="str">
        <f>IFERROR(IF(tblPiNAnalysis[[#This Row],[CP]]="", "", MROUND(tblPiNAnalysis[[#This Row],[CP]]/tblPiNAnalysis[[#This Row],[Total Population]], 0.05)), "")</f>
        <v/>
      </c>
      <c r="AC508" s="314" t="str">
        <f>IFERROR(IF(tblPiNAnalysis[[#This Row],[GBV]]="", "", MROUND(tblPiNAnalysis[[#This Row],[GBV]]/tblPiNAnalysis[[#This Row],[Total Population]], 0.05)), "")</f>
        <v/>
      </c>
      <c r="AD508" s="314" t="str">
        <f>IFERROR(IF(tblPiNAnalysis[[#This Row],[Mine Action]]="", "", MROUND(tblPiNAnalysis[[#This Row],[Mine Action]]/tblPiNAnalysis[[#This Row],[Total Population]], 0.05)), "")</f>
        <v/>
      </c>
      <c r="AE508" s="314" t="str">
        <f>IFERROR(IF(tblPiNAnalysis[[#This Row],[General Protection]]="", "", MROUND(tblPiNAnalysis[[#This Row],[General Protection]]/tblPiNAnalysis[[#This Row],[Total Population]], 0.05)), "")</f>
        <v/>
      </c>
      <c r="AF508" s="319">
        <f>IFERROR(LARGE(tblPiNAnalysis[[#This Row],[Site Management ]:[General Protection]], 1), "")</f>
        <v>17498</v>
      </c>
      <c r="AG508" s="320">
        <f>IF(tblPiNAnalysis[[#This Row],[Highest PiN]]="", "",tblPiNAnalysis[[#This Row],[Highest PiN]]/ tblPiNAnalysis[[#This Row],[Total Population]])</f>
        <v>0.43256204884801741</v>
      </c>
      <c r="AH508" s="320" t="str">
        <f>IFERROR(IF(tblPiNAnalysis[[#This Row],[Highest PiN]]="", "", IF(tblPiNAnalysis[[#This Row],[Highest sector(s'') PiN %]]&gt;=flag_pin_perc, "Flagged", "")), "")</f>
        <v/>
      </c>
      <c r="AI508" s="321"/>
      <c r="AJ508" s="322"/>
      <c r="AK508" s="323">
        <f>COUNTIFS(tblPiNAnalysis[[#This Row],[Highest PiN greater than 90% of total affected population]:[Manual Flag]],"Flagged")</f>
        <v>0</v>
      </c>
      <c r="AL508" s="324" t="str">
        <f>IF(tblPiNAnalysis[[#This Row],['# Flags]]&gt;0, "Flagged", "")</f>
        <v/>
      </c>
    </row>
    <row r="509" spans="1:38" ht="23.1" hidden="1" customHeight="1" x14ac:dyDescent="0.2">
      <c r="A509" s="309" t="str">
        <f>_xlfn.CONCAT(IF(tblPiNAnalysis[[#This Row],[Population Group]]="", "",tblPiNAnalysis[[#This Row],[Population Group]] ), _xlfn.IFS(tblPiNAnalysis[[#This Row],[Admin 2 P-Code]]&lt;&gt;"", tblPiNAnalysis[[#This Row],[Admin 2 P-Code]], tblPiNAnalysis[[#This Row],[Admin 1 P-Code]]&lt;&gt;"", tblPiNAnalysis[[#This Row],[Admin 1 P-Code]]))</f>
        <v>IDPsSD17015</v>
      </c>
      <c r="B509" s="245" t="s">
        <v>173</v>
      </c>
      <c r="C509" s="246" t="s">
        <v>134</v>
      </c>
      <c r="D509" s="247" t="s">
        <v>528</v>
      </c>
      <c r="E509" s="246" t="s">
        <v>529</v>
      </c>
      <c r="F509" s="248">
        <v>40375</v>
      </c>
      <c r="G509" s="248" t="s">
        <v>88</v>
      </c>
      <c r="H509" s="310"/>
      <c r="I509" s="311"/>
      <c r="J509" s="312"/>
      <c r="K509" s="311"/>
      <c r="L509" s="311"/>
      <c r="M509" s="312"/>
      <c r="N509" s="312">
        <f>_xlfn.XLOOKUP(CONCATENATE(tblPiNAnalysis[[#This Row],[Admin 2 P-Code]],tblPiNAnalysis[[#This Row],[Population Group]]),'Overall severity &amp; PIN Analysis'!A:A,'Overall severity &amp; PIN Analysis'!P:P,0,0)</f>
        <v>17464</v>
      </c>
      <c r="O509" s="311"/>
      <c r="P509" s="312"/>
      <c r="Q509" s="312"/>
      <c r="R509" s="312"/>
      <c r="S509" s="312"/>
      <c r="T509" s="313" t="str">
        <f>IF(tblPiNAnalysis[[#This Row],[Site Management ]]="", "", tblPiNAnalysis[[#This Row],[Site Management ]]/tblPiNAnalysis[[#This Row],[Total Population]])</f>
        <v/>
      </c>
      <c r="U509" s="314" t="str">
        <f>IF(tblPiNAnalysis[[#This Row],[Education]]="", "", tblPiNAnalysis[[#This Row],[Education]]/tblPiNAnalysis[[#This Row],[Total Population]])</f>
        <v/>
      </c>
      <c r="V509" s="314" t="str">
        <f>IF(tblPiNAnalysis[[#This Row],[Food Security and Livlihoods]]="", "", tblPiNAnalysis[[#This Row],[Food Security and Livlihoods]]/tblPiNAnalysis[[#This Row],[Total Population]])</f>
        <v/>
      </c>
      <c r="W509" s="315" t="str">
        <f>IF(tblPiNAnalysis[[#This Row],[Health ]]="", "", tblPiNAnalysis[[#This Row],[Health ]]/tblPiNAnalysis[[#This Row],[Total Population]])</f>
        <v/>
      </c>
      <c r="X509" s="314" t="str">
        <f>IF(tblPiNAnalysis[[#This Row],[Nutrition]]="", "", tblPiNAnalysis[[#This Row],[Nutrition]]/tblPiNAnalysis[[#This Row],[Total Population]])</f>
        <v/>
      </c>
      <c r="Y509" s="314" t="str">
        <f>IF(tblPiNAnalysis[[#This Row],[Protection]]="", "", tblPiNAnalysis[[#This Row],[Protection]]/tblPiNAnalysis[[#This Row],[Total Population]])</f>
        <v/>
      </c>
      <c r="Z509" s="316">
        <f>IF(tblPiNAnalysis[[#This Row],[Shelter NFI ]]="", "", tblPiNAnalysis[[#This Row],[Shelter NFI ]]/tblPiNAnalysis[[#This Row],[Total Population]])</f>
        <v>0.43254489164086685</v>
      </c>
      <c r="AA509" s="317" t="str">
        <f>IF(tblPiNAnalysis[[#This Row],[WASH]]="", "", tblPiNAnalysis[[#This Row],[WASH]]/tblPiNAnalysis[[#This Row],[Total Population]])</f>
        <v/>
      </c>
      <c r="AB509" s="318" t="str">
        <f>IFERROR(IF(tblPiNAnalysis[[#This Row],[CP]]="", "", MROUND(tblPiNAnalysis[[#This Row],[CP]]/tblPiNAnalysis[[#This Row],[Total Population]], 0.05)), "")</f>
        <v/>
      </c>
      <c r="AC509" s="314" t="str">
        <f>IFERROR(IF(tblPiNAnalysis[[#This Row],[GBV]]="", "", MROUND(tblPiNAnalysis[[#This Row],[GBV]]/tblPiNAnalysis[[#This Row],[Total Population]], 0.05)), "")</f>
        <v/>
      </c>
      <c r="AD509" s="314" t="str">
        <f>IFERROR(IF(tblPiNAnalysis[[#This Row],[Mine Action]]="", "", MROUND(tblPiNAnalysis[[#This Row],[Mine Action]]/tblPiNAnalysis[[#This Row],[Total Population]], 0.05)), "")</f>
        <v/>
      </c>
      <c r="AE509" s="314" t="str">
        <f>IFERROR(IF(tblPiNAnalysis[[#This Row],[General Protection]]="", "", MROUND(tblPiNAnalysis[[#This Row],[General Protection]]/tblPiNAnalysis[[#This Row],[Total Population]], 0.05)), "")</f>
        <v/>
      </c>
      <c r="AF509" s="319">
        <f>IFERROR(LARGE(tblPiNAnalysis[[#This Row],[Site Management ]:[General Protection]], 1), "")</f>
        <v>17464</v>
      </c>
      <c r="AG509" s="320">
        <f>IF(tblPiNAnalysis[[#This Row],[Highest PiN]]="", "",tblPiNAnalysis[[#This Row],[Highest PiN]]/ tblPiNAnalysis[[#This Row],[Total Population]])</f>
        <v>0.43254489164086685</v>
      </c>
      <c r="AH509" s="320" t="str">
        <f>IFERROR(IF(tblPiNAnalysis[[#This Row],[Highest PiN]]="", "", IF(tblPiNAnalysis[[#This Row],[Highest sector(s'') PiN %]]&gt;=flag_pin_perc, "Flagged", "")), "")</f>
        <v/>
      </c>
      <c r="AI509" s="321"/>
      <c r="AJ509" s="322"/>
      <c r="AK509" s="323">
        <f>COUNTIFS(tblPiNAnalysis[[#This Row],[Highest PiN greater than 90% of total affected population]:[Manual Flag]],"Flagged")</f>
        <v>0</v>
      </c>
      <c r="AL509" s="324" t="str">
        <f>IF(tblPiNAnalysis[[#This Row],['# Flags]]&gt;0, "Flagged", "")</f>
        <v/>
      </c>
    </row>
    <row r="510" spans="1:38" ht="23.1" customHeight="1" x14ac:dyDescent="0.2">
      <c r="A510" s="309" t="str">
        <f>_xlfn.CONCAT(IF(tblPiNAnalysis[[#This Row],[Population Group]]="", "",tblPiNAnalysis[[#This Row],[Population Group]] ), _xlfn.IFS(tblPiNAnalysis[[#This Row],[Admin 2 P-Code]]&lt;&gt;"", tblPiNAnalysis[[#This Row],[Admin 2 P-Code]], tblPiNAnalysis[[#This Row],[Admin 1 P-Code]]&lt;&gt;"", tblPiNAnalysis[[#This Row],[Admin 1 P-Code]]))</f>
        <v>Non-hosting PopulationSD17015</v>
      </c>
      <c r="B510" s="245" t="s">
        <v>173</v>
      </c>
      <c r="C510" s="246" t="s">
        <v>134</v>
      </c>
      <c r="D510" s="247" t="s">
        <v>528</v>
      </c>
      <c r="E510" s="246" t="s">
        <v>529</v>
      </c>
      <c r="F510" s="248">
        <v>23591</v>
      </c>
      <c r="G510" s="248" t="s">
        <v>568</v>
      </c>
      <c r="H510" s="310"/>
      <c r="I510" s="311"/>
      <c r="J510" s="312"/>
      <c r="K510" s="311"/>
      <c r="L510" s="311"/>
      <c r="M510" s="312"/>
      <c r="N510" s="312">
        <f>_xlfn.XLOOKUP(CONCATENATE(tblPiNAnalysis[[#This Row],[Admin 2 P-Code]],tblPiNAnalysis[[#This Row],[Population Group]]),'Overall severity &amp; PIN Analysis'!A:A,'Overall severity &amp; PIN Analysis'!P:P,0,0)</f>
        <v>1075</v>
      </c>
      <c r="O510" s="311"/>
      <c r="P510" s="312"/>
      <c r="Q510" s="312"/>
      <c r="R510" s="312"/>
      <c r="S510" s="312"/>
      <c r="T510" s="313" t="str">
        <f>IF(tblPiNAnalysis[[#This Row],[Site Management ]]="", "", tblPiNAnalysis[[#This Row],[Site Management ]]/tblPiNAnalysis[[#This Row],[Total Population]])</f>
        <v/>
      </c>
      <c r="U510" s="314" t="str">
        <f>IF(tblPiNAnalysis[[#This Row],[Education]]="", "", tblPiNAnalysis[[#This Row],[Education]]/tblPiNAnalysis[[#This Row],[Total Population]])</f>
        <v/>
      </c>
      <c r="V510" s="314" t="str">
        <f>IF(tblPiNAnalysis[[#This Row],[Food Security and Livlihoods]]="", "", tblPiNAnalysis[[#This Row],[Food Security and Livlihoods]]/tblPiNAnalysis[[#This Row],[Total Population]])</f>
        <v/>
      </c>
      <c r="W510" s="315" t="str">
        <f>IF(tblPiNAnalysis[[#This Row],[Health ]]="", "", tblPiNAnalysis[[#This Row],[Health ]]/tblPiNAnalysis[[#This Row],[Total Population]])</f>
        <v/>
      </c>
      <c r="X510" s="314" t="str">
        <f>IF(tblPiNAnalysis[[#This Row],[Nutrition]]="", "", tblPiNAnalysis[[#This Row],[Nutrition]]/tblPiNAnalysis[[#This Row],[Total Population]])</f>
        <v/>
      </c>
      <c r="Y510" s="314" t="str">
        <f>IF(tblPiNAnalysis[[#This Row],[Protection]]="", "", tblPiNAnalysis[[#This Row],[Protection]]/tblPiNAnalysis[[#This Row],[Total Population]])</f>
        <v/>
      </c>
      <c r="Z510" s="316">
        <f>IF(tblPiNAnalysis[[#This Row],[Shelter NFI ]]="", "", tblPiNAnalysis[[#This Row],[Shelter NFI ]]/tblPiNAnalysis[[#This Row],[Total Population]])</f>
        <v>4.5568225170615914E-2</v>
      </c>
      <c r="AA510" s="317" t="str">
        <f>IF(tblPiNAnalysis[[#This Row],[WASH]]="", "", tblPiNAnalysis[[#This Row],[WASH]]/tblPiNAnalysis[[#This Row],[Total Population]])</f>
        <v/>
      </c>
      <c r="AB510" s="318" t="str">
        <f>IFERROR(IF(tblPiNAnalysis[[#This Row],[CP]]="", "", MROUND(tblPiNAnalysis[[#This Row],[CP]]/tblPiNAnalysis[[#This Row],[Total Population]], 0.05)), "")</f>
        <v/>
      </c>
      <c r="AC510" s="314" t="str">
        <f>IFERROR(IF(tblPiNAnalysis[[#This Row],[GBV]]="", "", MROUND(tblPiNAnalysis[[#This Row],[GBV]]/tblPiNAnalysis[[#This Row],[Total Population]], 0.05)), "")</f>
        <v/>
      </c>
      <c r="AD510" s="314" t="str">
        <f>IFERROR(IF(tblPiNAnalysis[[#This Row],[Mine Action]]="", "", MROUND(tblPiNAnalysis[[#This Row],[Mine Action]]/tblPiNAnalysis[[#This Row],[Total Population]], 0.05)), "")</f>
        <v/>
      </c>
      <c r="AE510" s="314" t="str">
        <f>IFERROR(IF(tblPiNAnalysis[[#This Row],[General Protection]]="", "", MROUND(tblPiNAnalysis[[#This Row],[General Protection]]/tblPiNAnalysis[[#This Row],[Total Population]], 0.05)), "")</f>
        <v/>
      </c>
      <c r="AF510" s="319">
        <f>IFERROR(LARGE(tblPiNAnalysis[[#This Row],[Site Management ]:[General Protection]], 1), "")</f>
        <v>1075</v>
      </c>
      <c r="AG510" s="320">
        <f>IF(tblPiNAnalysis[[#This Row],[Highest PiN]]="", "",tblPiNAnalysis[[#This Row],[Highest PiN]]/ tblPiNAnalysis[[#This Row],[Total Population]])</f>
        <v>4.5568225170615914E-2</v>
      </c>
      <c r="AH510" s="320" t="str">
        <f>IFERROR(IF(tblPiNAnalysis[[#This Row],[Highest PiN]]="", "", IF(tblPiNAnalysis[[#This Row],[Highest sector(s'') PiN %]]&gt;=flag_pin_perc, "Flagged", "")), "")</f>
        <v/>
      </c>
      <c r="AI510" s="321"/>
      <c r="AJ510" s="322"/>
      <c r="AK510" s="323">
        <f>COUNTIFS(tblPiNAnalysis[[#This Row],[Highest PiN greater than 90% of total affected population]:[Manual Flag]],"Flagged")</f>
        <v>0</v>
      </c>
      <c r="AL510" s="324" t="str">
        <f>IF(tblPiNAnalysis[[#This Row],['# Flags]]&gt;0, "Flagged", "")</f>
        <v/>
      </c>
    </row>
    <row r="511" spans="1:38" ht="23.1" hidden="1" customHeight="1" x14ac:dyDescent="0.2">
      <c r="A511" s="309" t="str">
        <f>_xlfn.CONCAT(IF(tblPiNAnalysis[[#This Row],[Population Group]]="", "",tblPiNAnalysis[[#This Row],[Population Group]] ), _xlfn.IFS(tblPiNAnalysis[[#This Row],[Admin 2 P-Code]]&lt;&gt;"", tblPiNAnalysis[[#This Row],[Admin 2 P-Code]], tblPiNAnalysis[[#This Row],[Admin 1 P-Code]]&lt;&gt;"", tblPiNAnalysis[[#This Row],[Admin 1 P-Code]]))</f>
        <v>Host CommunitySD17016</v>
      </c>
      <c r="B511" s="245" t="s">
        <v>173</v>
      </c>
      <c r="C511" s="246" t="s">
        <v>134</v>
      </c>
      <c r="D511" s="247" t="s">
        <v>530</v>
      </c>
      <c r="E511" s="246" t="s">
        <v>531</v>
      </c>
      <c r="F511" s="248">
        <v>60564</v>
      </c>
      <c r="G511" s="248" t="s">
        <v>87</v>
      </c>
      <c r="H511" s="310"/>
      <c r="I511" s="311"/>
      <c r="J511" s="312"/>
      <c r="K511" s="311"/>
      <c r="L511" s="311"/>
      <c r="M511" s="312"/>
      <c r="N511" s="312">
        <f>_xlfn.XLOOKUP(CONCATENATE(tblPiNAnalysis[[#This Row],[Admin 2 P-Code]],tblPiNAnalysis[[#This Row],[Population Group]]),'Overall severity &amp; PIN Analysis'!A:A,'Overall severity &amp; PIN Analysis'!P:P,0,0)</f>
        <v>14739</v>
      </c>
      <c r="O511" s="311"/>
      <c r="P511" s="312"/>
      <c r="Q511" s="312"/>
      <c r="R511" s="312"/>
      <c r="S511" s="312"/>
      <c r="T511" s="313" t="str">
        <f>IF(tblPiNAnalysis[[#This Row],[Site Management ]]="", "", tblPiNAnalysis[[#This Row],[Site Management ]]/tblPiNAnalysis[[#This Row],[Total Population]])</f>
        <v/>
      </c>
      <c r="U511" s="314" t="str">
        <f>IF(tblPiNAnalysis[[#This Row],[Education]]="", "", tblPiNAnalysis[[#This Row],[Education]]/tblPiNAnalysis[[#This Row],[Total Population]])</f>
        <v/>
      </c>
      <c r="V511" s="314" t="str">
        <f>IF(tblPiNAnalysis[[#This Row],[Food Security and Livlihoods]]="", "", tblPiNAnalysis[[#This Row],[Food Security and Livlihoods]]/tblPiNAnalysis[[#This Row],[Total Population]])</f>
        <v/>
      </c>
      <c r="W511" s="315" t="str">
        <f>IF(tblPiNAnalysis[[#This Row],[Health ]]="", "", tblPiNAnalysis[[#This Row],[Health ]]/tblPiNAnalysis[[#This Row],[Total Population]])</f>
        <v/>
      </c>
      <c r="X511" s="314" t="str">
        <f>IF(tblPiNAnalysis[[#This Row],[Nutrition]]="", "", tblPiNAnalysis[[#This Row],[Nutrition]]/tblPiNAnalysis[[#This Row],[Total Population]])</f>
        <v/>
      </c>
      <c r="Y511" s="314" t="str">
        <f>IF(tblPiNAnalysis[[#This Row],[Protection]]="", "", tblPiNAnalysis[[#This Row],[Protection]]/tblPiNAnalysis[[#This Row],[Total Population]])</f>
        <v/>
      </c>
      <c r="Z511" s="316">
        <f>IF(tblPiNAnalysis[[#This Row],[Shelter NFI ]]="", "", tblPiNAnalysis[[#This Row],[Shelter NFI ]]/tblPiNAnalysis[[#This Row],[Total Population]])</f>
        <v>0.24336239350108976</v>
      </c>
      <c r="AA511" s="317" t="str">
        <f>IF(tblPiNAnalysis[[#This Row],[WASH]]="", "", tblPiNAnalysis[[#This Row],[WASH]]/tblPiNAnalysis[[#This Row],[Total Population]])</f>
        <v/>
      </c>
      <c r="AB511" s="318" t="str">
        <f>IFERROR(IF(tblPiNAnalysis[[#This Row],[CP]]="", "", MROUND(tblPiNAnalysis[[#This Row],[CP]]/tblPiNAnalysis[[#This Row],[Total Population]], 0.05)), "")</f>
        <v/>
      </c>
      <c r="AC511" s="314" t="str">
        <f>IFERROR(IF(tblPiNAnalysis[[#This Row],[GBV]]="", "", MROUND(tblPiNAnalysis[[#This Row],[GBV]]/tblPiNAnalysis[[#This Row],[Total Population]], 0.05)), "")</f>
        <v/>
      </c>
      <c r="AD511" s="314" t="str">
        <f>IFERROR(IF(tblPiNAnalysis[[#This Row],[Mine Action]]="", "", MROUND(tblPiNAnalysis[[#This Row],[Mine Action]]/tblPiNAnalysis[[#This Row],[Total Population]], 0.05)), "")</f>
        <v/>
      </c>
      <c r="AE511" s="314" t="str">
        <f>IFERROR(IF(tblPiNAnalysis[[#This Row],[General Protection]]="", "", MROUND(tblPiNAnalysis[[#This Row],[General Protection]]/tblPiNAnalysis[[#This Row],[Total Population]], 0.05)), "")</f>
        <v/>
      </c>
      <c r="AF511" s="319">
        <f>IFERROR(LARGE(tblPiNAnalysis[[#This Row],[Site Management ]:[General Protection]], 1), "")</f>
        <v>14739</v>
      </c>
      <c r="AG511" s="320">
        <f>IF(tblPiNAnalysis[[#This Row],[Highest PiN]]="", "",tblPiNAnalysis[[#This Row],[Highest PiN]]/ tblPiNAnalysis[[#This Row],[Total Population]])</f>
        <v>0.24336239350108976</v>
      </c>
      <c r="AH511" s="320" t="str">
        <f>IFERROR(IF(tblPiNAnalysis[[#This Row],[Highest PiN]]="", "", IF(tblPiNAnalysis[[#This Row],[Highest sector(s'') PiN %]]&gt;=flag_pin_perc, "Flagged", "")), "")</f>
        <v/>
      </c>
      <c r="AI511" s="321"/>
      <c r="AJ511" s="322"/>
      <c r="AK511" s="323">
        <f>COUNTIFS(tblPiNAnalysis[[#This Row],[Highest PiN greater than 90% of total affected population]:[Manual Flag]],"Flagged")</f>
        <v>0</v>
      </c>
      <c r="AL511" s="324" t="str">
        <f>IF(tblPiNAnalysis[[#This Row],['# Flags]]&gt;0, "Flagged", "")</f>
        <v/>
      </c>
    </row>
    <row r="512" spans="1:38" ht="23.1" hidden="1" customHeight="1" x14ac:dyDescent="0.2">
      <c r="A512" s="309" t="str">
        <f>_xlfn.CONCAT(IF(tblPiNAnalysis[[#This Row],[Population Group]]="", "",tblPiNAnalysis[[#This Row],[Population Group]] ), _xlfn.IFS(tblPiNAnalysis[[#This Row],[Admin 2 P-Code]]&lt;&gt;"", tblPiNAnalysis[[#This Row],[Admin 2 P-Code]], tblPiNAnalysis[[#This Row],[Admin 1 P-Code]]&lt;&gt;"", tblPiNAnalysis[[#This Row],[Admin 1 P-Code]]))</f>
        <v>IDPsSD17016</v>
      </c>
      <c r="B512" s="245" t="s">
        <v>173</v>
      </c>
      <c r="C512" s="246" t="s">
        <v>134</v>
      </c>
      <c r="D512" s="247" t="s">
        <v>530</v>
      </c>
      <c r="E512" s="246" t="s">
        <v>531</v>
      </c>
      <c r="F512" s="248">
        <v>59772</v>
      </c>
      <c r="G512" s="248" t="s">
        <v>88</v>
      </c>
      <c r="H512" s="310"/>
      <c r="I512" s="311"/>
      <c r="J512" s="312"/>
      <c r="K512" s="311"/>
      <c r="L512" s="311"/>
      <c r="M512" s="312"/>
      <c r="N512" s="312">
        <f>_xlfn.XLOOKUP(CONCATENATE(tblPiNAnalysis[[#This Row],[Admin 2 P-Code]],tblPiNAnalysis[[#This Row],[Population Group]]),'Overall severity &amp; PIN Analysis'!A:A,'Overall severity &amp; PIN Analysis'!P:P,0,0)</f>
        <v>14547</v>
      </c>
      <c r="O512" s="311"/>
      <c r="P512" s="312"/>
      <c r="Q512" s="312"/>
      <c r="R512" s="312"/>
      <c r="S512" s="312"/>
      <c r="T512" s="313" t="str">
        <f>IF(tblPiNAnalysis[[#This Row],[Site Management ]]="", "", tblPiNAnalysis[[#This Row],[Site Management ]]/tblPiNAnalysis[[#This Row],[Total Population]])</f>
        <v/>
      </c>
      <c r="U512" s="314" t="str">
        <f>IF(tblPiNAnalysis[[#This Row],[Education]]="", "", tblPiNAnalysis[[#This Row],[Education]]/tblPiNAnalysis[[#This Row],[Total Population]])</f>
        <v/>
      </c>
      <c r="V512" s="314" t="str">
        <f>IF(tblPiNAnalysis[[#This Row],[Food Security and Livlihoods]]="", "", tblPiNAnalysis[[#This Row],[Food Security and Livlihoods]]/tblPiNAnalysis[[#This Row],[Total Population]])</f>
        <v/>
      </c>
      <c r="W512" s="315" t="str">
        <f>IF(tblPiNAnalysis[[#This Row],[Health ]]="", "", tblPiNAnalysis[[#This Row],[Health ]]/tblPiNAnalysis[[#This Row],[Total Population]])</f>
        <v/>
      </c>
      <c r="X512" s="314" t="str">
        <f>IF(tblPiNAnalysis[[#This Row],[Nutrition]]="", "", tblPiNAnalysis[[#This Row],[Nutrition]]/tblPiNAnalysis[[#This Row],[Total Population]])</f>
        <v/>
      </c>
      <c r="Y512" s="314" t="str">
        <f>IF(tblPiNAnalysis[[#This Row],[Protection]]="", "", tblPiNAnalysis[[#This Row],[Protection]]/tblPiNAnalysis[[#This Row],[Total Population]])</f>
        <v/>
      </c>
      <c r="Z512" s="316">
        <f>IF(tblPiNAnalysis[[#This Row],[Shelter NFI ]]="", "", tblPiNAnalysis[[#This Row],[Shelter NFI ]]/tblPiNAnalysis[[#This Row],[Total Population]])</f>
        <v>0.24337482433246335</v>
      </c>
      <c r="AA512" s="317" t="str">
        <f>IF(tblPiNAnalysis[[#This Row],[WASH]]="", "", tblPiNAnalysis[[#This Row],[WASH]]/tblPiNAnalysis[[#This Row],[Total Population]])</f>
        <v/>
      </c>
      <c r="AB512" s="318" t="str">
        <f>IFERROR(IF(tblPiNAnalysis[[#This Row],[CP]]="", "", MROUND(tblPiNAnalysis[[#This Row],[CP]]/tblPiNAnalysis[[#This Row],[Total Population]], 0.05)), "")</f>
        <v/>
      </c>
      <c r="AC512" s="314" t="str">
        <f>IFERROR(IF(tblPiNAnalysis[[#This Row],[GBV]]="", "", MROUND(tblPiNAnalysis[[#This Row],[GBV]]/tblPiNAnalysis[[#This Row],[Total Population]], 0.05)), "")</f>
        <v/>
      </c>
      <c r="AD512" s="314" t="str">
        <f>IFERROR(IF(tblPiNAnalysis[[#This Row],[Mine Action]]="", "", MROUND(tblPiNAnalysis[[#This Row],[Mine Action]]/tblPiNAnalysis[[#This Row],[Total Population]], 0.05)), "")</f>
        <v/>
      </c>
      <c r="AE512" s="314" t="str">
        <f>IFERROR(IF(tblPiNAnalysis[[#This Row],[General Protection]]="", "", MROUND(tblPiNAnalysis[[#This Row],[General Protection]]/tblPiNAnalysis[[#This Row],[Total Population]], 0.05)), "")</f>
        <v/>
      </c>
      <c r="AF512" s="319">
        <f>IFERROR(LARGE(tblPiNAnalysis[[#This Row],[Site Management ]:[General Protection]], 1), "")</f>
        <v>14547</v>
      </c>
      <c r="AG512" s="320">
        <f>IF(tblPiNAnalysis[[#This Row],[Highest PiN]]="", "",tblPiNAnalysis[[#This Row],[Highest PiN]]/ tblPiNAnalysis[[#This Row],[Total Population]])</f>
        <v>0.24337482433246335</v>
      </c>
      <c r="AH512" s="320" t="str">
        <f>IFERROR(IF(tblPiNAnalysis[[#This Row],[Highest PiN]]="", "", IF(tblPiNAnalysis[[#This Row],[Highest sector(s'') PiN %]]&gt;=flag_pin_perc, "Flagged", "")), "")</f>
        <v/>
      </c>
      <c r="AI512" s="321"/>
      <c r="AJ512" s="322"/>
      <c r="AK512" s="323">
        <f>COUNTIFS(tblPiNAnalysis[[#This Row],[Highest PiN greater than 90% of total affected population]:[Manual Flag]],"Flagged")</f>
        <v>0</v>
      </c>
      <c r="AL512" s="324" t="str">
        <f>IF(tblPiNAnalysis[[#This Row],['# Flags]]&gt;0, "Flagged", "")</f>
        <v/>
      </c>
    </row>
    <row r="513" spans="1:38" ht="23.1" customHeight="1" x14ac:dyDescent="0.2">
      <c r="A513" s="309" t="str">
        <f>_xlfn.CONCAT(IF(tblPiNAnalysis[[#This Row],[Population Group]]="", "",tblPiNAnalysis[[#This Row],[Population Group]] ), _xlfn.IFS(tblPiNAnalysis[[#This Row],[Admin 2 P-Code]]&lt;&gt;"", tblPiNAnalysis[[#This Row],[Admin 2 P-Code]], tblPiNAnalysis[[#This Row],[Admin 1 P-Code]]&lt;&gt;"", tblPiNAnalysis[[#This Row],[Admin 1 P-Code]]))</f>
        <v>Non-hosting PopulationSD17016</v>
      </c>
      <c r="B513" s="245" t="s">
        <v>173</v>
      </c>
      <c r="C513" s="246" t="s">
        <v>134</v>
      </c>
      <c r="D513" s="247" t="s">
        <v>530</v>
      </c>
      <c r="E513" s="246" t="s">
        <v>531</v>
      </c>
      <c r="F513" s="248">
        <v>70910</v>
      </c>
      <c r="G513" s="248" t="s">
        <v>568</v>
      </c>
      <c r="H513" s="310"/>
      <c r="I513" s="311"/>
      <c r="J513" s="312"/>
      <c r="K513" s="311"/>
      <c r="L513" s="311"/>
      <c r="M513" s="312"/>
      <c r="N513" s="312">
        <f>_xlfn.XLOOKUP(CONCATENATE(tblPiNAnalysis[[#This Row],[Admin 2 P-Code]],tblPiNAnalysis[[#This Row],[Population Group]]),'Overall severity &amp; PIN Analysis'!A:A,'Overall severity &amp; PIN Analysis'!P:P,0,0)</f>
        <v>5010</v>
      </c>
      <c r="O513" s="311"/>
      <c r="P513" s="312"/>
      <c r="Q513" s="312"/>
      <c r="R513" s="312"/>
      <c r="S513" s="312"/>
      <c r="T513" s="313" t="str">
        <f>IF(tblPiNAnalysis[[#This Row],[Site Management ]]="", "", tblPiNAnalysis[[#This Row],[Site Management ]]/tblPiNAnalysis[[#This Row],[Total Population]])</f>
        <v/>
      </c>
      <c r="U513" s="314" t="str">
        <f>IF(tblPiNAnalysis[[#This Row],[Education]]="", "", tblPiNAnalysis[[#This Row],[Education]]/tblPiNAnalysis[[#This Row],[Total Population]])</f>
        <v/>
      </c>
      <c r="V513" s="314" t="str">
        <f>IF(tblPiNAnalysis[[#This Row],[Food Security and Livlihoods]]="", "", tblPiNAnalysis[[#This Row],[Food Security and Livlihoods]]/tblPiNAnalysis[[#This Row],[Total Population]])</f>
        <v/>
      </c>
      <c r="W513" s="315" t="str">
        <f>IF(tblPiNAnalysis[[#This Row],[Health ]]="", "", tblPiNAnalysis[[#This Row],[Health ]]/tblPiNAnalysis[[#This Row],[Total Population]])</f>
        <v/>
      </c>
      <c r="X513" s="314" t="str">
        <f>IF(tblPiNAnalysis[[#This Row],[Nutrition]]="", "", tblPiNAnalysis[[#This Row],[Nutrition]]/tblPiNAnalysis[[#This Row],[Total Population]])</f>
        <v/>
      </c>
      <c r="Y513" s="314" t="str">
        <f>IF(tblPiNAnalysis[[#This Row],[Protection]]="", "", tblPiNAnalysis[[#This Row],[Protection]]/tblPiNAnalysis[[#This Row],[Total Population]])</f>
        <v/>
      </c>
      <c r="Z513" s="316">
        <f>IF(tblPiNAnalysis[[#This Row],[Shelter NFI ]]="", "", tblPiNAnalysis[[#This Row],[Shelter NFI ]]/tblPiNAnalysis[[#This Row],[Total Population]])</f>
        <v>7.065294034691863E-2</v>
      </c>
      <c r="AA513" s="317" t="str">
        <f>IF(tblPiNAnalysis[[#This Row],[WASH]]="", "", tblPiNAnalysis[[#This Row],[WASH]]/tblPiNAnalysis[[#This Row],[Total Population]])</f>
        <v/>
      </c>
      <c r="AB513" s="318" t="str">
        <f>IFERROR(IF(tblPiNAnalysis[[#This Row],[CP]]="", "", MROUND(tblPiNAnalysis[[#This Row],[CP]]/tblPiNAnalysis[[#This Row],[Total Population]], 0.05)), "")</f>
        <v/>
      </c>
      <c r="AC513" s="314" t="str">
        <f>IFERROR(IF(tblPiNAnalysis[[#This Row],[GBV]]="", "", MROUND(tblPiNAnalysis[[#This Row],[GBV]]/tblPiNAnalysis[[#This Row],[Total Population]], 0.05)), "")</f>
        <v/>
      </c>
      <c r="AD513" s="314" t="str">
        <f>IFERROR(IF(tblPiNAnalysis[[#This Row],[Mine Action]]="", "", MROUND(tblPiNAnalysis[[#This Row],[Mine Action]]/tblPiNAnalysis[[#This Row],[Total Population]], 0.05)), "")</f>
        <v/>
      </c>
      <c r="AE513" s="314" t="str">
        <f>IFERROR(IF(tblPiNAnalysis[[#This Row],[General Protection]]="", "", MROUND(tblPiNAnalysis[[#This Row],[General Protection]]/tblPiNAnalysis[[#This Row],[Total Population]], 0.05)), "")</f>
        <v/>
      </c>
      <c r="AF513" s="319">
        <f>IFERROR(LARGE(tblPiNAnalysis[[#This Row],[Site Management ]:[General Protection]], 1), "")</f>
        <v>5010</v>
      </c>
      <c r="AG513" s="320">
        <f>IF(tblPiNAnalysis[[#This Row],[Highest PiN]]="", "",tblPiNAnalysis[[#This Row],[Highest PiN]]/ tblPiNAnalysis[[#This Row],[Total Population]])</f>
        <v>7.065294034691863E-2</v>
      </c>
      <c r="AH513" s="320" t="str">
        <f>IFERROR(IF(tblPiNAnalysis[[#This Row],[Highest PiN]]="", "", IF(tblPiNAnalysis[[#This Row],[Highest sector(s'') PiN %]]&gt;=flag_pin_perc, "Flagged", "")), "")</f>
        <v/>
      </c>
      <c r="AI513" s="321"/>
      <c r="AJ513" s="322"/>
      <c r="AK513" s="323">
        <f>COUNTIFS(tblPiNAnalysis[[#This Row],[Highest PiN greater than 90% of total affected population]:[Manual Flag]],"Flagged")</f>
        <v>0</v>
      </c>
      <c r="AL513" s="324" t="str">
        <f>IF(tblPiNAnalysis[[#This Row],['# Flags]]&gt;0, "Flagged", "")</f>
        <v/>
      </c>
    </row>
    <row r="514" spans="1:38" ht="23.1" hidden="1" customHeight="1" x14ac:dyDescent="0.2">
      <c r="A514" s="309" t="str">
        <f>_xlfn.CONCAT(IF(tblPiNAnalysis[[#This Row],[Population Group]]="", "",tblPiNAnalysis[[#This Row],[Population Group]] ), _xlfn.IFS(tblPiNAnalysis[[#This Row],[Admin 2 P-Code]]&lt;&gt;"", tblPiNAnalysis[[#This Row],[Admin 2 P-Code]], tblPiNAnalysis[[#This Row],[Admin 1 P-Code]]&lt;&gt;"", tblPiNAnalysis[[#This Row],[Admin 1 P-Code]]))</f>
        <v>Host CommunitySD17017</v>
      </c>
      <c r="B514" s="245" t="s">
        <v>173</v>
      </c>
      <c r="C514" s="246" t="s">
        <v>134</v>
      </c>
      <c r="D514" s="247" t="s">
        <v>532</v>
      </c>
      <c r="E514" s="246" t="s">
        <v>533</v>
      </c>
      <c r="F514" s="248">
        <v>63604</v>
      </c>
      <c r="G514" s="248" t="s">
        <v>87</v>
      </c>
      <c r="H514" s="310"/>
      <c r="I514" s="311"/>
      <c r="J514" s="312"/>
      <c r="K514" s="311"/>
      <c r="L514" s="311"/>
      <c r="M514" s="312"/>
      <c r="N514" s="312">
        <f>_xlfn.XLOOKUP(CONCATENATE(tblPiNAnalysis[[#This Row],[Admin 2 P-Code]],tblPiNAnalysis[[#This Row],[Population Group]]),'Overall severity &amp; PIN Analysis'!A:A,'Overall severity &amp; PIN Analysis'!P:P,0,0)</f>
        <v>31128</v>
      </c>
      <c r="O514" s="311"/>
      <c r="P514" s="312"/>
      <c r="Q514" s="312"/>
      <c r="R514" s="312"/>
      <c r="S514" s="312"/>
      <c r="T514" s="313" t="str">
        <f>IF(tblPiNAnalysis[[#This Row],[Site Management ]]="", "", tblPiNAnalysis[[#This Row],[Site Management ]]/tblPiNAnalysis[[#This Row],[Total Population]])</f>
        <v/>
      </c>
      <c r="U514" s="314" t="str">
        <f>IF(tblPiNAnalysis[[#This Row],[Education]]="", "", tblPiNAnalysis[[#This Row],[Education]]/tblPiNAnalysis[[#This Row],[Total Population]])</f>
        <v/>
      </c>
      <c r="V514" s="314" t="str">
        <f>IF(tblPiNAnalysis[[#This Row],[Food Security and Livlihoods]]="", "", tblPiNAnalysis[[#This Row],[Food Security and Livlihoods]]/tblPiNAnalysis[[#This Row],[Total Population]])</f>
        <v/>
      </c>
      <c r="W514" s="315" t="str">
        <f>IF(tblPiNAnalysis[[#This Row],[Health ]]="", "", tblPiNAnalysis[[#This Row],[Health ]]/tblPiNAnalysis[[#This Row],[Total Population]])</f>
        <v/>
      </c>
      <c r="X514" s="314" t="str">
        <f>IF(tblPiNAnalysis[[#This Row],[Nutrition]]="", "", tblPiNAnalysis[[#This Row],[Nutrition]]/tblPiNAnalysis[[#This Row],[Total Population]])</f>
        <v/>
      </c>
      <c r="Y514" s="314" t="str">
        <f>IF(tblPiNAnalysis[[#This Row],[Protection]]="", "", tblPiNAnalysis[[#This Row],[Protection]]/tblPiNAnalysis[[#This Row],[Total Population]])</f>
        <v/>
      </c>
      <c r="Z514" s="316">
        <f>IF(tblPiNAnalysis[[#This Row],[Shelter NFI ]]="", "", tblPiNAnalysis[[#This Row],[Shelter NFI ]]/tblPiNAnalysis[[#This Row],[Total Population]])</f>
        <v>0.48940318218979939</v>
      </c>
      <c r="AA514" s="317" t="str">
        <f>IF(tblPiNAnalysis[[#This Row],[WASH]]="", "", tblPiNAnalysis[[#This Row],[WASH]]/tblPiNAnalysis[[#This Row],[Total Population]])</f>
        <v/>
      </c>
      <c r="AB514" s="318" t="str">
        <f>IFERROR(IF(tblPiNAnalysis[[#This Row],[CP]]="", "", MROUND(tblPiNAnalysis[[#This Row],[CP]]/tblPiNAnalysis[[#This Row],[Total Population]], 0.05)), "")</f>
        <v/>
      </c>
      <c r="AC514" s="314" t="str">
        <f>IFERROR(IF(tblPiNAnalysis[[#This Row],[GBV]]="", "", MROUND(tblPiNAnalysis[[#This Row],[GBV]]/tblPiNAnalysis[[#This Row],[Total Population]], 0.05)), "")</f>
        <v/>
      </c>
      <c r="AD514" s="314" t="str">
        <f>IFERROR(IF(tblPiNAnalysis[[#This Row],[Mine Action]]="", "", MROUND(tblPiNAnalysis[[#This Row],[Mine Action]]/tblPiNAnalysis[[#This Row],[Total Population]], 0.05)), "")</f>
        <v/>
      </c>
      <c r="AE514" s="314" t="str">
        <f>IFERROR(IF(tblPiNAnalysis[[#This Row],[General Protection]]="", "", MROUND(tblPiNAnalysis[[#This Row],[General Protection]]/tblPiNAnalysis[[#This Row],[Total Population]], 0.05)), "")</f>
        <v/>
      </c>
      <c r="AF514" s="319">
        <f>IFERROR(LARGE(tblPiNAnalysis[[#This Row],[Site Management ]:[General Protection]], 1), "")</f>
        <v>31128</v>
      </c>
      <c r="AG514" s="320">
        <f>IF(tblPiNAnalysis[[#This Row],[Highest PiN]]="", "",tblPiNAnalysis[[#This Row],[Highest PiN]]/ tblPiNAnalysis[[#This Row],[Total Population]])</f>
        <v>0.48940318218979939</v>
      </c>
      <c r="AH514" s="320" t="str">
        <f>IFERROR(IF(tblPiNAnalysis[[#This Row],[Highest PiN]]="", "", IF(tblPiNAnalysis[[#This Row],[Highest sector(s'') PiN %]]&gt;=flag_pin_perc, "Flagged", "")), "")</f>
        <v/>
      </c>
      <c r="AI514" s="321"/>
      <c r="AJ514" s="322"/>
      <c r="AK514" s="323">
        <f>COUNTIFS(tblPiNAnalysis[[#This Row],[Highest PiN greater than 90% of total affected population]:[Manual Flag]],"Flagged")</f>
        <v>0</v>
      </c>
      <c r="AL514" s="324" t="str">
        <f>IF(tblPiNAnalysis[[#This Row],['# Flags]]&gt;0, "Flagged", "")</f>
        <v/>
      </c>
    </row>
    <row r="515" spans="1:38" ht="23.1" hidden="1" customHeight="1" x14ac:dyDescent="0.2">
      <c r="A515" s="309" t="str">
        <f>_xlfn.CONCAT(IF(tblPiNAnalysis[[#This Row],[Population Group]]="", "",tblPiNAnalysis[[#This Row],[Population Group]] ), _xlfn.IFS(tblPiNAnalysis[[#This Row],[Admin 2 P-Code]]&lt;&gt;"", tblPiNAnalysis[[#This Row],[Admin 2 P-Code]], tblPiNAnalysis[[#This Row],[Admin 1 P-Code]]&lt;&gt;"", tblPiNAnalysis[[#This Row],[Admin 1 P-Code]]))</f>
        <v>IDPsSD17017</v>
      </c>
      <c r="B515" s="245" t="s">
        <v>173</v>
      </c>
      <c r="C515" s="246" t="s">
        <v>134</v>
      </c>
      <c r="D515" s="247" t="s">
        <v>532</v>
      </c>
      <c r="E515" s="246" t="s">
        <v>533</v>
      </c>
      <c r="F515" s="248">
        <v>56350</v>
      </c>
      <c r="G515" s="248" t="s">
        <v>88</v>
      </c>
      <c r="H515" s="310"/>
      <c r="I515" s="311"/>
      <c r="J515" s="312"/>
      <c r="K515" s="311"/>
      <c r="L515" s="311"/>
      <c r="M515" s="312"/>
      <c r="N515" s="312">
        <f>_xlfn.XLOOKUP(CONCATENATE(tblPiNAnalysis[[#This Row],[Admin 2 P-Code]],tblPiNAnalysis[[#This Row],[Population Group]]),'Overall severity &amp; PIN Analysis'!A:A,'Overall severity &amp; PIN Analysis'!P:P,0,0)</f>
        <v>27577</v>
      </c>
      <c r="O515" s="311"/>
      <c r="P515" s="312"/>
      <c r="Q515" s="312"/>
      <c r="R515" s="312"/>
      <c r="S515" s="312"/>
      <c r="T515" s="313" t="str">
        <f>IF(tblPiNAnalysis[[#This Row],[Site Management ]]="", "", tblPiNAnalysis[[#This Row],[Site Management ]]/tblPiNAnalysis[[#This Row],[Total Population]])</f>
        <v/>
      </c>
      <c r="U515" s="314" t="str">
        <f>IF(tblPiNAnalysis[[#This Row],[Education]]="", "", tblPiNAnalysis[[#This Row],[Education]]/tblPiNAnalysis[[#This Row],[Total Population]])</f>
        <v/>
      </c>
      <c r="V515" s="314" t="str">
        <f>IF(tblPiNAnalysis[[#This Row],[Food Security and Livlihoods]]="", "", tblPiNAnalysis[[#This Row],[Food Security and Livlihoods]]/tblPiNAnalysis[[#This Row],[Total Population]])</f>
        <v/>
      </c>
      <c r="W515" s="315" t="str">
        <f>IF(tblPiNAnalysis[[#This Row],[Health ]]="", "", tblPiNAnalysis[[#This Row],[Health ]]/tblPiNAnalysis[[#This Row],[Total Population]])</f>
        <v/>
      </c>
      <c r="X515" s="314" t="str">
        <f>IF(tblPiNAnalysis[[#This Row],[Nutrition]]="", "", tblPiNAnalysis[[#This Row],[Nutrition]]/tblPiNAnalysis[[#This Row],[Total Population]])</f>
        <v/>
      </c>
      <c r="Y515" s="314" t="str">
        <f>IF(tblPiNAnalysis[[#This Row],[Protection]]="", "", tblPiNAnalysis[[#This Row],[Protection]]/tblPiNAnalysis[[#This Row],[Total Population]])</f>
        <v/>
      </c>
      <c r="Z515" s="316">
        <f>IF(tblPiNAnalysis[[#This Row],[Shelter NFI ]]="", "", tblPiNAnalysis[[#This Row],[Shelter NFI ]]/tblPiNAnalysis[[#This Row],[Total Population]])</f>
        <v>0.4893877551020408</v>
      </c>
      <c r="AA515" s="317" t="str">
        <f>IF(tblPiNAnalysis[[#This Row],[WASH]]="", "", tblPiNAnalysis[[#This Row],[WASH]]/tblPiNAnalysis[[#This Row],[Total Population]])</f>
        <v/>
      </c>
      <c r="AB515" s="318" t="str">
        <f>IFERROR(IF(tblPiNAnalysis[[#This Row],[CP]]="", "", MROUND(tblPiNAnalysis[[#This Row],[CP]]/tblPiNAnalysis[[#This Row],[Total Population]], 0.05)), "")</f>
        <v/>
      </c>
      <c r="AC515" s="314" t="str">
        <f>IFERROR(IF(tblPiNAnalysis[[#This Row],[GBV]]="", "", MROUND(tblPiNAnalysis[[#This Row],[GBV]]/tblPiNAnalysis[[#This Row],[Total Population]], 0.05)), "")</f>
        <v/>
      </c>
      <c r="AD515" s="314" t="str">
        <f>IFERROR(IF(tblPiNAnalysis[[#This Row],[Mine Action]]="", "", MROUND(tblPiNAnalysis[[#This Row],[Mine Action]]/tblPiNAnalysis[[#This Row],[Total Population]], 0.05)), "")</f>
        <v/>
      </c>
      <c r="AE515" s="314" t="str">
        <f>IFERROR(IF(tblPiNAnalysis[[#This Row],[General Protection]]="", "", MROUND(tblPiNAnalysis[[#This Row],[General Protection]]/tblPiNAnalysis[[#This Row],[Total Population]], 0.05)), "")</f>
        <v/>
      </c>
      <c r="AF515" s="319">
        <f>IFERROR(LARGE(tblPiNAnalysis[[#This Row],[Site Management ]:[General Protection]], 1), "")</f>
        <v>27577</v>
      </c>
      <c r="AG515" s="320">
        <f>IF(tblPiNAnalysis[[#This Row],[Highest PiN]]="", "",tblPiNAnalysis[[#This Row],[Highest PiN]]/ tblPiNAnalysis[[#This Row],[Total Population]])</f>
        <v>0.4893877551020408</v>
      </c>
      <c r="AH515" s="320" t="str">
        <f>IFERROR(IF(tblPiNAnalysis[[#This Row],[Highest PiN]]="", "", IF(tblPiNAnalysis[[#This Row],[Highest sector(s'') PiN %]]&gt;=flag_pin_perc, "Flagged", "")), "")</f>
        <v/>
      </c>
      <c r="AI515" s="321"/>
      <c r="AJ515" s="322"/>
      <c r="AK515" s="323">
        <f>COUNTIFS(tblPiNAnalysis[[#This Row],[Highest PiN greater than 90% of total affected population]:[Manual Flag]],"Flagged")</f>
        <v>0</v>
      </c>
      <c r="AL515" s="324" t="str">
        <f>IF(tblPiNAnalysis[[#This Row],['# Flags]]&gt;0, "Flagged", "")</f>
        <v/>
      </c>
    </row>
    <row r="516" spans="1:38" ht="23.1" customHeight="1" x14ac:dyDescent="0.2">
      <c r="A516" s="309" t="str">
        <f>_xlfn.CONCAT(IF(tblPiNAnalysis[[#This Row],[Population Group]]="", "",tblPiNAnalysis[[#This Row],[Population Group]] ), _xlfn.IFS(tblPiNAnalysis[[#This Row],[Admin 2 P-Code]]&lt;&gt;"", tblPiNAnalysis[[#This Row],[Admin 2 P-Code]], tblPiNAnalysis[[#This Row],[Admin 1 P-Code]]&lt;&gt;"", tblPiNAnalysis[[#This Row],[Admin 1 P-Code]]))</f>
        <v>Non-hosting PopulationSD17017</v>
      </c>
      <c r="B516" s="245" t="s">
        <v>173</v>
      </c>
      <c r="C516" s="246" t="s">
        <v>134</v>
      </c>
      <c r="D516" s="247" t="s">
        <v>532</v>
      </c>
      <c r="E516" s="246" t="s">
        <v>533</v>
      </c>
      <c r="F516" s="248">
        <v>156870</v>
      </c>
      <c r="G516" s="248" t="s">
        <v>568</v>
      </c>
      <c r="H516" s="310"/>
      <c r="I516" s="311"/>
      <c r="J516" s="312"/>
      <c r="K516" s="311"/>
      <c r="L516" s="311"/>
      <c r="M516" s="312"/>
      <c r="N516" s="312">
        <f>_xlfn.XLOOKUP(CONCATENATE(tblPiNAnalysis[[#This Row],[Admin 2 P-Code]],tblPiNAnalysis[[#This Row],[Population Group]]),'Overall severity &amp; PIN Analysis'!A:A,'Overall severity &amp; PIN Analysis'!P:P,0,0)</f>
        <v>7774</v>
      </c>
      <c r="O516" s="311"/>
      <c r="P516" s="312"/>
      <c r="Q516" s="312"/>
      <c r="R516" s="312"/>
      <c r="S516" s="312"/>
      <c r="T516" s="313" t="str">
        <f>IF(tblPiNAnalysis[[#This Row],[Site Management ]]="", "", tblPiNAnalysis[[#This Row],[Site Management ]]/tblPiNAnalysis[[#This Row],[Total Population]])</f>
        <v/>
      </c>
      <c r="U516" s="314" t="str">
        <f>IF(tblPiNAnalysis[[#This Row],[Education]]="", "", tblPiNAnalysis[[#This Row],[Education]]/tblPiNAnalysis[[#This Row],[Total Population]])</f>
        <v/>
      </c>
      <c r="V516" s="314" t="str">
        <f>IF(tblPiNAnalysis[[#This Row],[Food Security and Livlihoods]]="", "", tblPiNAnalysis[[#This Row],[Food Security and Livlihoods]]/tblPiNAnalysis[[#This Row],[Total Population]])</f>
        <v/>
      </c>
      <c r="W516" s="315" t="str">
        <f>IF(tblPiNAnalysis[[#This Row],[Health ]]="", "", tblPiNAnalysis[[#This Row],[Health ]]/tblPiNAnalysis[[#This Row],[Total Population]])</f>
        <v/>
      </c>
      <c r="X516" s="314" t="str">
        <f>IF(tblPiNAnalysis[[#This Row],[Nutrition]]="", "", tblPiNAnalysis[[#This Row],[Nutrition]]/tblPiNAnalysis[[#This Row],[Total Population]])</f>
        <v/>
      </c>
      <c r="Y516" s="314" t="str">
        <f>IF(tblPiNAnalysis[[#This Row],[Protection]]="", "", tblPiNAnalysis[[#This Row],[Protection]]/tblPiNAnalysis[[#This Row],[Total Population]])</f>
        <v/>
      </c>
      <c r="Z516" s="316">
        <f>IF(tblPiNAnalysis[[#This Row],[Shelter NFI ]]="", "", tblPiNAnalysis[[#This Row],[Shelter NFI ]]/tblPiNAnalysis[[#This Row],[Total Population]])</f>
        <v>4.9556957990692929E-2</v>
      </c>
      <c r="AA516" s="317" t="str">
        <f>IF(tblPiNAnalysis[[#This Row],[WASH]]="", "", tblPiNAnalysis[[#This Row],[WASH]]/tblPiNAnalysis[[#This Row],[Total Population]])</f>
        <v/>
      </c>
      <c r="AB516" s="318" t="str">
        <f>IFERROR(IF(tblPiNAnalysis[[#This Row],[CP]]="", "", MROUND(tblPiNAnalysis[[#This Row],[CP]]/tblPiNAnalysis[[#This Row],[Total Population]], 0.05)), "")</f>
        <v/>
      </c>
      <c r="AC516" s="314" t="str">
        <f>IFERROR(IF(tblPiNAnalysis[[#This Row],[GBV]]="", "", MROUND(tblPiNAnalysis[[#This Row],[GBV]]/tblPiNAnalysis[[#This Row],[Total Population]], 0.05)), "")</f>
        <v/>
      </c>
      <c r="AD516" s="314" t="str">
        <f>IFERROR(IF(tblPiNAnalysis[[#This Row],[Mine Action]]="", "", MROUND(tblPiNAnalysis[[#This Row],[Mine Action]]/tblPiNAnalysis[[#This Row],[Total Population]], 0.05)), "")</f>
        <v/>
      </c>
      <c r="AE516" s="314" t="str">
        <f>IFERROR(IF(tblPiNAnalysis[[#This Row],[General Protection]]="", "", MROUND(tblPiNAnalysis[[#This Row],[General Protection]]/tblPiNAnalysis[[#This Row],[Total Population]], 0.05)), "")</f>
        <v/>
      </c>
      <c r="AF516" s="319">
        <f>IFERROR(LARGE(tblPiNAnalysis[[#This Row],[Site Management ]:[General Protection]], 1), "")</f>
        <v>7774</v>
      </c>
      <c r="AG516" s="320">
        <f>IF(tblPiNAnalysis[[#This Row],[Highest PiN]]="", "",tblPiNAnalysis[[#This Row],[Highest PiN]]/ tblPiNAnalysis[[#This Row],[Total Population]])</f>
        <v>4.9556957990692929E-2</v>
      </c>
      <c r="AH516" s="320" t="str">
        <f>IFERROR(IF(tblPiNAnalysis[[#This Row],[Highest PiN]]="", "", IF(tblPiNAnalysis[[#This Row],[Highest sector(s'') PiN %]]&gt;=flag_pin_perc, "Flagged", "")), "")</f>
        <v/>
      </c>
      <c r="AI516" s="321"/>
      <c r="AJ516" s="322"/>
      <c r="AK516" s="323">
        <f>COUNTIFS(tblPiNAnalysis[[#This Row],[Highest PiN greater than 90% of total affected population]:[Manual Flag]],"Flagged")</f>
        <v>0</v>
      </c>
      <c r="AL516" s="324" t="str">
        <f>IF(tblPiNAnalysis[[#This Row],['# Flags]]&gt;0, "Flagged", "")</f>
        <v/>
      </c>
    </row>
    <row r="517" spans="1:38" ht="23.1" hidden="1" customHeight="1" x14ac:dyDescent="0.2">
      <c r="A517" s="309" t="str">
        <f>_xlfn.CONCAT(IF(tblPiNAnalysis[[#This Row],[Population Group]]="", "",tblPiNAnalysis[[#This Row],[Population Group]] ), _xlfn.IFS(tblPiNAnalysis[[#This Row],[Admin 2 P-Code]]&lt;&gt;"", tblPiNAnalysis[[#This Row],[Admin 2 P-Code]], tblPiNAnalysis[[#This Row],[Admin 1 P-Code]]&lt;&gt;"", tblPiNAnalysis[[#This Row],[Admin 1 P-Code]]))</f>
        <v>Host CommunitySD17018</v>
      </c>
      <c r="B517" s="245" t="s">
        <v>173</v>
      </c>
      <c r="C517" s="246" t="s">
        <v>134</v>
      </c>
      <c r="D517" s="247" t="s">
        <v>534</v>
      </c>
      <c r="E517" s="246" t="s">
        <v>535</v>
      </c>
      <c r="F517" s="248">
        <v>61040</v>
      </c>
      <c r="G517" s="248" t="s">
        <v>87</v>
      </c>
      <c r="H517" s="310"/>
      <c r="I517" s="311"/>
      <c r="J517" s="312"/>
      <c r="K517" s="311"/>
      <c r="L517" s="311"/>
      <c r="M517" s="312"/>
      <c r="N517" s="312">
        <f>_xlfn.XLOOKUP(CONCATENATE(tblPiNAnalysis[[#This Row],[Admin 2 P-Code]],tblPiNAnalysis[[#This Row],[Population Group]]),'Overall severity &amp; PIN Analysis'!A:A,'Overall severity &amp; PIN Analysis'!P:P,0,0)</f>
        <v>14741</v>
      </c>
      <c r="O517" s="311"/>
      <c r="P517" s="312"/>
      <c r="Q517" s="312"/>
      <c r="R517" s="312"/>
      <c r="S517" s="312"/>
      <c r="T517" s="313" t="str">
        <f>IF(tblPiNAnalysis[[#This Row],[Site Management ]]="", "", tblPiNAnalysis[[#This Row],[Site Management ]]/tblPiNAnalysis[[#This Row],[Total Population]])</f>
        <v/>
      </c>
      <c r="U517" s="314" t="str">
        <f>IF(tblPiNAnalysis[[#This Row],[Education]]="", "", tblPiNAnalysis[[#This Row],[Education]]/tblPiNAnalysis[[#This Row],[Total Population]])</f>
        <v/>
      </c>
      <c r="V517" s="314" t="str">
        <f>IF(tblPiNAnalysis[[#This Row],[Food Security and Livlihoods]]="", "", tblPiNAnalysis[[#This Row],[Food Security and Livlihoods]]/tblPiNAnalysis[[#This Row],[Total Population]])</f>
        <v/>
      </c>
      <c r="W517" s="315" t="str">
        <f>IF(tblPiNAnalysis[[#This Row],[Health ]]="", "", tblPiNAnalysis[[#This Row],[Health ]]/tblPiNAnalysis[[#This Row],[Total Population]])</f>
        <v/>
      </c>
      <c r="X517" s="314" t="str">
        <f>IF(tblPiNAnalysis[[#This Row],[Nutrition]]="", "", tblPiNAnalysis[[#This Row],[Nutrition]]/tblPiNAnalysis[[#This Row],[Total Population]])</f>
        <v/>
      </c>
      <c r="Y517" s="314" t="str">
        <f>IF(tblPiNAnalysis[[#This Row],[Protection]]="", "", tblPiNAnalysis[[#This Row],[Protection]]/tblPiNAnalysis[[#This Row],[Total Population]])</f>
        <v/>
      </c>
      <c r="Z517" s="316">
        <f>IF(tblPiNAnalysis[[#This Row],[Shelter NFI ]]="", "", tblPiNAnalysis[[#This Row],[Shelter NFI ]]/tblPiNAnalysis[[#This Row],[Total Population]])</f>
        <v>0.24149737876802096</v>
      </c>
      <c r="AA517" s="317" t="str">
        <f>IF(tblPiNAnalysis[[#This Row],[WASH]]="", "", tblPiNAnalysis[[#This Row],[WASH]]/tblPiNAnalysis[[#This Row],[Total Population]])</f>
        <v/>
      </c>
      <c r="AB517" s="318" t="str">
        <f>IFERROR(IF(tblPiNAnalysis[[#This Row],[CP]]="", "", MROUND(tblPiNAnalysis[[#This Row],[CP]]/tblPiNAnalysis[[#This Row],[Total Population]], 0.05)), "")</f>
        <v/>
      </c>
      <c r="AC517" s="314" t="str">
        <f>IFERROR(IF(tblPiNAnalysis[[#This Row],[GBV]]="", "", MROUND(tblPiNAnalysis[[#This Row],[GBV]]/tblPiNAnalysis[[#This Row],[Total Population]], 0.05)), "")</f>
        <v/>
      </c>
      <c r="AD517" s="314" t="str">
        <f>IFERROR(IF(tblPiNAnalysis[[#This Row],[Mine Action]]="", "", MROUND(tblPiNAnalysis[[#This Row],[Mine Action]]/tblPiNAnalysis[[#This Row],[Total Population]], 0.05)), "")</f>
        <v/>
      </c>
      <c r="AE517" s="314" t="str">
        <f>IFERROR(IF(tblPiNAnalysis[[#This Row],[General Protection]]="", "", MROUND(tblPiNAnalysis[[#This Row],[General Protection]]/tblPiNAnalysis[[#This Row],[Total Population]], 0.05)), "")</f>
        <v/>
      </c>
      <c r="AF517" s="319">
        <f>IFERROR(LARGE(tblPiNAnalysis[[#This Row],[Site Management ]:[General Protection]], 1), "")</f>
        <v>14741</v>
      </c>
      <c r="AG517" s="320">
        <f>IF(tblPiNAnalysis[[#This Row],[Highest PiN]]="", "",tblPiNAnalysis[[#This Row],[Highest PiN]]/ tblPiNAnalysis[[#This Row],[Total Population]])</f>
        <v>0.24149737876802096</v>
      </c>
      <c r="AH517" s="320" t="str">
        <f>IFERROR(IF(tblPiNAnalysis[[#This Row],[Highest PiN]]="", "", IF(tblPiNAnalysis[[#This Row],[Highest sector(s'') PiN %]]&gt;=flag_pin_perc, "Flagged", "")), "")</f>
        <v/>
      </c>
      <c r="AI517" s="321"/>
      <c r="AJ517" s="322"/>
      <c r="AK517" s="323">
        <f>COUNTIFS(tblPiNAnalysis[[#This Row],[Highest PiN greater than 90% of total affected population]:[Manual Flag]],"Flagged")</f>
        <v>0</v>
      </c>
      <c r="AL517" s="324" t="str">
        <f>IF(tblPiNAnalysis[[#This Row],['# Flags]]&gt;0, "Flagged", "")</f>
        <v/>
      </c>
    </row>
    <row r="518" spans="1:38" ht="23.1" hidden="1" customHeight="1" x14ac:dyDescent="0.2">
      <c r="A518" s="309" t="str">
        <f>_xlfn.CONCAT(IF(tblPiNAnalysis[[#This Row],[Population Group]]="", "",tblPiNAnalysis[[#This Row],[Population Group]] ), _xlfn.IFS(tblPiNAnalysis[[#This Row],[Admin 2 P-Code]]&lt;&gt;"", tblPiNAnalysis[[#This Row],[Admin 2 P-Code]], tblPiNAnalysis[[#This Row],[Admin 1 P-Code]]&lt;&gt;"", tblPiNAnalysis[[#This Row],[Admin 1 P-Code]]))</f>
        <v>IDPsSD17018</v>
      </c>
      <c r="B518" s="245" t="s">
        <v>173</v>
      </c>
      <c r="C518" s="246" t="s">
        <v>134</v>
      </c>
      <c r="D518" s="247" t="s">
        <v>534</v>
      </c>
      <c r="E518" s="246" t="s">
        <v>535</v>
      </c>
      <c r="F518" s="248">
        <v>60442</v>
      </c>
      <c r="G518" s="248" t="s">
        <v>88</v>
      </c>
      <c r="H518" s="310"/>
      <c r="I518" s="311"/>
      <c r="J518" s="312"/>
      <c r="K518" s="311"/>
      <c r="L518" s="311"/>
      <c r="M518" s="312"/>
      <c r="N518" s="312">
        <f>_xlfn.XLOOKUP(CONCATENATE(tblPiNAnalysis[[#This Row],[Admin 2 P-Code]],tblPiNAnalysis[[#This Row],[Population Group]]),'Overall severity &amp; PIN Analysis'!A:A,'Overall severity &amp; PIN Analysis'!P:P,0,0)</f>
        <v>14597</v>
      </c>
      <c r="O518" s="311"/>
      <c r="P518" s="312"/>
      <c r="Q518" s="312"/>
      <c r="R518" s="312"/>
      <c r="S518" s="312"/>
      <c r="T518" s="313" t="str">
        <f>IF(tblPiNAnalysis[[#This Row],[Site Management ]]="", "", tblPiNAnalysis[[#This Row],[Site Management ]]/tblPiNAnalysis[[#This Row],[Total Population]])</f>
        <v/>
      </c>
      <c r="U518" s="314" t="str">
        <f>IF(tblPiNAnalysis[[#This Row],[Education]]="", "", tblPiNAnalysis[[#This Row],[Education]]/tblPiNAnalysis[[#This Row],[Total Population]])</f>
        <v/>
      </c>
      <c r="V518" s="314" t="str">
        <f>IF(tblPiNAnalysis[[#This Row],[Food Security and Livlihoods]]="", "", tblPiNAnalysis[[#This Row],[Food Security and Livlihoods]]/tblPiNAnalysis[[#This Row],[Total Population]])</f>
        <v/>
      </c>
      <c r="W518" s="315" t="str">
        <f>IF(tblPiNAnalysis[[#This Row],[Health ]]="", "", tblPiNAnalysis[[#This Row],[Health ]]/tblPiNAnalysis[[#This Row],[Total Population]])</f>
        <v/>
      </c>
      <c r="X518" s="314" t="str">
        <f>IF(tblPiNAnalysis[[#This Row],[Nutrition]]="", "", tblPiNAnalysis[[#This Row],[Nutrition]]/tblPiNAnalysis[[#This Row],[Total Population]])</f>
        <v/>
      </c>
      <c r="Y518" s="314" t="str">
        <f>IF(tblPiNAnalysis[[#This Row],[Protection]]="", "", tblPiNAnalysis[[#This Row],[Protection]]/tblPiNAnalysis[[#This Row],[Total Population]])</f>
        <v/>
      </c>
      <c r="Z518" s="316">
        <f>IF(tblPiNAnalysis[[#This Row],[Shelter NFI ]]="", "", tblPiNAnalysis[[#This Row],[Shelter NFI ]]/tblPiNAnalysis[[#This Row],[Total Population]])</f>
        <v>0.2415042520101916</v>
      </c>
      <c r="AA518" s="317" t="str">
        <f>IF(tblPiNAnalysis[[#This Row],[WASH]]="", "", tblPiNAnalysis[[#This Row],[WASH]]/tblPiNAnalysis[[#This Row],[Total Population]])</f>
        <v/>
      </c>
      <c r="AB518" s="318" t="str">
        <f>IFERROR(IF(tblPiNAnalysis[[#This Row],[CP]]="", "", MROUND(tblPiNAnalysis[[#This Row],[CP]]/tblPiNAnalysis[[#This Row],[Total Population]], 0.05)), "")</f>
        <v/>
      </c>
      <c r="AC518" s="314" t="str">
        <f>IFERROR(IF(tblPiNAnalysis[[#This Row],[GBV]]="", "", MROUND(tblPiNAnalysis[[#This Row],[GBV]]/tblPiNAnalysis[[#This Row],[Total Population]], 0.05)), "")</f>
        <v/>
      </c>
      <c r="AD518" s="314" t="str">
        <f>IFERROR(IF(tblPiNAnalysis[[#This Row],[Mine Action]]="", "", MROUND(tblPiNAnalysis[[#This Row],[Mine Action]]/tblPiNAnalysis[[#This Row],[Total Population]], 0.05)), "")</f>
        <v/>
      </c>
      <c r="AE518" s="314" t="str">
        <f>IFERROR(IF(tblPiNAnalysis[[#This Row],[General Protection]]="", "", MROUND(tblPiNAnalysis[[#This Row],[General Protection]]/tblPiNAnalysis[[#This Row],[Total Population]], 0.05)), "")</f>
        <v/>
      </c>
      <c r="AF518" s="319">
        <f>IFERROR(LARGE(tblPiNAnalysis[[#This Row],[Site Management ]:[General Protection]], 1), "")</f>
        <v>14597</v>
      </c>
      <c r="AG518" s="320">
        <f>IF(tblPiNAnalysis[[#This Row],[Highest PiN]]="", "",tblPiNAnalysis[[#This Row],[Highest PiN]]/ tblPiNAnalysis[[#This Row],[Total Population]])</f>
        <v>0.2415042520101916</v>
      </c>
      <c r="AH518" s="320" t="str">
        <f>IFERROR(IF(tblPiNAnalysis[[#This Row],[Highest PiN]]="", "", IF(tblPiNAnalysis[[#This Row],[Highest sector(s'') PiN %]]&gt;=flag_pin_perc, "Flagged", "")), "")</f>
        <v/>
      </c>
      <c r="AI518" s="321"/>
      <c r="AJ518" s="322"/>
      <c r="AK518" s="323">
        <f>COUNTIFS(tblPiNAnalysis[[#This Row],[Highest PiN greater than 90% of total affected population]:[Manual Flag]],"Flagged")</f>
        <v>0</v>
      </c>
      <c r="AL518" s="324" t="str">
        <f>IF(tblPiNAnalysis[[#This Row],['# Flags]]&gt;0, "Flagged", "")</f>
        <v/>
      </c>
    </row>
    <row r="519" spans="1:38" ht="23.1" customHeight="1" x14ac:dyDescent="0.2">
      <c r="A519" s="309" t="str">
        <f>_xlfn.CONCAT(IF(tblPiNAnalysis[[#This Row],[Population Group]]="", "",tblPiNAnalysis[[#This Row],[Population Group]] ), _xlfn.IFS(tblPiNAnalysis[[#This Row],[Admin 2 P-Code]]&lt;&gt;"", tblPiNAnalysis[[#This Row],[Admin 2 P-Code]], tblPiNAnalysis[[#This Row],[Admin 1 P-Code]]&lt;&gt;"", tblPiNAnalysis[[#This Row],[Admin 1 P-Code]]))</f>
        <v>Non-hosting PopulationSD17018</v>
      </c>
      <c r="B519" s="245" t="s">
        <v>173</v>
      </c>
      <c r="C519" s="246" t="s">
        <v>134</v>
      </c>
      <c r="D519" s="247" t="s">
        <v>534</v>
      </c>
      <c r="E519" s="246" t="s">
        <v>535</v>
      </c>
      <c r="F519" s="248">
        <v>60478</v>
      </c>
      <c r="G519" s="248" t="s">
        <v>568</v>
      </c>
      <c r="H519" s="310"/>
      <c r="I519" s="311"/>
      <c r="J519" s="312"/>
      <c r="K519" s="311"/>
      <c r="L519" s="311"/>
      <c r="M519" s="312"/>
      <c r="N519" s="312">
        <f>_xlfn.XLOOKUP(CONCATENATE(tblPiNAnalysis[[#This Row],[Admin 2 P-Code]],tblPiNAnalysis[[#This Row],[Population Group]]),'Overall severity &amp; PIN Analysis'!A:A,'Overall severity &amp; PIN Analysis'!P:P,0,0)</f>
        <v>3347</v>
      </c>
      <c r="O519" s="311"/>
      <c r="P519" s="312"/>
      <c r="Q519" s="312"/>
      <c r="R519" s="312"/>
      <c r="S519" s="312"/>
      <c r="T519" s="313" t="str">
        <f>IF(tblPiNAnalysis[[#This Row],[Site Management ]]="", "", tblPiNAnalysis[[#This Row],[Site Management ]]/tblPiNAnalysis[[#This Row],[Total Population]])</f>
        <v/>
      </c>
      <c r="U519" s="314" t="str">
        <f>IF(tblPiNAnalysis[[#This Row],[Education]]="", "", tblPiNAnalysis[[#This Row],[Education]]/tblPiNAnalysis[[#This Row],[Total Population]])</f>
        <v/>
      </c>
      <c r="V519" s="314" t="str">
        <f>IF(tblPiNAnalysis[[#This Row],[Food Security and Livlihoods]]="", "", tblPiNAnalysis[[#This Row],[Food Security and Livlihoods]]/tblPiNAnalysis[[#This Row],[Total Population]])</f>
        <v/>
      </c>
      <c r="W519" s="315" t="str">
        <f>IF(tblPiNAnalysis[[#This Row],[Health ]]="", "", tblPiNAnalysis[[#This Row],[Health ]]/tblPiNAnalysis[[#This Row],[Total Population]])</f>
        <v/>
      </c>
      <c r="X519" s="314" t="str">
        <f>IF(tblPiNAnalysis[[#This Row],[Nutrition]]="", "", tblPiNAnalysis[[#This Row],[Nutrition]]/tblPiNAnalysis[[#This Row],[Total Population]])</f>
        <v/>
      </c>
      <c r="Y519" s="314" t="str">
        <f>IF(tblPiNAnalysis[[#This Row],[Protection]]="", "", tblPiNAnalysis[[#This Row],[Protection]]/tblPiNAnalysis[[#This Row],[Total Population]])</f>
        <v/>
      </c>
      <c r="Z519" s="316">
        <f>IF(tblPiNAnalysis[[#This Row],[Shelter NFI ]]="", "", tblPiNAnalysis[[#This Row],[Shelter NFI ]]/tblPiNAnalysis[[#This Row],[Total Population]])</f>
        <v>5.5342438572704121E-2</v>
      </c>
      <c r="AA519" s="317" t="str">
        <f>IF(tblPiNAnalysis[[#This Row],[WASH]]="", "", tblPiNAnalysis[[#This Row],[WASH]]/tblPiNAnalysis[[#This Row],[Total Population]])</f>
        <v/>
      </c>
      <c r="AB519" s="318" t="str">
        <f>IFERROR(IF(tblPiNAnalysis[[#This Row],[CP]]="", "", MROUND(tblPiNAnalysis[[#This Row],[CP]]/tblPiNAnalysis[[#This Row],[Total Population]], 0.05)), "")</f>
        <v/>
      </c>
      <c r="AC519" s="314" t="str">
        <f>IFERROR(IF(tblPiNAnalysis[[#This Row],[GBV]]="", "", MROUND(tblPiNAnalysis[[#This Row],[GBV]]/tblPiNAnalysis[[#This Row],[Total Population]], 0.05)), "")</f>
        <v/>
      </c>
      <c r="AD519" s="314" t="str">
        <f>IFERROR(IF(tblPiNAnalysis[[#This Row],[Mine Action]]="", "", MROUND(tblPiNAnalysis[[#This Row],[Mine Action]]/tblPiNAnalysis[[#This Row],[Total Population]], 0.05)), "")</f>
        <v/>
      </c>
      <c r="AE519" s="314" t="str">
        <f>IFERROR(IF(tblPiNAnalysis[[#This Row],[General Protection]]="", "", MROUND(tblPiNAnalysis[[#This Row],[General Protection]]/tblPiNAnalysis[[#This Row],[Total Population]], 0.05)), "")</f>
        <v/>
      </c>
      <c r="AF519" s="319">
        <f>IFERROR(LARGE(tblPiNAnalysis[[#This Row],[Site Management ]:[General Protection]], 1), "")</f>
        <v>3347</v>
      </c>
      <c r="AG519" s="320">
        <f>IF(tblPiNAnalysis[[#This Row],[Highest PiN]]="", "",tblPiNAnalysis[[#This Row],[Highest PiN]]/ tblPiNAnalysis[[#This Row],[Total Population]])</f>
        <v>5.5342438572704121E-2</v>
      </c>
      <c r="AH519" s="320" t="str">
        <f>IFERROR(IF(tblPiNAnalysis[[#This Row],[Highest PiN]]="", "", IF(tblPiNAnalysis[[#This Row],[Highest sector(s'') PiN %]]&gt;=flag_pin_perc, "Flagged", "")), "")</f>
        <v/>
      </c>
      <c r="AI519" s="321"/>
      <c r="AJ519" s="322"/>
      <c r="AK519" s="323">
        <f>COUNTIFS(tblPiNAnalysis[[#This Row],[Highest PiN greater than 90% of total affected population]:[Manual Flag]],"Flagged")</f>
        <v>0</v>
      </c>
      <c r="AL519" s="324" t="str">
        <f>IF(tblPiNAnalysis[[#This Row],['# Flags]]&gt;0, "Flagged", "")</f>
        <v/>
      </c>
    </row>
    <row r="520" spans="1:38" ht="23.1" hidden="1" customHeight="1" x14ac:dyDescent="0.2">
      <c r="A520" s="309" t="str">
        <f>_xlfn.CONCAT(IF(tblPiNAnalysis[[#This Row],[Population Group]]="", "",tblPiNAnalysis[[#This Row],[Population Group]] ), _xlfn.IFS(tblPiNAnalysis[[#This Row],[Admin 2 P-Code]]&lt;&gt;"", tblPiNAnalysis[[#This Row],[Admin 2 P-Code]], tblPiNAnalysis[[#This Row],[Admin 1 P-Code]]&lt;&gt;"", tblPiNAnalysis[[#This Row],[Admin 1 P-Code]]))</f>
        <v>Host CommunitySD17019</v>
      </c>
      <c r="B520" s="245" t="s">
        <v>173</v>
      </c>
      <c r="C520" s="246" t="s">
        <v>134</v>
      </c>
      <c r="D520" s="247" t="s">
        <v>536</v>
      </c>
      <c r="E520" s="246" t="s">
        <v>537</v>
      </c>
      <c r="F520" s="248">
        <v>67094</v>
      </c>
      <c r="G520" s="248" t="s">
        <v>87</v>
      </c>
      <c r="H520" s="310"/>
      <c r="I520" s="311"/>
      <c r="J520" s="312"/>
      <c r="K520" s="311"/>
      <c r="L520" s="311"/>
      <c r="M520" s="312"/>
      <c r="N520" s="312">
        <f>_xlfn.XLOOKUP(CONCATENATE(tblPiNAnalysis[[#This Row],[Admin 2 P-Code]],tblPiNAnalysis[[#This Row],[Population Group]]),'Overall severity &amp; PIN Analysis'!A:A,'Overall severity &amp; PIN Analysis'!P:P,0,0)</f>
        <v>17937</v>
      </c>
      <c r="O520" s="311"/>
      <c r="P520" s="312"/>
      <c r="Q520" s="312"/>
      <c r="R520" s="312"/>
      <c r="S520" s="312"/>
      <c r="T520" s="313" t="str">
        <f>IF(tblPiNAnalysis[[#This Row],[Site Management ]]="", "", tblPiNAnalysis[[#This Row],[Site Management ]]/tblPiNAnalysis[[#This Row],[Total Population]])</f>
        <v/>
      </c>
      <c r="U520" s="314" t="str">
        <f>IF(tblPiNAnalysis[[#This Row],[Education]]="", "", tblPiNAnalysis[[#This Row],[Education]]/tblPiNAnalysis[[#This Row],[Total Population]])</f>
        <v/>
      </c>
      <c r="V520" s="314" t="str">
        <f>IF(tblPiNAnalysis[[#This Row],[Food Security and Livlihoods]]="", "", tblPiNAnalysis[[#This Row],[Food Security and Livlihoods]]/tblPiNAnalysis[[#This Row],[Total Population]])</f>
        <v/>
      </c>
      <c r="W520" s="315" t="str">
        <f>IF(tblPiNAnalysis[[#This Row],[Health ]]="", "", tblPiNAnalysis[[#This Row],[Health ]]/tblPiNAnalysis[[#This Row],[Total Population]])</f>
        <v/>
      </c>
      <c r="X520" s="314" t="str">
        <f>IF(tblPiNAnalysis[[#This Row],[Nutrition]]="", "", tblPiNAnalysis[[#This Row],[Nutrition]]/tblPiNAnalysis[[#This Row],[Total Population]])</f>
        <v/>
      </c>
      <c r="Y520" s="314" t="str">
        <f>IF(tblPiNAnalysis[[#This Row],[Protection]]="", "", tblPiNAnalysis[[#This Row],[Protection]]/tblPiNAnalysis[[#This Row],[Total Population]])</f>
        <v/>
      </c>
      <c r="Z520" s="316">
        <f>IF(tblPiNAnalysis[[#This Row],[Shelter NFI ]]="", "", tblPiNAnalysis[[#This Row],[Shelter NFI ]]/tblPiNAnalysis[[#This Row],[Total Population]])</f>
        <v>0.26734134199779414</v>
      </c>
      <c r="AA520" s="317" t="str">
        <f>IF(tblPiNAnalysis[[#This Row],[WASH]]="", "", tblPiNAnalysis[[#This Row],[WASH]]/tblPiNAnalysis[[#This Row],[Total Population]])</f>
        <v/>
      </c>
      <c r="AB520" s="318" t="str">
        <f>IFERROR(IF(tblPiNAnalysis[[#This Row],[CP]]="", "", MROUND(tblPiNAnalysis[[#This Row],[CP]]/tblPiNAnalysis[[#This Row],[Total Population]], 0.05)), "")</f>
        <v/>
      </c>
      <c r="AC520" s="314" t="str">
        <f>IFERROR(IF(tblPiNAnalysis[[#This Row],[GBV]]="", "", MROUND(tblPiNAnalysis[[#This Row],[GBV]]/tblPiNAnalysis[[#This Row],[Total Population]], 0.05)), "")</f>
        <v/>
      </c>
      <c r="AD520" s="314" t="str">
        <f>IFERROR(IF(tblPiNAnalysis[[#This Row],[Mine Action]]="", "", MROUND(tblPiNAnalysis[[#This Row],[Mine Action]]/tblPiNAnalysis[[#This Row],[Total Population]], 0.05)), "")</f>
        <v/>
      </c>
      <c r="AE520" s="314" t="str">
        <f>IFERROR(IF(tblPiNAnalysis[[#This Row],[General Protection]]="", "", MROUND(tblPiNAnalysis[[#This Row],[General Protection]]/tblPiNAnalysis[[#This Row],[Total Population]], 0.05)), "")</f>
        <v/>
      </c>
      <c r="AF520" s="319">
        <f>IFERROR(LARGE(tblPiNAnalysis[[#This Row],[Site Management ]:[General Protection]], 1), "")</f>
        <v>17937</v>
      </c>
      <c r="AG520" s="320">
        <f>IF(tblPiNAnalysis[[#This Row],[Highest PiN]]="", "",tblPiNAnalysis[[#This Row],[Highest PiN]]/ tblPiNAnalysis[[#This Row],[Total Population]])</f>
        <v>0.26734134199779414</v>
      </c>
      <c r="AH520" s="320" t="str">
        <f>IFERROR(IF(tblPiNAnalysis[[#This Row],[Highest PiN]]="", "", IF(tblPiNAnalysis[[#This Row],[Highest sector(s'') PiN %]]&gt;=flag_pin_perc, "Flagged", "")), "")</f>
        <v/>
      </c>
      <c r="AI520" s="321"/>
      <c r="AJ520" s="322"/>
      <c r="AK520" s="323">
        <f>COUNTIFS(tblPiNAnalysis[[#This Row],[Highest PiN greater than 90% of total affected population]:[Manual Flag]],"Flagged")</f>
        <v>0</v>
      </c>
      <c r="AL520" s="324" t="str">
        <f>IF(tblPiNAnalysis[[#This Row],['# Flags]]&gt;0, "Flagged", "")</f>
        <v/>
      </c>
    </row>
    <row r="521" spans="1:38" ht="23.1" hidden="1" customHeight="1" x14ac:dyDescent="0.2">
      <c r="A521" s="309" t="str">
        <f>_xlfn.CONCAT(IF(tblPiNAnalysis[[#This Row],[Population Group]]="", "",tblPiNAnalysis[[#This Row],[Population Group]] ), _xlfn.IFS(tblPiNAnalysis[[#This Row],[Admin 2 P-Code]]&lt;&gt;"", tblPiNAnalysis[[#This Row],[Admin 2 P-Code]], tblPiNAnalysis[[#This Row],[Admin 1 P-Code]]&lt;&gt;"", tblPiNAnalysis[[#This Row],[Admin 1 P-Code]]))</f>
        <v>IDPsSD17019</v>
      </c>
      <c r="B521" s="245" t="s">
        <v>173</v>
      </c>
      <c r="C521" s="246" t="s">
        <v>134</v>
      </c>
      <c r="D521" s="247" t="s">
        <v>536</v>
      </c>
      <c r="E521" s="246" t="s">
        <v>537</v>
      </c>
      <c r="F521" s="248">
        <v>66310</v>
      </c>
      <c r="G521" s="248" t="s">
        <v>88</v>
      </c>
      <c r="H521" s="310"/>
      <c r="I521" s="311"/>
      <c r="J521" s="312"/>
      <c r="K521" s="311"/>
      <c r="L521" s="311"/>
      <c r="M521" s="312"/>
      <c r="N521" s="312">
        <f>_xlfn.XLOOKUP(CONCATENATE(tblPiNAnalysis[[#This Row],[Admin 2 P-Code]],tblPiNAnalysis[[#This Row],[Population Group]]),'Overall severity &amp; PIN Analysis'!A:A,'Overall severity &amp; PIN Analysis'!P:P,0,0)</f>
        <v>17728</v>
      </c>
      <c r="O521" s="311"/>
      <c r="P521" s="312"/>
      <c r="Q521" s="312"/>
      <c r="R521" s="312"/>
      <c r="S521" s="312"/>
      <c r="T521" s="313" t="str">
        <f>IF(tblPiNAnalysis[[#This Row],[Site Management ]]="", "", tblPiNAnalysis[[#This Row],[Site Management ]]/tblPiNAnalysis[[#This Row],[Total Population]])</f>
        <v/>
      </c>
      <c r="U521" s="314" t="str">
        <f>IF(tblPiNAnalysis[[#This Row],[Education]]="", "", tblPiNAnalysis[[#This Row],[Education]]/tblPiNAnalysis[[#This Row],[Total Population]])</f>
        <v/>
      </c>
      <c r="V521" s="314" t="str">
        <f>IF(tblPiNAnalysis[[#This Row],[Food Security and Livlihoods]]="", "", tblPiNAnalysis[[#This Row],[Food Security and Livlihoods]]/tblPiNAnalysis[[#This Row],[Total Population]])</f>
        <v/>
      </c>
      <c r="W521" s="315" t="str">
        <f>IF(tblPiNAnalysis[[#This Row],[Health ]]="", "", tblPiNAnalysis[[#This Row],[Health ]]/tblPiNAnalysis[[#This Row],[Total Population]])</f>
        <v/>
      </c>
      <c r="X521" s="314" t="str">
        <f>IF(tblPiNAnalysis[[#This Row],[Nutrition]]="", "", tblPiNAnalysis[[#This Row],[Nutrition]]/tblPiNAnalysis[[#This Row],[Total Population]])</f>
        <v/>
      </c>
      <c r="Y521" s="314" t="str">
        <f>IF(tblPiNAnalysis[[#This Row],[Protection]]="", "", tblPiNAnalysis[[#This Row],[Protection]]/tblPiNAnalysis[[#This Row],[Total Population]])</f>
        <v/>
      </c>
      <c r="Z521" s="316">
        <f>IF(tblPiNAnalysis[[#This Row],[Shelter NFI ]]="", "", tblPiNAnalysis[[#This Row],[Shelter NFI ]]/tblPiNAnalysis[[#This Row],[Total Population]])</f>
        <v>0.26735032423465538</v>
      </c>
      <c r="AA521" s="317" t="str">
        <f>IF(tblPiNAnalysis[[#This Row],[WASH]]="", "", tblPiNAnalysis[[#This Row],[WASH]]/tblPiNAnalysis[[#This Row],[Total Population]])</f>
        <v/>
      </c>
      <c r="AB521" s="318" t="str">
        <f>IFERROR(IF(tblPiNAnalysis[[#This Row],[CP]]="", "", MROUND(tblPiNAnalysis[[#This Row],[CP]]/tblPiNAnalysis[[#This Row],[Total Population]], 0.05)), "")</f>
        <v/>
      </c>
      <c r="AC521" s="314" t="str">
        <f>IFERROR(IF(tblPiNAnalysis[[#This Row],[GBV]]="", "", MROUND(tblPiNAnalysis[[#This Row],[GBV]]/tblPiNAnalysis[[#This Row],[Total Population]], 0.05)), "")</f>
        <v/>
      </c>
      <c r="AD521" s="314" t="str">
        <f>IFERROR(IF(tblPiNAnalysis[[#This Row],[Mine Action]]="", "", MROUND(tblPiNAnalysis[[#This Row],[Mine Action]]/tblPiNAnalysis[[#This Row],[Total Population]], 0.05)), "")</f>
        <v/>
      </c>
      <c r="AE521" s="314" t="str">
        <f>IFERROR(IF(tblPiNAnalysis[[#This Row],[General Protection]]="", "", MROUND(tblPiNAnalysis[[#This Row],[General Protection]]/tblPiNAnalysis[[#This Row],[Total Population]], 0.05)), "")</f>
        <v/>
      </c>
      <c r="AF521" s="319">
        <f>IFERROR(LARGE(tblPiNAnalysis[[#This Row],[Site Management ]:[General Protection]], 1), "")</f>
        <v>17728</v>
      </c>
      <c r="AG521" s="320">
        <f>IF(tblPiNAnalysis[[#This Row],[Highest PiN]]="", "",tblPiNAnalysis[[#This Row],[Highest PiN]]/ tblPiNAnalysis[[#This Row],[Total Population]])</f>
        <v>0.26735032423465538</v>
      </c>
      <c r="AH521" s="320" t="str">
        <f>IFERROR(IF(tblPiNAnalysis[[#This Row],[Highest PiN]]="", "", IF(tblPiNAnalysis[[#This Row],[Highest sector(s'') PiN %]]&gt;=flag_pin_perc, "Flagged", "")), "")</f>
        <v/>
      </c>
      <c r="AI521" s="321"/>
      <c r="AJ521" s="322"/>
      <c r="AK521" s="323">
        <f>COUNTIFS(tblPiNAnalysis[[#This Row],[Highest PiN greater than 90% of total affected population]:[Manual Flag]],"Flagged")</f>
        <v>0</v>
      </c>
      <c r="AL521" s="324" t="str">
        <f>IF(tblPiNAnalysis[[#This Row],['# Flags]]&gt;0, "Flagged", "")</f>
        <v/>
      </c>
    </row>
    <row r="522" spans="1:38" ht="23.1" customHeight="1" x14ac:dyDescent="0.2">
      <c r="A522" s="309" t="str">
        <f>_xlfn.CONCAT(IF(tblPiNAnalysis[[#This Row],[Population Group]]="", "",tblPiNAnalysis[[#This Row],[Population Group]] ), _xlfn.IFS(tblPiNAnalysis[[#This Row],[Admin 2 P-Code]]&lt;&gt;"", tblPiNAnalysis[[#This Row],[Admin 2 P-Code]], tblPiNAnalysis[[#This Row],[Admin 1 P-Code]]&lt;&gt;"", tblPiNAnalysis[[#This Row],[Admin 1 P-Code]]))</f>
        <v>Non-hosting PopulationSD17019</v>
      </c>
      <c r="B522" s="245" t="s">
        <v>173</v>
      </c>
      <c r="C522" s="246" t="s">
        <v>134</v>
      </c>
      <c r="D522" s="247" t="s">
        <v>536</v>
      </c>
      <c r="E522" s="246" t="s">
        <v>537</v>
      </c>
      <c r="F522" s="248">
        <v>152565</v>
      </c>
      <c r="G522" s="248" t="s">
        <v>568</v>
      </c>
      <c r="H522" s="310"/>
      <c r="I522" s="311"/>
      <c r="J522" s="312"/>
      <c r="K522" s="311"/>
      <c r="L522" s="311"/>
      <c r="M522" s="312"/>
      <c r="N522" s="312">
        <f>_xlfn.XLOOKUP(CONCATENATE(tblPiNAnalysis[[#This Row],[Admin 2 P-Code]],tblPiNAnalysis[[#This Row],[Population Group]]),'Overall severity &amp; PIN Analysis'!A:A,'Overall severity &amp; PIN Analysis'!P:P,0,0)</f>
        <v>12746</v>
      </c>
      <c r="O522" s="311"/>
      <c r="P522" s="312"/>
      <c r="Q522" s="312"/>
      <c r="R522" s="312"/>
      <c r="S522" s="312"/>
      <c r="T522" s="313" t="str">
        <f>IF(tblPiNAnalysis[[#This Row],[Site Management ]]="", "", tblPiNAnalysis[[#This Row],[Site Management ]]/tblPiNAnalysis[[#This Row],[Total Population]])</f>
        <v/>
      </c>
      <c r="U522" s="314" t="str">
        <f>IF(tblPiNAnalysis[[#This Row],[Education]]="", "", tblPiNAnalysis[[#This Row],[Education]]/tblPiNAnalysis[[#This Row],[Total Population]])</f>
        <v/>
      </c>
      <c r="V522" s="314" t="str">
        <f>IF(tblPiNAnalysis[[#This Row],[Food Security and Livlihoods]]="", "", tblPiNAnalysis[[#This Row],[Food Security and Livlihoods]]/tblPiNAnalysis[[#This Row],[Total Population]])</f>
        <v/>
      </c>
      <c r="W522" s="315" t="str">
        <f>IF(tblPiNAnalysis[[#This Row],[Health ]]="", "", tblPiNAnalysis[[#This Row],[Health ]]/tblPiNAnalysis[[#This Row],[Total Population]])</f>
        <v/>
      </c>
      <c r="X522" s="314" t="str">
        <f>IF(tblPiNAnalysis[[#This Row],[Nutrition]]="", "", tblPiNAnalysis[[#This Row],[Nutrition]]/tblPiNAnalysis[[#This Row],[Total Population]])</f>
        <v/>
      </c>
      <c r="Y522" s="314" t="str">
        <f>IF(tblPiNAnalysis[[#This Row],[Protection]]="", "", tblPiNAnalysis[[#This Row],[Protection]]/tblPiNAnalysis[[#This Row],[Total Population]])</f>
        <v/>
      </c>
      <c r="Z522" s="316">
        <f>IF(tblPiNAnalysis[[#This Row],[Shelter NFI ]]="", "", tblPiNAnalysis[[#This Row],[Shelter NFI ]]/tblPiNAnalysis[[#This Row],[Total Population]])</f>
        <v>8.354471864451217E-2</v>
      </c>
      <c r="AA522" s="317" t="str">
        <f>IF(tblPiNAnalysis[[#This Row],[WASH]]="", "", tblPiNAnalysis[[#This Row],[WASH]]/tblPiNAnalysis[[#This Row],[Total Population]])</f>
        <v/>
      </c>
      <c r="AB522" s="318" t="str">
        <f>IFERROR(IF(tblPiNAnalysis[[#This Row],[CP]]="", "", MROUND(tblPiNAnalysis[[#This Row],[CP]]/tblPiNAnalysis[[#This Row],[Total Population]], 0.05)), "")</f>
        <v/>
      </c>
      <c r="AC522" s="314" t="str">
        <f>IFERROR(IF(tblPiNAnalysis[[#This Row],[GBV]]="", "", MROUND(tblPiNAnalysis[[#This Row],[GBV]]/tblPiNAnalysis[[#This Row],[Total Population]], 0.05)), "")</f>
        <v/>
      </c>
      <c r="AD522" s="314" t="str">
        <f>IFERROR(IF(tblPiNAnalysis[[#This Row],[Mine Action]]="", "", MROUND(tblPiNAnalysis[[#This Row],[Mine Action]]/tblPiNAnalysis[[#This Row],[Total Population]], 0.05)), "")</f>
        <v/>
      </c>
      <c r="AE522" s="314" t="str">
        <f>IFERROR(IF(tblPiNAnalysis[[#This Row],[General Protection]]="", "", MROUND(tblPiNAnalysis[[#This Row],[General Protection]]/tblPiNAnalysis[[#This Row],[Total Population]], 0.05)), "")</f>
        <v/>
      </c>
      <c r="AF522" s="319">
        <f>IFERROR(LARGE(tblPiNAnalysis[[#This Row],[Site Management ]:[General Protection]], 1), "")</f>
        <v>12746</v>
      </c>
      <c r="AG522" s="320">
        <f>IF(tblPiNAnalysis[[#This Row],[Highest PiN]]="", "",tblPiNAnalysis[[#This Row],[Highest PiN]]/ tblPiNAnalysis[[#This Row],[Total Population]])</f>
        <v>8.354471864451217E-2</v>
      </c>
      <c r="AH522" s="320" t="str">
        <f>IFERROR(IF(tblPiNAnalysis[[#This Row],[Highest PiN]]="", "", IF(tblPiNAnalysis[[#This Row],[Highest sector(s'') PiN %]]&gt;=flag_pin_perc, "Flagged", "")), "")</f>
        <v/>
      </c>
      <c r="AI522" s="321"/>
      <c r="AJ522" s="322"/>
      <c r="AK522" s="323">
        <f>COUNTIFS(tblPiNAnalysis[[#This Row],[Highest PiN greater than 90% of total affected population]:[Manual Flag]],"Flagged")</f>
        <v>0</v>
      </c>
      <c r="AL522" s="324" t="str">
        <f>IF(tblPiNAnalysis[[#This Row],['# Flags]]&gt;0, "Flagged", "")</f>
        <v/>
      </c>
    </row>
    <row r="523" spans="1:38" ht="23.1" hidden="1" customHeight="1" x14ac:dyDescent="0.2">
      <c r="A523" s="309" t="str">
        <f>_xlfn.CONCAT(IF(tblPiNAnalysis[[#This Row],[Population Group]]="", "",tblPiNAnalysis[[#This Row],[Population Group]] ), _xlfn.IFS(tblPiNAnalysis[[#This Row],[Admin 2 P-Code]]&lt;&gt;"", tblPiNAnalysis[[#This Row],[Admin 2 P-Code]], tblPiNAnalysis[[#This Row],[Admin 1 P-Code]]&lt;&gt;"", tblPiNAnalysis[[#This Row],[Admin 1 P-Code]]))</f>
        <v>Host CommunitySD17020</v>
      </c>
      <c r="B523" s="245" t="s">
        <v>173</v>
      </c>
      <c r="C523" s="246" t="s">
        <v>134</v>
      </c>
      <c r="D523" s="247" t="s">
        <v>538</v>
      </c>
      <c r="E523" s="246" t="s">
        <v>539</v>
      </c>
      <c r="F523" s="248">
        <v>79787</v>
      </c>
      <c r="G523" s="248" t="s">
        <v>87</v>
      </c>
      <c r="H523" s="310"/>
      <c r="I523" s="311"/>
      <c r="J523" s="312"/>
      <c r="K523" s="311"/>
      <c r="L523" s="311"/>
      <c r="M523" s="312"/>
      <c r="N523" s="312">
        <f>_xlfn.XLOOKUP(CONCATENATE(tblPiNAnalysis[[#This Row],[Admin 2 P-Code]],tblPiNAnalysis[[#This Row],[Population Group]]),'Overall severity &amp; PIN Analysis'!A:A,'Overall severity &amp; PIN Analysis'!P:P,0,0)</f>
        <v>21214</v>
      </c>
      <c r="O523" s="311"/>
      <c r="P523" s="312"/>
      <c r="Q523" s="312"/>
      <c r="R523" s="312"/>
      <c r="S523" s="312"/>
      <c r="T523" s="313" t="str">
        <f>IF(tblPiNAnalysis[[#This Row],[Site Management ]]="", "", tblPiNAnalysis[[#This Row],[Site Management ]]/tblPiNAnalysis[[#This Row],[Total Population]])</f>
        <v/>
      </c>
      <c r="U523" s="314" t="str">
        <f>IF(tblPiNAnalysis[[#This Row],[Education]]="", "", tblPiNAnalysis[[#This Row],[Education]]/tblPiNAnalysis[[#This Row],[Total Population]])</f>
        <v/>
      </c>
      <c r="V523" s="314" t="str">
        <f>IF(tblPiNAnalysis[[#This Row],[Food Security and Livlihoods]]="", "", tblPiNAnalysis[[#This Row],[Food Security and Livlihoods]]/tblPiNAnalysis[[#This Row],[Total Population]])</f>
        <v/>
      </c>
      <c r="W523" s="315" t="str">
        <f>IF(tblPiNAnalysis[[#This Row],[Health ]]="", "", tblPiNAnalysis[[#This Row],[Health ]]/tblPiNAnalysis[[#This Row],[Total Population]])</f>
        <v/>
      </c>
      <c r="X523" s="314" t="str">
        <f>IF(tblPiNAnalysis[[#This Row],[Nutrition]]="", "", tblPiNAnalysis[[#This Row],[Nutrition]]/tblPiNAnalysis[[#This Row],[Total Population]])</f>
        <v/>
      </c>
      <c r="Y523" s="314" t="str">
        <f>IF(tblPiNAnalysis[[#This Row],[Protection]]="", "", tblPiNAnalysis[[#This Row],[Protection]]/tblPiNAnalysis[[#This Row],[Total Population]])</f>
        <v/>
      </c>
      <c r="Z523" s="316">
        <f>IF(tblPiNAnalysis[[#This Row],[Shelter NFI ]]="", "", tblPiNAnalysis[[#This Row],[Shelter NFI ]]/tblPiNAnalysis[[#This Row],[Total Population]])</f>
        <v>0.26588291325654556</v>
      </c>
      <c r="AA523" s="317" t="str">
        <f>IF(tblPiNAnalysis[[#This Row],[WASH]]="", "", tblPiNAnalysis[[#This Row],[WASH]]/tblPiNAnalysis[[#This Row],[Total Population]])</f>
        <v/>
      </c>
      <c r="AB523" s="318" t="str">
        <f>IFERROR(IF(tblPiNAnalysis[[#This Row],[CP]]="", "", MROUND(tblPiNAnalysis[[#This Row],[CP]]/tblPiNAnalysis[[#This Row],[Total Population]], 0.05)), "")</f>
        <v/>
      </c>
      <c r="AC523" s="314" t="str">
        <f>IFERROR(IF(tblPiNAnalysis[[#This Row],[GBV]]="", "", MROUND(tblPiNAnalysis[[#This Row],[GBV]]/tblPiNAnalysis[[#This Row],[Total Population]], 0.05)), "")</f>
        <v/>
      </c>
      <c r="AD523" s="314" t="str">
        <f>IFERROR(IF(tblPiNAnalysis[[#This Row],[Mine Action]]="", "", MROUND(tblPiNAnalysis[[#This Row],[Mine Action]]/tblPiNAnalysis[[#This Row],[Total Population]], 0.05)), "")</f>
        <v/>
      </c>
      <c r="AE523" s="314" t="str">
        <f>IFERROR(IF(tblPiNAnalysis[[#This Row],[General Protection]]="", "", MROUND(tblPiNAnalysis[[#This Row],[General Protection]]/tblPiNAnalysis[[#This Row],[Total Population]], 0.05)), "")</f>
        <v/>
      </c>
      <c r="AF523" s="319">
        <f>IFERROR(LARGE(tblPiNAnalysis[[#This Row],[Site Management ]:[General Protection]], 1), "")</f>
        <v>21214</v>
      </c>
      <c r="AG523" s="320">
        <f>IF(tblPiNAnalysis[[#This Row],[Highest PiN]]="", "",tblPiNAnalysis[[#This Row],[Highest PiN]]/ tblPiNAnalysis[[#This Row],[Total Population]])</f>
        <v>0.26588291325654556</v>
      </c>
      <c r="AH523" s="320" t="str">
        <f>IFERROR(IF(tblPiNAnalysis[[#This Row],[Highest PiN]]="", "", IF(tblPiNAnalysis[[#This Row],[Highest sector(s'') PiN %]]&gt;=flag_pin_perc, "Flagged", "")), "")</f>
        <v/>
      </c>
      <c r="AI523" s="321"/>
      <c r="AJ523" s="322"/>
      <c r="AK523" s="323">
        <f>COUNTIFS(tblPiNAnalysis[[#This Row],[Highest PiN greater than 90% of total affected population]:[Manual Flag]],"Flagged")</f>
        <v>0</v>
      </c>
      <c r="AL523" s="324" t="str">
        <f>IF(tblPiNAnalysis[[#This Row],['# Flags]]&gt;0, "Flagged", "")</f>
        <v/>
      </c>
    </row>
    <row r="524" spans="1:38" ht="23.1" hidden="1" customHeight="1" x14ac:dyDescent="0.2">
      <c r="A524" s="309" t="str">
        <f>_xlfn.CONCAT(IF(tblPiNAnalysis[[#This Row],[Population Group]]="", "",tblPiNAnalysis[[#This Row],[Population Group]] ), _xlfn.IFS(tblPiNAnalysis[[#This Row],[Admin 2 P-Code]]&lt;&gt;"", tblPiNAnalysis[[#This Row],[Admin 2 P-Code]], tblPiNAnalysis[[#This Row],[Admin 1 P-Code]]&lt;&gt;"", tblPiNAnalysis[[#This Row],[Admin 1 P-Code]]))</f>
        <v>IDPsSD17020</v>
      </c>
      <c r="B524" s="245" t="s">
        <v>173</v>
      </c>
      <c r="C524" s="246" t="s">
        <v>134</v>
      </c>
      <c r="D524" s="247" t="s">
        <v>538</v>
      </c>
      <c r="E524" s="246" t="s">
        <v>539</v>
      </c>
      <c r="F524" s="248">
        <v>79388</v>
      </c>
      <c r="G524" s="248" t="s">
        <v>88</v>
      </c>
      <c r="H524" s="310"/>
      <c r="I524" s="311"/>
      <c r="J524" s="312"/>
      <c r="K524" s="311"/>
      <c r="L524" s="311"/>
      <c r="M524" s="312"/>
      <c r="N524" s="312">
        <f>_xlfn.XLOOKUP(CONCATENATE(tblPiNAnalysis[[#This Row],[Admin 2 P-Code]],tblPiNAnalysis[[#This Row],[Population Group]]),'Overall severity &amp; PIN Analysis'!A:A,'Overall severity &amp; PIN Analysis'!P:P,0,0)</f>
        <v>21108</v>
      </c>
      <c r="O524" s="311"/>
      <c r="P524" s="312"/>
      <c r="Q524" s="312"/>
      <c r="R524" s="312"/>
      <c r="S524" s="312"/>
      <c r="T524" s="313" t="str">
        <f>IF(tblPiNAnalysis[[#This Row],[Site Management ]]="", "", tblPiNAnalysis[[#This Row],[Site Management ]]/tblPiNAnalysis[[#This Row],[Total Population]])</f>
        <v/>
      </c>
      <c r="U524" s="314" t="str">
        <f>IF(tblPiNAnalysis[[#This Row],[Education]]="", "", tblPiNAnalysis[[#This Row],[Education]]/tblPiNAnalysis[[#This Row],[Total Population]])</f>
        <v/>
      </c>
      <c r="V524" s="314" t="str">
        <f>IF(tblPiNAnalysis[[#This Row],[Food Security and Livlihoods]]="", "", tblPiNAnalysis[[#This Row],[Food Security and Livlihoods]]/tblPiNAnalysis[[#This Row],[Total Population]])</f>
        <v/>
      </c>
      <c r="W524" s="315" t="str">
        <f>IF(tblPiNAnalysis[[#This Row],[Health ]]="", "", tblPiNAnalysis[[#This Row],[Health ]]/tblPiNAnalysis[[#This Row],[Total Population]])</f>
        <v/>
      </c>
      <c r="X524" s="314" t="str">
        <f>IF(tblPiNAnalysis[[#This Row],[Nutrition]]="", "", tblPiNAnalysis[[#This Row],[Nutrition]]/tblPiNAnalysis[[#This Row],[Total Population]])</f>
        <v/>
      </c>
      <c r="Y524" s="314" t="str">
        <f>IF(tblPiNAnalysis[[#This Row],[Protection]]="", "", tblPiNAnalysis[[#This Row],[Protection]]/tblPiNAnalysis[[#This Row],[Total Population]])</f>
        <v/>
      </c>
      <c r="Z524" s="316">
        <f>IF(tblPiNAnalysis[[#This Row],[Shelter NFI ]]="", "", tblPiNAnalysis[[#This Row],[Shelter NFI ]]/tblPiNAnalysis[[#This Row],[Total Population]])</f>
        <v>0.26588401269713308</v>
      </c>
      <c r="AA524" s="317" t="str">
        <f>IF(tblPiNAnalysis[[#This Row],[WASH]]="", "", tblPiNAnalysis[[#This Row],[WASH]]/tblPiNAnalysis[[#This Row],[Total Population]])</f>
        <v/>
      </c>
      <c r="AB524" s="318" t="str">
        <f>IFERROR(IF(tblPiNAnalysis[[#This Row],[CP]]="", "", MROUND(tblPiNAnalysis[[#This Row],[CP]]/tblPiNAnalysis[[#This Row],[Total Population]], 0.05)), "")</f>
        <v/>
      </c>
      <c r="AC524" s="314" t="str">
        <f>IFERROR(IF(tblPiNAnalysis[[#This Row],[GBV]]="", "", MROUND(tblPiNAnalysis[[#This Row],[GBV]]/tblPiNAnalysis[[#This Row],[Total Population]], 0.05)), "")</f>
        <v/>
      </c>
      <c r="AD524" s="314" t="str">
        <f>IFERROR(IF(tblPiNAnalysis[[#This Row],[Mine Action]]="", "", MROUND(tblPiNAnalysis[[#This Row],[Mine Action]]/tblPiNAnalysis[[#This Row],[Total Population]], 0.05)), "")</f>
        <v/>
      </c>
      <c r="AE524" s="314" t="str">
        <f>IFERROR(IF(tblPiNAnalysis[[#This Row],[General Protection]]="", "", MROUND(tblPiNAnalysis[[#This Row],[General Protection]]/tblPiNAnalysis[[#This Row],[Total Population]], 0.05)), "")</f>
        <v/>
      </c>
      <c r="AF524" s="319">
        <f>IFERROR(LARGE(tblPiNAnalysis[[#This Row],[Site Management ]:[General Protection]], 1), "")</f>
        <v>21108</v>
      </c>
      <c r="AG524" s="320">
        <f>IF(tblPiNAnalysis[[#This Row],[Highest PiN]]="", "",tblPiNAnalysis[[#This Row],[Highest PiN]]/ tblPiNAnalysis[[#This Row],[Total Population]])</f>
        <v>0.26588401269713308</v>
      </c>
      <c r="AH524" s="320" t="str">
        <f>IFERROR(IF(tblPiNAnalysis[[#This Row],[Highest PiN]]="", "", IF(tblPiNAnalysis[[#This Row],[Highest sector(s'') PiN %]]&gt;=flag_pin_perc, "Flagged", "")), "")</f>
        <v/>
      </c>
      <c r="AI524" s="321"/>
      <c r="AJ524" s="322"/>
      <c r="AK524" s="323">
        <f>COUNTIFS(tblPiNAnalysis[[#This Row],[Highest PiN greater than 90% of total affected population]:[Manual Flag]],"Flagged")</f>
        <v>0</v>
      </c>
      <c r="AL524" s="324" t="str">
        <f>IF(tblPiNAnalysis[[#This Row],['# Flags]]&gt;0, "Flagged", "")</f>
        <v/>
      </c>
    </row>
    <row r="525" spans="1:38" ht="23.1" customHeight="1" x14ac:dyDescent="0.2">
      <c r="A525" s="309" t="str">
        <f>_xlfn.CONCAT(IF(tblPiNAnalysis[[#This Row],[Population Group]]="", "",tblPiNAnalysis[[#This Row],[Population Group]] ), _xlfn.IFS(tblPiNAnalysis[[#This Row],[Admin 2 P-Code]]&lt;&gt;"", tblPiNAnalysis[[#This Row],[Admin 2 P-Code]], tblPiNAnalysis[[#This Row],[Admin 1 P-Code]]&lt;&gt;"", tblPiNAnalysis[[#This Row],[Admin 1 P-Code]]))</f>
        <v>Non-hosting PopulationSD17020</v>
      </c>
      <c r="B525" s="245" t="s">
        <v>173</v>
      </c>
      <c r="C525" s="246" t="s">
        <v>134</v>
      </c>
      <c r="D525" s="247" t="s">
        <v>538</v>
      </c>
      <c r="E525" s="246" t="s">
        <v>539</v>
      </c>
      <c r="F525" s="248">
        <v>151326</v>
      </c>
      <c r="G525" s="248" t="s">
        <v>568</v>
      </c>
      <c r="H525" s="310"/>
      <c r="I525" s="311"/>
      <c r="J525" s="312"/>
      <c r="K525" s="311"/>
      <c r="L525" s="311"/>
      <c r="M525" s="312"/>
      <c r="N525" s="312">
        <f>_xlfn.XLOOKUP(CONCATENATE(tblPiNAnalysis[[#This Row],[Admin 2 P-Code]],tblPiNAnalysis[[#This Row],[Population Group]]),'Overall severity &amp; PIN Analysis'!A:A,'Overall severity &amp; PIN Analysis'!P:P,0,0)</f>
        <v>3018</v>
      </c>
      <c r="O525" s="311"/>
      <c r="P525" s="312"/>
      <c r="Q525" s="312"/>
      <c r="R525" s="312"/>
      <c r="S525" s="312"/>
      <c r="T525" s="313" t="str">
        <f>IF(tblPiNAnalysis[[#This Row],[Site Management ]]="", "", tblPiNAnalysis[[#This Row],[Site Management ]]/tblPiNAnalysis[[#This Row],[Total Population]])</f>
        <v/>
      </c>
      <c r="U525" s="314" t="str">
        <f>IF(tblPiNAnalysis[[#This Row],[Education]]="", "", tblPiNAnalysis[[#This Row],[Education]]/tblPiNAnalysis[[#This Row],[Total Population]])</f>
        <v/>
      </c>
      <c r="V525" s="314" t="str">
        <f>IF(tblPiNAnalysis[[#This Row],[Food Security and Livlihoods]]="", "", tblPiNAnalysis[[#This Row],[Food Security and Livlihoods]]/tblPiNAnalysis[[#This Row],[Total Population]])</f>
        <v/>
      </c>
      <c r="W525" s="315" t="str">
        <f>IF(tblPiNAnalysis[[#This Row],[Health ]]="", "", tblPiNAnalysis[[#This Row],[Health ]]/tblPiNAnalysis[[#This Row],[Total Population]])</f>
        <v/>
      </c>
      <c r="X525" s="314" t="str">
        <f>IF(tblPiNAnalysis[[#This Row],[Nutrition]]="", "", tblPiNAnalysis[[#This Row],[Nutrition]]/tblPiNAnalysis[[#This Row],[Total Population]])</f>
        <v/>
      </c>
      <c r="Y525" s="314" t="str">
        <f>IF(tblPiNAnalysis[[#This Row],[Protection]]="", "", tblPiNAnalysis[[#This Row],[Protection]]/tblPiNAnalysis[[#This Row],[Total Population]])</f>
        <v/>
      </c>
      <c r="Z525" s="316">
        <f>IF(tblPiNAnalysis[[#This Row],[Shelter NFI ]]="", "", tblPiNAnalysis[[#This Row],[Shelter NFI ]]/tblPiNAnalysis[[#This Row],[Total Population]])</f>
        <v>1.9943697712223939E-2</v>
      </c>
      <c r="AA525" s="317" t="str">
        <f>IF(tblPiNAnalysis[[#This Row],[WASH]]="", "", tblPiNAnalysis[[#This Row],[WASH]]/tblPiNAnalysis[[#This Row],[Total Population]])</f>
        <v/>
      </c>
      <c r="AB525" s="318" t="str">
        <f>IFERROR(IF(tblPiNAnalysis[[#This Row],[CP]]="", "", MROUND(tblPiNAnalysis[[#This Row],[CP]]/tblPiNAnalysis[[#This Row],[Total Population]], 0.05)), "")</f>
        <v/>
      </c>
      <c r="AC525" s="314" t="str">
        <f>IFERROR(IF(tblPiNAnalysis[[#This Row],[GBV]]="", "", MROUND(tblPiNAnalysis[[#This Row],[GBV]]/tblPiNAnalysis[[#This Row],[Total Population]], 0.05)), "")</f>
        <v/>
      </c>
      <c r="AD525" s="314" t="str">
        <f>IFERROR(IF(tblPiNAnalysis[[#This Row],[Mine Action]]="", "", MROUND(tblPiNAnalysis[[#This Row],[Mine Action]]/tblPiNAnalysis[[#This Row],[Total Population]], 0.05)), "")</f>
        <v/>
      </c>
      <c r="AE525" s="314" t="str">
        <f>IFERROR(IF(tblPiNAnalysis[[#This Row],[General Protection]]="", "", MROUND(tblPiNAnalysis[[#This Row],[General Protection]]/tblPiNAnalysis[[#This Row],[Total Population]], 0.05)), "")</f>
        <v/>
      </c>
      <c r="AF525" s="319">
        <f>IFERROR(LARGE(tblPiNAnalysis[[#This Row],[Site Management ]:[General Protection]], 1), "")</f>
        <v>3018</v>
      </c>
      <c r="AG525" s="320">
        <f>IF(tblPiNAnalysis[[#This Row],[Highest PiN]]="", "",tblPiNAnalysis[[#This Row],[Highest PiN]]/ tblPiNAnalysis[[#This Row],[Total Population]])</f>
        <v>1.9943697712223939E-2</v>
      </c>
      <c r="AH525" s="320" t="str">
        <f>IFERROR(IF(tblPiNAnalysis[[#This Row],[Highest PiN]]="", "", IF(tblPiNAnalysis[[#This Row],[Highest sector(s'') PiN %]]&gt;=flag_pin_perc, "Flagged", "")), "")</f>
        <v/>
      </c>
      <c r="AI525" s="321"/>
      <c r="AJ525" s="322"/>
      <c r="AK525" s="323">
        <f>COUNTIFS(tblPiNAnalysis[[#This Row],[Highest PiN greater than 90% of total affected population]:[Manual Flag]],"Flagged")</f>
        <v>0</v>
      </c>
      <c r="AL525" s="324" t="str">
        <f>IF(tblPiNAnalysis[[#This Row],['# Flags]]&gt;0, "Flagged", "")</f>
        <v/>
      </c>
    </row>
    <row r="526" spans="1:38" ht="23.1" hidden="1" customHeight="1" x14ac:dyDescent="0.2">
      <c r="A526" s="309" t="str">
        <f>_xlfn.CONCAT(IF(tblPiNAnalysis[[#This Row],[Population Group]]="", "",tblPiNAnalysis[[#This Row],[Population Group]] ), _xlfn.IFS(tblPiNAnalysis[[#This Row],[Admin 2 P-Code]]&lt;&gt;"", tblPiNAnalysis[[#This Row],[Admin 2 P-Code]], tblPiNAnalysis[[#This Row],[Admin 1 P-Code]]&lt;&gt;"", tblPiNAnalysis[[#This Row],[Admin 1 P-Code]]))</f>
        <v>Host CommunitySD18021</v>
      </c>
      <c r="B526" s="245" t="s">
        <v>194</v>
      </c>
      <c r="C526" s="246" t="s">
        <v>135</v>
      </c>
      <c r="D526" s="247" t="s">
        <v>540</v>
      </c>
      <c r="E526" s="246" t="s">
        <v>541</v>
      </c>
      <c r="F526" s="248">
        <v>19604</v>
      </c>
      <c r="G526" s="248" t="s">
        <v>87</v>
      </c>
      <c r="H526" s="310"/>
      <c r="I526" s="311"/>
      <c r="J526" s="312"/>
      <c r="K526" s="311"/>
      <c r="L526" s="311"/>
      <c r="M526" s="312"/>
      <c r="N526" s="312">
        <f>_xlfn.XLOOKUP(CONCATENATE(tblPiNAnalysis[[#This Row],[Admin 2 P-Code]],tblPiNAnalysis[[#This Row],[Population Group]]),'Overall severity &amp; PIN Analysis'!A:A,'Overall severity &amp; PIN Analysis'!P:P,0,0)</f>
        <v>10740</v>
      </c>
      <c r="O526" s="311"/>
      <c r="P526" s="312"/>
      <c r="Q526" s="312"/>
      <c r="R526" s="312"/>
      <c r="S526" s="312"/>
      <c r="T526" s="313" t="str">
        <f>IF(tblPiNAnalysis[[#This Row],[Site Management ]]="", "", tblPiNAnalysis[[#This Row],[Site Management ]]/tblPiNAnalysis[[#This Row],[Total Population]])</f>
        <v/>
      </c>
      <c r="U526" s="314" t="str">
        <f>IF(tblPiNAnalysis[[#This Row],[Education]]="", "", tblPiNAnalysis[[#This Row],[Education]]/tblPiNAnalysis[[#This Row],[Total Population]])</f>
        <v/>
      </c>
      <c r="V526" s="314" t="str">
        <f>IF(tblPiNAnalysis[[#This Row],[Food Security and Livlihoods]]="", "", tblPiNAnalysis[[#This Row],[Food Security and Livlihoods]]/tblPiNAnalysis[[#This Row],[Total Population]])</f>
        <v/>
      </c>
      <c r="W526" s="315" t="str">
        <f>IF(tblPiNAnalysis[[#This Row],[Health ]]="", "", tblPiNAnalysis[[#This Row],[Health ]]/tblPiNAnalysis[[#This Row],[Total Population]])</f>
        <v/>
      </c>
      <c r="X526" s="314" t="str">
        <f>IF(tblPiNAnalysis[[#This Row],[Nutrition]]="", "", tblPiNAnalysis[[#This Row],[Nutrition]]/tblPiNAnalysis[[#This Row],[Total Population]])</f>
        <v/>
      </c>
      <c r="Y526" s="314" t="str">
        <f>IF(tblPiNAnalysis[[#This Row],[Protection]]="", "", tblPiNAnalysis[[#This Row],[Protection]]/tblPiNAnalysis[[#This Row],[Total Population]])</f>
        <v/>
      </c>
      <c r="Z526" s="316">
        <f>IF(tblPiNAnalysis[[#This Row],[Shelter NFI ]]="", "", tblPiNAnalysis[[#This Row],[Shelter NFI ]]/tblPiNAnalysis[[#This Row],[Total Population]])</f>
        <v>0.54784737808610484</v>
      </c>
      <c r="AA526" s="317" t="str">
        <f>IF(tblPiNAnalysis[[#This Row],[WASH]]="", "", tblPiNAnalysis[[#This Row],[WASH]]/tblPiNAnalysis[[#This Row],[Total Population]])</f>
        <v/>
      </c>
      <c r="AB526" s="318" t="str">
        <f>IFERROR(IF(tblPiNAnalysis[[#This Row],[CP]]="", "", MROUND(tblPiNAnalysis[[#This Row],[CP]]/tblPiNAnalysis[[#This Row],[Total Population]], 0.05)), "")</f>
        <v/>
      </c>
      <c r="AC526" s="314" t="str">
        <f>IFERROR(IF(tblPiNAnalysis[[#This Row],[GBV]]="", "", MROUND(tblPiNAnalysis[[#This Row],[GBV]]/tblPiNAnalysis[[#This Row],[Total Population]], 0.05)), "")</f>
        <v/>
      </c>
      <c r="AD526" s="314" t="str">
        <f>IFERROR(IF(tblPiNAnalysis[[#This Row],[Mine Action]]="", "", MROUND(tblPiNAnalysis[[#This Row],[Mine Action]]/tblPiNAnalysis[[#This Row],[Total Population]], 0.05)), "")</f>
        <v/>
      </c>
      <c r="AE526" s="314" t="str">
        <f>IFERROR(IF(tblPiNAnalysis[[#This Row],[General Protection]]="", "", MROUND(tblPiNAnalysis[[#This Row],[General Protection]]/tblPiNAnalysis[[#This Row],[Total Population]], 0.05)), "")</f>
        <v/>
      </c>
      <c r="AF526" s="319">
        <f>IFERROR(LARGE(tblPiNAnalysis[[#This Row],[Site Management ]:[General Protection]], 1), "")</f>
        <v>10740</v>
      </c>
      <c r="AG526" s="320">
        <f>IF(tblPiNAnalysis[[#This Row],[Highest PiN]]="", "",tblPiNAnalysis[[#This Row],[Highest PiN]]/ tblPiNAnalysis[[#This Row],[Total Population]])</f>
        <v>0.54784737808610484</v>
      </c>
      <c r="AH526" s="320" t="str">
        <f>IFERROR(IF(tblPiNAnalysis[[#This Row],[Highest PiN]]="", "", IF(tblPiNAnalysis[[#This Row],[Highest sector(s'') PiN %]]&gt;=flag_pin_perc, "Flagged", "")), "")</f>
        <v/>
      </c>
      <c r="AI526" s="321"/>
      <c r="AJ526" s="322"/>
      <c r="AK526" s="323">
        <f>COUNTIFS(tblPiNAnalysis[[#This Row],[Highest PiN greater than 90% of total affected population]:[Manual Flag]],"Flagged")</f>
        <v>0</v>
      </c>
      <c r="AL526" s="324" t="str">
        <f>IF(tblPiNAnalysis[[#This Row],['# Flags]]&gt;0, "Flagged", "")</f>
        <v/>
      </c>
    </row>
    <row r="527" spans="1:38" ht="23.1" hidden="1" customHeight="1" x14ac:dyDescent="0.2">
      <c r="A527" s="309" t="str">
        <f>_xlfn.CONCAT(IF(tblPiNAnalysis[[#This Row],[Population Group]]="", "",tblPiNAnalysis[[#This Row],[Population Group]] ), _xlfn.IFS(tblPiNAnalysis[[#This Row],[Admin 2 P-Code]]&lt;&gt;"", tblPiNAnalysis[[#This Row],[Admin 2 P-Code]], tblPiNAnalysis[[#This Row],[Admin 1 P-Code]]&lt;&gt;"", tblPiNAnalysis[[#This Row],[Admin 1 P-Code]]))</f>
        <v>IDPsSD18021</v>
      </c>
      <c r="B527" s="245" t="s">
        <v>194</v>
      </c>
      <c r="C527" s="246" t="s">
        <v>135</v>
      </c>
      <c r="D527" s="247" t="s">
        <v>540</v>
      </c>
      <c r="E527" s="246" t="s">
        <v>541</v>
      </c>
      <c r="F527" s="248">
        <v>13823</v>
      </c>
      <c r="G527" s="248" t="s">
        <v>88</v>
      </c>
      <c r="H527" s="310"/>
      <c r="I527" s="311"/>
      <c r="J527" s="312"/>
      <c r="K527" s="311"/>
      <c r="L527" s="311"/>
      <c r="M527" s="312"/>
      <c r="N527" s="312">
        <f>_xlfn.XLOOKUP(CONCATENATE(tblPiNAnalysis[[#This Row],[Admin 2 P-Code]],tblPiNAnalysis[[#This Row],[Population Group]]),'Overall severity &amp; PIN Analysis'!A:A,'Overall severity &amp; PIN Analysis'!P:P,0,0)</f>
        <v>7573</v>
      </c>
      <c r="O527" s="311"/>
      <c r="P527" s="312"/>
      <c r="Q527" s="312"/>
      <c r="R527" s="312"/>
      <c r="S527" s="312"/>
      <c r="T527" s="313" t="str">
        <f>IF(tblPiNAnalysis[[#This Row],[Site Management ]]="", "", tblPiNAnalysis[[#This Row],[Site Management ]]/tblPiNAnalysis[[#This Row],[Total Population]])</f>
        <v/>
      </c>
      <c r="U527" s="314" t="str">
        <f>IF(tblPiNAnalysis[[#This Row],[Education]]="", "", tblPiNAnalysis[[#This Row],[Education]]/tblPiNAnalysis[[#This Row],[Total Population]])</f>
        <v/>
      </c>
      <c r="V527" s="314" t="str">
        <f>IF(tblPiNAnalysis[[#This Row],[Food Security and Livlihoods]]="", "", tblPiNAnalysis[[#This Row],[Food Security and Livlihoods]]/tblPiNAnalysis[[#This Row],[Total Population]])</f>
        <v/>
      </c>
      <c r="W527" s="315" t="str">
        <f>IF(tblPiNAnalysis[[#This Row],[Health ]]="", "", tblPiNAnalysis[[#This Row],[Health ]]/tblPiNAnalysis[[#This Row],[Total Population]])</f>
        <v/>
      </c>
      <c r="X527" s="314" t="str">
        <f>IF(tblPiNAnalysis[[#This Row],[Nutrition]]="", "", tblPiNAnalysis[[#This Row],[Nutrition]]/tblPiNAnalysis[[#This Row],[Total Population]])</f>
        <v/>
      </c>
      <c r="Y527" s="314" t="str">
        <f>IF(tblPiNAnalysis[[#This Row],[Protection]]="", "", tblPiNAnalysis[[#This Row],[Protection]]/tblPiNAnalysis[[#This Row],[Total Population]])</f>
        <v/>
      </c>
      <c r="Z527" s="316">
        <f>IF(tblPiNAnalysis[[#This Row],[Shelter NFI ]]="", "", tblPiNAnalysis[[#This Row],[Shelter NFI ]]/tblPiNAnalysis[[#This Row],[Total Population]])</f>
        <v>0.54785502423497068</v>
      </c>
      <c r="AA527" s="317" t="str">
        <f>IF(tblPiNAnalysis[[#This Row],[WASH]]="", "", tblPiNAnalysis[[#This Row],[WASH]]/tblPiNAnalysis[[#This Row],[Total Population]])</f>
        <v/>
      </c>
      <c r="AB527" s="318" t="str">
        <f>IFERROR(IF(tblPiNAnalysis[[#This Row],[CP]]="", "", MROUND(tblPiNAnalysis[[#This Row],[CP]]/tblPiNAnalysis[[#This Row],[Total Population]], 0.05)), "")</f>
        <v/>
      </c>
      <c r="AC527" s="314" t="str">
        <f>IFERROR(IF(tblPiNAnalysis[[#This Row],[GBV]]="", "", MROUND(tblPiNAnalysis[[#This Row],[GBV]]/tblPiNAnalysis[[#This Row],[Total Population]], 0.05)), "")</f>
        <v/>
      </c>
      <c r="AD527" s="314" t="str">
        <f>IFERROR(IF(tblPiNAnalysis[[#This Row],[Mine Action]]="", "", MROUND(tblPiNAnalysis[[#This Row],[Mine Action]]/tblPiNAnalysis[[#This Row],[Total Population]], 0.05)), "")</f>
        <v/>
      </c>
      <c r="AE527" s="314" t="str">
        <f>IFERROR(IF(tblPiNAnalysis[[#This Row],[General Protection]]="", "", MROUND(tblPiNAnalysis[[#This Row],[General Protection]]/tblPiNAnalysis[[#This Row],[Total Population]], 0.05)), "")</f>
        <v/>
      </c>
      <c r="AF527" s="319">
        <f>IFERROR(LARGE(tblPiNAnalysis[[#This Row],[Site Management ]:[General Protection]], 1), "")</f>
        <v>7573</v>
      </c>
      <c r="AG527" s="320">
        <f>IF(tblPiNAnalysis[[#This Row],[Highest PiN]]="", "",tblPiNAnalysis[[#This Row],[Highest PiN]]/ tblPiNAnalysis[[#This Row],[Total Population]])</f>
        <v>0.54785502423497068</v>
      </c>
      <c r="AH527" s="320" t="str">
        <f>IFERROR(IF(tblPiNAnalysis[[#This Row],[Highest PiN]]="", "", IF(tblPiNAnalysis[[#This Row],[Highest sector(s'') PiN %]]&gt;=flag_pin_perc, "Flagged", "")), "")</f>
        <v/>
      </c>
      <c r="AI527" s="321"/>
      <c r="AJ527" s="322"/>
      <c r="AK527" s="323">
        <f>COUNTIFS(tblPiNAnalysis[[#This Row],[Highest PiN greater than 90% of total affected population]:[Manual Flag]],"Flagged")</f>
        <v>0</v>
      </c>
      <c r="AL527" s="324" t="str">
        <f>IF(tblPiNAnalysis[[#This Row],['# Flags]]&gt;0, "Flagged", "")</f>
        <v/>
      </c>
    </row>
    <row r="528" spans="1:38" ht="23.1" customHeight="1" x14ac:dyDescent="0.2">
      <c r="A528" s="309" t="str">
        <f>_xlfn.CONCAT(IF(tblPiNAnalysis[[#This Row],[Population Group]]="", "",tblPiNAnalysis[[#This Row],[Population Group]] ), _xlfn.IFS(tblPiNAnalysis[[#This Row],[Admin 2 P-Code]]&lt;&gt;"", tblPiNAnalysis[[#This Row],[Admin 2 P-Code]], tblPiNAnalysis[[#This Row],[Admin 1 P-Code]]&lt;&gt;"", tblPiNAnalysis[[#This Row],[Admin 1 P-Code]]))</f>
        <v>Non-hosting PopulationSD18021</v>
      </c>
      <c r="B528" s="245" t="s">
        <v>194</v>
      </c>
      <c r="C528" s="246" t="s">
        <v>135</v>
      </c>
      <c r="D528" s="247" t="s">
        <v>540</v>
      </c>
      <c r="E528" s="246" t="s">
        <v>541</v>
      </c>
      <c r="F528" s="248">
        <v>188919</v>
      </c>
      <c r="G528" s="248" t="s">
        <v>568</v>
      </c>
      <c r="H528" s="310"/>
      <c r="I528" s="311"/>
      <c r="J528" s="312"/>
      <c r="K528" s="311"/>
      <c r="L528" s="311"/>
      <c r="M528" s="312"/>
      <c r="N528" s="312">
        <f>_xlfn.XLOOKUP(CONCATENATE(tblPiNAnalysis[[#This Row],[Admin 2 P-Code]],tblPiNAnalysis[[#This Row],[Population Group]]),'Overall severity &amp; PIN Analysis'!A:A,'Overall severity &amp; PIN Analysis'!P:P,0,0)</f>
        <v>11189</v>
      </c>
      <c r="O528" s="311"/>
      <c r="P528" s="312"/>
      <c r="Q528" s="312"/>
      <c r="R528" s="312"/>
      <c r="S528" s="312"/>
      <c r="T528" s="313" t="str">
        <f>IF(tblPiNAnalysis[[#This Row],[Site Management ]]="", "", tblPiNAnalysis[[#This Row],[Site Management ]]/tblPiNAnalysis[[#This Row],[Total Population]])</f>
        <v/>
      </c>
      <c r="U528" s="314" t="str">
        <f>IF(tblPiNAnalysis[[#This Row],[Education]]="", "", tblPiNAnalysis[[#This Row],[Education]]/tblPiNAnalysis[[#This Row],[Total Population]])</f>
        <v/>
      </c>
      <c r="V528" s="314" t="str">
        <f>IF(tblPiNAnalysis[[#This Row],[Food Security and Livlihoods]]="", "", tblPiNAnalysis[[#This Row],[Food Security and Livlihoods]]/tblPiNAnalysis[[#This Row],[Total Population]])</f>
        <v/>
      </c>
      <c r="W528" s="315" t="str">
        <f>IF(tblPiNAnalysis[[#This Row],[Health ]]="", "", tblPiNAnalysis[[#This Row],[Health ]]/tblPiNAnalysis[[#This Row],[Total Population]])</f>
        <v/>
      </c>
      <c r="X528" s="314" t="str">
        <f>IF(tblPiNAnalysis[[#This Row],[Nutrition]]="", "", tblPiNAnalysis[[#This Row],[Nutrition]]/tblPiNAnalysis[[#This Row],[Total Population]])</f>
        <v/>
      </c>
      <c r="Y528" s="314" t="str">
        <f>IF(tblPiNAnalysis[[#This Row],[Protection]]="", "", tblPiNAnalysis[[#This Row],[Protection]]/tblPiNAnalysis[[#This Row],[Total Population]])</f>
        <v/>
      </c>
      <c r="Z528" s="316">
        <f>IF(tblPiNAnalysis[[#This Row],[Shelter NFI ]]="", "", tblPiNAnalysis[[#This Row],[Shelter NFI ]]/tblPiNAnalysis[[#This Row],[Total Population]])</f>
        <v>5.9226440961470263E-2</v>
      </c>
      <c r="AA528" s="317" t="str">
        <f>IF(tblPiNAnalysis[[#This Row],[WASH]]="", "", tblPiNAnalysis[[#This Row],[WASH]]/tblPiNAnalysis[[#This Row],[Total Population]])</f>
        <v/>
      </c>
      <c r="AB528" s="318" t="str">
        <f>IFERROR(IF(tblPiNAnalysis[[#This Row],[CP]]="", "", MROUND(tblPiNAnalysis[[#This Row],[CP]]/tblPiNAnalysis[[#This Row],[Total Population]], 0.05)), "")</f>
        <v/>
      </c>
      <c r="AC528" s="314" t="str">
        <f>IFERROR(IF(tblPiNAnalysis[[#This Row],[GBV]]="", "", MROUND(tblPiNAnalysis[[#This Row],[GBV]]/tblPiNAnalysis[[#This Row],[Total Population]], 0.05)), "")</f>
        <v/>
      </c>
      <c r="AD528" s="314" t="str">
        <f>IFERROR(IF(tblPiNAnalysis[[#This Row],[Mine Action]]="", "", MROUND(tblPiNAnalysis[[#This Row],[Mine Action]]/tblPiNAnalysis[[#This Row],[Total Population]], 0.05)), "")</f>
        <v/>
      </c>
      <c r="AE528" s="314" t="str">
        <f>IFERROR(IF(tblPiNAnalysis[[#This Row],[General Protection]]="", "", MROUND(tblPiNAnalysis[[#This Row],[General Protection]]/tblPiNAnalysis[[#This Row],[Total Population]], 0.05)), "")</f>
        <v/>
      </c>
      <c r="AF528" s="319">
        <f>IFERROR(LARGE(tblPiNAnalysis[[#This Row],[Site Management ]:[General Protection]], 1), "")</f>
        <v>11189</v>
      </c>
      <c r="AG528" s="320">
        <f>IF(tblPiNAnalysis[[#This Row],[Highest PiN]]="", "",tblPiNAnalysis[[#This Row],[Highest PiN]]/ tblPiNAnalysis[[#This Row],[Total Population]])</f>
        <v>5.9226440961470263E-2</v>
      </c>
      <c r="AH528" s="320" t="str">
        <f>IFERROR(IF(tblPiNAnalysis[[#This Row],[Highest PiN]]="", "", IF(tblPiNAnalysis[[#This Row],[Highest sector(s'') PiN %]]&gt;=flag_pin_perc, "Flagged", "")), "")</f>
        <v/>
      </c>
      <c r="AI528" s="321"/>
      <c r="AJ528" s="322"/>
      <c r="AK528" s="323">
        <f>COUNTIFS(tblPiNAnalysis[[#This Row],[Highest PiN greater than 90% of total affected population]:[Manual Flag]],"Flagged")</f>
        <v>0</v>
      </c>
      <c r="AL528" s="324" t="str">
        <f>IF(tblPiNAnalysis[[#This Row],['# Flags]]&gt;0, "Flagged", "")</f>
        <v/>
      </c>
    </row>
    <row r="529" spans="1:38" ht="23.1" hidden="1" customHeight="1" x14ac:dyDescent="0.2">
      <c r="A529" s="309" t="str">
        <f>_xlfn.CONCAT(IF(tblPiNAnalysis[[#This Row],[Population Group]]="", "",tblPiNAnalysis[[#This Row],[Population Group]] ), _xlfn.IFS(tblPiNAnalysis[[#This Row],[Admin 2 P-Code]]&lt;&gt;"", tblPiNAnalysis[[#This Row],[Admin 2 P-Code]], tblPiNAnalysis[[#This Row],[Admin 1 P-Code]]&lt;&gt;"", tblPiNAnalysis[[#This Row],[Admin 1 P-Code]]))</f>
        <v>Host CommunitySD18022</v>
      </c>
      <c r="B529" s="245" t="s">
        <v>194</v>
      </c>
      <c r="C529" s="246" t="s">
        <v>135</v>
      </c>
      <c r="D529" s="247" t="s">
        <v>542</v>
      </c>
      <c r="E529" s="246" t="s">
        <v>543</v>
      </c>
      <c r="F529" s="248">
        <v>45809</v>
      </c>
      <c r="G529" s="248" t="s">
        <v>87</v>
      </c>
      <c r="H529" s="310"/>
      <c r="I529" s="311"/>
      <c r="J529" s="312"/>
      <c r="K529" s="311"/>
      <c r="L529" s="311"/>
      <c r="M529" s="312"/>
      <c r="N529" s="312">
        <f>_xlfn.XLOOKUP(CONCATENATE(tblPiNAnalysis[[#This Row],[Admin 2 P-Code]],tblPiNAnalysis[[#This Row],[Population Group]]),'Overall severity &amp; PIN Analysis'!A:A,'Overall severity &amp; PIN Analysis'!P:P,0,0)</f>
        <v>18807</v>
      </c>
      <c r="O529" s="311"/>
      <c r="P529" s="312"/>
      <c r="Q529" s="312"/>
      <c r="R529" s="312"/>
      <c r="S529" s="312"/>
      <c r="T529" s="313" t="str">
        <f>IF(tblPiNAnalysis[[#This Row],[Site Management ]]="", "", tblPiNAnalysis[[#This Row],[Site Management ]]/tblPiNAnalysis[[#This Row],[Total Population]])</f>
        <v/>
      </c>
      <c r="U529" s="314" t="str">
        <f>IF(tblPiNAnalysis[[#This Row],[Education]]="", "", tblPiNAnalysis[[#This Row],[Education]]/tblPiNAnalysis[[#This Row],[Total Population]])</f>
        <v/>
      </c>
      <c r="V529" s="314" t="str">
        <f>IF(tblPiNAnalysis[[#This Row],[Food Security and Livlihoods]]="", "", tblPiNAnalysis[[#This Row],[Food Security and Livlihoods]]/tblPiNAnalysis[[#This Row],[Total Population]])</f>
        <v/>
      </c>
      <c r="W529" s="315" t="str">
        <f>IF(tblPiNAnalysis[[#This Row],[Health ]]="", "", tblPiNAnalysis[[#This Row],[Health ]]/tblPiNAnalysis[[#This Row],[Total Population]])</f>
        <v/>
      </c>
      <c r="X529" s="314" t="str">
        <f>IF(tblPiNAnalysis[[#This Row],[Nutrition]]="", "", tblPiNAnalysis[[#This Row],[Nutrition]]/tblPiNAnalysis[[#This Row],[Total Population]])</f>
        <v/>
      </c>
      <c r="Y529" s="314" t="str">
        <f>IF(tblPiNAnalysis[[#This Row],[Protection]]="", "", tblPiNAnalysis[[#This Row],[Protection]]/tblPiNAnalysis[[#This Row],[Total Population]])</f>
        <v/>
      </c>
      <c r="Z529" s="316">
        <f>IF(tblPiNAnalysis[[#This Row],[Shelter NFI ]]="", "", tblPiNAnalysis[[#This Row],[Shelter NFI ]]/tblPiNAnalysis[[#This Row],[Total Population]])</f>
        <v>0.41055251151520444</v>
      </c>
      <c r="AA529" s="317" t="str">
        <f>IF(tblPiNAnalysis[[#This Row],[WASH]]="", "", tblPiNAnalysis[[#This Row],[WASH]]/tblPiNAnalysis[[#This Row],[Total Population]])</f>
        <v/>
      </c>
      <c r="AB529" s="318" t="str">
        <f>IFERROR(IF(tblPiNAnalysis[[#This Row],[CP]]="", "", MROUND(tblPiNAnalysis[[#This Row],[CP]]/tblPiNAnalysis[[#This Row],[Total Population]], 0.05)), "")</f>
        <v/>
      </c>
      <c r="AC529" s="314" t="str">
        <f>IFERROR(IF(tblPiNAnalysis[[#This Row],[GBV]]="", "", MROUND(tblPiNAnalysis[[#This Row],[GBV]]/tblPiNAnalysis[[#This Row],[Total Population]], 0.05)), "")</f>
        <v/>
      </c>
      <c r="AD529" s="314" t="str">
        <f>IFERROR(IF(tblPiNAnalysis[[#This Row],[Mine Action]]="", "", MROUND(tblPiNAnalysis[[#This Row],[Mine Action]]/tblPiNAnalysis[[#This Row],[Total Population]], 0.05)), "")</f>
        <v/>
      </c>
      <c r="AE529" s="314" t="str">
        <f>IFERROR(IF(tblPiNAnalysis[[#This Row],[General Protection]]="", "", MROUND(tblPiNAnalysis[[#This Row],[General Protection]]/tblPiNAnalysis[[#This Row],[Total Population]], 0.05)), "")</f>
        <v/>
      </c>
      <c r="AF529" s="319">
        <f>IFERROR(LARGE(tblPiNAnalysis[[#This Row],[Site Management ]:[General Protection]], 1), "")</f>
        <v>18807</v>
      </c>
      <c r="AG529" s="320">
        <f>IF(tblPiNAnalysis[[#This Row],[Highest PiN]]="", "",tblPiNAnalysis[[#This Row],[Highest PiN]]/ tblPiNAnalysis[[#This Row],[Total Population]])</f>
        <v>0.41055251151520444</v>
      </c>
      <c r="AH529" s="320" t="str">
        <f>IFERROR(IF(tblPiNAnalysis[[#This Row],[Highest PiN]]="", "", IF(tblPiNAnalysis[[#This Row],[Highest sector(s'') PiN %]]&gt;=flag_pin_perc, "Flagged", "")), "")</f>
        <v/>
      </c>
      <c r="AI529" s="321"/>
      <c r="AJ529" s="322"/>
      <c r="AK529" s="323">
        <f>COUNTIFS(tblPiNAnalysis[[#This Row],[Highest PiN greater than 90% of total affected population]:[Manual Flag]],"Flagged")</f>
        <v>0</v>
      </c>
      <c r="AL529" s="324" t="str">
        <f>IF(tblPiNAnalysis[[#This Row],['# Flags]]&gt;0, "Flagged", "")</f>
        <v/>
      </c>
    </row>
    <row r="530" spans="1:38" ht="23.1" hidden="1" customHeight="1" x14ac:dyDescent="0.2">
      <c r="A530" s="309" t="str">
        <f>_xlfn.CONCAT(IF(tblPiNAnalysis[[#This Row],[Population Group]]="", "",tblPiNAnalysis[[#This Row],[Population Group]] ), _xlfn.IFS(tblPiNAnalysis[[#This Row],[Admin 2 P-Code]]&lt;&gt;"", tblPiNAnalysis[[#This Row],[Admin 2 P-Code]], tblPiNAnalysis[[#This Row],[Admin 1 P-Code]]&lt;&gt;"", tblPiNAnalysis[[#This Row],[Admin 1 P-Code]]))</f>
        <v>IDPsSD18022</v>
      </c>
      <c r="B530" s="245" t="s">
        <v>194</v>
      </c>
      <c r="C530" s="246" t="s">
        <v>135</v>
      </c>
      <c r="D530" s="247" t="s">
        <v>542</v>
      </c>
      <c r="E530" s="246" t="s">
        <v>543</v>
      </c>
      <c r="F530" s="248">
        <v>46202</v>
      </c>
      <c r="G530" s="248" t="s">
        <v>88</v>
      </c>
      <c r="H530" s="310"/>
      <c r="I530" s="311"/>
      <c r="J530" s="312"/>
      <c r="K530" s="311"/>
      <c r="L530" s="311"/>
      <c r="M530" s="312"/>
      <c r="N530" s="312">
        <f>_xlfn.XLOOKUP(CONCATENATE(tblPiNAnalysis[[#This Row],[Admin 2 P-Code]],tblPiNAnalysis[[#This Row],[Population Group]]),'Overall severity &amp; PIN Analysis'!A:A,'Overall severity &amp; PIN Analysis'!P:P,0,0)</f>
        <v>18968</v>
      </c>
      <c r="O530" s="311"/>
      <c r="P530" s="312"/>
      <c r="Q530" s="312"/>
      <c r="R530" s="312"/>
      <c r="S530" s="312"/>
      <c r="T530" s="313" t="str">
        <f>IF(tblPiNAnalysis[[#This Row],[Site Management ]]="", "", tblPiNAnalysis[[#This Row],[Site Management ]]/tblPiNAnalysis[[#This Row],[Total Population]])</f>
        <v/>
      </c>
      <c r="U530" s="314" t="str">
        <f>IF(tblPiNAnalysis[[#This Row],[Education]]="", "", tblPiNAnalysis[[#This Row],[Education]]/tblPiNAnalysis[[#This Row],[Total Population]])</f>
        <v/>
      </c>
      <c r="V530" s="314" t="str">
        <f>IF(tblPiNAnalysis[[#This Row],[Food Security and Livlihoods]]="", "", tblPiNAnalysis[[#This Row],[Food Security and Livlihoods]]/tblPiNAnalysis[[#This Row],[Total Population]])</f>
        <v/>
      </c>
      <c r="W530" s="315" t="str">
        <f>IF(tblPiNAnalysis[[#This Row],[Health ]]="", "", tblPiNAnalysis[[#This Row],[Health ]]/tblPiNAnalysis[[#This Row],[Total Population]])</f>
        <v/>
      </c>
      <c r="X530" s="314" t="str">
        <f>IF(tblPiNAnalysis[[#This Row],[Nutrition]]="", "", tblPiNAnalysis[[#This Row],[Nutrition]]/tblPiNAnalysis[[#This Row],[Total Population]])</f>
        <v/>
      </c>
      <c r="Y530" s="314" t="str">
        <f>IF(tblPiNAnalysis[[#This Row],[Protection]]="", "", tblPiNAnalysis[[#This Row],[Protection]]/tblPiNAnalysis[[#This Row],[Total Population]])</f>
        <v/>
      </c>
      <c r="Z530" s="316">
        <f>IF(tblPiNAnalysis[[#This Row],[Shelter NFI ]]="", "", tblPiNAnalysis[[#This Row],[Shelter NFI ]]/tblPiNAnalysis[[#This Row],[Total Population]])</f>
        <v>0.41054499805203237</v>
      </c>
      <c r="AA530" s="317" t="str">
        <f>IF(tblPiNAnalysis[[#This Row],[WASH]]="", "", tblPiNAnalysis[[#This Row],[WASH]]/tblPiNAnalysis[[#This Row],[Total Population]])</f>
        <v/>
      </c>
      <c r="AB530" s="318" t="str">
        <f>IFERROR(IF(tblPiNAnalysis[[#This Row],[CP]]="", "", MROUND(tblPiNAnalysis[[#This Row],[CP]]/tblPiNAnalysis[[#This Row],[Total Population]], 0.05)), "")</f>
        <v/>
      </c>
      <c r="AC530" s="314" t="str">
        <f>IFERROR(IF(tblPiNAnalysis[[#This Row],[GBV]]="", "", MROUND(tblPiNAnalysis[[#This Row],[GBV]]/tblPiNAnalysis[[#This Row],[Total Population]], 0.05)), "")</f>
        <v/>
      </c>
      <c r="AD530" s="314" t="str">
        <f>IFERROR(IF(tblPiNAnalysis[[#This Row],[Mine Action]]="", "", MROUND(tblPiNAnalysis[[#This Row],[Mine Action]]/tblPiNAnalysis[[#This Row],[Total Population]], 0.05)), "")</f>
        <v/>
      </c>
      <c r="AE530" s="314" t="str">
        <f>IFERROR(IF(tblPiNAnalysis[[#This Row],[General Protection]]="", "", MROUND(tblPiNAnalysis[[#This Row],[General Protection]]/tblPiNAnalysis[[#This Row],[Total Population]], 0.05)), "")</f>
        <v/>
      </c>
      <c r="AF530" s="319">
        <f>IFERROR(LARGE(tblPiNAnalysis[[#This Row],[Site Management ]:[General Protection]], 1), "")</f>
        <v>18968</v>
      </c>
      <c r="AG530" s="320">
        <f>IF(tblPiNAnalysis[[#This Row],[Highest PiN]]="", "",tblPiNAnalysis[[#This Row],[Highest PiN]]/ tblPiNAnalysis[[#This Row],[Total Population]])</f>
        <v>0.41054499805203237</v>
      </c>
      <c r="AH530" s="320" t="str">
        <f>IFERROR(IF(tblPiNAnalysis[[#This Row],[Highest PiN]]="", "", IF(tblPiNAnalysis[[#This Row],[Highest sector(s'') PiN %]]&gt;=flag_pin_perc, "Flagged", "")), "")</f>
        <v/>
      </c>
      <c r="AI530" s="321"/>
      <c r="AJ530" s="322"/>
      <c r="AK530" s="323">
        <f>COUNTIFS(tblPiNAnalysis[[#This Row],[Highest PiN greater than 90% of total affected population]:[Manual Flag]],"Flagged")</f>
        <v>0</v>
      </c>
      <c r="AL530" s="324" t="str">
        <f>IF(tblPiNAnalysis[[#This Row],['# Flags]]&gt;0, "Flagged", "")</f>
        <v/>
      </c>
    </row>
    <row r="531" spans="1:38" ht="23.1" customHeight="1" x14ac:dyDescent="0.2">
      <c r="A531" s="309" t="str">
        <f>_xlfn.CONCAT(IF(tblPiNAnalysis[[#This Row],[Population Group]]="", "",tblPiNAnalysis[[#This Row],[Population Group]] ), _xlfn.IFS(tblPiNAnalysis[[#This Row],[Admin 2 P-Code]]&lt;&gt;"", tblPiNAnalysis[[#This Row],[Admin 2 P-Code]], tblPiNAnalysis[[#This Row],[Admin 1 P-Code]]&lt;&gt;"", tblPiNAnalysis[[#This Row],[Admin 1 P-Code]]))</f>
        <v>Non-hosting PopulationSD18022</v>
      </c>
      <c r="B531" s="245" t="s">
        <v>194</v>
      </c>
      <c r="C531" s="246" t="s">
        <v>135</v>
      </c>
      <c r="D531" s="247" t="s">
        <v>542</v>
      </c>
      <c r="E531" s="246" t="s">
        <v>543</v>
      </c>
      <c r="F531" s="248">
        <v>312259</v>
      </c>
      <c r="G531" s="248" t="s">
        <v>568</v>
      </c>
      <c r="H531" s="310"/>
      <c r="I531" s="311"/>
      <c r="J531" s="312"/>
      <c r="K531" s="311"/>
      <c r="L531" s="311"/>
      <c r="M531" s="312"/>
      <c r="N531" s="312">
        <f>_xlfn.XLOOKUP(CONCATENATE(tblPiNAnalysis[[#This Row],[Admin 2 P-Code]],tblPiNAnalysis[[#This Row],[Population Group]]),'Overall severity &amp; PIN Analysis'!A:A,'Overall severity &amp; PIN Analysis'!P:P,0,0)</f>
        <v>0</v>
      </c>
      <c r="O531" s="311"/>
      <c r="P531" s="312"/>
      <c r="Q531" s="312"/>
      <c r="R531" s="312"/>
      <c r="S531" s="312"/>
      <c r="T531" s="313" t="str">
        <f>IF(tblPiNAnalysis[[#This Row],[Site Management ]]="", "", tblPiNAnalysis[[#This Row],[Site Management ]]/tblPiNAnalysis[[#This Row],[Total Population]])</f>
        <v/>
      </c>
      <c r="U531" s="314" t="str">
        <f>IF(tblPiNAnalysis[[#This Row],[Education]]="", "", tblPiNAnalysis[[#This Row],[Education]]/tblPiNAnalysis[[#This Row],[Total Population]])</f>
        <v/>
      </c>
      <c r="V531" s="314" t="str">
        <f>IF(tblPiNAnalysis[[#This Row],[Food Security and Livlihoods]]="", "", tblPiNAnalysis[[#This Row],[Food Security and Livlihoods]]/tblPiNAnalysis[[#This Row],[Total Population]])</f>
        <v/>
      </c>
      <c r="W531" s="315" t="str">
        <f>IF(tblPiNAnalysis[[#This Row],[Health ]]="", "", tblPiNAnalysis[[#This Row],[Health ]]/tblPiNAnalysis[[#This Row],[Total Population]])</f>
        <v/>
      </c>
      <c r="X531" s="314" t="str">
        <f>IF(tblPiNAnalysis[[#This Row],[Nutrition]]="", "", tblPiNAnalysis[[#This Row],[Nutrition]]/tblPiNAnalysis[[#This Row],[Total Population]])</f>
        <v/>
      </c>
      <c r="Y531" s="314" t="str">
        <f>IF(tblPiNAnalysis[[#This Row],[Protection]]="", "", tblPiNAnalysis[[#This Row],[Protection]]/tblPiNAnalysis[[#This Row],[Total Population]])</f>
        <v/>
      </c>
      <c r="Z531" s="316">
        <f>IF(tblPiNAnalysis[[#This Row],[Shelter NFI ]]="", "", tblPiNAnalysis[[#This Row],[Shelter NFI ]]/tblPiNAnalysis[[#This Row],[Total Population]])</f>
        <v>0</v>
      </c>
      <c r="AA531" s="317" t="str">
        <f>IF(tblPiNAnalysis[[#This Row],[WASH]]="", "", tblPiNAnalysis[[#This Row],[WASH]]/tblPiNAnalysis[[#This Row],[Total Population]])</f>
        <v/>
      </c>
      <c r="AB531" s="318" t="str">
        <f>IFERROR(IF(tblPiNAnalysis[[#This Row],[CP]]="", "", MROUND(tblPiNAnalysis[[#This Row],[CP]]/tblPiNAnalysis[[#This Row],[Total Population]], 0.05)), "")</f>
        <v/>
      </c>
      <c r="AC531" s="314" t="str">
        <f>IFERROR(IF(tblPiNAnalysis[[#This Row],[GBV]]="", "", MROUND(tblPiNAnalysis[[#This Row],[GBV]]/tblPiNAnalysis[[#This Row],[Total Population]], 0.05)), "")</f>
        <v/>
      </c>
      <c r="AD531" s="314" t="str">
        <f>IFERROR(IF(tblPiNAnalysis[[#This Row],[Mine Action]]="", "", MROUND(tblPiNAnalysis[[#This Row],[Mine Action]]/tblPiNAnalysis[[#This Row],[Total Population]], 0.05)), "")</f>
        <v/>
      </c>
      <c r="AE531" s="314" t="str">
        <f>IFERROR(IF(tblPiNAnalysis[[#This Row],[General Protection]]="", "", MROUND(tblPiNAnalysis[[#This Row],[General Protection]]/tblPiNAnalysis[[#This Row],[Total Population]], 0.05)), "")</f>
        <v/>
      </c>
      <c r="AF531" s="319">
        <f>IFERROR(LARGE(tblPiNAnalysis[[#This Row],[Site Management ]:[General Protection]], 1), "")</f>
        <v>0</v>
      </c>
      <c r="AG531" s="320">
        <f>IF(tblPiNAnalysis[[#This Row],[Highest PiN]]="", "",tblPiNAnalysis[[#This Row],[Highest PiN]]/ tblPiNAnalysis[[#This Row],[Total Population]])</f>
        <v>0</v>
      </c>
      <c r="AH531" s="320" t="str">
        <f>IFERROR(IF(tblPiNAnalysis[[#This Row],[Highest PiN]]="", "", IF(tblPiNAnalysis[[#This Row],[Highest sector(s'') PiN %]]&gt;=flag_pin_perc, "Flagged", "")), "")</f>
        <v/>
      </c>
      <c r="AI531" s="321"/>
      <c r="AJ531" s="322"/>
      <c r="AK531" s="323">
        <f>COUNTIFS(tblPiNAnalysis[[#This Row],[Highest PiN greater than 90% of total affected population]:[Manual Flag]],"Flagged")</f>
        <v>0</v>
      </c>
      <c r="AL531" s="324" t="str">
        <f>IF(tblPiNAnalysis[[#This Row],['# Flags]]&gt;0, "Flagged", "")</f>
        <v/>
      </c>
    </row>
    <row r="532" spans="1:38" ht="23.1" hidden="1" customHeight="1" x14ac:dyDescent="0.2">
      <c r="A532" s="309" t="str">
        <f>_xlfn.CONCAT(IF(tblPiNAnalysis[[#This Row],[Population Group]]="", "",tblPiNAnalysis[[#This Row],[Population Group]] ), _xlfn.IFS(tblPiNAnalysis[[#This Row],[Admin 2 P-Code]]&lt;&gt;"", tblPiNAnalysis[[#This Row],[Admin 2 P-Code]], tblPiNAnalysis[[#This Row],[Admin 1 P-Code]]&lt;&gt;"", tblPiNAnalysis[[#This Row],[Admin 1 P-Code]]))</f>
        <v>Host CommunitySD18028</v>
      </c>
      <c r="B532" s="245" t="s">
        <v>194</v>
      </c>
      <c r="C532" s="246" t="s">
        <v>135</v>
      </c>
      <c r="D532" s="247" t="s">
        <v>544</v>
      </c>
      <c r="E532" s="246" t="s">
        <v>545</v>
      </c>
      <c r="F532" s="248">
        <v>26620</v>
      </c>
      <c r="G532" s="248" t="s">
        <v>87</v>
      </c>
      <c r="H532" s="310"/>
      <c r="I532" s="311"/>
      <c r="J532" s="312"/>
      <c r="K532" s="311"/>
      <c r="L532" s="311"/>
      <c r="M532" s="312"/>
      <c r="N532" s="312">
        <f>_xlfn.XLOOKUP(CONCATENATE(tblPiNAnalysis[[#This Row],[Admin 2 P-Code]],tblPiNAnalysis[[#This Row],[Population Group]]),'Overall severity &amp; PIN Analysis'!A:A,'Overall severity &amp; PIN Analysis'!P:P,0,0)</f>
        <v>12022</v>
      </c>
      <c r="O532" s="311"/>
      <c r="P532" s="312"/>
      <c r="Q532" s="312"/>
      <c r="R532" s="312"/>
      <c r="S532" s="312"/>
      <c r="T532" s="313" t="str">
        <f>IF(tblPiNAnalysis[[#This Row],[Site Management ]]="", "", tblPiNAnalysis[[#This Row],[Site Management ]]/tblPiNAnalysis[[#This Row],[Total Population]])</f>
        <v/>
      </c>
      <c r="U532" s="314" t="str">
        <f>IF(tblPiNAnalysis[[#This Row],[Education]]="", "", tblPiNAnalysis[[#This Row],[Education]]/tblPiNAnalysis[[#This Row],[Total Population]])</f>
        <v/>
      </c>
      <c r="V532" s="314" t="str">
        <f>IF(tblPiNAnalysis[[#This Row],[Food Security and Livlihoods]]="", "", tblPiNAnalysis[[#This Row],[Food Security and Livlihoods]]/tblPiNAnalysis[[#This Row],[Total Population]])</f>
        <v/>
      </c>
      <c r="W532" s="315" t="str">
        <f>IF(tblPiNAnalysis[[#This Row],[Health ]]="", "", tblPiNAnalysis[[#This Row],[Health ]]/tblPiNAnalysis[[#This Row],[Total Population]])</f>
        <v/>
      </c>
      <c r="X532" s="314" t="str">
        <f>IF(tblPiNAnalysis[[#This Row],[Nutrition]]="", "", tblPiNAnalysis[[#This Row],[Nutrition]]/tblPiNAnalysis[[#This Row],[Total Population]])</f>
        <v/>
      </c>
      <c r="Y532" s="314" t="str">
        <f>IF(tblPiNAnalysis[[#This Row],[Protection]]="", "", tblPiNAnalysis[[#This Row],[Protection]]/tblPiNAnalysis[[#This Row],[Total Population]])</f>
        <v/>
      </c>
      <c r="Z532" s="316">
        <f>IF(tblPiNAnalysis[[#This Row],[Shelter NFI ]]="", "", tblPiNAnalysis[[#This Row],[Shelter NFI ]]/tblPiNAnalysis[[#This Row],[Total Population]])</f>
        <v>0.45161532682193839</v>
      </c>
      <c r="AA532" s="317" t="str">
        <f>IF(tblPiNAnalysis[[#This Row],[WASH]]="", "", tblPiNAnalysis[[#This Row],[WASH]]/tblPiNAnalysis[[#This Row],[Total Population]])</f>
        <v/>
      </c>
      <c r="AB532" s="318" t="str">
        <f>IFERROR(IF(tblPiNAnalysis[[#This Row],[CP]]="", "", MROUND(tblPiNAnalysis[[#This Row],[CP]]/tblPiNAnalysis[[#This Row],[Total Population]], 0.05)), "")</f>
        <v/>
      </c>
      <c r="AC532" s="314" t="str">
        <f>IFERROR(IF(tblPiNAnalysis[[#This Row],[GBV]]="", "", MROUND(tblPiNAnalysis[[#This Row],[GBV]]/tblPiNAnalysis[[#This Row],[Total Population]], 0.05)), "")</f>
        <v/>
      </c>
      <c r="AD532" s="314" t="str">
        <f>IFERROR(IF(tblPiNAnalysis[[#This Row],[Mine Action]]="", "", MROUND(tblPiNAnalysis[[#This Row],[Mine Action]]/tblPiNAnalysis[[#This Row],[Total Population]], 0.05)), "")</f>
        <v/>
      </c>
      <c r="AE532" s="314" t="str">
        <f>IFERROR(IF(tblPiNAnalysis[[#This Row],[General Protection]]="", "", MROUND(tblPiNAnalysis[[#This Row],[General Protection]]/tblPiNAnalysis[[#This Row],[Total Population]], 0.05)), "")</f>
        <v/>
      </c>
      <c r="AF532" s="319">
        <f>IFERROR(LARGE(tblPiNAnalysis[[#This Row],[Site Management ]:[General Protection]], 1), "")</f>
        <v>12022</v>
      </c>
      <c r="AG532" s="320">
        <f>IF(tblPiNAnalysis[[#This Row],[Highest PiN]]="", "",tblPiNAnalysis[[#This Row],[Highest PiN]]/ tblPiNAnalysis[[#This Row],[Total Population]])</f>
        <v>0.45161532682193839</v>
      </c>
      <c r="AH532" s="320" t="str">
        <f>IFERROR(IF(tblPiNAnalysis[[#This Row],[Highest PiN]]="", "", IF(tblPiNAnalysis[[#This Row],[Highest sector(s'') PiN %]]&gt;=flag_pin_perc, "Flagged", "")), "")</f>
        <v/>
      </c>
      <c r="AI532" s="321"/>
      <c r="AJ532" s="322"/>
      <c r="AK532" s="323">
        <f>COUNTIFS(tblPiNAnalysis[[#This Row],[Highest PiN greater than 90% of total affected population]:[Manual Flag]],"Flagged")</f>
        <v>0</v>
      </c>
      <c r="AL532" s="324" t="str">
        <f>IF(tblPiNAnalysis[[#This Row],['# Flags]]&gt;0, "Flagged", "")</f>
        <v/>
      </c>
    </row>
    <row r="533" spans="1:38" ht="23.1" hidden="1" customHeight="1" x14ac:dyDescent="0.2">
      <c r="A533" s="309" t="str">
        <f>_xlfn.CONCAT(IF(tblPiNAnalysis[[#This Row],[Population Group]]="", "",tblPiNAnalysis[[#This Row],[Population Group]] ), _xlfn.IFS(tblPiNAnalysis[[#This Row],[Admin 2 P-Code]]&lt;&gt;"", tblPiNAnalysis[[#This Row],[Admin 2 P-Code]], tblPiNAnalysis[[#This Row],[Admin 1 P-Code]]&lt;&gt;"", tblPiNAnalysis[[#This Row],[Admin 1 P-Code]]))</f>
        <v>IDPsSD18028</v>
      </c>
      <c r="B533" s="245" t="s">
        <v>194</v>
      </c>
      <c r="C533" s="246" t="s">
        <v>135</v>
      </c>
      <c r="D533" s="247" t="s">
        <v>544</v>
      </c>
      <c r="E533" s="246" t="s">
        <v>545</v>
      </c>
      <c r="F533" s="248">
        <v>26261</v>
      </c>
      <c r="G533" s="248" t="s">
        <v>88</v>
      </c>
      <c r="H533" s="310"/>
      <c r="I533" s="311"/>
      <c r="J533" s="312"/>
      <c r="K533" s="311"/>
      <c r="L533" s="311"/>
      <c r="M533" s="312"/>
      <c r="N533" s="312">
        <f>_xlfn.XLOOKUP(CONCATENATE(tblPiNAnalysis[[#This Row],[Admin 2 P-Code]],tblPiNAnalysis[[#This Row],[Population Group]]),'Overall severity &amp; PIN Analysis'!A:A,'Overall severity &amp; PIN Analysis'!P:P,0,0)</f>
        <v>11860</v>
      </c>
      <c r="O533" s="311"/>
      <c r="P533" s="312"/>
      <c r="Q533" s="312"/>
      <c r="R533" s="312"/>
      <c r="S533" s="312"/>
      <c r="T533" s="313" t="str">
        <f>IF(tblPiNAnalysis[[#This Row],[Site Management ]]="", "", tblPiNAnalysis[[#This Row],[Site Management ]]/tblPiNAnalysis[[#This Row],[Total Population]])</f>
        <v/>
      </c>
      <c r="U533" s="314" t="str">
        <f>IF(tblPiNAnalysis[[#This Row],[Education]]="", "", tblPiNAnalysis[[#This Row],[Education]]/tblPiNAnalysis[[#This Row],[Total Population]])</f>
        <v/>
      </c>
      <c r="V533" s="314" t="str">
        <f>IF(tblPiNAnalysis[[#This Row],[Food Security and Livlihoods]]="", "", tblPiNAnalysis[[#This Row],[Food Security and Livlihoods]]/tblPiNAnalysis[[#This Row],[Total Population]])</f>
        <v/>
      </c>
      <c r="W533" s="315" t="str">
        <f>IF(tblPiNAnalysis[[#This Row],[Health ]]="", "", tblPiNAnalysis[[#This Row],[Health ]]/tblPiNAnalysis[[#This Row],[Total Population]])</f>
        <v/>
      </c>
      <c r="X533" s="314" t="str">
        <f>IF(tblPiNAnalysis[[#This Row],[Nutrition]]="", "", tblPiNAnalysis[[#This Row],[Nutrition]]/tblPiNAnalysis[[#This Row],[Total Population]])</f>
        <v/>
      </c>
      <c r="Y533" s="314" t="str">
        <f>IF(tblPiNAnalysis[[#This Row],[Protection]]="", "", tblPiNAnalysis[[#This Row],[Protection]]/tblPiNAnalysis[[#This Row],[Total Population]])</f>
        <v/>
      </c>
      <c r="Z533" s="316">
        <f>IF(tblPiNAnalysis[[#This Row],[Shelter NFI ]]="", "", tblPiNAnalysis[[#This Row],[Shelter NFI ]]/tblPiNAnalysis[[#This Row],[Total Population]])</f>
        <v>0.45162027340923805</v>
      </c>
      <c r="AA533" s="317" t="str">
        <f>IF(tblPiNAnalysis[[#This Row],[WASH]]="", "", tblPiNAnalysis[[#This Row],[WASH]]/tblPiNAnalysis[[#This Row],[Total Population]])</f>
        <v/>
      </c>
      <c r="AB533" s="318" t="str">
        <f>IFERROR(IF(tblPiNAnalysis[[#This Row],[CP]]="", "", MROUND(tblPiNAnalysis[[#This Row],[CP]]/tblPiNAnalysis[[#This Row],[Total Population]], 0.05)), "")</f>
        <v/>
      </c>
      <c r="AC533" s="314" t="str">
        <f>IFERROR(IF(tblPiNAnalysis[[#This Row],[GBV]]="", "", MROUND(tblPiNAnalysis[[#This Row],[GBV]]/tblPiNAnalysis[[#This Row],[Total Population]], 0.05)), "")</f>
        <v/>
      </c>
      <c r="AD533" s="314" t="str">
        <f>IFERROR(IF(tblPiNAnalysis[[#This Row],[Mine Action]]="", "", MROUND(tblPiNAnalysis[[#This Row],[Mine Action]]/tblPiNAnalysis[[#This Row],[Total Population]], 0.05)), "")</f>
        <v/>
      </c>
      <c r="AE533" s="314" t="str">
        <f>IFERROR(IF(tblPiNAnalysis[[#This Row],[General Protection]]="", "", MROUND(tblPiNAnalysis[[#This Row],[General Protection]]/tblPiNAnalysis[[#This Row],[Total Population]], 0.05)), "")</f>
        <v/>
      </c>
      <c r="AF533" s="319">
        <f>IFERROR(LARGE(tblPiNAnalysis[[#This Row],[Site Management ]:[General Protection]], 1), "")</f>
        <v>11860</v>
      </c>
      <c r="AG533" s="320">
        <f>IF(tblPiNAnalysis[[#This Row],[Highest PiN]]="", "",tblPiNAnalysis[[#This Row],[Highest PiN]]/ tblPiNAnalysis[[#This Row],[Total Population]])</f>
        <v>0.45162027340923805</v>
      </c>
      <c r="AH533" s="320" t="str">
        <f>IFERROR(IF(tblPiNAnalysis[[#This Row],[Highest PiN]]="", "", IF(tblPiNAnalysis[[#This Row],[Highest sector(s'') PiN %]]&gt;=flag_pin_perc, "Flagged", "")), "")</f>
        <v/>
      </c>
      <c r="AI533" s="321"/>
      <c r="AJ533" s="322"/>
      <c r="AK533" s="323">
        <f>COUNTIFS(tblPiNAnalysis[[#This Row],[Highest PiN greater than 90% of total affected population]:[Manual Flag]],"Flagged")</f>
        <v>0</v>
      </c>
      <c r="AL533" s="324" t="str">
        <f>IF(tblPiNAnalysis[[#This Row],['# Flags]]&gt;0, "Flagged", "")</f>
        <v/>
      </c>
    </row>
    <row r="534" spans="1:38" ht="23.1" customHeight="1" x14ac:dyDescent="0.2">
      <c r="A534" s="309" t="str">
        <f>_xlfn.CONCAT(IF(tblPiNAnalysis[[#This Row],[Population Group]]="", "",tblPiNAnalysis[[#This Row],[Population Group]] ), _xlfn.IFS(tblPiNAnalysis[[#This Row],[Admin 2 P-Code]]&lt;&gt;"", tblPiNAnalysis[[#This Row],[Admin 2 P-Code]], tblPiNAnalysis[[#This Row],[Admin 1 P-Code]]&lt;&gt;"", tblPiNAnalysis[[#This Row],[Admin 1 P-Code]]))</f>
        <v>Non-hosting PopulationSD18028</v>
      </c>
      <c r="B534" s="245" t="s">
        <v>194</v>
      </c>
      <c r="C534" s="246" t="s">
        <v>135</v>
      </c>
      <c r="D534" s="247" t="s">
        <v>544</v>
      </c>
      <c r="E534" s="246" t="s">
        <v>545</v>
      </c>
      <c r="F534" s="248">
        <v>123632</v>
      </c>
      <c r="G534" s="248" t="s">
        <v>568</v>
      </c>
      <c r="H534" s="310"/>
      <c r="I534" s="311"/>
      <c r="J534" s="312"/>
      <c r="K534" s="311"/>
      <c r="L534" s="311"/>
      <c r="M534" s="312"/>
      <c r="N534" s="312">
        <f>_xlfn.XLOOKUP(CONCATENATE(tblPiNAnalysis[[#This Row],[Admin 2 P-Code]],tblPiNAnalysis[[#This Row],[Population Group]]),'Overall severity &amp; PIN Analysis'!A:A,'Overall severity &amp; PIN Analysis'!P:P,0,0)</f>
        <v>10069</v>
      </c>
      <c r="O534" s="311"/>
      <c r="P534" s="312"/>
      <c r="Q534" s="312"/>
      <c r="R534" s="312"/>
      <c r="S534" s="312"/>
      <c r="T534" s="313" t="str">
        <f>IF(tblPiNAnalysis[[#This Row],[Site Management ]]="", "", tblPiNAnalysis[[#This Row],[Site Management ]]/tblPiNAnalysis[[#This Row],[Total Population]])</f>
        <v/>
      </c>
      <c r="U534" s="314" t="str">
        <f>IF(tblPiNAnalysis[[#This Row],[Education]]="", "", tblPiNAnalysis[[#This Row],[Education]]/tblPiNAnalysis[[#This Row],[Total Population]])</f>
        <v/>
      </c>
      <c r="V534" s="314" t="str">
        <f>IF(tblPiNAnalysis[[#This Row],[Food Security and Livlihoods]]="", "", tblPiNAnalysis[[#This Row],[Food Security and Livlihoods]]/tblPiNAnalysis[[#This Row],[Total Population]])</f>
        <v/>
      </c>
      <c r="W534" s="315" t="str">
        <f>IF(tblPiNAnalysis[[#This Row],[Health ]]="", "", tblPiNAnalysis[[#This Row],[Health ]]/tblPiNAnalysis[[#This Row],[Total Population]])</f>
        <v/>
      </c>
      <c r="X534" s="314" t="str">
        <f>IF(tblPiNAnalysis[[#This Row],[Nutrition]]="", "", tblPiNAnalysis[[#This Row],[Nutrition]]/tblPiNAnalysis[[#This Row],[Total Population]])</f>
        <v/>
      </c>
      <c r="Y534" s="314" t="str">
        <f>IF(tblPiNAnalysis[[#This Row],[Protection]]="", "", tblPiNAnalysis[[#This Row],[Protection]]/tblPiNAnalysis[[#This Row],[Total Population]])</f>
        <v/>
      </c>
      <c r="Z534" s="316">
        <f>IF(tblPiNAnalysis[[#This Row],[Shelter NFI ]]="", "", tblPiNAnalysis[[#This Row],[Shelter NFI ]]/tblPiNAnalysis[[#This Row],[Total Population]])</f>
        <v>8.1443315646434575E-2</v>
      </c>
      <c r="AA534" s="317" t="str">
        <f>IF(tblPiNAnalysis[[#This Row],[WASH]]="", "", tblPiNAnalysis[[#This Row],[WASH]]/tblPiNAnalysis[[#This Row],[Total Population]])</f>
        <v/>
      </c>
      <c r="AB534" s="318" t="str">
        <f>IFERROR(IF(tblPiNAnalysis[[#This Row],[CP]]="", "", MROUND(tblPiNAnalysis[[#This Row],[CP]]/tblPiNAnalysis[[#This Row],[Total Population]], 0.05)), "")</f>
        <v/>
      </c>
      <c r="AC534" s="314" t="str">
        <f>IFERROR(IF(tblPiNAnalysis[[#This Row],[GBV]]="", "", MROUND(tblPiNAnalysis[[#This Row],[GBV]]/tblPiNAnalysis[[#This Row],[Total Population]], 0.05)), "")</f>
        <v/>
      </c>
      <c r="AD534" s="314" t="str">
        <f>IFERROR(IF(tblPiNAnalysis[[#This Row],[Mine Action]]="", "", MROUND(tblPiNAnalysis[[#This Row],[Mine Action]]/tblPiNAnalysis[[#This Row],[Total Population]], 0.05)), "")</f>
        <v/>
      </c>
      <c r="AE534" s="314" t="str">
        <f>IFERROR(IF(tblPiNAnalysis[[#This Row],[General Protection]]="", "", MROUND(tblPiNAnalysis[[#This Row],[General Protection]]/tblPiNAnalysis[[#This Row],[Total Population]], 0.05)), "")</f>
        <v/>
      </c>
      <c r="AF534" s="319">
        <f>IFERROR(LARGE(tblPiNAnalysis[[#This Row],[Site Management ]:[General Protection]], 1), "")</f>
        <v>10069</v>
      </c>
      <c r="AG534" s="320">
        <f>IF(tblPiNAnalysis[[#This Row],[Highest PiN]]="", "",tblPiNAnalysis[[#This Row],[Highest PiN]]/ tblPiNAnalysis[[#This Row],[Total Population]])</f>
        <v>8.1443315646434575E-2</v>
      </c>
      <c r="AH534" s="320" t="str">
        <f>IFERROR(IF(tblPiNAnalysis[[#This Row],[Highest PiN]]="", "", IF(tblPiNAnalysis[[#This Row],[Highest sector(s'') PiN %]]&gt;=flag_pin_perc, "Flagged", "")), "")</f>
        <v/>
      </c>
      <c r="AI534" s="321"/>
      <c r="AJ534" s="322"/>
      <c r="AK534" s="323">
        <f>COUNTIFS(tblPiNAnalysis[[#This Row],[Highest PiN greater than 90% of total affected population]:[Manual Flag]],"Flagged")</f>
        <v>0</v>
      </c>
      <c r="AL534" s="324" t="str">
        <f>IF(tblPiNAnalysis[[#This Row],['# Flags]]&gt;0, "Flagged", "")</f>
        <v/>
      </c>
    </row>
    <row r="535" spans="1:38" ht="23.1" hidden="1" customHeight="1" x14ac:dyDescent="0.2">
      <c r="A535" s="309" t="str">
        <f>_xlfn.CONCAT(IF(tblPiNAnalysis[[#This Row],[Population Group]]="", "",tblPiNAnalysis[[#This Row],[Population Group]] ), _xlfn.IFS(tblPiNAnalysis[[#This Row],[Admin 2 P-Code]]&lt;&gt;"", tblPiNAnalysis[[#This Row],[Admin 2 P-Code]], tblPiNAnalysis[[#This Row],[Admin 1 P-Code]]&lt;&gt;"", tblPiNAnalysis[[#This Row],[Admin 1 P-Code]]))</f>
        <v>Host CommunitySD18029</v>
      </c>
      <c r="B535" s="245" t="s">
        <v>194</v>
      </c>
      <c r="C535" s="246" t="s">
        <v>135</v>
      </c>
      <c r="D535" s="247" t="s">
        <v>546</v>
      </c>
      <c r="E535" s="246" t="s">
        <v>547</v>
      </c>
      <c r="F535" s="248">
        <v>6303</v>
      </c>
      <c r="G535" s="248" t="s">
        <v>87</v>
      </c>
      <c r="H535" s="310"/>
      <c r="I535" s="311"/>
      <c r="J535" s="312"/>
      <c r="K535" s="311"/>
      <c r="L535" s="311"/>
      <c r="M535" s="312"/>
      <c r="N535" s="312">
        <f>_xlfn.XLOOKUP(CONCATENATE(tblPiNAnalysis[[#This Row],[Admin 2 P-Code]],tblPiNAnalysis[[#This Row],[Population Group]]),'Overall severity &amp; PIN Analysis'!A:A,'Overall severity &amp; PIN Analysis'!P:P,0,0)</f>
        <v>3670</v>
      </c>
      <c r="O535" s="311"/>
      <c r="P535" s="312"/>
      <c r="Q535" s="312"/>
      <c r="R535" s="312"/>
      <c r="S535" s="312"/>
      <c r="T535" s="313" t="str">
        <f>IF(tblPiNAnalysis[[#This Row],[Site Management ]]="", "", tblPiNAnalysis[[#This Row],[Site Management ]]/tblPiNAnalysis[[#This Row],[Total Population]])</f>
        <v/>
      </c>
      <c r="U535" s="314" t="str">
        <f>IF(tblPiNAnalysis[[#This Row],[Education]]="", "", tblPiNAnalysis[[#This Row],[Education]]/tblPiNAnalysis[[#This Row],[Total Population]])</f>
        <v/>
      </c>
      <c r="V535" s="314" t="str">
        <f>IF(tblPiNAnalysis[[#This Row],[Food Security and Livlihoods]]="", "", tblPiNAnalysis[[#This Row],[Food Security and Livlihoods]]/tblPiNAnalysis[[#This Row],[Total Population]])</f>
        <v/>
      </c>
      <c r="W535" s="315" t="str">
        <f>IF(tblPiNAnalysis[[#This Row],[Health ]]="", "", tblPiNAnalysis[[#This Row],[Health ]]/tblPiNAnalysis[[#This Row],[Total Population]])</f>
        <v/>
      </c>
      <c r="X535" s="314" t="str">
        <f>IF(tblPiNAnalysis[[#This Row],[Nutrition]]="", "", tblPiNAnalysis[[#This Row],[Nutrition]]/tblPiNAnalysis[[#This Row],[Total Population]])</f>
        <v/>
      </c>
      <c r="Y535" s="314" t="str">
        <f>IF(tblPiNAnalysis[[#This Row],[Protection]]="", "", tblPiNAnalysis[[#This Row],[Protection]]/tblPiNAnalysis[[#This Row],[Total Population]])</f>
        <v/>
      </c>
      <c r="Z535" s="316">
        <f>IF(tblPiNAnalysis[[#This Row],[Shelter NFI ]]="", "", tblPiNAnalysis[[#This Row],[Shelter NFI ]]/tblPiNAnalysis[[#This Row],[Total Population]])</f>
        <v>0.58226241472314766</v>
      </c>
      <c r="AA535" s="317" t="str">
        <f>IF(tblPiNAnalysis[[#This Row],[WASH]]="", "", tblPiNAnalysis[[#This Row],[WASH]]/tblPiNAnalysis[[#This Row],[Total Population]])</f>
        <v/>
      </c>
      <c r="AB535" s="318" t="str">
        <f>IFERROR(IF(tblPiNAnalysis[[#This Row],[CP]]="", "", MROUND(tblPiNAnalysis[[#This Row],[CP]]/tblPiNAnalysis[[#This Row],[Total Population]], 0.05)), "")</f>
        <v/>
      </c>
      <c r="AC535" s="314" t="str">
        <f>IFERROR(IF(tblPiNAnalysis[[#This Row],[GBV]]="", "", MROUND(tblPiNAnalysis[[#This Row],[GBV]]/tblPiNAnalysis[[#This Row],[Total Population]], 0.05)), "")</f>
        <v/>
      </c>
      <c r="AD535" s="314" t="str">
        <f>IFERROR(IF(tblPiNAnalysis[[#This Row],[Mine Action]]="", "", MROUND(tblPiNAnalysis[[#This Row],[Mine Action]]/tblPiNAnalysis[[#This Row],[Total Population]], 0.05)), "")</f>
        <v/>
      </c>
      <c r="AE535" s="314" t="str">
        <f>IFERROR(IF(tblPiNAnalysis[[#This Row],[General Protection]]="", "", MROUND(tblPiNAnalysis[[#This Row],[General Protection]]/tblPiNAnalysis[[#This Row],[Total Population]], 0.05)), "")</f>
        <v/>
      </c>
      <c r="AF535" s="319">
        <f>IFERROR(LARGE(tblPiNAnalysis[[#This Row],[Site Management ]:[General Protection]], 1), "")</f>
        <v>3670</v>
      </c>
      <c r="AG535" s="320">
        <f>IF(tblPiNAnalysis[[#This Row],[Highest PiN]]="", "",tblPiNAnalysis[[#This Row],[Highest PiN]]/ tblPiNAnalysis[[#This Row],[Total Population]])</f>
        <v>0.58226241472314766</v>
      </c>
      <c r="AH535" s="320" t="str">
        <f>IFERROR(IF(tblPiNAnalysis[[#This Row],[Highest PiN]]="", "", IF(tblPiNAnalysis[[#This Row],[Highest sector(s'') PiN %]]&gt;=flag_pin_perc, "Flagged", "")), "")</f>
        <v/>
      </c>
      <c r="AI535" s="321"/>
      <c r="AJ535" s="322"/>
      <c r="AK535" s="323">
        <f>COUNTIFS(tblPiNAnalysis[[#This Row],[Highest PiN greater than 90% of total affected population]:[Manual Flag]],"Flagged")</f>
        <v>0</v>
      </c>
      <c r="AL535" s="324" t="str">
        <f>IF(tblPiNAnalysis[[#This Row],['# Flags]]&gt;0, "Flagged", "")</f>
        <v/>
      </c>
    </row>
    <row r="536" spans="1:38" ht="23.1" hidden="1" customHeight="1" x14ac:dyDescent="0.2">
      <c r="A536" s="309" t="str">
        <f>_xlfn.CONCAT(IF(tblPiNAnalysis[[#This Row],[Population Group]]="", "",tblPiNAnalysis[[#This Row],[Population Group]] ), _xlfn.IFS(tblPiNAnalysis[[#This Row],[Admin 2 P-Code]]&lt;&gt;"", tblPiNAnalysis[[#This Row],[Admin 2 P-Code]], tblPiNAnalysis[[#This Row],[Admin 1 P-Code]]&lt;&gt;"", tblPiNAnalysis[[#This Row],[Admin 1 P-Code]]))</f>
        <v>IDPsSD18029</v>
      </c>
      <c r="B536" s="245" t="s">
        <v>194</v>
      </c>
      <c r="C536" s="246" t="s">
        <v>135</v>
      </c>
      <c r="D536" s="247" t="s">
        <v>546</v>
      </c>
      <c r="E536" s="246" t="s">
        <v>547</v>
      </c>
      <c r="F536" s="248">
        <v>6300</v>
      </c>
      <c r="G536" s="248" t="s">
        <v>88</v>
      </c>
      <c r="H536" s="310"/>
      <c r="I536" s="311"/>
      <c r="J536" s="312"/>
      <c r="K536" s="311"/>
      <c r="L536" s="311"/>
      <c r="M536" s="312"/>
      <c r="N536" s="312">
        <f>_xlfn.XLOOKUP(CONCATENATE(tblPiNAnalysis[[#This Row],[Admin 2 P-Code]],tblPiNAnalysis[[#This Row],[Population Group]]),'Overall severity &amp; PIN Analysis'!A:A,'Overall severity &amp; PIN Analysis'!P:P,0,0)</f>
        <v>3668</v>
      </c>
      <c r="O536" s="311"/>
      <c r="P536" s="312"/>
      <c r="Q536" s="312"/>
      <c r="R536" s="312"/>
      <c r="S536" s="312"/>
      <c r="T536" s="313" t="str">
        <f>IF(tblPiNAnalysis[[#This Row],[Site Management ]]="", "", tblPiNAnalysis[[#This Row],[Site Management ]]/tblPiNAnalysis[[#This Row],[Total Population]])</f>
        <v/>
      </c>
      <c r="U536" s="314" t="str">
        <f>IF(tblPiNAnalysis[[#This Row],[Education]]="", "", tblPiNAnalysis[[#This Row],[Education]]/tblPiNAnalysis[[#This Row],[Total Population]])</f>
        <v/>
      </c>
      <c r="V536" s="314" t="str">
        <f>IF(tblPiNAnalysis[[#This Row],[Food Security and Livlihoods]]="", "", tblPiNAnalysis[[#This Row],[Food Security and Livlihoods]]/tblPiNAnalysis[[#This Row],[Total Population]])</f>
        <v/>
      </c>
      <c r="W536" s="315" t="str">
        <f>IF(tblPiNAnalysis[[#This Row],[Health ]]="", "", tblPiNAnalysis[[#This Row],[Health ]]/tblPiNAnalysis[[#This Row],[Total Population]])</f>
        <v/>
      </c>
      <c r="X536" s="314" t="str">
        <f>IF(tblPiNAnalysis[[#This Row],[Nutrition]]="", "", tblPiNAnalysis[[#This Row],[Nutrition]]/tblPiNAnalysis[[#This Row],[Total Population]])</f>
        <v/>
      </c>
      <c r="Y536" s="314" t="str">
        <f>IF(tblPiNAnalysis[[#This Row],[Protection]]="", "", tblPiNAnalysis[[#This Row],[Protection]]/tblPiNAnalysis[[#This Row],[Total Population]])</f>
        <v/>
      </c>
      <c r="Z536" s="316">
        <f>IF(tblPiNAnalysis[[#This Row],[Shelter NFI ]]="", "", tblPiNAnalysis[[#This Row],[Shelter NFI ]]/tblPiNAnalysis[[#This Row],[Total Population]])</f>
        <v>0.5822222222222222</v>
      </c>
      <c r="AA536" s="317" t="str">
        <f>IF(tblPiNAnalysis[[#This Row],[WASH]]="", "", tblPiNAnalysis[[#This Row],[WASH]]/tblPiNAnalysis[[#This Row],[Total Population]])</f>
        <v/>
      </c>
      <c r="AB536" s="318" t="str">
        <f>IFERROR(IF(tblPiNAnalysis[[#This Row],[CP]]="", "", MROUND(tblPiNAnalysis[[#This Row],[CP]]/tblPiNAnalysis[[#This Row],[Total Population]], 0.05)), "")</f>
        <v/>
      </c>
      <c r="AC536" s="314" t="str">
        <f>IFERROR(IF(tblPiNAnalysis[[#This Row],[GBV]]="", "", MROUND(tblPiNAnalysis[[#This Row],[GBV]]/tblPiNAnalysis[[#This Row],[Total Population]], 0.05)), "")</f>
        <v/>
      </c>
      <c r="AD536" s="314" t="str">
        <f>IFERROR(IF(tblPiNAnalysis[[#This Row],[Mine Action]]="", "", MROUND(tblPiNAnalysis[[#This Row],[Mine Action]]/tblPiNAnalysis[[#This Row],[Total Population]], 0.05)), "")</f>
        <v/>
      </c>
      <c r="AE536" s="314" t="str">
        <f>IFERROR(IF(tblPiNAnalysis[[#This Row],[General Protection]]="", "", MROUND(tblPiNAnalysis[[#This Row],[General Protection]]/tblPiNAnalysis[[#This Row],[Total Population]], 0.05)), "")</f>
        <v/>
      </c>
      <c r="AF536" s="319">
        <f>IFERROR(LARGE(tblPiNAnalysis[[#This Row],[Site Management ]:[General Protection]], 1), "")</f>
        <v>3668</v>
      </c>
      <c r="AG536" s="320">
        <f>IF(tblPiNAnalysis[[#This Row],[Highest PiN]]="", "",tblPiNAnalysis[[#This Row],[Highest PiN]]/ tblPiNAnalysis[[#This Row],[Total Population]])</f>
        <v>0.5822222222222222</v>
      </c>
      <c r="AH536" s="320" t="str">
        <f>IFERROR(IF(tblPiNAnalysis[[#This Row],[Highest PiN]]="", "", IF(tblPiNAnalysis[[#This Row],[Highest sector(s'') PiN %]]&gt;=flag_pin_perc, "Flagged", "")), "")</f>
        <v/>
      </c>
      <c r="AI536" s="321"/>
      <c r="AJ536" s="322"/>
      <c r="AK536" s="323">
        <f>COUNTIFS(tblPiNAnalysis[[#This Row],[Highest PiN greater than 90% of total affected population]:[Manual Flag]],"Flagged")</f>
        <v>0</v>
      </c>
      <c r="AL536" s="324" t="str">
        <f>IF(tblPiNAnalysis[[#This Row],['# Flags]]&gt;0, "Flagged", "")</f>
        <v/>
      </c>
    </row>
    <row r="537" spans="1:38" ht="23.1" customHeight="1" x14ac:dyDescent="0.2">
      <c r="A537" s="309" t="str">
        <f>_xlfn.CONCAT(IF(tblPiNAnalysis[[#This Row],[Population Group]]="", "",tblPiNAnalysis[[#This Row],[Population Group]] ), _xlfn.IFS(tblPiNAnalysis[[#This Row],[Admin 2 P-Code]]&lt;&gt;"", tblPiNAnalysis[[#This Row],[Admin 2 P-Code]], tblPiNAnalysis[[#This Row],[Admin 1 P-Code]]&lt;&gt;"", tblPiNAnalysis[[#This Row],[Admin 1 P-Code]]))</f>
        <v>Non-hosting PopulationSD18029</v>
      </c>
      <c r="B537" s="245" t="s">
        <v>194</v>
      </c>
      <c r="C537" s="246" t="s">
        <v>135</v>
      </c>
      <c r="D537" s="247" t="s">
        <v>546</v>
      </c>
      <c r="E537" s="246" t="s">
        <v>547</v>
      </c>
      <c r="F537" s="248">
        <v>213955</v>
      </c>
      <c r="G537" s="248" t="s">
        <v>568</v>
      </c>
      <c r="H537" s="310"/>
      <c r="I537" s="311"/>
      <c r="J537" s="312"/>
      <c r="K537" s="311"/>
      <c r="L537" s="311"/>
      <c r="M537" s="312"/>
      <c r="N537" s="312">
        <f>_xlfn.XLOOKUP(CONCATENATE(tblPiNAnalysis[[#This Row],[Admin 2 P-Code]],tblPiNAnalysis[[#This Row],[Population Group]]),'Overall severity &amp; PIN Analysis'!A:A,'Overall severity &amp; PIN Analysis'!P:P,0,0)</f>
        <v>6388</v>
      </c>
      <c r="O537" s="311"/>
      <c r="P537" s="312"/>
      <c r="Q537" s="312"/>
      <c r="R537" s="312"/>
      <c r="S537" s="312"/>
      <c r="T537" s="313" t="str">
        <f>IF(tblPiNAnalysis[[#This Row],[Site Management ]]="", "", tblPiNAnalysis[[#This Row],[Site Management ]]/tblPiNAnalysis[[#This Row],[Total Population]])</f>
        <v/>
      </c>
      <c r="U537" s="314" t="str">
        <f>IF(tblPiNAnalysis[[#This Row],[Education]]="", "", tblPiNAnalysis[[#This Row],[Education]]/tblPiNAnalysis[[#This Row],[Total Population]])</f>
        <v/>
      </c>
      <c r="V537" s="314" t="str">
        <f>IF(tblPiNAnalysis[[#This Row],[Food Security and Livlihoods]]="", "", tblPiNAnalysis[[#This Row],[Food Security and Livlihoods]]/tblPiNAnalysis[[#This Row],[Total Population]])</f>
        <v/>
      </c>
      <c r="W537" s="315" t="str">
        <f>IF(tblPiNAnalysis[[#This Row],[Health ]]="", "", tblPiNAnalysis[[#This Row],[Health ]]/tblPiNAnalysis[[#This Row],[Total Population]])</f>
        <v/>
      </c>
      <c r="X537" s="314" t="str">
        <f>IF(tblPiNAnalysis[[#This Row],[Nutrition]]="", "", tblPiNAnalysis[[#This Row],[Nutrition]]/tblPiNAnalysis[[#This Row],[Total Population]])</f>
        <v/>
      </c>
      <c r="Y537" s="314" t="str">
        <f>IF(tblPiNAnalysis[[#This Row],[Protection]]="", "", tblPiNAnalysis[[#This Row],[Protection]]/tblPiNAnalysis[[#This Row],[Total Population]])</f>
        <v/>
      </c>
      <c r="Z537" s="316">
        <f>IF(tblPiNAnalysis[[#This Row],[Shelter NFI ]]="", "", tblPiNAnalysis[[#This Row],[Shelter NFI ]]/tblPiNAnalysis[[#This Row],[Total Population]])</f>
        <v>2.985674557734103E-2</v>
      </c>
      <c r="AA537" s="317" t="str">
        <f>IF(tblPiNAnalysis[[#This Row],[WASH]]="", "", tblPiNAnalysis[[#This Row],[WASH]]/tblPiNAnalysis[[#This Row],[Total Population]])</f>
        <v/>
      </c>
      <c r="AB537" s="318" t="str">
        <f>IFERROR(IF(tblPiNAnalysis[[#This Row],[CP]]="", "", MROUND(tblPiNAnalysis[[#This Row],[CP]]/tblPiNAnalysis[[#This Row],[Total Population]], 0.05)), "")</f>
        <v/>
      </c>
      <c r="AC537" s="314" t="str">
        <f>IFERROR(IF(tblPiNAnalysis[[#This Row],[GBV]]="", "", MROUND(tblPiNAnalysis[[#This Row],[GBV]]/tblPiNAnalysis[[#This Row],[Total Population]], 0.05)), "")</f>
        <v/>
      </c>
      <c r="AD537" s="314" t="str">
        <f>IFERROR(IF(tblPiNAnalysis[[#This Row],[Mine Action]]="", "", MROUND(tblPiNAnalysis[[#This Row],[Mine Action]]/tblPiNAnalysis[[#This Row],[Total Population]], 0.05)), "")</f>
        <v/>
      </c>
      <c r="AE537" s="314" t="str">
        <f>IFERROR(IF(tblPiNAnalysis[[#This Row],[General Protection]]="", "", MROUND(tblPiNAnalysis[[#This Row],[General Protection]]/tblPiNAnalysis[[#This Row],[Total Population]], 0.05)), "")</f>
        <v/>
      </c>
      <c r="AF537" s="319">
        <f>IFERROR(LARGE(tblPiNAnalysis[[#This Row],[Site Management ]:[General Protection]], 1), "")</f>
        <v>6388</v>
      </c>
      <c r="AG537" s="320">
        <f>IF(tblPiNAnalysis[[#This Row],[Highest PiN]]="", "",tblPiNAnalysis[[#This Row],[Highest PiN]]/ tblPiNAnalysis[[#This Row],[Total Population]])</f>
        <v>2.985674557734103E-2</v>
      </c>
      <c r="AH537" s="320" t="str">
        <f>IFERROR(IF(tblPiNAnalysis[[#This Row],[Highest PiN]]="", "", IF(tblPiNAnalysis[[#This Row],[Highest sector(s'') PiN %]]&gt;=flag_pin_perc, "Flagged", "")), "")</f>
        <v/>
      </c>
      <c r="AI537" s="321"/>
      <c r="AJ537" s="322"/>
      <c r="AK537" s="323">
        <f>COUNTIFS(tblPiNAnalysis[[#This Row],[Highest PiN greater than 90% of total affected population]:[Manual Flag]],"Flagged")</f>
        <v>0</v>
      </c>
      <c r="AL537" s="324" t="str">
        <f>IF(tblPiNAnalysis[[#This Row],['# Flags]]&gt;0, "Flagged", "")</f>
        <v/>
      </c>
    </row>
    <row r="538" spans="1:38" ht="23.1" hidden="1" customHeight="1" x14ac:dyDescent="0.2">
      <c r="A538" s="309" t="str">
        <f>_xlfn.CONCAT(IF(tblPiNAnalysis[[#This Row],[Population Group]]="", "",tblPiNAnalysis[[#This Row],[Population Group]] ), _xlfn.IFS(tblPiNAnalysis[[#This Row],[Admin 2 P-Code]]&lt;&gt;"", tblPiNAnalysis[[#This Row],[Admin 2 P-Code]], tblPiNAnalysis[[#This Row],[Admin 1 P-Code]]&lt;&gt;"", tblPiNAnalysis[[#This Row],[Admin 1 P-Code]]))</f>
        <v>Host CommunitySD18085</v>
      </c>
      <c r="B538" s="245" t="s">
        <v>194</v>
      </c>
      <c r="C538" s="246" t="s">
        <v>135</v>
      </c>
      <c r="D538" s="247" t="s">
        <v>548</v>
      </c>
      <c r="E538" s="246" t="s">
        <v>549</v>
      </c>
      <c r="F538" s="248">
        <v>20112</v>
      </c>
      <c r="G538" s="248" t="s">
        <v>87</v>
      </c>
      <c r="H538" s="310"/>
      <c r="I538" s="311"/>
      <c r="J538" s="312"/>
      <c r="K538" s="311"/>
      <c r="L538" s="311"/>
      <c r="M538" s="312"/>
      <c r="N538" s="312">
        <f>_xlfn.XLOOKUP(CONCATENATE(tblPiNAnalysis[[#This Row],[Admin 2 P-Code]],tblPiNAnalysis[[#This Row],[Population Group]]),'Overall severity &amp; PIN Analysis'!A:A,'Overall severity &amp; PIN Analysis'!P:P,0,0)</f>
        <v>16026</v>
      </c>
      <c r="O538" s="311"/>
      <c r="P538" s="312"/>
      <c r="Q538" s="312"/>
      <c r="R538" s="312"/>
      <c r="S538" s="312"/>
      <c r="T538" s="313" t="str">
        <f>IF(tblPiNAnalysis[[#This Row],[Site Management ]]="", "", tblPiNAnalysis[[#This Row],[Site Management ]]/tblPiNAnalysis[[#This Row],[Total Population]])</f>
        <v/>
      </c>
      <c r="U538" s="314" t="str">
        <f>IF(tblPiNAnalysis[[#This Row],[Education]]="", "", tblPiNAnalysis[[#This Row],[Education]]/tblPiNAnalysis[[#This Row],[Total Population]])</f>
        <v/>
      </c>
      <c r="V538" s="314" t="str">
        <f>IF(tblPiNAnalysis[[#This Row],[Food Security and Livlihoods]]="", "", tblPiNAnalysis[[#This Row],[Food Security and Livlihoods]]/tblPiNAnalysis[[#This Row],[Total Population]])</f>
        <v/>
      </c>
      <c r="W538" s="315" t="str">
        <f>IF(tblPiNAnalysis[[#This Row],[Health ]]="", "", tblPiNAnalysis[[#This Row],[Health ]]/tblPiNAnalysis[[#This Row],[Total Population]])</f>
        <v/>
      </c>
      <c r="X538" s="314" t="str">
        <f>IF(tblPiNAnalysis[[#This Row],[Nutrition]]="", "", tblPiNAnalysis[[#This Row],[Nutrition]]/tblPiNAnalysis[[#This Row],[Total Population]])</f>
        <v/>
      </c>
      <c r="Y538" s="314" t="str">
        <f>IF(tblPiNAnalysis[[#This Row],[Protection]]="", "", tblPiNAnalysis[[#This Row],[Protection]]/tblPiNAnalysis[[#This Row],[Total Population]])</f>
        <v/>
      </c>
      <c r="Z538" s="316">
        <f>IF(tblPiNAnalysis[[#This Row],[Shelter NFI ]]="", "", tblPiNAnalysis[[#This Row],[Shelter NFI ]]/tblPiNAnalysis[[#This Row],[Total Population]])</f>
        <v>0.79683770883054894</v>
      </c>
      <c r="AA538" s="317" t="str">
        <f>IF(tblPiNAnalysis[[#This Row],[WASH]]="", "", tblPiNAnalysis[[#This Row],[WASH]]/tblPiNAnalysis[[#This Row],[Total Population]])</f>
        <v/>
      </c>
      <c r="AB538" s="318" t="str">
        <f>IFERROR(IF(tblPiNAnalysis[[#This Row],[CP]]="", "", MROUND(tblPiNAnalysis[[#This Row],[CP]]/tblPiNAnalysis[[#This Row],[Total Population]], 0.05)), "")</f>
        <v/>
      </c>
      <c r="AC538" s="314" t="str">
        <f>IFERROR(IF(tblPiNAnalysis[[#This Row],[GBV]]="", "", MROUND(tblPiNAnalysis[[#This Row],[GBV]]/tblPiNAnalysis[[#This Row],[Total Population]], 0.05)), "")</f>
        <v/>
      </c>
      <c r="AD538" s="314" t="str">
        <f>IFERROR(IF(tblPiNAnalysis[[#This Row],[Mine Action]]="", "", MROUND(tblPiNAnalysis[[#This Row],[Mine Action]]/tblPiNAnalysis[[#This Row],[Total Population]], 0.05)), "")</f>
        <v/>
      </c>
      <c r="AE538" s="314" t="str">
        <f>IFERROR(IF(tblPiNAnalysis[[#This Row],[General Protection]]="", "", MROUND(tblPiNAnalysis[[#This Row],[General Protection]]/tblPiNAnalysis[[#This Row],[Total Population]], 0.05)), "")</f>
        <v/>
      </c>
      <c r="AF538" s="319">
        <f>IFERROR(LARGE(tblPiNAnalysis[[#This Row],[Site Management ]:[General Protection]], 1), "")</f>
        <v>16026</v>
      </c>
      <c r="AG538" s="320">
        <f>IF(tblPiNAnalysis[[#This Row],[Highest PiN]]="", "",tblPiNAnalysis[[#This Row],[Highest PiN]]/ tblPiNAnalysis[[#This Row],[Total Population]])</f>
        <v>0.79683770883054894</v>
      </c>
      <c r="AH538" s="320" t="str">
        <f>IFERROR(IF(tblPiNAnalysis[[#This Row],[Highest PiN]]="", "", IF(tblPiNAnalysis[[#This Row],[Highest sector(s'') PiN %]]&gt;=flag_pin_perc, "Flagged", "")), "")</f>
        <v/>
      </c>
      <c r="AI538" s="321"/>
      <c r="AJ538" s="322"/>
      <c r="AK538" s="323">
        <f>COUNTIFS(tblPiNAnalysis[[#This Row],[Highest PiN greater than 90% of total affected population]:[Manual Flag]],"Flagged")</f>
        <v>0</v>
      </c>
      <c r="AL538" s="324" t="str">
        <f>IF(tblPiNAnalysis[[#This Row],['# Flags]]&gt;0, "Flagged", "")</f>
        <v/>
      </c>
    </row>
    <row r="539" spans="1:38" ht="23.1" hidden="1" customHeight="1" x14ac:dyDescent="0.2">
      <c r="A539" s="309" t="str">
        <f>_xlfn.CONCAT(IF(tblPiNAnalysis[[#This Row],[Population Group]]="", "",tblPiNAnalysis[[#This Row],[Population Group]] ), _xlfn.IFS(tblPiNAnalysis[[#This Row],[Admin 2 P-Code]]&lt;&gt;"", tblPiNAnalysis[[#This Row],[Admin 2 P-Code]], tblPiNAnalysis[[#This Row],[Admin 1 P-Code]]&lt;&gt;"", tblPiNAnalysis[[#This Row],[Admin 1 P-Code]]))</f>
        <v>IDPsSD18085</v>
      </c>
      <c r="B539" s="245" t="s">
        <v>194</v>
      </c>
      <c r="C539" s="246" t="s">
        <v>135</v>
      </c>
      <c r="D539" s="247" t="s">
        <v>548</v>
      </c>
      <c r="E539" s="246" t="s">
        <v>549</v>
      </c>
      <c r="F539" s="248">
        <v>13758</v>
      </c>
      <c r="G539" s="248" t="s">
        <v>88</v>
      </c>
      <c r="H539" s="310"/>
      <c r="I539" s="311"/>
      <c r="J539" s="312"/>
      <c r="K539" s="311"/>
      <c r="L539" s="311"/>
      <c r="M539" s="312"/>
      <c r="N539" s="312">
        <f>_xlfn.XLOOKUP(CONCATENATE(tblPiNAnalysis[[#This Row],[Admin 2 P-Code]],tblPiNAnalysis[[#This Row],[Population Group]]),'Overall severity &amp; PIN Analysis'!A:A,'Overall severity &amp; PIN Analysis'!P:P,0,0)</f>
        <v>10962</v>
      </c>
      <c r="O539" s="311"/>
      <c r="P539" s="312"/>
      <c r="Q539" s="312"/>
      <c r="R539" s="312"/>
      <c r="S539" s="312"/>
      <c r="T539" s="313" t="str">
        <f>IF(tblPiNAnalysis[[#This Row],[Site Management ]]="", "", tblPiNAnalysis[[#This Row],[Site Management ]]/tblPiNAnalysis[[#This Row],[Total Population]])</f>
        <v/>
      </c>
      <c r="U539" s="314" t="str">
        <f>IF(tblPiNAnalysis[[#This Row],[Education]]="", "", tblPiNAnalysis[[#This Row],[Education]]/tblPiNAnalysis[[#This Row],[Total Population]])</f>
        <v/>
      </c>
      <c r="V539" s="314" t="str">
        <f>IF(tblPiNAnalysis[[#This Row],[Food Security and Livlihoods]]="", "", tblPiNAnalysis[[#This Row],[Food Security and Livlihoods]]/tblPiNAnalysis[[#This Row],[Total Population]])</f>
        <v/>
      </c>
      <c r="W539" s="315" t="str">
        <f>IF(tblPiNAnalysis[[#This Row],[Health ]]="", "", tblPiNAnalysis[[#This Row],[Health ]]/tblPiNAnalysis[[#This Row],[Total Population]])</f>
        <v/>
      </c>
      <c r="X539" s="314" t="str">
        <f>IF(tblPiNAnalysis[[#This Row],[Nutrition]]="", "", tblPiNAnalysis[[#This Row],[Nutrition]]/tblPiNAnalysis[[#This Row],[Total Population]])</f>
        <v/>
      </c>
      <c r="Y539" s="314" t="str">
        <f>IF(tblPiNAnalysis[[#This Row],[Protection]]="", "", tblPiNAnalysis[[#This Row],[Protection]]/tblPiNAnalysis[[#This Row],[Total Population]])</f>
        <v/>
      </c>
      <c r="Z539" s="316">
        <f>IF(tblPiNAnalysis[[#This Row],[Shelter NFI ]]="", "", tblPiNAnalysis[[#This Row],[Shelter NFI ]]/tblPiNAnalysis[[#This Row],[Total Population]])</f>
        <v>0.79677278674225904</v>
      </c>
      <c r="AA539" s="317" t="str">
        <f>IF(tblPiNAnalysis[[#This Row],[WASH]]="", "", tblPiNAnalysis[[#This Row],[WASH]]/tblPiNAnalysis[[#This Row],[Total Population]])</f>
        <v/>
      </c>
      <c r="AB539" s="318" t="str">
        <f>IFERROR(IF(tblPiNAnalysis[[#This Row],[CP]]="", "", MROUND(tblPiNAnalysis[[#This Row],[CP]]/tblPiNAnalysis[[#This Row],[Total Population]], 0.05)), "")</f>
        <v/>
      </c>
      <c r="AC539" s="314" t="str">
        <f>IFERROR(IF(tblPiNAnalysis[[#This Row],[GBV]]="", "", MROUND(tblPiNAnalysis[[#This Row],[GBV]]/tblPiNAnalysis[[#This Row],[Total Population]], 0.05)), "")</f>
        <v/>
      </c>
      <c r="AD539" s="314" t="str">
        <f>IFERROR(IF(tblPiNAnalysis[[#This Row],[Mine Action]]="", "", MROUND(tblPiNAnalysis[[#This Row],[Mine Action]]/tblPiNAnalysis[[#This Row],[Total Population]], 0.05)), "")</f>
        <v/>
      </c>
      <c r="AE539" s="314" t="str">
        <f>IFERROR(IF(tblPiNAnalysis[[#This Row],[General Protection]]="", "", MROUND(tblPiNAnalysis[[#This Row],[General Protection]]/tblPiNAnalysis[[#This Row],[Total Population]], 0.05)), "")</f>
        <v/>
      </c>
      <c r="AF539" s="319">
        <f>IFERROR(LARGE(tblPiNAnalysis[[#This Row],[Site Management ]:[General Protection]], 1), "")</f>
        <v>10962</v>
      </c>
      <c r="AG539" s="320">
        <f>IF(tblPiNAnalysis[[#This Row],[Highest PiN]]="", "",tblPiNAnalysis[[#This Row],[Highest PiN]]/ tblPiNAnalysis[[#This Row],[Total Population]])</f>
        <v>0.79677278674225904</v>
      </c>
      <c r="AH539" s="320" t="str">
        <f>IFERROR(IF(tblPiNAnalysis[[#This Row],[Highest PiN]]="", "", IF(tblPiNAnalysis[[#This Row],[Highest sector(s'') PiN %]]&gt;=flag_pin_perc, "Flagged", "")), "")</f>
        <v/>
      </c>
      <c r="AI539" s="321"/>
      <c r="AJ539" s="322"/>
      <c r="AK539" s="323">
        <f>COUNTIFS(tblPiNAnalysis[[#This Row],[Highest PiN greater than 90% of total affected population]:[Manual Flag]],"Flagged")</f>
        <v>0</v>
      </c>
      <c r="AL539" s="324" t="str">
        <f>IF(tblPiNAnalysis[[#This Row],['# Flags]]&gt;0, "Flagged", "")</f>
        <v/>
      </c>
    </row>
    <row r="540" spans="1:38" ht="23.1" customHeight="1" x14ac:dyDescent="0.2">
      <c r="A540" s="309" t="str">
        <f>_xlfn.CONCAT(IF(tblPiNAnalysis[[#This Row],[Population Group]]="", "",tblPiNAnalysis[[#This Row],[Population Group]] ), _xlfn.IFS(tblPiNAnalysis[[#This Row],[Admin 2 P-Code]]&lt;&gt;"", tblPiNAnalysis[[#This Row],[Admin 2 P-Code]], tblPiNAnalysis[[#This Row],[Admin 1 P-Code]]&lt;&gt;"", tblPiNAnalysis[[#This Row],[Admin 1 P-Code]]))</f>
        <v>Non-hosting PopulationSD18085</v>
      </c>
      <c r="B540" s="245" t="s">
        <v>194</v>
      </c>
      <c r="C540" s="246" t="s">
        <v>135</v>
      </c>
      <c r="D540" s="247" t="s">
        <v>548</v>
      </c>
      <c r="E540" s="246" t="s">
        <v>549</v>
      </c>
      <c r="F540" s="248">
        <v>79436</v>
      </c>
      <c r="G540" s="248" t="s">
        <v>568</v>
      </c>
      <c r="H540" s="310"/>
      <c r="I540" s="311"/>
      <c r="J540" s="312"/>
      <c r="K540" s="311"/>
      <c r="L540" s="311"/>
      <c r="M540" s="312"/>
      <c r="N540" s="312">
        <f>_xlfn.XLOOKUP(CONCATENATE(tblPiNAnalysis[[#This Row],[Admin 2 P-Code]],tblPiNAnalysis[[#This Row],[Population Group]]),'Overall severity &amp; PIN Analysis'!A:A,'Overall severity &amp; PIN Analysis'!P:P,0,0)</f>
        <v>6631</v>
      </c>
      <c r="O540" s="311"/>
      <c r="P540" s="312"/>
      <c r="Q540" s="312"/>
      <c r="R540" s="312"/>
      <c r="S540" s="312"/>
      <c r="T540" s="313" t="str">
        <f>IF(tblPiNAnalysis[[#This Row],[Site Management ]]="", "", tblPiNAnalysis[[#This Row],[Site Management ]]/tblPiNAnalysis[[#This Row],[Total Population]])</f>
        <v/>
      </c>
      <c r="U540" s="314" t="str">
        <f>IF(tblPiNAnalysis[[#This Row],[Education]]="", "", tblPiNAnalysis[[#This Row],[Education]]/tblPiNAnalysis[[#This Row],[Total Population]])</f>
        <v/>
      </c>
      <c r="V540" s="314" t="str">
        <f>IF(tblPiNAnalysis[[#This Row],[Food Security and Livlihoods]]="", "", tblPiNAnalysis[[#This Row],[Food Security and Livlihoods]]/tblPiNAnalysis[[#This Row],[Total Population]])</f>
        <v/>
      </c>
      <c r="W540" s="315" t="str">
        <f>IF(tblPiNAnalysis[[#This Row],[Health ]]="", "", tblPiNAnalysis[[#This Row],[Health ]]/tblPiNAnalysis[[#This Row],[Total Population]])</f>
        <v/>
      </c>
      <c r="X540" s="314" t="str">
        <f>IF(tblPiNAnalysis[[#This Row],[Nutrition]]="", "", tblPiNAnalysis[[#This Row],[Nutrition]]/tblPiNAnalysis[[#This Row],[Total Population]])</f>
        <v/>
      </c>
      <c r="Y540" s="314" t="str">
        <f>IF(tblPiNAnalysis[[#This Row],[Protection]]="", "", tblPiNAnalysis[[#This Row],[Protection]]/tblPiNAnalysis[[#This Row],[Total Population]])</f>
        <v/>
      </c>
      <c r="Z540" s="316">
        <f>IF(tblPiNAnalysis[[#This Row],[Shelter NFI ]]="", "", tblPiNAnalysis[[#This Row],[Shelter NFI ]]/tblPiNAnalysis[[#This Row],[Total Population]])</f>
        <v>8.3476005841180326E-2</v>
      </c>
      <c r="AA540" s="317" t="str">
        <f>IF(tblPiNAnalysis[[#This Row],[WASH]]="", "", tblPiNAnalysis[[#This Row],[WASH]]/tblPiNAnalysis[[#This Row],[Total Population]])</f>
        <v/>
      </c>
      <c r="AB540" s="318" t="str">
        <f>IFERROR(IF(tblPiNAnalysis[[#This Row],[CP]]="", "", MROUND(tblPiNAnalysis[[#This Row],[CP]]/tblPiNAnalysis[[#This Row],[Total Population]], 0.05)), "")</f>
        <v/>
      </c>
      <c r="AC540" s="314" t="str">
        <f>IFERROR(IF(tblPiNAnalysis[[#This Row],[GBV]]="", "", MROUND(tblPiNAnalysis[[#This Row],[GBV]]/tblPiNAnalysis[[#This Row],[Total Population]], 0.05)), "")</f>
        <v/>
      </c>
      <c r="AD540" s="314" t="str">
        <f>IFERROR(IF(tblPiNAnalysis[[#This Row],[Mine Action]]="", "", MROUND(tblPiNAnalysis[[#This Row],[Mine Action]]/tblPiNAnalysis[[#This Row],[Total Population]], 0.05)), "")</f>
        <v/>
      </c>
      <c r="AE540" s="314" t="str">
        <f>IFERROR(IF(tblPiNAnalysis[[#This Row],[General Protection]]="", "", MROUND(tblPiNAnalysis[[#This Row],[General Protection]]/tblPiNAnalysis[[#This Row],[Total Population]], 0.05)), "")</f>
        <v/>
      </c>
      <c r="AF540" s="319">
        <f>IFERROR(LARGE(tblPiNAnalysis[[#This Row],[Site Management ]:[General Protection]], 1), "")</f>
        <v>6631</v>
      </c>
      <c r="AG540" s="320">
        <f>IF(tblPiNAnalysis[[#This Row],[Highest PiN]]="", "",tblPiNAnalysis[[#This Row],[Highest PiN]]/ tblPiNAnalysis[[#This Row],[Total Population]])</f>
        <v>8.3476005841180326E-2</v>
      </c>
      <c r="AH540" s="320" t="str">
        <f>IFERROR(IF(tblPiNAnalysis[[#This Row],[Highest PiN]]="", "", IF(tblPiNAnalysis[[#This Row],[Highest sector(s'') PiN %]]&gt;=flag_pin_perc, "Flagged", "")), "")</f>
        <v/>
      </c>
      <c r="AI540" s="321"/>
      <c r="AJ540" s="322"/>
      <c r="AK540" s="323">
        <f>COUNTIFS(tblPiNAnalysis[[#This Row],[Highest PiN greater than 90% of total affected population]:[Manual Flag]],"Flagged")</f>
        <v>0</v>
      </c>
      <c r="AL540" s="324" t="str">
        <f>IF(tblPiNAnalysis[[#This Row],['# Flags]]&gt;0, "Flagged", "")</f>
        <v/>
      </c>
    </row>
    <row r="541" spans="1:38" ht="23.1" hidden="1" customHeight="1" x14ac:dyDescent="0.2">
      <c r="A541" s="309" t="str">
        <f>_xlfn.CONCAT(IF(tblPiNAnalysis[[#This Row],[Population Group]]="", "",tblPiNAnalysis[[#This Row],[Population Group]] ), _xlfn.IFS(tblPiNAnalysis[[#This Row],[Admin 2 P-Code]]&lt;&gt;"", tblPiNAnalysis[[#This Row],[Admin 2 P-Code]], tblPiNAnalysis[[#This Row],[Admin 1 P-Code]]&lt;&gt;"", tblPiNAnalysis[[#This Row],[Admin 1 P-Code]]))</f>
        <v>Host CommunitySD18086</v>
      </c>
      <c r="B541" s="245" t="s">
        <v>194</v>
      </c>
      <c r="C541" s="246" t="s">
        <v>135</v>
      </c>
      <c r="D541" s="247" t="s">
        <v>550</v>
      </c>
      <c r="E541" s="246" t="s">
        <v>551</v>
      </c>
      <c r="F541" s="248">
        <v>29010</v>
      </c>
      <c r="G541" s="248" t="s">
        <v>87</v>
      </c>
      <c r="H541" s="310"/>
      <c r="I541" s="311"/>
      <c r="J541" s="312"/>
      <c r="K541" s="311"/>
      <c r="L541" s="311"/>
      <c r="M541" s="312"/>
      <c r="N541" s="312">
        <f>_xlfn.XLOOKUP(CONCATENATE(tblPiNAnalysis[[#This Row],[Admin 2 P-Code]],tblPiNAnalysis[[#This Row],[Population Group]]),'Overall severity &amp; PIN Analysis'!A:A,'Overall severity &amp; PIN Analysis'!P:P,0,0)</f>
        <v>19013</v>
      </c>
      <c r="O541" s="311"/>
      <c r="P541" s="312"/>
      <c r="Q541" s="312"/>
      <c r="R541" s="312"/>
      <c r="S541" s="312"/>
      <c r="T541" s="313" t="str">
        <f>IF(tblPiNAnalysis[[#This Row],[Site Management ]]="", "", tblPiNAnalysis[[#This Row],[Site Management ]]/tblPiNAnalysis[[#This Row],[Total Population]])</f>
        <v/>
      </c>
      <c r="U541" s="314" t="str">
        <f>IF(tblPiNAnalysis[[#This Row],[Education]]="", "", tblPiNAnalysis[[#This Row],[Education]]/tblPiNAnalysis[[#This Row],[Total Population]])</f>
        <v/>
      </c>
      <c r="V541" s="314" t="str">
        <f>IF(tblPiNAnalysis[[#This Row],[Food Security and Livlihoods]]="", "", tblPiNAnalysis[[#This Row],[Food Security and Livlihoods]]/tblPiNAnalysis[[#This Row],[Total Population]])</f>
        <v/>
      </c>
      <c r="W541" s="315" t="str">
        <f>IF(tblPiNAnalysis[[#This Row],[Health ]]="", "", tblPiNAnalysis[[#This Row],[Health ]]/tblPiNAnalysis[[#This Row],[Total Population]])</f>
        <v/>
      </c>
      <c r="X541" s="314" t="str">
        <f>IF(tblPiNAnalysis[[#This Row],[Nutrition]]="", "", tblPiNAnalysis[[#This Row],[Nutrition]]/tblPiNAnalysis[[#This Row],[Total Population]])</f>
        <v/>
      </c>
      <c r="Y541" s="314" t="str">
        <f>IF(tblPiNAnalysis[[#This Row],[Protection]]="", "", tblPiNAnalysis[[#This Row],[Protection]]/tblPiNAnalysis[[#This Row],[Total Population]])</f>
        <v/>
      </c>
      <c r="Z541" s="316">
        <f>IF(tblPiNAnalysis[[#This Row],[Shelter NFI ]]="", "", tblPiNAnalysis[[#This Row],[Shelter NFI ]]/tblPiNAnalysis[[#This Row],[Total Population]])</f>
        <v>0.65539469148569462</v>
      </c>
      <c r="AA541" s="317" t="str">
        <f>IF(tblPiNAnalysis[[#This Row],[WASH]]="", "", tblPiNAnalysis[[#This Row],[WASH]]/tblPiNAnalysis[[#This Row],[Total Population]])</f>
        <v/>
      </c>
      <c r="AB541" s="318" t="str">
        <f>IFERROR(IF(tblPiNAnalysis[[#This Row],[CP]]="", "", MROUND(tblPiNAnalysis[[#This Row],[CP]]/tblPiNAnalysis[[#This Row],[Total Population]], 0.05)), "")</f>
        <v/>
      </c>
      <c r="AC541" s="314" t="str">
        <f>IFERROR(IF(tblPiNAnalysis[[#This Row],[GBV]]="", "", MROUND(tblPiNAnalysis[[#This Row],[GBV]]/tblPiNAnalysis[[#This Row],[Total Population]], 0.05)), "")</f>
        <v/>
      </c>
      <c r="AD541" s="314" t="str">
        <f>IFERROR(IF(tblPiNAnalysis[[#This Row],[Mine Action]]="", "", MROUND(tblPiNAnalysis[[#This Row],[Mine Action]]/tblPiNAnalysis[[#This Row],[Total Population]], 0.05)), "")</f>
        <v/>
      </c>
      <c r="AE541" s="314" t="str">
        <f>IFERROR(IF(tblPiNAnalysis[[#This Row],[General Protection]]="", "", MROUND(tblPiNAnalysis[[#This Row],[General Protection]]/tblPiNAnalysis[[#This Row],[Total Population]], 0.05)), "")</f>
        <v/>
      </c>
      <c r="AF541" s="319">
        <f>IFERROR(LARGE(tblPiNAnalysis[[#This Row],[Site Management ]:[General Protection]], 1), "")</f>
        <v>19013</v>
      </c>
      <c r="AG541" s="320">
        <f>IF(tblPiNAnalysis[[#This Row],[Highest PiN]]="", "",tblPiNAnalysis[[#This Row],[Highest PiN]]/ tblPiNAnalysis[[#This Row],[Total Population]])</f>
        <v>0.65539469148569462</v>
      </c>
      <c r="AH541" s="320" t="str">
        <f>IFERROR(IF(tblPiNAnalysis[[#This Row],[Highest PiN]]="", "", IF(tblPiNAnalysis[[#This Row],[Highest sector(s'') PiN %]]&gt;=flag_pin_perc, "Flagged", "")), "")</f>
        <v/>
      </c>
      <c r="AI541" s="321"/>
      <c r="AJ541" s="322"/>
      <c r="AK541" s="323">
        <f>COUNTIFS(tblPiNAnalysis[[#This Row],[Highest PiN greater than 90% of total affected population]:[Manual Flag]],"Flagged")</f>
        <v>0</v>
      </c>
      <c r="AL541" s="324" t="str">
        <f>IF(tblPiNAnalysis[[#This Row],['# Flags]]&gt;0, "Flagged", "")</f>
        <v/>
      </c>
    </row>
    <row r="542" spans="1:38" ht="23.1" hidden="1" customHeight="1" x14ac:dyDescent="0.2">
      <c r="A542" s="309" t="str">
        <f>_xlfn.CONCAT(IF(tblPiNAnalysis[[#This Row],[Population Group]]="", "",tblPiNAnalysis[[#This Row],[Population Group]] ), _xlfn.IFS(tblPiNAnalysis[[#This Row],[Admin 2 P-Code]]&lt;&gt;"", tblPiNAnalysis[[#This Row],[Admin 2 P-Code]], tblPiNAnalysis[[#This Row],[Admin 1 P-Code]]&lt;&gt;"", tblPiNAnalysis[[#This Row],[Admin 1 P-Code]]))</f>
        <v>IDPsSD18086</v>
      </c>
      <c r="B542" s="245" t="s">
        <v>194</v>
      </c>
      <c r="C542" s="246" t="s">
        <v>135</v>
      </c>
      <c r="D542" s="247" t="s">
        <v>550</v>
      </c>
      <c r="E542" s="246" t="s">
        <v>551</v>
      </c>
      <c r="F542" s="248">
        <v>31416</v>
      </c>
      <c r="G542" s="248" t="s">
        <v>88</v>
      </c>
      <c r="H542" s="310"/>
      <c r="I542" s="311"/>
      <c r="J542" s="312"/>
      <c r="K542" s="311"/>
      <c r="L542" s="311"/>
      <c r="M542" s="312"/>
      <c r="N542" s="312">
        <f>_xlfn.XLOOKUP(CONCATENATE(tblPiNAnalysis[[#This Row],[Admin 2 P-Code]],tblPiNAnalysis[[#This Row],[Population Group]]),'Overall severity &amp; PIN Analysis'!A:A,'Overall severity &amp; PIN Analysis'!P:P,0,0)</f>
        <v>20590</v>
      </c>
      <c r="O542" s="311"/>
      <c r="P542" s="312"/>
      <c r="Q542" s="312"/>
      <c r="R542" s="312"/>
      <c r="S542" s="312"/>
      <c r="T542" s="313" t="str">
        <f>IF(tblPiNAnalysis[[#This Row],[Site Management ]]="", "", tblPiNAnalysis[[#This Row],[Site Management ]]/tblPiNAnalysis[[#This Row],[Total Population]])</f>
        <v/>
      </c>
      <c r="U542" s="314" t="str">
        <f>IF(tblPiNAnalysis[[#This Row],[Education]]="", "", tblPiNAnalysis[[#This Row],[Education]]/tblPiNAnalysis[[#This Row],[Total Population]])</f>
        <v/>
      </c>
      <c r="V542" s="314" t="str">
        <f>IF(tblPiNAnalysis[[#This Row],[Food Security and Livlihoods]]="", "", tblPiNAnalysis[[#This Row],[Food Security and Livlihoods]]/tblPiNAnalysis[[#This Row],[Total Population]])</f>
        <v/>
      </c>
      <c r="W542" s="315" t="str">
        <f>IF(tblPiNAnalysis[[#This Row],[Health ]]="", "", tblPiNAnalysis[[#This Row],[Health ]]/tblPiNAnalysis[[#This Row],[Total Population]])</f>
        <v/>
      </c>
      <c r="X542" s="314" t="str">
        <f>IF(tblPiNAnalysis[[#This Row],[Nutrition]]="", "", tblPiNAnalysis[[#This Row],[Nutrition]]/tblPiNAnalysis[[#This Row],[Total Population]])</f>
        <v/>
      </c>
      <c r="Y542" s="314" t="str">
        <f>IF(tblPiNAnalysis[[#This Row],[Protection]]="", "", tblPiNAnalysis[[#This Row],[Protection]]/tblPiNAnalysis[[#This Row],[Total Population]])</f>
        <v/>
      </c>
      <c r="Z542" s="316">
        <f>IF(tblPiNAnalysis[[#This Row],[Shelter NFI ]]="", "", tblPiNAnalysis[[#This Row],[Shelter NFI ]]/tblPiNAnalysis[[#This Row],[Total Population]])</f>
        <v>0.65539852304558188</v>
      </c>
      <c r="AA542" s="317" t="str">
        <f>IF(tblPiNAnalysis[[#This Row],[WASH]]="", "", tblPiNAnalysis[[#This Row],[WASH]]/tblPiNAnalysis[[#This Row],[Total Population]])</f>
        <v/>
      </c>
      <c r="AB542" s="318" t="str">
        <f>IFERROR(IF(tblPiNAnalysis[[#This Row],[CP]]="", "", MROUND(tblPiNAnalysis[[#This Row],[CP]]/tblPiNAnalysis[[#This Row],[Total Population]], 0.05)), "")</f>
        <v/>
      </c>
      <c r="AC542" s="314" t="str">
        <f>IFERROR(IF(tblPiNAnalysis[[#This Row],[GBV]]="", "", MROUND(tblPiNAnalysis[[#This Row],[GBV]]/tblPiNAnalysis[[#This Row],[Total Population]], 0.05)), "")</f>
        <v/>
      </c>
      <c r="AD542" s="314" t="str">
        <f>IFERROR(IF(tblPiNAnalysis[[#This Row],[Mine Action]]="", "", MROUND(tblPiNAnalysis[[#This Row],[Mine Action]]/tblPiNAnalysis[[#This Row],[Total Population]], 0.05)), "")</f>
        <v/>
      </c>
      <c r="AE542" s="314" t="str">
        <f>IFERROR(IF(tblPiNAnalysis[[#This Row],[General Protection]]="", "", MROUND(tblPiNAnalysis[[#This Row],[General Protection]]/tblPiNAnalysis[[#This Row],[Total Population]], 0.05)), "")</f>
        <v/>
      </c>
      <c r="AF542" s="319">
        <f>IFERROR(LARGE(tblPiNAnalysis[[#This Row],[Site Management ]:[General Protection]], 1), "")</f>
        <v>20590</v>
      </c>
      <c r="AG542" s="320">
        <f>IF(tblPiNAnalysis[[#This Row],[Highest PiN]]="", "",tblPiNAnalysis[[#This Row],[Highest PiN]]/ tblPiNAnalysis[[#This Row],[Total Population]])</f>
        <v>0.65539852304558188</v>
      </c>
      <c r="AH542" s="320" t="str">
        <f>IFERROR(IF(tblPiNAnalysis[[#This Row],[Highest PiN]]="", "", IF(tblPiNAnalysis[[#This Row],[Highest sector(s'') PiN %]]&gt;=flag_pin_perc, "Flagged", "")), "")</f>
        <v/>
      </c>
      <c r="AI542" s="321"/>
      <c r="AJ542" s="322"/>
      <c r="AK542" s="323">
        <f>COUNTIFS(tblPiNAnalysis[[#This Row],[Highest PiN greater than 90% of total affected population]:[Manual Flag]],"Flagged")</f>
        <v>0</v>
      </c>
      <c r="AL542" s="324" t="str">
        <f>IF(tblPiNAnalysis[[#This Row],['# Flags]]&gt;0, "Flagged", "")</f>
        <v/>
      </c>
    </row>
    <row r="543" spans="1:38" ht="23.1" customHeight="1" x14ac:dyDescent="0.2">
      <c r="A543" s="309" t="str">
        <f>_xlfn.CONCAT(IF(tblPiNAnalysis[[#This Row],[Population Group]]="", "",tblPiNAnalysis[[#This Row],[Population Group]] ), _xlfn.IFS(tblPiNAnalysis[[#This Row],[Admin 2 P-Code]]&lt;&gt;"", tblPiNAnalysis[[#This Row],[Admin 2 P-Code]], tblPiNAnalysis[[#This Row],[Admin 1 P-Code]]&lt;&gt;"", tblPiNAnalysis[[#This Row],[Admin 1 P-Code]]))</f>
        <v>Non-hosting PopulationSD18086</v>
      </c>
      <c r="B543" s="245" t="s">
        <v>194</v>
      </c>
      <c r="C543" s="246" t="s">
        <v>135</v>
      </c>
      <c r="D543" s="247" t="s">
        <v>550</v>
      </c>
      <c r="E543" s="246" t="s">
        <v>551</v>
      </c>
      <c r="F543" s="248">
        <v>156205</v>
      </c>
      <c r="G543" s="248" t="s">
        <v>568</v>
      </c>
      <c r="H543" s="310"/>
      <c r="I543" s="311"/>
      <c r="J543" s="312"/>
      <c r="K543" s="311"/>
      <c r="L543" s="311"/>
      <c r="M543" s="312"/>
      <c r="N543" s="312">
        <f>_xlfn.XLOOKUP(CONCATENATE(tblPiNAnalysis[[#This Row],[Admin 2 P-Code]],tblPiNAnalysis[[#This Row],[Population Group]]),'Overall severity &amp; PIN Analysis'!A:A,'Overall severity &amp; PIN Analysis'!P:P,0,0)</f>
        <v>4310</v>
      </c>
      <c r="O543" s="311"/>
      <c r="P543" s="312"/>
      <c r="Q543" s="312"/>
      <c r="R543" s="312"/>
      <c r="S543" s="312"/>
      <c r="T543" s="313" t="str">
        <f>IF(tblPiNAnalysis[[#This Row],[Site Management ]]="", "", tblPiNAnalysis[[#This Row],[Site Management ]]/tblPiNAnalysis[[#This Row],[Total Population]])</f>
        <v/>
      </c>
      <c r="U543" s="314" t="str">
        <f>IF(tblPiNAnalysis[[#This Row],[Education]]="", "", tblPiNAnalysis[[#This Row],[Education]]/tblPiNAnalysis[[#This Row],[Total Population]])</f>
        <v/>
      </c>
      <c r="V543" s="314" t="str">
        <f>IF(tblPiNAnalysis[[#This Row],[Food Security and Livlihoods]]="", "", tblPiNAnalysis[[#This Row],[Food Security and Livlihoods]]/tblPiNAnalysis[[#This Row],[Total Population]])</f>
        <v/>
      </c>
      <c r="W543" s="315" t="str">
        <f>IF(tblPiNAnalysis[[#This Row],[Health ]]="", "", tblPiNAnalysis[[#This Row],[Health ]]/tblPiNAnalysis[[#This Row],[Total Population]])</f>
        <v/>
      </c>
      <c r="X543" s="314" t="str">
        <f>IF(tblPiNAnalysis[[#This Row],[Nutrition]]="", "", tblPiNAnalysis[[#This Row],[Nutrition]]/tblPiNAnalysis[[#This Row],[Total Population]])</f>
        <v/>
      </c>
      <c r="Y543" s="314" t="str">
        <f>IF(tblPiNAnalysis[[#This Row],[Protection]]="", "", tblPiNAnalysis[[#This Row],[Protection]]/tblPiNAnalysis[[#This Row],[Total Population]])</f>
        <v/>
      </c>
      <c r="Z543" s="316">
        <f>IF(tblPiNAnalysis[[#This Row],[Shelter NFI ]]="", "", tblPiNAnalysis[[#This Row],[Shelter NFI ]]/tblPiNAnalysis[[#This Row],[Total Population]])</f>
        <v>2.759194648058641E-2</v>
      </c>
      <c r="AA543" s="317" t="str">
        <f>IF(tblPiNAnalysis[[#This Row],[WASH]]="", "", tblPiNAnalysis[[#This Row],[WASH]]/tblPiNAnalysis[[#This Row],[Total Population]])</f>
        <v/>
      </c>
      <c r="AB543" s="318" t="str">
        <f>IFERROR(IF(tblPiNAnalysis[[#This Row],[CP]]="", "", MROUND(tblPiNAnalysis[[#This Row],[CP]]/tblPiNAnalysis[[#This Row],[Total Population]], 0.05)), "")</f>
        <v/>
      </c>
      <c r="AC543" s="314" t="str">
        <f>IFERROR(IF(tblPiNAnalysis[[#This Row],[GBV]]="", "", MROUND(tblPiNAnalysis[[#This Row],[GBV]]/tblPiNAnalysis[[#This Row],[Total Population]], 0.05)), "")</f>
        <v/>
      </c>
      <c r="AD543" s="314" t="str">
        <f>IFERROR(IF(tblPiNAnalysis[[#This Row],[Mine Action]]="", "", MROUND(tblPiNAnalysis[[#This Row],[Mine Action]]/tblPiNAnalysis[[#This Row],[Total Population]], 0.05)), "")</f>
        <v/>
      </c>
      <c r="AE543" s="314" t="str">
        <f>IFERROR(IF(tblPiNAnalysis[[#This Row],[General Protection]]="", "", MROUND(tblPiNAnalysis[[#This Row],[General Protection]]/tblPiNAnalysis[[#This Row],[Total Population]], 0.05)), "")</f>
        <v/>
      </c>
      <c r="AF543" s="319">
        <f>IFERROR(LARGE(tblPiNAnalysis[[#This Row],[Site Management ]:[General Protection]], 1), "")</f>
        <v>4310</v>
      </c>
      <c r="AG543" s="320">
        <f>IF(tblPiNAnalysis[[#This Row],[Highest PiN]]="", "",tblPiNAnalysis[[#This Row],[Highest PiN]]/ tblPiNAnalysis[[#This Row],[Total Population]])</f>
        <v>2.759194648058641E-2</v>
      </c>
      <c r="AH543" s="320" t="str">
        <f>IFERROR(IF(tblPiNAnalysis[[#This Row],[Highest PiN]]="", "", IF(tblPiNAnalysis[[#This Row],[Highest sector(s'') PiN %]]&gt;=flag_pin_perc, "Flagged", "")), "")</f>
        <v/>
      </c>
      <c r="AI543" s="321"/>
      <c r="AJ543" s="322"/>
      <c r="AK543" s="323">
        <f>COUNTIFS(tblPiNAnalysis[[#This Row],[Highest PiN greater than 90% of total affected population]:[Manual Flag]],"Flagged")</f>
        <v>0</v>
      </c>
      <c r="AL543" s="324" t="str">
        <f>IF(tblPiNAnalysis[[#This Row],['# Flags]]&gt;0, "Flagged", "")</f>
        <v/>
      </c>
    </row>
    <row r="544" spans="1:38" ht="23.1" hidden="1" customHeight="1" x14ac:dyDescent="0.2">
      <c r="A544" s="309" t="str">
        <f>_xlfn.CONCAT(IF(tblPiNAnalysis[[#This Row],[Population Group]]="", "",tblPiNAnalysis[[#This Row],[Population Group]] ), _xlfn.IFS(tblPiNAnalysis[[#This Row],[Admin 2 P-Code]]&lt;&gt;"", tblPiNAnalysis[[#This Row],[Admin 2 P-Code]], tblPiNAnalysis[[#This Row],[Admin 1 P-Code]]&lt;&gt;"", tblPiNAnalysis[[#This Row],[Admin 1 P-Code]]))</f>
        <v>Host CommunitySD18087</v>
      </c>
      <c r="B544" s="245" t="s">
        <v>194</v>
      </c>
      <c r="C544" s="246" t="s">
        <v>135</v>
      </c>
      <c r="D544" s="247" t="s">
        <v>552</v>
      </c>
      <c r="E544" s="246" t="s">
        <v>553</v>
      </c>
      <c r="F544" s="248">
        <v>0</v>
      </c>
      <c r="G544" s="248" t="s">
        <v>87</v>
      </c>
      <c r="H544" s="310"/>
      <c r="I544" s="311"/>
      <c r="J544" s="312"/>
      <c r="K544" s="311"/>
      <c r="L544" s="311"/>
      <c r="M544" s="312"/>
      <c r="N544" s="312">
        <f>_xlfn.XLOOKUP(CONCATENATE(tblPiNAnalysis[[#This Row],[Admin 2 P-Code]],tblPiNAnalysis[[#This Row],[Population Group]]),'Overall severity &amp; PIN Analysis'!A:A,'Overall severity &amp; PIN Analysis'!P:P,0,0)</f>
        <v>0</v>
      </c>
      <c r="O544" s="311"/>
      <c r="P544" s="312"/>
      <c r="Q544" s="312"/>
      <c r="R544" s="312"/>
      <c r="S544" s="312"/>
      <c r="T544" s="313" t="str">
        <f>IF(tblPiNAnalysis[[#This Row],[Site Management ]]="", "", tblPiNAnalysis[[#This Row],[Site Management ]]/tblPiNAnalysis[[#This Row],[Total Population]])</f>
        <v/>
      </c>
      <c r="U544" s="314" t="str">
        <f>IF(tblPiNAnalysis[[#This Row],[Education]]="", "", tblPiNAnalysis[[#This Row],[Education]]/tblPiNAnalysis[[#This Row],[Total Population]])</f>
        <v/>
      </c>
      <c r="V544" s="314" t="str">
        <f>IF(tblPiNAnalysis[[#This Row],[Food Security and Livlihoods]]="", "", tblPiNAnalysis[[#This Row],[Food Security and Livlihoods]]/tblPiNAnalysis[[#This Row],[Total Population]])</f>
        <v/>
      </c>
      <c r="W544" s="315" t="str">
        <f>IF(tblPiNAnalysis[[#This Row],[Health ]]="", "", tblPiNAnalysis[[#This Row],[Health ]]/tblPiNAnalysis[[#This Row],[Total Population]])</f>
        <v/>
      </c>
      <c r="X544" s="314" t="str">
        <f>IF(tblPiNAnalysis[[#This Row],[Nutrition]]="", "", tblPiNAnalysis[[#This Row],[Nutrition]]/tblPiNAnalysis[[#This Row],[Total Population]])</f>
        <v/>
      </c>
      <c r="Y544" s="314" t="str">
        <f>IF(tblPiNAnalysis[[#This Row],[Protection]]="", "", tblPiNAnalysis[[#This Row],[Protection]]/tblPiNAnalysis[[#This Row],[Total Population]])</f>
        <v/>
      </c>
      <c r="Z544" s="316" t="e">
        <f>IF(tblPiNAnalysis[[#This Row],[Shelter NFI ]]="", "", tblPiNAnalysis[[#This Row],[Shelter NFI ]]/tblPiNAnalysis[[#This Row],[Total Population]])</f>
        <v>#DIV/0!</v>
      </c>
      <c r="AA544" s="317" t="str">
        <f>IF(tblPiNAnalysis[[#This Row],[WASH]]="", "", tblPiNAnalysis[[#This Row],[WASH]]/tblPiNAnalysis[[#This Row],[Total Population]])</f>
        <v/>
      </c>
      <c r="AB544" s="318" t="str">
        <f>IFERROR(IF(tblPiNAnalysis[[#This Row],[CP]]="", "", MROUND(tblPiNAnalysis[[#This Row],[CP]]/tblPiNAnalysis[[#This Row],[Total Population]], 0.05)), "")</f>
        <v/>
      </c>
      <c r="AC544" s="314" t="str">
        <f>IFERROR(IF(tblPiNAnalysis[[#This Row],[GBV]]="", "", MROUND(tblPiNAnalysis[[#This Row],[GBV]]/tblPiNAnalysis[[#This Row],[Total Population]], 0.05)), "")</f>
        <v/>
      </c>
      <c r="AD544" s="314" t="str">
        <f>IFERROR(IF(tblPiNAnalysis[[#This Row],[Mine Action]]="", "", MROUND(tblPiNAnalysis[[#This Row],[Mine Action]]/tblPiNAnalysis[[#This Row],[Total Population]], 0.05)), "")</f>
        <v/>
      </c>
      <c r="AE544" s="314" t="str">
        <f>IFERROR(IF(tblPiNAnalysis[[#This Row],[General Protection]]="", "", MROUND(tblPiNAnalysis[[#This Row],[General Protection]]/tblPiNAnalysis[[#This Row],[Total Population]], 0.05)), "")</f>
        <v/>
      </c>
      <c r="AF544" s="319">
        <f>IFERROR(LARGE(tblPiNAnalysis[[#This Row],[Site Management ]:[General Protection]], 1), "")</f>
        <v>0</v>
      </c>
      <c r="AG544" s="320" t="e">
        <f>IF(tblPiNAnalysis[[#This Row],[Highest PiN]]="", "",tblPiNAnalysis[[#This Row],[Highest PiN]]/ tblPiNAnalysis[[#This Row],[Total Population]])</f>
        <v>#DIV/0!</v>
      </c>
      <c r="AH544" s="320" t="str">
        <f>IFERROR(IF(tblPiNAnalysis[[#This Row],[Highest PiN]]="", "", IF(tblPiNAnalysis[[#This Row],[Highest sector(s'') PiN %]]&gt;=flag_pin_perc, "Flagged", "")), "")</f>
        <v/>
      </c>
      <c r="AI544" s="321"/>
      <c r="AJ544" s="322"/>
      <c r="AK544" s="323">
        <f>COUNTIFS(tblPiNAnalysis[[#This Row],[Highest PiN greater than 90% of total affected population]:[Manual Flag]],"Flagged")</f>
        <v>0</v>
      </c>
      <c r="AL544" s="324" t="str">
        <f>IF(tblPiNAnalysis[[#This Row],['# Flags]]&gt;0, "Flagged", "")</f>
        <v/>
      </c>
    </row>
    <row r="545" spans="1:38" ht="23.1" hidden="1" customHeight="1" x14ac:dyDescent="0.2">
      <c r="A545" s="309" t="str">
        <f>_xlfn.CONCAT(IF(tblPiNAnalysis[[#This Row],[Population Group]]="", "",tblPiNAnalysis[[#This Row],[Population Group]] ), _xlfn.IFS(tblPiNAnalysis[[#This Row],[Admin 2 P-Code]]&lt;&gt;"", tblPiNAnalysis[[#This Row],[Admin 2 P-Code]], tblPiNAnalysis[[#This Row],[Admin 1 P-Code]]&lt;&gt;"", tblPiNAnalysis[[#This Row],[Admin 1 P-Code]]))</f>
        <v>IDPsSD18087</v>
      </c>
      <c r="B545" s="245" t="s">
        <v>194</v>
      </c>
      <c r="C545" s="246" t="s">
        <v>135</v>
      </c>
      <c r="D545" s="247" t="s">
        <v>552</v>
      </c>
      <c r="E545" s="246" t="s">
        <v>553</v>
      </c>
      <c r="F545" s="248">
        <v>19629</v>
      </c>
      <c r="G545" s="248" t="s">
        <v>88</v>
      </c>
      <c r="H545" s="310"/>
      <c r="I545" s="311"/>
      <c r="J545" s="312"/>
      <c r="K545" s="311"/>
      <c r="L545" s="311"/>
      <c r="M545" s="312"/>
      <c r="N545" s="312">
        <f>_xlfn.XLOOKUP(CONCATENATE(tblPiNAnalysis[[#This Row],[Admin 2 P-Code]],tblPiNAnalysis[[#This Row],[Population Group]]),'Overall severity &amp; PIN Analysis'!A:A,'Overall severity &amp; PIN Analysis'!P:P,0,0)</f>
        <v>9066</v>
      </c>
      <c r="O545" s="311"/>
      <c r="P545" s="312"/>
      <c r="Q545" s="312"/>
      <c r="R545" s="312"/>
      <c r="S545" s="312"/>
      <c r="T545" s="313" t="str">
        <f>IF(tblPiNAnalysis[[#This Row],[Site Management ]]="", "", tblPiNAnalysis[[#This Row],[Site Management ]]/tblPiNAnalysis[[#This Row],[Total Population]])</f>
        <v/>
      </c>
      <c r="U545" s="314" t="str">
        <f>IF(tblPiNAnalysis[[#This Row],[Education]]="", "", tblPiNAnalysis[[#This Row],[Education]]/tblPiNAnalysis[[#This Row],[Total Population]])</f>
        <v/>
      </c>
      <c r="V545" s="314" t="str">
        <f>IF(tblPiNAnalysis[[#This Row],[Food Security and Livlihoods]]="", "", tblPiNAnalysis[[#This Row],[Food Security and Livlihoods]]/tblPiNAnalysis[[#This Row],[Total Population]])</f>
        <v/>
      </c>
      <c r="W545" s="315" t="str">
        <f>IF(tblPiNAnalysis[[#This Row],[Health ]]="", "", tblPiNAnalysis[[#This Row],[Health ]]/tblPiNAnalysis[[#This Row],[Total Population]])</f>
        <v/>
      </c>
      <c r="X545" s="314" t="str">
        <f>IF(tblPiNAnalysis[[#This Row],[Nutrition]]="", "", tblPiNAnalysis[[#This Row],[Nutrition]]/tblPiNAnalysis[[#This Row],[Total Population]])</f>
        <v/>
      </c>
      <c r="Y545" s="314" t="str">
        <f>IF(tblPiNAnalysis[[#This Row],[Protection]]="", "", tblPiNAnalysis[[#This Row],[Protection]]/tblPiNAnalysis[[#This Row],[Total Population]])</f>
        <v/>
      </c>
      <c r="Z545" s="316">
        <f>IF(tblPiNAnalysis[[#This Row],[Shelter NFI ]]="", "", tblPiNAnalysis[[#This Row],[Shelter NFI ]]/tblPiNAnalysis[[#This Row],[Total Population]])</f>
        <v>0.46186764481124865</v>
      </c>
      <c r="AA545" s="317" t="str">
        <f>IF(tblPiNAnalysis[[#This Row],[WASH]]="", "", tblPiNAnalysis[[#This Row],[WASH]]/tblPiNAnalysis[[#This Row],[Total Population]])</f>
        <v/>
      </c>
      <c r="AB545" s="318" t="str">
        <f>IFERROR(IF(tblPiNAnalysis[[#This Row],[CP]]="", "", MROUND(tblPiNAnalysis[[#This Row],[CP]]/tblPiNAnalysis[[#This Row],[Total Population]], 0.05)), "")</f>
        <v/>
      </c>
      <c r="AC545" s="314" t="str">
        <f>IFERROR(IF(tblPiNAnalysis[[#This Row],[GBV]]="", "", MROUND(tblPiNAnalysis[[#This Row],[GBV]]/tblPiNAnalysis[[#This Row],[Total Population]], 0.05)), "")</f>
        <v/>
      </c>
      <c r="AD545" s="314" t="str">
        <f>IFERROR(IF(tblPiNAnalysis[[#This Row],[Mine Action]]="", "", MROUND(tblPiNAnalysis[[#This Row],[Mine Action]]/tblPiNAnalysis[[#This Row],[Total Population]], 0.05)), "")</f>
        <v/>
      </c>
      <c r="AE545" s="314" t="str">
        <f>IFERROR(IF(tblPiNAnalysis[[#This Row],[General Protection]]="", "", MROUND(tblPiNAnalysis[[#This Row],[General Protection]]/tblPiNAnalysis[[#This Row],[Total Population]], 0.05)), "")</f>
        <v/>
      </c>
      <c r="AF545" s="319">
        <f>IFERROR(LARGE(tblPiNAnalysis[[#This Row],[Site Management ]:[General Protection]], 1), "")</f>
        <v>9066</v>
      </c>
      <c r="AG545" s="320">
        <f>IF(tblPiNAnalysis[[#This Row],[Highest PiN]]="", "",tblPiNAnalysis[[#This Row],[Highest PiN]]/ tblPiNAnalysis[[#This Row],[Total Population]])</f>
        <v>0.46186764481124865</v>
      </c>
      <c r="AH545" s="320" t="str">
        <f>IFERROR(IF(tblPiNAnalysis[[#This Row],[Highest PiN]]="", "", IF(tblPiNAnalysis[[#This Row],[Highest sector(s'') PiN %]]&gt;=flag_pin_perc, "Flagged", "")), "")</f>
        <v/>
      </c>
      <c r="AI545" s="321"/>
      <c r="AJ545" s="322"/>
      <c r="AK545" s="323">
        <f>COUNTIFS(tblPiNAnalysis[[#This Row],[Highest PiN greater than 90% of total affected population]:[Manual Flag]],"Flagged")</f>
        <v>0</v>
      </c>
      <c r="AL545" s="324" t="str">
        <f>IF(tblPiNAnalysis[[#This Row],['# Flags]]&gt;0, "Flagged", "")</f>
        <v/>
      </c>
    </row>
    <row r="546" spans="1:38" ht="23.1" customHeight="1" x14ac:dyDescent="0.2">
      <c r="A546" s="309" t="str">
        <f>_xlfn.CONCAT(IF(tblPiNAnalysis[[#This Row],[Population Group]]="", "",tblPiNAnalysis[[#This Row],[Population Group]] ), _xlfn.IFS(tblPiNAnalysis[[#This Row],[Admin 2 P-Code]]&lt;&gt;"", tblPiNAnalysis[[#This Row],[Admin 2 P-Code]], tblPiNAnalysis[[#This Row],[Admin 1 P-Code]]&lt;&gt;"", tblPiNAnalysis[[#This Row],[Admin 1 P-Code]]))</f>
        <v>Non-hosting PopulationSD18087</v>
      </c>
      <c r="B546" s="245" t="s">
        <v>194</v>
      </c>
      <c r="C546" s="246" t="s">
        <v>135</v>
      </c>
      <c r="D546" s="247" t="s">
        <v>552</v>
      </c>
      <c r="E546" s="246" t="s">
        <v>553</v>
      </c>
      <c r="F546" s="248">
        <v>0</v>
      </c>
      <c r="G546" s="248" t="s">
        <v>568</v>
      </c>
      <c r="H546" s="310"/>
      <c r="I546" s="311"/>
      <c r="J546" s="312"/>
      <c r="K546" s="311"/>
      <c r="L546" s="311"/>
      <c r="M546" s="312"/>
      <c r="N546" s="312">
        <f>_xlfn.XLOOKUP(CONCATENATE(tblPiNAnalysis[[#This Row],[Admin 2 P-Code]],tblPiNAnalysis[[#This Row],[Population Group]]),'Overall severity &amp; PIN Analysis'!A:A,'Overall severity &amp; PIN Analysis'!P:P,0,0)</f>
        <v>0</v>
      </c>
      <c r="O546" s="311"/>
      <c r="P546" s="312"/>
      <c r="Q546" s="312"/>
      <c r="R546" s="312"/>
      <c r="S546" s="312"/>
      <c r="T546" s="313" t="str">
        <f>IF(tblPiNAnalysis[[#This Row],[Site Management ]]="", "", tblPiNAnalysis[[#This Row],[Site Management ]]/tblPiNAnalysis[[#This Row],[Total Population]])</f>
        <v/>
      </c>
      <c r="U546" s="314" t="str">
        <f>IF(tblPiNAnalysis[[#This Row],[Education]]="", "", tblPiNAnalysis[[#This Row],[Education]]/tblPiNAnalysis[[#This Row],[Total Population]])</f>
        <v/>
      </c>
      <c r="V546" s="314" t="str">
        <f>IF(tblPiNAnalysis[[#This Row],[Food Security and Livlihoods]]="", "", tblPiNAnalysis[[#This Row],[Food Security and Livlihoods]]/tblPiNAnalysis[[#This Row],[Total Population]])</f>
        <v/>
      </c>
      <c r="W546" s="315" t="str">
        <f>IF(tblPiNAnalysis[[#This Row],[Health ]]="", "", tblPiNAnalysis[[#This Row],[Health ]]/tblPiNAnalysis[[#This Row],[Total Population]])</f>
        <v/>
      </c>
      <c r="X546" s="314" t="str">
        <f>IF(tblPiNAnalysis[[#This Row],[Nutrition]]="", "", tblPiNAnalysis[[#This Row],[Nutrition]]/tblPiNAnalysis[[#This Row],[Total Population]])</f>
        <v/>
      </c>
      <c r="Y546" s="314" t="str">
        <f>IF(tblPiNAnalysis[[#This Row],[Protection]]="", "", tblPiNAnalysis[[#This Row],[Protection]]/tblPiNAnalysis[[#This Row],[Total Population]])</f>
        <v/>
      </c>
      <c r="Z546" s="316" t="e">
        <f>IF(tblPiNAnalysis[[#This Row],[Shelter NFI ]]="", "", tblPiNAnalysis[[#This Row],[Shelter NFI ]]/tblPiNAnalysis[[#This Row],[Total Population]])</f>
        <v>#DIV/0!</v>
      </c>
      <c r="AA546" s="317" t="str">
        <f>IF(tblPiNAnalysis[[#This Row],[WASH]]="", "", tblPiNAnalysis[[#This Row],[WASH]]/tblPiNAnalysis[[#This Row],[Total Population]])</f>
        <v/>
      </c>
      <c r="AB546" s="318" t="str">
        <f>IFERROR(IF(tblPiNAnalysis[[#This Row],[CP]]="", "", MROUND(tblPiNAnalysis[[#This Row],[CP]]/tblPiNAnalysis[[#This Row],[Total Population]], 0.05)), "")</f>
        <v/>
      </c>
      <c r="AC546" s="314" t="str">
        <f>IFERROR(IF(tblPiNAnalysis[[#This Row],[GBV]]="", "", MROUND(tblPiNAnalysis[[#This Row],[GBV]]/tblPiNAnalysis[[#This Row],[Total Population]], 0.05)), "")</f>
        <v/>
      </c>
      <c r="AD546" s="314" t="str">
        <f>IFERROR(IF(tblPiNAnalysis[[#This Row],[Mine Action]]="", "", MROUND(tblPiNAnalysis[[#This Row],[Mine Action]]/tblPiNAnalysis[[#This Row],[Total Population]], 0.05)), "")</f>
        <v/>
      </c>
      <c r="AE546" s="314" t="str">
        <f>IFERROR(IF(tblPiNAnalysis[[#This Row],[General Protection]]="", "", MROUND(tblPiNAnalysis[[#This Row],[General Protection]]/tblPiNAnalysis[[#This Row],[Total Population]], 0.05)), "")</f>
        <v/>
      </c>
      <c r="AF546" s="319">
        <f>IFERROR(LARGE(tblPiNAnalysis[[#This Row],[Site Management ]:[General Protection]], 1), "")</f>
        <v>0</v>
      </c>
      <c r="AG546" s="320" t="e">
        <f>IF(tblPiNAnalysis[[#This Row],[Highest PiN]]="", "",tblPiNAnalysis[[#This Row],[Highest PiN]]/ tblPiNAnalysis[[#This Row],[Total Population]])</f>
        <v>#DIV/0!</v>
      </c>
      <c r="AH546" s="320" t="str">
        <f>IFERROR(IF(tblPiNAnalysis[[#This Row],[Highest PiN]]="", "", IF(tblPiNAnalysis[[#This Row],[Highest sector(s'') PiN %]]&gt;=flag_pin_perc, "Flagged", "")), "")</f>
        <v/>
      </c>
      <c r="AI546" s="321"/>
      <c r="AJ546" s="322"/>
      <c r="AK546" s="323">
        <f>COUNTIFS(tblPiNAnalysis[[#This Row],[Highest PiN greater than 90% of total affected population]:[Manual Flag]],"Flagged")</f>
        <v>0</v>
      </c>
      <c r="AL546" s="324" t="str">
        <f>IF(tblPiNAnalysis[[#This Row],['# Flags]]&gt;0, "Flagged", "")</f>
        <v/>
      </c>
    </row>
    <row r="547" spans="1:38" ht="23.1" hidden="1" customHeight="1" x14ac:dyDescent="0.2">
      <c r="A547" s="309" t="str">
        <f>_xlfn.CONCAT(IF(tblPiNAnalysis[[#This Row],[Population Group]]="", "",tblPiNAnalysis[[#This Row],[Population Group]] ), _xlfn.IFS(tblPiNAnalysis[[#This Row],[Admin 2 P-Code]]&lt;&gt;"", tblPiNAnalysis[[#This Row],[Admin 2 P-Code]], tblPiNAnalysis[[#This Row],[Admin 1 P-Code]]&lt;&gt;"", tblPiNAnalysis[[#This Row],[Admin 1 P-Code]]))</f>
        <v>Host CommunitySD18092</v>
      </c>
      <c r="B547" s="245" t="s">
        <v>194</v>
      </c>
      <c r="C547" s="246" t="s">
        <v>135</v>
      </c>
      <c r="D547" s="247" t="s">
        <v>554</v>
      </c>
      <c r="E547" s="246" t="s">
        <v>555</v>
      </c>
      <c r="F547" s="248">
        <v>8359</v>
      </c>
      <c r="G547" s="248" t="s">
        <v>87</v>
      </c>
      <c r="H547" s="310"/>
      <c r="I547" s="311"/>
      <c r="J547" s="312"/>
      <c r="K547" s="311"/>
      <c r="L547" s="311"/>
      <c r="M547" s="312"/>
      <c r="N547" s="312">
        <f>_xlfn.XLOOKUP(CONCATENATE(tblPiNAnalysis[[#This Row],[Admin 2 P-Code]],tblPiNAnalysis[[#This Row],[Population Group]]),'Overall severity &amp; PIN Analysis'!A:A,'Overall severity &amp; PIN Analysis'!P:P,0,0)</f>
        <v>4314</v>
      </c>
      <c r="O547" s="311"/>
      <c r="P547" s="312"/>
      <c r="Q547" s="312"/>
      <c r="R547" s="312"/>
      <c r="S547" s="312"/>
      <c r="T547" s="313" t="str">
        <f>IF(tblPiNAnalysis[[#This Row],[Site Management ]]="", "", tblPiNAnalysis[[#This Row],[Site Management ]]/tblPiNAnalysis[[#This Row],[Total Population]])</f>
        <v/>
      </c>
      <c r="U547" s="314" t="str">
        <f>IF(tblPiNAnalysis[[#This Row],[Education]]="", "", tblPiNAnalysis[[#This Row],[Education]]/tblPiNAnalysis[[#This Row],[Total Population]])</f>
        <v/>
      </c>
      <c r="V547" s="314" t="str">
        <f>IF(tblPiNAnalysis[[#This Row],[Food Security and Livlihoods]]="", "", tblPiNAnalysis[[#This Row],[Food Security and Livlihoods]]/tblPiNAnalysis[[#This Row],[Total Population]])</f>
        <v/>
      </c>
      <c r="W547" s="315" t="str">
        <f>IF(tblPiNAnalysis[[#This Row],[Health ]]="", "", tblPiNAnalysis[[#This Row],[Health ]]/tblPiNAnalysis[[#This Row],[Total Population]])</f>
        <v/>
      </c>
      <c r="X547" s="314" t="str">
        <f>IF(tblPiNAnalysis[[#This Row],[Nutrition]]="", "", tblPiNAnalysis[[#This Row],[Nutrition]]/tblPiNAnalysis[[#This Row],[Total Population]])</f>
        <v/>
      </c>
      <c r="Y547" s="314" t="str">
        <f>IF(tblPiNAnalysis[[#This Row],[Protection]]="", "", tblPiNAnalysis[[#This Row],[Protection]]/tblPiNAnalysis[[#This Row],[Total Population]])</f>
        <v/>
      </c>
      <c r="Z547" s="316">
        <f>IF(tblPiNAnalysis[[#This Row],[Shelter NFI ]]="", "", tblPiNAnalysis[[#This Row],[Shelter NFI ]]/tblPiNAnalysis[[#This Row],[Total Population]])</f>
        <v>0.51609044144036365</v>
      </c>
      <c r="AA547" s="317" t="str">
        <f>IF(tblPiNAnalysis[[#This Row],[WASH]]="", "", tblPiNAnalysis[[#This Row],[WASH]]/tblPiNAnalysis[[#This Row],[Total Population]])</f>
        <v/>
      </c>
      <c r="AB547" s="318" t="str">
        <f>IFERROR(IF(tblPiNAnalysis[[#This Row],[CP]]="", "", MROUND(tblPiNAnalysis[[#This Row],[CP]]/tblPiNAnalysis[[#This Row],[Total Population]], 0.05)), "")</f>
        <v/>
      </c>
      <c r="AC547" s="314" t="str">
        <f>IFERROR(IF(tblPiNAnalysis[[#This Row],[GBV]]="", "", MROUND(tblPiNAnalysis[[#This Row],[GBV]]/tblPiNAnalysis[[#This Row],[Total Population]], 0.05)), "")</f>
        <v/>
      </c>
      <c r="AD547" s="314" t="str">
        <f>IFERROR(IF(tblPiNAnalysis[[#This Row],[Mine Action]]="", "", MROUND(tblPiNAnalysis[[#This Row],[Mine Action]]/tblPiNAnalysis[[#This Row],[Total Population]], 0.05)), "")</f>
        <v/>
      </c>
      <c r="AE547" s="314" t="str">
        <f>IFERROR(IF(tblPiNAnalysis[[#This Row],[General Protection]]="", "", MROUND(tblPiNAnalysis[[#This Row],[General Protection]]/tblPiNAnalysis[[#This Row],[Total Population]], 0.05)), "")</f>
        <v/>
      </c>
      <c r="AF547" s="319">
        <f>IFERROR(LARGE(tblPiNAnalysis[[#This Row],[Site Management ]:[General Protection]], 1), "")</f>
        <v>4314</v>
      </c>
      <c r="AG547" s="320">
        <f>IF(tblPiNAnalysis[[#This Row],[Highest PiN]]="", "",tblPiNAnalysis[[#This Row],[Highest PiN]]/ tblPiNAnalysis[[#This Row],[Total Population]])</f>
        <v>0.51609044144036365</v>
      </c>
      <c r="AH547" s="320" t="str">
        <f>IFERROR(IF(tblPiNAnalysis[[#This Row],[Highest PiN]]="", "", IF(tblPiNAnalysis[[#This Row],[Highest sector(s'') PiN %]]&gt;=flag_pin_perc, "Flagged", "")), "")</f>
        <v/>
      </c>
      <c r="AI547" s="321"/>
      <c r="AJ547" s="322"/>
      <c r="AK547" s="323">
        <f>COUNTIFS(tblPiNAnalysis[[#This Row],[Highest PiN greater than 90% of total affected population]:[Manual Flag]],"Flagged")</f>
        <v>0</v>
      </c>
      <c r="AL547" s="324" t="str">
        <f>IF(tblPiNAnalysis[[#This Row],['# Flags]]&gt;0, "Flagged", "")</f>
        <v/>
      </c>
    </row>
    <row r="548" spans="1:38" ht="23.1" hidden="1" customHeight="1" x14ac:dyDescent="0.2">
      <c r="A548" s="309" t="str">
        <f>_xlfn.CONCAT(IF(tblPiNAnalysis[[#This Row],[Population Group]]="", "",tblPiNAnalysis[[#This Row],[Population Group]] ), _xlfn.IFS(tblPiNAnalysis[[#This Row],[Admin 2 P-Code]]&lt;&gt;"", tblPiNAnalysis[[#This Row],[Admin 2 P-Code]], tblPiNAnalysis[[#This Row],[Admin 1 P-Code]]&lt;&gt;"", tblPiNAnalysis[[#This Row],[Admin 1 P-Code]]))</f>
        <v>IDPsSD18092</v>
      </c>
      <c r="B548" s="245" t="s">
        <v>194</v>
      </c>
      <c r="C548" s="246" t="s">
        <v>135</v>
      </c>
      <c r="D548" s="247" t="s">
        <v>554</v>
      </c>
      <c r="E548" s="246" t="s">
        <v>555</v>
      </c>
      <c r="F548" s="248">
        <v>8359</v>
      </c>
      <c r="G548" s="248" t="s">
        <v>88</v>
      </c>
      <c r="H548" s="310"/>
      <c r="I548" s="311"/>
      <c r="J548" s="312"/>
      <c r="K548" s="311"/>
      <c r="L548" s="311"/>
      <c r="M548" s="312"/>
      <c r="N548" s="312">
        <f>_xlfn.XLOOKUP(CONCATENATE(tblPiNAnalysis[[#This Row],[Admin 2 P-Code]],tblPiNAnalysis[[#This Row],[Population Group]]),'Overall severity &amp; PIN Analysis'!A:A,'Overall severity &amp; PIN Analysis'!P:P,0,0)</f>
        <v>4314</v>
      </c>
      <c r="O548" s="311"/>
      <c r="P548" s="312"/>
      <c r="Q548" s="312"/>
      <c r="R548" s="312"/>
      <c r="S548" s="312"/>
      <c r="T548" s="313" t="str">
        <f>IF(tblPiNAnalysis[[#This Row],[Site Management ]]="", "", tblPiNAnalysis[[#This Row],[Site Management ]]/tblPiNAnalysis[[#This Row],[Total Population]])</f>
        <v/>
      </c>
      <c r="U548" s="314" t="str">
        <f>IF(tblPiNAnalysis[[#This Row],[Education]]="", "", tblPiNAnalysis[[#This Row],[Education]]/tblPiNAnalysis[[#This Row],[Total Population]])</f>
        <v/>
      </c>
      <c r="V548" s="314" t="str">
        <f>IF(tblPiNAnalysis[[#This Row],[Food Security and Livlihoods]]="", "", tblPiNAnalysis[[#This Row],[Food Security and Livlihoods]]/tblPiNAnalysis[[#This Row],[Total Population]])</f>
        <v/>
      </c>
      <c r="W548" s="315" t="str">
        <f>IF(tblPiNAnalysis[[#This Row],[Health ]]="", "", tblPiNAnalysis[[#This Row],[Health ]]/tblPiNAnalysis[[#This Row],[Total Population]])</f>
        <v/>
      </c>
      <c r="X548" s="314" t="str">
        <f>IF(tblPiNAnalysis[[#This Row],[Nutrition]]="", "", tblPiNAnalysis[[#This Row],[Nutrition]]/tblPiNAnalysis[[#This Row],[Total Population]])</f>
        <v/>
      </c>
      <c r="Y548" s="314" t="str">
        <f>IF(tblPiNAnalysis[[#This Row],[Protection]]="", "", tblPiNAnalysis[[#This Row],[Protection]]/tblPiNAnalysis[[#This Row],[Total Population]])</f>
        <v/>
      </c>
      <c r="Z548" s="316">
        <f>IF(tblPiNAnalysis[[#This Row],[Shelter NFI ]]="", "", tblPiNAnalysis[[#This Row],[Shelter NFI ]]/tblPiNAnalysis[[#This Row],[Total Population]])</f>
        <v>0.51609044144036365</v>
      </c>
      <c r="AA548" s="317" t="str">
        <f>IF(tblPiNAnalysis[[#This Row],[WASH]]="", "", tblPiNAnalysis[[#This Row],[WASH]]/tblPiNAnalysis[[#This Row],[Total Population]])</f>
        <v/>
      </c>
      <c r="AB548" s="318" t="str">
        <f>IFERROR(IF(tblPiNAnalysis[[#This Row],[CP]]="", "", MROUND(tblPiNAnalysis[[#This Row],[CP]]/tblPiNAnalysis[[#This Row],[Total Population]], 0.05)), "")</f>
        <v/>
      </c>
      <c r="AC548" s="314" t="str">
        <f>IFERROR(IF(tblPiNAnalysis[[#This Row],[GBV]]="", "", MROUND(tblPiNAnalysis[[#This Row],[GBV]]/tblPiNAnalysis[[#This Row],[Total Population]], 0.05)), "")</f>
        <v/>
      </c>
      <c r="AD548" s="314" t="str">
        <f>IFERROR(IF(tblPiNAnalysis[[#This Row],[Mine Action]]="", "", MROUND(tblPiNAnalysis[[#This Row],[Mine Action]]/tblPiNAnalysis[[#This Row],[Total Population]], 0.05)), "")</f>
        <v/>
      </c>
      <c r="AE548" s="314" t="str">
        <f>IFERROR(IF(tblPiNAnalysis[[#This Row],[General Protection]]="", "", MROUND(tblPiNAnalysis[[#This Row],[General Protection]]/tblPiNAnalysis[[#This Row],[Total Population]], 0.05)), "")</f>
        <v/>
      </c>
      <c r="AF548" s="319">
        <f>IFERROR(LARGE(tblPiNAnalysis[[#This Row],[Site Management ]:[General Protection]], 1), "")</f>
        <v>4314</v>
      </c>
      <c r="AG548" s="320">
        <f>IF(tblPiNAnalysis[[#This Row],[Highest PiN]]="", "",tblPiNAnalysis[[#This Row],[Highest PiN]]/ tblPiNAnalysis[[#This Row],[Total Population]])</f>
        <v>0.51609044144036365</v>
      </c>
      <c r="AH548" s="320" t="str">
        <f>IFERROR(IF(tblPiNAnalysis[[#This Row],[Highest PiN]]="", "", IF(tblPiNAnalysis[[#This Row],[Highest sector(s'') PiN %]]&gt;=flag_pin_perc, "Flagged", "")), "")</f>
        <v/>
      </c>
      <c r="AI548" s="321"/>
      <c r="AJ548" s="322"/>
      <c r="AK548" s="323">
        <f>COUNTIFS(tblPiNAnalysis[[#This Row],[Highest PiN greater than 90% of total affected population]:[Manual Flag]],"Flagged")</f>
        <v>0</v>
      </c>
      <c r="AL548" s="324" t="str">
        <f>IF(tblPiNAnalysis[[#This Row],['# Flags]]&gt;0, "Flagged", "")</f>
        <v/>
      </c>
    </row>
    <row r="549" spans="1:38" ht="23.1" customHeight="1" x14ac:dyDescent="0.2">
      <c r="A549" s="309" t="str">
        <f>_xlfn.CONCAT(IF(tblPiNAnalysis[[#This Row],[Population Group]]="", "",tblPiNAnalysis[[#This Row],[Population Group]] ), _xlfn.IFS(tblPiNAnalysis[[#This Row],[Admin 2 P-Code]]&lt;&gt;"", tblPiNAnalysis[[#This Row],[Admin 2 P-Code]], tblPiNAnalysis[[#This Row],[Admin 1 P-Code]]&lt;&gt;"", tblPiNAnalysis[[#This Row],[Admin 1 P-Code]]))</f>
        <v>Non-hosting PopulationSD18092</v>
      </c>
      <c r="B549" s="245" t="s">
        <v>194</v>
      </c>
      <c r="C549" s="246" t="s">
        <v>135</v>
      </c>
      <c r="D549" s="247" t="s">
        <v>554</v>
      </c>
      <c r="E549" s="246" t="s">
        <v>555</v>
      </c>
      <c r="F549" s="248">
        <v>235599</v>
      </c>
      <c r="G549" s="248" t="s">
        <v>568</v>
      </c>
      <c r="H549" s="310"/>
      <c r="I549" s="311"/>
      <c r="J549" s="312"/>
      <c r="K549" s="311"/>
      <c r="L549" s="311"/>
      <c r="M549" s="312"/>
      <c r="N549" s="312">
        <f>_xlfn.XLOOKUP(CONCATENATE(tblPiNAnalysis[[#This Row],[Admin 2 P-Code]],tblPiNAnalysis[[#This Row],[Population Group]]),'Overall severity &amp; PIN Analysis'!A:A,'Overall severity &amp; PIN Analysis'!P:P,0,0)</f>
        <v>12515</v>
      </c>
      <c r="O549" s="311"/>
      <c r="P549" s="312"/>
      <c r="Q549" s="312"/>
      <c r="R549" s="312"/>
      <c r="S549" s="312"/>
      <c r="T549" s="313" t="str">
        <f>IF(tblPiNAnalysis[[#This Row],[Site Management ]]="", "", tblPiNAnalysis[[#This Row],[Site Management ]]/tblPiNAnalysis[[#This Row],[Total Population]])</f>
        <v/>
      </c>
      <c r="U549" s="314" t="str">
        <f>IF(tblPiNAnalysis[[#This Row],[Education]]="", "", tblPiNAnalysis[[#This Row],[Education]]/tblPiNAnalysis[[#This Row],[Total Population]])</f>
        <v/>
      </c>
      <c r="V549" s="314" t="str">
        <f>IF(tblPiNAnalysis[[#This Row],[Food Security and Livlihoods]]="", "", tblPiNAnalysis[[#This Row],[Food Security and Livlihoods]]/tblPiNAnalysis[[#This Row],[Total Population]])</f>
        <v/>
      </c>
      <c r="W549" s="315" t="str">
        <f>IF(tblPiNAnalysis[[#This Row],[Health ]]="", "", tblPiNAnalysis[[#This Row],[Health ]]/tblPiNAnalysis[[#This Row],[Total Population]])</f>
        <v/>
      </c>
      <c r="X549" s="314" t="str">
        <f>IF(tblPiNAnalysis[[#This Row],[Nutrition]]="", "", tblPiNAnalysis[[#This Row],[Nutrition]]/tblPiNAnalysis[[#This Row],[Total Population]])</f>
        <v/>
      </c>
      <c r="Y549" s="314" t="str">
        <f>IF(tblPiNAnalysis[[#This Row],[Protection]]="", "", tblPiNAnalysis[[#This Row],[Protection]]/tblPiNAnalysis[[#This Row],[Total Population]])</f>
        <v/>
      </c>
      <c r="Z549" s="316">
        <f>IF(tblPiNAnalysis[[#This Row],[Shelter NFI ]]="", "", tblPiNAnalysis[[#This Row],[Shelter NFI ]]/tblPiNAnalysis[[#This Row],[Total Population]])</f>
        <v>5.3119919863836434E-2</v>
      </c>
      <c r="AA549" s="317" t="str">
        <f>IF(tblPiNAnalysis[[#This Row],[WASH]]="", "", tblPiNAnalysis[[#This Row],[WASH]]/tblPiNAnalysis[[#This Row],[Total Population]])</f>
        <v/>
      </c>
      <c r="AB549" s="318" t="str">
        <f>IFERROR(IF(tblPiNAnalysis[[#This Row],[CP]]="", "", MROUND(tblPiNAnalysis[[#This Row],[CP]]/tblPiNAnalysis[[#This Row],[Total Population]], 0.05)), "")</f>
        <v/>
      </c>
      <c r="AC549" s="314" t="str">
        <f>IFERROR(IF(tblPiNAnalysis[[#This Row],[GBV]]="", "", MROUND(tblPiNAnalysis[[#This Row],[GBV]]/tblPiNAnalysis[[#This Row],[Total Population]], 0.05)), "")</f>
        <v/>
      </c>
      <c r="AD549" s="314" t="str">
        <f>IFERROR(IF(tblPiNAnalysis[[#This Row],[Mine Action]]="", "", MROUND(tblPiNAnalysis[[#This Row],[Mine Action]]/tblPiNAnalysis[[#This Row],[Total Population]], 0.05)), "")</f>
        <v/>
      </c>
      <c r="AE549" s="314" t="str">
        <f>IFERROR(IF(tblPiNAnalysis[[#This Row],[General Protection]]="", "", MROUND(tblPiNAnalysis[[#This Row],[General Protection]]/tblPiNAnalysis[[#This Row],[Total Population]], 0.05)), "")</f>
        <v/>
      </c>
      <c r="AF549" s="319">
        <f>IFERROR(LARGE(tblPiNAnalysis[[#This Row],[Site Management ]:[General Protection]], 1), "")</f>
        <v>12515</v>
      </c>
      <c r="AG549" s="320">
        <f>IF(tblPiNAnalysis[[#This Row],[Highest PiN]]="", "",tblPiNAnalysis[[#This Row],[Highest PiN]]/ tblPiNAnalysis[[#This Row],[Total Population]])</f>
        <v>5.3119919863836434E-2</v>
      </c>
      <c r="AH549" s="320" t="str">
        <f>IFERROR(IF(tblPiNAnalysis[[#This Row],[Highest PiN]]="", "", IF(tblPiNAnalysis[[#This Row],[Highest sector(s'') PiN %]]&gt;=flag_pin_perc, "Flagged", "")), "")</f>
        <v/>
      </c>
      <c r="AI549" s="321"/>
      <c r="AJ549" s="322"/>
      <c r="AK549" s="323">
        <f>COUNTIFS(tblPiNAnalysis[[#This Row],[Highest PiN greater than 90% of total affected population]:[Manual Flag]],"Flagged")</f>
        <v>0</v>
      </c>
      <c r="AL549" s="324" t="str">
        <f>IF(tblPiNAnalysis[[#This Row],['# Flags]]&gt;0, "Flagged", "")</f>
        <v/>
      </c>
    </row>
    <row r="550" spans="1:38" ht="23.1" hidden="1" customHeight="1" x14ac:dyDescent="0.2">
      <c r="A550" s="309" t="str">
        <f>_xlfn.CONCAT(IF(tblPiNAnalysis[[#This Row],[Population Group]]="", "",tblPiNAnalysis[[#This Row],[Population Group]] ), _xlfn.IFS(tblPiNAnalysis[[#This Row],[Admin 2 P-Code]]&lt;&gt;"", tblPiNAnalysis[[#This Row],[Admin 2 P-Code]], tblPiNAnalysis[[#This Row],[Admin 1 P-Code]]&lt;&gt;"", tblPiNAnalysis[[#This Row],[Admin 1 P-Code]]))</f>
        <v>Host CommunitySD18100</v>
      </c>
      <c r="B550" s="245" t="s">
        <v>194</v>
      </c>
      <c r="C550" s="246" t="s">
        <v>135</v>
      </c>
      <c r="D550" s="247" t="s">
        <v>556</v>
      </c>
      <c r="E550" s="246" t="s">
        <v>557</v>
      </c>
      <c r="F550" s="248">
        <v>38841</v>
      </c>
      <c r="G550" s="248" t="s">
        <v>87</v>
      </c>
      <c r="H550" s="310"/>
      <c r="I550" s="311"/>
      <c r="J550" s="312"/>
      <c r="K550" s="311"/>
      <c r="L550" s="311"/>
      <c r="M550" s="312"/>
      <c r="N550" s="312">
        <f>_xlfn.XLOOKUP(CONCATENATE(tblPiNAnalysis[[#This Row],[Admin 2 P-Code]],tblPiNAnalysis[[#This Row],[Population Group]]),'Overall severity &amp; PIN Analysis'!A:A,'Overall severity &amp; PIN Analysis'!P:P,0,0)</f>
        <v>31126</v>
      </c>
      <c r="O550" s="311"/>
      <c r="P550" s="312"/>
      <c r="Q550" s="312"/>
      <c r="R550" s="312"/>
      <c r="S550" s="312"/>
      <c r="T550" s="313" t="str">
        <f>IF(tblPiNAnalysis[[#This Row],[Site Management ]]="", "", tblPiNAnalysis[[#This Row],[Site Management ]]/tblPiNAnalysis[[#This Row],[Total Population]])</f>
        <v/>
      </c>
      <c r="U550" s="314" t="str">
        <f>IF(tblPiNAnalysis[[#This Row],[Education]]="", "", tblPiNAnalysis[[#This Row],[Education]]/tblPiNAnalysis[[#This Row],[Total Population]])</f>
        <v/>
      </c>
      <c r="V550" s="314" t="str">
        <f>IF(tblPiNAnalysis[[#This Row],[Food Security and Livlihoods]]="", "", tblPiNAnalysis[[#This Row],[Food Security and Livlihoods]]/tblPiNAnalysis[[#This Row],[Total Population]])</f>
        <v/>
      </c>
      <c r="W550" s="315" t="str">
        <f>IF(tblPiNAnalysis[[#This Row],[Health ]]="", "", tblPiNAnalysis[[#This Row],[Health ]]/tblPiNAnalysis[[#This Row],[Total Population]])</f>
        <v/>
      </c>
      <c r="X550" s="314" t="str">
        <f>IF(tblPiNAnalysis[[#This Row],[Nutrition]]="", "", tblPiNAnalysis[[#This Row],[Nutrition]]/tblPiNAnalysis[[#This Row],[Total Population]])</f>
        <v/>
      </c>
      <c r="Y550" s="314" t="str">
        <f>IF(tblPiNAnalysis[[#This Row],[Protection]]="", "", tblPiNAnalysis[[#This Row],[Protection]]/tblPiNAnalysis[[#This Row],[Total Population]])</f>
        <v/>
      </c>
      <c r="Z550" s="316">
        <f>IF(tblPiNAnalysis[[#This Row],[Shelter NFI ]]="", "", tblPiNAnalysis[[#This Row],[Shelter NFI ]]/tblPiNAnalysis[[#This Row],[Total Population]])</f>
        <v>0.80136968667130093</v>
      </c>
      <c r="AA550" s="317" t="str">
        <f>IF(tblPiNAnalysis[[#This Row],[WASH]]="", "", tblPiNAnalysis[[#This Row],[WASH]]/tblPiNAnalysis[[#This Row],[Total Population]])</f>
        <v/>
      </c>
      <c r="AB550" s="318" t="str">
        <f>IFERROR(IF(tblPiNAnalysis[[#This Row],[CP]]="", "", MROUND(tblPiNAnalysis[[#This Row],[CP]]/tblPiNAnalysis[[#This Row],[Total Population]], 0.05)), "")</f>
        <v/>
      </c>
      <c r="AC550" s="314" t="str">
        <f>IFERROR(IF(tblPiNAnalysis[[#This Row],[GBV]]="", "", MROUND(tblPiNAnalysis[[#This Row],[GBV]]/tblPiNAnalysis[[#This Row],[Total Population]], 0.05)), "")</f>
        <v/>
      </c>
      <c r="AD550" s="314" t="str">
        <f>IFERROR(IF(tblPiNAnalysis[[#This Row],[Mine Action]]="", "", MROUND(tblPiNAnalysis[[#This Row],[Mine Action]]/tblPiNAnalysis[[#This Row],[Total Population]], 0.05)), "")</f>
        <v/>
      </c>
      <c r="AE550" s="314" t="str">
        <f>IFERROR(IF(tblPiNAnalysis[[#This Row],[General Protection]]="", "", MROUND(tblPiNAnalysis[[#This Row],[General Protection]]/tblPiNAnalysis[[#This Row],[Total Population]], 0.05)), "")</f>
        <v/>
      </c>
      <c r="AF550" s="319">
        <f>IFERROR(LARGE(tblPiNAnalysis[[#This Row],[Site Management ]:[General Protection]], 1), "")</f>
        <v>31126</v>
      </c>
      <c r="AG550" s="320">
        <f>IF(tblPiNAnalysis[[#This Row],[Highest PiN]]="", "",tblPiNAnalysis[[#This Row],[Highest PiN]]/ tblPiNAnalysis[[#This Row],[Total Population]])</f>
        <v>0.80136968667130093</v>
      </c>
      <c r="AH550" s="320" t="str">
        <f>IFERROR(IF(tblPiNAnalysis[[#This Row],[Highest PiN]]="", "", IF(tblPiNAnalysis[[#This Row],[Highest sector(s'') PiN %]]&gt;=flag_pin_perc, "Flagged", "")), "")</f>
        <v/>
      </c>
      <c r="AI550" s="321"/>
      <c r="AJ550" s="322"/>
      <c r="AK550" s="323">
        <f>COUNTIFS(tblPiNAnalysis[[#This Row],[Highest PiN greater than 90% of total affected population]:[Manual Flag]],"Flagged")</f>
        <v>0</v>
      </c>
      <c r="AL550" s="324" t="str">
        <f>IF(tblPiNAnalysis[[#This Row],['# Flags]]&gt;0, "Flagged", "")</f>
        <v/>
      </c>
    </row>
    <row r="551" spans="1:38" ht="23.1" hidden="1" customHeight="1" x14ac:dyDescent="0.2">
      <c r="A551" s="309" t="str">
        <f>_xlfn.CONCAT(IF(tblPiNAnalysis[[#This Row],[Population Group]]="", "",tblPiNAnalysis[[#This Row],[Population Group]] ), _xlfn.IFS(tblPiNAnalysis[[#This Row],[Admin 2 P-Code]]&lt;&gt;"", tblPiNAnalysis[[#This Row],[Admin 2 P-Code]], tblPiNAnalysis[[#This Row],[Admin 1 P-Code]]&lt;&gt;"", tblPiNAnalysis[[#This Row],[Admin 1 P-Code]]))</f>
        <v>IDPsSD18100</v>
      </c>
      <c r="B551" s="245" t="s">
        <v>194</v>
      </c>
      <c r="C551" s="246" t="s">
        <v>135</v>
      </c>
      <c r="D551" s="247" t="s">
        <v>556</v>
      </c>
      <c r="E551" s="246" t="s">
        <v>557</v>
      </c>
      <c r="F551" s="248">
        <v>34417</v>
      </c>
      <c r="G551" s="248" t="s">
        <v>88</v>
      </c>
      <c r="H551" s="310"/>
      <c r="I551" s="311"/>
      <c r="J551" s="312"/>
      <c r="K551" s="311"/>
      <c r="L551" s="311"/>
      <c r="M551" s="312"/>
      <c r="N551" s="312">
        <f>_xlfn.XLOOKUP(CONCATENATE(tblPiNAnalysis[[#This Row],[Admin 2 P-Code]],tblPiNAnalysis[[#This Row],[Population Group]]),'Overall severity &amp; PIN Analysis'!A:A,'Overall severity &amp; PIN Analysis'!P:P,0,0)</f>
        <v>27581</v>
      </c>
      <c r="O551" s="311"/>
      <c r="P551" s="312"/>
      <c r="Q551" s="312"/>
      <c r="R551" s="312"/>
      <c r="S551" s="312"/>
      <c r="T551" s="313" t="str">
        <f>IF(tblPiNAnalysis[[#This Row],[Site Management ]]="", "", tblPiNAnalysis[[#This Row],[Site Management ]]/tblPiNAnalysis[[#This Row],[Total Population]])</f>
        <v/>
      </c>
      <c r="U551" s="314" t="str">
        <f>IF(tblPiNAnalysis[[#This Row],[Education]]="", "", tblPiNAnalysis[[#This Row],[Education]]/tblPiNAnalysis[[#This Row],[Total Population]])</f>
        <v/>
      </c>
      <c r="V551" s="314" t="str">
        <f>IF(tblPiNAnalysis[[#This Row],[Food Security and Livlihoods]]="", "", tblPiNAnalysis[[#This Row],[Food Security and Livlihoods]]/tblPiNAnalysis[[#This Row],[Total Population]])</f>
        <v/>
      </c>
      <c r="W551" s="315" t="str">
        <f>IF(tblPiNAnalysis[[#This Row],[Health ]]="", "", tblPiNAnalysis[[#This Row],[Health ]]/tblPiNAnalysis[[#This Row],[Total Population]])</f>
        <v/>
      </c>
      <c r="X551" s="314" t="str">
        <f>IF(tblPiNAnalysis[[#This Row],[Nutrition]]="", "", tblPiNAnalysis[[#This Row],[Nutrition]]/tblPiNAnalysis[[#This Row],[Total Population]])</f>
        <v/>
      </c>
      <c r="Y551" s="314" t="str">
        <f>IF(tblPiNAnalysis[[#This Row],[Protection]]="", "", tblPiNAnalysis[[#This Row],[Protection]]/tblPiNAnalysis[[#This Row],[Total Population]])</f>
        <v/>
      </c>
      <c r="Z551" s="316">
        <f>IF(tblPiNAnalysis[[#This Row],[Shelter NFI ]]="", "", tblPiNAnalysis[[#This Row],[Shelter NFI ]]/tblPiNAnalysis[[#This Row],[Total Population]])</f>
        <v>0.80137722637068887</v>
      </c>
      <c r="AA551" s="317" t="str">
        <f>IF(tblPiNAnalysis[[#This Row],[WASH]]="", "", tblPiNAnalysis[[#This Row],[WASH]]/tblPiNAnalysis[[#This Row],[Total Population]])</f>
        <v/>
      </c>
      <c r="AB551" s="318" t="str">
        <f>IFERROR(IF(tblPiNAnalysis[[#This Row],[CP]]="", "", MROUND(tblPiNAnalysis[[#This Row],[CP]]/tblPiNAnalysis[[#This Row],[Total Population]], 0.05)), "")</f>
        <v/>
      </c>
      <c r="AC551" s="314" t="str">
        <f>IFERROR(IF(tblPiNAnalysis[[#This Row],[GBV]]="", "", MROUND(tblPiNAnalysis[[#This Row],[GBV]]/tblPiNAnalysis[[#This Row],[Total Population]], 0.05)), "")</f>
        <v/>
      </c>
      <c r="AD551" s="314" t="str">
        <f>IFERROR(IF(tblPiNAnalysis[[#This Row],[Mine Action]]="", "", MROUND(tblPiNAnalysis[[#This Row],[Mine Action]]/tblPiNAnalysis[[#This Row],[Total Population]], 0.05)), "")</f>
        <v/>
      </c>
      <c r="AE551" s="314" t="str">
        <f>IFERROR(IF(tblPiNAnalysis[[#This Row],[General Protection]]="", "", MROUND(tblPiNAnalysis[[#This Row],[General Protection]]/tblPiNAnalysis[[#This Row],[Total Population]], 0.05)), "")</f>
        <v/>
      </c>
      <c r="AF551" s="319">
        <f>IFERROR(LARGE(tblPiNAnalysis[[#This Row],[Site Management ]:[General Protection]], 1), "")</f>
        <v>27581</v>
      </c>
      <c r="AG551" s="320">
        <f>IF(tblPiNAnalysis[[#This Row],[Highest PiN]]="", "",tblPiNAnalysis[[#This Row],[Highest PiN]]/ tblPiNAnalysis[[#This Row],[Total Population]])</f>
        <v>0.80137722637068887</v>
      </c>
      <c r="AH551" s="320" t="str">
        <f>IFERROR(IF(tblPiNAnalysis[[#This Row],[Highest PiN]]="", "", IF(tblPiNAnalysis[[#This Row],[Highest sector(s'') PiN %]]&gt;=flag_pin_perc, "Flagged", "")), "")</f>
        <v/>
      </c>
      <c r="AI551" s="321"/>
      <c r="AJ551" s="322"/>
      <c r="AK551" s="323">
        <f>COUNTIFS(tblPiNAnalysis[[#This Row],[Highest PiN greater than 90% of total affected population]:[Manual Flag]],"Flagged")</f>
        <v>0</v>
      </c>
      <c r="AL551" s="324" t="str">
        <f>IF(tblPiNAnalysis[[#This Row],['# Flags]]&gt;0, "Flagged", "")</f>
        <v/>
      </c>
    </row>
    <row r="552" spans="1:38" ht="23.1" customHeight="1" x14ac:dyDescent="0.2">
      <c r="A552" s="309" t="str">
        <f>_xlfn.CONCAT(IF(tblPiNAnalysis[[#This Row],[Population Group]]="", "",tblPiNAnalysis[[#This Row],[Population Group]] ), _xlfn.IFS(tblPiNAnalysis[[#This Row],[Admin 2 P-Code]]&lt;&gt;"", tblPiNAnalysis[[#This Row],[Admin 2 P-Code]], tblPiNAnalysis[[#This Row],[Admin 1 P-Code]]&lt;&gt;"", tblPiNAnalysis[[#This Row],[Admin 1 P-Code]]))</f>
        <v>Non-hosting PopulationSD18100</v>
      </c>
      <c r="B552" s="245" t="s">
        <v>194</v>
      </c>
      <c r="C552" s="246" t="s">
        <v>135</v>
      </c>
      <c r="D552" s="247" t="s">
        <v>556</v>
      </c>
      <c r="E552" s="246" t="s">
        <v>557</v>
      </c>
      <c r="F552" s="248">
        <v>1383</v>
      </c>
      <c r="G552" s="248" t="s">
        <v>568</v>
      </c>
      <c r="H552" s="310"/>
      <c r="I552" s="311"/>
      <c r="J552" s="312"/>
      <c r="K552" s="311"/>
      <c r="L552" s="311"/>
      <c r="M552" s="312"/>
      <c r="N552" s="312">
        <f>_xlfn.XLOOKUP(CONCATENATE(tblPiNAnalysis[[#This Row],[Admin 2 P-Code]],tblPiNAnalysis[[#This Row],[Population Group]]),'Overall severity &amp; PIN Analysis'!A:A,'Overall severity &amp; PIN Analysis'!P:P,0,0)</f>
        <v>10</v>
      </c>
      <c r="O552" s="311"/>
      <c r="P552" s="312"/>
      <c r="Q552" s="312"/>
      <c r="R552" s="312"/>
      <c r="S552" s="312"/>
      <c r="T552" s="313" t="str">
        <f>IF(tblPiNAnalysis[[#This Row],[Site Management ]]="", "", tblPiNAnalysis[[#This Row],[Site Management ]]/tblPiNAnalysis[[#This Row],[Total Population]])</f>
        <v/>
      </c>
      <c r="U552" s="314" t="str">
        <f>IF(tblPiNAnalysis[[#This Row],[Education]]="", "", tblPiNAnalysis[[#This Row],[Education]]/tblPiNAnalysis[[#This Row],[Total Population]])</f>
        <v/>
      </c>
      <c r="V552" s="314" t="str">
        <f>IF(tblPiNAnalysis[[#This Row],[Food Security and Livlihoods]]="", "", tblPiNAnalysis[[#This Row],[Food Security and Livlihoods]]/tblPiNAnalysis[[#This Row],[Total Population]])</f>
        <v/>
      </c>
      <c r="W552" s="315" t="str">
        <f>IF(tblPiNAnalysis[[#This Row],[Health ]]="", "", tblPiNAnalysis[[#This Row],[Health ]]/tblPiNAnalysis[[#This Row],[Total Population]])</f>
        <v/>
      </c>
      <c r="X552" s="314" t="str">
        <f>IF(tblPiNAnalysis[[#This Row],[Nutrition]]="", "", tblPiNAnalysis[[#This Row],[Nutrition]]/tblPiNAnalysis[[#This Row],[Total Population]])</f>
        <v/>
      </c>
      <c r="Y552" s="314" t="str">
        <f>IF(tblPiNAnalysis[[#This Row],[Protection]]="", "", tblPiNAnalysis[[#This Row],[Protection]]/tblPiNAnalysis[[#This Row],[Total Population]])</f>
        <v/>
      </c>
      <c r="Z552" s="316">
        <f>IF(tblPiNAnalysis[[#This Row],[Shelter NFI ]]="", "", tblPiNAnalysis[[#This Row],[Shelter NFI ]]/tblPiNAnalysis[[#This Row],[Total Population]])</f>
        <v>7.2306579898770785E-3</v>
      </c>
      <c r="AA552" s="317" t="str">
        <f>IF(tblPiNAnalysis[[#This Row],[WASH]]="", "", tblPiNAnalysis[[#This Row],[WASH]]/tblPiNAnalysis[[#This Row],[Total Population]])</f>
        <v/>
      </c>
      <c r="AB552" s="318" t="str">
        <f>IFERROR(IF(tblPiNAnalysis[[#This Row],[CP]]="", "", MROUND(tblPiNAnalysis[[#This Row],[CP]]/tblPiNAnalysis[[#This Row],[Total Population]], 0.05)), "")</f>
        <v/>
      </c>
      <c r="AC552" s="314" t="str">
        <f>IFERROR(IF(tblPiNAnalysis[[#This Row],[GBV]]="", "", MROUND(tblPiNAnalysis[[#This Row],[GBV]]/tblPiNAnalysis[[#This Row],[Total Population]], 0.05)), "")</f>
        <v/>
      </c>
      <c r="AD552" s="314" t="str">
        <f>IFERROR(IF(tblPiNAnalysis[[#This Row],[Mine Action]]="", "", MROUND(tblPiNAnalysis[[#This Row],[Mine Action]]/tblPiNAnalysis[[#This Row],[Total Population]], 0.05)), "")</f>
        <v/>
      </c>
      <c r="AE552" s="314" t="str">
        <f>IFERROR(IF(tblPiNAnalysis[[#This Row],[General Protection]]="", "", MROUND(tblPiNAnalysis[[#This Row],[General Protection]]/tblPiNAnalysis[[#This Row],[Total Population]], 0.05)), "")</f>
        <v/>
      </c>
      <c r="AF552" s="319">
        <f>IFERROR(LARGE(tblPiNAnalysis[[#This Row],[Site Management ]:[General Protection]], 1), "")</f>
        <v>10</v>
      </c>
      <c r="AG552" s="320">
        <f>IF(tblPiNAnalysis[[#This Row],[Highest PiN]]="", "",tblPiNAnalysis[[#This Row],[Highest PiN]]/ tblPiNAnalysis[[#This Row],[Total Population]])</f>
        <v>7.2306579898770785E-3</v>
      </c>
      <c r="AH552" s="320" t="str">
        <f>IFERROR(IF(tblPiNAnalysis[[#This Row],[Highest PiN]]="", "", IF(tblPiNAnalysis[[#This Row],[Highest sector(s'') PiN %]]&gt;=flag_pin_perc, "Flagged", "")), "")</f>
        <v/>
      </c>
      <c r="AI552" s="321"/>
      <c r="AJ552" s="322"/>
      <c r="AK552" s="323">
        <f>COUNTIFS(tblPiNAnalysis[[#This Row],[Highest PiN greater than 90% of total affected population]:[Manual Flag]],"Flagged")</f>
        <v>0</v>
      </c>
      <c r="AL552" s="324" t="str">
        <f>IF(tblPiNAnalysis[[#This Row],['# Flags]]&gt;0, "Flagged", "")</f>
        <v/>
      </c>
    </row>
    <row r="553" spans="1:38" ht="23.1" hidden="1" customHeight="1" x14ac:dyDescent="0.2">
      <c r="A553" s="309" t="str">
        <f>_xlfn.CONCAT(IF(tblPiNAnalysis[[#This Row],[Population Group]]="", "",tblPiNAnalysis[[#This Row],[Population Group]] ), _xlfn.IFS(tblPiNAnalysis[[#This Row],[Admin 2 P-Code]]&lt;&gt;"", tblPiNAnalysis[[#This Row],[Admin 2 P-Code]], tblPiNAnalysis[[#This Row],[Admin 1 P-Code]]&lt;&gt;"", tblPiNAnalysis[[#This Row],[Admin 1 P-Code]]))</f>
        <v>Host CommunitySD18102</v>
      </c>
      <c r="B553" s="245" t="s">
        <v>194</v>
      </c>
      <c r="C553" s="246" t="s">
        <v>135</v>
      </c>
      <c r="D553" s="247" t="s">
        <v>558</v>
      </c>
      <c r="E553" s="246" t="s">
        <v>559</v>
      </c>
      <c r="F553" s="248">
        <v>19274</v>
      </c>
      <c r="G553" s="248" t="s">
        <v>87</v>
      </c>
      <c r="H553" s="310"/>
      <c r="I553" s="311"/>
      <c r="J553" s="312"/>
      <c r="K553" s="311"/>
      <c r="L553" s="311"/>
      <c r="M553" s="312"/>
      <c r="N553" s="312">
        <f>_xlfn.XLOOKUP(CONCATENATE(tblPiNAnalysis[[#This Row],[Admin 2 P-Code]],tblPiNAnalysis[[#This Row],[Population Group]]),'Overall severity &amp; PIN Analysis'!A:A,'Overall severity &amp; PIN Analysis'!P:P,0,0)</f>
        <v>15338</v>
      </c>
      <c r="O553" s="311"/>
      <c r="P553" s="312"/>
      <c r="Q553" s="312"/>
      <c r="R553" s="312"/>
      <c r="S553" s="312"/>
      <c r="T553" s="313" t="str">
        <f>IF(tblPiNAnalysis[[#This Row],[Site Management ]]="", "", tblPiNAnalysis[[#This Row],[Site Management ]]/tblPiNAnalysis[[#This Row],[Total Population]])</f>
        <v/>
      </c>
      <c r="U553" s="314" t="str">
        <f>IF(tblPiNAnalysis[[#This Row],[Education]]="", "", tblPiNAnalysis[[#This Row],[Education]]/tblPiNAnalysis[[#This Row],[Total Population]])</f>
        <v/>
      </c>
      <c r="V553" s="314" t="str">
        <f>IF(tblPiNAnalysis[[#This Row],[Food Security and Livlihoods]]="", "", tblPiNAnalysis[[#This Row],[Food Security and Livlihoods]]/tblPiNAnalysis[[#This Row],[Total Population]])</f>
        <v/>
      </c>
      <c r="W553" s="315" t="str">
        <f>IF(tblPiNAnalysis[[#This Row],[Health ]]="", "", tblPiNAnalysis[[#This Row],[Health ]]/tblPiNAnalysis[[#This Row],[Total Population]])</f>
        <v/>
      </c>
      <c r="X553" s="314" t="str">
        <f>IF(tblPiNAnalysis[[#This Row],[Nutrition]]="", "", tblPiNAnalysis[[#This Row],[Nutrition]]/tblPiNAnalysis[[#This Row],[Total Population]])</f>
        <v/>
      </c>
      <c r="Y553" s="314" t="str">
        <f>IF(tblPiNAnalysis[[#This Row],[Protection]]="", "", tblPiNAnalysis[[#This Row],[Protection]]/tblPiNAnalysis[[#This Row],[Total Population]])</f>
        <v/>
      </c>
      <c r="Z553" s="316">
        <f>IF(tblPiNAnalysis[[#This Row],[Shelter NFI ]]="", "", tblPiNAnalysis[[#This Row],[Shelter NFI ]]/tblPiNAnalysis[[#This Row],[Total Population]])</f>
        <v>0.79578707066514476</v>
      </c>
      <c r="AA553" s="317" t="str">
        <f>IF(tblPiNAnalysis[[#This Row],[WASH]]="", "", tblPiNAnalysis[[#This Row],[WASH]]/tblPiNAnalysis[[#This Row],[Total Population]])</f>
        <v/>
      </c>
      <c r="AB553" s="318" t="str">
        <f>IFERROR(IF(tblPiNAnalysis[[#This Row],[CP]]="", "", MROUND(tblPiNAnalysis[[#This Row],[CP]]/tblPiNAnalysis[[#This Row],[Total Population]], 0.05)), "")</f>
        <v/>
      </c>
      <c r="AC553" s="314" t="str">
        <f>IFERROR(IF(tblPiNAnalysis[[#This Row],[GBV]]="", "", MROUND(tblPiNAnalysis[[#This Row],[GBV]]/tblPiNAnalysis[[#This Row],[Total Population]], 0.05)), "")</f>
        <v/>
      </c>
      <c r="AD553" s="314" t="str">
        <f>IFERROR(IF(tblPiNAnalysis[[#This Row],[Mine Action]]="", "", MROUND(tblPiNAnalysis[[#This Row],[Mine Action]]/tblPiNAnalysis[[#This Row],[Total Population]], 0.05)), "")</f>
        <v/>
      </c>
      <c r="AE553" s="314" t="str">
        <f>IFERROR(IF(tblPiNAnalysis[[#This Row],[General Protection]]="", "", MROUND(tblPiNAnalysis[[#This Row],[General Protection]]/tblPiNAnalysis[[#This Row],[Total Population]], 0.05)), "")</f>
        <v/>
      </c>
      <c r="AF553" s="319">
        <f>IFERROR(LARGE(tblPiNAnalysis[[#This Row],[Site Management ]:[General Protection]], 1), "")</f>
        <v>15338</v>
      </c>
      <c r="AG553" s="320">
        <f>IF(tblPiNAnalysis[[#This Row],[Highest PiN]]="", "",tblPiNAnalysis[[#This Row],[Highest PiN]]/ tblPiNAnalysis[[#This Row],[Total Population]])</f>
        <v>0.79578707066514476</v>
      </c>
      <c r="AH553" s="320" t="str">
        <f>IFERROR(IF(tblPiNAnalysis[[#This Row],[Highest PiN]]="", "", IF(tblPiNAnalysis[[#This Row],[Highest sector(s'') PiN %]]&gt;=flag_pin_perc, "Flagged", "")), "")</f>
        <v/>
      </c>
      <c r="AI553" s="321"/>
      <c r="AJ553" s="322"/>
      <c r="AK553" s="323">
        <f>COUNTIFS(tblPiNAnalysis[[#This Row],[Highest PiN greater than 90% of total affected population]:[Manual Flag]],"Flagged")</f>
        <v>0</v>
      </c>
      <c r="AL553" s="324" t="str">
        <f>IF(tblPiNAnalysis[[#This Row],['# Flags]]&gt;0, "Flagged", "")</f>
        <v/>
      </c>
    </row>
    <row r="554" spans="1:38" ht="23.1" hidden="1" customHeight="1" x14ac:dyDescent="0.2">
      <c r="A554" s="309" t="str">
        <f>_xlfn.CONCAT(IF(tblPiNAnalysis[[#This Row],[Population Group]]="", "",tblPiNAnalysis[[#This Row],[Population Group]] ), _xlfn.IFS(tblPiNAnalysis[[#This Row],[Admin 2 P-Code]]&lt;&gt;"", tblPiNAnalysis[[#This Row],[Admin 2 P-Code]], tblPiNAnalysis[[#This Row],[Admin 1 P-Code]]&lt;&gt;"", tblPiNAnalysis[[#This Row],[Admin 1 P-Code]]))</f>
        <v>IDPsSD18102</v>
      </c>
      <c r="B554" s="245" t="s">
        <v>194</v>
      </c>
      <c r="C554" s="246" t="s">
        <v>135</v>
      </c>
      <c r="D554" s="247" t="s">
        <v>558</v>
      </c>
      <c r="E554" s="246" t="s">
        <v>559</v>
      </c>
      <c r="F554" s="248">
        <v>19972</v>
      </c>
      <c r="G554" s="248" t="s">
        <v>88</v>
      </c>
      <c r="H554" s="310"/>
      <c r="I554" s="311"/>
      <c r="J554" s="312"/>
      <c r="K554" s="311"/>
      <c r="L554" s="311"/>
      <c r="M554" s="312"/>
      <c r="N554" s="312">
        <f>_xlfn.XLOOKUP(CONCATENATE(tblPiNAnalysis[[#This Row],[Admin 2 P-Code]],tblPiNAnalysis[[#This Row],[Population Group]]),'Overall severity &amp; PIN Analysis'!A:A,'Overall severity &amp; PIN Analysis'!P:P,0,0)</f>
        <v>15894</v>
      </c>
      <c r="O554" s="311"/>
      <c r="P554" s="312"/>
      <c r="Q554" s="312"/>
      <c r="R554" s="312"/>
      <c r="S554" s="312"/>
      <c r="T554" s="313" t="str">
        <f>IF(tblPiNAnalysis[[#This Row],[Site Management ]]="", "", tblPiNAnalysis[[#This Row],[Site Management ]]/tblPiNAnalysis[[#This Row],[Total Population]])</f>
        <v/>
      </c>
      <c r="U554" s="314" t="str">
        <f>IF(tblPiNAnalysis[[#This Row],[Education]]="", "", tblPiNAnalysis[[#This Row],[Education]]/tblPiNAnalysis[[#This Row],[Total Population]])</f>
        <v/>
      </c>
      <c r="V554" s="314" t="str">
        <f>IF(tblPiNAnalysis[[#This Row],[Food Security and Livlihoods]]="", "", tblPiNAnalysis[[#This Row],[Food Security and Livlihoods]]/tblPiNAnalysis[[#This Row],[Total Population]])</f>
        <v/>
      </c>
      <c r="W554" s="315" t="str">
        <f>IF(tblPiNAnalysis[[#This Row],[Health ]]="", "", tblPiNAnalysis[[#This Row],[Health ]]/tblPiNAnalysis[[#This Row],[Total Population]])</f>
        <v/>
      </c>
      <c r="X554" s="314" t="str">
        <f>IF(tblPiNAnalysis[[#This Row],[Nutrition]]="", "", tblPiNAnalysis[[#This Row],[Nutrition]]/tblPiNAnalysis[[#This Row],[Total Population]])</f>
        <v/>
      </c>
      <c r="Y554" s="314" t="str">
        <f>IF(tblPiNAnalysis[[#This Row],[Protection]]="", "", tblPiNAnalysis[[#This Row],[Protection]]/tblPiNAnalysis[[#This Row],[Total Population]])</f>
        <v/>
      </c>
      <c r="Z554" s="316">
        <f>IF(tblPiNAnalysis[[#This Row],[Shelter NFI ]]="", "", tblPiNAnalysis[[#This Row],[Shelter NFI ]]/tblPiNAnalysis[[#This Row],[Total Population]])</f>
        <v>0.79581413979571403</v>
      </c>
      <c r="AA554" s="317" t="str">
        <f>IF(tblPiNAnalysis[[#This Row],[WASH]]="", "", tblPiNAnalysis[[#This Row],[WASH]]/tblPiNAnalysis[[#This Row],[Total Population]])</f>
        <v/>
      </c>
      <c r="AB554" s="318" t="str">
        <f>IFERROR(IF(tblPiNAnalysis[[#This Row],[CP]]="", "", MROUND(tblPiNAnalysis[[#This Row],[CP]]/tblPiNAnalysis[[#This Row],[Total Population]], 0.05)), "")</f>
        <v/>
      </c>
      <c r="AC554" s="314" t="str">
        <f>IFERROR(IF(tblPiNAnalysis[[#This Row],[GBV]]="", "", MROUND(tblPiNAnalysis[[#This Row],[GBV]]/tblPiNAnalysis[[#This Row],[Total Population]], 0.05)), "")</f>
        <v/>
      </c>
      <c r="AD554" s="314" t="str">
        <f>IFERROR(IF(tblPiNAnalysis[[#This Row],[Mine Action]]="", "", MROUND(tblPiNAnalysis[[#This Row],[Mine Action]]/tblPiNAnalysis[[#This Row],[Total Population]], 0.05)), "")</f>
        <v/>
      </c>
      <c r="AE554" s="314" t="str">
        <f>IFERROR(IF(tblPiNAnalysis[[#This Row],[General Protection]]="", "", MROUND(tblPiNAnalysis[[#This Row],[General Protection]]/tblPiNAnalysis[[#This Row],[Total Population]], 0.05)), "")</f>
        <v/>
      </c>
      <c r="AF554" s="319">
        <f>IFERROR(LARGE(tblPiNAnalysis[[#This Row],[Site Management ]:[General Protection]], 1), "")</f>
        <v>15894</v>
      </c>
      <c r="AG554" s="320">
        <f>IF(tblPiNAnalysis[[#This Row],[Highest PiN]]="", "",tblPiNAnalysis[[#This Row],[Highest PiN]]/ tblPiNAnalysis[[#This Row],[Total Population]])</f>
        <v>0.79581413979571403</v>
      </c>
      <c r="AH554" s="320" t="str">
        <f>IFERROR(IF(tblPiNAnalysis[[#This Row],[Highest PiN]]="", "", IF(tblPiNAnalysis[[#This Row],[Highest sector(s'') PiN %]]&gt;=flag_pin_perc, "Flagged", "")), "")</f>
        <v/>
      </c>
      <c r="AI554" s="321"/>
      <c r="AJ554" s="322"/>
      <c r="AK554" s="323">
        <f>COUNTIFS(tblPiNAnalysis[[#This Row],[Highest PiN greater than 90% of total affected population]:[Manual Flag]],"Flagged")</f>
        <v>0</v>
      </c>
      <c r="AL554" s="324" t="str">
        <f>IF(tblPiNAnalysis[[#This Row],['# Flags]]&gt;0, "Flagged", "")</f>
        <v/>
      </c>
    </row>
    <row r="555" spans="1:38" ht="23.1" customHeight="1" x14ac:dyDescent="0.2">
      <c r="A555" s="309" t="str">
        <f>_xlfn.CONCAT(IF(tblPiNAnalysis[[#This Row],[Population Group]]="", "",tblPiNAnalysis[[#This Row],[Population Group]] ), _xlfn.IFS(tblPiNAnalysis[[#This Row],[Admin 2 P-Code]]&lt;&gt;"", tblPiNAnalysis[[#This Row],[Admin 2 P-Code]], tblPiNAnalysis[[#This Row],[Admin 1 P-Code]]&lt;&gt;"", tblPiNAnalysis[[#This Row],[Admin 1 P-Code]]))</f>
        <v>Non-hosting PopulationSD18102</v>
      </c>
      <c r="B555" s="245" t="s">
        <v>194</v>
      </c>
      <c r="C555" s="246" t="s">
        <v>135</v>
      </c>
      <c r="D555" s="247" t="s">
        <v>558</v>
      </c>
      <c r="E555" s="246" t="s">
        <v>559</v>
      </c>
      <c r="F555" s="248">
        <v>107600</v>
      </c>
      <c r="G555" s="248" t="s">
        <v>568</v>
      </c>
      <c r="H555" s="310"/>
      <c r="I555" s="311"/>
      <c r="J555" s="312"/>
      <c r="K555" s="311"/>
      <c r="L555" s="311"/>
      <c r="M555" s="312"/>
      <c r="N555" s="312">
        <f>_xlfn.XLOOKUP(CONCATENATE(tblPiNAnalysis[[#This Row],[Admin 2 P-Code]],tblPiNAnalysis[[#This Row],[Population Group]]),'Overall severity &amp; PIN Analysis'!A:A,'Overall severity &amp; PIN Analysis'!P:P,0,0)</f>
        <v>15890</v>
      </c>
      <c r="O555" s="311"/>
      <c r="P555" s="312"/>
      <c r="Q555" s="312"/>
      <c r="R555" s="312"/>
      <c r="S555" s="312"/>
      <c r="T555" s="313" t="str">
        <f>IF(tblPiNAnalysis[[#This Row],[Site Management ]]="", "", tblPiNAnalysis[[#This Row],[Site Management ]]/tblPiNAnalysis[[#This Row],[Total Population]])</f>
        <v/>
      </c>
      <c r="U555" s="314" t="str">
        <f>IF(tblPiNAnalysis[[#This Row],[Education]]="", "", tblPiNAnalysis[[#This Row],[Education]]/tblPiNAnalysis[[#This Row],[Total Population]])</f>
        <v/>
      </c>
      <c r="V555" s="314" t="str">
        <f>IF(tblPiNAnalysis[[#This Row],[Food Security and Livlihoods]]="", "", tblPiNAnalysis[[#This Row],[Food Security and Livlihoods]]/tblPiNAnalysis[[#This Row],[Total Population]])</f>
        <v/>
      </c>
      <c r="W555" s="315" t="str">
        <f>IF(tblPiNAnalysis[[#This Row],[Health ]]="", "", tblPiNAnalysis[[#This Row],[Health ]]/tblPiNAnalysis[[#This Row],[Total Population]])</f>
        <v/>
      </c>
      <c r="X555" s="314" t="str">
        <f>IF(tblPiNAnalysis[[#This Row],[Nutrition]]="", "", tblPiNAnalysis[[#This Row],[Nutrition]]/tblPiNAnalysis[[#This Row],[Total Population]])</f>
        <v/>
      </c>
      <c r="Y555" s="314" t="str">
        <f>IF(tblPiNAnalysis[[#This Row],[Protection]]="", "", tblPiNAnalysis[[#This Row],[Protection]]/tblPiNAnalysis[[#This Row],[Total Population]])</f>
        <v/>
      </c>
      <c r="Z555" s="316">
        <f>IF(tblPiNAnalysis[[#This Row],[Shelter NFI ]]="", "", tblPiNAnalysis[[#This Row],[Shelter NFI ]]/tblPiNAnalysis[[#This Row],[Total Population]])</f>
        <v>0.14767657992565056</v>
      </c>
      <c r="AA555" s="317" t="str">
        <f>IF(tblPiNAnalysis[[#This Row],[WASH]]="", "", tblPiNAnalysis[[#This Row],[WASH]]/tblPiNAnalysis[[#This Row],[Total Population]])</f>
        <v/>
      </c>
      <c r="AB555" s="318" t="str">
        <f>IFERROR(IF(tblPiNAnalysis[[#This Row],[CP]]="", "", MROUND(tblPiNAnalysis[[#This Row],[CP]]/tblPiNAnalysis[[#This Row],[Total Population]], 0.05)), "")</f>
        <v/>
      </c>
      <c r="AC555" s="314" t="str">
        <f>IFERROR(IF(tblPiNAnalysis[[#This Row],[GBV]]="", "", MROUND(tblPiNAnalysis[[#This Row],[GBV]]/tblPiNAnalysis[[#This Row],[Total Population]], 0.05)), "")</f>
        <v/>
      </c>
      <c r="AD555" s="314" t="str">
        <f>IFERROR(IF(tblPiNAnalysis[[#This Row],[Mine Action]]="", "", MROUND(tblPiNAnalysis[[#This Row],[Mine Action]]/tblPiNAnalysis[[#This Row],[Total Population]], 0.05)), "")</f>
        <v/>
      </c>
      <c r="AE555" s="314" t="str">
        <f>IFERROR(IF(tblPiNAnalysis[[#This Row],[General Protection]]="", "", MROUND(tblPiNAnalysis[[#This Row],[General Protection]]/tblPiNAnalysis[[#This Row],[Total Population]], 0.05)), "")</f>
        <v/>
      </c>
      <c r="AF555" s="319">
        <f>IFERROR(LARGE(tblPiNAnalysis[[#This Row],[Site Management ]:[General Protection]], 1), "")</f>
        <v>15890</v>
      </c>
      <c r="AG555" s="320">
        <f>IF(tblPiNAnalysis[[#This Row],[Highest PiN]]="", "",tblPiNAnalysis[[#This Row],[Highest PiN]]/ tblPiNAnalysis[[#This Row],[Total Population]])</f>
        <v>0.14767657992565056</v>
      </c>
      <c r="AH555" s="320" t="str">
        <f>IFERROR(IF(tblPiNAnalysis[[#This Row],[Highest PiN]]="", "", IF(tblPiNAnalysis[[#This Row],[Highest sector(s'') PiN %]]&gt;=flag_pin_perc, "Flagged", "")), "")</f>
        <v/>
      </c>
      <c r="AI555" s="321"/>
      <c r="AJ555" s="322"/>
      <c r="AK555" s="323">
        <f>COUNTIFS(tblPiNAnalysis[[#This Row],[Highest PiN greater than 90% of total affected population]:[Manual Flag]],"Flagged")</f>
        <v>0</v>
      </c>
      <c r="AL555" s="324" t="str">
        <f>IF(tblPiNAnalysis[[#This Row],['# Flags]]&gt;0, "Flagged", "")</f>
        <v/>
      </c>
    </row>
    <row r="556" spans="1:38" ht="23.1" hidden="1" customHeight="1" x14ac:dyDescent="0.2">
      <c r="A556" s="309" t="str">
        <f>_xlfn.CONCAT(IF(tblPiNAnalysis[[#This Row],[Population Group]]="", "",tblPiNAnalysis[[#This Row],[Population Group]] ), _xlfn.IFS(tblPiNAnalysis[[#This Row],[Admin 2 P-Code]]&lt;&gt;"", tblPiNAnalysis[[#This Row],[Admin 2 P-Code]], tblPiNAnalysis[[#This Row],[Admin 1 P-Code]]&lt;&gt;"", tblPiNAnalysis[[#This Row],[Admin 1 P-Code]]))</f>
        <v>Host CommunitySD18103</v>
      </c>
      <c r="B556" s="245" t="s">
        <v>194</v>
      </c>
      <c r="C556" s="246" t="s">
        <v>135</v>
      </c>
      <c r="D556" s="247" t="s">
        <v>560</v>
      </c>
      <c r="E556" s="246" t="s">
        <v>561</v>
      </c>
      <c r="F556" s="248">
        <v>21146</v>
      </c>
      <c r="G556" s="248" t="s">
        <v>87</v>
      </c>
      <c r="H556" s="310"/>
      <c r="I556" s="311"/>
      <c r="J556" s="312"/>
      <c r="K556" s="311"/>
      <c r="L556" s="311"/>
      <c r="M556" s="312"/>
      <c r="N556" s="312">
        <f>_xlfn.XLOOKUP(CONCATENATE(tblPiNAnalysis[[#This Row],[Admin 2 P-Code]],tblPiNAnalysis[[#This Row],[Population Group]]),'Overall severity &amp; PIN Analysis'!A:A,'Overall severity &amp; PIN Analysis'!P:P,0,0)</f>
        <v>15597</v>
      </c>
      <c r="O556" s="311"/>
      <c r="P556" s="312"/>
      <c r="Q556" s="312"/>
      <c r="R556" s="312"/>
      <c r="S556" s="312"/>
      <c r="T556" s="313" t="str">
        <f>IF(tblPiNAnalysis[[#This Row],[Site Management ]]="", "", tblPiNAnalysis[[#This Row],[Site Management ]]/tblPiNAnalysis[[#This Row],[Total Population]])</f>
        <v/>
      </c>
      <c r="U556" s="314" t="str">
        <f>IF(tblPiNAnalysis[[#This Row],[Education]]="", "", tblPiNAnalysis[[#This Row],[Education]]/tblPiNAnalysis[[#This Row],[Total Population]])</f>
        <v/>
      </c>
      <c r="V556" s="314" t="str">
        <f>IF(tblPiNAnalysis[[#This Row],[Food Security and Livlihoods]]="", "", tblPiNAnalysis[[#This Row],[Food Security and Livlihoods]]/tblPiNAnalysis[[#This Row],[Total Population]])</f>
        <v/>
      </c>
      <c r="W556" s="315" t="str">
        <f>IF(tblPiNAnalysis[[#This Row],[Health ]]="", "", tblPiNAnalysis[[#This Row],[Health ]]/tblPiNAnalysis[[#This Row],[Total Population]])</f>
        <v/>
      </c>
      <c r="X556" s="314" t="str">
        <f>IF(tblPiNAnalysis[[#This Row],[Nutrition]]="", "", tblPiNAnalysis[[#This Row],[Nutrition]]/tblPiNAnalysis[[#This Row],[Total Population]])</f>
        <v/>
      </c>
      <c r="Y556" s="314" t="str">
        <f>IF(tblPiNAnalysis[[#This Row],[Protection]]="", "", tblPiNAnalysis[[#This Row],[Protection]]/tblPiNAnalysis[[#This Row],[Total Population]])</f>
        <v/>
      </c>
      <c r="Z556" s="316">
        <f>IF(tblPiNAnalysis[[#This Row],[Shelter NFI ]]="", "", tblPiNAnalysis[[#This Row],[Shelter NFI ]]/tblPiNAnalysis[[#This Row],[Total Population]])</f>
        <v>0.73758630473848485</v>
      </c>
      <c r="AA556" s="317" t="str">
        <f>IF(tblPiNAnalysis[[#This Row],[WASH]]="", "", tblPiNAnalysis[[#This Row],[WASH]]/tblPiNAnalysis[[#This Row],[Total Population]])</f>
        <v/>
      </c>
      <c r="AB556" s="318" t="str">
        <f>IFERROR(IF(tblPiNAnalysis[[#This Row],[CP]]="", "", MROUND(tblPiNAnalysis[[#This Row],[CP]]/tblPiNAnalysis[[#This Row],[Total Population]], 0.05)), "")</f>
        <v/>
      </c>
      <c r="AC556" s="314" t="str">
        <f>IFERROR(IF(tblPiNAnalysis[[#This Row],[GBV]]="", "", MROUND(tblPiNAnalysis[[#This Row],[GBV]]/tblPiNAnalysis[[#This Row],[Total Population]], 0.05)), "")</f>
        <v/>
      </c>
      <c r="AD556" s="314" t="str">
        <f>IFERROR(IF(tblPiNAnalysis[[#This Row],[Mine Action]]="", "", MROUND(tblPiNAnalysis[[#This Row],[Mine Action]]/tblPiNAnalysis[[#This Row],[Total Population]], 0.05)), "")</f>
        <v/>
      </c>
      <c r="AE556" s="314" t="str">
        <f>IFERROR(IF(tblPiNAnalysis[[#This Row],[General Protection]]="", "", MROUND(tblPiNAnalysis[[#This Row],[General Protection]]/tblPiNAnalysis[[#This Row],[Total Population]], 0.05)), "")</f>
        <v/>
      </c>
      <c r="AF556" s="319">
        <f>IFERROR(LARGE(tblPiNAnalysis[[#This Row],[Site Management ]:[General Protection]], 1), "")</f>
        <v>15597</v>
      </c>
      <c r="AG556" s="320">
        <f>IF(tblPiNAnalysis[[#This Row],[Highest PiN]]="", "",tblPiNAnalysis[[#This Row],[Highest PiN]]/ tblPiNAnalysis[[#This Row],[Total Population]])</f>
        <v>0.73758630473848485</v>
      </c>
      <c r="AH556" s="320" t="str">
        <f>IFERROR(IF(tblPiNAnalysis[[#This Row],[Highest PiN]]="", "", IF(tblPiNAnalysis[[#This Row],[Highest sector(s'') PiN %]]&gt;=flag_pin_perc, "Flagged", "")), "")</f>
        <v/>
      </c>
      <c r="AI556" s="321"/>
      <c r="AJ556" s="322"/>
      <c r="AK556" s="323">
        <f>COUNTIFS(tblPiNAnalysis[[#This Row],[Highest PiN greater than 90% of total affected population]:[Manual Flag]],"Flagged")</f>
        <v>0</v>
      </c>
      <c r="AL556" s="324" t="str">
        <f>IF(tblPiNAnalysis[[#This Row],['# Flags]]&gt;0, "Flagged", "")</f>
        <v/>
      </c>
    </row>
    <row r="557" spans="1:38" ht="23.1" hidden="1" customHeight="1" x14ac:dyDescent="0.2">
      <c r="A557" s="309" t="str">
        <f>_xlfn.CONCAT(IF(tblPiNAnalysis[[#This Row],[Population Group]]="", "",tblPiNAnalysis[[#This Row],[Population Group]] ), _xlfn.IFS(tblPiNAnalysis[[#This Row],[Admin 2 P-Code]]&lt;&gt;"", tblPiNAnalysis[[#This Row],[Admin 2 P-Code]], tblPiNAnalysis[[#This Row],[Admin 1 P-Code]]&lt;&gt;"", tblPiNAnalysis[[#This Row],[Admin 1 P-Code]]))</f>
        <v>IDPsSD18103</v>
      </c>
      <c r="B557" s="245" t="s">
        <v>194</v>
      </c>
      <c r="C557" s="246" t="s">
        <v>135</v>
      </c>
      <c r="D557" s="247" t="s">
        <v>560</v>
      </c>
      <c r="E557" s="246" t="s">
        <v>561</v>
      </c>
      <c r="F557" s="248">
        <v>21146</v>
      </c>
      <c r="G557" s="248" t="s">
        <v>88</v>
      </c>
      <c r="H557" s="310"/>
      <c r="I557" s="311"/>
      <c r="J557" s="312"/>
      <c r="K557" s="311"/>
      <c r="L557" s="311"/>
      <c r="M557" s="312"/>
      <c r="N557" s="312">
        <f>_xlfn.XLOOKUP(CONCATENATE(tblPiNAnalysis[[#This Row],[Admin 2 P-Code]],tblPiNAnalysis[[#This Row],[Population Group]]),'Overall severity &amp; PIN Analysis'!A:A,'Overall severity &amp; PIN Analysis'!P:P,0,0)</f>
        <v>15597</v>
      </c>
      <c r="O557" s="311"/>
      <c r="P557" s="312"/>
      <c r="Q557" s="312"/>
      <c r="R557" s="312"/>
      <c r="S557" s="312"/>
      <c r="T557" s="313" t="str">
        <f>IF(tblPiNAnalysis[[#This Row],[Site Management ]]="", "", tblPiNAnalysis[[#This Row],[Site Management ]]/tblPiNAnalysis[[#This Row],[Total Population]])</f>
        <v/>
      </c>
      <c r="U557" s="314" t="str">
        <f>IF(tblPiNAnalysis[[#This Row],[Education]]="", "", tblPiNAnalysis[[#This Row],[Education]]/tblPiNAnalysis[[#This Row],[Total Population]])</f>
        <v/>
      </c>
      <c r="V557" s="314" t="str">
        <f>IF(tblPiNAnalysis[[#This Row],[Food Security and Livlihoods]]="", "", tblPiNAnalysis[[#This Row],[Food Security and Livlihoods]]/tblPiNAnalysis[[#This Row],[Total Population]])</f>
        <v/>
      </c>
      <c r="W557" s="315" t="str">
        <f>IF(tblPiNAnalysis[[#This Row],[Health ]]="", "", tblPiNAnalysis[[#This Row],[Health ]]/tblPiNAnalysis[[#This Row],[Total Population]])</f>
        <v/>
      </c>
      <c r="X557" s="314" t="str">
        <f>IF(tblPiNAnalysis[[#This Row],[Nutrition]]="", "", tblPiNAnalysis[[#This Row],[Nutrition]]/tblPiNAnalysis[[#This Row],[Total Population]])</f>
        <v/>
      </c>
      <c r="Y557" s="314" t="str">
        <f>IF(tblPiNAnalysis[[#This Row],[Protection]]="", "", tblPiNAnalysis[[#This Row],[Protection]]/tblPiNAnalysis[[#This Row],[Total Population]])</f>
        <v/>
      </c>
      <c r="Z557" s="316">
        <f>IF(tblPiNAnalysis[[#This Row],[Shelter NFI ]]="", "", tblPiNAnalysis[[#This Row],[Shelter NFI ]]/tblPiNAnalysis[[#This Row],[Total Population]])</f>
        <v>0.73758630473848485</v>
      </c>
      <c r="AA557" s="317" t="str">
        <f>IF(tblPiNAnalysis[[#This Row],[WASH]]="", "", tblPiNAnalysis[[#This Row],[WASH]]/tblPiNAnalysis[[#This Row],[Total Population]])</f>
        <v/>
      </c>
      <c r="AB557" s="318" t="str">
        <f>IFERROR(IF(tblPiNAnalysis[[#This Row],[CP]]="", "", MROUND(tblPiNAnalysis[[#This Row],[CP]]/tblPiNAnalysis[[#This Row],[Total Population]], 0.05)), "")</f>
        <v/>
      </c>
      <c r="AC557" s="314" t="str">
        <f>IFERROR(IF(tblPiNAnalysis[[#This Row],[GBV]]="", "", MROUND(tblPiNAnalysis[[#This Row],[GBV]]/tblPiNAnalysis[[#This Row],[Total Population]], 0.05)), "")</f>
        <v/>
      </c>
      <c r="AD557" s="314" t="str">
        <f>IFERROR(IF(tblPiNAnalysis[[#This Row],[Mine Action]]="", "", MROUND(tblPiNAnalysis[[#This Row],[Mine Action]]/tblPiNAnalysis[[#This Row],[Total Population]], 0.05)), "")</f>
        <v/>
      </c>
      <c r="AE557" s="314" t="str">
        <f>IFERROR(IF(tblPiNAnalysis[[#This Row],[General Protection]]="", "", MROUND(tblPiNAnalysis[[#This Row],[General Protection]]/tblPiNAnalysis[[#This Row],[Total Population]], 0.05)), "")</f>
        <v/>
      </c>
      <c r="AF557" s="319">
        <f>IFERROR(LARGE(tblPiNAnalysis[[#This Row],[Site Management ]:[General Protection]], 1), "")</f>
        <v>15597</v>
      </c>
      <c r="AG557" s="320">
        <f>IF(tblPiNAnalysis[[#This Row],[Highest PiN]]="", "",tblPiNAnalysis[[#This Row],[Highest PiN]]/ tblPiNAnalysis[[#This Row],[Total Population]])</f>
        <v>0.73758630473848485</v>
      </c>
      <c r="AH557" s="320" t="str">
        <f>IFERROR(IF(tblPiNAnalysis[[#This Row],[Highest PiN]]="", "", IF(tblPiNAnalysis[[#This Row],[Highest sector(s'') PiN %]]&gt;=flag_pin_perc, "Flagged", "")), "")</f>
        <v/>
      </c>
      <c r="AI557" s="321"/>
      <c r="AJ557" s="322"/>
      <c r="AK557" s="323">
        <f>COUNTIFS(tblPiNAnalysis[[#This Row],[Highest PiN greater than 90% of total affected population]:[Manual Flag]],"Flagged")</f>
        <v>0</v>
      </c>
      <c r="AL557" s="324" t="str">
        <f>IF(tblPiNAnalysis[[#This Row],['# Flags]]&gt;0, "Flagged", "")</f>
        <v/>
      </c>
    </row>
    <row r="558" spans="1:38" ht="23.1" customHeight="1" x14ac:dyDescent="0.2">
      <c r="A558" s="309" t="str">
        <f>_xlfn.CONCAT(IF(tblPiNAnalysis[[#This Row],[Population Group]]="", "",tblPiNAnalysis[[#This Row],[Population Group]] ), _xlfn.IFS(tblPiNAnalysis[[#This Row],[Admin 2 P-Code]]&lt;&gt;"", tblPiNAnalysis[[#This Row],[Admin 2 P-Code]], tblPiNAnalysis[[#This Row],[Admin 1 P-Code]]&lt;&gt;"", tblPiNAnalysis[[#This Row],[Admin 1 P-Code]]))</f>
        <v>Non-hosting PopulationSD18103</v>
      </c>
      <c r="B558" s="245" t="s">
        <v>194</v>
      </c>
      <c r="C558" s="246" t="s">
        <v>135</v>
      </c>
      <c r="D558" s="247" t="s">
        <v>560</v>
      </c>
      <c r="E558" s="246" t="s">
        <v>561</v>
      </c>
      <c r="F558" s="248">
        <v>72277</v>
      </c>
      <c r="G558" s="248" t="s">
        <v>568</v>
      </c>
      <c r="H558" s="310"/>
      <c r="I558" s="311"/>
      <c r="J558" s="312"/>
      <c r="K558" s="311"/>
      <c r="L558" s="311"/>
      <c r="M558" s="312"/>
      <c r="N558" s="312">
        <f>_xlfn.XLOOKUP(CONCATENATE(tblPiNAnalysis[[#This Row],[Admin 2 P-Code]],tblPiNAnalysis[[#This Row],[Population Group]]),'Overall severity &amp; PIN Analysis'!A:A,'Overall severity &amp; PIN Analysis'!P:P,0,0)</f>
        <v>544</v>
      </c>
      <c r="O558" s="311"/>
      <c r="P558" s="312"/>
      <c r="Q558" s="312"/>
      <c r="R558" s="312"/>
      <c r="S558" s="312"/>
      <c r="T558" s="313" t="str">
        <f>IF(tblPiNAnalysis[[#This Row],[Site Management ]]="", "", tblPiNAnalysis[[#This Row],[Site Management ]]/tblPiNAnalysis[[#This Row],[Total Population]])</f>
        <v/>
      </c>
      <c r="U558" s="314" t="str">
        <f>IF(tblPiNAnalysis[[#This Row],[Education]]="", "", tblPiNAnalysis[[#This Row],[Education]]/tblPiNAnalysis[[#This Row],[Total Population]])</f>
        <v/>
      </c>
      <c r="V558" s="314" t="str">
        <f>IF(tblPiNAnalysis[[#This Row],[Food Security and Livlihoods]]="", "", tblPiNAnalysis[[#This Row],[Food Security and Livlihoods]]/tblPiNAnalysis[[#This Row],[Total Population]])</f>
        <v/>
      </c>
      <c r="W558" s="315" t="str">
        <f>IF(tblPiNAnalysis[[#This Row],[Health ]]="", "", tblPiNAnalysis[[#This Row],[Health ]]/tblPiNAnalysis[[#This Row],[Total Population]])</f>
        <v/>
      </c>
      <c r="X558" s="314" t="str">
        <f>IF(tblPiNAnalysis[[#This Row],[Nutrition]]="", "", tblPiNAnalysis[[#This Row],[Nutrition]]/tblPiNAnalysis[[#This Row],[Total Population]])</f>
        <v/>
      </c>
      <c r="Y558" s="314" t="str">
        <f>IF(tblPiNAnalysis[[#This Row],[Protection]]="", "", tblPiNAnalysis[[#This Row],[Protection]]/tblPiNAnalysis[[#This Row],[Total Population]])</f>
        <v/>
      </c>
      <c r="Z558" s="316">
        <f>IF(tblPiNAnalysis[[#This Row],[Shelter NFI ]]="", "", tblPiNAnalysis[[#This Row],[Shelter NFI ]]/tblPiNAnalysis[[#This Row],[Total Population]])</f>
        <v>7.5265990564079861E-3</v>
      </c>
      <c r="AA558" s="317" t="str">
        <f>IF(tblPiNAnalysis[[#This Row],[WASH]]="", "", tblPiNAnalysis[[#This Row],[WASH]]/tblPiNAnalysis[[#This Row],[Total Population]])</f>
        <v/>
      </c>
      <c r="AB558" s="318" t="str">
        <f>IFERROR(IF(tblPiNAnalysis[[#This Row],[CP]]="", "", MROUND(tblPiNAnalysis[[#This Row],[CP]]/tblPiNAnalysis[[#This Row],[Total Population]], 0.05)), "")</f>
        <v/>
      </c>
      <c r="AC558" s="314" t="str">
        <f>IFERROR(IF(tblPiNAnalysis[[#This Row],[GBV]]="", "", MROUND(tblPiNAnalysis[[#This Row],[GBV]]/tblPiNAnalysis[[#This Row],[Total Population]], 0.05)), "")</f>
        <v/>
      </c>
      <c r="AD558" s="314" t="str">
        <f>IFERROR(IF(tblPiNAnalysis[[#This Row],[Mine Action]]="", "", MROUND(tblPiNAnalysis[[#This Row],[Mine Action]]/tblPiNAnalysis[[#This Row],[Total Population]], 0.05)), "")</f>
        <v/>
      </c>
      <c r="AE558" s="314" t="str">
        <f>IFERROR(IF(tblPiNAnalysis[[#This Row],[General Protection]]="", "", MROUND(tblPiNAnalysis[[#This Row],[General Protection]]/tblPiNAnalysis[[#This Row],[Total Population]], 0.05)), "")</f>
        <v/>
      </c>
      <c r="AF558" s="319">
        <f>IFERROR(LARGE(tblPiNAnalysis[[#This Row],[Site Management ]:[General Protection]], 1), "")</f>
        <v>544</v>
      </c>
      <c r="AG558" s="320">
        <f>IF(tblPiNAnalysis[[#This Row],[Highest PiN]]="", "",tblPiNAnalysis[[#This Row],[Highest PiN]]/ tblPiNAnalysis[[#This Row],[Total Population]])</f>
        <v>7.5265990564079861E-3</v>
      </c>
      <c r="AH558" s="320" t="str">
        <f>IFERROR(IF(tblPiNAnalysis[[#This Row],[Highest PiN]]="", "", IF(tblPiNAnalysis[[#This Row],[Highest sector(s'') PiN %]]&gt;=flag_pin_perc, "Flagged", "")), "")</f>
        <v/>
      </c>
      <c r="AI558" s="321"/>
      <c r="AJ558" s="322"/>
      <c r="AK558" s="323">
        <f>COUNTIFS(tblPiNAnalysis[[#This Row],[Highest PiN greater than 90% of total affected population]:[Manual Flag]],"Flagged")</f>
        <v>0</v>
      </c>
      <c r="AL558" s="324" t="str">
        <f>IF(tblPiNAnalysis[[#This Row],['# Flags]]&gt;0, "Flagged", "")</f>
        <v/>
      </c>
    </row>
    <row r="559" spans="1:38" ht="23.1" hidden="1" customHeight="1" x14ac:dyDescent="0.2">
      <c r="A559" s="309" t="str">
        <f>_xlfn.CONCAT(IF(tblPiNAnalysis[[#This Row],[Population Group]]="", "",tblPiNAnalysis[[#This Row],[Population Group]] ), _xlfn.IFS(tblPiNAnalysis[[#This Row],[Admin 2 P-Code]]&lt;&gt;"", tblPiNAnalysis[[#This Row],[Admin 2 P-Code]], tblPiNAnalysis[[#This Row],[Admin 1 P-Code]]&lt;&gt;"", tblPiNAnalysis[[#This Row],[Admin 1 P-Code]]))</f>
        <v>Host CommunitySD18104</v>
      </c>
      <c r="B559" s="245" t="s">
        <v>194</v>
      </c>
      <c r="C559" s="246" t="s">
        <v>135</v>
      </c>
      <c r="D559" s="247" t="s">
        <v>562</v>
      </c>
      <c r="E559" s="246" t="s">
        <v>563</v>
      </c>
      <c r="F559" s="248">
        <v>59785</v>
      </c>
      <c r="G559" s="248" t="s">
        <v>87</v>
      </c>
      <c r="H559" s="310"/>
      <c r="I559" s="311"/>
      <c r="J559" s="312"/>
      <c r="K559" s="311"/>
      <c r="L559" s="311"/>
      <c r="M559" s="312"/>
      <c r="N559" s="312">
        <f>_xlfn.XLOOKUP(CONCATENATE(tblPiNAnalysis[[#This Row],[Admin 2 P-Code]],tblPiNAnalysis[[#This Row],[Population Group]]),'Overall severity &amp; PIN Analysis'!A:A,'Overall severity &amp; PIN Analysis'!P:P,0,0)</f>
        <v>24533</v>
      </c>
      <c r="O559" s="311"/>
      <c r="P559" s="312"/>
      <c r="Q559" s="312"/>
      <c r="R559" s="312"/>
      <c r="S559" s="312"/>
      <c r="T559" s="313" t="str">
        <f>IF(tblPiNAnalysis[[#This Row],[Site Management ]]="", "", tblPiNAnalysis[[#This Row],[Site Management ]]/tblPiNAnalysis[[#This Row],[Total Population]])</f>
        <v/>
      </c>
      <c r="U559" s="314" t="str">
        <f>IF(tblPiNAnalysis[[#This Row],[Education]]="", "", tblPiNAnalysis[[#This Row],[Education]]/tblPiNAnalysis[[#This Row],[Total Population]])</f>
        <v/>
      </c>
      <c r="V559" s="314" t="str">
        <f>IF(tblPiNAnalysis[[#This Row],[Food Security and Livlihoods]]="", "", tblPiNAnalysis[[#This Row],[Food Security and Livlihoods]]/tblPiNAnalysis[[#This Row],[Total Population]])</f>
        <v/>
      </c>
      <c r="W559" s="315" t="str">
        <f>IF(tblPiNAnalysis[[#This Row],[Health ]]="", "", tblPiNAnalysis[[#This Row],[Health ]]/tblPiNAnalysis[[#This Row],[Total Population]])</f>
        <v/>
      </c>
      <c r="X559" s="314" t="str">
        <f>IF(tblPiNAnalysis[[#This Row],[Nutrition]]="", "", tblPiNAnalysis[[#This Row],[Nutrition]]/tblPiNAnalysis[[#This Row],[Total Population]])</f>
        <v/>
      </c>
      <c r="Y559" s="314" t="str">
        <f>IF(tblPiNAnalysis[[#This Row],[Protection]]="", "", tblPiNAnalysis[[#This Row],[Protection]]/tblPiNAnalysis[[#This Row],[Total Population]])</f>
        <v/>
      </c>
      <c r="Z559" s="316">
        <f>IF(tblPiNAnalysis[[#This Row],[Shelter NFI ]]="", "", tblPiNAnalysis[[#This Row],[Shelter NFI ]]/tblPiNAnalysis[[#This Row],[Total Population]])</f>
        <v>0.41035376766747511</v>
      </c>
      <c r="AA559" s="317" t="str">
        <f>IF(tblPiNAnalysis[[#This Row],[WASH]]="", "", tblPiNAnalysis[[#This Row],[WASH]]/tblPiNAnalysis[[#This Row],[Total Population]])</f>
        <v/>
      </c>
      <c r="AB559" s="318" t="str">
        <f>IFERROR(IF(tblPiNAnalysis[[#This Row],[CP]]="", "", MROUND(tblPiNAnalysis[[#This Row],[CP]]/tblPiNAnalysis[[#This Row],[Total Population]], 0.05)), "")</f>
        <v/>
      </c>
      <c r="AC559" s="314" t="str">
        <f>IFERROR(IF(tblPiNAnalysis[[#This Row],[GBV]]="", "", MROUND(tblPiNAnalysis[[#This Row],[GBV]]/tblPiNAnalysis[[#This Row],[Total Population]], 0.05)), "")</f>
        <v/>
      </c>
      <c r="AD559" s="314" t="str">
        <f>IFERROR(IF(tblPiNAnalysis[[#This Row],[Mine Action]]="", "", MROUND(tblPiNAnalysis[[#This Row],[Mine Action]]/tblPiNAnalysis[[#This Row],[Total Population]], 0.05)), "")</f>
        <v/>
      </c>
      <c r="AE559" s="314" t="str">
        <f>IFERROR(IF(tblPiNAnalysis[[#This Row],[General Protection]]="", "", MROUND(tblPiNAnalysis[[#This Row],[General Protection]]/tblPiNAnalysis[[#This Row],[Total Population]], 0.05)), "")</f>
        <v/>
      </c>
      <c r="AF559" s="319">
        <f>IFERROR(LARGE(tblPiNAnalysis[[#This Row],[Site Management ]:[General Protection]], 1), "")</f>
        <v>24533</v>
      </c>
      <c r="AG559" s="320">
        <f>IF(tblPiNAnalysis[[#This Row],[Highest PiN]]="", "",tblPiNAnalysis[[#This Row],[Highest PiN]]/ tblPiNAnalysis[[#This Row],[Total Population]])</f>
        <v>0.41035376766747511</v>
      </c>
      <c r="AH559" s="320" t="str">
        <f>IFERROR(IF(tblPiNAnalysis[[#This Row],[Highest PiN]]="", "", IF(tblPiNAnalysis[[#This Row],[Highest sector(s'') PiN %]]&gt;=flag_pin_perc, "Flagged", "")), "")</f>
        <v/>
      </c>
      <c r="AI559" s="321"/>
      <c r="AJ559" s="322"/>
      <c r="AK559" s="323">
        <f>COUNTIFS(tblPiNAnalysis[[#This Row],[Highest PiN greater than 90% of total affected population]:[Manual Flag]],"Flagged")</f>
        <v>0</v>
      </c>
      <c r="AL559" s="324" t="str">
        <f>IF(tblPiNAnalysis[[#This Row],['# Flags]]&gt;0, "Flagged", "")</f>
        <v/>
      </c>
    </row>
    <row r="560" spans="1:38" ht="23.1" hidden="1" customHeight="1" x14ac:dyDescent="0.2">
      <c r="A560" s="309" t="str">
        <f>_xlfn.CONCAT(IF(tblPiNAnalysis[[#This Row],[Population Group]]="", "",tblPiNAnalysis[[#This Row],[Population Group]] ), _xlfn.IFS(tblPiNAnalysis[[#This Row],[Admin 2 P-Code]]&lt;&gt;"", tblPiNAnalysis[[#This Row],[Admin 2 P-Code]], tblPiNAnalysis[[#This Row],[Admin 1 P-Code]]&lt;&gt;"", tblPiNAnalysis[[#This Row],[Admin 1 P-Code]]))</f>
        <v>IDPsSD18104</v>
      </c>
      <c r="B560" s="245" t="s">
        <v>194</v>
      </c>
      <c r="C560" s="246" t="s">
        <v>135</v>
      </c>
      <c r="D560" s="247" t="s">
        <v>562</v>
      </c>
      <c r="E560" s="246" t="s">
        <v>563</v>
      </c>
      <c r="F560" s="248">
        <v>96705</v>
      </c>
      <c r="G560" s="248" t="s">
        <v>88</v>
      </c>
      <c r="H560" s="310"/>
      <c r="I560" s="311"/>
      <c r="J560" s="312"/>
      <c r="K560" s="311"/>
      <c r="L560" s="311"/>
      <c r="M560" s="312"/>
      <c r="N560" s="312">
        <f>_xlfn.XLOOKUP(CONCATENATE(tblPiNAnalysis[[#This Row],[Admin 2 P-Code]],tblPiNAnalysis[[#This Row],[Population Group]]),'Overall severity &amp; PIN Analysis'!A:A,'Overall severity &amp; PIN Analysis'!P:P,0,0)</f>
        <v>39683</v>
      </c>
      <c r="O560" s="311"/>
      <c r="P560" s="312"/>
      <c r="Q560" s="312"/>
      <c r="R560" s="312"/>
      <c r="S560" s="312"/>
      <c r="T560" s="313" t="str">
        <f>IF(tblPiNAnalysis[[#This Row],[Site Management ]]="", "", tblPiNAnalysis[[#This Row],[Site Management ]]/tblPiNAnalysis[[#This Row],[Total Population]])</f>
        <v/>
      </c>
      <c r="U560" s="314" t="str">
        <f>IF(tblPiNAnalysis[[#This Row],[Education]]="", "", tblPiNAnalysis[[#This Row],[Education]]/tblPiNAnalysis[[#This Row],[Total Population]])</f>
        <v/>
      </c>
      <c r="V560" s="314" t="str">
        <f>IF(tblPiNAnalysis[[#This Row],[Food Security and Livlihoods]]="", "", tblPiNAnalysis[[#This Row],[Food Security and Livlihoods]]/tblPiNAnalysis[[#This Row],[Total Population]])</f>
        <v/>
      </c>
      <c r="W560" s="315" t="str">
        <f>IF(tblPiNAnalysis[[#This Row],[Health ]]="", "", tblPiNAnalysis[[#This Row],[Health ]]/tblPiNAnalysis[[#This Row],[Total Population]])</f>
        <v/>
      </c>
      <c r="X560" s="314" t="str">
        <f>IF(tblPiNAnalysis[[#This Row],[Nutrition]]="", "", tblPiNAnalysis[[#This Row],[Nutrition]]/tblPiNAnalysis[[#This Row],[Total Population]])</f>
        <v/>
      </c>
      <c r="Y560" s="314" t="str">
        <f>IF(tblPiNAnalysis[[#This Row],[Protection]]="", "", tblPiNAnalysis[[#This Row],[Protection]]/tblPiNAnalysis[[#This Row],[Total Population]])</f>
        <v/>
      </c>
      <c r="Z560" s="316">
        <f>IF(tblPiNAnalysis[[#This Row],[Shelter NFI ]]="", "", tblPiNAnalysis[[#This Row],[Shelter NFI ]]/tblPiNAnalysis[[#This Row],[Total Population]])</f>
        <v>0.41035106768005791</v>
      </c>
      <c r="AA560" s="317" t="str">
        <f>IF(tblPiNAnalysis[[#This Row],[WASH]]="", "", tblPiNAnalysis[[#This Row],[WASH]]/tblPiNAnalysis[[#This Row],[Total Population]])</f>
        <v/>
      </c>
      <c r="AB560" s="318" t="str">
        <f>IFERROR(IF(tblPiNAnalysis[[#This Row],[CP]]="", "", MROUND(tblPiNAnalysis[[#This Row],[CP]]/tblPiNAnalysis[[#This Row],[Total Population]], 0.05)), "")</f>
        <v/>
      </c>
      <c r="AC560" s="314" t="str">
        <f>IFERROR(IF(tblPiNAnalysis[[#This Row],[GBV]]="", "", MROUND(tblPiNAnalysis[[#This Row],[GBV]]/tblPiNAnalysis[[#This Row],[Total Population]], 0.05)), "")</f>
        <v/>
      </c>
      <c r="AD560" s="314" t="str">
        <f>IFERROR(IF(tblPiNAnalysis[[#This Row],[Mine Action]]="", "", MROUND(tblPiNAnalysis[[#This Row],[Mine Action]]/tblPiNAnalysis[[#This Row],[Total Population]], 0.05)), "")</f>
        <v/>
      </c>
      <c r="AE560" s="314" t="str">
        <f>IFERROR(IF(tblPiNAnalysis[[#This Row],[General Protection]]="", "", MROUND(tblPiNAnalysis[[#This Row],[General Protection]]/tblPiNAnalysis[[#This Row],[Total Population]], 0.05)), "")</f>
        <v/>
      </c>
      <c r="AF560" s="319">
        <f>IFERROR(LARGE(tblPiNAnalysis[[#This Row],[Site Management ]:[General Protection]], 1), "")</f>
        <v>39683</v>
      </c>
      <c r="AG560" s="320">
        <f>IF(tblPiNAnalysis[[#This Row],[Highest PiN]]="", "",tblPiNAnalysis[[#This Row],[Highest PiN]]/ tblPiNAnalysis[[#This Row],[Total Population]])</f>
        <v>0.41035106768005791</v>
      </c>
      <c r="AH560" s="320" t="str">
        <f>IFERROR(IF(tblPiNAnalysis[[#This Row],[Highest PiN]]="", "", IF(tblPiNAnalysis[[#This Row],[Highest sector(s'') PiN %]]&gt;=flag_pin_perc, "Flagged", "")), "")</f>
        <v/>
      </c>
      <c r="AI560" s="321"/>
      <c r="AJ560" s="322"/>
      <c r="AK560" s="323">
        <f>COUNTIFS(tblPiNAnalysis[[#This Row],[Highest PiN greater than 90% of total affected population]:[Manual Flag]],"Flagged")</f>
        <v>0</v>
      </c>
      <c r="AL560" s="324" t="str">
        <f>IF(tblPiNAnalysis[[#This Row],['# Flags]]&gt;0, "Flagged", "")</f>
        <v/>
      </c>
    </row>
    <row r="561" spans="1:38" ht="23.1" customHeight="1" x14ac:dyDescent="0.2">
      <c r="A561" s="309" t="str">
        <f>_xlfn.CONCAT(IF(tblPiNAnalysis[[#This Row],[Population Group]]="", "",tblPiNAnalysis[[#This Row],[Population Group]] ), _xlfn.IFS(tblPiNAnalysis[[#This Row],[Admin 2 P-Code]]&lt;&gt;"", tblPiNAnalysis[[#This Row],[Admin 2 P-Code]], tblPiNAnalysis[[#This Row],[Admin 1 P-Code]]&lt;&gt;"", tblPiNAnalysis[[#This Row],[Admin 1 P-Code]]))</f>
        <v>Non-hosting PopulationSD18104</v>
      </c>
      <c r="B561" s="245" t="s">
        <v>194</v>
      </c>
      <c r="C561" s="246" t="s">
        <v>135</v>
      </c>
      <c r="D561" s="247" t="s">
        <v>562</v>
      </c>
      <c r="E561" s="246" t="s">
        <v>563</v>
      </c>
      <c r="F561" s="248">
        <v>225816</v>
      </c>
      <c r="G561" s="248" t="s">
        <v>568</v>
      </c>
      <c r="H561" s="310"/>
      <c r="I561" s="311"/>
      <c r="J561" s="312"/>
      <c r="K561" s="311"/>
      <c r="L561" s="311"/>
      <c r="M561" s="312"/>
      <c r="N561" s="312">
        <f>_xlfn.XLOOKUP(CONCATENATE(tblPiNAnalysis[[#This Row],[Admin 2 P-Code]],tblPiNAnalysis[[#This Row],[Population Group]]),'Overall severity &amp; PIN Analysis'!A:A,'Overall severity &amp; PIN Analysis'!P:P,0,0)</f>
        <v>8885</v>
      </c>
      <c r="O561" s="311"/>
      <c r="P561" s="312"/>
      <c r="Q561" s="312"/>
      <c r="R561" s="312"/>
      <c r="S561" s="312"/>
      <c r="T561" s="313" t="str">
        <f>IF(tblPiNAnalysis[[#This Row],[Site Management ]]="", "", tblPiNAnalysis[[#This Row],[Site Management ]]/tblPiNAnalysis[[#This Row],[Total Population]])</f>
        <v/>
      </c>
      <c r="U561" s="314" t="str">
        <f>IF(tblPiNAnalysis[[#This Row],[Education]]="", "", tblPiNAnalysis[[#This Row],[Education]]/tblPiNAnalysis[[#This Row],[Total Population]])</f>
        <v/>
      </c>
      <c r="V561" s="314" t="str">
        <f>IF(tblPiNAnalysis[[#This Row],[Food Security and Livlihoods]]="", "", tblPiNAnalysis[[#This Row],[Food Security and Livlihoods]]/tblPiNAnalysis[[#This Row],[Total Population]])</f>
        <v/>
      </c>
      <c r="W561" s="315" t="str">
        <f>IF(tblPiNAnalysis[[#This Row],[Health ]]="", "", tblPiNAnalysis[[#This Row],[Health ]]/tblPiNAnalysis[[#This Row],[Total Population]])</f>
        <v/>
      </c>
      <c r="X561" s="314" t="str">
        <f>IF(tblPiNAnalysis[[#This Row],[Nutrition]]="", "", tblPiNAnalysis[[#This Row],[Nutrition]]/tblPiNAnalysis[[#This Row],[Total Population]])</f>
        <v/>
      </c>
      <c r="Y561" s="314" t="str">
        <f>IF(tblPiNAnalysis[[#This Row],[Protection]]="", "", tblPiNAnalysis[[#This Row],[Protection]]/tblPiNAnalysis[[#This Row],[Total Population]])</f>
        <v/>
      </c>
      <c r="Z561" s="316">
        <f>IF(tblPiNAnalysis[[#This Row],[Shelter NFI ]]="", "", tblPiNAnalysis[[#This Row],[Shelter NFI ]]/tblPiNAnalysis[[#This Row],[Total Population]])</f>
        <v>3.9346193360966453E-2</v>
      </c>
      <c r="AA561" s="317" t="str">
        <f>IF(tblPiNAnalysis[[#This Row],[WASH]]="", "", tblPiNAnalysis[[#This Row],[WASH]]/tblPiNAnalysis[[#This Row],[Total Population]])</f>
        <v/>
      </c>
      <c r="AB561" s="318" t="str">
        <f>IFERROR(IF(tblPiNAnalysis[[#This Row],[CP]]="", "", MROUND(tblPiNAnalysis[[#This Row],[CP]]/tblPiNAnalysis[[#This Row],[Total Population]], 0.05)), "")</f>
        <v/>
      </c>
      <c r="AC561" s="314" t="str">
        <f>IFERROR(IF(tblPiNAnalysis[[#This Row],[GBV]]="", "", MROUND(tblPiNAnalysis[[#This Row],[GBV]]/tblPiNAnalysis[[#This Row],[Total Population]], 0.05)), "")</f>
        <v/>
      </c>
      <c r="AD561" s="314" t="str">
        <f>IFERROR(IF(tblPiNAnalysis[[#This Row],[Mine Action]]="", "", MROUND(tblPiNAnalysis[[#This Row],[Mine Action]]/tblPiNAnalysis[[#This Row],[Total Population]], 0.05)), "")</f>
        <v/>
      </c>
      <c r="AE561" s="314" t="str">
        <f>IFERROR(IF(tblPiNAnalysis[[#This Row],[General Protection]]="", "", MROUND(tblPiNAnalysis[[#This Row],[General Protection]]/tblPiNAnalysis[[#This Row],[Total Population]], 0.05)), "")</f>
        <v/>
      </c>
      <c r="AF561" s="319">
        <f>IFERROR(LARGE(tblPiNAnalysis[[#This Row],[Site Management ]:[General Protection]], 1), "")</f>
        <v>8885</v>
      </c>
      <c r="AG561" s="320">
        <f>IF(tblPiNAnalysis[[#This Row],[Highest PiN]]="", "",tblPiNAnalysis[[#This Row],[Highest PiN]]/ tblPiNAnalysis[[#This Row],[Total Population]])</f>
        <v>3.9346193360966453E-2</v>
      </c>
      <c r="AH561" s="320" t="str">
        <f>IFERROR(IF(tblPiNAnalysis[[#This Row],[Highest PiN]]="", "", IF(tblPiNAnalysis[[#This Row],[Highest sector(s'') PiN %]]&gt;=flag_pin_perc, "Flagged", "")), "")</f>
        <v/>
      </c>
      <c r="AI561" s="321"/>
      <c r="AJ561" s="322"/>
      <c r="AK561" s="323">
        <f>COUNTIFS(tblPiNAnalysis[[#This Row],[Highest PiN greater than 90% of total affected population]:[Manual Flag]],"Flagged")</f>
        <v>0</v>
      </c>
      <c r="AL561" s="324" t="str">
        <f>IF(tblPiNAnalysis[[#This Row],['# Flags]]&gt;0, "Flagged", "")</f>
        <v/>
      </c>
    </row>
    <row r="562" spans="1:38" ht="23.1" hidden="1" customHeight="1" x14ac:dyDescent="0.2">
      <c r="A562" s="309" t="str">
        <f>_xlfn.CONCAT(IF(tblPiNAnalysis[[#This Row],[Population Group]]="", "",tblPiNAnalysis[[#This Row],[Population Group]] ), _xlfn.IFS(tblPiNAnalysis[[#This Row],[Admin 2 P-Code]]&lt;&gt;"", tblPiNAnalysis[[#This Row],[Admin 2 P-Code]], tblPiNAnalysis[[#This Row],[Admin 1 P-Code]]&lt;&gt;"", tblPiNAnalysis[[#This Row],[Admin 1 P-Code]]))</f>
        <v>Host CommunitySD18105</v>
      </c>
      <c r="B562" s="245" t="s">
        <v>194</v>
      </c>
      <c r="C562" s="246" t="s">
        <v>135</v>
      </c>
      <c r="D562" s="247" t="s">
        <v>564</v>
      </c>
      <c r="E562" s="246" t="s">
        <v>565</v>
      </c>
      <c r="F562" s="248">
        <v>9038</v>
      </c>
      <c r="G562" s="248" t="s">
        <v>87</v>
      </c>
      <c r="H562" s="310"/>
      <c r="I562" s="311"/>
      <c r="J562" s="312"/>
      <c r="K562" s="311"/>
      <c r="L562" s="311"/>
      <c r="M562" s="312"/>
      <c r="N562" s="312">
        <f>_xlfn.XLOOKUP(CONCATENATE(tblPiNAnalysis[[#This Row],[Admin 2 P-Code]],tblPiNAnalysis[[#This Row],[Population Group]]),'Overall severity &amp; PIN Analysis'!A:A,'Overall severity &amp; PIN Analysis'!P:P,0,0)</f>
        <v>1754</v>
      </c>
      <c r="O562" s="311"/>
      <c r="P562" s="312"/>
      <c r="Q562" s="312"/>
      <c r="R562" s="312"/>
      <c r="S562" s="312"/>
      <c r="T562" s="313" t="str">
        <f>IF(tblPiNAnalysis[[#This Row],[Site Management ]]="", "", tblPiNAnalysis[[#This Row],[Site Management ]]/tblPiNAnalysis[[#This Row],[Total Population]])</f>
        <v/>
      </c>
      <c r="U562" s="314" t="str">
        <f>IF(tblPiNAnalysis[[#This Row],[Education]]="", "", tblPiNAnalysis[[#This Row],[Education]]/tblPiNAnalysis[[#This Row],[Total Population]])</f>
        <v/>
      </c>
      <c r="V562" s="314" t="str">
        <f>IF(tblPiNAnalysis[[#This Row],[Food Security and Livlihoods]]="", "", tblPiNAnalysis[[#This Row],[Food Security and Livlihoods]]/tblPiNAnalysis[[#This Row],[Total Population]])</f>
        <v/>
      </c>
      <c r="W562" s="315" t="str">
        <f>IF(tblPiNAnalysis[[#This Row],[Health ]]="", "", tblPiNAnalysis[[#This Row],[Health ]]/tblPiNAnalysis[[#This Row],[Total Population]])</f>
        <v/>
      </c>
      <c r="X562" s="314" t="str">
        <f>IF(tblPiNAnalysis[[#This Row],[Nutrition]]="", "", tblPiNAnalysis[[#This Row],[Nutrition]]/tblPiNAnalysis[[#This Row],[Total Population]])</f>
        <v/>
      </c>
      <c r="Y562" s="314" t="str">
        <f>IF(tblPiNAnalysis[[#This Row],[Protection]]="", "", tblPiNAnalysis[[#This Row],[Protection]]/tblPiNAnalysis[[#This Row],[Total Population]])</f>
        <v/>
      </c>
      <c r="Z562" s="316">
        <f>IF(tblPiNAnalysis[[#This Row],[Shelter NFI ]]="", "", tblPiNAnalysis[[#This Row],[Shelter NFI ]]/tblPiNAnalysis[[#This Row],[Total Population]])</f>
        <v>0.19406948439920335</v>
      </c>
      <c r="AA562" s="317" t="str">
        <f>IF(tblPiNAnalysis[[#This Row],[WASH]]="", "", tblPiNAnalysis[[#This Row],[WASH]]/tblPiNAnalysis[[#This Row],[Total Population]])</f>
        <v/>
      </c>
      <c r="AB562" s="318" t="str">
        <f>IFERROR(IF(tblPiNAnalysis[[#This Row],[CP]]="", "", MROUND(tblPiNAnalysis[[#This Row],[CP]]/tblPiNAnalysis[[#This Row],[Total Population]], 0.05)), "")</f>
        <v/>
      </c>
      <c r="AC562" s="314" t="str">
        <f>IFERROR(IF(tblPiNAnalysis[[#This Row],[GBV]]="", "", MROUND(tblPiNAnalysis[[#This Row],[GBV]]/tblPiNAnalysis[[#This Row],[Total Population]], 0.05)), "")</f>
        <v/>
      </c>
      <c r="AD562" s="314" t="str">
        <f>IFERROR(IF(tblPiNAnalysis[[#This Row],[Mine Action]]="", "", MROUND(tblPiNAnalysis[[#This Row],[Mine Action]]/tblPiNAnalysis[[#This Row],[Total Population]], 0.05)), "")</f>
        <v/>
      </c>
      <c r="AE562" s="314" t="str">
        <f>IFERROR(IF(tblPiNAnalysis[[#This Row],[General Protection]]="", "", MROUND(tblPiNAnalysis[[#This Row],[General Protection]]/tblPiNAnalysis[[#This Row],[Total Population]], 0.05)), "")</f>
        <v/>
      </c>
      <c r="AF562" s="319">
        <f>IFERROR(LARGE(tblPiNAnalysis[[#This Row],[Site Management ]:[General Protection]], 1), "")</f>
        <v>1754</v>
      </c>
      <c r="AG562" s="320">
        <f>IF(tblPiNAnalysis[[#This Row],[Highest PiN]]="", "",tblPiNAnalysis[[#This Row],[Highest PiN]]/ tblPiNAnalysis[[#This Row],[Total Population]])</f>
        <v>0.19406948439920335</v>
      </c>
      <c r="AH562" s="320" t="str">
        <f>IFERROR(IF(tblPiNAnalysis[[#This Row],[Highest PiN]]="", "", IF(tblPiNAnalysis[[#This Row],[Highest sector(s'') PiN %]]&gt;=flag_pin_perc, "Flagged", "")), "")</f>
        <v/>
      </c>
      <c r="AI562" s="321"/>
      <c r="AJ562" s="322"/>
      <c r="AK562" s="323">
        <f>COUNTIFS(tblPiNAnalysis[[#This Row],[Highest PiN greater than 90% of total affected population]:[Manual Flag]],"Flagged")</f>
        <v>0</v>
      </c>
      <c r="AL562" s="324" t="str">
        <f>IF(tblPiNAnalysis[[#This Row],['# Flags]]&gt;0, "Flagged", "")</f>
        <v/>
      </c>
    </row>
    <row r="563" spans="1:38" ht="23.1" hidden="1" customHeight="1" x14ac:dyDescent="0.2">
      <c r="A563" s="309" t="str">
        <f>_xlfn.CONCAT(IF(tblPiNAnalysis[[#This Row],[Population Group]]="", "",tblPiNAnalysis[[#This Row],[Population Group]] ), _xlfn.IFS(tblPiNAnalysis[[#This Row],[Admin 2 P-Code]]&lt;&gt;"", tblPiNAnalysis[[#This Row],[Admin 2 P-Code]], tblPiNAnalysis[[#This Row],[Admin 1 P-Code]]&lt;&gt;"", tblPiNAnalysis[[#This Row],[Admin 1 P-Code]]))</f>
        <v>IDPsSD18105</v>
      </c>
      <c r="B563" s="245" t="s">
        <v>194</v>
      </c>
      <c r="C563" s="246" t="s">
        <v>135</v>
      </c>
      <c r="D563" s="247" t="s">
        <v>564</v>
      </c>
      <c r="E563" s="246" t="s">
        <v>565</v>
      </c>
      <c r="F563" s="248">
        <v>9038</v>
      </c>
      <c r="G563" s="248" t="s">
        <v>88</v>
      </c>
      <c r="H563" s="310"/>
      <c r="I563" s="311"/>
      <c r="J563" s="312"/>
      <c r="K563" s="311"/>
      <c r="L563" s="311"/>
      <c r="M563" s="312"/>
      <c r="N563" s="312">
        <f>_xlfn.XLOOKUP(CONCATENATE(tblPiNAnalysis[[#This Row],[Admin 2 P-Code]],tblPiNAnalysis[[#This Row],[Population Group]]),'Overall severity &amp; PIN Analysis'!A:A,'Overall severity &amp; PIN Analysis'!P:P,0,0)</f>
        <v>1754</v>
      </c>
      <c r="O563" s="311"/>
      <c r="P563" s="312"/>
      <c r="Q563" s="312"/>
      <c r="R563" s="312"/>
      <c r="S563" s="312"/>
      <c r="T563" s="313" t="str">
        <f>IF(tblPiNAnalysis[[#This Row],[Site Management ]]="", "", tblPiNAnalysis[[#This Row],[Site Management ]]/tblPiNAnalysis[[#This Row],[Total Population]])</f>
        <v/>
      </c>
      <c r="U563" s="314" t="str">
        <f>IF(tblPiNAnalysis[[#This Row],[Education]]="", "", tblPiNAnalysis[[#This Row],[Education]]/tblPiNAnalysis[[#This Row],[Total Population]])</f>
        <v/>
      </c>
      <c r="V563" s="314" t="str">
        <f>IF(tblPiNAnalysis[[#This Row],[Food Security and Livlihoods]]="", "", tblPiNAnalysis[[#This Row],[Food Security and Livlihoods]]/tblPiNAnalysis[[#This Row],[Total Population]])</f>
        <v/>
      </c>
      <c r="W563" s="315" t="str">
        <f>IF(tblPiNAnalysis[[#This Row],[Health ]]="", "", tblPiNAnalysis[[#This Row],[Health ]]/tblPiNAnalysis[[#This Row],[Total Population]])</f>
        <v/>
      </c>
      <c r="X563" s="314" t="str">
        <f>IF(tblPiNAnalysis[[#This Row],[Nutrition]]="", "", tblPiNAnalysis[[#This Row],[Nutrition]]/tblPiNAnalysis[[#This Row],[Total Population]])</f>
        <v/>
      </c>
      <c r="Y563" s="314" t="str">
        <f>IF(tblPiNAnalysis[[#This Row],[Protection]]="", "", tblPiNAnalysis[[#This Row],[Protection]]/tblPiNAnalysis[[#This Row],[Total Population]])</f>
        <v/>
      </c>
      <c r="Z563" s="316">
        <f>IF(tblPiNAnalysis[[#This Row],[Shelter NFI ]]="", "", tblPiNAnalysis[[#This Row],[Shelter NFI ]]/tblPiNAnalysis[[#This Row],[Total Population]])</f>
        <v>0.19406948439920335</v>
      </c>
      <c r="AA563" s="317" t="str">
        <f>IF(tblPiNAnalysis[[#This Row],[WASH]]="", "", tblPiNAnalysis[[#This Row],[WASH]]/tblPiNAnalysis[[#This Row],[Total Population]])</f>
        <v/>
      </c>
      <c r="AB563" s="318" t="str">
        <f>IFERROR(IF(tblPiNAnalysis[[#This Row],[CP]]="", "", MROUND(tblPiNAnalysis[[#This Row],[CP]]/tblPiNAnalysis[[#This Row],[Total Population]], 0.05)), "")</f>
        <v/>
      </c>
      <c r="AC563" s="314" t="str">
        <f>IFERROR(IF(tblPiNAnalysis[[#This Row],[GBV]]="", "", MROUND(tblPiNAnalysis[[#This Row],[GBV]]/tblPiNAnalysis[[#This Row],[Total Population]], 0.05)), "")</f>
        <v/>
      </c>
      <c r="AD563" s="314" t="str">
        <f>IFERROR(IF(tblPiNAnalysis[[#This Row],[Mine Action]]="", "", MROUND(tblPiNAnalysis[[#This Row],[Mine Action]]/tblPiNAnalysis[[#This Row],[Total Population]], 0.05)), "")</f>
        <v/>
      </c>
      <c r="AE563" s="314" t="str">
        <f>IFERROR(IF(tblPiNAnalysis[[#This Row],[General Protection]]="", "", MROUND(tblPiNAnalysis[[#This Row],[General Protection]]/tblPiNAnalysis[[#This Row],[Total Population]], 0.05)), "")</f>
        <v/>
      </c>
      <c r="AF563" s="319">
        <f>IFERROR(LARGE(tblPiNAnalysis[[#This Row],[Site Management ]:[General Protection]], 1), "")</f>
        <v>1754</v>
      </c>
      <c r="AG563" s="320">
        <f>IF(tblPiNAnalysis[[#This Row],[Highest PiN]]="", "",tblPiNAnalysis[[#This Row],[Highest PiN]]/ tblPiNAnalysis[[#This Row],[Total Population]])</f>
        <v>0.19406948439920335</v>
      </c>
      <c r="AH563" s="320" t="str">
        <f>IFERROR(IF(tblPiNAnalysis[[#This Row],[Highest PiN]]="", "", IF(tblPiNAnalysis[[#This Row],[Highest sector(s'') PiN %]]&gt;=flag_pin_perc, "Flagged", "")), "")</f>
        <v/>
      </c>
      <c r="AI563" s="321"/>
      <c r="AJ563" s="322"/>
      <c r="AK563" s="323">
        <f>COUNTIFS(tblPiNAnalysis[[#This Row],[Highest PiN greater than 90% of total affected population]:[Manual Flag]],"Flagged")</f>
        <v>0</v>
      </c>
      <c r="AL563" s="324" t="str">
        <f>IF(tblPiNAnalysis[[#This Row],['# Flags]]&gt;0, "Flagged", "")</f>
        <v/>
      </c>
    </row>
    <row r="564" spans="1:38" ht="23.1" customHeight="1" x14ac:dyDescent="0.2">
      <c r="A564" s="309" t="str">
        <f>_xlfn.CONCAT(IF(tblPiNAnalysis[[#This Row],[Population Group]]="", "",tblPiNAnalysis[[#This Row],[Population Group]] ), _xlfn.IFS(tblPiNAnalysis[[#This Row],[Admin 2 P-Code]]&lt;&gt;"", tblPiNAnalysis[[#This Row],[Admin 2 P-Code]], tblPiNAnalysis[[#This Row],[Admin 1 P-Code]]&lt;&gt;"", tblPiNAnalysis[[#This Row],[Admin 1 P-Code]]))</f>
        <v>Non-hosting PopulationSD18105</v>
      </c>
      <c r="B564" s="245" t="s">
        <v>194</v>
      </c>
      <c r="C564" s="246" t="s">
        <v>135</v>
      </c>
      <c r="D564" s="247" t="s">
        <v>564</v>
      </c>
      <c r="E564" s="246" t="s">
        <v>565</v>
      </c>
      <c r="F564" s="248">
        <v>142685</v>
      </c>
      <c r="G564" s="248" t="s">
        <v>568</v>
      </c>
      <c r="H564" s="310"/>
      <c r="I564" s="311"/>
      <c r="J564" s="312"/>
      <c r="K564" s="311"/>
      <c r="L564" s="311"/>
      <c r="M564" s="312"/>
      <c r="N564" s="312">
        <f>_xlfn.XLOOKUP(CONCATENATE(tblPiNAnalysis[[#This Row],[Admin 2 P-Code]],tblPiNAnalysis[[#This Row],[Population Group]]),'Overall severity &amp; PIN Analysis'!A:A,'Overall severity &amp; PIN Analysis'!P:P,0,0)</f>
        <v>0</v>
      </c>
      <c r="O564" s="311"/>
      <c r="P564" s="312"/>
      <c r="Q564" s="312"/>
      <c r="R564" s="312"/>
      <c r="S564" s="312"/>
      <c r="T564" s="313" t="str">
        <f>IF(tblPiNAnalysis[[#This Row],[Site Management ]]="", "", tblPiNAnalysis[[#This Row],[Site Management ]]/tblPiNAnalysis[[#This Row],[Total Population]])</f>
        <v/>
      </c>
      <c r="U564" s="314" t="str">
        <f>IF(tblPiNAnalysis[[#This Row],[Education]]="", "", tblPiNAnalysis[[#This Row],[Education]]/tblPiNAnalysis[[#This Row],[Total Population]])</f>
        <v/>
      </c>
      <c r="V564" s="314" t="str">
        <f>IF(tblPiNAnalysis[[#This Row],[Food Security and Livlihoods]]="", "", tblPiNAnalysis[[#This Row],[Food Security and Livlihoods]]/tblPiNAnalysis[[#This Row],[Total Population]])</f>
        <v/>
      </c>
      <c r="W564" s="315" t="str">
        <f>IF(tblPiNAnalysis[[#This Row],[Health ]]="", "", tblPiNAnalysis[[#This Row],[Health ]]/tblPiNAnalysis[[#This Row],[Total Population]])</f>
        <v/>
      </c>
      <c r="X564" s="314" t="str">
        <f>IF(tblPiNAnalysis[[#This Row],[Nutrition]]="", "", tblPiNAnalysis[[#This Row],[Nutrition]]/tblPiNAnalysis[[#This Row],[Total Population]])</f>
        <v/>
      </c>
      <c r="Y564" s="314" t="str">
        <f>IF(tblPiNAnalysis[[#This Row],[Protection]]="", "", tblPiNAnalysis[[#This Row],[Protection]]/tblPiNAnalysis[[#This Row],[Total Population]])</f>
        <v/>
      </c>
      <c r="Z564" s="316">
        <f>IF(tblPiNAnalysis[[#This Row],[Shelter NFI ]]="", "", tblPiNAnalysis[[#This Row],[Shelter NFI ]]/tblPiNAnalysis[[#This Row],[Total Population]])</f>
        <v>0</v>
      </c>
      <c r="AA564" s="317" t="str">
        <f>IF(tblPiNAnalysis[[#This Row],[WASH]]="", "", tblPiNAnalysis[[#This Row],[WASH]]/tblPiNAnalysis[[#This Row],[Total Population]])</f>
        <v/>
      </c>
      <c r="AB564" s="318" t="str">
        <f>IFERROR(IF(tblPiNAnalysis[[#This Row],[CP]]="", "", MROUND(tblPiNAnalysis[[#This Row],[CP]]/tblPiNAnalysis[[#This Row],[Total Population]], 0.05)), "")</f>
        <v/>
      </c>
      <c r="AC564" s="314" t="str">
        <f>IFERROR(IF(tblPiNAnalysis[[#This Row],[GBV]]="", "", MROUND(tblPiNAnalysis[[#This Row],[GBV]]/tblPiNAnalysis[[#This Row],[Total Population]], 0.05)), "")</f>
        <v/>
      </c>
      <c r="AD564" s="314" t="str">
        <f>IFERROR(IF(tblPiNAnalysis[[#This Row],[Mine Action]]="", "", MROUND(tblPiNAnalysis[[#This Row],[Mine Action]]/tblPiNAnalysis[[#This Row],[Total Population]], 0.05)), "")</f>
        <v/>
      </c>
      <c r="AE564" s="314" t="str">
        <f>IFERROR(IF(tblPiNAnalysis[[#This Row],[General Protection]]="", "", MROUND(tblPiNAnalysis[[#This Row],[General Protection]]/tblPiNAnalysis[[#This Row],[Total Population]], 0.05)), "")</f>
        <v/>
      </c>
      <c r="AF564" s="319">
        <f>IFERROR(LARGE(tblPiNAnalysis[[#This Row],[Site Management ]:[General Protection]], 1), "")</f>
        <v>0</v>
      </c>
      <c r="AG564" s="320">
        <f>IF(tblPiNAnalysis[[#This Row],[Highest PiN]]="", "",tblPiNAnalysis[[#This Row],[Highest PiN]]/ tblPiNAnalysis[[#This Row],[Total Population]])</f>
        <v>0</v>
      </c>
      <c r="AH564" s="320" t="str">
        <f>IFERROR(IF(tblPiNAnalysis[[#This Row],[Highest PiN]]="", "", IF(tblPiNAnalysis[[#This Row],[Highest sector(s'') PiN %]]&gt;=flag_pin_perc, "Flagged", "")), "")</f>
        <v/>
      </c>
      <c r="AI564" s="321"/>
      <c r="AJ564" s="322"/>
      <c r="AK564" s="323">
        <f>COUNTIFS(tblPiNAnalysis[[#This Row],[Highest PiN greater than 90% of total affected population]:[Manual Flag]],"Flagged")</f>
        <v>0</v>
      </c>
      <c r="AL564" s="324" t="str">
        <f>IF(tblPiNAnalysis[[#This Row],['# Flags]]&gt;0, "Flagged", "")</f>
        <v/>
      </c>
    </row>
    <row r="565" spans="1:38" ht="23.1" hidden="1" customHeight="1" x14ac:dyDescent="0.2">
      <c r="A565" s="309" t="str">
        <f>_xlfn.CONCAT(IF(tblPiNAnalysis[[#This Row],[Population Group]]="", "",tblPiNAnalysis[[#This Row],[Population Group]] ), _xlfn.IFS(tblPiNAnalysis[[#This Row],[Admin 2 P-Code]]&lt;&gt;"", tblPiNAnalysis[[#This Row],[Admin 2 P-Code]], tblPiNAnalysis[[#This Row],[Admin 1 P-Code]]&lt;&gt;"", tblPiNAnalysis[[#This Row],[Admin 1 P-Code]]))</f>
        <v>Host CommunitySD18106</v>
      </c>
      <c r="B565" s="245" t="s">
        <v>194</v>
      </c>
      <c r="C565" s="246" t="s">
        <v>135</v>
      </c>
      <c r="D565" s="247" t="s">
        <v>566</v>
      </c>
      <c r="E565" s="246" t="s">
        <v>567</v>
      </c>
      <c r="F565" s="248">
        <v>16580</v>
      </c>
      <c r="G565" s="248" t="s">
        <v>87</v>
      </c>
      <c r="H565" s="310"/>
      <c r="I565" s="311"/>
      <c r="J565" s="312"/>
      <c r="K565" s="311"/>
      <c r="L565" s="311"/>
      <c r="M565" s="312"/>
      <c r="N565" s="312">
        <f>_xlfn.XLOOKUP(CONCATENATE(tblPiNAnalysis[[#This Row],[Admin 2 P-Code]],tblPiNAnalysis[[#This Row],[Population Group]]),'Overall severity &amp; PIN Analysis'!A:A,'Overall severity &amp; PIN Analysis'!P:P,0,0)</f>
        <v>12228</v>
      </c>
      <c r="O565" s="311"/>
      <c r="P565" s="312"/>
      <c r="Q565" s="312"/>
      <c r="R565" s="312"/>
      <c r="S565" s="312"/>
      <c r="T565" s="313" t="str">
        <f>IF(tblPiNAnalysis[[#This Row],[Site Management ]]="", "", tblPiNAnalysis[[#This Row],[Site Management ]]/tblPiNAnalysis[[#This Row],[Total Population]])</f>
        <v/>
      </c>
      <c r="U565" s="314" t="str">
        <f>IF(tblPiNAnalysis[[#This Row],[Education]]="", "", tblPiNAnalysis[[#This Row],[Education]]/tblPiNAnalysis[[#This Row],[Total Population]])</f>
        <v/>
      </c>
      <c r="V565" s="314" t="str">
        <f>IF(tblPiNAnalysis[[#This Row],[Food Security and Livlihoods]]="", "", tblPiNAnalysis[[#This Row],[Food Security and Livlihoods]]/tblPiNAnalysis[[#This Row],[Total Population]])</f>
        <v/>
      </c>
      <c r="W565" s="315" t="str">
        <f>IF(tblPiNAnalysis[[#This Row],[Health ]]="", "", tblPiNAnalysis[[#This Row],[Health ]]/tblPiNAnalysis[[#This Row],[Total Population]])</f>
        <v/>
      </c>
      <c r="X565" s="314" t="str">
        <f>IF(tblPiNAnalysis[[#This Row],[Nutrition]]="", "", tblPiNAnalysis[[#This Row],[Nutrition]]/tblPiNAnalysis[[#This Row],[Total Population]])</f>
        <v/>
      </c>
      <c r="Y565" s="314" t="str">
        <f>IF(tblPiNAnalysis[[#This Row],[Protection]]="", "", tblPiNAnalysis[[#This Row],[Protection]]/tblPiNAnalysis[[#This Row],[Total Population]])</f>
        <v/>
      </c>
      <c r="Z565" s="316">
        <f>IF(tblPiNAnalysis[[#This Row],[Shelter NFI ]]="", "", tblPiNAnalysis[[#This Row],[Shelter NFI ]]/tblPiNAnalysis[[#This Row],[Total Population]])</f>
        <v>0.73751507840772013</v>
      </c>
      <c r="AA565" s="317" t="str">
        <f>IF(tblPiNAnalysis[[#This Row],[WASH]]="", "", tblPiNAnalysis[[#This Row],[WASH]]/tblPiNAnalysis[[#This Row],[Total Population]])</f>
        <v/>
      </c>
      <c r="AB565" s="318" t="str">
        <f>IFERROR(IF(tblPiNAnalysis[[#This Row],[CP]]="", "", MROUND(tblPiNAnalysis[[#This Row],[CP]]/tblPiNAnalysis[[#This Row],[Total Population]], 0.05)), "")</f>
        <v/>
      </c>
      <c r="AC565" s="314" t="str">
        <f>IFERROR(IF(tblPiNAnalysis[[#This Row],[GBV]]="", "", MROUND(tblPiNAnalysis[[#This Row],[GBV]]/tblPiNAnalysis[[#This Row],[Total Population]], 0.05)), "")</f>
        <v/>
      </c>
      <c r="AD565" s="314" t="str">
        <f>IFERROR(IF(tblPiNAnalysis[[#This Row],[Mine Action]]="", "", MROUND(tblPiNAnalysis[[#This Row],[Mine Action]]/tblPiNAnalysis[[#This Row],[Total Population]], 0.05)), "")</f>
        <v/>
      </c>
      <c r="AE565" s="314" t="str">
        <f>IFERROR(IF(tblPiNAnalysis[[#This Row],[General Protection]]="", "", MROUND(tblPiNAnalysis[[#This Row],[General Protection]]/tblPiNAnalysis[[#This Row],[Total Population]], 0.05)), "")</f>
        <v/>
      </c>
      <c r="AF565" s="319">
        <f>IFERROR(LARGE(tblPiNAnalysis[[#This Row],[Site Management ]:[General Protection]], 1), "")</f>
        <v>12228</v>
      </c>
      <c r="AG565" s="320">
        <f>IF(tblPiNAnalysis[[#This Row],[Highest PiN]]="", "",tblPiNAnalysis[[#This Row],[Highest PiN]]/ tblPiNAnalysis[[#This Row],[Total Population]])</f>
        <v>0.73751507840772013</v>
      </c>
      <c r="AH565" s="320" t="str">
        <f>IFERROR(IF(tblPiNAnalysis[[#This Row],[Highest PiN]]="", "", IF(tblPiNAnalysis[[#This Row],[Highest sector(s'') PiN %]]&gt;=flag_pin_perc, "Flagged", "")), "")</f>
        <v/>
      </c>
      <c r="AI565" s="321"/>
      <c r="AJ565" s="322"/>
      <c r="AK565" s="323">
        <f>COUNTIFS(tblPiNAnalysis[[#This Row],[Highest PiN greater than 90% of total affected population]:[Manual Flag]],"Flagged")</f>
        <v>0</v>
      </c>
      <c r="AL565" s="324" t="str">
        <f>IF(tblPiNAnalysis[[#This Row],['# Flags]]&gt;0, "Flagged", "")</f>
        <v/>
      </c>
    </row>
    <row r="566" spans="1:38" ht="23.1" hidden="1" customHeight="1" x14ac:dyDescent="0.2">
      <c r="A566" s="309" t="str">
        <f>_xlfn.CONCAT(IF(tblPiNAnalysis[[#This Row],[Population Group]]="", "",tblPiNAnalysis[[#This Row],[Population Group]] ), _xlfn.IFS(tblPiNAnalysis[[#This Row],[Admin 2 P-Code]]&lt;&gt;"", tblPiNAnalysis[[#This Row],[Admin 2 P-Code]], tblPiNAnalysis[[#This Row],[Admin 1 P-Code]]&lt;&gt;"", tblPiNAnalysis[[#This Row],[Admin 1 P-Code]]))</f>
        <v>IDPsSD18106</v>
      </c>
      <c r="B566" s="245" t="s">
        <v>194</v>
      </c>
      <c r="C566" s="246" t="s">
        <v>135</v>
      </c>
      <c r="D566" s="247" t="s">
        <v>566</v>
      </c>
      <c r="E566" s="246" t="s">
        <v>567</v>
      </c>
      <c r="F566" s="248">
        <v>8023</v>
      </c>
      <c r="G566" s="248" t="s">
        <v>88</v>
      </c>
      <c r="H566" s="310"/>
      <c r="I566" s="311"/>
      <c r="J566" s="312"/>
      <c r="K566" s="311"/>
      <c r="L566" s="311"/>
      <c r="M566" s="312"/>
      <c r="N566" s="312">
        <f>_xlfn.XLOOKUP(CONCATENATE(tblPiNAnalysis[[#This Row],[Admin 2 P-Code]],tblPiNAnalysis[[#This Row],[Population Group]]),'Overall severity &amp; PIN Analysis'!A:A,'Overall severity &amp; PIN Analysis'!P:P,0,0)</f>
        <v>5917</v>
      </c>
      <c r="O566" s="311"/>
      <c r="P566" s="312"/>
      <c r="Q566" s="312"/>
      <c r="R566" s="312"/>
      <c r="S566" s="312"/>
      <c r="T566" s="313" t="str">
        <f>IF(tblPiNAnalysis[[#This Row],[Site Management ]]="", "", tblPiNAnalysis[[#This Row],[Site Management ]]/tblPiNAnalysis[[#This Row],[Total Population]])</f>
        <v/>
      </c>
      <c r="U566" s="314" t="str">
        <f>IF(tblPiNAnalysis[[#This Row],[Education]]="", "", tblPiNAnalysis[[#This Row],[Education]]/tblPiNAnalysis[[#This Row],[Total Population]])</f>
        <v/>
      </c>
      <c r="V566" s="314" t="str">
        <f>IF(tblPiNAnalysis[[#This Row],[Food Security and Livlihoods]]="", "", tblPiNAnalysis[[#This Row],[Food Security and Livlihoods]]/tblPiNAnalysis[[#This Row],[Total Population]])</f>
        <v/>
      </c>
      <c r="W566" s="315" t="str">
        <f>IF(tblPiNAnalysis[[#This Row],[Health ]]="", "", tblPiNAnalysis[[#This Row],[Health ]]/tblPiNAnalysis[[#This Row],[Total Population]])</f>
        <v/>
      </c>
      <c r="X566" s="314" t="str">
        <f>IF(tblPiNAnalysis[[#This Row],[Nutrition]]="", "", tblPiNAnalysis[[#This Row],[Nutrition]]/tblPiNAnalysis[[#This Row],[Total Population]])</f>
        <v/>
      </c>
      <c r="Y566" s="314" t="str">
        <f>IF(tblPiNAnalysis[[#This Row],[Protection]]="", "", tblPiNAnalysis[[#This Row],[Protection]]/tblPiNAnalysis[[#This Row],[Total Population]])</f>
        <v/>
      </c>
      <c r="Z566" s="316">
        <f>IF(tblPiNAnalysis[[#This Row],[Shelter NFI ]]="", "", tblPiNAnalysis[[#This Row],[Shelter NFI ]]/tblPiNAnalysis[[#This Row],[Total Population]])</f>
        <v>0.73750467406207154</v>
      </c>
      <c r="AA566" s="317" t="str">
        <f>IF(tblPiNAnalysis[[#This Row],[WASH]]="", "", tblPiNAnalysis[[#This Row],[WASH]]/tblPiNAnalysis[[#This Row],[Total Population]])</f>
        <v/>
      </c>
      <c r="AB566" s="318" t="str">
        <f>IFERROR(IF(tblPiNAnalysis[[#This Row],[CP]]="", "", MROUND(tblPiNAnalysis[[#This Row],[CP]]/tblPiNAnalysis[[#This Row],[Total Population]], 0.05)), "")</f>
        <v/>
      </c>
      <c r="AC566" s="314" t="str">
        <f>IFERROR(IF(tblPiNAnalysis[[#This Row],[GBV]]="", "", MROUND(tblPiNAnalysis[[#This Row],[GBV]]/tblPiNAnalysis[[#This Row],[Total Population]], 0.05)), "")</f>
        <v/>
      </c>
      <c r="AD566" s="314" t="str">
        <f>IFERROR(IF(tblPiNAnalysis[[#This Row],[Mine Action]]="", "", MROUND(tblPiNAnalysis[[#This Row],[Mine Action]]/tblPiNAnalysis[[#This Row],[Total Population]], 0.05)), "")</f>
        <v/>
      </c>
      <c r="AE566" s="314" t="str">
        <f>IFERROR(IF(tblPiNAnalysis[[#This Row],[General Protection]]="", "", MROUND(tblPiNAnalysis[[#This Row],[General Protection]]/tblPiNAnalysis[[#This Row],[Total Population]], 0.05)), "")</f>
        <v/>
      </c>
      <c r="AF566" s="319">
        <f>IFERROR(LARGE(tblPiNAnalysis[[#This Row],[Site Management ]:[General Protection]], 1), "")</f>
        <v>5917</v>
      </c>
      <c r="AG566" s="320">
        <f>IF(tblPiNAnalysis[[#This Row],[Highest PiN]]="", "",tblPiNAnalysis[[#This Row],[Highest PiN]]/ tblPiNAnalysis[[#This Row],[Total Population]])</f>
        <v>0.73750467406207154</v>
      </c>
      <c r="AH566" s="320" t="str">
        <f>IFERROR(IF(tblPiNAnalysis[[#This Row],[Highest PiN]]="", "", IF(tblPiNAnalysis[[#This Row],[Highest sector(s'') PiN %]]&gt;=flag_pin_perc, "Flagged", "")), "")</f>
        <v/>
      </c>
      <c r="AI566" s="321"/>
      <c r="AJ566" s="322"/>
      <c r="AK566" s="323">
        <f>COUNTIFS(tblPiNAnalysis[[#This Row],[Highest PiN greater than 90% of total affected population]:[Manual Flag]],"Flagged")</f>
        <v>0</v>
      </c>
      <c r="AL566" s="324" t="str">
        <f>IF(tblPiNAnalysis[[#This Row],['# Flags]]&gt;0, "Flagged", "")</f>
        <v/>
      </c>
    </row>
    <row r="567" spans="1:38" ht="23.1" customHeight="1" x14ac:dyDescent="0.2">
      <c r="A567" s="309" t="str">
        <f>_xlfn.CONCAT(IF(tblPiNAnalysis[[#This Row],[Population Group]]="", "",tblPiNAnalysis[[#This Row],[Population Group]] ), _xlfn.IFS(tblPiNAnalysis[[#This Row],[Admin 2 P-Code]]&lt;&gt;"", tblPiNAnalysis[[#This Row],[Admin 2 P-Code]], tblPiNAnalysis[[#This Row],[Admin 1 P-Code]]&lt;&gt;"", tblPiNAnalysis[[#This Row],[Admin 1 P-Code]]))</f>
        <v>Non-hosting PopulationSD18106</v>
      </c>
      <c r="B567" s="245" t="s">
        <v>194</v>
      </c>
      <c r="C567" s="246" t="s">
        <v>135</v>
      </c>
      <c r="D567" s="247" t="s">
        <v>566</v>
      </c>
      <c r="E567" s="246" t="s">
        <v>567</v>
      </c>
      <c r="F567" s="248">
        <v>46255</v>
      </c>
      <c r="G567" s="248" t="s">
        <v>568</v>
      </c>
      <c r="H567" s="310"/>
      <c r="I567" s="311"/>
      <c r="J567" s="312"/>
      <c r="K567" s="311"/>
      <c r="L567" s="311"/>
      <c r="M567" s="312"/>
      <c r="N567" s="312">
        <f>_xlfn.XLOOKUP(CONCATENATE(tblPiNAnalysis[[#This Row],[Admin 2 P-Code]],tblPiNAnalysis[[#This Row],[Population Group]]),'Overall severity &amp; PIN Analysis'!A:A,'Overall severity &amp; PIN Analysis'!P:P,0,0)</f>
        <v>3133</v>
      </c>
      <c r="O567" s="311"/>
      <c r="P567" s="312"/>
      <c r="Q567" s="312"/>
      <c r="R567" s="312"/>
      <c r="S567" s="312"/>
      <c r="T567" s="313" t="str">
        <f>IF(tblPiNAnalysis[[#This Row],[Site Management ]]="", "", tblPiNAnalysis[[#This Row],[Site Management ]]/tblPiNAnalysis[[#This Row],[Total Population]])</f>
        <v/>
      </c>
      <c r="U567" s="314" t="str">
        <f>IF(tblPiNAnalysis[[#This Row],[Education]]="", "", tblPiNAnalysis[[#This Row],[Education]]/tblPiNAnalysis[[#This Row],[Total Population]])</f>
        <v/>
      </c>
      <c r="V567" s="314" t="str">
        <f>IF(tblPiNAnalysis[[#This Row],[Food Security and Livlihoods]]="", "", tblPiNAnalysis[[#This Row],[Food Security and Livlihoods]]/tblPiNAnalysis[[#This Row],[Total Population]])</f>
        <v/>
      </c>
      <c r="W567" s="315" t="str">
        <f>IF(tblPiNAnalysis[[#This Row],[Health ]]="", "", tblPiNAnalysis[[#This Row],[Health ]]/tblPiNAnalysis[[#This Row],[Total Population]])</f>
        <v/>
      </c>
      <c r="X567" s="314" t="str">
        <f>IF(tblPiNAnalysis[[#This Row],[Nutrition]]="", "", tblPiNAnalysis[[#This Row],[Nutrition]]/tblPiNAnalysis[[#This Row],[Total Population]])</f>
        <v/>
      </c>
      <c r="Y567" s="314" t="str">
        <f>IF(tblPiNAnalysis[[#This Row],[Protection]]="", "", tblPiNAnalysis[[#This Row],[Protection]]/tblPiNAnalysis[[#This Row],[Total Population]])</f>
        <v/>
      </c>
      <c r="Z567" s="316">
        <f>IF(tblPiNAnalysis[[#This Row],[Shelter NFI ]]="", "", tblPiNAnalysis[[#This Row],[Shelter NFI ]]/tblPiNAnalysis[[#This Row],[Total Population]])</f>
        <v>6.7733218030483197E-2</v>
      </c>
      <c r="AA567" s="317" t="str">
        <f>IF(tblPiNAnalysis[[#This Row],[WASH]]="", "", tblPiNAnalysis[[#This Row],[WASH]]/tblPiNAnalysis[[#This Row],[Total Population]])</f>
        <v/>
      </c>
      <c r="AB567" s="318" t="str">
        <f>IFERROR(IF(tblPiNAnalysis[[#This Row],[CP]]="", "", MROUND(tblPiNAnalysis[[#This Row],[CP]]/tblPiNAnalysis[[#This Row],[Total Population]], 0.05)), "")</f>
        <v/>
      </c>
      <c r="AC567" s="314" t="str">
        <f>IFERROR(IF(tblPiNAnalysis[[#This Row],[GBV]]="", "", MROUND(tblPiNAnalysis[[#This Row],[GBV]]/tblPiNAnalysis[[#This Row],[Total Population]], 0.05)), "")</f>
        <v/>
      </c>
      <c r="AD567" s="314" t="str">
        <f>IFERROR(IF(tblPiNAnalysis[[#This Row],[Mine Action]]="", "", MROUND(tblPiNAnalysis[[#This Row],[Mine Action]]/tblPiNAnalysis[[#This Row],[Total Population]], 0.05)), "")</f>
        <v/>
      </c>
      <c r="AE567" s="314" t="str">
        <f>IFERROR(IF(tblPiNAnalysis[[#This Row],[General Protection]]="", "", MROUND(tblPiNAnalysis[[#This Row],[General Protection]]/tblPiNAnalysis[[#This Row],[Total Population]], 0.05)), "")</f>
        <v/>
      </c>
      <c r="AF567" s="319">
        <f>IFERROR(LARGE(tblPiNAnalysis[[#This Row],[Site Management ]:[General Protection]], 1), "")</f>
        <v>3133</v>
      </c>
      <c r="AG567" s="320">
        <f>IF(tblPiNAnalysis[[#This Row],[Highest PiN]]="", "",tblPiNAnalysis[[#This Row],[Highest PiN]]/ tblPiNAnalysis[[#This Row],[Total Population]])</f>
        <v>6.7733218030483197E-2</v>
      </c>
      <c r="AH567" s="320" t="str">
        <f>IFERROR(IF(tblPiNAnalysis[[#This Row],[Highest PiN]]="", "", IF(tblPiNAnalysis[[#This Row],[Highest sector(s'') PiN %]]&gt;=flag_pin_perc, "Flagged", "")), "")</f>
        <v/>
      </c>
      <c r="AI567" s="321"/>
      <c r="AJ567" s="322"/>
      <c r="AK567" s="323">
        <f>COUNTIFS(tblPiNAnalysis[[#This Row],[Highest PiN greater than 90% of total affected population]:[Manual Flag]],"Flagged")</f>
        <v>0</v>
      </c>
      <c r="AL567" s="324" t="str">
        <f>IF(tblPiNAnalysis[[#This Row],['# Flags]]&gt;0, "Flagged", "")</f>
        <v/>
      </c>
    </row>
  </sheetData>
  <mergeCells count="8">
    <mergeCell ref="AK1:AL1"/>
    <mergeCell ref="B2:E2"/>
    <mergeCell ref="AI2:AJ2"/>
    <mergeCell ref="AK2:AL2"/>
    <mergeCell ref="AF2:AH2"/>
    <mergeCell ref="P2:S2"/>
    <mergeCell ref="T2:AA2"/>
    <mergeCell ref="AB2:AE2"/>
  </mergeCells>
  <phoneticPr fontId="9" type="noConversion"/>
  <conditionalFormatting sqref="AH4:AL4 AH5 AJ5 AK5:AL567 AH6:AJ567">
    <cfRule type="containsText" dxfId="183" priority="4" operator="containsText" text="Flagged">
      <formula>NOT(ISERROR(SEARCH("Flagged",AH4)))</formula>
    </cfRule>
  </conditionalFormatting>
  <pageMargins left="0.7" right="0.7" top="0.75" bottom="0.75" header="0.3" footer="0.3"/>
  <pageSetup paperSize="9" orientation="portrait" r:id="rId1"/>
  <legacyDrawing r:id="rId2"/>
  <tableParts count="1">
    <tablePart r:id="rId3"/>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EE7037-4CDD-4F15-B2EF-BC2F22020C53}">
  <dimension ref="A1:AB573"/>
  <sheetViews>
    <sheetView topLeftCell="E1" zoomScale="86" zoomScaleNormal="86" workbookViewId="0">
      <selection activeCell="P5" sqref="P5"/>
    </sheetView>
  </sheetViews>
  <sheetFormatPr defaultColWidth="8.7109375" defaultRowHeight="15" x14ac:dyDescent="0.25"/>
  <cols>
    <col min="1" max="1" width="8.7109375" style="206"/>
    <col min="2" max="2" width="21.85546875" style="206" customWidth="1"/>
    <col min="3" max="3" width="9.140625" style="206" bestFit="1" customWidth="1"/>
    <col min="4" max="4" width="30.42578125" style="206" bestFit="1" customWidth="1"/>
    <col min="5" max="5" width="32.85546875" style="206" customWidth="1"/>
    <col min="6" max="6" width="84.5703125" style="206" customWidth="1"/>
    <col min="7" max="7" width="18.42578125" style="207" customWidth="1"/>
    <col min="8" max="8" width="30.140625" style="206" customWidth="1"/>
    <col min="9" max="9" width="9" style="206" bestFit="1" customWidth="1"/>
    <col min="10" max="14" width="8.7109375" style="206"/>
    <col min="15" max="15" width="26.7109375" style="207" bestFit="1" customWidth="1"/>
    <col min="16" max="16" width="28.5703125" style="207" customWidth="1"/>
    <col min="17" max="17" width="17.42578125" style="207" customWidth="1"/>
    <col min="18" max="18" width="25.28515625" style="206" customWidth="1"/>
    <col min="19" max="19" width="33" style="206" customWidth="1"/>
    <col min="20" max="20" width="12" style="206" customWidth="1"/>
    <col min="21" max="24" width="0" style="206" hidden="1" customWidth="1"/>
    <col min="25" max="27" width="8.7109375" style="206"/>
    <col min="28" max="28" width="21.140625" style="206" customWidth="1"/>
    <col min="29" max="16384" width="8.7109375" style="206"/>
  </cols>
  <sheetData>
    <row r="1" spans="1:28" ht="70.5" customHeight="1" x14ac:dyDescent="0.25">
      <c r="B1" s="202" t="s">
        <v>708</v>
      </c>
      <c r="C1" s="439" t="s">
        <v>709</v>
      </c>
      <c r="D1" s="439"/>
      <c r="E1" s="439"/>
      <c r="F1" s="203"/>
      <c r="G1" s="204"/>
      <c r="H1" s="205"/>
      <c r="I1" s="205"/>
    </row>
    <row r="2" spans="1:28" ht="197.25" customHeight="1" thickBot="1" x14ac:dyDescent="0.3">
      <c r="B2" s="208" t="s">
        <v>710</v>
      </c>
      <c r="C2" s="440" t="s">
        <v>711</v>
      </c>
      <c r="D2" s="440"/>
      <c r="E2" s="440"/>
      <c r="F2" s="203"/>
      <c r="G2" s="204"/>
      <c r="H2" s="205"/>
      <c r="I2" s="205"/>
    </row>
    <row r="3" spans="1:28" x14ac:dyDescent="0.25">
      <c r="B3" s="209"/>
      <c r="C3" s="209"/>
      <c r="D3" s="209"/>
      <c r="E3" s="209"/>
      <c r="F3" s="203"/>
      <c r="G3" s="204"/>
      <c r="H3" s="205"/>
      <c r="I3" s="205"/>
      <c r="AB3" s="206">
        <v>11614757</v>
      </c>
    </row>
    <row r="4" spans="1:28" x14ac:dyDescent="0.25">
      <c r="B4" s="209"/>
      <c r="C4" s="209"/>
      <c r="D4" s="209"/>
      <c r="E4" s="209"/>
      <c r="F4" s="203"/>
      <c r="G4" s="210" t="s">
        <v>712</v>
      </c>
      <c r="H4" s="211"/>
      <c r="I4" s="211"/>
      <c r="J4" s="212"/>
      <c r="K4" s="212"/>
      <c r="L4" s="212"/>
      <c r="M4" s="212"/>
      <c r="N4" s="212"/>
      <c r="O4" s="213" t="s">
        <v>751</v>
      </c>
      <c r="P4" s="213" t="s">
        <v>752</v>
      </c>
      <c r="AB4" s="206">
        <v>12754388</v>
      </c>
    </row>
    <row r="5" spans="1:28" ht="20.25" x14ac:dyDescent="0.3">
      <c r="B5" s="209"/>
      <c r="C5" s="209"/>
      <c r="D5" s="209"/>
      <c r="E5" s="209"/>
      <c r="F5" s="203"/>
      <c r="G5" s="204">
        <f>SUBTOTAL(9,G10:G573)</f>
        <v>46756386</v>
      </c>
      <c r="H5" s="205"/>
      <c r="I5" s="205"/>
      <c r="O5" s="214">
        <f>SUBTOTAL(9,O10:O573)</f>
        <v>12754388</v>
      </c>
      <c r="P5" s="214">
        <f>SUBTOTAL(9,P10:P573)</f>
        <v>11614764</v>
      </c>
      <c r="AB5" s="206">
        <f>AB3/AB4</f>
        <v>0.91064792759950541</v>
      </c>
    </row>
    <row r="6" spans="1:28" x14ac:dyDescent="0.25">
      <c r="B6" s="209"/>
      <c r="C6" s="209"/>
      <c r="D6" s="209"/>
      <c r="E6" s="209"/>
      <c r="F6" s="203"/>
      <c r="G6" s="204"/>
      <c r="H6" s="205"/>
      <c r="I6" s="205"/>
    </row>
    <row r="7" spans="1:28" ht="15.75" thickBot="1" x14ac:dyDescent="0.3">
      <c r="B7" s="209"/>
      <c r="C7" s="209"/>
      <c r="D7" s="209"/>
      <c r="E7" s="209"/>
      <c r="F7" s="203"/>
      <c r="G7" s="204"/>
      <c r="H7" s="205"/>
      <c r="I7" s="205"/>
    </row>
    <row r="8" spans="1:28" ht="18" customHeight="1" thickTop="1" thickBot="1" x14ac:dyDescent="0.25">
      <c r="B8" s="441" t="s">
        <v>55</v>
      </c>
      <c r="C8" s="441"/>
      <c r="D8" s="441"/>
      <c r="E8" s="441"/>
      <c r="F8" s="441"/>
      <c r="G8" s="441" t="s">
        <v>577</v>
      </c>
      <c r="H8" s="441"/>
      <c r="I8" s="215"/>
      <c r="J8" s="442" t="s">
        <v>713</v>
      </c>
      <c r="K8" s="443"/>
      <c r="L8" s="443"/>
      <c r="M8" s="443"/>
      <c r="N8" s="443"/>
      <c r="O8" s="216" t="s">
        <v>572</v>
      </c>
      <c r="P8" s="217"/>
      <c r="Q8" s="442" t="s">
        <v>714</v>
      </c>
      <c r="R8" s="443"/>
      <c r="S8" s="443"/>
      <c r="T8" s="218"/>
      <c r="U8" s="436" t="s">
        <v>715</v>
      </c>
      <c r="V8" s="437"/>
      <c r="W8" s="437"/>
      <c r="X8" s="438"/>
    </row>
    <row r="9" spans="1:28" ht="78" customHeight="1" thickTop="1" x14ac:dyDescent="0.2">
      <c r="B9" s="219" t="s">
        <v>69</v>
      </c>
      <c r="C9" s="220" t="s">
        <v>295</v>
      </c>
      <c r="D9" s="220" t="s">
        <v>70</v>
      </c>
      <c r="E9" s="220" t="s">
        <v>139</v>
      </c>
      <c r="F9" s="221" t="s">
        <v>716</v>
      </c>
      <c r="G9" s="222" t="s">
        <v>577</v>
      </c>
      <c r="H9" s="223" t="s">
        <v>137</v>
      </c>
      <c r="I9" s="224"/>
      <c r="J9" s="225" t="s">
        <v>717</v>
      </c>
      <c r="K9" s="225" t="s">
        <v>718</v>
      </c>
      <c r="L9" s="225" t="s">
        <v>719</v>
      </c>
      <c r="M9" s="225" t="s">
        <v>720</v>
      </c>
      <c r="N9" s="226" t="s">
        <v>721</v>
      </c>
      <c r="O9" s="227" t="s">
        <v>749</v>
      </c>
      <c r="P9" s="228" t="s">
        <v>750</v>
      </c>
      <c r="Q9" s="229" t="s">
        <v>722</v>
      </c>
      <c r="R9" s="225" t="s">
        <v>723</v>
      </c>
      <c r="S9" s="230" t="s">
        <v>724</v>
      </c>
      <c r="T9" s="231" t="s">
        <v>725</v>
      </c>
      <c r="U9" s="232" t="s">
        <v>726</v>
      </c>
      <c r="V9" s="225" t="s">
        <v>727</v>
      </c>
      <c r="W9" s="225" t="s">
        <v>728</v>
      </c>
      <c r="X9" s="230" t="s">
        <v>729</v>
      </c>
    </row>
    <row r="10" spans="1:28" x14ac:dyDescent="0.25">
      <c r="A10" s="206" t="str">
        <f>CONCATENATE(E10,H10)</f>
        <v>SD01001Host Community</v>
      </c>
      <c r="B10" s="206" t="s">
        <v>164</v>
      </c>
      <c r="C10" s="206" t="s">
        <v>118</v>
      </c>
      <c r="D10" s="206" t="s">
        <v>323</v>
      </c>
      <c r="E10" s="206" t="s">
        <v>324</v>
      </c>
      <c r="F10" s="206" t="s">
        <v>730</v>
      </c>
      <c r="G10" s="207">
        <v>15904</v>
      </c>
      <c r="H10" s="206" t="s">
        <v>87</v>
      </c>
      <c r="I10" s="206" t="s">
        <v>731</v>
      </c>
      <c r="J10" s="233">
        <v>0.2</v>
      </c>
      <c r="K10" s="233">
        <v>0.4</v>
      </c>
      <c r="L10" s="233">
        <v>0.3</v>
      </c>
      <c r="M10" s="233">
        <v>0.1</v>
      </c>
      <c r="N10" s="233">
        <v>0</v>
      </c>
      <c r="O10" s="207">
        <v>1590</v>
      </c>
      <c r="P10" s="207">
        <f>ROUND(O10*$AB$5,0)</f>
        <v>1448</v>
      </c>
      <c r="Q10" s="207">
        <v>3</v>
      </c>
      <c r="R10" s="207">
        <v>3</v>
      </c>
      <c r="U10" s="206">
        <v>0</v>
      </c>
      <c r="V10" s="206">
        <v>1</v>
      </c>
      <c r="W10" s="206">
        <v>1</v>
      </c>
      <c r="X10" s="206">
        <v>0</v>
      </c>
    </row>
    <row r="11" spans="1:28" x14ac:dyDescent="0.25">
      <c r="A11" s="206" t="str">
        <f t="shared" ref="A11:A74" si="0">CONCATENATE(E11,H11)</f>
        <v>SD01001IDPs</v>
      </c>
      <c r="B11" s="206" t="s">
        <v>164</v>
      </c>
      <c r="C11" s="206" t="s">
        <v>118</v>
      </c>
      <c r="D11" s="206" t="s">
        <v>323</v>
      </c>
      <c r="E11" s="206" t="s">
        <v>324</v>
      </c>
      <c r="F11" s="206" t="s">
        <v>730</v>
      </c>
      <c r="G11" s="207">
        <v>10542</v>
      </c>
      <c r="H11" s="206" t="s">
        <v>88</v>
      </c>
      <c r="I11" s="206" t="s">
        <v>732</v>
      </c>
      <c r="J11" s="233">
        <v>0.2</v>
      </c>
      <c r="K11" s="233">
        <v>0.4</v>
      </c>
      <c r="L11" s="233">
        <v>0.3</v>
      </c>
      <c r="M11" s="233">
        <v>0.1</v>
      </c>
      <c r="N11" s="233">
        <v>0</v>
      </c>
      <c r="O11" s="207">
        <v>1054</v>
      </c>
      <c r="P11" s="207">
        <f t="shared" ref="P11:P14" si="1">ROUND(O11*$AB$5,0)</f>
        <v>960</v>
      </c>
      <c r="Q11" s="207">
        <v>3</v>
      </c>
      <c r="R11" s="207">
        <v>3</v>
      </c>
      <c r="U11" s="206">
        <v>0</v>
      </c>
      <c r="V11" s="206">
        <v>1</v>
      </c>
      <c r="W11" s="206">
        <v>1</v>
      </c>
      <c r="X11" s="206">
        <v>0</v>
      </c>
    </row>
    <row r="12" spans="1:28" x14ac:dyDescent="0.25">
      <c r="A12" s="206" t="str">
        <f t="shared" si="0"/>
        <v>SD01001Non-hosting Population</v>
      </c>
      <c r="B12" s="206" t="s">
        <v>164</v>
      </c>
      <c r="C12" s="206" t="s">
        <v>118</v>
      </c>
      <c r="D12" s="206" t="s">
        <v>323</v>
      </c>
      <c r="E12" s="206" t="s">
        <v>324</v>
      </c>
      <c r="F12" s="206" t="s">
        <v>730</v>
      </c>
      <c r="G12" s="207">
        <v>1228200</v>
      </c>
      <c r="H12" s="206" t="s">
        <v>568</v>
      </c>
      <c r="I12" s="206" t="s">
        <v>731</v>
      </c>
      <c r="J12" s="233">
        <v>0.2</v>
      </c>
      <c r="K12" s="233">
        <v>0.4</v>
      </c>
      <c r="L12" s="233">
        <v>0.3</v>
      </c>
      <c r="M12" s="233">
        <v>0.1</v>
      </c>
      <c r="N12" s="233">
        <v>0</v>
      </c>
      <c r="O12" s="207">
        <v>122820</v>
      </c>
      <c r="P12" s="207">
        <f t="shared" si="1"/>
        <v>111846</v>
      </c>
      <c r="Q12" s="207">
        <v>3</v>
      </c>
      <c r="R12" s="207">
        <v>3</v>
      </c>
      <c r="U12" s="206">
        <v>0</v>
      </c>
      <c r="V12" s="206">
        <v>1</v>
      </c>
      <c r="W12" s="206">
        <v>1</v>
      </c>
      <c r="X12" s="206">
        <v>0</v>
      </c>
    </row>
    <row r="13" spans="1:28" x14ac:dyDescent="0.25">
      <c r="A13" s="206" t="str">
        <f t="shared" si="0"/>
        <v>SD01002Host Community</v>
      </c>
      <c r="B13" s="206" t="s">
        <v>164</v>
      </c>
      <c r="C13" s="206" t="s">
        <v>118</v>
      </c>
      <c r="D13" s="206" t="s">
        <v>325</v>
      </c>
      <c r="E13" s="206" t="s">
        <v>326</v>
      </c>
      <c r="F13" s="206" t="s">
        <v>730</v>
      </c>
      <c r="G13" s="207">
        <v>13283</v>
      </c>
      <c r="H13" s="206" t="s">
        <v>87</v>
      </c>
      <c r="I13" s="206" t="s">
        <v>731</v>
      </c>
      <c r="J13" s="233">
        <v>0.1</v>
      </c>
      <c r="K13" s="233">
        <v>0.3</v>
      </c>
      <c r="L13" s="233">
        <v>0.35000000000000003</v>
      </c>
      <c r="M13" s="233">
        <v>0.25</v>
      </c>
      <c r="N13" s="233">
        <v>0</v>
      </c>
      <c r="O13" s="207">
        <v>3321</v>
      </c>
      <c r="P13" s="207">
        <f t="shared" si="1"/>
        <v>3024</v>
      </c>
      <c r="Q13" s="207">
        <v>4</v>
      </c>
      <c r="R13" s="207">
        <v>4</v>
      </c>
      <c r="U13" s="206">
        <v>0</v>
      </c>
      <c r="V13" s="206">
        <v>0</v>
      </c>
      <c r="W13" s="206">
        <v>1</v>
      </c>
      <c r="X13" s="206">
        <v>0</v>
      </c>
    </row>
    <row r="14" spans="1:28" x14ac:dyDescent="0.25">
      <c r="A14" s="206" t="str">
        <f t="shared" si="0"/>
        <v>SD01002IDPs</v>
      </c>
      <c r="B14" s="206" t="s">
        <v>164</v>
      </c>
      <c r="C14" s="206" t="s">
        <v>118</v>
      </c>
      <c r="D14" s="206" t="s">
        <v>325</v>
      </c>
      <c r="E14" s="206" t="s">
        <v>326</v>
      </c>
      <c r="F14" s="206" t="s">
        <v>730</v>
      </c>
      <c r="G14" s="207">
        <v>10043</v>
      </c>
      <c r="H14" s="206" t="s">
        <v>88</v>
      </c>
      <c r="I14" s="206" t="s">
        <v>732</v>
      </c>
      <c r="J14" s="233">
        <v>0.1</v>
      </c>
      <c r="K14" s="233">
        <v>0.3</v>
      </c>
      <c r="L14" s="233">
        <v>0.35000000000000003</v>
      </c>
      <c r="M14" s="233">
        <v>0.25</v>
      </c>
      <c r="N14" s="233">
        <v>0</v>
      </c>
      <c r="O14" s="207">
        <v>2511</v>
      </c>
      <c r="P14" s="207">
        <f t="shared" si="1"/>
        <v>2287</v>
      </c>
      <c r="Q14" s="207">
        <v>4</v>
      </c>
      <c r="R14" s="207">
        <v>4</v>
      </c>
      <c r="U14" s="206">
        <v>0</v>
      </c>
      <c r="V14" s="206">
        <v>0</v>
      </c>
      <c r="W14" s="206">
        <v>1</v>
      </c>
      <c r="X14" s="206">
        <v>0</v>
      </c>
    </row>
    <row r="15" spans="1:28" x14ac:dyDescent="0.25">
      <c r="A15" s="206" t="str">
        <f t="shared" si="0"/>
        <v>SD01002Non-hosting Population</v>
      </c>
      <c r="B15" s="206" t="s">
        <v>164</v>
      </c>
      <c r="C15" s="206" t="s">
        <v>118</v>
      </c>
      <c r="D15" s="206" t="s">
        <v>325</v>
      </c>
      <c r="E15" s="206" t="s">
        <v>326</v>
      </c>
      <c r="F15" s="206" t="s">
        <v>730</v>
      </c>
      <c r="G15" s="207">
        <v>1539537</v>
      </c>
      <c r="H15" s="206" t="s">
        <v>568</v>
      </c>
      <c r="I15" s="206" t="s">
        <v>731</v>
      </c>
      <c r="J15" s="233">
        <v>0.1</v>
      </c>
      <c r="K15" s="233">
        <v>0.3</v>
      </c>
      <c r="L15" s="233">
        <v>0.35000000000000003</v>
      </c>
      <c r="M15" s="233">
        <v>0.25</v>
      </c>
      <c r="N15" s="233">
        <v>0</v>
      </c>
      <c r="O15" s="207">
        <v>384884</v>
      </c>
      <c r="P15" s="207">
        <f>ROUND(O15*$AB$5,0)-6000</f>
        <v>344494</v>
      </c>
      <c r="Q15" s="207">
        <v>4</v>
      </c>
      <c r="R15" s="207">
        <v>4</v>
      </c>
      <c r="U15" s="206">
        <v>0</v>
      </c>
      <c r="V15" s="206">
        <v>0</v>
      </c>
      <c r="W15" s="206">
        <v>1</v>
      </c>
      <c r="X15" s="206">
        <v>0</v>
      </c>
    </row>
    <row r="16" spans="1:28" x14ac:dyDescent="0.25">
      <c r="A16" s="206" t="str">
        <f t="shared" si="0"/>
        <v>SD01003Host Community</v>
      </c>
      <c r="B16" s="206" t="s">
        <v>164</v>
      </c>
      <c r="C16" s="206" t="s">
        <v>118</v>
      </c>
      <c r="D16" s="206" t="s">
        <v>327</v>
      </c>
      <c r="E16" s="206" t="s">
        <v>328</v>
      </c>
      <c r="F16" s="206" t="s">
        <v>730</v>
      </c>
      <c r="G16" s="207">
        <v>30236</v>
      </c>
      <c r="H16" s="206" t="s">
        <v>87</v>
      </c>
      <c r="I16" s="206" t="s">
        <v>731</v>
      </c>
      <c r="J16" s="233">
        <v>0.1</v>
      </c>
      <c r="K16" s="233">
        <v>0.4</v>
      </c>
      <c r="L16" s="233">
        <v>0.3</v>
      </c>
      <c r="M16" s="233">
        <v>0.2</v>
      </c>
      <c r="N16" s="233">
        <v>0</v>
      </c>
      <c r="O16" s="207">
        <v>6047</v>
      </c>
      <c r="P16" s="207">
        <f>ROUND(O16*$AB$5,0)</f>
        <v>5507</v>
      </c>
      <c r="Q16" s="207">
        <v>4</v>
      </c>
      <c r="R16" s="207">
        <v>4</v>
      </c>
      <c r="U16" s="206">
        <v>0</v>
      </c>
      <c r="V16" s="206">
        <v>1</v>
      </c>
      <c r="W16" s="206">
        <v>1</v>
      </c>
      <c r="X16" s="206">
        <v>0</v>
      </c>
    </row>
    <row r="17" spans="1:24" x14ac:dyDescent="0.25">
      <c r="A17" s="206" t="str">
        <f t="shared" si="0"/>
        <v>SD01003IDPs</v>
      </c>
      <c r="B17" s="206" t="s">
        <v>164</v>
      </c>
      <c r="C17" s="206" t="s">
        <v>118</v>
      </c>
      <c r="D17" s="206" t="s">
        <v>327</v>
      </c>
      <c r="E17" s="206" t="s">
        <v>328</v>
      </c>
      <c r="F17" s="206" t="s">
        <v>730</v>
      </c>
      <c r="G17" s="207">
        <v>33400</v>
      </c>
      <c r="H17" s="206" t="s">
        <v>88</v>
      </c>
      <c r="I17" s="206" t="s">
        <v>732</v>
      </c>
      <c r="J17" s="233">
        <v>0.1</v>
      </c>
      <c r="K17" s="233">
        <v>0.4</v>
      </c>
      <c r="L17" s="233">
        <v>0.3</v>
      </c>
      <c r="M17" s="233">
        <v>0.2</v>
      </c>
      <c r="N17" s="233">
        <v>0</v>
      </c>
      <c r="O17" s="207">
        <v>6680</v>
      </c>
      <c r="P17" s="207">
        <f t="shared" ref="P17:P80" si="2">ROUND(O17*$AB$5,0)</f>
        <v>6083</v>
      </c>
      <c r="Q17" s="207">
        <v>4</v>
      </c>
      <c r="R17" s="207">
        <v>4</v>
      </c>
      <c r="U17" s="206">
        <v>0</v>
      </c>
      <c r="V17" s="206">
        <v>1</v>
      </c>
      <c r="W17" s="206">
        <v>1</v>
      </c>
      <c r="X17" s="206">
        <v>0</v>
      </c>
    </row>
    <row r="18" spans="1:24" x14ac:dyDescent="0.25">
      <c r="A18" s="206" t="str">
        <f t="shared" si="0"/>
        <v>SD01003Non-hosting Population</v>
      </c>
      <c r="B18" s="206" t="s">
        <v>164</v>
      </c>
      <c r="C18" s="206" t="s">
        <v>118</v>
      </c>
      <c r="D18" s="206" t="s">
        <v>327</v>
      </c>
      <c r="E18" s="206" t="s">
        <v>328</v>
      </c>
      <c r="F18" s="206" t="s">
        <v>730</v>
      </c>
      <c r="G18" s="207">
        <v>397537</v>
      </c>
      <c r="H18" s="206" t="s">
        <v>568</v>
      </c>
      <c r="I18" s="206" t="s">
        <v>731</v>
      </c>
      <c r="J18" s="233">
        <v>0.1</v>
      </c>
      <c r="K18" s="233">
        <v>0.4</v>
      </c>
      <c r="L18" s="233">
        <v>0.3</v>
      </c>
      <c r="M18" s="233">
        <v>0.2</v>
      </c>
      <c r="N18" s="233">
        <v>0</v>
      </c>
      <c r="O18" s="207">
        <v>79507</v>
      </c>
      <c r="P18" s="207">
        <f t="shared" si="2"/>
        <v>72403</v>
      </c>
      <c r="Q18" s="207">
        <v>4</v>
      </c>
      <c r="R18" s="207">
        <v>4</v>
      </c>
      <c r="U18" s="206">
        <v>0</v>
      </c>
      <c r="V18" s="206">
        <v>1</v>
      </c>
      <c r="W18" s="206">
        <v>1</v>
      </c>
      <c r="X18" s="206">
        <v>0</v>
      </c>
    </row>
    <row r="19" spans="1:24" x14ac:dyDescent="0.25">
      <c r="A19" s="206" t="str">
        <f t="shared" si="0"/>
        <v>SD01004Host Community</v>
      </c>
      <c r="B19" s="206" t="s">
        <v>164</v>
      </c>
      <c r="C19" s="206" t="s">
        <v>118</v>
      </c>
      <c r="D19" s="206" t="s">
        <v>329</v>
      </c>
      <c r="E19" s="206" t="s">
        <v>330</v>
      </c>
      <c r="F19" s="206" t="s">
        <v>730</v>
      </c>
      <c r="G19" s="207">
        <v>29719</v>
      </c>
      <c r="H19" s="206" t="s">
        <v>87</v>
      </c>
      <c r="I19" s="206" t="s">
        <v>731</v>
      </c>
      <c r="J19" s="233">
        <v>0.1</v>
      </c>
      <c r="K19" s="233">
        <v>0.4</v>
      </c>
      <c r="L19" s="233">
        <v>0.3</v>
      </c>
      <c r="M19" s="233">
        <v>0.2</v>
      </c>
      <c r="N19" s="233">
        <v>0</v>
      </c>
      <c r="O19" s="207">
        <v>5944</v>
      </c>
      <c r="P19" s="207">
        <f t="shared" si="2"/>
        <v>5413</v>
      </c>
      <c r="Q19" s="207">
        <v>4</v>
      </c>
      <c r="R19" s="207">
        <v>4</v>
      </c>
      <c r="U19" s="206">
        <v>0</v>
      </c>
      <c r="V19" s="206">
        <v>0</v>
      </c>
      <c r="W19" s="206">
        <v>1</v>
      </c>
      <c r="X19" s="206">
        <v>0</v>
      </c>
    </row>
    <row r="20" spans="1:24" x14ac:dyDescent="0.25">
      <c r="A20" s="206" t="str">
        <f t="shared" si="0"/>
        <v>SD01004IDPs</v>
      </c>
      <c r="B20" s="206" t="s">
        <v>164</v>
      </c>
      <c r="C20" s="206" t="s">
        <v>118</v>
      </c>
      <c r="D20" s="206" t="s">
        <v>329</v>
      </c>
      <c r="E20" s="206" t="s">
        <v>330</v>
      </c>
      <c r="F20" s="206" t="s">
        <v>730</v>
      </c>
      <c r="G20" s="207">
        <v>25215</v>
      </c>
      <c r="H20" s="206" t="s">
        <v>88</v>
      </c>
      <c r="I20" s="206" t="s">
        <v>732</v>
      </c>
      <c r="J20" s="233">
        <v>0.1</v>
      </c>
      <c r="K20" s="233">
        <v>0.4</v>
      </c>
      <c r="L20" s="233">
        <v>0.3</v>
      </c>
      <c r="M20" s="233">
        <v>0.2</v>
      </c>
      <c r="N20" s="233">
        <v>0</v>
      </c>
      <c r="O20" s="207">
        <v>5043</v>
      </c>
      <c r="P20" s="207">
        <f t="shared" si="2"/>
        <v>4592</v>
      </c>
      <c r="Q20" s="207">
        <v>4</v>
      </c>
      <c r="R20" s="207">
        <v>4</v>
      </c>
      <c r="U20" s="206">
        <v>0</v>
      </c>
      <c r="V20" s="206">
        <v>1</v>
      </c>
      <c r="W20" s="206">
        <v>1</v>
      </c>
      <c r="X20" s="206">
        <v>0</v>
      </c>
    </row>
    <row r="21" spans="1:24" x14ac:dyDescent="0.25">
      <c r="A21" s="206" t="str">
        <f t="shared" si="0"/>
        <v>SD01004Non-hosting Population</v>
      </c>
      <c r="B21" s="206" t="s">
        <v>164</v>
      </c>
      <c r="C21" s="206" t="s">
        <v>118</v>
      </c>
      <c r="D21" s="206" t="s">
        <v>329</v>
      </c>
      <c r="E21" s="206" t="s">
        <v>330</v>
      </c>
      <c r="F21" s="206" t="s">
        <v>730</v>
      </c>
      <c r="G21" s="207">
        <v>936418</v>
      </c>
      <c r="H21" s="206" t="s">
        <v>568</v>
      </c>
      <c r="I21" s="206" t="s">
        <v>731</v>
      </c>
      <c r="J21" s="233">
        <v>0.1</v>
      </c>
      <c r="K21" s="233">
        <v>0.4</v>
      </c>
      <c r="L21" s="233">
        <v>0.3</v>
      </c>
      <c r="M21" s="233">
        <v>0.2</v>
      </c>
      <c r="N21" s="233">
        <v>0</v>
      </c>
      <c r="O21" s="207">
        <v>187284</v>
      </c>
      <c r="P21" s="207">
        <f t="shared" si="2"/>
        <v>170550</v>
      </c>
      <c r="Q21" s="207">
        <v>4</v>
      </c>
      <c r="R21" s="207">
        <v>4</v>
      </c>
      <c r="U21" s="206">
        <v>0</v>
      </c>
      <c r="V21" s="206">
        <v>0</v>
      </c>
      <c r="W21" s="206">
        <v>1</v>
      </c>
      <c r="X21" s="206">
        <v>0</v>
      </c>
    </row>
    <row r="22" spans="1:24" x14ac:dyDescent="0.25">
      <c r="A22" s="206" t="str">
        <f t="shared" si="0"/>
        <v>SD01005Host Community</v>
      </c>
      <c r="B22" s="206" t="s">
        <v>164</v>
      </c>
      <c r="C22" s="206" t="s">
        <v>118</v>
      </c>
      <c r="D22" s="206" t="s">
        <v>331</v>
      </c>
      <c r="E22" s="206" t="s">
        <v>332</v>
      </c>
      <c r="F22" s="206" t="s">
        <v>733</v>
      </c>
      <c r="G22" s="207">
        <v>32287</v>
      </c>
      <c r="H22" s="206" t="s">
        <v>87</v>
      </c>
      <c r="I22" s="206" t="s">
        <v>731</v>
      </c>
      <c r="J22" s="233">
        <v>0.2</v>
      </c>
      <c r="K22" s="233">
        <v>0.4</v>
      </c>
      <c r="L22" s="233">
        <v>0.3</v>
      </c>
      <c r="M22" s="233">
        <v>0.1</v>
      </c>
      <c r="N22" s="233">
        <v>0</v>
      </c>
      <c r="O22" s="207">
        <v>3229</v>
      </c>
      <c r="P22" s="207">
        <f t="shared" si="2"/>
        <v>2940</v>
      </c>
      <c r="Q22" s="207">
        <v>3</v>
      </c>
      <c r="R22" s="207">
        <v>3</v>
      </c>
      <c r="U22" s="206">
        <v>0</v>
      </c>
      <c r="V22" s="206">
        <v>1</v>
      </c>
      <c r="W22" s="206">
        <v>1</v>
      </c>
      <c r="X22" s="206">
        <v>0</v>
      </c>
    </row>
    <row r="23" spans="1:24" x14ac:dyDescent="0.25">
      <c r="A23" s="206" t="str">
        <f t="shared" si="0"/>
        <v>SD01005IDPs</v>
      </c>
      <c r="B23" s="206" t="s">
        <v>164</v>
      </c>
      <c r="C23" s="206" t="s">
        <v>118</v>
      </c>
      <c r="D23" s="206" t="s">
        <v>331</v>
      </c>
      <c r="E23" s="206" t="s">
        <v>332</v>
      </c>
      <c r="F23" s="206" t="s">
        <v>733</v>
      </c>
      <c r="G23" s="207">
        <v>18823</v>
      </c>
      <c r="H23" s="206" t="s">
        <v>88</v>
      </c>
      <c r="I23" s="206" t="s">
        <v>732</v>
      </c>
      <c r="J23" s="233">
        <v>0.2</v>
      </c>
      <c r="K23" s="233">
        <v>0.4</v>
      </c>
      <c r="L23" s="233">
        <v>0.3</v>
      </c>
      <c r="M23" s="233">
        <v>0.1</v>
      </c>
      <c r="N23" s="233">
        <v>0</v>
      </c>
      <c r="O23" s="207">
        <v>1882</v>
      </c>
      <c r="P23" s="207">
        <f t="shared" si="2"/>
        <v>1714</v>
      </c>
      <c r="Q23" s="207">
        <v>3</v>
      </c>
      <c r="R23" s="207">
        <v>3</v>
      </c>
      <c r="U23" s="206">
        <v>0</v>
      </c>
      <c r="V23" s="206">
        <v>1</v>
      </c>
      <c r="W23" s="206">
        <v>1</v>
      </c>
      <c r="X23" s="206">
        <v>0</v>
      </c>
    </row>
    <row r="24" spans="1:24" x14ac:dyDescent="0.25">
      <c r="A24" s="206" t="str">
        <f t="shared" si="0"/>
        <v>SD01005Non-hosting Population</v>
      </c>
      <c r="B24" s="206" t="s">
        <v>164</v>
      </c>
      <c r="C24" s="206" t="s">
        <v>118</v>
      </c>
      <c r="D24" s="206" t="s">
        <v>331</v>
      </c>
      <c r="E24" s="206" t="s">
        <v>332</v>
      </c>
      <c r="F24" s="206" t="s">
        <v>733</v>
      </c>
      <c r="G24" s="207">
        <v>1123499</v>
      </c>
      <c r="H24" s="206" t="s">
        <v>568</v>
      </c>
      <c r="I24" s="206" t="s">
        <v>731</v>
      </c>
      <c r="J24" s="233">
        <v>0.2</v>
      </c>
      <c r="K24" s="233">
        <v>0.4</v>
      </c>
      <c r="L24" s="233">
        <v>0.3</v>
      </c>
      <c r="M24" s="233">
        <v>0.1</v>
      </c>
      <c r="N24" s="233">
        <v>0</v>
      </c>
      <c r="O24" s="207">
        <v>112350</v>
      </c>
      <c r="P24" s="207">
        <f t="shared" si="2"/>
        <v>102311</v>
      </c>
      <c r="Q24" s="207">
        <v>3</v>
      </c>
      <c r="R24" s="207">
        <v>3</v>
      </c>
      <c r="U24" s="206">
        <v>0</v>
      </c>
      <c r="V24" s="206">
        <v>1</v>
      </c>
      <c r="W24" s="206">
        <v>1</v>
      </c>
      <c r="X24" s="206">
        <v>0</v>
      </c>
    </row>
    <row r="25" spans="1:24" x14ac:dyDescent="0.25">
      <c r="A25" s="206" t="str">
        <f t="shared" si="0"/>
        <v>SD01006Host Community</v>
      </c>
      <c r="B25" s="206" t="s">
        <v>164</v>
      </c>
      <c r="C25" s="206" t="s">
        <v>118</v>
      </c>
      <c r="D25" s="206" t="s">
        <v>333</v>
      </c>
      <c r="E25" s="206" t="s">
        <v>334</v>
      </c>
      <c r="F25" s="206" t="s">
        <v>730</v>
      </c>
      <c r="G25" s="207">
        <v>14263</v>
      </c>
      <c r="H25" s="206" t="s">
        <v>87</v>
      </c>
      <c r="I25" s="206" t="s">
        <v>731</v>
      </c>
      <c r="J25" s="233">
        <v>0.1</v>
      </c>
      <c r="K25" s="233">
        <v>0.3</v>
      </c>
      <c r="L25" s="233">
        <v>0.35000000000000003</v>
      </c>
      <c r="M25" s="233">
        <v>0.25</v>
      </c>
      <c r="N25" s="233">
        <v>0</v>
      </c>
      <c r="O25" s="207">
        <v>3566</v>
      </c>
      <c r="P25" s="207">
        <f t="shared" si="2"/>
        <v>3247</v>
      </c>
      <c r="Q25" s="207">
        <v>4</v>
      </c>
      <c r="R25" s="207">
        <v>4</v>
      </c>
      <c r="U25" s="206">
        <v>0</v>
      </c>
      <c r="V25" s="206">
        <v>0</v>
      </c>
      <c r="W25" s="206">
        <v>1</v>
      </c>
      <c r="X25" s="206">
        <v>0</v>
      </c>
    </row>
    <row r="26" spans="1:24" x14ac:dyDescent="0.25">
      <c r="A26" s="206" t="str">
        <f t="shared" si="0"/>
        <v>SD01006IDPs</v>
      </c>
      <c r="B26" s="206" t="s">
        <v>164</v>
      </c>
      <c r="C26" s="206" t="s">
        <v>118</v>
      </c>
      <c r="D26" s="206" t="s">
        <v>333</v>
      </c>
      <c r="E26" s="206" t="s">
        <v>334</v>
      </c>
      <c r="F26" s="206" t="s">
        <v>730</v>
      </c>
      <c r="G26" s="207">
        <v>12871</v>
      </c>
      <c r="H26" s="206" t="s">
        <v>88</v>
      </c>
      <c r="I26" s="206" t="s">
        <v>732</v>
      </c>
      <c r="J26" s="233">
        <v>0.1</v>
      </c>
      <c r="K26" s="233">
        <v>0.3</v>
      </c>
      <c r="L26" s="233">
        <v>0.35000000000000003</v>
      </c>
      <c r="M26" s="233">
        <v>0.25</v>
      </c>
      <c r="N26" s="233">
        <v>0</v>
      </c>
      <c r="O26" s="207">
        <v>3218</v>
      </c>
      <c r="P26" s="207">
        <f t="shared" si="2"/>
        <v>2930</v>
      </c>
      <c r="Q26" s="207">
        <v>4</v>
      </c>
      <c r="R26" s="207">
        <v>4</v>
      </c>
      <c r="U26" s="206">
        <v>0</v>
      </c>
      <c r="V26" s="206">
        <v>0</v>
      </c>
      <c r="W26" s="206">
        <v>1</v>
      </c>
      <c r="X26" s="206">
        <v>0</v>
      </c>
    </row>
    <row r="27" spans="1:24" x14ac:dyDescent="0.25">
      <c r="A27" s="206" t="str">
        <f t="shared" si="0"/>
        <v>SD01006Non-hosting Population</v>
      </c>
      <c r="B27" s="206" t="s">
        <v>164</v>
      </c>
      <c r="C27" s="206" t="s">
        <v>118</v>
      </c>
      <c r="D27" s="206" t="s">
        <v>333</v>
      </c>
      <c r="E27" s="206" t="s">
        <v>334</v>
      </c>
      <c r="F27" s="206" t="s">
        <v>730</v>
      </c>
      <c r="G27" s="207">
        <v>326576</v>
      </c>
      <c r="H27" s="206" t="s">
        <v>568</v>
      </c>
      <c r="I27" s="206" t="s">
        <v>731</v>
      </c>
      <c r="J27" s="233">
        <v>0.1</v>
      </c>
      <c r="K27" s="233">
        <v>0.3</v>
      </c>
      <c r="L27" s="233">
        <v>0.35000000000000003</v>
      </c>
      <c r="M27" s="233">
        <v>0.25</v>
      </c>
      <c r="N27" s="233">
        <v>0</v>
      </c>
      <c r="O27" s="207">
        <v>81644</v>
      </c>
      <c r="P27" s="207">
        <f t="shared" si="2"/>
        <v>74349</v>
      </c>
      <c r="Q27" s="207">
        <v>4</v>
      </c>
      <c r="R27" s="207">
        <v>4</v>
      </c>
      <c r="U27" s="206">
        <v>0</v>
      </c>
      <c r="V27" s="206">
        <v>0</v>
      </c>
      <c r="W27" s="206">
        <v>1</v>
      </c>
      <c r="X27" s="206">
        <v>0</v>
      </c>
    </row>
    <row r="28" spans="1:24" x14ac:dyDescent="0.25">
      <c r="A28" s="206" t="str">
        <f t="shared" si="0"/>
        <v>SD01007Host Community</v>
      </c>
      <c r="B28" s="206" t="s">
        <v>164</v>
      </c>
      <c r="C28" s="206" t="s">
        <v>118</v>
      </c>
      <c r="D28" s="206" t="s">
        <v>164</v>
      </c>
      <c r="E28" s="206" t="s">
        <v>335</v>
      </c>
      <c r="F28" s="206" t="s">
        <v>730</v>
      </c>
      <c r="G28" s="207">
        <v>13880</v>
      </c>
      <c r="H28" s="206" t="s">
        <v>87</v>
      </c>
      <c r="I28" s="206" t="s">
        <v>731</v>
      </c>
      <c r="J28" s="233">
        <v>0.1</v>
      </c>
      <c r="K28" s="233">
        <v>0.3</v>
      </c>
      <c r="L28" s="233">
        <v>0.35000000000000003</v>
      </c>
      <c r="M28" s="233">
        <v>0.25</v>
      </c>
      <c r="N28" s="233">
        <v>0</v>
      </c>
      <c r="O28" s="207">
        <v>3470</v>
      </c>
      <c r="P28" s="207">
        <f t="shared" si="2"/>
        <v>3160</v>
      </c>
      <c r="Q28" s="207">
        <v>4</v>
      </c>
      <c r="R28" s="207">
        <v>4</v>
      </c>
      <c r="U28" s="206">
        <v>0</v>
      </c>
      <c r="V28" s="206">
        <v>0</v>
      </c>
      <c r="W28" s="206">
        <v>1</v>
      </c>
      <c r="X28" s="206">
        <v>0</v>
      </c>
    </row>
    <row r="29" spans="1:24" x14ac:dyDescent="0.25">
      <c r="A29" s="206" t="str">
        <f t="shared" si="0"/>
        <v>SD01007IDPs</v>
      </c>
      <c r="B29" s="206" t="s">
        <v>164</v>
      </c>
      <c r="C29" s="206" t="s">
        <v>118</v>
      </c>
      <c r="D29" s="206" t="s">
        <v>164</v>
      </c>
      <c r="E29" s="206" t="s">
        <v>335</v>
      </c>
      <c r="F29" s="206" t="s">
        <v>730</v>
      </c>
      <c r="G29" s="207">
        <v>6805</v>
      </c>
      <c r="H29" s="206" t="s">
        <v>88</v>
      </c>
      <c r="I29" s="206" t="s">
        <v>732</v>
      </c>
      <c r="J29" s="233">
        <v>0.1</v>
      </c>
      <c r="K29" s="233">
        <v>0.3</v>
      </c>
      <c r="L29" s="233">
        <v>0.35000000000000003</v>
      </c>
      <c r="M29" s="233">
        <v>0.25</v>
      </c>
      <c r="N29" s="233">
        <v>0</v>
      </c>
      <c r="O29" s="207">
        <v>1701</v>
      </c>
      <c r="P29" s="207">
        <f t="shared" si="2"/>
        <v>1549</v>
      </c>
      <c r="Q29" s="207">
        <v>4</v>
      </c>
      <c r="R29" s="207">
        <v>4</v>
      </c>
      <c r="U29" s="206">
        <v>0</v>
      </c>
      <c r="V29" s="206">
        <v>0</v>
      </c>
      <c r="W29" s="206">
        <v>1</v>
      </c>
      <c r="X29" s="206">
        <v>0</v>
      </c>
    </row>
    <row r="30" spans="1:24" x14ac:dyDescent="0.25">
      <c r="A30" s="206" t="str">
        <f t="shared" si="0"/>
        <v>SD01007Non-hosting Population</v>
      </c>
      <c r="B30" s="206" t="s">
        <v>164</v>
      </c>
      <c r="C30" s="206" t="s">
        <v>118</v>
      </c>
      <c r="D30" s="206" t="s">
        <v>164</v>
      </c>
      <c r="E30" s="206" t="s">
        <v>335</v>
      </c>
      <c r="F30" s="206" t="s">
        <v>730</v>
      </c>
      <c r="G30" s="207">
        <v>79748</v>
      </c>
      <c r="H30" s="206" t="s">
        <v>568</v>
      </c>
      <c r="I30" s="206" t="s">
        <v>731</v>
      </c>
      <c r="J30" s="233">
        <v>0.1</v>
      </c>
      <c r="K30" s="233">
        <v>0.3</v>
      </c>
      <c r="L30" s="233">
        <v>0.35000000000000003</v>
      </c>
      <c r="M30" s="233">
        <v>0.25</v>
      </c>
      <c r="N30" s="233">
        <v>0</v>
      </c>
      <c r="O30" s="207">
        <v>19937</v>
      </c>
      <c r="P30" s="207">
        <f t="shared" si="2"/>
        <v>18156</v>
      </c>
      <c r="Q30" s="207">
        <v>4</v>
      </c>
      <c r="R30" s="207">
        <v>4</v>
      </c>
      <c r="U30" s="206">
        <v>0</v>
      </c>
      <c r="V30" s="206">
        <v>0</v>
      </c>
      <c r="W30" s="206">
        <v>1</v>
      </c>
      <c r="X30" s="206">
        <v>0</v>
      </c>
    </row>
    <row r="31" spans="1:24" x14ac:dyDescent="0.25">
      <c r="A31" s="206" t="str">
        <f t="shared" si="0"/>
        <v>SD07091Host Community</v>
      </c>
      <c r="B31" s="206" t="s">
        <v>188</v>
      </c>
      <c r="C31" s="206" t="s">
        <v>124</v>
      </c>
      <c r="D31" s="206" t="s">
        <v>342</v>
      </c>
      <c r="E31" s="206" t="s">
        <v>343</v>
      </c>
      <c r="F31" s="206" t="s">
        <v>733</v>
      </c>
      <c r="G31" s="207">
        <v>0</v>
      </c>
      <c r="H31" s="206" t="s">
        <v>87</v>
      </c>
      <c r="I31" s="206" t="s">
        <v>731</v>
      </c>
      <c r="J31" s="233">
        <v>0.15</v>
      </c>
      <c r="K31" s="233">
        <v>0.35000000000000003</v>
      </c>
      <c r="L31" s="233">
        <v>0.35000000000000003</v>
      </c>
      <c r="M31" s="233">
        <v>0.15</v>
      </c>
      <c r="N31" s="233">
        <v>0</v>
      </c>
      <c r="O31" s="207">
        <v>0</v>
      </c>
      <c r="P31" s="207">
        <f t="shared" si="2"/>
        <v>0</v>
      </c>
      <c r="Q31" s="207">
        <v>3</v>
      </c>
      <c r="R31" s="207">
        <v>3</v>
      </c>
      <c r="U31" s="206" t="e">
        <v>#DIV/0!</v>
      </c>
      <c r="V31" s="206" t="e">
        <v>#DIV/0!</v>
      </c>
      <c r="W31" s="206">
        <v>1</v>
      </c>
      <c r="X31" s="206" t="e">
        <v>#DIV/0!</v>
      </c>
    </row>
    <row r="32" spans="1:24" x14ac:dyDescent="0.25">
      <c r="A32" s="206" t="str">
        <f t="shared" si="0"/>
        <v>SD07091IDPs</v>
      </c>
      <c r="B32" s="206" t="s">
        <v>188</v>
      </c>
      <c r="C32" s="206" t="s">
        <v>124</v>
      </c>
      <c r="D32" s="206" t="s">
        <v>342</v>
      </c>
      <c r="E32" s="206" t="s">
        <v>343</v>
      </c>
      <c r="F32" s="206" t="s">
        <v>733</v>
      </c>
      <c r="G32" s="207">
        <v>0</v>
      </c>
      <c r="H32" s="206" t="s">
        <v>88</v>
      </c>
      <c r="I32" s="206" t="s">
        <v>732</v>
      </c>
      <c r="J32" s="233">
        <v>0.15</v>
      </c>
      <c r="K32" s="233">
        <v>0.35000000000000003</v>
      </c>
      <c r="L32" s="233">
        <v>0.35000000000000003</v>
      </c>
      <c r="M32" s="233">
        <v>0.15</v>
      </c>
      <c r="N32" s="233">
        <v>0</v>
      </c>
      <c r="O32" s="207">
        <v>0</v>
      </c>
      <c r="P32" s="207">
        <f t="shared" si="2"/>
        <v>0</v>
      </c>
      <c r="Q32" s="207">
        <v>3</v>
      </c>
      <c r="R32" s="207">
        <v>3</v>
      </c>
      <c r="U32" s="206" t="e">
        <v>#DIV/0!</v>
      </c>
      <c r="V32" s="206" t="e">
        <v>#DIV/0!</v>
      </c>
      <c r="W32" s="206">
        <v>1</v>
      </c>
      <c r="X32" s="206" t="e">
        <v>#DIV/0!</v>
      </c>
    </row>
    <row r="33" spans="1:24" x14ac:dyDescent="0.25">
      <c r="A33" s="206" t="str">
        <f t="shared" si="0"/>
        <v>SD07091Non-hosting Population</v>
      </c>
      <c r="B33" s="206" t="s">
        <v>188</v>
      </c>
      <c r="C33" s="206" t="s">
        <v>124</v>
      </c>
      <c r="D33" s="206" t="s">
        <v>342</v>
      </c>
      <c r="E33" s="206" t="s">
        <v>343</v>
      </c>
      <c r="F33" s="206" t="s">
        <v>733</v>
      </c>
      <c r="G33" s="207">
        <v>71757</v>
      </c>
      <c r="H33" s="206" t="s">
        <v>568</v>
      </c>
      <c r="I33" s="206" t="s">
        <v>731</v>
      </c>
      <c r="J33" s="233">
        <v>0.15</v>
      </c>
      <c r="K33" s="233">
        <v>0.35000000000000003</v>
      </c>
      <c r="L33" s="233">
        <v>0.35000000000000003</v>
      </c>
      <c r="M33" s="233">
        <v>0.15</v>
      </c>
      <c r="N33" s="233">
        <v>0</v>
      </c>
      <c r="O33" s="207">
        <v>10764</v>
      </c>
      <c r="P33" s="207">
        <f t="shared" si="2"/>
        <v>9802</v>
      </c>
      <c r="Q33" s="207">
        <v>3</v>
      </c>
      <c r="R33" s="207">
        <v>3</v>
      </c>
      <c r="U33" s="206">
        <v>0</v>
      </c>
      <c r="V33" s="206">
        <v>1</v>
      </c>
      <c r="W33" s="206">
        <v>1</v>
      </c>
      <c r="X33" s="206" t="e">
        <v>#DIV/0!</v>
      </c>
    </row>
    <row r="34" spans="1:24" x14ac:dyDescent="0.25">
      <c r="A34" s="206" t="str">
        <f t="shared" si="0"/>
        <v>SD07099Host Community</v>
      </c>
      <c r="B34" s="206" t="s">
        <v>188</v>
      </c>
      <c r="C34" s="206" t="s">
        <v>124</v>
      </c>
      <c r="D34" s="206" t="s">
        <v>356</v>
      </c>
      <c r="E34" s="206" t="s">
        <v>357</v>
      </c>
      <c r="F34" s="206" t="s">
        <v>733</v>
      </c>
      <c r="G34" s="207">
        <v>0</v>
      </c>
      <c r="H34" s="206" t="s">
        <v>87</v>
      </c>
      <c r="I34" s="206" t="s">
        <v>731</v>
      </c>
      <c r="J34" s="233">
        <v>0.15</v>
      </c>
      <c r="K34" s="233">
        <v>0.35000000000000003</v>
      </c>
      <c r="L34" s="233">
        <v>0.3</v>
      </c>
      <c r="M34" s="233">
        <v>0.2</v>
      </c>
      <c r="N34" s="233">
        <v>0</v>
      </c>
      <c r="O34" s="207">
        <v>0</v>
      </c>
      <c r="P34" s="207">
        <f t="shared" si="2"/>
        <v>0</v>
      </c>
      <c r="Q34" s="207">
        <v>4</v>
      </c>
      <c r="R34" s="207">
        <v>4</v>
      </c>
      <c r="U34" s="206" t="e">
        <v>#DIV/0!</v>
      </c>
      <c r="V34" s="206" t="e">
        <v>#DIV/0!</v>
      </c>
      <c r="W34" s="206">
        <v>1</v>
      </c>
      <c r="X34" s="206" t="e">
        <v>#DIV/0!</v>
      </c>
    </row>
    <row r="35" spans="1:24" x14ac:dyDescent="0.25">
      <c r="A35" s="206" t="str">
        <f t="shared" si="0"/>
        <v>SD07099IDPs</v>
      </c>
      <c r="B35" s="206" t="s">
        <v>188</v>
      </c>
      <c r="C35" s="206" t="s">
        <v>124</v>
      </c>
      <c r="D35" s="206" t="s">
        <v>356</v>
      </c>
      <c r="E35" s="206" t="s">
        <v>357</v>
      </c>
      <c r="F35" s="206" t="s">
        <v>733</v>
      </c>
      <c r="G35" s="207">
        <v>0</v>
      </c>
      <c r="H35" s="206" t="s">
        <v>88</v>
      </c>
      <c r="I35" s="206" t="s">
        <v>732</v>
      </c>
      <c r="J35" s="233">
        <v>0.15</v>
      </c>
      <c r="K35" s="233">
        <v>0.35000000000000003</v>
      </c>
      <c r="L35" s="233">
        <v>0.3</v>
      </c>
      <c r="M35" s="233">
        <v>0.2</v>
      </c>
      <c r="N35" s="233">
        <v>0</v>
      </c>
      <c r="O35" s="207">
        <v>0</v>
      </c>
      <c r="P35" s="207">
        <f t="shared" si="2"/>
        <v>0</v>
      </c>
      <c r="Q35" s="207">
        <v>4</v>
      </c>
      <c r="R35" s="207">
        <v>4</v>
      </c>
      <c r="U35" s="206" t="e">
        <v>#DIV/0!</v>
      </c>
      <c r="V35" s="206" t="e">
        <v>#DIV/0!</v>
      </c>
      <c r="W35" s="206">
        <v>1</v>
      </c>
      <c r="X35" s="206" t="e">
        <v>#DIV/0!</v>
      </c>
    </row>
    <row r="36" spans="1:24" x14ac:dyDescent="0.25">
      <c r="A36" s="206" t="str">
        <f t="shared" si="0"/>
        <v>SD07099Non-hosting Population</v>
      </c>
      <c r="B36" s="206" t="s">
        <v>188</v>
      </c>
      <c r="C36" s="206" t="s">
        <v>124</v>
      </c>
      <c r="D36" s="206" t="s">
        <v>356</v>
      </c>
      <c r="E36" s="206" t="s">
        <v>357</v>
      </c>
      <c r="F36" s="206" t="s">
        <v>733</v>
      </c>
      <c r="G36" s="207">
        <v>97552</v>
      </c>
      <c r="H36" s="206" t="s">
        <v>568</v>
      </c>
      <c r="I36" s="206" t="s">
        <v>731</v>
      </c>
      <c r="J36" s="233">
        <v>0.15</v>
      </c>
      <c r="K36" s="233">
        <v>0.35000000000000003</v>
      </c>
      <c r="L36" s="233">
        <v>0.3</v>
      </c>
      <c r="M36" s="233">
        <v>0.2</v>
      </c>
      <c r="N36" s="233">
        <v>0</v>
      </c>
      <c r="O36" s="207">
        <v>19510</v>
      </c>
      <c r="P36" s="207">
        <f t="shared" si="2"/>
        <v>17767</v>
      </c>
      <c r="Q36" s="207">
        <v>4</v>
      </c>
      <c r="R36" s="207">
        <v>4</v>
      </c>
      <c r="U36" s="206">
        <v>0</v>
      </c>
      <c r="V36" s="206">
        <v>1</v>
      </c>
      <c r="W36" s="206">
        <v>1</v>
      </c>
      <c r="X36" s="206" t="e">
        <v>#DIV/0!</v>
      </c>
    </row>
    <row r="37" spans="1:24" x14ac:dyDescent="0.25">
      <c r="A37" s="206" t="str">
        <f t="shared" si="0"/>
        <v>SD12074Host Community</v>
      </c>
      <c r="B37" s="206" t="s">
        <v>158</v>
      </c>
      <c r="C37" s="206" t="s">
        <v>129</v>
      </c>
      <c r="D37" s="206" t="s">
        <v>446</v>
      </c>
      <c r="E37" s="206" t="s">
        <v>447</v>
      </c>
      <c r="F37" s="206" t="s">
        <v>733</v>
      </c>
      <c r="G37" s="207">
        <v>79708</v>
      </c>
      <c r="H37" s="206" t="s">
        <v>87</v>
      </c>
      <c r="I37" s="206" t="s">
        <v>731</v>
      </c>
      <c r="J37" s="233">
        <v>0.35000000000000003</v>
      </c>
      <c r="K37" s="233">
        <v>0.4</v>
      </c>
      <c r="L37" s="233">
        <v>0.25</v>
      </c>
      <c r="M37" s="233">
        <v>0</v>
      </c>
      <c r="N37" s="233">
        <v>0</v>
      </c>
      <c r="O37" s="207">
        <v>19927</v>
      </c>
      <c r="P37" s="207">
        <f t="shared" si="2"/>
        <v>18146</v>
      </c>
      <c r="Q37" s="207">
        <v>3</v>
      </c>
      <c r="R37" s="207">
        <v>3</v>
      </c>
      <c r="U37" s="206">
        <v>0</v>
      </c>
      <c r="V37" s="206">
        <v>1</v>
      </c>
      <c r="W37" s="206">
        <v>1</v>
      </c>
      <c r="X37" s="206" t="e">
        <v>#DIV/0!</v>
      </c>
    </row>
    <row r="38" spans="1:24" x14ac:dyDescent="0.25">
      <c r="A38" s="206" t="str">
        <f t="shared" si="0"/>
        <v>SD12074IDPs</v>
      </c>
      <c r="B38" s="206" t="s">
        <v>158</v>
      </c>
      <c r="C38" s="206" t="s">
        <v>129</v>
      </c>
      <c r="D38" s="206" t="s">
        <v>446</v>
      </c>
      <c r="E38" s="206" t="s">
        <v>447</v>
      </c>
      <c r="F38" s="206" t="s">
        <v>733</v>
      </c>
      <c r="G38" s="207">
        <v>79702</v>
      </c>
      <c r="H38" s="206" t="s">
        <v>88</v>
      </c>
      <c r="I38" s="206" t="s">
        <v>732</v>
      </c>
      <c r="J38" s="233">
        <v>0.35000000000000003</v>
      </c>
      <c r="K38" s="233">
        <v>0.4</v>
      </c>
      <c r="L38" s="233">
        <v>0.25</v>
      </c>
      <c r="M38" s="233">
        <v>0</v>
      </c>
      <c r="N38" s="233">
        <v>0</v>
      </c>
      <c r="O38" s="207">
        <v>19926</v>
      </c>
      <c r="P38" s="207">
        <f t="shared" si="2"/>
        <v>18146</v>
      </c>
      <c r="Q38" s="207">
        <v>3</v>
      </c>
      <c r="R38" s="207">
        <v>3</v>
      </c>
      <c r="U38" s="206">
        <v>0</v>
      </c>
      <c r="V38" s="206">
        <v>1</v>
      </c>
      <c r="W38" s="206">
        <v>1</v>
      </c>
      <c r="X38" s="206" t="e">
        <v>#DIV/0!</v>
      </c>
    </row>
    <row r="39" spans="1:24" x14ac:dyDescent="0.25">
      <c r="A39" s="206" t="str">
        <f t="shared" si="0"/>
        <v>SD12074Non-hosting Population</v>
      </c>
      <c r="B39" s="206" t="s">
        <v>158</v>
      </c>
      <c r="C39" s="206" t="s">
        <v>129</v>
      </c>
      <c r="D39" s="206" t="s">
        <v>446</v>
      </c>
      <c r="E39" s="206" t="s">
        <v>447</v>
      </c>
      <c r="F39" s="206" t="s">
        <v>733</v>
      </c>
      <c r="G39" s="207">
        <v>270964</v>
      </c>
      <c r="H39" s="206" t="s">
        <v>568</v>
      </c>
      <c r="I39" s="206" t="s">
        <v>731</v>
      </c>
      <c r="J39" s="233">
        <v>0.35000000000000003</v>
      </c>
      <c r="K39" s="233">
        <v>0.4</v>
      </c>
      <c r="L39" s="233">
        <v>0.25</v>
      </c>
      <c r="M39" s="233">
        <v>0</v>
      </c>
      <c r="N39" s="233">
        <v>0</v>
      </c>
      <c r="O39" s="207">
        <v>0</v>
      </c>
      <c r="P39" s="207">
        <f t="shared" si="2"/>
        <v>0</v>
      </c>
      <c r="Q39" s="207">
        <v>3</v>
      </c>
      <c r="R39" s="207">
        <v>3</v>
      </c>
      <c r="U39" s="206">
        <v>0</v>
      </c>
      <c r="V39" s="206">
        <v>1</v>
      </c>
      <c r="W39" s="206">
        <v>1</v>
      </c>
      <c r="X39" s="206" t="e">
        <v>#DIV/0!</v>
      </c>
    </row>
    <row r="40" spans="1:24" x14ac:dyDescent="0.25">
      <c r="A40" s="206" t="str">
        <f t="shared" si="0"/>
        <v>SD14037Host Community</v>
      </c>
      <c r="B40" s="206" t="s">
        <v>182</v>
      </c>
      <c r="C40" s="206" t="s">
        <v>131</v>
      </c>
      <c r="D40" s="206" t="s">
        <v>483</v>
      </c>
      <c r="E40" s="206" t="s">
        <v>484</v>
      </c>
      <c r="F40" s="206" t="s">
        <v>733</v>
      </c>
      <c r="G40" s="207">
        <v>55928</v>
      </c>
      <c r="H40" s="206" t="s">
        <v>87</v>
      </c>
      <c r="I40" s="206" t="s">
        <v>731</v>
      </c>
      <c r="J40" s="233">
        <v>0.25</v>
      </c>
      <c r="K40" s="233">
        <v>0.4</v>
      </c>
      <c r="L40" s="233">
        <v>0.3</v>
      </c>
      <c r="M40" s="233">
        <v>0.05</v>
      </c>
      <c r="N40" s="233">
        <v>0</v>
      </c>
      <c r="O40" s="207">
        <v>2796</v>
      </c>
      <c r="P40" s="207">
        <f t="shared" si="2"/>
        <v>2546</v>
      </c>
      <c r="Q40" s="207">
        <v>3</v>
      </c>
      <c r="R40" s="207">
        <v>3</v>
      </c>
      <c r="U40" s="206">
        <v>0</v>
      </c>
      <c r="V40" s="206">
        <v>1</v>
      </c>
      <c r="W40" s="206">
        <v>1</v>
      </c>
      <c r="X40" s="206" t="e">
        <v>#DIV/0!</v>
      </c>
    </row>
    <row r="41" spans="1:24" x14ac:dyDescent="0.25">
      <c r="A41" s="206" t="str">
        <f t="shared" si="0"/>
        <v>SD14037IDPs</v>
      </c>
      <c r="B41" s="206" t="s">
        <v>182</v>
      </c>
      <c r="C41" s="206" t="s">
        <v>131</v>
      </c>
      <c r="D41" s="206" t="s">
        <v>483</v>
      </c>
      <c r="E41" s="206" t="s">
        <v>484</v>
      </c>
      <c r="F41" s="206" t="s">
        <v>733</v>
      </c>
      <c r="G41" s="207">
        <v>50273</v>
      </c>
      <c r="H41" s="206" t="s">
        <v>88</v>
      </c>
      <c r="I41" s="206" t="s">
        <v>732</v>
      </c>
      <c r="J41" s="233">
        <v>0.25</v>
      </c>
      <c r="K41" s="233">
        <v>0.4</v>
      </c>
      <c r="L41" s="233">
        <v>0.3</v>
      </c>
      <c r="M41" s="233">
        <v>0.05</v>
      </c>
      <c r="N41" s="233">
        <v>0</v>
      </c>
      <c r="O41" s="207">
        <v>2514</v>
      </c>
      <c r="P41" s="207">
        <f t="shared" si="2"/>
        <v>2289</v>
      </c>
      <c r="Q41" s="207">
        <v>3</v>
      </c>
      <c r="R41" s="207">
        <v>3</v>
      </c>
      <c r="U41" s="206">
        <v>0</v>
      </c>
      <c r="V41" s="206">
        <v>1</v>
      </c>
      <c r="W41" s="206">
        <v>1</v>
      </c>
      <c r="X41" s="206" t="e">
        <v>#DIV/0!</v>
      </c>
    </row>
    <row r="42" spans="1:24" x14ac:dyDescent="0.25">
      <c r="A42" s="206" t="str">
        <f t="shared" si="0"/>
        <v>SD14037Non-hosting Population</v>
      </c>
      <c r="B42" s="206" t="s">
        <v>182</v>
      </c>
      <c r="C42" s="206" t="s">
        <v>131</v>
      </c>
      <c r="D42" s="206" t="s">
        <v>483</v>
      </c>
      <c r="E42" s="206" t="s">
        <v>484</v>
      </c>
      <c r="F42" s="206" t="s">
        <v>733</v>
      </c>
      <c r="G42" s="207">
        <v>152131</v>
      </c>
      <c r="H42" s="206" t="s">
        <v>568</v>
      </c>
      <c r="I42" s="206" t="s">
        <v>731</v>
      </c>
      <c r="J42" s="233">
        <v>0.25</v>
      </c>
      <c r="K42" s="233">
        <v>0.4</v>
      </c>
      <c r="L42" s="233">
        <v>0.3</v>
      </c>
      <c r="M42" s="233">
        <v>0.05</v>
      </c>
      <c r="N42" s="233">
        <v>0</v>
      </c>
      <c r="O42" s="207">
        <v>7607</v>
      </c>
      <c r="P42" s="207">
        <f t="shared" si="2"/>
        <v>6927</v>
      </c>
      <c r="Q42" s="207">
        <v>3</v>
      </c>
      <c r="R42" s="207">
        <v>3</v>
      </c>
      <c r="U42" s="206">
        <v>0</v>
      </c>
      <c r="V42" s="206">
        <v>1</v>
      </c>
      <c r="W42" s="206">
        <v>1</v>
      </c>
      <c r="X42" s="206" t="e">
        <v>#DIV/0!</v>
      </c>
    </row>
    <row r="43" spans="1:24" x14ac:dyDescent="0.25">
      <c r="A43" s="206" t="str">
        <f t="shared" si="0"/>
        <v>SD14038Host Community</v>
      </c>
      <c r="B43" s="206" t="s">
        <v>182</v>
      </c>
      <c r="C43" s="206" t="s">
        <v>131</v>
      </c>
      <c r="D43" s="206" t="s">
        <v>182</v>
      </c>
      <c r="E43" s="206" t="s">
        <v>485</v>
      </c>
      <c r="F43" s="206" t="s">
        <v>733</v>
      </c>
      <c r="G43" s="207">
        <v>144677</v>
      </c>
      <c r="H43" s="206" t="s">
        <v>87</v>
      </c>
      <c r="I43" s="206" t="s">
        <v>731</v>
      </c>
      <c r="J43" s="233">
        <v>0.1</v>
      </c>
      <c r="K43" s="233">
        <v>0.3</v>
      </c>
      <c r="L43" s="233">
        <v>0.4</v>
      </c>
      <c r="M43" s="233">
        <v>0.2</v>
      </c>
      <c r="N43" s="233">
        <v>0</v>
      </c>
      <c r="O43" s="207">
        <v>28935</v>
      </c>
      <c r="P43" s="207">
        <f t="shared" si="2"/>
        <v>26350</v>
      </c>
      <c r="Q43" s="207">
        <v>4</v>
      </c>
      <c r="R43" s="207">
        <v>4</v>
      </c>
      <c r="U43" s="206">
        <v>0</v>
      </c>
      <c r="V43" s="206">
        <v>1</v>
      </c>
      <c r="W43" s="206">
        <v>1</v>
      </c>
      <c r="X43" s="206" t="e">
        <v>#DIV/0!</v>
      </c>
    </row>
    <row r="44" spans="1:24" x14ac:dyDescent="0.25">
      <c r="A44" s="206" t="str">
        <f t="shared" si="0"/>
        <v>SD14038IDPs</v>
      </c>
      <c r="B44" s="206" t="s">
        <v>182</v>
      </c>
      <c r="C44" s="206" t="s">
        <v>131</v>
      </c>
      <c r="D44" s="206" t="s">
        <v>182</v>
      </c>
      <c r="E44" s="206" t="s">
        <v>485</v>
      </c>
      <c r="F44" s="206" t="s">
        <v>733</v>
      </c>
      <c r="G44" s="207">
        <v>146662</v>
      </c>
      <c r="H44" s="206" t="s">
        <v>88</v>
      </c>
      <c r="I44" s="206" t="s">
        <v>732</v>
      </c>
      <c r="J44" s="233">
        <v>0.1</v>
      </c>
      <c r="K44" s="233">
        <v>0.3</v>
      </c>
      <c r="L44" s="233">
        <v>0.4</v>
      </c>
      <c r="M44" s="233">
        <v>0.2</v>
      </c>
      <c r="N44" s="233">
        <v>0</v>
      </c>
      <c r="O44" s="207">
        <v>29332</v>
      </c>
      <c r="P44" s="207">
        <f t="shared" si="2"/>
        <v>26711</v>
      </c>
      <c r="Q44" s="207">
        <v>4</v>
      </c>
      <c r="R44" s="207">
        <v>4</v>
      </c>
      <c r="U44" s="206">
        <v>0</v>
      </c>
      <c r="V44" s="206">
        <v>1</v>
      </c>
      <c r="W44" s="206">
        <v>1</v>
      </c>
      <c r="X44" s="206" t="e">
        <v>#DIV/0!</v>
      </c>
    </row>
    <row r="45" spans="1:24" x14ac:dyDescent="0.25">
      <c r="A45" s="206" t="str">
        <f t="shared" si="0"/>
        <v>SD14038Non-hosting Population</v>
      </c>
      <c r="B45" s="206" t="s">
        <v>182</v>
      </c>
      <c r="C45" s="206" t="s">
        <v>131</v>
      </c>
      <c r="D45" s="206" t="s">
        <v>182</v>
      </c>
      <c r="E45" s="206" t="s">
        <v>485</v>
      </c>
      <c r="F45" s="206" t="s">
        <v>733</v>
      </c>
      <c r="G45" s="207">
        <v>273531</v>
      </c>
      <c r="H45" s="206" t="s">
        <v>568</v>
      </c>
      <c r="I45" s="206" t="s">
        <v>731</v>
      </c>
      <c r="J45" s="233">
        <v>0.1</v>
      </c>
      <c r="K45" s="233">
        <v>0.3</v>
      </c>
      <c r="L45" s="233">
        <v>0.4</v>
      </c>
      <c r="M45" s="233">
        <v>0.2</v>
      </c>
      <c r="N45" s="233">
        <v>0</v>
      </c>
      <c r="O45" s="207">
        <v>54706</v>
      </c>
      <c r="P45" s="207">
        <f t="shared" si="2"/>
        <v>49818</v>
      </c>
      <c r="Q45" s="207">
        <v>4</v>
      </c>
      <c r="R45" s="207">
        <v>4</v>
      </c>
      <c r="U45" s="206">
        <v>0</v>
      </c>
      <c r="V45" s="206">
        <v>1</v>
      </c>
      <c r="W45" s="206">
        <v>1</v>
      </c>
      <c r="X45" s="206" t="e">
        <v>#DIV/0!</v>
      </c>
    </row>
    <row r="46" spans="1:24" x14ac:dyDescent="0.25">
      <c r="A46" s="206" t="str">
        <f t="shared" si="0"/>
        <v>SD14039Host Community</v>
      </c>
      <c r="B46" s="206" t="s">
        <v>182</v>
      </c>
      <c r="C46" s="206" t="s">
        <v>131</v>
      </c>
      <c r="D46" s="206" t="s">
        <v>486</v>
      </c>
      <c r="E46" s="206" t="s">
        <v>487</v>
      </c>
      <c r="F46" s="206" t="s">
        <v>733</v>
      </c>
      <c r="G46" s="207">
        <v>64062</v>
      </c>
      <c r="H46" s="206" t="s">
        <v>87</v>
      </c>
      <c r="I46" s="206" t="s">
        <v>731</v>
      </c>
      <c r="J46" s="233">
        <v>0.2</v>
      </c>
      <c r="K46" s="233">
        <v>0.35000000000000003</v>
      </c>
      <c r="L46" s="233">
        <v>0.35000000000000003</v>
      </c>
      <c r="M46" s="233">
        <v>0.1</v>
      </c>
      <c r="N46" s="233">
        <v>0</v>
      </c>
      <c r="O46" s="207">
        <v>6406</v>
      </c>
      <c r="P46" s="207">
        <f t="shared" si="2"/>
        <v>5834</v>
      </c>
      <c r="Q46" s="207">
        <v>3</v>
      </c>
      <c r="R46" s="207">
        <v>3</v>
      </c>
      <c r="U46" s="206">
        <v>0</v>
      </c>
      <c r="V46" s="206">
        <v>1</v>
      </c>
      <c r="W46" s="206">
        <v>1</v>
      </c>
      <c r="X46" s="206" t="e">
        <v>#DIV/0!</v>
      </c>
    </row>
    <row r="47" spans="1:24" x14ac:dyDescent="0.25">
      <c r="A47" s="206" t="str">
        <f t="shared" si="0"/>
        <v>SD14039IDPs</v>
      </c>
      <c r="B47" s="206" t="s">
        <v>182</v>
      </c>
      <c r="C47" s="206" t="s">
        <v>131</v>
      </c>
      <c r="D47" s="206" t="s">
        <v>486</v>
      </c>
      <c r="E47" s="206" t="s">
        <v>487</v>
      </c>
      <c r="F47" s="206" t="s">
        <v>733</v>
      </c>
      <c r="G47" s="207">
        <v>64062</v>
      </c>
      <c r="H47" s="206" t="s">
        <v>88</v>
      </c>
      <c r="I47" s="206" t="s">
        <v>732</v>
      </c>
      <c r="J47" s="233">
        <v>0.2</v>
      </c>
      <c r="K47" s="233">
        <v>0.35000000000000003</v>
      </c>
      <c r="L47" s="233">
        <v>0.35000000000000003</v>
      </c>
      <c r="M47" s="233">
        <v>0.1</v>
      </c>
      <c r="N47" s="233">
        <v>0</v>
      </c>
      <c r="O47" s="207">
        <v>6406</v>
      </c>
      <c r="P47" s="207">
        <f t="shared" si="2"/>
        <v>5834</v>
      </c>
      <c r="Q47" s="207">
        <v>3</v>
      </c>
      <c r="R47" s="207">
        <v>3</v>
      </c>
      <c r="U47" s="206">
        <v>0</v>
      </c>
      <c r="V47" s="206">
        <v>1</v>
      </c>
      <c r="W47" s="206">
        <v>1</v>
      </c>
      <c r="X47" s="206" t="e">
        <v>#DIV/0!</v>
      </c>
    </row>
    <row r="48" spans="1:24" x14ac:dyDescent="0.25">
      <c r="A48" s="206" t="str">
        <f t="shared" si="0"/>
        <v>SD14039Non-hosting Population</v>
      </c>
      <c r="B48" s="206" t="s">
        <v>182</v>
      </c>
      <c r="C48" s="206" t="s">
        <v>131</v>
      </c>
      <c r="D48" s="206" t="s">
        <v>486</v>
      </c>
      <c r="E48" s="206" t="s">
        <v>487</v>
      </c>
      <c r="F48" s="206" t="s">
        <v>733</v>
      </c>
      <c r="G48" s="207">
        <v>47908</v>
      </c>
      <c r="H48" s="206" t="s">
        <v>568</v>
      </c>
      <c r="I48" s="206" t="s">
        <v>731</v>
      </c>
      <c r="J48" s="233">
        <v>0.2</v>
      </c>
      <c r="K48" s="233">
        <v>0.35000000000000003</v>
      </c>
      <c r="L48" s="233">
        <v>0.35000000000000003</v>
      </c>
      <c r="M48" s="233">
        <v>0.1</v>
      </c>
      <c r="N48" s="233">
        <v>0</v>
      </c>
      <c r="O48" s="207">
        <v>4791</v>
      </c>
      <c r="P48" s="207">
        <f t="shared" si="2"/>
        <v>4363</v>
      </c>
      <c r="Q48" s="207">
        <v>3</v>
      </c>
      <c r="R48" s="207">
        <v>3</v>
      </c>
      <c r="U48" s="206">
        <v>0</v>
      </c>
      <c r="V48" s="206">
        <v>1</v>
      </c>
      <c r="W48" s="206">
        <v>1</v>
      </c>
      <c r="X48" s="206" t="e">
        <v>#DIV/0!</v>
      </c>
    </row>
    <row r="49" spans="1:24" x14ac:dyDescent="0.25">
      <c r="A49" s="206" t="str">
        <f t="shared" si="0"/>
        <v>SD14040Host Community</v>
      </c>
      <c r="B49" s="206" t="s">
        <v>182</v>
      </c>
      <c r="C49" s="206" t="s">
        <v>131</v>
      </c>
      <c r="D49" s="206" t="s">
        <v>488</v>
      </c>
      <c r="E49" s="206" t="s">
        <v>489</v>
      </c>
      <c r="F49" s="206" t="s">
        <v>730</v>
      </c>
      <c r="G49" s="207">
        <v>68132</v>
      </c>
      <c r="H49" s="206" t="s">
        <v>87</v>
      </c>
      <c r="I49" s="206" t="s">
        <v>731</v>
      </c>
      <c r="J49" s="233">
        <v>0.2</v>
      </c>
      <c r="K49" s="233">
        <v>0.3</v>
      </c>
      <c r="L49" s="233">
        <v>0.4</v>
      </c>
      <c r="M49" s="233">
        <v>0.1</v>
      </c>
      <c r="N49" s="233">
        <v>0</v>
      </c>
      <c r="O49" s="207">
        <v>6813</v>
      </c>
      <c r="P49" s="207">
        <f t="shared" si="2"/>
        <v>6204</v>
      </c>
      <c r="Q49" s="207">
        <v>3</v>
      </c>
      <c r="R49" s="207">
        <v>3</v>
      </c>
      <c r="U49" s="206">
        <v>0</v>
      </c>
      <c r="V49" s="206">
        <v>1</v>
      </c>
      <c r="W49" s="206">
        <v>1</v>
      </c>
      <c r="X49" s="206" t="e">
        <v>#DIV/0!</v>
      </c>
    </row>
    <row r="50" spans="1:24" x14ac:dyDescent="0.25">
      <c r="A50" s="206" t="str">
        <f t="shared" si="0"/>
        <v>SD14040IDPs</v>
      </c>
      <c r="B50" s="206" t="s">
        <v>182</v>
      </c>
      <c r="C50" s="206" t="s">
        <v>131</v>
      </c>
      <c r="D50" s="206" t="s">
        <v>488</v>
      </c>
      <c r="E50" s="206" t="s">
        <v>489</v>
      </c>
      <c r="F50" s="206" t="s">
        <v>730</v>
      </c>
      <c r="G50" s="207">
        <v>65160</v>
      </c>
      <c r="H50" s="206" t="s">
        <v>88</v>
      </c>
      <c r="I50" s="206" t="s">
        <v>732</v>
      </c>
      <c r="J50" s="233">
        <v>0.2</v>
      </c>
      <c r="K50" s="233">
        <v>0.3</v>
      </c>
      <c r="L50" s="233">
        <v>0.4</v>
      </c>
      <c r="M50" s="233">
        <v>0.1</v>
      </c>
      <c r="N50" s="233">
        <v>0</v>
      </c>
      <c r="O50" s="207">
        <v>6516</v>
      </c>
      <c r="P50" s="207">
        <f t="shared" si="2"/>
        <v>5934</v>
      </c>
      <c r="Q50" s="207">
        <v>3</v>
      </c>
      <c r="R50" s="207">
        <v>3</v>
      </c>
      <c r="U50" s="206">
        <v>0</v>
      </c>
      <c r="V50" s="206">
        <v>1</v>
      </c>
      <c r="W50" s="206">
        <v>1</v>
      </c>
      <c r="X50" s="206" t="e">
        <v>#DIV/0!</v>
      </c>
    </row>
    <row r="51" spans="1:24" x14ac:dyDescent="0.25">
      <c r="A51" s="206" t="str">
        <f t="shared" si="0"/>
        <v>SD14040Non-hosting Population</v>
      </c>
      <c r="B51" s="206" t="s">
        <v>182</v>
      </c>
      <c r="C51" s="206" t="s">
        <v>131</v>
      </c>
      <c r="D51" s="206" t="s">
        <v>488</v>
      </c>
      <c r="E51" s="206" t="s">
        <v>489</v>
      </c>
      <c r="F51" s="206" t="s">
        <v>730</v>
      </c>
      <c r="G51" s="207">
        <v>228846</v>
      </c>
      <c r="H51" s="206" t="s">
        <v>568</v>
      </c>
      <c r="I51" s="206" t="s">
        <v>731</v>
      </c>
      <c r="J51" s="233">
        <v>0.2</v>
      </c>
      <c r="K51" s="233">
        <v>0.3</v>
      </c>
      <c r="L51" s="233">
        <v>0.4</v>
      </c>
      <c r="M51" s="233">
        <v>0.1</v>
      </c>
      <c r="N51" s="233">
        <v>0</v>
      </c>
      <c r="O51" s="207">
        <v>22885</v>
      </c>
      <c r="P51" s="207">
        <f t="shared" si="2"/>
        <v>20840</v>
      </c>
      <c r="Q51" s="207">
        <v>3</v>
      </c>
      <c r="R51" s="207">
        <v>3</v>
      </c>
      <c r="U51" s="206">
        <v>0</v>
      </c>
      <c r="V51" s="206">
        <v>1</v>
      </c>
      <c r="W51" s="206">
        <v>1</v>
      </c>
      <c r="X51" s="206" t="e">
        <v>#DIV/0!</v>
      </c>
    </row>
    <row r="52" spans="1:24" x14ac:dyDescent="0.25">
      <c r="A52" s="206" t="str">
        <f t="shared" si="0"/>
        <v>SD14041Host Community</v>
      </c>
      <c r="B52" s="206" t="s">
        <v>182</v>
      </c>
      <c r="C52" s="206" t="s">
        <v>131</v>
      </c>
      <c r="D52" s="206" t="s">
        <v>490</v>
      </c>
      <c r="E52" s="206" t="s">
        <v>491</v>
      </c>
      <c r="F52" s="206" t="s">
        <v>733</v>
      </c>
      <c r="G52" s="207">
        <v>102333</v>
      </c>
      <c r="H52" s="206" t="s">
        <v>87</v>
      </c>
      <c r="I52" s="206" t="s">
        <v>731</v>
      </c>
      <c r="J52" s="233">
        <v>0.25</v>
      </c>
      <c r="K52" s="233">
        <v>0.3</v>
      </c>
      <c r="L52" s="233">
        <v>0.35000000000000003</v>
      </c>
      <c r="M52" s="233">
        <v>0.1</v>
      </c>
      <c r="N52" s="233">
        <v>0</v>
      </c>
      <c r="O52" s="207">
        <v>10233</v>
      </c>
      <c r="P52" s="207">
        <f t="shared" si="2"/>
        <v>9319</v>
      </c>
      <c r="Q52" s="207">
        <v>3</v>
      </c>
      <c r="R52" s="207">
        <v>3</v>
      </c>
      <c r="U52" s="206">
        <v>0</v>
      </c>
      <c r="V52" s="206">
        <v>1</v>
      </c>
      <c r="W52" s="206">
        <v>1</v>
      </c>
      <c r="X52" s="206" t="e">
        <v>#DIV/0!</v>
      </c>
    </row>
    <row r="53" spans="1:24" x14ac:dyDescent="0.25">
      <c r="A53" s="206" t="str">
        <f t="shared" si="0"/>
        <v>SD14041IDPs</v>
      </c>
      <c r="B53" s="206" t="s">
        <v>182</v>
      </c>
      <c r="C53" s="206" t="s">
        <v>131</v>
      </c>
      <c r="D53" s="206" t="s">
        <v>490</v>
      </c>
      <c r="E53" s="206" t="s">
        <v>491</v>
      </c>
      <c r="F53" s="206" t="s">
        <v>733</v>
      </c>
      <c r="G53" s="207">
        <v>76275</v>
      </c>
      <c r="H53" s="206" t="s">
        <v>88</v>
      </c>
      <c r="I53" s="206" t="s">
        <v>732</v>
      </c>
      <c r="J53" s="233">
        <v>0.25</v>
      </c>
      <c r="K53" s="233">
        <v>0.3</v>
      </c>
      <c r="L53" s="233">
        <v>0.35000000000000003</v>
      </c>
      <c r="M53" s="233">
        <v>0.1</v>
      </c>
      <c r="N53" s="233">
        <v>0</v>
      </c>
      <c r="O53" s="207">
        <v>7628</v>
      </c>
      <c r="P53" s="207">
        <f t="shared" si="2"/>
        <v>6946</v>
      </c>
      <c r="Q53" s="207">
        <v>3</v>
      </c>
      <c r="R53" s="207">
        <v>3</v>
      </c>
      <c r="U53" s="206">
        <v>0</v>
      </c>
      <c r="V53" s="206">
        <v>1</v>
      </c>
      <c r="W53" s="206">
        <v>1</v>
      </c>
      <c r="X53" s="206" t="e">
        <v>#DIV/0!</v>
      </c>
    </row>
    <row r="54" spans="1:24" x14ac:dyDescent="0.25">
      <c r="A54" s="206" t="str">
        <f t="shared" si="0"/>
        <v>SD14041Non-hosting Population</v>
      </c>
      <c r="B54" s="206" t="s">
        <v>182</v>
      </c>
      <c r="C54" s="206" t="s">
        <v>131</v>
      </c>
      <c r="D54" s="206" t="s">
        <v>490</v>
      </c>
      <c r="E54" s="206" t="s">
        <v>491</v>
      </c>
      <c r="F54" s="206" t="s">
        <v>733</v>
      </c>
      <c r="G54" s="207">
        <v>255865</v>
      </c>
      <c r="H54" s="206" t="s">
        <v>568</v>
      </c>
      <c r="I54" s="206" t="s">
        <v>731</v>
      </c>
      <c r="J54" s="233">
        <v>0.25</v>
      </c>
      <c r="K54" s="233">
        <v>0.3</v>
      </c>
      <c r="L54" s="233">
        <v>0.35000000000000003</v>
      </c>
      <c r="M54" s="233">
        <v>0.1</v>
      </c>
      <c r="N54" s="233">
        <v>0</v>
      </c>
      <c r="O54" s="207">
        <v>25587</v>
      </c>
      <c r="P54" s="207">
        <f t="shared" si="2"/>
        <v>23301</v>
      </c>
      <c r="Q54" s="207">
        <v>3</v>
      </c>
      <c r="R54" s="207">
        <v>3</v>
      </c>
      <c r="U54" s="206">
        <v>0</v>
      </c>
      <c r="V54" s="206">
        <v>1</v>
      </c>
      <c r="W54" s="206">
        <v>1</v>
      </c>
      <c r="X54" s="206" t="e">
        <v>#DIV/0!</v>
      </c>
    </row>
    <row r="55" spans="1:24" x14ac:dyDescent="0.25">
      <c r="A55" s="206" t="str">
        <f t="shared" si="0"/>
        <v>SD14042Host Community</v>
      </c>
      <c r="B55" s="206" t="s">
        <v>182</v>
      </c>
      <c r="C55" s="206" t="s">
        <v>131</v>
      </c>
      <c r="D55" s="206" t="s">
        <v>492</v>
      </c>
      <c r="E55" s="206" t="s">
        <v>493</v>
      </c>
      <c r="F55" s="206" t="s">
        <v>733</v>
      </c>
      <c r="G55" s="207">
        <v>56261</v>
      </c>
      <c r="H55" s="206" t="s">
        <v>87</v>
      </c>
      <c r="I55" s="206" t="s">
        <v>731</v>
      </c>
      <c r="J55" s="233">
        <v>0.15</v>
      </c>
      <c r="K55" s="233">
        <v>0.35000000000000003</v>
      </c>
      <c r="L55" s="233">
        <v>0.4</v>
      </c>
      <c r="M55" s="233">
        <v>0.1</v>
      </c>
      <c r="N55" s="233">
        <v>0</v>
      </c>
      <c r="O55" s="207">
        <v>5626</v>
      </c>
      <c r="P55" s="207">
        <f t="shared" si="2"/>
        <v>5123</v>
      </c>
      <c r="Q55" s="207">
        <v>3</v>
      </c>
      <c r="R55" s="207">
        <v>3</v>
      </c>
      <c r="U55" s="206">
        <v>0</v>
      </c>
      <c r="V55" s="206">
        <v>1</v>
      </c>
      <c r="W55" s="206">
        <v>1</v>
      </c>
      <c r="X55" s="206" t="e">
        <v>#DIV/0!</v>
      </c>
    </row>
    <row r="56" spans="1:24" x14ac:dyDescent="0.25">
      <c r="A56" s="206" t="str">
        <f t="shared" si="0"/>
        <v>SD14042IDPs</v>
      </c>
      <c r="B56" s="206" t="s">
        <v>182</v>
      </c>
      <c r="C56" s="206" t="s">
        <v>131</v>
      </c>
      <c r="D56" s="206" t="s">
        <v>492</v>
      </c>
      <c r="E56" s="206" t="s">
        <v>493</v>
      </c>
      <c r="F56" s="206" t="s">
        <v>733</v>
      </c>
      <c r="G56" s="207">
        <v>56261</v>
      </c>
      <c r="H56" s="206" t="s">
        <v>88</v>
      </c>
      <c r="I56" s="206" t="s">
        <v>732</v>
      </c>
      <c r="J56" s="233">
        <v>0.15</v>
      </c>
      <c r="K56" s="233">
        <v>0.35000000000000003</v>
      </c>
      <c r="L56" s="233">
        <v>0.4</v>
      </c>
      <c r="M56" s="233">
        <v>0.1</v>
      </c>
      <c r="N56" s="233">
        <v>0</v>
      </c>
      <c r="O56" s="207">
        <v>5626</v>
      </c>
      <c r="P56" s="207">
        <f t="shared" si="2"/>
        <v>5123</v>
      </c>
      <c r="Q56" s="207">
        <v>3</v>
      </c>
      <c r="R56" s="207">
        <v>3</v>
      </c>
      <c r="U56" s="206">
        <v>0</v>
      </c>
      <c r="V56" s="206">
        <v>1</v>
      </c>
      <c r="W56" s="206">
        <v>1</v>
      </c>
      <c r="X56" s="206" t="e">
        <v>#DIV/0!</v>
      </c>
    </row>
    <row r="57" spans="1:24" x14ac:dyDescent="0.25">
      <c r="A57" s="206" t="str">
        <f t="shared" si="0"/>
        <v>SD14042Non-hosting Population</v>
      </c>
      <c r="B57" s="206" t="s">
        <v>182</v>
      </c>
      <c r="C57" s="206" t="s">
        <v>131</v>
      </c>
      <c r="D57" s="206" t="s">
        <v>492</v>
      </c>
      <c r="E57" s="206" t="s">
        <v>493</v>
      </c>
      <c r="F57" s="206" t="s">
        <v>733</v>
      </c>
      <c r="G57" s="207">
        <v>302576</v>
      </c>
      <c r="H57" s="206" t="s">
        <v>568</v>
      </c>
      <c r="I57" s="206" t="s">
        <v>731</v>
      </c>
      <c r="J57" s="233">
        <v>0.15</v>
      </c>
      <c r="K57" s="233">
        <v>0.35000000000000003</v>
      </c>
      <c r="L57" s="233">
        <v>0.4</v>
      </c>
      <c r="M57" s="233">
        <v>0.1</v>
      </c>
      <c r="N57" s="233">
        <v>0</v>
      </c>
      <c r="O57" s="207">
        <v>30258</v>
      </c>
      <c r="P57" s="207">
        <f t="shared" si="2"/>
        <v>27554</v>
      </c>
      <c r="Q57" s="207">
        <v>3</v>
      </c>
      <c r="R57" s="207">
        <v>3</v>
      </c>
      <c r="U57" s="206">
        <v>0</v>
      </c>
      <c r="V57" s="206">
        <v>1</v>
      </c>
      <c r="W57" s="206">
        <v>1</v>
      </c>
      <c r="X57" s="206" t="e">
        <v>#DIV/0!</v>
      </c>
    </row>
    <row r="58" spans="1:24" x14ac:dyDescent="0.25">
      <c r="A58" s="206" t="str">
        <f t="shared" si="0"/>
        <v>SD14043Host Community</v>
      </c>
      <c r="B58" s="206" t="s">
        <v>182</v>
      </c>
      <c r="C58" s="206" t="s">
        <v>131</v>
      </c>
      <c r="D58" s="206" t="s">
        <v>494</v>
      </c>
      <c r="E58" s="206" t="s">
        <v>495</v>
      </c>
      <c r="F58" s="206" t="s">
        <v>733</v>
      </c>
      <c r="G58" s="207">
        <v>76117</v>
      </c>
      <c r="H58" s="206" t="s">
        <v>87</v>
      </c>
      <c r="I58" s="206" t="s">
        <v>731</v>
      </c>
      <c r="J58" s="233">
        <v>0.2</v>
      </c>
      <c r="K58" s="233">
        <v>0.35000000000000003</v>
      </c>
      <c r="L58" s="233">
        <v>0.35000000000000003</v>
      </c>
      <c r="M58" s="233">
        <v>0.1</v>
      </c>
      <c r="N58" s="233">
        <v>0</v>
      </c>
      <c r="O58" s="207">
        <v>7612</v>
      </c>
      <c r="P58" s="207">
        <f t="shared" si="2"/>
        <v>6932</v>
      </c>
      <c r="Q58" s="207">
        <v>3</v>
      </c>
      <c r="R58" s="207">
        <v>3</v>
      </c>
      <c r="U58" s="206">
        <v>0</v>
      </c>
      <c r="V58" s="206">
        <v>1</v>
      </c>
      <c r="W58" s="206">
        <v>1</v>
      </c>
      <c r="X58" s="206" t="e">
        <v>#DIV/0!</v>
      </c>
    </row>
    <row r="59" spans="1:24" x14ac:dyDescent="0.25">
      <c r="A59" s="206" t="str">
        <f t="shared" si="0"/>
        <v>SD14043IDPs</v>
      </c>
      <c r="B59" s="206" t="s">
        <v>182</v>
      </c>
      <c r="C59" s="206" t="s">
        <v>131</v>
      </c>
      <c r="D59" s="206" t="s">
        <v>494</v>
      </c>
      <c r="E59" s="206" t="s">
        <v>495</v>
      </c>
      <c r="F59" s="206" t="s">
        <v>733</v>
      </c>
      <c r="G59" s="207">
        <v>76117</v>
      </c>
      <c r="H59" s="206" t="s">
        <v>88</v>
      </c>
      <c r="I59" s="206" t="s">
        <v>732</v>
      </c>
      <c r="J59" s="233">
        <v>0.2</v>
      </c>
      <c r="K59" s="233">
        <v>0.35000000000000003</v>
      </c>
      <c r="L59" s="233">
        <v>0.35000000000000003</v>
      </c>
      <c r="M59" s="233">
        <v>0.1</v>
      </c>
      <c r="N59" s="233">
        <v>0</v>
      </c>
      <c r="O59" s="207">
        <v>7612</v>
      </c>
      <c r="P59" s="207">
        <f t="shared" si="2"/>
        <v>6932</v>
      </c>
      <c r="Q59" s="207">
        <v>3</v>
      </c>
      <c r="R59" s="207">
        <v>3</v>
      </c>
      <c r="U59" s="206">
        <v>0</v>
      </c>
      <c r="V59" s="206">
        <v>1</v>
      </c>
      <c r="W59" s="206">
        <v>1</v>
      </c>
      <c r="X59" s="206" t="e">
        <v>#DIV/0!</v>
      </c>
    </row>
    <row r="60" spans="1:24" x14ac:dyDescent="0.25">
      <c r="A60" s="206" t="str">
        <f t="shared" si="0"/>
        <v>SD14043Non-hosting Population</v>
      </c>
      <c r="B60" s="206" t="s">
        <v>182</v>
      </c>
      <c r="C60" s="206" t="s">
        <v>131</v>
      </c>
      <c r="D60" s="206" t="s">
        <v>494</v>
      </c>
      <c r="E60" s="206" t="s">
        <v>495</v>
      </c>
      <c r="F60" s="206" t="s">
        <v>733</v>
      </c>
      <c r="G60" s="207">
        <v>166149</v>
      </c>
      <c r="H60" s="206" t="s">
        <v>568</v>
      </c>
      <c r="I60" s="206" t="s">
        <v>731</v>
      </c>
      <c r="J60" s="233">
        <v>0.2</v>
      </c>
      <c r="K60" s="233">
        <v>0.35000000000000003</v>
      </c>
      <c r="L60" s="233">
        <v>0.35000000000000003</v>
      </c>
      <c r="M60" s="233">
        <v>0.1</v>
      </c>
      <c r="N60" s="233">
        <v>0</v>
      </c>
      <c r="O60" s="207">
        <v>16615</v>
      </c>
      <c r="P60" s="207">
        <f t="shared" si="2"/>
        <v>15130</v>
      </c>
      <c r="Q60" s="207">
        <v>3</v>
      </c>
      <c r="R60" s="207">
        <v>3</v>
      </c>
      <c r="U60" s="206">
        <v>0</v>
      </c>
      <c r="V60" s="206">
        <v>1</v>
      </c>
      <c r="W60" s="206">
        <v>1</v>
      </c>
      <c r="X60" s="206" t="e">
        <v>#DIV/0!</v>
      </c>
    </row>
    <row r="61" spans="1:24" x14ac:dyDescent="0.25">
      <c r="A61" s="206" t="str">
        <f t="shared" si="0"/>
        <v>SD15030Host Community</v>
      </c>
      <c r="B61" s="206" t="s">
        <v>147</v>
      </c>
      <c r="C61" s="206" t="s">
        <v>132</v>
      </c>
      <c r="D61" s="206" t="s">
        <v>496</v>
      </c>
      <c r="E61" s="206" t="s">
        <v>497</v>
      </c>
      <c r="F61" s="206" t="s">
        <v>730</v>
      </c>
      <c r="G61" s="207">
        <v>22270</v>
      </c>
      <c r="H61" s="206" t="s">
        <v>87</v>
      </c>
      <c r="I61" s="206" t="s">
        <v>731</v>
      </c>
      <c r="J61" s="233">
        <v>0.1</v>
      </c>
      <c r="K61" s="233">
        <v>0.3</v>
      </c>
      <c r="L61" s="233">
        <v>0.3</v>
      </c>
      <c r="M61" s="233">
        <v>0.3</v>
      </c>
      <c r="N61" s="233">
        <v>0</v>
      </c>
      <c r="O61" s="207">
        <v>6681</v>
      </c>
      <c r="P61" s="207">
        <f t="shared" si="2"/>
        <v>6084</v>
      </c>
      <c r="Q61" s="207">
        <v>4</v>
      </c>
      <c r="R61" s="207">
        <v>4</v>
      </c>
      <c r="U61" s="206">
        <v>0</v>
      </c>
      <c r="V61" s="206">
        <v>0</v>
      </c>
      <c r="W61" s="206">
        <v>1</v>
      </c>
      <c r="X61" s="206" t="e">
        <v>#DIV/0!</v>
      </c>
    </row>
    <row r="62" spans="1:24" x14ac:dyDescent="0.25">
      <c r="A62" s="206" t="str">
        <f t="shared" si="0"/>
        <v>SD15030IDPs</v>
      </c>
      <c r="B62" s="206" t="s">
        <v>147</v>
      </c>
      <c r="C62" s="206" t="s">
        <v>132</v>
      </c>
      <c r="D62" s="206" t="s">
        <v>496</v>
      </c>
      <c r="E62" s="206" t="s">
        <v>497</v>
      </c>
      <c r="F62" s="206" t="s">
        <v>730</v>
      </c>
      <c r="G62" s="207">
        <v>20005</v>
      </c>
      <c r="H62" s="206" t="s">
        <v>88</v>
      </c>
      <c r="I62" s="206" t="s">
        <v>732</v>
      </c>
      <c r="J62" s="233">
        <v>0.1</v>
      </c>
      <c r="K62" s="233">
        <v>0.3</v>
      </c>
      <c r="L62" s="233">
        <v>0.3</v>
      </c>
      <c r="M62" s="233">
        <v>0.3</v>
      </c>
      <c r="N62" s="233">
        <v>0</v>
      </c>
      <c r="O62" s="207">
        <v>6002</v>
      </c>
      <c r="P62" s="207">
        <f t="shared" si="2"/>
        <v>5466</v>
      </c>
      <c r="Q62" s="207">
        <v>4</v>
      </c>
      <c r="R62" s="207">
        <v>4</v>
      </c>
      <c r="U62" s="206">
        <v>0</v>
      </c>
      <c r="V62" s="206">
        <v>0</v>
      </c>
      <c r="W62" s="206">
        <v>1</v>
      </c>
      <c r="X62" s="206" t="e">
        <v>#DIV/0!</v>
      </c>
    </row>
    <row r="63" spans="1:24" x14ac:dyDescent="0.25">
      <c r="A63" s="206" t="str">
        <f t="shared" si="0"/>
        <v>SD15030Non-hosting Population</v>
      </c>
      <c r="B63" s="206" t="s">
        <v>147</v>
      </c>
      <c r="C63" s="206" t="s">
        <v>132</v>
      </c>
      <c r="D63" s="206" t="s">
        <v>496</v>
      </c>
      <c r="E63" s="206" t="s">
        <v>497</v>
      </c>
      <c r="F63" s="206" t="s">
        <v>730</v>
      </c>
      <c r="G63" s="207">
        <v>214843</v>
      </c>
      <c r="H63" s="206" t="s">
        <v>568</v>
      </c>
      <c r="I63" s="206" t="s">
        <v>731</v>
      </c>
      <c r="J63" s="233">
        <v>0.1</v>
      </c>
      <c r="K63" s="233">
        <v>0.3</v>
      </c>
      <c r="L63" s="233">
        <v>0.3</v>
      </c>
      <c r="M63" s="233">
        <v>0.3</v>
      </c>
      <c r="N63" s="233">
        <v>0</v>
      </c>
      <c r="O63" s="207">
        <v>64453</v>
      </c>
      <c r="P63" s="207">
        <f t="shared" si="2"/>
        <v>58694</v>
      </c>
      <c r="Q63" s="207">
        <v>4</v>
      </c>
      <c r="R63" s="207">
        <v>4</v>
      </c>
      <c r="U63" s="206">
        <v>0</v>
      </c>
      <c r="V63" s="206">
        <v>0</v>
      </c>
      <c r="W63" s="206">
        <v>1</v>
      </c>
      <c r="X63" s="206" t="e">
        <v>#DIV/0!</v>
      </c>
    </row>
    <row r="64" spans="1:24" x14ac:dyDescent="0.25">
      <c r="A64" s="206" t="str">
        <f t="shared" si="0"/>
        <v>SD15031Host Community</v>
      </c>
      <c r="B64" s="206" t="s">
        <v>147</v>
      </c>
      <c r="C64" s="206" t="s">
        <v>132</v>
      </c>
      <c r="D64" s="206" t="s">
        <v>498</v>
      </c>
      <c r="E64" s="206" t="s">
        <v>499</v>
      </c>
      <c r="F64" s="206" t="s">
        <v>733</v>
      </c>
      <c r="G64" s="207">
        <v>23698</v>
      </c>
      <c r="H64" s="206" t="s">
        <v>87</v>
      </c>
      <c r="I64" s="206" t="s">
        <v>731</v>
      </c>
      <c r="J64" s="233">
        <v>0.1</v>
      </c>
      <c r="K64" s="233">
        <v>0.35000000000000003</v>
      </c>
      <c r="L64" s="233">
        <v>0.3</v>
      </c>
      <c r="M64" s="233">
        <v>0.25</v>
      </c>
      <c r="N64" s="233">
        <v>0</v>
      </c>
      <c r="O64" s="207">
        <v>5925</v>
      </c>
      <c r="P64" s="207">
        <f t="shared" si="2"/>
        <v>5396</v>
      </c>
      <c r="Q64" s="207">
        <v>4</v>
      </c>
      <c r="R64" s="207">
        <v>4</v>
      </c>
      <c r="U64" s="206">
        <v>0</v>
      </c>
      <c r="V64" s="206">
        <v>0</v>
      </c>
      <c r="W64" s="206">
        <v>1</v>
      </c>
      <c r="X64" s="206" t="e">
        <v>#DIV/0!</v>
      </c>
    </row>
    <row r="65" spans="1:24" x14ac:dyDescent="0.25">
      <c r="A65" s="206" t="str">
        <f t="shared" si="0"/>
        <v>SD15031IDPs</v>
      </c>
      <c r="B65" s="206" t="s">
        <v>147</v>
      </c>
      <c r="C65" s="206" t="s">
        <v>132</v>
      </c>
      <c r="D65" s="206" t="s">
        <v>498</v>
      </c>
      <c r="E65" s="206" t="s">
        <v>499</v>
      </c>
      <c r="F65" s="206" t="s">
        <v>733</v>
      </c>
      <c r="G65" s="207">
        <v>25521</v>
      </c>
      <c r="H65" s="206" t="s">
        <v>88</v>
      </c>
      <c r="I65" s="206" t="s">
        <v>732</v>
      </c>
      <c r="J65" s="233">
        <v>0.1</v>
      </c>
      <c r="K65" s="233">
        <v>0.35000000000000003</v>
      </c>
      <c r="L65" s="233">
        <v>0.3</v>
      </c>
      <c r="M65" s="233">
        <v>0.25</v>
      </c>
      <c r="N65" s="233">
        <v>0</v>
      </c>
      <c r="O65" s="207">
        <v>6380</v>
      </c>
      <c r="P65" s="207">
        <f t="shared" si="2"/>
        <v>5810</v>
      </c>
      <c r="Q65" s="207">
        <v>4</v>
      </c>
      <c r="R65" s="207">
        <v>4</v>
      </c>
      <c r="U65" s="206">
        <v>0</v>
      </c>
      <c r="V65" s="206">
        <v>0</v>
      </c>
      <c r="W65" s="206">
        <v>1</v>
      </c>
      <c r="X65" s="206" t="e">
        <v>#DIV/0!</v>
      </c>
    </row>
    <row r="66" spans="1:24" x14ac:dyDescent="0.25">
      <c r="A66" s="206" t="str">
        <f t="shared" si="0"/>
        <v>SD15031Non-hosting Population</v>
      </c>
      <c r="B66" s="206" t="s">
        <v>147</v>
      </c>
      <c r="C66" s="206" t="s">
        <v>132</v>
      </c>
      <c r="D66" s="206" t="s">
        <v>498</v>
      </c>
      <c r="E66" s="206" t="s">
        <v>499</v>
      </c>
      <c r="F66" s="206" t="s">
        <v>733</v>
      </c>
      <c r="G66" s="207">
        <v>754177</v>
      </c>
      <c r="H66" s="206" t="s">
        <v>568</v>
      </c>
      <c r="I66" s="206" t="s">
        <v>731</v>
      </c>
      <c r="J66" s="233">
        <v>0.1</v>
      </c>
      <c r="K66" s="233">
        <v>0.35000000000000003</v>
      </c>
      <c r="L66" s="233">
        <v>0.3</v>
      </c>
      <c r="M66" s="233">
        <v>0.25</v>
      </c>
      <c r="N66" s="233">
        <v>0</v>
      </c>
      <c r="O66" s="207">
        <v>188544</v>
      </c>
      <c r="P66" s="207">
        <f t="shared" si="2"/>
        <v>171697</v>
      </c>
      <c r="Q66" s="207">
        <v>4</v>
      </c>
      <c r="R66" s="207">
        <v>4</v>
      </c>
      <c r="U66" s="206">
        <v>0</v>
      </c>
      <c r="V66" s="206">
        <v>0</v>
      </c>
      <c r="W66" s="206">
        <v>1</v>
      </c>
      <c r="X66" s="206" t="e">
        <v>#DIV/0!</v>
      </c>
    </row>
    <row r="67" spans="1:24" x14ac:dyDescent="0.25">
      <c r="A67" s="206" t="str">
        <f t="shared" si="0"/>
        <v>SD15032Host Community</v>
      </c>
      <c r="B67" s="206" t="s">
        <v>147</v>
      </c>
      <c r="C67" s="206" t="s">
        <v>132</v>
      </c>
      <c r="D67" s="206" t="s">
        <v>500</v>
      </c>
      <c r="E67" s="206" t="s">
        <v>501</v>
      </c>
      <c r="F67" s="206" t="s">
        <v>733</v>
      </c>
      <c r="G67" s="207">
        <v>35143</v>
      </c>
      <c r="H67" s="206" t="s">
        <v>87</v>
      </c>
      <c r="I67" s="206" t="s">
        <v>731</v>
      </c>
      <c r="J67" s="233">
        <v>0.1</v>
      </c>
      <c r="K67" s="233">
        <v>0.35000000000000003</v>
      </c>
      <c r="L67" s="233">
        <v>0.3</v>
      </c>
      <c r="M67" s="233">
        <v>0.25</v>
      </c>
      <c r="N67" s="233">
        <v>0</v>
      </c>
      <c r="O67" s="207">
        <v>8786</v>
      </c>
      <c r="P67" s="207">
        <f t="shared" si="2"/>
        <v>8001</v>
      </c>
      <c r="Q67" s="207">
        <v>4</v>
      </c>
      <c r="R67" s="207">
        <v>4</v>
      </c>
      <c r="U67" s="206">
        <v>0</v>
      </c>
      <c r="V67" s="206">
        <v>0</v>
      </c>
      <c r="W67" s="206">
        <v>1</v>
      </c>
      <c r="X67" s="206" t="e">
        <v>#DIV/0!</v>
      </c>
    </row>
    <row r="68" spans="1:24" x14ac:dyDescent="0.25">
      <c r="A68" s="206" t="str">
        <f t="shared" si="0"/>
        <v>SD15032IDPs</v>
      </c>
      <c r="B68" s="206" t="s">
        <v>147</v>
      </c>
      <c r="C68" s="206" t="s">
        <v>132</v>
      </c>
      <c r="D68" s="206" t="s">
        <v>500</v>
      </c>
      <c r="E68" s="206" t="s">
        <v>501</v>
      </c>
      <c r="F68" s="206" t="s">
        <v>733</v>
      </c>
      <c r="G68" s="207">
        <v>33941</v>
      </c>
      <c r="H68" s="206" t="s">
        <v>88</v>
      </c>
      <c r="I68" s="206" t="s">
        <v>732</v>
      </c>
      <c r="J68" s="233">
        <v>0.1</v>
      </c>
      <c r="K68" s="233">
        <v>0.35000000000000003</v>
      </c>
      <c r="L68" s="233">
        <v>0.3</v>
      </c>
      <c r="M68" s="233">
        <v>0.25</v>
      </c>
      <c r="N68" s="233">
        <v>0</v>
      </c>
      <c r="O68" s="207">
        <v>8485</v>
      </c>
      <c r="P68" s="207">
        <f t="shared" si="2"/>
        <v>7727</v>
      </c>
      <c r="Q68" s="207">
        <v>4</v>
      </c>
      <c r="R68" s="207">
        <v>4</v>
      </c>
      <c r="U68" s="206">
        <v>0</v>
      </c>
      <c r="V68" s="206">
        <v>0</v>
      </c>
      <c r="W68" s="206">
        <v>1</v>
      </c>
      <c r="X68" s="206" t="e">
        <v>#DIV/0!</v>
      </c>
    </row>
    <row r="69" spans="1:24" x14ac:dyDescent="0.25">
      <c r="A69" s="206" t="str">
        <f t="shared" si="0"/>
        <v>SD15032Non-hosting Population</v>
      </c>
      <c r="B69" s="206" t="s">
        <v>147</v>
      </c>
      <c r="C69" s="206" t="s">
        <v>132</v>
      </c>
      <c r="D69" s="206" t="s">
        <v>500</v>
      </c>
      <c r="E69" s="206" t="s">
        <v>501</v>
      </c>
      <c r="F69" s="206" t="s">
        <v>733</v>
      </c>
      <c r="G69" s="207">
        <v>295661</v>
      </c>
      <c r="H69" s="206" t="s">
        <v>568</v>
      </c>
      <c r="I69" s="206" t="s">
        <v>731</v>
      </c>
      <c r="J69" s="233">
        <v>0.1</v>
      </c>
      <c r="K69" s="233">
        <v>0.35000000000000003</v>
      </c>
      <c r="L69" s="233">
        <v>0.3</v>
      </c>
      <c r="M69" s="233">
        <v>0.25</v>
      </c>
      <c r="N69" s="233">
        <v>0</v>
      </c>
      <c r="O69" s="207">
        <v>73915</v>
      </c>
      <c r="P69" s="207">
        <f t="shared" si="2"/>
        <v>67311</v>
      </c>
      <c r="Q69" s="207">
        <v>4</v>
      </c>
      <c r="R69" s="207">
        <v>4</v>
      </c>
      <c r="U69" s="206">
        <v>0</v>
      </c>
      <c r="V69" s="206">
        <v>0</v>
      </c>
      <c r="W69" s="206">
        <v>1</v>
      </c>
      <c r="X69" s="206" t="e">
        <v>#DIV/0!</v>
      </c>
    </row>
    <row r="70" spans="1:24" x14ac:dyDescent="0.25">
      <c r="A70" s="206" t="str">
        <f t="shared" si="0"/>
        <v>SD15033Host Community</v>
      </c>
      <c r="B70" s="206" t="s">
        <v>147</v>
      </c>
      <c r="C70" s="206" t="s">
        <v>132</v>
      </c>
      <c r="D70" s="206" t="s">
        <v>502</v>
      </c>
      <c r="E70" s="206" t="s">
        <v>503</v>
      </c>
      <c r="F70" s="206" t="s">
        <v>733</v>
      </c>
      <c r="G70" s="207">
        <v>31901</v>
      </c>
      <c r="H70" s="206" t="s">
        <v>87</v>
      </c>
      <c r="I70" s="206" t="s">
        <v>731</v>
      </c>
      <c r="J70" s="233">
        <v>0.1</v>
      </c>
      <c r="K70" s="233">
        <v>0.35000000000000003</v>
      </c>
      <c r="L70" s="233">
        <v>0.3</v>
      </c>
      <c r="M70" s="233">
        <v>0.25</v>
      </c>
      <c r="N70" s="233">
        <v>0</v>
      </c>
      <c r="O70" s="207">
        <v>7975</v>
      </c>
      <c r="P70" s="207">
        <f t="shared" si="2"/>
        <v>7262</v>
      </c>
      <c r="Q70" s="207">
        <v>4</v>
      </c>
      <c r="R70" s="207">
        <v>4</v>
      </c>
      <c r="U70" s="206">
        <v>0</v>
      </c>
      <c r="V70" s="206">
        <v>0</v>
      </c>
      <c r="W70" s="206">
        <v>1</v>
      </c>
      <c r="X70" s="206" t="e">
        <v>#DIV/0!</v>
      </c>
    </row>
    <row r="71" spans="1:24" x14ac:dyDescent="0.25">
      <c r="A71" s="206" t="str">
        <f t="shared" si="0"/>
        <v>SD15033IDPs</v>
      </c>
      <c r="B71" s="206" t="s">
        <v>147</v>
      </c>
      <c r="C71" s="206" t="s">
        <v>132</v>
      </c>
      <c r="D71" s="206" t="s">
        <v>502</v>
      </c>
      <c r="E71" s="206" t="s">
        <v>503</v>
      </c>
      <c r="F71" s="206" t="s">
        <v>733</v>
      </c>
      <c r="G71" s="207">
        <v>32763</v>
      </c>
      <c r="H71" s="206" t="s">
        <v>88</v>
      </c>
      <c r="I71" s="206" t="s">
        <v>732</v>
      </c>
      <c r="J71" s="233">
        <v>0.1</v>
      </c>
      <c r="K71" s="233">
        <v>0.35000000000000003</v>
      </c>
      <c r="L71" s="233">
        <v>0.3</v>
      </c>
      <c r="M71" s="233">
        <v>0.25</v>
      </c>
      <c r="N71" s="233">
        <v>0</v>
      </c>
      <c r="O71" s="207">
        <v>8191</v>
      </c>
      <c r="P71" s="207">
        <f t="shared" si="2"/>
        <v>7459</v>
      </c>
      <c r="Q71" s="207">
        <v>4</v>
      </c>
      <c r="R71" s="207">
        <v>4</v>
      </c>
      <c r="U71" s="206">
        <v>0</v>
      </c>
      <c r="V71" s="206">
        <v>0</v>
      </c>
      <c r="W71" s="206">
        <v>1</v>
      </c>
      <c r="X71" s="206" t="e">
        <v>#DIV/0!</v>
      </c>
    </row>
    <row r="72" spans="1:24" x14ac:dyDescent="0.25">
      <c r="A72" s="206" t="str">
        <f t="shared" si="0"/>
        <v>SD15033Non-hosting Population</v>
      </c>
      <c r="B72" s="206" t="s">
        <v>147</v>
      </c>
      <c r="C72" s="206" t="s">
        <v>132</v>
      </c>
      <c r="D72" s="206" t="s">
        <v>502</v>
      </c>
      <c r="E72" s="206" t="s">
        <v>503</v>
      </c>
      <c r="F72" s="206" t="s">
        <v>733</v>
      </c>
      <c r="G72" s="207">
        <v>599444</v>
      </c>
      <c r="H72" s="206" t="s">
        <v>568</v>
      </c>
      <c r="I72" s="206" t="s">
        <v>731</v>
      </c>
      <c r="J72" s="233">
        <v>0.1</v>
      </c>
      <c r="K72" s="233">
        <v>0.35000000000000003</v>
      </c>
      <c r="L72" s="233">
        <v>0.3</v>
      </c>
      <c r="M72" s="233">
        <v>0.25</v>
      </c>
      <c r="N72" s="233">
        <v>0</v>
      </c>
      <c r="O72" s="207">
        <v>149861</v>
      </c>
      <c r="P72" s="207">
        <f t="shared" si="2"/>
        <v>136471</v>
      </c>
      <c r="Q72" s="207">
        <v>4</v>
      </c>
      <c r="R72" s="207">
        <v>4</v>
      </c>
      <c r="U72" s="206">
        <v>0</v>
      </c>
      <c r="V72" s="206">
        <v>0</v>
      </c>
      <c r="W72" s="206">
        <v>1</v>
      </c>
      <c r="X72" s="206" t="e">
        <v>#DIV/0!</v>
      </c>
    </row>
    <row r="73" spans="1:24" x14ac:dyDescent="0.25">
      <c r="A73" s="206" t="str">
        <f t="shared" si="0"/>
        <v>SD15034Host Community</v>
      </c>
      <c r="B73" s="206" t="s">
        <v>147</v>
      </c>
      <c r="C73" s="206" t="s">
        <v>132</v>
      </c>
      <c r="D73" s="206" t="s">
        <v>504</v>
      </c>
      <c r="E73" s="206" t="s">
        <v>505</v>
      </c>
      <c r="F73" s="206" t="s">
        <v>730</v>
      </c>
      <c r="G73" s="207">
        <v>62155</v>
      </c>
      <c r="H73" s="206" t="s">
        <v>87</v>
      </c>
      <c r="I73" s="206" t="s">
        <v>731</v>
      </c>
      <c r="J73" s="233">
        <v>0.1</v>
      </c>
      <c r="K73" s="233">
        <v>0.35000000000000003</v>
      </c>
      <c r="L73" s="233">
        <v>0.3</v>
      </c>
      <c r="M73" s="233">
        <v>0.25</v>
      </c>
      <c r="N73" s="233">
        <v>0</v>
      </c>
      <c r="O73" s="207">
        <v>15539</v>
      </c>
      <c r="P73" s="207">
        <f t="shared" si="2"/>
        <v>14151</v>
      </c>
      <c r="Q73" s="207">
        <v>4</v>
      </c>
      <c r="R73" s="207">
        <v>4</v>
      </c>
      <c r="U73" s="206">
        <v>0</v>
      </c>
      <c r="V73" s="206">
        <v>0</v>
      </c>
      <c r="W73" s="206">
        <v>1</v>
      </c>
      <c r="X73" s="206" t="e">
        <v>#DIV/0!</v>
      </c>
    </row>
    <row r="74" spans="1:24" x14ac:dyDescent="0.25">
      <c r="A74" s="206" t="str">
        <f t="shared" si="0"/>
        <v>SD15034IDPs</v>
      </c>
      <c r="B74" s="206" t="s">
        <v>147</v>
      </c>
      <c r="C74" s="206" t="s">
        <v>132</v>
      </c>
      <c r="D74" s="206" t="s">
        <v>504</v>
      </c>
      <c r="E74" s="206" t="s">
        <v>505</v>
      </c>
      <c r="F74" s="206" t="s">
        <v>730</v>
      </c>
      <c r="G74" s="207">
        <v>39576</v>
      </c>
      <c r="H74" s="206" t="s">
        <v>88</v>
      </c>
      <c r="I74" s="206" t="s">
        <v>732</v>
      </c>
      <c r="J74" s="233">
        <v>0.1</v>
      </c>
      <c r="K74" s="233">
        <v>0.35000000000000003</v>
      </c>
      <c r="L74" s="233">
        <v>0.3</v>
      </c>
      <c r="M74" s="233">
        <v>0.25</v>
      </c>
      <c r="N74" s="233">
        <v>0</v>
      </c>
      <c r="O74" s="207">
        <v>9894</v>
      </c>
      <c r="P74" s="207">
        <f t="shared" si="2"/>
        <v>9010</v>
      </c>
      <c r="Q74" s="207">
        <v>4</v>
      </c>
      <c r="R74" s="207">
        <v>4</v>
      </c>
      <c r="U74" s="206">
        <v>0</v>
      </c>
      <c r="V74" s="206">
        <v>0</v>
      </c>
      <c r="W74" s="206">
        <v>1</v>
      </c>
      <c r="X74" s="206" t="e">
        <v>#DIV/0!</v>
      </c>
    </row>
    <row r="75" spans="1:24" x14ac:dyDescent="0.25">
      <c r="A75" s="206" t="str">
        <f t="shared" ref="A75:A138" si="3">CONCATENATE(E75,H75)</f>
        <v>SD15034Non-hosting Population</v>
      </c>
      <c r="B75" s="206" t="s">
        <v>147</v>
      </c>
      <c r="C75" s="206" t="s">
        <v>132</v>
      </c>
      <c r="D75" s="206" t="s">
        <v>504</v>
      </c>
      <c r="E75" s="206" t="s">
        <v>505</v>
      </c>
      <c r="F75" s="206" t="s">
        <v>730</v>
      </c>
      <c r="G75" s="207">
        <v>790733</v>
      </c>
      <c r="H75" s="206" t="s">
        <v>568</v>
      </c>
      <c r="I75" s="206" t="s">
        <v>731</v>
      </c>
      <c r="J75" s="233">
        <v>0.1</v>
      </c>
      <c r="K75" s="233">
        <v>0.35000000000000003</v>
      </c>
      <c r="L75" s="233">
        <v>0.3</v>
      </c>
      <c r="M75" s="233">
        <v>0.25</v>
      </c>
      <c r="N75" s="233">
        <v>0</v>
      </c>
      <c r="O75" s="207">
        <v>197683</v>
      </c>
      <c r="P75" s="207">
        <f t="shared" si="2"/>
        <v>180020</v>
      </c>
      <c r="Q75" s="207">
        <v>4</v>
      </c>
      <c r="R75" s="207">
        <v>4</v>
      </c>
      <c r="U75" s="206">
        <v>0</v>
      </c>
      <c r="V75" s="206">
        <v>0</v>
      </c>
      <c r="W75" s="206">
        <v>1</v>
      </c>
      <c r="X75" s="206" t="e">
        <v>#DIV/0!</v>
      </c>
    </row>
    <row r="76" spans="1:24" x14ac:dyDescent="0.25">
      <c r="A76" s="206" t="str">
        <f t="shared" si="3"/>
        <v>SD15035Host Community</v>
      </c>
      <c r="B76" s="206" t="s">
        <v>147</v>
      </c>
      <c r="C76" s="206" t="s">
        <v>132</v>
      </c>
      <c r="D76" s="206" t="s">
        <v>506</v>
      </c>
      <c r="E76" s="206" t="s">
        <v>507</v>
      </c>
      <c r="F76" s="206" t="s">
        <v>733</v>
      </c>
      <c r="G76" s="207">
        <v>67437</v>
      </c>
      <c r="H76" s="206" t="s">
        <v>87</v>
      </c>
      <c r="I76" s="206" t="s">
        <v>731</v>
      </c>
      <c r="J76" s="233">
        <v>0.1</v>
      </c>
      <c r="K76" s="233">
        <v>0.35000000000000003</v>
      </c>
      <c r="L76" s="233">
        <v>0.3</v>
      </c>
      <c r="M76" s="233">
        <v>0.25</v>
      </c>
      <c r="N76" s="233">
        <v>0</v>
      </c>
      <c r="O76" s="207">
        <v>16859</v>
      </c>
      <c r="P76" s="207">
        <f t="shared" si="2"/>
        <v>15353</v>
      </c>
      <c r="Q76" s="207">
        <v>4</v>
      </c>
      <c r="R76" s="207">
        <v>4</v>
      </c>
      <c r="U76" s="206">
        <v>0</v>
      </c>
      <c r="V76" s="206">
        <v>0</v>
      </c>
      <c r="W76" s="206">
        <v>1</v>
      </c>
      <c r="X76" s="206" t="e">
        <v>#DIV/0!</v>
      </c>
    </row>
    <row r="77" spans="1:24" x14ac:dyDescent="0.25">
      <c r="A77" s="206" t="str">
        <f t="shared" si="3"/>
        <v>SD15035IDPs</v>
      </c>
      <c r="B77" s="206" t="s">
        <v>147</v>
      </c>
      <c r="C77" s="206" t="s">
        <v>132</v>
      </c>
      <c r="D77" s="206" t="s">
        <v>506</v>
      </c>
      <c r="E77" s="206" t="s">
        <v>507</v>
      </c>
      <c r="F77" s="206" t="s">
        <v>733</v>
      </c>
      <c r="G77" s="207">
        <v>67437</v>
      </c>
      <c r="H77" s="206" t="s">
        <v>88</v>
      </c>
      <c r="I77" s="206" t="s">
        <v>732</v>
      </c>
      <c r="J77" s="233">
        <v>0.1</v>
      </c>
      <c r="K77" s="233">
        <v>0.35000000000000003</v>
      </c>
      <c r="L77" s="233">
        <v>0.3</v>
      </c>
      <c r="M77" s="233">
        <v>0.25</v>
      </c>
      <c r="N77" s="233">
        <v>0</v>
      </c>
      <c r="O77" s="207">
        <v>16859</v>
      </c>
      <c r="P77" s="207">
        <f t="shared" si="2"/>
        <v>15353</v>
      </c>
      <c r="Q77" s="207">
        <v>4</v>
      </c>
      <c r="R77" s="207">
        <v>4</v>
      </c>
      <c r="U77" s="206">
        <v>0</v>
      </c>
      <c r="V77" s="206">
        <v>0</v>
      </c>
      <c r="W77" s="206">
        <v>1</v>
      </c>
      <c r="X77" s="206" t="e">
        <v>#DIV/0!</v>
      </c>
    </row>
    <row r="78" spans="1:24" x14ac:dyDescent="0.25">
      <c r="A78" s="206" t="str">
        <f t="shared" si="3"/>
        <v>SD15035Non-hosting Population</v>
      </c>
      <c r="B78" s="206" t="s">
        <v>147</v>
      </c>
      <c r="C78" s="206" t="s">
        <v>132</v>
      </c>
      <c r="D78" s="206" t="s">
        <v>506</v>
      </c>
      <c r="E78" s="206" t="s">
        <v>507</v>
      </c>
      <c r="F78" s="206" t="s">
        <v>733</v>
      </c>
      <c r="G78" s="207">
        <v>524833</v>
      </c>
      <c r="H78" s="206" t="s">
        <v>568</v>
      </c>
      <c r="I78" s="206" t="s">
        <v>731</v>
      </c>
      <c r="J78" s="233">
        <v>0.1</v>
      </c>
      <c r="K78" s="233">
        <v>0.35000000000000003</v>
      </c>
      <c r="L78" s="233">
        <v>0.3</v>
      </c>
      <c r="M78" s="233">
        <v>0.25</v>
      </c>
      <c r="N78" s="233">
        <v>0</v>
      </c>
      <c r="O78" s="207">
        <v>131208</v>
      </c>
      <c r="P78" s="207">
        <f t="shared" si="2"/>
        <v>119484</v>
      </c>
      <c r="Q78" s="207">
        <v>4</v>
      </c>
      <c r="R78" s="207">
        <v>4</v>
      </c>
      <c r="U78" s="206">
        <v>0</v>
      </c>
      <c r="V78" s="206">
        <v>0</v>
      </c>
      <c r="W78" s="206">
        <v>1</v>
      </c>
      <c r="X78" s="206" t="e">
        <v>#DIV/0!</v>
      </c>
    </row>
    <row r="79" spans="1:24" x14ac:dyDescent="0.25">
      <c r="A79" s="206" t="str">
        <f t="shared" si="3"/>
        <v>SD12073Host Community</v>
      </c>
      <c r="B79" s="206" t="s">
        <v>158</v>
      </c>
      <c r="C79" s="206" t="s">
        <v>129</v>
      </c>
      <c r="D79" s="206" t="s">
        <v>444</v>
      </c>
      <c r="E79" s="206" t="s">
        <v>445</v>
      </c>
      <c r="F79" s="206" t="s">
        <v>734</v>
      </c>
      <c r="G79" s="207">
        <v>18466</v>
      </c>
      <c r="H79" s="206" t="s">
        <v>87</v>
      </c>
      <c r="I79" s="206" t="s">
        <v>731</v>
      </c>
      <c r="J79" s="233">
        <v>0.25</v>
      </c>
      <c r="K79" s="233">
        <v>0.45</v>
      </c>
      <c r="L79" s="233">
        <v>0.3</v>
      </c>
      <c r="M79" s="233">
        <v>0</v>
      </c>
      <c r="N79" s="233">
        <v>0</v>
      </c>
      <c r="O79" s="207">
        <v>5540</v>
      </c>
      <c r="P79" s="207">
        <f t="shared" si="2"/>
        <v>5045</v>
      </c>
      <c r="Q79" s="207">
        <v>3</v>
      </c>
      <c r="R79" s="207">
        <v>3</v>
      </c>
      <c r="U79" s="206">
        <v>0</v>
      </c>
      <c r="V79" s="206">
        <v>0</v>
      </c>
      <c r="W79" s="206">
        <v>1</v>
      </c>
      <c r="X79" s="206">
        <v>0</v>
      </c>
    </row>
    <row r="80" spans="1:24" x14ac:dyDescent="0.25">
      <c r="A80" s="206" t="str">
        <f t="shared" si="3"/>
        <v>SD12073IDPs</v>
      </c>
      <c r="B80" s="206" t="s">
        <v>158</v>
      </c>
      <c r="C80" s="206" t="s">
        <v>129</v>
      </c>
      <c r="D80" s="206" t="s">
        <v>444</v>
      </c>
      <c r="E80" s="206" t="s">
        <v>445</v>
      </c>
      <c r="F80" s="206" t="s">
        <v>734</v>
      </c>
      <c r="G80" s="207">
        <v>20155</v>
      </c>
      <c r="H80" s="206" t="s">
        <v>88</v>
      </c>
      <c r="I80" s="206" t="s">
        <v>732</v>
      </c>
      <c r="J80" s="233">
        <v>0.25</v>
      </c>
      <c r="K80" s="233">
        <v>0.45</v>
      </c>
      <c r="L80" s="233">
        <v>0.3</v>
      </c>
      <c r="M80" s="233">
        <v>0</v>
      </c>
      <c r="N80" s="233">
        <v>0</v>
      </c>
      <c r="O80" s="207">
        <v>6047</v>
      </c>
      <c r="P80" s="207">
        <f t="shared" si="2"/>
        <v>5507</v>
      </c>
      <c r="Q80" s="207">
        <v>3</v>
      </c>
      <c r="R80" s="207">
        <v>3</v>
      </c>
      <c r="U80" s="206">
        <v>0</v>
      </c>
      <c r="V80" s="206">
        <v>0</v>
      </c>
      <c r="W80" s="206">
        <v>1</v>
      </c>
      <c r="X80" s="206">
        <v>0</v>
      </c>
    </row>
    <row r="81" spans="1:24" x14ac:dyDescent="0.25">
      <c r="A81" s="206" t="str">
        <f t="shared" si="3"/>
        <v>SD12073Non-hosting Population</v>
      </c>
      <c r="B81" s="206" t="s">
        <v>158</v>
      </c>
      <c r="C81" s="206" t="s">
        <v>129</v>
      </c>
      <c r="D81" s="206" t="s">
        <v>444</v>
      </c>
      <c r="E81" s="206" t="s">
        <v>445</v>
      </c>
      <c r="F81" s="206" t="s">
        <v>734</v>
      </c>
      <c r="G81" s="207">
        <v>116926</v>
      </c>
      <c r="H81" s="206" t="s">
        <v>568</v>
      </c>
      <c r="I81" s="206" t="s">
        <v>731</v>
      </c>
      <c r="J81" s="233">
        <v>0.25</v>
      </c>
      <c r="K81" s="233">
        <v>0.45</v>
      </c>
      <c r="L81" s="233">
        <v>0.3</v>
      </c>
      <c r="M81" s="233">
        <v>0</v>
      </c>
      <c r="N81" s="233">
        <v>0</v>
      </c>
      <c r="O81" s="207">
        <v>0</v>
      </c>
      <c r="P81" s="207">
        <f t="shared" ref="P81:P144" si="4">ROUND(O81*$AB$5,0)</f>
        <v>0</v>
      </c>
      <c r="Q81" s="207">
        <v>3</v>
      </c>
      <c r="R81" s="207">
        <v>3</v>
      </c>
      <c r="U81" s="206" t="e">
        <v>#DIV/0!</v>
      </c>
      <c r="V81" s="206" t="e">
        <v>#DIV/0!</v>
      </c>
      <c r="W81" s="206">
        <v>1</v>
      </c>
      <c r="X81" s="206">
        <v>0</v>
      </c>
    </row>
    <row r="82" spans="1:24" x14ac:dyDescent="0.25">
      <c r="A82" s="206" t="str">
        <f t="shared" si="3"/>
        <v>SD07096Host Community</v>
      </c>
      <c r="B82" s="206" t="s">
        <v>188</v>
      </c>
      <c r="C82" s="206" t="s">
        <v>124</v>
      </c>
      <c r="D82" s="206" t="s">
        <v>350</v>
      </c>
      <c r="E82" s="206" t="s">
        <v>351</v>
      </c>
      <c r="F82" s="206" t="s">
        <v>734</v>
      </c>
      <c r="G82" s="207">
        <v>0</v>
      </c>
      <c r="H82" s="206" t="s">
        <v>87</v>
      </c>
      <c r="I82" s="206" t="s">
        <v>731</v>
      </c>
      <c r="J82" s="233">
        <v>0.15</v>
      </c>
      <c r="K82" s="233">
        <v>0.35000000000000003</v>
      </c>
      <c r="L82" s="233">
        <v>0.35000000000000003</v>
      </c>
      <c r="M82" s="233">
        <v>0.15</v>
      </c>
      <c r="N82" s="233">
        <v>0</v>
      </c>
      <c r="O82" s="207">
        <v>0</v>
      </c>
      <c r="P82" s="207">
        <f t="shared" si="4"/>
        <v>0</v>
      </c>
      <c r="Q82" s="207">
        <v>3</v>
      </c>
      <c r="R82" s="207">
        <v>3</v>
      </c>
      <c r="U82" s="206">
        <v>0</v>
      </c>
      <c r="V82" s="206">
        <v>0</v>
      </c>
      <c r="W82" s="206">
        <v>1</v>
      </c>
      <c r="X82" s="206">
        <v>0</v>
      </c>
    </row>
    <row r="83" spans="1:24" x14ac:dyDescent="0.25">
      <c r="A83" s="206" t="str">
        <f t="shared" si="3"/>
        <v>SD07096IDPs</v>
      </c>
      <c r="B83" s="206" t="s">
        <v>188</v>
      </c>
      <c r="C83" s="206" t="s">
        <v>124</v>
      </c>
      <c r="D83" s="206" t="s">
        <v>350</v>
      </c>
      <c r="E83" s="206" t="s">
        <v>351</v>
      </c>
      <c r="F83" s="206" t="s">
        <v>734</v>
      </c>
      <c r="G83" s="207">
        <v>0</v>
      </c>
      <c r="H83" s="206" t="s">
        <v>88</v>
      </c>
      <c r="I83" s="206" t="s">
        <v>732</v>
      </c>
      <c r="J83" s="233">
        <v>0.15</v>
      </c>
      <c r="K83" s="233">
        <v>0.35000000000000003</v>
      </c>
      <c r="L83" s="233">
        <v>0.35000000000000003</v>
      </c>
      <c r="M83" s="233">
        <v>0.15</v>
      </c>
      <c r="N83" s="233">
        <v>0</v>
      </c>
      <c r="O83" s="207">
        <v>0</v>
      </c>
      <c r="P83" s="207">
        <f t="shared" si="4"/>
        <v>0</v>
      </c>
      <c r="Q83" s="207">
        <v>3</v>
      </c>
      <c r="R83" s="207">
        <v>3</v>
      </c>
      <c r="U83" s="206">
        <v>0</v>
      </c>
      <c r="V83" s="206">
        <v>0</v>
      </c>
      <c r="W83" s="206">
        <v>1</v>
      </c>
      <c r="X83" s="206">
        <v>0</v>
      </c>
    </row>
    <row r="84" spans="1:24" x14ac:dyDescent="0.25">
      <c r="A84" s="206" t="str">
        <f t="shared" si="3"/>
        <v>SD07096Non-hosting Population</v>
      </c>
      <c r="B84" s="206" t="s">
        <v>188</v>
      </c>
      <c r="C84" s="206" t="s">
        <v>124</v>
      </c>
      <c r="D84" s="206" t="s">
        <v>350</v>
      </c>
      <c r="E84" s="206" t="s">
        <v>351</v>
      </c>
      <c r="F84" s="206" t="s">
        <v>734</v>
      </c>
      <c r="G84" s="207">
        <v>138054</v>
      </c>
      <c r="H84" s="206" t="s">
        <v>568</v>
      </c>
      <c r="I84" s="206" t="s">
        <v>731</v>
      </c>
      <c r="J84" s="233">
        <v>0.15</v>
      </c>
      <c r="K84" s="233">
        <v>0.35000000000000003</v>
      </c>
      <c r="L84" s="233">
        <v>0.35000000000000003</v>
      </c>
      <c r="M84" s="233">
        <v>0.15</v>
      </c>
      <c r="N84" s="233">
        <v>0</v>
      </c>
      <c r="O84" s="207">
        <v>20708</v>
      </c>
      <c r="P84" s="207">
        <f t="shared" si="4"/>
        <v>18858</v>
      </c>
      <c r="Q84" s="207">
        <v>3</v>
      </c>
      <c r="R84" s="207">
        <v>3</v>
      </c>
      <c r="U84" s="206">
        <v>0</v>
      </c>
      <c r="V84" s="206">
        <v>0</v>
      </c>
      <c r="W84" s="206">
        <v>1</v>
      </c>
      <c r="X84" s="206">
        <v>0</v>
      </c>
    </row>
    <row r="85" spans="1:24" x14ac:dyDescent="0.25">
      <c r="A85" s="206" t="str">
        <f t="shared" si="3"/>
        <v>SD02113Host Community</v>
      </c>
      <c r="B85" s="206" t="s">
        <v>167</v>
      </c>
      <c r="C85" s="206" t="s">
        <v>119</v>
      </c>
      <c r="D85" s="206" t="s">
        <v>196</v>
      </c>
      <c r="E85" s="206" t="s">
        <v>195</v>
      </c>
      <c r="F85" s="206" t="s">
        <v>735</v>
      </c>
      <c r="G85" s="207">
        <v>30263</v>
      </c>
      <c r="H85" s="206" t="s">
        <v>87</v>
      </c>
      <c r="I85" s="206" t="s">
        <v>731</v>
      </c>
      <c r="J85" s="233">
        <v>6.1728395061728392E-2</v>
      </c>
      <c r="K85" s="233">
        <v>0.21604938271604937</v>
      </c>
      <c r="L85" s="233">
        <v>0.61111111111111116</v>
      </c>
      <c r="M85" s="233">
        <v>3.7037037037037035E-2</v>
      </c>
      <c r="N85" s="233">
        <v>7.407407407407407E-2</v>
      </c>
      <c r="O85" s="207">
        <v>21857</v>
      </c>
      <c r="P85" s="207">
        <f t="shared" si="4"/>
        <v>19904</v>
      </c>
      <c r="Q85" s="207">
        <v>3</v>
      </c>
      <c r="R85" s="207">
        <v>3</v>
      </c>
      <c r="U85" s="206">
        <v>1</v>
      </c>
      <c r="V85" s="206">
        <v>0</v>
      </c>
      <c r="W85" s="206">
        <v>1</v>
      </c>
      <c r="X85" s="206">
        <v>0</v>
      </c>
    </row>
    <row r="86" spans="1:24" x14ac:dyDescent="0.25">
      <c r="A86" s="206" t="str">
        <f t="shared" si="3"/>
        <v>SD02113IDPs</v>
      </c>
      <c r="B86" s="206" t="s">
        <v>167</v>
      </c>
      <c r="C86" s="206" t="s">
        <v>119</v>
      </c>
      <c r="D86" s="206" t="s">
        <v>196</v>
      </c>
      <c r="E86" s="206" t="s">
        <v>195</v>
      </c>
      <c r="F86" s="206" t="s">
        <v>735</v>
      </c>
      <c r="G86" s="207">
        <v>124035</v>
      </c>
      <c r="H86" s="206" t="s">
        <v>88</v>
      </c>
      <c r="I86" s="206" t="s">
        <v>732</v>
      </c>
      <c r="J86" s="233">
        <v>6.1728395061728392E-2</v>
      </c>
      <c r="K86" s="233">
        <v>0.21604938271604937</v>
      </c>
      <c r="L86" s="233">
        <v>0.61111111111111116</v>
      </c>
      <c r="M86" s="233">
        <v>3.7037037037037035E-2</v>
      </c>
      <c r="N86" s="233">
        <v>7.407407407407407E-2</v>
      </c>
      <c r="O86" s="207">
        <v>89581</v>
      </c>
      <c r="P86" s="207">
        <f t="shared" si="4"/>
        <v>81577</v>
      </c>
      <c r="Q86" s="207">
        <v>3</v>
      </c>
      <c r="R86" s="207">
        <v>3</v>
      </c>
      <c r="U86" s="206">
        <v>1</v>
      </c>
      <c r="V86" s="206">
        <v>0</v>
      </c>
      <c r="W86" s="206">
        <v>1</v>
      </c>
      <c r="X86" s="206">
        <v>0</v>
      </c>
    </row>
    <row r="87" spans="1:24" x14ac:dyDescent="0.25">
      <c r="A87" s="206" t="str">
        <f t="shared" si="3"/>
        <v>SD02113Non-hosting Population</v>
      </c>
      <c r="B87" s="206" t="s">
        <v>167</v>
      </c>
      <c r="C87" s="206" t="s">
        <v>119</v>
      </c>
      <c r="D87" s="206" t="s">
        <v>196</v>
      </c>
      <c r="E87" s="206" t="s">
        <v>195</v>
      </c>
      <c r="F87" s="206" t="s">
        <v>735</v>
      </c>
      <c r="G87" s="207">
        <v>0</v>
      </c>
      <c r="H87" s="206" t="s">
        <v>568</v>
      </c>
      <c r="I87" s="206" t="s">
        <v>731</v>
      </c>
      <c r="J87" s="233">
        <v>6.1728395061728392E-2</v>
      </c>
      <c r="K87" s="233">
        <v>0.21604938271604937</v>
      </c>
      <c r="L87" s="233">
        <v>0.61111111111111116</v>
      </c>
      <c r="M87" s="233">
        <v>3.7037037037037035E-2</v>
      </c>
      <c r="N87" s="233">
        <v>7.407407407407407E-2</v>
      </c>
      <c r="O87" s="207">
        <v>0</v>
      </c>
      <c r="P87" s="207">
        <f t="shared" si="4"/>
        <v>0</v>
      </c>
      <c r="Q87" s="207">
        <v>3</v>
      </c>
      <c r="R87" s="207">
        <v>3</v>
      </c>
      <c r="U87" s="206">
        <v>1</v>
      </c>
      <c r="V87" s="206">
        <v>0</v>
      </c>
      <c r="W87" s="206">
        <v>1</v>
      </c>
      <c r="X87" s="206">
        <v>0</v>
      </c>
    </row>
    <row r="88" spans="1:24" x14ac:dyDescent="0.25">
      <c r="A88" s="206" t="str">
        <f t="shared" si="3"/>
        <v>SD02114Host Community</v>
      </c>
      <c r="B88" s="206" t="s">
        <v>167</v>
      </c>
      <c r="C88" s="206" t="s">
        <v>119</v>
      </c>
      <c r="D88" s="206" t="s">
        <v>199</v>
      </c>
      <c r="E88" s="206" t="s">
        <v>198</v>
      </c>
      <c r="F88" s="206" t="s">
        <v>735</v>
      </c>
      <c r="G88" s="207">
        <v>171329</v>
      </c>
      <c r="H88" s="206" t="s">
        <v>87</v>
      </c>
      <c r="I88" s="206" t="s">
        <v>731</v>
      </c>
      <c r="J88" s="233">
        <v>0.16176470588235295</v>
      </c>
      <c r="K88" s="233">
        <v>0.33088235294117646</v>
      </c>
      <c r="L88" s="233">
        <v>0.35294117647058826</v>
      </c>
      <c r="M88" s="233">
        <v>7.3529411764705881E-3</v>
      </c>
      <c r="N88" s="233">
        <v>0.14705882352941177</v>
      </c>
      <c r="O88" s="207">
        <v>86924</v>
      </c>
      <c r="P88" s="207">
        <f t="shared" si="4"/>
        <v>79157</v>
      </c>
      <c r="Q88" s="207">
        <v>3</v>
      </c>
      <c r="R88" s="207">
        <v>4</v>
      </c>
      <c r="U88" s="206">
        <v>0</v>
      </c>
      <c r="V88" s="206">
        <v>0</v>
      </c>
      <c r="W88" s="206">
        <v>1</v>
      </c>
      <c r="X88" s="206">
        <v>0</v>
      </c>
    </row>
    <row r="89" spans="1:24" x14ac:dyDescent="0.25">
      <c r="A89" s="206" t="str">
        <f t="shared" si="3"/>
        <v>SD02114IDPs</v>
      </c>
      <c r="B89" s="206" t="s">
        <v>167</v>
      </c>
      <c r="C89" s="206" t="s">
        <v>119</v>
      </c>
      <c r="D89" s="206" t="s">
        <v>199</v>
      </c>
      <c r="E89" s="206" t="s">
        <v>198</v>
      </c>
      <c r="F89" s="206" t="s">
        <v>735</v>
      </c>
      <c r="G89" s="207">
        <v>702481</v>
      </c>
      <c r="H89" s="206" t="s">
        <v>88</v>
      </c>
      <c r="I89" s="206" t="s">
        <v>732</v>
      </c>
      <c r="J89" s="233">
        <v>0.16176470588235295</v>
      </c>
      <c r="K89" s="233">
        <v>0.33088235294117646</v>
      </c>
      <c r="L89" s="233">
        <v>0.35294117647058826</v>
      </c>
      <c r="M89" s="233">
        <v>7.3529411764705881E-3</v>
      </c>
      <c r="N89" s="233">
        <v>0.14705882352941177</v>
      </c>
      <c r="O89" s="207">
        <v>356406</v>
      </c>
      <c r="P89" s="207">
        <f t="shared" si="4"/>
        <v>324560</v>
      </c>
      <c r="Q89" s="207">
        <v>3</v>
      </c>
      <c r="R89" s="207">
        <v>4</v>
      </c>
      <c r="U89" s="206">
        <v>0</v>
      </c>
      <c r="V89" s="206">
        <v>0</v>
      </c>
      <c r="W89" s="206">
        <v>1</v>
      </c>
      <c r="X89" s="206">
        <v>0</v>
      </c>
    </row>
    <row r="90" spans="1:24" x14ac:dyDescent="0.25">
      <c r="A90" s="206" t="str">
        <f t="shared" si="3"/>
        <v>SD02114Non-hosting Population</v>
      </c>
      <c r="B90" s="206" t="s">
        <v>167</v>
      </c>
      <c r="C90" s="206" t="s">
        <v>119</v>
      </c>
      <c r="D90" s="206" t="s">
        <v>199</v>
      </c>
      <c r="E90" s="206" t="s">
        <v>198</v>
      </c>
      <c r="F90" s="206" t="s">
        <v>735</v>
      </c>
      <c r="G90" s="207">
        <v>35415</v>
      </c>
      <c r="H90" s="206" t="s">
        <v>568</v>
      </c>
      <c r="I90" s="206" t="s">
        <v>731</v>
      </c>
      <c r="J90" s="233">
        <v>0.16176470588235295</v>
      </c>
      <c r="K90" s="233">
        <v>0.33088235294117646</v>
      </c>
      <c r="L90" s="233">
        <v>0.35294117647058826</v>
      </c>
      <c r="M90" s="233">
        <v>7.3529411764705881E-3</v>
      </c>
      <c r="N90" s="233">
        <v>0.14705882352941177</v>
      </c>
      <c r="O90" s="207">
        <v>5468</v>
      </c>
      <c r="P90" s="207">
        <f t="shared" si="4"/>
        <v>4979</v>
      </c>
      <c r="Q90" s="207">
        <v>3</v>
      </c>
      <c r="R90" s="207">
        <v>4</v>
      </c>
      <c r="U90" s="206">
        <v>0</v>
      </c>
      <c r="V90" s="206">
        <v>0</v>
      </c>
      <c r="W90" s="206">
        <v>1</v>
      </c>
      <c r="X90" s="206">
        <v>0</v>
      </c>
    </row>
    <row r="91" spans="1:24" x14ac:dyDescent="0.25">
      <c r="A91" s="206" t="str">
        <f t="shared" si="3"/>
        <v>SD02116Host Community</v>
      </c>
      <c r="B91" s="206" t="s">
        <v>167</v>
      </c>
      <c r="C91" s="206" t="s">
        <v>119</v>
      </c>
      <c r="D91" s="206" t="s">
        <v>201</v>
      </c>
      <c r="E91" s="206" t="s">
        <v>200</v>
      </c>
      <c r="F91" s="206" t="s">
        <v>735</v>
      </c>
      <c r="G91" s="207">
        <v>10045</v>
      </c>
      <c r="H91" s="206" t="s">
        <v>87</v>
      </c>
      <c r="I91" s="206" t="s">
        <v>731</v>
      </c>
      <c r="J91" s="233">
        <v>0</v>
      </c>
      <c r="K91" s="233">
        <v>7.6923076923076927E-3</v>
      </c>
      <c r="L91" s="233">
        <v>0.98461538461538467</v>
      </c>
      <c r="M91" s="233">
        <v>0</v>
      </c>
      <c r="N91" s="233">
        <v>7.6923076923076927E-3</v>
      </c>
      <c r="O91" s="207">
        <v>9968</v>
      </c>
      <c r="P91" s="207">
        <f t="shared" si="4"/>
        <v>9077</v>
      </c>
      <c r="Q91" s="207">
        <v>3</v>
      </c>
      <c r="R91" s="207">
        <v>3</v>
      </c>
      <c r="U91" s="206">
        <v>0</v>
      </c>
      <c r="V91" s="206">
        <v>0</v>
      </c>
      <c r="W91" s="206">
        <v>1</v>
      </c>
      <c r="X91" s="206">
        <v>0</v>
      </c>
    </row>
    <row r="92" spans="1:24" x14ac:dyDescent="0.25">
      <c r="A92" s="206" t="str">
        <f t="shared" si="3"/>
        <v>SD02116IDPs</v>
      </c>
      <c r="B92" s="206" t="s">
        <v>167</v>
      </c>
      <c r="C92" s="206" t="s">
        <v>119</v>
      </c>
      <c r="D92" s="206" t="s">
        <v>201</v>
      </c>
      <c r="E92" s="206" t="s">
        <v>200</v>
      </c>
      <c r="F92" s="206" t="s">
        <v>735</v>
      </c>
      <c r="G92" s="207">
        <v>10045</v>
      </c>
      <c r="H92" s="206" t="s">
        <v>88</v>
      </c>
      <c r="I92" s="206" t="s">
        <v>732</v>
      </c>
      <c r="J92" s="233">
        <v>0</v>
      </c>
      <c r="K92" s="233">
        <v>7.6923076923076927E-3</v>
      </c>
      <c r="L92" s="233">
        <v>0.98461538461538467</v>
      </c>
      <c r="M92" s="233">
        <v>0</v>
      </c>
      <c r="N92" s="233">
        <v>7.6923076923076927E-3</v>
      </c>
      <c r="O92" s="207">
        <v>9968</v>
      </c>
      <c r="P92" s="207">
        <f t="shared" si="4"/>
        <v>9077</v>
      </c>
      <c r="Q92" s="207">
        <v>3</v>
      </c>
      <c r="R92" s="207">
        <v>3</v>
      </c>
      <c r="U92" s="206">
        <v>0</v>
      </c>
      <c r="V92" s="206">
        <v>0</v>
      </c>
      <c r="W92" s="206">
        <v>1</v>
      </c>
      <c r="X92" s="206">
        <v>0</v>
      </c>
    </row>
    <row r="93" spans="1:24" x14ac:dyDescent="0.25">
      <c r="A93" s="206" t="str">
        <f t="shared" si="3"/>
        <v>SD02116Non-hosting Population</v>
      </c>
      <c r="B93" s="206" t="s">
        <v>167</v>
      </c>
      <c r="C93" s="206" t="s">
        <v>119</v>
      </c>
      <c r="D93" s="206" t="s">
        <v>201</v>
      </c>
      <c r="E93" s="206" t="s">
        <v>200</v>
      </c>
      <c r="F93" s="206" t="s">
        <v>735</v>
      </c>
      <c r="G93" s="207">
        <v>23429</v>
      </c>
      <c r="H93" s="206" t="s">
        <v>568</v>
      </c>
      <c r="I93" s="206" t="s">
        <v>731</v>
      </c>
      <c r="J93" s="233">
        <v>0</v>
      </c>
      <c r="K93" s="233">
        <v>7.6923076923076927E-3</v>
      </c>
      <c r="L93" s="233">
        <v>0.98461538461538467</v>
      </c>
      <c r="M93" s="233">
        <v>0</v>
      </c>
      <c r="N93" s="233">
        <v>7.6923076923076927E-3</v>
      </c>
      <c r="O93" s="207">
        <v>180</v>
      </c>
      <c r="P93" s="207">
        <f t="shared" si="4"/>
        <v>164</v>
      </c>
      <c r="Q93" s="207">
        <v>3</v>
      </c>
      <c r="R93" s="207">
        <v>3</v>
      </c>
      <c r="U93" s="206">
        <v>0</v>
      </c>
      <c r="V93" s="206">
        <v>0</v>
      </c>
      <c r="W93" s="206">
        <v>1</v>
      </c>
      <c r="X93" s="206">
        <v>0</v>
      </c>
    </row>
    <row r="94" spans="1:24" x14ac:dyDescent="0.25">
      <c r="A94" s="206" t="str">
        <f t="shared" si="3"/>
        <v>SD02117Host Community</v>
      </c>
      <c r="B94" s="206" t="s">
        <v>167</v>
      </c>
      <c r="C94" s="206" t="s">
        <v>119</v>
      </c>
      <c r="D94" s="206" t="s">
        <v>203</v>
      </c>
      <c r="E94" s="206" t="s">
        <v>202</v>
      </c>
      <c r="F94" s="206" t="s">
        <v>735</v>
      </c>
      <c r="G94" s="207">
        <v>6255</v>
      </c>
      <c r="H94" s="206" t="s">
        <v>87</v>
      </c>
      <c r="I94" s="206" t="s">
        <v>731</v>
      </c>
      <c r="J94" s="233">
        <v>2.34375E-2</v>
      </c>
      <c r="K94" s="233">
        <v>0.7578125</v>
      </c>
      <c r="L94" s="233">
        <v>0.21875</v>
      </c>
      <c r="M94" s="233">
        <v>0</v>
      </c>
      <c r="N94" s="233">
        <v>0</v>
      </c>
      <c r="O94" s="207">
        <v>1368</v>
      </c>
      <c r="P94" s="207">
        <f t="shared" si="4"/>
        <v>1246</v>
      </c>
      <c r="Q94" s="207">
        <v>3</v>
      </c>
      <c r="R94" s="207">
        <v>3</v>
      </c>
      <c r="U94" s="206">
        <v>0</v>
      </c>
      <c r="V94" s="206">
        <v>0</v>
      </c>
      <c r="W94" s="206">
        <v>1</v>
      </c>
      <c r="X94" s="206">
        <v>0</v>
      </c>
    </row>
    <row r="95" spans="1:24" x14ac:dyDescent="0.25">
      <c r="A95" s="206" t="str">
        <f t="shared" si="3"/>
        <v>SD02117IDPs</v>
      </c>
      <c r="B95" s="206" t="s">
        <v>167</v>
      </c>
      <c r="C95" s="206" t="s">
        <v>119</v>
      </c>
      <c r="D95" s="206" t="s">
        <v>203</v>
      </c>
      <c r="E95" s="206" t="s">
        <v>202</v>
      </c>
      <c r="F95" s="206" t="s">
        <v>735</v>
      </c>
      <c r="G95" s="207">
        <v>6255</v>
      </c>
      <c r="H95" s="206" t="s">
        <v>88</v>
      </c>
      <c r="I95" s="206" t="s">
        <v>732</v>
      </c>
      <c r="J95" s="233">
        <v>2.34375E-2</v>
      </c>
      <c r="K95" s="233">
        <v>0.7578125</v>
      </c>
      <c r="L95" s="233">
        <v>0.21875</v>
      </c>
      <c r="M95" s="233">
        <v>0</v>
      </c>
      <c r="N95" s="233">
        <v>0</v>
      </c>
      <c r="O95" s="207">
        <v>1368</v>
      </c>
      <c r="P95" s="207">
        <f t="shared" si="4"/>
        <v>1246</v>
      </c>
      <c r="Q95" s="207">
        <v>3</v>
      </c>
      <c r="R95" s="207">
        <v>3</v>
      </c>
      <c r="U95" s="206">
        <v>0</v>
      </c>
      <c r="V95" s="206">
        <v>0</v>
      </c>
      <c r="W95" s="206">
        <v>1</v>
      </c>
      <c r="X95" s="206">
        <v>0</v>
      </c>
    </row>
    <row r="96" spans="1:24" x14ac:dyDescent="0.25">
      <c r="A96" s="206" t="str">
        <f t="shared" si="3"/>
        <v>SD02117Non-hosting Population</v>
      </c>
      <c r="B96" s="206" t="s">
        <v>167</v>
      </c>
      <c r="C96" s="206" t="s">
        <v>119</v>
      </c>
      <c r="D96" s="206" t="s">
        <v>203</v>
      </c>
      <c r="E96" s="206" t="s">
        <v>202</v>
      </c>
      <c r="F96" s="206" t="s">
        <v>735</v>
      </c>
      <c r="G96" s="207">
        <v>121250</v>
      </c>
      <c r="H96" s="206" t="s">
        <v>568</v>
      </c>
      <c r="I96" s="206" t="s">
        <v>731</v>
      </c>
      <c r="J96" s="233">
        <v>2.34375E-2</v>
      </c>
      <c r="K96" s="233">
        <v>0.7578125</v>
      </c>
      <c r="L96" s="233">
        <v>0.21875</v>
      </c>
      <c r="M96" s="233">
        <v>0</v>
      </c>
      <c r="N96" s="233">
        <v>0</v>
      </c>
      <c r="O96" s="207">
        <v>0</v>
      </c>
      <c r="P96" s="207">
        <f t="shared" si="4"/>
        <v>0</v>
      </c>
      <c r="Q96" s="207">
        <v>3</v>
      </c>
      <c r="R96" s="207">
        <v>3</v>
      </c>
      <c r="U96" s="206">
        <v>0</v>
      </c>
      <c r="V96" s="206">
        <v>0</v>
      </c>
      <c r="W96" s="206">
        <v>1</v>
      </c>
      <c r="X96" s="206">
        <v>0</v>
      </c>
    </row>
    <row r="97" spans="1:24" x14ac:dyDescent="0.25">
      <c r="A97" s="206" t="str">
        <f t="shared" si="3"/>
        <v>SD02118Host Community</v>
      </c>
      <c r="B97" s="206" t="s">
        <v>167</v>
      </c>
      <c r="C97" s="206" t="s">
        <v>119</v>
      </c>
      <c r="D97" s="206" t="s">
        <v>205</v>
      </c>
      <c r="E97" s="206" t="s">
        <v>204</v>
      </c>
      <c r="F97" s="206" t="s">
        <v>736</v>
      </c>
      <c r="G97" s="207">
        <v>13075</v>
      </c>
      <c r="H97" s="206" t="s">
        <v>87</v>
      </c>
      <c r="I97" s="206" t="s">
        <v>731</v>
      </c>
      <c r="J97" s="233">
        <v>8.2706766917293228E-2</v>
      </c>
      <c r="K97" s="233">
        <v>0.15789473684210525</v>
      </c>
      <c r="L97" s="233">
        <v>0.75939849624060152</v>
      </c>
      <c r="M97" s="233">
        <v>0</v>
      </c>
      <c r="N97" s="233">
        <v>0</v>
      </c>
      <c r="O97" s="207">
        <v>9929</v>
      </c>
      <c r="P97" s="207">
        <f t="shared" si="4"/>
        <v>9042</v>
      </c>
      <c r="Q97" s="207">
        <v>3</v>
      </c>
      <c r="R97" s="207">
        <v>3</v>
      </c>
      <c r="U97" s="206">
        <v>0</v>
      </c>
      <c r="V97" s="206">
        <v>1</v>
      </c>
      <c r="W97" s="206">
        <v>1</v>
      </c>
      <c r="X97" s="206">
        <v>0</v>
      </c>
    </row>
    <row r="98" spans="1:24" x14ac:dyDescent="0.25">
      <c r="A98" s="206" t="str">
        <f t="shared" si="3"/>
        <v>SD02118IDPs</v>
      </c>
      <c r="B98" s="206" t="s">
        <v>167</v>
      </c>
      <c r="C98" s="206" t="s">
        <v>119</v>
      </c>
      <c r="D98" s="206" t="s">
        <v>205</v>
      </c>
      <c r="E98" s="206" t="s">
        <v>204</v>
      </c>
      <c r="F98" s="206" t="s">
        <v>736</v>
      </c>
      <c r="G98" s="207">
        <v>13075</v>
      </c>
      <c r="H98" s="206" t="s">
        <v>88</v>
      </c>
      <c r="I98" s="206" t="s">
        <v>732</v>
      </c>
      <c r="J98" s="233">
        <v>8.2706766917293228E-2</v>
      </c>
      <c r="K98" s="233">
        <v>0.15789473684210525</v>
      </c>
      <c r="L98" s="233">
        <v>0.75939849624060152</v>
      </c>
      <c r="M98" s="233">
        <v>0</v>
      </c>
      <c r="N98" s="233">
        <v>0</v>
      </c>
      <c r="O98" s="207">
        <v>9929</v>
      </c>
      <c r="P98" s="207">
        <f t="shared" si="4"/>
        <v>9042</v>
      </c>
      <c r="Q98" s="207">
        <v>3</v>
      </c>
      <c r="R98" s="207">
        <v>3</v>
      </c>
      <c r="U98" s="206">
        <v>0</v>
      </c>
      <c r="V98" s="206">
        <v>1</v>
      </c>
      <c r="W98" s="206">
        <v>1</v>
      </c>
      <c r="X98" s="206">
        <v>1</v>
      </c>
    </row>
    <row r="99" spans="1:24" x14ac:dyDescent="0.25">
      <c r="A99" s="206" t="str">
        <f t="shared" si="3"/>
        <v>SD02118Non-hosting Population</v>
      </c>
      <c r="B99" s="206" t="s">
        <v>167</v>
      </c>
      <c r="C99" s="206" t="s">
        <v>119</v>
      </c>
      <c r="D99" s="206" t="s">
        <v>205</v>
      </c>
      <c r="E99" s="206" t="s">
        <v>204</v>
      </c>
      <c r="F99" s="206" t="s">
        <v>736</v>
      </c>
      <c r="G99" s="207">
        <v>67234</v>
      </c>
      <c r="H99" s="206" t="s">
        <v>568</v>
      </c>
      <c r="I99" s="206" t="s">
        <v>731</v>
      </c>
      <c r="J99" s="233">
        <v>8.2706766917293228E-2</v>
      </c>
      <c r="K99" s="233">
        <v>0.15789473684210525</v>
      </c>
      <c r="L99" s="233">
        <v>0.75939849624060152</v>
      </c>
      <c r="M99" s="233">
        <v>0</v>
      </c>
      <c r="N99" s="233">
        <v>0</v>
      </c>
      <c r="O99" s="207">
        <v>0</v>
      </c>
      <c r="P99" s="207">
        <f t="shared" si="4"/>
        <v>0</v>
      </c>
      <c r="Q99" s="207">
        <v>3</v>
      </c>
      <c r="R99" s="207">
        <v>3</v>
      </c>
      <c r="U99" s="206">
        <v>0</v>
      </c>
      <c r="V99" s="206">
        <v>1</v>
      </c>
      <c r="W99" s="206">
        <v>1</v>
      </c>
      <c r="X99" s="206">
        <v>0</v>
      </c>
    </row>
    <row r="100" spans="1:24" x14ac:dyDescent="0.25">
      <c r="A100" s="206" t="str">
        <f t="shared" si="3"/>
        <v>SD02119Host Community</v>
      </c>
      <c r="B100" s="206" t="s">
        <v>167</v>
      </c>
      <c r="C100" s="206" t="s">
        <v>119</v>
      </c>
      <c r="D100" s="206" t="s">
        <v>207</v>
      </c>
      <c r="E100" s="206" t="s">
        <v>206</v>
      </c>
      <c r="F100" s="206" t="s">
        <v>735</v>
      </c>
      <c r="G100" s="207">
        <v>1946</v>
      </c>
      <c r="H100" s="206" t="s">
        <v>87</v>
      </c>
      <c r="I100" s="206" t="s">
        <v>731</v>
      </c>
      <c r="J100" s="233">
        <v>0.24031007751937986</v>
      </c>
      <c r="K100" s="233">
        <v>0.36434108527131781</v>
      </c>
      <c r="L100" s="233">
        <v>0.38759689922480622</v>
      </c>
      <c r="M100" s="233">
        <v>0</v>
      </c>
      <c r="N100" s="233">
        <v>7.7519379844961239E-3</v>
      </c>
      <c r="O100" s="207">
        <v>769</v>
      </c>
      <c r="P100" s="207">
        <f t="shared" si="4"/>
        <v>700</v>
      </c>
      <c r="Q100" s="207">
        <v>3</v>
      </c>
      <c r="R100" s="207">
        <v>3</v>
      </c>
      <c r="U100" s="206">
        <v>0</v>
      </c>
      <c r="V100" s="206">
        <v>0</v>
      </c>
      <c r="W100" s="206">
        <v>0</v>
      </c>
      <c r="X100" s="206">
        <v>0</v>
      </c>
    </row>
    <row r="101" spans="1:24" x14ac:dyDescent="0.25">
      <c r="A101" s="206" t="str">
        <f t="shared" si="3"/>
        <v>SD02119IDPs</v>
      </c>
      <c r="B101" s="206" t="s">
        <v>167</v>
      </c>
      <c r="C101" s="206" t="s">
        <v>119</v>
      </c>
      <c r="D101" s="206" t="s">
        <v>207</v>
      </c>
      <c r="E101" s="206" t="s">
        <v>206</v>
      </c>
      <c r="F101" s="206" t="s">
        <v>735</v>
      </c>
      <c r="G101" s="207">
        <v>1945</v>
      </c>
      <c r="H101" s="206" t="s">
        <v>88</v>
      </c>
      <c r="I101" s="206" t="s">
        <v>732</v>
      </c>
      <c r="J101" s="233">
        <v>0.24031007751937986</v>
      </c>
      <c r="K101" s="233">
        <v>0.36434108527131781</v>
      </c>
      <c r="L101" s="233">
        <v>0.38759689922480622</v>
      </c>
      <c r="M101" s="233">
        <v>0</v>
      </c>
      <c r="N101" s="233">
        <v>7.7519379844961239E-3</v>
      </c>
      <c r="O101" s="207">
        <v>769</v>
      </c>
      <c r="P101" s="207">
        <f t="shared" si="4"/>
        <v>700</v>
      </c>
      <c r="Q101" s="207">
        <v>3</v>
      </c>
      <c r="R101" s="207">
        <v>3</v>
      </c>
      <c r="U101" s="206">
        <v>0</v>
      </c>
      <c r="V101" s="206">
        <v>0</v>
      </c>
      <c r="W101" s="206">
        <v>1</v>
      </c>
      <c r="X101" s="206">
        <v>0</v>
      </c>
    </row>
    <row r="102" spans="1:24" x14ac:dyDescent="0.25">
      <c r="A102" s="206" t="str">
        <f t="shared" si="3"/>
        <v>SD02119Non-hosting Population</v>
      </c>
      <c r="B102" s="206" t="s">
        <v>167</v>
      </c>
      <c r="C102" s="206" t="s">
        <v>119</v>
      </c>
      <c r="D102" s="206" t="s">
        <v>207</v>
      </c>
      <c r="E102" s="206" t="s">
        <v>206</v>
      </c>
      <c r="F102" s="206" t="s">
        <v>735</v>
      </c>
      <c r="G102" s="207">
        <v>145284</v>
      </c>
      <c r="H102" s="206" t="s">
        <v>568</v>
      </c>
      <c r="I102" s="206" t="s">
        <v>731</v>
      </c>
      <c r="J102" s="233">
        <v>0.24031007751937986</v>
      </c>
      <c r="K102" s="233">
        <v>0.36434108527131781</v>
      </c>
      <c r="L102" s="233">
        <v>0.38759689922480622</v>
      </c>
      <c r="M102" s="233">
        <v>0</v>
      </c>
      <c r="N102" s="233">
        <v>7.7519379844961239E-3</v>
      </c>
      <c r="O102" s="207">
        <v>1126</v>
      </c>
      <c r="P102" s="207">
        <f t="shared" si="4"/>
        <v>1025</v>
      </c>
      <c r="Q102" s="207">
        <v>3</v>
      </c>
      <c r="R102" s="207">
        <v>3</v>
      </c>
      <c r="U102" s="206">
        <v>0</v>
      </c>
      <c r="V102" s="206">
        <v>0</v>
      </c>
      <c r="W102" s="206">
        <v>0</v>
      </c>
      <c r="X102" s="206">
        <v>0</v>
      </c>
    </row>
    <row r="103" spans="1:24" x14ac:dyDescent="0.25">
      <c r="A103" s="206" t="str">
        <f t="shared" si="3"/>
        <v>SD02120Host Community</v>
      </c>
      <c r="B103" s="206" t="s">
        <v>167</v>
      </c>
      <c r="C103" s="206" t="s">
        <v>119</v>
      </c>
      <c r="D103" s="206" t="s">
        <v>209</v>
      </c>
      <c r="E103" s="206" t="s">
        <v>208</v>
      </c>
      <c r="F103" s="206" t="s">
        <v>735</v>
      </c>
      <c r="G103" s="207">
        <v>1360</v>
      </c>
      <c r="H103" s="206" t="s">
        <v>87</v>
      </c>
      <c r="I103" s="206" t="s">
        <v>731</v>
      </c>
      <c r="J103" s="233">
        <v>2.4390243902439025E-2</v>
      </c>
      <c r="K103" s="233">
        <v>0.78861788617886175</v>
      </c>
      <c r="L103" s="233">
        <v>0.18699186991869918</v>
      </c>
      <c r="M103" s="233">
        <v>0</v>
      </c>
      <c r="N103" s="233">
        <v>0</v>
      </c>
      <c r="O103" s="207">
        <v>254</v>
      </c>
      <c r="P103" s="207">
        <f t="shared" si="4"/>
        <v>231</v>
      </c>
      <c r="Q103" s="207">
        <v>2</v>
      </c>
      <c r="R103" s="207">
        <v>3</v>
      </c>
      <c r="U103" s="206">
        <v>0</v>
      </c>
      <c r="V103" s="206">
        <v>0</v>
      </c>
      <c r="W103" s="206">
        <v>1</v>
      </c>
      <c r="X103" s="206">
        <v>0</v>
      </c>
    </row>
    <row r="104" spans="1:24" x14ac:dyDescent="0.25">
      <c r="A104" s="206" t="str">
        <f t="shared" si="3"/>
        <v>SD02120IDPs</v>
      </c>
      <c r="B104" s="206" t="s">
        <v>167</v>
      </c>
      <c r="C104" s="206" t="s">
        <v>119</v>
      </c>
      <c r="D104" s="206" t="s">
        <v>209</v>
      </c>
      <c r="E104" s="206" t="s">
        <v>208</v>
      </c>
      <c r="F104" s="206" t="s">
        <v>735</v>
      </c>
      <c r="G104" s="207">
        <v>1360</v>
      </c>
      <c r="H104" s="206" t="s">
        <v>88</v>
      </c>
      <c r="I104" s="206" t="s">
        <v>732</v>
      </c>
      <c r="J104" s="233">
        <v>2.4390243902439025E-2</v>
      </c>
      <c r="K104" s="233">
        <v>0.78861788617886175</v>
      </c>
      <c r="L104" s="233">
        <v>0.18699186991869918</v>
      </c>
      <c r="M104" s="233">
        <v>0</v>
      </c>
      <c r="N104" s="233">
        <v>0</v>
      </c>
      <c r="O104" s="207">
        <v>254</v>
      </c>
      <c r="P104" s="207">
        <f t="shared" si="4"/>
        <v>231</v>
      </c>
      <c r="Q104" s="207">
        <v>2</v>
      </c>
      <c r="R104" s="207">
        <v>3</v>
      </c>
      <c r="U104" s="206">
        <v>0</v>
      </c>
      <c r="V104" s="206">
        <v>1</v>
      </c>
      <c r="W104" s="206">
        <v>1</v>
      </c>
      <c r="X104" s="206">
        <v>1</v>
      </c>
    </row>
    <row r="105" spans="1:24" x14ac:dyDescent="0.25">
      <c r="A105" s="206" t="str">
        <f t="shared" si="3"/>
        <v>SD02120Non-hosting Population</v>
      </c>
      <c r="B105" s="206" t="s">
        <v>167</v>
      </c>
      <c r="C105" s="206" t="s">
        <v>119</v>
      </c>
      <c r="D105" s="206" t="s">
        <v>209</v>
      </c>
      <c r="E105" s="206" t="s">
        <v>208</v>
      </c>
      <c r="F105" s="206" t="s">
        <v>735</v>
      </c>
      <c r="G105" s="207">
        <v>161349</v>
      </c>
      <c r="H105" s="206" t="s">
        <v>568</v>
      </c>
      <c r="I105" s="206" t="s">
        <v>731</v>
      </c>
      <c r="J105" s="233">
        <v>2.4390243902439025E-2</v>
      </c>
      <c r="K105" s="233">
        <v>0.78861788617886175</v>
      </c>
      <c r="L105" s="233">
        <v>0.18699186991869918</v>
      </c>
      <c r="M105" s="233">
        <v>0</v>
      </c>
      <c r="N105" s="233">
        <v>0</v>
      </c>
      <c r="O105" s="207">
        <v>0</v>
      </c>
      <c r="P105" s="207">
        <f t="shared" si="4"/>
        <v>0</v>
      </c>
      <c r="Q105" s="207">
        <v>2</v>
      </c>
      <c r="R105" s="207">
        <v>3</v>
      </c>
      <c r="U105" s="206">
        <v>0</v>
      </c>
      <c r="V105" s="206">
        <v>0</v>
      </c>
      <c r="W105" s="206">
        <v>1</v>
      </c>
      <c r="X105" s="206">
        <v>0</v>
      </c>
    </row>
    <row r="106" spans="1:24" x14ac:dyDescent="0.25">
      <c r="A106" s="206" t="str">
        <f t="shared" si="3"/>
        <v>SD02124Host Community</v>
      </c>
      <c r="B106" s="206" t="s">
        <v>167</v>
      </c>
      <c r="C106" s="206" t="s">
        <v>119</v>
      </c>
      <c r="D106" s="206" t="s">
        <v>211</v>
      </c>
      <c r="E106" s="206" t="s">
        <v>210</v>
      </c>
      <c r="F106" s="206" t="s">
        <v>736</v>
      </c>
      <c r="G106" s="207">
        <v>82555</v>
      </c>
      <c r="H106" s="206" t="s">
        <v>87</v>
      </c>
      <c r="I106" s="206" t="s">
        <v>731</v>
      </c>
      <c r="J106" s="233">
        <v>3.7593984962406013E-2</v>
      </c>
      <c r="K106" s="233">
        <v>0.15037593984962405</v>
      </c>
      <c r="L106" s="233">
        <v>0.5714285714285714</v>
      </c>
      <c r="M106" s="233">
        <v>0.21052631578947367</v>
      </c>
      <c r="N106" s="233">
        <v>3.007518796992481E-2</v>
      </c>
      <c r="O106" s="207">
        <v>67037</v>
      </c>
      <c r="P106" s="207">
        <f t="shared" si="4"/>
        <v>61047</v>
      </c>
      <c r="Q106" s="207">
        <v>4</v>
      </c>
      <c r="R106" s="207">
        <v>4</v>
      </c>
      <c r="U106" s="206">
        <v>0</v>
      </c>
      <c r="V106" s="206">
        <v>0</v>
      </c>
      <c r="W106" s="206">
        <v>1</v>
      </c>
      <c r="X106" s="206">
        <v>0</v>
      </c>
    </row>
    <row r="107" spans="1:24" x14ac:dyDescent="0.25">
      <c r="A107" s="206" t="str">
        <f t="shared" si="3"/>
        <v>SD02124IDPs</v>
      </c>
      <c r="B107" s="206" t="s">
        <v>167</v>
      </c>
      <c r="C107" s="206" t="s">
        <v>119</v>
      </c>
      <c r="D107" s="206" t="s">
        <v>211</v>
      </c>
      <c r="E107" s="206" t="s">
        <v>210</v>
      </c>
      <c r="F107" s="206" t="s">
        <v>736</v>
      </c>
      <c r="G107" s="207">
        <v>82555</v>
      </c>
      <c r="H107" s="206" t="s">
        <v>88</v>
      </c>
      <c r="I107" s="206" t="s">
        <v>732</v>
      </c>
      <c r="J107" s="233">
        <v>3.7593984962406013E-2</v>
      </c>
      <c r="K107" s="233">
        <v>0.15037593984962405</v>
      </c>
      <c r="L107" s="233">
        <v>0.5714285714285714</v>
      </c>
      <c r="M107" s="233">
        <v>0.21052631578947367</v>
      </c>
      <c r="N107" s="233">
        <v>3.007518796992481E-2</v>
      </c>
      <c r="O107" s="207">
        <v>67037</v>
      </c>
      <c r="P107" s="207">
        <f t="shared" si="4"/>
        <v>61047</v>
      </c>
      <c r="Q107" s="207">
        <v>4</v>
      </c>
      <c r="R107" s="207">
        <v>4</v>
      </c>
      <c r="U107" s="206">
        <v>0</v>
      </c>
      <c r="V107" s="206">
        <v>0</v>
      </c>
      <c r="W107" s="206">
        <v>1</v>
      </c>
      <c r="X107" s="206">
        <v>0</v>
      </c>
    </row>
    <row r="108" spans="1:24" x14ac:dyDescent="0.25">
      <c r="A108" s="206" t="str">
        <f t="shared" si="3"/>
        <v>SD02124Non-hosting Population</v>
      </c>
      <c r="B108" s="206" t="s">
        <v>167</v>
      </c>
      <c r="C108" s="206" t="s">
        <v>119</v>
      </c>
      <c r="D108" s="206" t="s">
        <v>211</v>
      </c>
      <c r="E108" s="206" t="s">
        <v>210</v>
      </c>
      <c r="F108" s="206" t="s">
        <v>736</v>
      </c>
      <c r="G108" s="207">
        <v>80175</v>
      </c>
      <c r="H108" s="206" t="s">
        <v>568</v>
      </c>
      <c r="I108" s="206" t="s">
        <v>731</v>
      </c>
      <c r="J108" s="233">
        <v>3.7593984962406013E-2</v>
      </c>
      <c r="K108" s="233">
        <v>0.15037593984962405</v>
      </c>
      <c r="L108" s="233">
        <v>0.5714285714285714</v>
      </c>
      <c r="M108" s="233">
        <v>0.21052631578947367</v>
      </c>
      <c r="N108" s="233">
        <v>3.007518796992481E-2</v>
      </c>
      <c r="O108" s="207">
        <v>19290</v>
      </c>
      <c r="P108" s="207">
        <f t="shared" si="4"/>
        <v>17566</v>
      </c>
      <c r="Q108" s="207">
        <v>4</v>
      </c>
      <c r="R108" s="207">
        <v>4</v>
      </c>
      <c r="U108" s="206" t="e">
        <v>#DIV/0!</v>
      </c>
      <c r="V108" s="206" t="e">
        <v>#DIV/0!</v>
      </c>
      <c r="W108" s="206">
        <v>1</v>
      </c>
      <c r="X108" s="206">
        <v>0</v>
      </c>
    </row>
    <row r="109" spans="1:24" x14ac:dyDescent="0.25">
      <c r="A109" s="206" t="str">
        <f t="shared" si="3"/>
        <v>SD02126Host Community</v>
      </c>
      <c r="B109" s="206" t="s">
        <v>167</v>
      </c>
      <c r="C109" s="206" t="s">
        <v>119</v>
      </c>
      <c r="D109" s="206" t="s">
        <v>213</v>
      </c>
      <c r="E109" s="206" t="s">
        <v>212</v>
      </c>
      <c r="F109" s="206" t="s">
        <v>735</v>
      </c>
      <c r="G109" s="207">
        <v>13232</v>
      </c>
      <c r="H109" s="206" t="s">
        <v>87</v>
      </c>
      <c r="I109" s="206" t="s">
        <v>731</v>
      </c>
      <c r="J109" s="233">
        <v>9.8591549295774641E-2</v>
      </c>
      <c r="K109" s="233">
        <v>0.59154929577464788</v>
      </c>
      <c r="L109" s="233">
        <v>0.30281690140845069</v>
      </c>
      <c r="M109" s="233">
        <v>7.0422535211267607E-3</v>
      </c>
      <c r="N109" s="233">
        <v>0</v>
      </c>
      <c r="O109" s="207">
        <v>4100</v>
      </c>
      <c r="P109" s="207">
        <f t="shared" si="4"/>
        <v>3734</v>
      </c>
      <c r="Q109" s="207">
        <v>3</v>
      </c>
      <c r="R109" s="207">
        <v>3</v>
      </c>
      <c r="U109" s="206">
        <v>0</v>
      </c>
      <c r="V109" s="206">
        <v>0</v>
      </c>
      <c r="W109" s="206">
        <v>0</v>
      </c>
      <c r="X109" s="206">
        <v>0</v>
      </c>
    </row>
    <row r="110" spans="1:24" x14ac:dyDescent="0.25">
      <c r="A110" s="206" t="str">
        <f t="shared" si="3"/>
        <v>SD02126IDPs</v>
      </c>
      <c r="B110" s="206" t="s">
        <v>167</v>
      </c>
      <c r="C110" s="206" t="s">
        <v>119</v>
      </c>
      <c r="D110" s="206" t="s">
        <v>213</v>
      </c>
      <c r="E110" s="206" t="s">
        <v>212</v>
      </c>
      <c r="F110" s="206" t="s">
        <v>735</v>
      </c>
      <c r="G110" s="207">
        <v>13232</v>
      </c>
      <c r="H110" s="206" t="s">
        <v>88</v>
      </c>
      <c r="I110" s="206" t="s">
        <v>732</v>
      </c>
      <c r="J110" s="233">
        <v>9.8591549295774641E-2</v>
      </c>
      <c r="K110" s="233">
        <v>0.59154929577464788</v>
      </c>
      <c r="L110" s="233">
        <v>0.30281690140845069</v>
      </c>
      <c r="M110" s="233">
        <v>7.0422535211267607E-3</v>
      </c>
      <c r="N110" s="233">
        <v>0</v>
      </c>
      <c r="O110" s="207">
        <v>4100</v>
      </c>
      <c r="P110" s="207">
        <f t="shared" si="4"/>
        <v>3734</v>
      </c>
      <c r="Q110" s="207">
        <v>3</v>
      </c>
      <c r="R110" s="207">
        <v>3</v>
      </c>
      <c r="U110" s="206">
        <v>0</v>
      </c>
      <c r="V110" s="206">
        <v>0</v>
      </c>
      <c r="W110" s="206">
        <v>0</v>
      </c>
      <c r="X110" s="206">
        <v>0</v>
      </c>
    </row>
    <row r="111" spans="1:24" x14ac:dyDescent="0.25">
      <c r="A111" s="206" t="str">
        <f t="shared" si="3"/>
        <v>SD02126Non-hosting Population</v>
      </c>
      <c r="B111" s="206" t="s">
        <v>167</v>
      </c>
      <c r="C111" s="206" t="s">
        <v>119</v>
      </c>
      <c r="D111" s="206" t="s">
        <v>213</v>
      </c>
      <c r="E111" s="206" t="s">
        <v>212</v>
      </c>
      <c r="F111" s="206" t="s">
        <v>735</v>
      </c>
      <c r="G111" s="207">
        <v>9014</v>
      </c>
      <c r="H111" s="206" t="s">
        <v>568</v>
      </c>
      <c r="I111" s="206" t="s">
        <v>731</v>
      </c>
      <c r="J111" s="233">
        <v>9.8591549295774641E-2</v>
      </c>
      <c r="K111" s="233">
        <v>0.59154929577464788</v>
      </c>
      <c r="L111" s="233">
        <v>0.30281690140845069</v>
      </c>
      <c r="M111" s="233">
        <v>7.0422535211267607E-3</v>
      </c>
      <c r="N111" s="233">
        <v>0</v>
      </c>
      <c r="O111" s="207">
        <v>63</v>
      </c>
      <c r="P111" s="207">
        <f t="shared" si="4"/>
        <v>57</v>
      </c>
      <c r="Q111" s="207">
        <v>3</v>
      </c>
      <c r="R111" s="207">
        <v>3</v>
      </c>
      <c r="U111" s="206">
        <v>0</v>
      </c>
      <c r="V111" s="206">
        <v>0</v>
      </c>
      <c r="W111" s="206">
        <v>0</v>
      </c>
      <c r="X111" s="206">
        <v>0</v>
      </c>
    </row>
    <row r="112" spans="1:24" x14ac:dyDescent="0.25">
      <c r="A112" s="206" t="str">
        <f t="shared" si="3"/>
        <v>SD02128Host Community</v>
      </c>
      <c r="B112" s="206" t="s">
        <v>167</v>
      </c>
      <c r="C112" s="206" t="s">
        <v>119</v>
      </c>
      <c r="D112" s="206" t="s">
        <v>215</v>
      </c>
      <c r="E112" s="206" t="s">
        <v>214</v>
      </c>
      <c r="F112" s="206" t="s">
        <v>735</v>
      </c>
      <c r="G112" s="207">
        <v>122856</v>
      </c>
      <c r="H112" s="206" t="s">
        <v>87</v>
      </c>
      <c r="I112" s="206" t="s">
        <v>731</v>
      </c>
      <c r="J112" s="233">
        <v>0</v>
      </c>
      <c r="K112" s="233">
        <v>2.4193548387096774E-2</v>
      </c>
      <c r="L112" s="233">
        <v>0.89516129032258063</v>
      </c>
      <c r="M112" s="233">
        <v>6.4516129032258063E-2</v>
      </c>
      <c r="N112" s="233">
        <v>1.6129032258064516E-2</v>
      </c>
      <c r="O112" s="207">
        <v>119884</v>
      </c>
      <c r="P112" s="207">
        <f t="shared" si="4"/>
        <v>109172</v>
      </c>
      <c r="Q112" s="207">
        <v>3</v>
      </c>
      <c r="R112" s="207">
        <v>3</v>
      </c>
      <c r="U112" s="206">
        <v>0</v>
      </c>
      <c r="V112" s="206">
        <v>0</v>
      </c>
      <c r="W112" s="206">
        <v>1</v>
      </c>
      <c r="X112" s="206">
        <v>0</v>
      </c>
    </row>
    <row r="113" spans="1:24" x14ac:dyDescent="0.25">
      <c r="A113" s="206" t="str">
        <f t="shared" si="3"/>
        <v>SD02128IDPs</v>
      </c>
      <c r="B113" s="206" t="s">
        <v>167</v>
      </c>
      <c r="C113" s="206" t="s">
        <v>119</v>
      </c>
      <c r="D113" s="206" t="s">
        <v>215</v>
      </c>
      <c r="E113" s="206" t="s">
        <v>214</v>
      </c>
      <c r="F113" s="206" t="s">
        <v>735</v>
      </c>
      <c r="G113" s="207">
        <v>155003</v>
      </c>
      <c r="H113" s="206" t="s">
        <v>88</v>
      </c>
      <c r="I113" s="206" t="s">
        <v>732</v>
      </c>
      <c r="J113" s="233">
        <v>0</v>
      </c>
      <c r="K113" s="233">
        <v>2.4193548387096774E-2</v>
      </c>
      <c r="L113" s="233">
        <v>0.89516129032258063</v>
      </c>
      <c r="M113" s="233">
        <v>6.4516129032258063E-2</v>
      </c>
      <c r="N113" s="233">
        <v>1.6129032258064516E-2</v>
      </c>
      <c r="O113" s="207">
        <v>151253</v>
      </c>
      <c r="P113" s="207">
        <f t="shared" si="4"/>
        <v>137738</v>
      </c>
      <c r="Q113" s="207">
        <v>3</v>
      </c>
      <c r="R113" s="207">
        <v>3</v>
      </c>
      <c r="U113" s="206">
        <v>0</v>
      </c>
      <c r="V113" s="206">
        <v>0</v>
      </c>
      <c r="W113" s="206">
        <v>1</v>
      </c>
      <c r="X113" s="206">
        <v>0</v>
      </c>
    </row>
    <row r="114" spans="1:24" x14ac:dyDescent="0.25">
      <c r="A114" s="206" t="str">
        <f t="shared" si="3"/>
        <v>SD02128Non-hosting Population</v>
      </c>
      <c r="B114" s="206" t="s">
        <v>167</v>
      </c>
      <c r="C114" s="206" t="s">
        <v>119</v>
      </c>
      <c r="D114" s="206" t="s">
        <v>215</v>
      </c>
      <c r="E114" s="206" t="s">
        <v>214</v>
      </c>
      <c r="F114" s="206" t="s">
        <v>735</v>
      </c>
      <c r="G114" s="207">
        <v>0</v>
      </c>
      <c r="H114" s="206" t="s">
        <v>568</v>
      </c>
      <c r="I114" s="206" t="s">
        <v>731</v>
      </c>
      <c r="J114" s="233">
        <v>0</v>
      </c>
      <c r="K114" s="233">
        <v>2.4193548387096774E-2</v>
      </c>
      <c r="L114" s="233">
        <v>0.89516129032258063</v>
      </c>
      <c r="M114" s="233">
        <v>6.4516129032258063E-2</v>
      </c>
      <c r="N114" s="233">
        <v>1.6129032258064516E-2</v>
      </c>
      <c r="O114" s="207">
        <v>0</v>
      </c>
      <c r="P114" s="207">
        <f t="shared" si="4"/>
        <v>0</v>
      </c>
      <c r="Q114" s="207">
        <v>3</v>
      </c>
      <c r="R114" s="207">
        <v>3</v>
      </c>
      <c r="U114" s="206">
        <v>0</v>
      </c>
      <c r="V114" s="206">
        <v>0</v>
      </c>
      <c r="W114" s="206">
        <v>1</v>
      </c>
      <c r="X114" s="206">
        <v>0</v>
      </c>
    </row>
    <row r="115" spans="1:24" x14ac:dyDescent="0.25">
      <c r="A115" s="206" t="str">
        <f t="shared" si="3"/>
        <v>SD02129Host Community</v>
      </c>
      <c r="B115" s="206" t="s">
        <v>167</v>
      </c>
      <c r="C115" s="206" t="s">
        <v>119</v>
      </c>
      <c r="D115" s="206" t="s">
        <v>217</v>
      </c>
      <c r="E115" s="206" t="s">
        <v>216</v>
      </c>
      <c r="F115" s="206" t="s">
        <v>735</v>
      </c>
      <c r="G115" s="207">
        <v>46779</v>
      </c>
      <c r="H115" s="206" t="s">
        <v>87</v>
      </c>
      <c r="I115" s="206" t="s">
        <v>731</v>
      </c>
      <c r="J115" s="233">
        <v>0.15254237288135594</v>
      </c>
      <c r="K115" s="233">
        <v>0.28813559322033899</v>
      </c>
      <c r="L115" s="233">
        <v>0.48305084745762711</v>
      </c>
      <c r="M115" s="233">
        <v>6.7796610169491525E-2</v>
      </c>
      <c r="N115" s="233">
        <v>8.4745762711864406E-3</v>
      </c>
      <c r="O115" s="207">
        <v>26165</v>
      </c>
      <c r="P115" s="207">
        <f t="shared" si="4"/>
        <v>23827</v>
      </c>
      <c r="Q115" s="207">
        <v>3</v>
      </c>
      <c r="R115" s="207">
        <v>3</v>
      </c>
      <c r="U115" s="206">
        <v>0</v>
      </c>
      <c r="V115" s="206">
        <v>0</v>
      </c>
      <c r="W115" s="206">
        <v>1</v>
      </c>
      <c r="X115" s="206">
        <v>0</v>
      </c>
    </row>
    <row r="116" spans="1:24" x14ac:dyDescent="0.25">
      <c r="A116" s="206" t="str">
        <f t="shared" si="3"/>
        <v>SD02129IDPs</v>
      </c>
      <c r="B116" s="206" t="s">
        <v>167</v>
      </c>
      <c r="C116" s="206" t="s">
        <v>119</v>
      </c>
      <c r="D116" s="206" t="s">
        <v>217</v>
      </c>
      <c r="E116" s="206" t="s">
        <v>216</v>
      </c>
      <c r="F116" s="206" t="s">
        <v>735</v>
      </c>
      <c r="G116" s="207">
        <v>46779</v>
      </c>
      <c r="H116" s="206" t="s">
        <v>88</v>
      </c>
      <c r="I116" s="206" t="s">
        <v>732</v>
      </c>
      <c r="J116" s="233">
        <v>0.15254237288135594</v>
      </c>
      <c r="K116" s="233">
        <v>0.28813559322033899</v>
      </c>
      <c r="L116" s="233">
        <v>0.48305084745762711</v>
      </c>
      <c r="M116" s="233">
        <v>6.7796610169491525E-2</v>
      </c>
      <c r="N116" s="233">
        <v>8.4745762711864406E-3</v>
      </c>
      <c r="O116" s="207">
        <v>26165</v>
      </c>
      <c r="P116" s="207">
        <f t="shared" si="4"/>
        <v>23827</v>
      </c>
      <c r="Q116" s="207">
        <v>3</v>
      </c>
      <c r="R116" s="207">
        <v>3</v>
      </c>
      <c r="U116" s="206">
        <v>0</v>
      </c>
      <c r="V116" s="206">
        <v>0</v>
      </c>
      <c r="W116" s="206">
        <v>0</v>
      </c>
      <c r="X116" s="206">
        <v>0</v>
      </c>
    </row>
    <row r="117" spans="1:24" x14ac:dyDescent="0.25">
      <c r="A117" s="206" t="str">
        <f t="shared" si="3"/>
        <v>SD02129Non-hosting Population</v>
      </c>
      <c r="B117" s="206" t="s">
        <v>167</v>
      </c>
      <c r="C117" s="206" t="s">
        <v>119</v>
      </c>
      <c r="D117" s="206" t="s">
        <v>217</v>
      </c>
      <c r="E117" s="206" t="s">
        <v>216</v>
      </c>
      <c r="F117" s="206" t="s">
        <v>735</v>
      </c>
      <c r="G117" s="207">
        <v>145076</v>
      </c>
      <c r="H117" s="206" t="s">
        <v>568</v>
      </c>
      <c r="I117" s="206" t="s">
        <v>731</v>
      </c>
      <c r="J117" s="233">
        <v>0.15254237288135594</v>
      </c>
      <c r="K117" s="233">
        <v>0.28813559322033899</v>
      </c>
      <c r="L117" s="233">
        <v>0.48305084745762711</v>
      </c>
      <c r="M117" s="233">
        <v>6.7796610169491525E-2</v>
      </c>
      <c r="N117" s="233">
        <v>8.4745762711864406E-3</v>
      </c>
      <c r="O117" s="207">
        <v>11065</v>
      </c>
      <c r="P117" s="207">
        <f t="shared" si="4"/>
        <v>10076</v>
      </c>
      <c r="Q117" s="207">
        <v>3</v>
      </c>
      <c r="R117" s="207">
        <v>3</v>
      </c>
      <c r="U117" s="206">
        <v>0</v>
      </c>
      <c r="V117" s="206">
        <v>0</v>
      </c>
      <c r="W117" s="206">
        <v>1</v>
      </c>
      <c r="X117" s="206">
        <v>0</v>
      </c>
    </row>
    <row r="118" spans="1:24" x14ac:dyDescent="0.25">
      <c r="A118" s="206" t="str">
        <f t="shared" si="3"/>
        <v>SD02133Host Community</v>
      </c>
      <c r="B118" s="206" t="s">
        <v>167</v>
      </c>
      <c r="C118" s="206" t="s">
        <v>119</v>
      </c>
      <c r="D118" s="206" t="s">
        <v>219</v>
      </c>
      <c r="E118" s="206" t="s">
        <v>218</v>
      </c>
      <c r="F118" s="206" t="s">
        <v>735</v>
      </c>
      <c r="G118" s="207">
        <v>65012</v>
      </c>
      <c r="H118" s="206" t="s">
        <v>87</v>
      </c>
      <c r="I118" s="206" t="s">
        <v>731</v>
      </c>
      <c r="J118" s="233">
        <v>0</v>
      </c>
      <c r="K118" s="233">
        <v>0.11290322580645161</v>
      </c>
      <c r="L118" s="233">
        <v>0.70161290322580649</v>
      </c>
      <c r="M118" s="233">
        <v>1.6129032258064516E-2</v>
      </c>
      <c r="N118" s="233">
        <v>0.16935483870967741</v>
      </c>
      <c r="O118" s="207">
        <v>57672</v>
      </c>
      <c r="P118" s="207">
        <f t="shared" si="4"/>
        <v>52519</v>
      </c>
      <c r="Q118" s="207">
        <v>3</v>
      </c>
      <c r="R118" s="207">
        <v>3</v>
      </c>
      <c r="U118" s="206">
        <v>0</v>
      </c>
      <c r="V118" s="206">
        <v>0</v>
      </c>
      <c r="W118" s="206">
        <v>1</v>
      </c>
      <c r="X118" s="206">
        <v>0</v>
      </c>
    </row>
    <row r="119" spans="1:24" x14ac:dyDescent="0.25">
      <c r="A119" s="206" t="str">
        <f t="shared" si="3"/>
        <v>SD02133IDPs</v>
      </c>
      <c r="B119" s="206" t="s">
        <v>167</v>
      </c>
      <c r="C119" s="206" t="s">
        <v>119</v>
      </c>
      <c r="D119" s="206" t="s">
        <v>219</v>
      </c>
      <c r="E119" s="206" t="s">
        <v>218</v>
      </c>
      <c r="F119" s="206" t="s">
        <v>735</v>
      </c>
      <c r="G119" s="207">
        <v>65012</v>
      </c>
      <c r="H119" s="206" t="s">
        <v>88</v>
      </c>
      <c r="I119" s="206" t="s">
        <v>732</v>
      </c>
      <c r="J119" s="233">
        <v>0</v>
      </c>
      <c r="K119" s="233">
        <v>0.11290322580645161</v>
      </c>
      <c r="L119" s="233">
        <v>0.70161290322580649</v>
      </c>
      <c r="M119" s="233">
        <v>1.6129032258064516E-2</v>
      </c>
      <c r="N119" s="233">
        <v>0.16935483870967741</v>
      </c>
      <c r="O119" s="207">
        <v>57672</v>
      </c>
      <c r="P119" s="207">
        <f t="shared" si="4"/>
        <v>52519</v>
      </c>
      <c r="Q119" s="207">
        <v>3</v>
      </c>
      <c r="R119" s="207">
        <v>3</v>
      </c>
      <c r="U119" s="206">
        <v>0</v>
      </c>
      <c r="V119" s="206">
        <v>1</v>
      </c>
      <c r="W119" s="206">
        <v>1</v>
      </c>
      <c r="X119" s="206">
        <v>1</v>
      </c>
    </row>
    <row r="120" spans="1:24" x14ac:dyDescent="0.25">
      <c r="A120" s="206" t="str">
        <f t="shared" si="3"/>
        <v>SD02133Non-hosting Population</v>
      </c>
      <c r="B120" s="206" t="s">
        <v>167</v>
      </c>
      <c r="C120" s="206" t="s">
        <v>119</v>
      </c>
      <c r="D120" s="206" t="s">
        <v>219</v>
      </c>
      <c r="E120" s="206" t="s">
        <v>218</v>
      </c>
      <c r="F120" s="206" t="s">
        <v>735</v>
      </c>
      <c r="G120" s="207">
        <v>107058</v>
      </c>
      <c r="H120" s="206" t="s">
        <v>568</v>
      </c>
      <c r="I120" s="206" t="s">
        <v>731</v>
      </c>
      <c r="J120" s="233">
        <v>0</v>
      </c>
      <c r="K120" s="233">
        <v>0.11290322580645161</v>
      </c>
      <c r="L120" s="233">
        <v>0.70161290322580649</v>
      </c>
      <c r="M120" s="233">
        <v>1.6129032258064516E-2</v>
      </c>
      <c r="N120" s="233">
        <v>0.16935483870967741</v>
      </c>
      <c r="O120" s="207">
        <v>19858</v>
      </c>
      <c r="P120" s="207">
        <f t="shared" si="4"/>
        <v>18084</v>
      </c>
      <c r="Q120" s="207">
        <v>3</v>
      </c>
      <c r="R120" s="207">
        <v>3</v>
      </c>
      <c r="U120" s="206">
        <v>0</v>
      </c>
      <c r="V120" s="206">
        <v>0</v>
      </c>
      <c r="W120" s="206">
        <v>1</v>
      </c>
      <c r="X120" s="206">
        <v>0</v>
      </c>
    </row>
    <row r="121" spans="1:24" x14ac:dyDescent="0.25">
      <c r="A121" s="206" t="str">
        <f t="shared" si="3"/>
        <v>SD02136Host Community</v>
      </c>
      <c r="B121" s="206" t="s">
        <v>167</v>
      </c>
      <c r="C121" s="206" t="s">
        <v>119</v>
      </c>
      <c r="D121" s="206" t="s">
        <v>221</v>
      </c>
      <c r="E121" s="206" t="s">
        <v>220</v>
      </c>
      <c r="F121" s="206" t="s">
        <v>735</v>
      </c>
      <c r="G121" s="207">
        <v>38640</v>
      </c>
      <c r="H121" s="206" t="s">
        <v>87</v>
      </c>
      <c r="I121" s="206" t="s">
        <v>731</v>
      </c>
      <c r="J121" s="233">
        <v>6.6666666666666666E-2</v>
      </c>
      <c r="K121" s="233">
        <v>0.38518518518518519</v>
      </c>
      <c r="L121" s="233">
        <v>0.40740740740740738</v>
      </c>
      <c r="M121" s="233">
        <v>8.1481481481481488E-2</v>
      </c>
      <c r="N121" s="233">
        <v>5.9259259259259262E-2</v>
      </c>
      <c r="O121" s="207">
        <v>21180</v>
      </c>
      <c r="P121" s="207">
        <f t="shared" si="4"/>
        <v>19288</v>
      </c>
      <c r="Q121" s="207">
        <v>3</v>
      </c>
      <c r="R121" s="207">
        <v>3</v>
      </c>
      <c r="U121" s="206">
        <v>0</v>
      </c>
      <c r="V121" s="206">
        <v>0</v>
      </c>
      <c r="W121" s="206">
        <v>1</v>
      </c>
      <c r="X121" s="206">
        <v>0</v>
      </c>
    </row>
    <row r="122" spans="1:24" x14ac:dyDescent="0.25">
      <c r="A122" s="206" t="str">
        <f t="shared" si="3"/>
        <v>SD02136IDPs</v>
      </c>
      <c r="B122" s="206" t="s">
        <v>167</v>
      </c>
      <c r="C122" s="206" t="s">
        <v>119</v>
      </c>
      <c r="D122" s="206" t="s">
        <v>221</v>
      </c>
      <c r="E122" s="206" t="s">
        <v>220</v>
      </c>
      <c r="F122" s="206" t="s">
        <v>735</v>
      </c>
      <c r="G122" s="207">
        <v>38640</v>
      </c>
      <c r="H122" s="206" t="s">
        <v>88</v>
      </c>
      <c r="I122" s="206" t="s">
        <v>732</v>
      </c>
      <c r="J122" s="233">
        <v>6.6666666666666666E-2</v>
      </c>
      <c r="K122" s="233">
        <v>0.38518518518518519</v>
      </c>
      <c r="L122" s="233">
        <v>0.40740740740740738</v>
      </c>
      <c r="M122" s="233">
        <v>8.1481481481481488E-2</v>
      </c>
      <c r="N122" s="233">
        <v>5.9259259259259262E-2</v>
      </c>
      <c r="O122" s="207">
        <v>21180</v>
      </c>
      <c r="P122" s="207">
        <f t="shared" si="4"/>
        <v>19288</v>
      </c>
      <c r="Q122" s="207">
        <v>3</v>
      </c>
      <c r="R122" s="207">
        <v>3</v>
      </c>
      <c r="U122" s="206">
        <v>0</v>
      </c>
      <c r="V122" s="206">
        <v>0</v>
      </c>
      <c r="W122" s="206">
        <v>1</v>
      </c>
      <c r="X122" s="206">
        <v>0</v>
      </c>
    </row>
    <row r="123" spans="1:24" x14ac:dyDescent="0.25">
      <c r="A123" s="206" t="str">
        <f t="shared" si="3"/>
        <v>SD02136Non-hosting Population</v>
      </c>
      <c r="B123" s="206" t="s">
        <v>167</v>
      </c>
      <c r="C123" s="206" t="s">
        <v>119</v>
      </c>
      <c r="D123" s="206" t="s">
        <v>221</v>
      </c>
      <c r="E123" s="206" t="s">
        <v>220</v>
      </c>
      <c r="F123" s="206" t="s">
        <v>735</v>
      </c>
      <c r="G123" s="207">
        <v>111176</v>
      </c>
      <c r="H123" s="206" t="s">
        <v>568</v>
      </c>
      <c r="I123" s="206" t="s">
        <v>731</v>
      </c>
      <c r="J123" s="233">
        <v>6.6666666666666666E-2</v>
      </c>
      <c r="K123" s="233">
        <v>0.38518518518518519</v>
      </c>
      <c r="L123" s="233">
        <v>0.40740740740740738</v>
      </c>
      <c r="M123" s="233">
        <v>8.1481481481481488E-2</v>
      </c>
      <c r="N123" s="233">
        <v>5.9259259259259262E-2</v>
      </c>
      <c r="O123" s="207">
        <v>15647</v>
      </c>
      <c r="P123" s="207">
        <f t="shared" si="4"/>
        <v>14249</v>
      </c>
      <c r="Q123" s="207">
        <v>3</v>
      </c>
      <c r="R123" s="207">
        <v>3</v>
      </c>
      <c r="U123" s="206">
        <v>0</v>
      </c>
      <c r="V123" s="206">
        <v>0</v>
      </c>
      <c r="W123" s="206">
        <v>1</v>
      </c>
      <c r="X123" s="206">
        <v>0</v>
      </c>
    </row>
    <row r="124" spans="1:24" x14ac:dyDescent="0.25">
      <c r="A124" s="206" t="str">
        <f t="shared" si="3"/>
        <v>SD02168Host Community</v>
      </c>
      <c r="B124" s="206" t="s">
        <v>167</v>
      </c>
      <c r="C124" s="206" t="s">
        <v>119</v>
      </c>
      <c r="D124" s="206" t="s">
        <v>223</v>
      </c>
      <c r="E124" s="206" t="s">
        <v>222</v>
      </c>
      <c r="F124" s="206" t="s">
        <v>735</v>
      </c>
      <c r="G124" s="207">
        <v>1605</v>
      </c>
      <c r="H124" s="206" t="s">
        <v>87</v>
      </c>
      <c r="I124" s="206" t="s">
        <v>731</v>
      </c>
      <c r="J124" s="233">
        <v>0.12903225806451613</v>
      </c>
      <c r="K124" s="233">
        <v>0.57258064516129037</v>
      </c>
      <c r="L124" s="233">
        <v>0.29032258064516131</v>
      </c>
      <c r="M124" s="233">
        <v>8.0645161290322578E-3</v>
      </c>
      <c r="N124" s="233">
        <v>0</v>
      </c>
      <c r="O124" s="207">
        <v>479</v>
      </c>
      <c r="P124" s="207">
        <f t="shared" si="4"/>
        <v>436</v>
      </c>
      <c r="Q124" s="207">
        <v>3</v>
      </c>
      <c r="R124" s="207">
        <v>3</v>
      </c>
      <c r="U124" s="206" t="e">
        <v>#DIV/0!</v>
      </c>
      <c r="V124" s="206" t="e">
        <v>#DIV/0!</v>
      </c>
      <c r="W124" s="206">
        <v>1</v>
      </c>
      <c r="X124" s="206">
        <v>1</v>
      </c>
    </row>
    <row r="125" spans="1:24" x14ac:dyDescent="0.25">
      <c r="A125" s="206" t="str">
        <f t="shared" si="3"/>
        <v>SD02168IDPs</v>
      </c>
      <c r="B125" s="206" t="s">
        <v>167</v>
      </c>
      <c r="C125" s="206" t="s">
        <v>119</v>
      </c>
      <c r="D125" s="206" t="s">
        <v>223</v>
      </c>
      <c r="E125" s="206" t="s">
        <v>222</v>
      </c>
      <c r="F125" s="206" t="s">
        <v>735</v>
      </c>
      <c r="G125" s="207">
        <v>1605</v>
      </c>
      <c r="H125" s="206" t="s">
        <v>88</v>
      </c>
      <c r="I125" s="206" t="s">
        <v>732</v>
      </c>
      <c r="J125" s="233">
        <v>0.12903225806451613</v>
      </c>
      <c r="K125" s="233">
        <v>0.57258064516129037</v>
      </c>
      <c r="L125" s="233">
        <v>0.29032258064516131</v>
      </c>
      <c r="M125" s="233">
        <v>8.0645161290322578E-3</v>
      </c>
      <c r="N125" s="233">
        <v>0</v>
      </c>
      <c r="O125" s="207">
        <v>479</v>
      </c>
      <c r="P125" s="207">
        <f t="shared" si="4"/>
        <v>436</v>
      </c>
      <c r="Q125" s="207">
        <v>3</v>
      </c>
      <c r="R125" s="207">
        <v>3</v>
      </c>
      <c r="U125" s="206">
        <v>0</v>
      </c>
      <c r="V125" s="206">
        <v>0</v>
      </c>
      <c r="W125" s="206">
        <v>1</v>
      </c>
      <c r="X125" s="206">
        <v>0</v>
      </c>
    </row>
    <row r="126" spans="1:24" x14ac:dyDescent="0.25">
      <c r="A126" s="206" t="str">
        <f t="shared" si="3"/>
        <v>SD02168Non-hosting Population</v>
      </c>
      <c r="B126" s="206" t="s">
        <v>167</v>
      </c>
      <c r="C126" s="206" t="s">
        <v>119</v>
      </c>
      <c r="D126" s="206" t="s">
        <v>223</v>
      </c>
      <c r="E126" s="206" t="s">
        <v>222</v>
      </c>
      <c r="F126" s="206" t="s">
        <v>735</v>
      </c>
      <c r="G126" s="207">
        <v>141930</v>
      </c>
      <c r="H126" s="206" t="s">
        <v>568</v>
      </c>
      <c r="I126" s="206" t="s">
        <v>731</v>
      </c>
      <c r="J126" s="233">
        <v>0.12903225806451613</v>
      </c>
      <c r="K126" s="233">
        <v>0.57258064516129037</v>
      </c>
      <c r="L126" s="233">
        <v>0.29032258064516131</v>
      </c>
      <c r="M126" s="233">
        <v>8.0645161290322578E-3</v>
      </c>
      <c r="N126" s="233">
        <v>0</v>
      </c>
      <c r="O126" s="207">
        <v>1145</v>
      </c>
      <c r="P126" s="207">
        <f t="shared" si="4"/>
        <v>1043</v>
      </c>
      <c r="Q126" s="207">
        <v>3</v>
      </c>
      <c r="R126" s="207">
        <v>3</v>
      </c>
      <c r="U126" s="206" t="e">
        <v>#DIV/0!</v>
      </c>
      <c r="V126" s="206" t="e">
        <v>#DIV/0!</v>
      </c>
      <c r="W126" s="206">
        <v>1</v>
      </c>
      <c r="X126" s="206">
        <v>1</v>
      </c>
    </row>
    <row r="127" spans="1:24" x14ac:dyDescent="0.25">
      <c r="A127" s="206" t="str">
        <f t="shared" si="3"/>
        <v>SD02169Host Community</v>
      </c>
      <c r="B127" s="206" t="s">
        <v>167</v>
      </c>
      <c r="C127" s="206" t="s">
        <v>119</v>
      </c>
      <c r="D127" s="206" t="s">
        <v>225</v>
      </c>
      <c r="E127" s="206" t="s">
        <v>224</v>
      </c>
      <c r="F127" s="206" t="s">
        <v>735</v>
      </c>
      <c r="G127" s="207">
        <v>32363</v>
      </c>
      <c r="H127" s="206" t="s">
        <v>87</v>
      </c>
      <c r="I127" s="206" t="s">
        <v>731</v>
      </c>
      <c r="J127" s="233">
        <v>0.11333333333333333</v>
      </c>
      <c r="K127" s="233">
        <v>0.2</v>
      </c>
      <c r="L127" s="233">
        <v>0.68</v>
      </c>
      <c r="M127" s="233">
        <v>0</v>
      </c>
      <c r="N127" s="233">
        <v>6.6666666666666671E-3</v>
      </c>
      <c r="O127" s="207">
        <v>22223</v>
      </c>
      <c r="P127" s="207">
        <f t="shared" si="4"/>
        <v>20237</v>
      </c>
      <c r="Q127" s="207">
        <v>3</v>
      </c>
      <c r="R127" s="207">
        <v>3</v>
      </c>
      <c r="U127" s="206">
        <v>0</v>
      </c>
      <c r="V127" s="206">
        <v>0</v>
      </c>
      <c r="W127" s="206">
        <v>1</v>
      </c>
      <c r="X127" s="206">
        <v>0</v>
      </c>
    </row>
    <row r="128" spans="1:24" x14ac:dyDescent="0.25">
      <c r="A128" s="206" t="str">
        <f t="shared" si="3"/>
        <v>SD02169IDPs</v>
      </c>
      <c r="B128" s="206" t="s">
        <v>167</v>
      </c>
      <c r="C128" s="206" t="s">
        <v>119</v>
      </c>
      <c r="D128" s="206" t="s">
        <v>225</v>
      </c>
      <c r="E128" s="206" t="s">
        <v>224</v>
      </c>
      <c r="F128" s="206" t="s">
        <v>735</v>
      </c>
      <c r="G128" s="207">
        <v>13663</v>
      </c>
      <c r="H128" s="206" t="s">
        <v>88</v>
      </c>
      <c r="I128" s="206" t="s">
        <v>732</v>
      </c>
      <c r="J128" s="233">
        <v>0.11333333333333333</v>
      </c>
      <c r="K128" s="233">
        <v>0.2</v>
      </c>
      <c r="L128" s="233">
        <v>0.68</v>
      </c>
      <c r="M128" s="233">
        <v>0</v>
      </c>
      <c r="N128" s="233">
        <v>6.6666666666666671E-3</v>
      </c>
      <c r="O128" s="207">
        <v>9382</v>
      </c>
      <c r="P128" s="207">
        <f t="shared" si="4"/>
        <v>8544</v>
      </c>
      <c r="Q128" s="207">
        <v>3</v>
      </c>
      <c r="R128" s="207">
        <v>3</v>
      </c>
      <c r="U128" s="206">
        <v>0</v>
      </c>
      <c r="V128" s="206">
        <v>1</v>
      </c>
      <c r="W128" s="206">
        <v>1</v>
      </c>
      <c r="X128" s="206">
        <v>1</v>
      </c>
    </row>
    <row r="129" spans="1:24" x14ac:dyDescent="0.25">
      <c r="A129" s="206" t="str">
        <f t="shared" si="3"/>
        <v>SD02169Non-hosting Population</v>
      </c>
      <c r="B129" s="206" t="s">
        <v>167</v>
      </c>
      <c r="C129" s="206" t="s">
        <v>119</v>
      </c>
      <c r="D129" s="206" t="s">
        <v>225</v>
      </c>
      <c r="E129" s="206" t="s">
        <v>224</v>
      </c>
      <c r="F129" s="206" t="s">
        <v>735</v>
      </c>
      <c r="G129" s="207">
        <v>123533</v>
      </c>
      <c r="H129" s="206" t="s">
        <v>568</v>
      </c>
      <c r="I129" s="206" t="s">
        <v>731</v>
      </c>
      <c r="J129" s="233">
        <v>0.11333333333333333</v>
      </c>
      <c r="K129" s="233">
        <v>0.2</v>
      </c>
      <c r="L129" s="233">
        <v>0.68</v>
      </c>
      <c r="M129" s="233">
        <v>0</v>
      </c>
      <c r="N129" s="233">
        <v>6.6666666666666671E-3</v>
      </c>
      <c r="O129" s="207">
        <v>824</v>
      </c>
      <c r="P129" s="207">
        <f t="shared" si="4"/>
        <v>750</v>
      </c>
      <c r="Q129" s="207">
        <v>3</v>
      </c>
      <c r="R129" s="207">
        <v>3</v>
      </c>
      <c r="U129" s="206">
        <v>0</v>
      </c>
      <c r="V129" s="206">
        <v>0</v>
      </c>
      <c r="W129" s="206">
        <v>1</v>
      </c>
      <c r="X129" s="206">
        <v>0</v>
      </c>
    </row>
    <row r="130" spans="1:24" x14ac:dyDescent="0.25">
      <c r="A130" s="206" t="str">
        <f t="shared" si="3"/>
        <v>SD02170Host Community</v>
      </c>
      <c r="B130" s="206" t="s">
        <v>167</v>
      </c>
      <c r="C130" s="206" t="s">
        <v>119</v>
      </c>
      <c r="D130" s="206" t="s">
        <v>227</v>
      </c>
      <c r="E130" s="206" t="s">
        <v>226</v>
      </c>
      <c r="F130" s="206" t="s">
        <v>735</v>
      </c>
      <c r="G130" s="207">
        <v>0</v>
      </c>
      <c r="H130" s="206" t="s">
        <v>87</v>
      </c>
      <c r="I130" s="206" t="s">
        <v>731</v>
      </c>
      <c r="J130" s="233">
        <v>3.787878787878788E-2</v>
      </c>
      <c r="K130" s="233">
        <v>0.14393939393939395</v>
      </c>
      <c r="L130" s="233">
        <v>0.54545454545454541</v>
      </c>
      <c r="M130" s="233">
        <v>7.575757575757576E-3</v>
      </c>
      <c r="N130" s="233">
        <v>0.26515151515151514</v>
      </c>
      <c r="O130" s="207">
        <v>0</v>
      </c>
      <c r="P130" s="207">
        <f t="shared" si="4"/>
        <v>0</v>
      </c>
      <c r="Q130" s="207">
        <v>5</v>
      </c>
      <c r="R130" s="207">
        <v>4</v>
      </c>
      <c r="U130" s="206">
        <v>0</v>
      </c>
      <c r="V130" s="206">
        <v>1</v>
      </c>
      <c r="W130" s="206">
        <v>1</v>
      </c>
      <c r="X130" s="206">
        <v>0</v>
      </c>
    </row>
    <row r="131" spans="1:24" x14ac:dyDescent="0.25">
      <c r="A131" s="206" t="str">
        <f t="shared" si="3"/>
        <v>SD02170IDPs</v>
      </c>
      <c r="B131" s="206" t="s">
        <v>167</v>
      </c>
      <c r="C131" s="206" t="s">
        <v>119</v>
      </c>
      <c r="D131" s="206" t="s">
        <v>227</v>
      </c>
      <c r="E131" s="206" t="s">
        <v>226</v>
      </c>
      <c r="F131" s="206" t="s">
        <v>735</v>
      </c>
      <c r="G131" s="207">
        <v>215994</v>
      </c>
      <c r="H131" s="206" t="s">
        <v>88</v>
      </c>
      <c r="I131" s="206" t="s">
        <v>732</v>
      </c>
      <c r="J131" s="233">
        <v>3.787878787878788E-2</v>
      </c>
      <c r="K131" s="233">
        <v>0.14393939393939395</v>
      </c>
      <c r="L131" s="233">
        <v>0.54545454545454541</v>
      </c>
      <c r="M131" s="233">
        <v>7.575757575757576E-3</v>
      </c>
      <c r="N131" s="233">
        <v>0.26515151515151514</v>
      </c>
      <c r="O131" s="207">
        <v>176722</v>
      </c>
      <c r="P131" s="207">
        <f t="shared" si="4"/>
        <v>160932</v>
      </c>
      <c r="Q131" s="207">
        <v>5</v>
      </c>
      <c r="R131" s="207">
        <v>4</v>
      </c>
      <c r="U131" s="206">
        <v>0</v>
      </c>
      <c r="V131" s="206">
        <v>1</v>
      </c>
      <c r="W131" s="206">
        <v>0</v>
      </c>
      <c r="X131" s="206">
        <v>0</v>
      </c>
    </row>
    <row r="132" spans="1:24" x14ac:dyDescent="0.25">
      <c r="A132" s="206" t="str">
        <f t="shared" si="3"/>
        <v>SD02170Non-hosting Population</v>
      </c>
      <c r="B132" s="206" t="s">
        <v>167</v>
      </c>
      <c r="C132" s="206" t="s">
        <v>119</v>
      </c>
      <c r="D132" s="206" t="s">
        <v>227</v>
      </c>
      <c r="E132" s="206" t="s">
        <v>226</v>
      </c>
      <c r="F132" s="206" t="s">
        <v>735</v>
      </c>
      <c r="G132" s="207">
        <v>0</v>
      </c>
      <c r="H132" s="206" t="s">
        <v>568</v>
      </c>
      <c r="I132" s="206" t="s">
        <v>731</v>
      </c>
      <c r="J132" s="233">
        <v>3.787878787878788E-2</v>
      </c>
      <c r="K132" s="233">
        <v>0.14393939393939395</v>
      </c>
      <c r="L132" s="233">
        <v>0.54545454545454541</v>
      </c>
      <c r="M132" s="233">
        <v>7.575757575757576E-3</v>
      </c>
      <c r="N132" s="233">
        <v>0.26515151515151514</v>
      </c>
      <c r="O132" s="207">
        <v>0</v>
      </c>
      <c r="P132" s="207">
        <f t="shared" si="4"/>
        <v>0</v>
      </c>
      <c r="Q132" s="207">
        <v>5</v>
      </c>
      <c r="R132" s="207">
        <v>4</v>
      </c>
      <c r="U132" s="206">
        <v>0</v>
      </c>
      <c r="V132" s="206">
        <v>1</v>
      </c>
      <c r="W132" s="206">
        <v>1</v>
      </c>
      <c r="X132" s="206">
        <v>0</v>
      </c>
    </row>
    <row r="133" spans="1:24" x14ac:dyDescent="0.25">
      <c r="A133" s="206" t="str">
        <f t="shared" si="3"/>
        <v>SD02171Host Community</v>
      </c>
      <c r="B133" s="206" t="s">
        <v>167</v>
      </c>
      <c r="C133" s="206" t="s">
        <v>119</v>
      </c>
      <c r="D133" s="206" t="s">
        <v>229</v>
      </c>
      <c r="E133" s="206" t="s">
        <v>228</v>
      </c>
      <c r="F133" s="206" t="s">
        <v>736</v>
      </c>
      <c r="G133" s="207">
        <v>5385</v>
      </c>
      <c r="H133" s="206" t="s">
        <v>87</v>
      </c>
      <c r="I133" s="206" t="s">
        <v>731</v>
      </c>
      <c r="J133" s="233">
        <v>1.4084507042253521E-2</v>
      </c>
      <c r="K133" s="233">
        <v>5.6338028169014086E-2</v>
      </c>
      <c r="L133" s="233">
        <v>0.85915492957746475</v>
      </c>
      <c r="M133" s="233">
        <v>5.1643192488262914E-2</v>
      </c>
      <c r="N133" s="233">
        <v>1.8779342723004695E-2</v>
      </c>
      <c r="O133" s="207">
        <v>5006</v>
      </c>
      <c r="P133" s="207">
        <f t="shared" si="4"/>
        <v>4559</v>
      </c>
      <c r="Q133" s="207">
        <v>3</v>
      </c>
      <c r="R133" s="207">
        <v>3</v>
      </c>
      <c r="U133" s="206">
        <v>0</v>
      </c>
      <c r="V133" s="206">
        <v>0</v>
      </c>
      <c r="W133" s="206">
        <v>1</v>
      </c>
      <c r="X133" s="206">
        <v>0</v>
      </c>
    </row>
    <row r="134" spans="1:24" x14ac:dyDescent="0.25">
      <c r="A134" s="206" t="str">
        <f t="shared" si="3"/>
        <v>SD02171IDPs</v>
      </c>
      <c r="B134" s="206" t="s">
        <v>167</v>
      </c>
      <c r="C134" s="206" t="s">
        <v>119</v>
      </c>
      <c r="D134" s="206" t="s">
        <v>229</v>
      </c>
      <c r="E134" s="206" t="s">
        <v>228</v>
      </c>
      <c r="F134" s="206" t="s">
        <v>736</v>
      </c>
      <c r="G134" s="207">
        <v>5385</v>
      </c>
      <c r="H134" s="206" t="s">
        <v>88</v>
      </c>
      <c r="I134" s="206" t="s">
        <v>732</v>
      </c>
      <c r="J134" s="233">
        <v>1.4084507042253521E-2</v>
      </c>
      <c r="K134" s="233">
        <v>5.6338028169014086E-2</v>
      </c>
      <c r="L134" s="233">
        <v>0.85915492957746475</v>
      </c>
      <c r="M134" s="233">
        <v>5.1643192488262914E-2</v>
      </c>
      <c r="N134" s="233">
        <v>1.8779342723004695E-2</v>
      </c>
      <c r="O134" s="207">
        <v>5006</v>
      </c>
      <c r="P134" s="207">
        <f t="shared" si="4"/>
        <v>4559</v>
      </c>
      <c r="Q134" s="207">
        <v>3</v>
      </c>
      <c r="R134" s="207">
        <v>3</v>
      </c>
      <c r="U134" s="206">
        <v>0</v>
      </c>
      <c r="V134" s="206">
        <v>1</v>
      </c>
      <c r="W134" s="206">
        <v>1</v>
      </c>
      <c r="X134" s="206">
        <v>0</v>
      </c>
    </row>
    <row r="135" spans="1:24" x14ac:dyDescent="0.25">
      <c r="A135" s="206" t="str">
        <f t="shared" si="3"/>
        <v>SD02171Non-hosting Population</v>
      </c>
      <c r="B135" s="206" t="s">
        <v>167</v>
      </c>
      <c r="C135" s="206" t="s">
        <v>119</v>
      </c>
      <c r="D135" s="206" t="s">
        <v>229</v>
      </c>
      <c r="E135" s="206" t="s">
        <v>228</v>
      </c>
      <c r="F135" s="206" t="s">
        <v>736</v>
      </c>
      <c r="G135" s="207">
        <v>41449</v>
      </c>
      <c r="H135" s="206" t="s">
        <v>568</v>
      </c>
      <c r="I135" s="206" t="s">
        <v>731</v>
      </c>
      <c r="J135" s="233">
        <v>1.4084507042253521E-2</v>
      </c>
      <c r="K135" s="233">
        <v>5.6338028169014086E-2</v>
      </c>
      <c r="L135" s="233">
        <v>0.85915492957746475</v>
      </c>
      <c r="M135" s="233">
        <v>5.1643192488262914E-2</v>
      </c>
      <c r="N135" s="233">
        <v>1.8779342723004695E-2</v>
      </c>
      <c r="O135" s="207">
        <v>2919</v>
      </c>
      <c r="P135" s="207">
        <f t="shared" si="4"/>
        <v>2658</v>
      </c>
      <c r="Q135" s="207">
        <v>3</v>
      </c>
      <c r="R135" s="207">
        <v>3</v>
      </c>
      <c r="U135" s="206">
        <v>0</v>
      </c>
      <c r="V135" s="206">
        <v>0</v>
      </c>
      <c r="W135" s="206">
        <v>1</v>
      </c>
      <c r="X135" s="206">
        <v>0</v>
      </c>
    </row>
    <row r="136" spans="1:24" x14ac:dyDescent="0.25">
      <c r="A136" s="206" t="str">
        <f t="shared" si="3"/>
        <v>SD03141Host Community</v>
      </c>
      <c r="B136" s="206" t="s">
        <v>185</v>
      </c>
      <c r="C136" s="206" t="s">
        <v>120</v>
      </c>
      <c r="D136" s="206" t="s">
        <v>233</v>
      </c>
      <c r="E136" s="206" t="s">
        <v>232</v>
      </c>
      <c r="F136" s="206" t="s">
        <v>735</v>
      </c>
      <c r="G136" s="207">
        <v>46725</v>
      </c>
      <c r="H136" s="206" t="s">
        <v>87</v>
      </c>
      <c r="I136" s="206" t="s">
        <v>731</v>
      </c>
      <c r="J136" s="233">
        <v>0.43650793650793651</v>
      </c>
      <c r="K136" s="233">
        <v>0.2857142857142857</v>
      </c>
      <c r="L136" s="233">
        <v>0.22222222222222221</v>
      </c>
      <c r="M136" s="233">
        <v>5.5555555555555552E-2</v>
      </c>
      <c r="N136" s="233">
        <v>0</v>
      </c>
      <c r="O136" s="207">
        <v>12979</v>
      </c>
      <c r="P136" s="207">
        <f t="shared" si="4"/>
        <v>11819</v>
      </c>
      <c r="Q136" s="207">
        <v>3</v>
      </c>
      <c r="R136" s="207">
        <v>3</v>
      </c>
      <c r="U136" s="206">
        <v>0</v>
      </c>
      <c r="V136" s="206">
        <v>1</v>
      </c>
      <c r="W136" s="206">
        <v>1</v>
      </c>
      <c r="X136" s="206">
        <v>0</v>
      </c>
    </row>
    <row r="137" spans="1:24" x14ac:dyDescent="0.25">
      <c r="A137" s="206" t="str">
        <f t="shared" si="3"/>
        <v>SD03141IDPs</v>
      </c>
      <c r="B137" s="206" t="s">
        <v>185</v>
      </c>
      <c r="C137" s="206" t="s">
        <v>120</v>
      </c>
      <c r="D137" s="206" t="s">
        <v>233</v>
      </c>
      <c r="E137" s="206" t="s">
        <v>232</v>
      </c>
      <c r="F137" s="206" t="s">
        <v>735</v>
      </c>
      <c r="G137" s="207">
        <v>37790</v>
      </c>
      <c r="H137" s="206" t="s">
        <v>88</v>
      </c>
      <c r="I137" s="206" t="s">
        <v>732</v>
      </c>
      <c r="J137" s="233">
        <v>0.43650793650793651</v>
      </c>
      <c r="K137" s="233">
        <v>0.2857142857142857</v>
      </c>
      <c r="L137" s="233">
        <v>0.22222222222222221</v>
      </c>
      <c r="M137" s="233">
        <v>5.5555555555555552E-2</v>
      </c>
      <c r="N137" s="233">
        <v>0</v>
      </c>
      <c r="O137" s="207">
        <v>10497</v>
      </c>
      <c r="P137" s="207">
        <f t="shared" si="4"/>
        <v>9559</v>
      </c>
      <c r="Q137" s="207">
        <v>3</v>
      </c>
      <c r="R137" s="207">
        <v>3</v>
      </c>
      <c r="U137" s="206">
        <v>0</v>
      </c>
      <c r="V137" s="206">
        <v>1</v>
      </c>
      <c r="W137" s="206">
        <v>1</v>
      </c>
      <c r="X137" s="206">
        <v>0</v>
      </c>
    </row>
    <row r="138" spans="1:24" x14ac:dyDescent="0.25">
      <c r="A138" s="206" t="str">
        <f t="shared" si="3"/>
        <v>SD03141Non-hosting Population</v>
      </c>
      <c r="B138" s="206" t="s">
        <v>185</v>
      </c>
      <c r="C138" s="206" t="s">
        <v>120</v>
      </c>
      <c r="D138" s="206" t="s">
        <v>233</v>
      </c>
      <c r="E138" s="206" t="s">
        <v>232</v>
      </c>
      <c r="F138" s="206" t="s">
        <v>735</v>
      </c>
      <c r="G138" s="207">
        <v>35088</v>
      </c>
      <c r="H138" s="206" t="s">
        <v>568</v>
      </c>
      <c r="I138" s="206" t="s">
        <v>731</v>
      </c>
      <c r="J138" s="233">
        <v>0.43650793650793651</v>
      </c>
      <c r="K138" s="233">
        <v>0.2857142857142857</v>
      </c>
      <c r="L138" s="233">
        <v>0.22222222222222221</v>
      </c>
      <c r="M138" s="233">
        <v>5.5555555555555552E-2</v>
      </c>
      <c r="N138" s="233">
        <v>0</v>
      </c>
      <c r="O138" s="207">
        <v>1949</v>
      </c>
      <c r="P138" s="207">
        <f t="shared" si="4"/>
        <v>1775</v>
      </c>
      <c r="Q138" s="207">
        <v>3</v>
      </c>
      <c r="R138" s="207">
        <v>3</v>
      </c>
      <c r="U138" s="206">
        <v>0</v>
      </c>
      <c r="V138" s="206">
        <v>1</v>
      </c>
      <c r="W138" s="206">
        <v>1</v>
      </c>
      <c r="X138" s="206">
        <v>0</v>
      </c>
    </row>
    <row r="139" spans="1:24" x14ac:dyDescent="0.25">
      <c r="A139" s="206" t="str">
        <f t="shared" ref="A139:A202" si="5">CONCATENATE(E139,H139)</f>
        <v>SD03143Host Community</v>
      </c>
      <c r="B139" s="206" t="s">
        <v>185</v>
      </c>
      <c r="C139" s="206" t="s">
        <v>120</v>
      </c>
      <c r="D139" s="206" t="s">
        <v>235</v>
      </c>
      <c r="E139" s="206" t="s">
        <v>234</v>
      </c>
      <c r="F139" s="206" t="s">
        <v>735</v>
      </c>
      <c r="G139" s="207">
        <v>33541</v>
      </c>
      <c r="H139" s="206" t="s">
        <v>87</v>
      </c>
      <c r="I139" s="206" t="s">
        <v>731</v>
      </c>
      <c r="J139" s="233">
        <v>0.19685039370078741</v>
      </c>
      <c r="K139" s="233">
        <v>0.2125984251968504</v>
      </c>
      <c r="L139" s="233">
        <v>0.57480314960629919</v>
      </c>
      <c r="M139" s="233">
        <v>0</v>
      </c>
      <c r="N139" s="233">
        <v>1.5748031496062992E-2</v>
      </c>
      <c r="O139" s="207">
        <v>19808</v>
      </c>
      <c r="P139" s="207">
        <f t="shared" si="4"/>
        <v>18038</v>
      </c>
      <c r="Q139" s="207">
        <v>3</v>
      </c>
      <c r="R139" s="207">
        <v>3</v>
      </c>
      <c r="U139" s="206">
        <v>0</v>
      </c>
      <c r="V139" s="206">
        <v>1</v>
      </c>
      <c r="W139" s="206">
        <v>1</v>
      </c>
      <c r="X139" s="206">
        <v>0</v>
      </c>
    </row>
    <row r="140" spans="1:24" x14ac:dyDescent="0.25">
      <c r="A140" s="206" t="str">
        <f t="shared" si="5"/>
        <v>SD03143IDPs</v>
      </c>
      <c r="B140" s="206" t="s">
        <v>185</v>
      </c>
      <c r="C140" s="206" t="s">
        <v>120</v>
      </c>
      <c r="D140" s="206" t="s">
        <v>235</v>
      </c>
      <c r="E140" s="206" t="s">
        <v>234</v>
      </c>
      <c r="F140" s="206" t="s">
        <v>735</v>
      </c>
      <c r="G140" s="207">
        <v>33541</v>
      </c>
      <c r="H140" s="206" t="s">
        <v>88</v>
      </c>
      <c r="I140" s="206" t="s">
        <v>732</v>
      </c>
      <c r="J140" s="233">
        <v>0.19685039370078741</v>
      </c>
      <c r="K140" s="233">
        <v>0.2125984251968504</v>
      </c>
      <c r="L140" s="233">
        <v>0.57480314960629919</v>
      </c>
      <c r="M140" s="233">
        <v>0</v>
      </c>
      <c r="N140" s="233">
        <v>1.5748031496062992E-2</v>
      </c>
      <c r="O140" s="207">
        <v>19808</v>
      </c>
      <c r="P140" s="207">
        <f t="shared" si="4"/>
        <v>18038</v>
      </c>
      <c r="Q140" s="207">
        <v>3</v>
      </c>
      <c r="R140" s="207">
        <v>3</v>
      </c>
      <c r="U140" s="206">
        <v>0</v>
      </c>
      <c r="V140" s="206">
        <v>1</v>
      </c>
      <c r="W140" s="206">
        <v>1</v>
      </c>
      <c r="X140" s="206">
        <v>0</v>
      </c>
    </row>
    <row r="141" spans="1:24" x14ac:dyDescent="0.25">
      <c r="A141" s="206" t="str">
        <f t="shared" si="5"/>
        <v>SD03143Non-hosting Population</v>
      </c>
      <c r="B141" s="206" t="s">
        <v>185</v>
      </c>
      <c r="C141" s="206" t="s">
        <v>120</v>
      </c>
      <c r="D141" s="206" t="s">
        <v>235</v>
      </c>
      <c r="E141" s="206" t="s">
        <v>234</v>
      </c>
      <c r="F141" s="206" t="s">
        <v>735</v>
      </c>
      <c r="G141" s="207">
        <v>145454</v>
      </c>
      <c r="H141" s="206" t="s">
        <v>568</v>
      </c>
      <c r="I141" s="206" t="s">
        <v>731</v>
      </c>
      <c r="J141" s="233">
        <v>0.19685039370078741</v>
      </c>
      <c r="K141" s="233">
        <v>0.2125984251968504</v>
      </c>
      <c r="L141" s="233">
        <v>0.57480314960629919</v>
      </c>
      <c r="M141" s="233">
        <v>0</v>
      </c>
      <c r="N141" s="233">
        <v>1.5748031496062992E-2</v>
      </c>
      <c r="O141" s="207">
        <v>2291</v>
      </c>
      <c r="P141" s="207">
        <f t="shared" si="4"/>
        <v>2086</v>
      </c>
      <c r="Q141" s="207">
        <v>3</v>
      </c>
      <c r="R141" s="207">
        <v>3</v>
      </c>
      <c r="U141" s="206" t="e">
        <v>#DIV/0!</v>
      </c>
      <c r="V141" s="206" t="e">
        <v>#DIV/0!</v>
      </c>
      <c r="W141" s="206">
        <v>1</v>
      </c>
      <c r="X141" s="206">
        <v>0</v>
      </c>
    </row>
    <row r="142" spans="1:24" x14ac:dyDescent="0.25">
      <c r="A142" s="206" t="str">
        <f t="shared" si="5"/>
        <v>SD03144Host Community</v>
      </c>
      <c r="B142" s="206" t="s">
        <v>185</v>
      </c>
      <c r="C142" s="206" t="s">
        <v>120</v>
      </c>
      <c r="D142" s="206" t="s">
        <v>237</v>
      </c>
      <c r="E142" s="206" t="s">
        <v>236</v>
      </c>
      <c r="F142" s="206" t="s">
        <v>735</v>
      </c>
      <c r="G142" s="207">
        <v>153958</v>
      </c>
      <c r="H142" s="206" t="s">
        <v>87</v>
      </c>
      <c r="I142" s="206" t="s">
        <v>731</v>
      </c>
      <c r="J142" s="233">
        <v>0.2288135593220339</v>
      </c>
      <c r="K142" s="233">
        <v>4.2372881355932202E-2</v>
      </c>
      <c r="L142" s="233">
        <v>0.33050847457627119</v>
      </c>
      <c r="M142" s="233">
        <v>7.6271186440677971E-2</v>
      </c>
      <c r="N142" s="233">
        <v>0.32203389830508472</v>
      </c>
      <c r="O142" s="207">
        <v>112207</v>
      </c>
      <c r="P142" s="207">
        <f t="shared" si="4"/>
        <v>102181</v>
      </c>
      <c r="Q142" s="207">
        <v>5</v>
      </c>
      <c r="R142" s="207">
        <v>4</v>
      </c>
      <c r="U142" s="206">
        <v>0</v>
      </c>
      <c r="V142" s="206">
        <v>0</v>
      </c>
      <c r="W142" s="206">
        <v>0</v>
      </c>
      <c r="X142" s="206">
        <v>0</v>
      </c>
    </row>
    <row r="143" spans="1:24" x14ac:dyDescent="0.25">
      <c r="A143" s="206" t="str">
        <f t="shared" si="5"/>
        <v>SD03144IDPs</v>
      </c>
      <c r="B143" s="206" t="s">
        <v>185</v>
      </c>
      <c r="C143" s="206" t="s">
        <v>120</v>
      </c>
      <c r="D143" s="206" t="s">
        <v>237</v>
      </c>
      <c r="E143" s="206" t="s">
        <v>236</v>
      </c>
      <c r="F143" s="206" t="s">
        <v>735</v>
      </c>
      <c r="G143" s="207">
        <v>153958</v>
      </c>
      <c r="H143" s="206" t="s">
        <v>88</v>
      </c>
      <c r="I143" s="206" t="s">
        <v>732</v>
      </c>
      <c r="J143" s="233">
        <v>0.2288135593220339</v>
      </c>
      <c r="K143" s="233">
        <v>4.2372881355932202E-2</v>
      </c>
      <c r="L143" s="233">
        <v>0.33050847457627119</v>
      </c>
      <c r="M143" s="233">
        <v>7.6271186440677971E-2</v>
      </c>
      <c r="N143" s="233">
        <v>0.32203389830508472</v>
      </c>
      <c r="O143" s="207">
        <v>112207</v>
      </c>
      <c r="P143" s="207">
        <f t="shared" si="4"/>
        <v>102181</v>
      </c>
      <c r="Q143" s="207">
        <v>5</v>
      </c>
      <c r="R143" s="207">
        <v>4</v>
      </c>
      <c r="U143" s="206">
        <v>0</v>
      </c>
      <c r="V143" s="206">
        <v>1</v>
      </c>
      <c r="W143" s="206">
        <v>1</v>
      </c>
      <c r="X143" s="206">
        <v>0</v>
      </c>
    </row>
    <row r="144" spans="1:24" x14ac:dyDescent="0.25">
      <c r="A144" s="206" t="str">
        <f t="shared" si="5"/>
        <v>SD03144Non-hosting Population</v>
      </c>
      <c r="B144" s="206" t="s">
        <v>185</v>
      </c>
      <c r="C144" s="206" t="s">
        <v>120</v>
      </c>
      <c r="D144" s="206" t="s">
        <v>237</v>
      </c>
      <c r="E144" s="206" t="s">
        <v>236</v>
      </c>
      <c r="F144" s="206" t="s">
        <v>735</v>
      </c>
      <c r="G144" s="207">
        <v>17373</v>
      </c>
      <c r="H144" s="206" t="s">
        <v>568</v>
      </c>
      <c r="I144" s="206" t="s">
        <v>731</v>
      </c>
      <c r="J144" s="233">
        <v>0.2288135593220339</v>
      </c>
      <c r="K144" s="233">
        <v>4.2372881355932202E-2</v>
      </c>
      <c r="L144" s="233">
        <v>0.33050847457627119</v>
      </c>
      <c r="M144" s="233">
        <v>7.6271186440677971E-2</v>
      </c>
      <c r="N144" s="233">
        <v>0.32203389830508472</v>
      </c>
      <c r="O144" s="207">
        <v>6920</v>
      </c>
      <c r="P144" s="207">
        <f t="shared" si="4"/>
        <v>6302</v>
      </c>
      <c r="Q144" s="207">
        <v>5</v>
      </c>
      <c r="R144" s="207">
        <v>4</v>
      </c>
      <c r="U144" s="206">
        <v>0</v>
      </c>
      <c r="V144" s="206">
        <v>0</v>
      </c>
      <c r="W144" s="206">
        <v>0</v>
      </c>
      <c r="X144" s="206">
        <v>0</v>
      </c>
    </row>
    <row r="145" spans="1:24" x14ac:dyDescent="0.25">
      <c r="A145" s="206" t="str">
        <f t="shared" si="5"/>
        <v>SD03145Host Community</v>
      </c>
      <c r="B145" s="206" t="s">
        <v>185</v>
      </c>
      <c r="C145" s="206" t="s">
        <v>120</v>
      </c>
      <c r="D145" s="206" t="s">
        <v>239</v>
      </c>
      <c r="E145" s="206" t="s">
        <v>238</v>
      </c>
      <c r="F145" s="206" t="s">
        <v>735</v>
      </c>
      <c r="G145" s="207">
        <v>525</v>
      </c>
      <c r="H145" s="206" t="s">
        <v>87</v>
      </c>
      <c r="I145" s="206" t="s">
        <v>731</v>
      </c>
      <c r="J145" s="233">
        <v>0.11475409836065574</v>
      </c>
      <c r="K145" s="233">
        <v>0.30327868852459017</v>
      </c>
      <c r="L145" s="233">
        <v>0.35245901639344263</v>
      </c>
      <c r="M145" s="233">
        <v>0.16393442622950818</v>
      </c>
      <c r="N145" s="233">
        <v>6.5573770491803282E-2</v>
      </c>
      <c r="O145" s="207">
        <v>306</v>
      </c>
      <c r="P145" s="207">
        <f t="shared" ref="P145:P198" si="6">ROUND(O145*$AB$5,0)</f>
        <v>279</v>
      </c>
      <c r="Q145" s="207">
        <v>4</v>
      </c>
      <c r="R145" s="207">
        <v>4</v>
      </c>
      <c r="U145" s="206" t="e">
        <v>#DIV/0!</v>
      </c>
      <c r="V145" s="206" t="e">
        <v>#DIV/0!</v>
      </c>
      <c r="W145" s="206">
        <v>1</v>
      </c>
      <c r="X145" s="206">
        <v>0</v>
      </c>
    </row>
    <row r="146" spans="1:24" x14ac:dyDescent="0.25">
      <c r="A146" s="206" t="str">
        <f t="shared" si="5"/>
        <v>SD03145IDPs</v>
      </c>
      <c r="B146" s="206" t="s">
        <v>185</v>
      </c>
      <c r="C146" s="206" t="s">
        <v>120</v>
      </c>
      <c r="D146" s="206" t="s">
        <v>239</v>
      </c>
      <c r="E146" s="206" t="s">
        <v>238</v>
      </c>
      <c r="F146" s="206" t="s">
        <v>735</v>
      </c>
      <c r="G146" s="207">
        <v>80145</v>
      </c>
      <c r="H146" s="206" t="s">
        <v>88</v>
      </c>
      <c r="I146" s="206" t="s">
        <v>732</v>
      </c>
      <c r="J146" s="233">
        <v>0.11475409836065574</v>
      </c>
      <c r="K146" s="233">
        <v>0.30327868852459017</v>
      </c>
      <c r="L146" s="233">
        <v>0.35245901639344263</v>
      </c>
      <c r="M146" s="233">
        <v>0.16393442622950818</v>
      </c>
      <c r="N146" s="233">
        <v>6.5573770491803282E-2</v>
      </c>
      <c r="O146" s="207">
        <v>46642</v>
      </c>
      <c r="P146" s="207">
        <f t="shared" si="6"/>
        <v>42474</v>
      </c>
      <c r="Q146" s="207">
        <v>4</v>
      </c>
      <c r="R146" s="207">
        <v>4</v>
      </c>
      <c r="U146" s="206">
        <v>0</v>
      </c>
      <c r="V146" s="206">
        <v>1</v>
      </c>
      <c r="W146" s="206">
        <v>1</v>
      </c>
      <c r="X146" s="206">
        <v>0</v>
      </c>
    </row>
    <row r="147" spans="1:24" x14ac:dyDescent="0.25">
      <c r="A147" s="206" t="str">
        <f t="shared" si="5"/>
        <v>SD03145Non-hosting Population</v>
      </c>
      <c r="B147" s="206" t="s">
        <v>185</v>
      </c>
      <c r="C147" s="206" t="s">
        <v>120</v>
      </c>
      <c r="D147" s="206" t="s">
        <v>239</v>
      </c>
      <c r="E147" s="206" t="s">
        <v>238</v>
      </c>
      <c r="F147" s="206" t="s">
        <v>735</v>
      </c>
      <c r="G147" s="207">
        <v>0</v>
      </c>
      <c r="H147" s="206" t="s">
        <v>568</v>
      </c>
      <c r="I147" s="206" t="s">
        <v>731</v>
      </c>
      <c r="J147" s="233">
        <v>0.11475409836065574</v>
      </c>
      <c r="K147" s="233">
        <v>0.30327868852459017</v>
      </c>
      <c r="L147" s="233">
        <v>0.35245901639344263</v>
      </c>
      <c r="M147" s="233">
        <v>0.16393442622950818</v>
      </c>
      <c r="N147" s="233">
        <v>6.5573770491803282E-2</v>
      </c>
      <c r="O147" s="207">
        <v>0</v>
      </c>
      <c r="P147" s="207">
        <f t="shared" si="6"/>
        <v>0</v>
      </c>
      <c r="Q147" s="207">
        <v>4</v>
      </c>
      <c r="R147" s="207">
        <v>4</v>
      </c>
      <c r="U147" s="206" t="e">
        <v>#DIV/0!</v>
      </c>
      <c r="V147" s="206" t="e">
        <v>#DIV/0!</v>
      </c>
      <c r="W147" s="206">
        <v>1</v>
      </c>
      <c r="X147" s="206">
        <v>0</v>
      </c>
    </row>
    <row r="148" spans="1:24" x14ac:dyDescent="0.25">
      <c r="A148" s="206" t="str">
        <f t="shared" si="5"/>
        <v>SD03146Host Community</v>
      </c>
      <c r="B148" s="206" t="s">
        <v>185</v>
      </c>
      <c r="C148" s="206" t="s">
        <v>120</v>
      </c>
      <c r="D148" s="206" t="s">
        <v>241</v>
      </c>
      <c r="E148" s="206" t="s">
        <v>240</v>
      </c>
      <c r="F148" s="206" t="s">
        <v>735</v>
      </c>
      <c r="G148" s="207">
        <v>7079</v>
      </c>
      <c r="H148" s="206" t="s">
        <v>87</v>
      </c>
      <c r="I148" s="206" t="s">
        <v>731</v>
      </c>
      <c r="J148" s="233">
        <v>3.4188034188034191E-2</v>
      </c>
      <c r="K148" s="233">
        <v>0.14529914529914531</v>
      </c>
      <c r="L148" s="233">
        <v>0.81196581196581197</v>
      </c>
      <c r="M148" s="233">
        <v>0</v>
      </c>
      <c r="N148" s="233">
        <v>8.5470085470085479E-3</v>
      </c>
      <c r="O148" s="207">
        <v>5808</v>
      </c>
      <c r="P148" s="207">
        <f t="shared" si="6"/>
        <v>5289</v>
      </c>
      <c r="Q148" s="207">
        <v>3</v>
      </c>
      <c r="R148" s="207">
        <v>3</v>
      </c>
      <c r="U148" s="206">
        <v>0</v>
      </c>
      <c r="V148" s="206">
        <v>1</v>
      </c>
      <c r="W148" s="206">
        <v>1</v>
      </c>
      <c r="X148" s="206">
        <v>0</v>
      </c>
    </row>
    <row r="149" spans="1:24" x14ac:dyDescent="0.25">
      <c r="A149" s="206" t="str">
        <f t="shared" si="5"/>
        <v>SD03146IDPs</v>
      </c>
      <c r="B149" s="206" t="s">
        <v>185</v>
      </c>
      <c r="C149" s="206" t="s">
        <v>120</v>
      </c>
      <c r="D149" s="206" t="s">
        <v>241</v>
      </c>
      <c r="E149" s="206" t="s">
        <v>240</v>
      </c>
      <c r="F149" s="206" t="s">
        <v>735</v>
      </c>
      <c r="G149" s="207">
        <v>3835</v>
      </c>
      <c r="H149" s="206" t="s">
        <v>88</v>
      </c>
      <c r="I149" s="206" t="s">
        <v>732</v>
      </c>
      <c r="J149" s="233">
        <v>3.4188034188034191E-2</v>
      </c>
      <c r="K149" s="233">
        <v>0.14529914529914531</v>
      </c>
      <c r="L149" s="233">
        <v>0.81196581196581197</v>
      </c>
      <c r="M149" s="233">
        <v>0</v>
      </c>
      <c r="N149" s="233">
        <v>8.5470085470085479E-3</v>
      </c>
      <c r="O149" s="207">
        <v>3147</v>
      </c>
      <c r="P149" s="207">
        <f t="shared" si="6"/>
        <v>2866</v>
      </c>
      <c r="Q149" s="207">
        <v>3</v>
      </c>
      <c r="R149" s="207">
        <v>3</v>
      </c>
      <c r="U149" s="206">
        <v>0</v>
      </c>
      <c r="V149" s="206">
        <v>0</v>
      </c>
      <c r="W149" s="206">
        <v>1</v>
      </c>
      <c r="X149" s="206">
        <v>1</v>
      </c>
    </row>
    <row r="150" spans="1:24" x14ac:dyDescent="0.25">
      <c r="A150" s="206" t="str">
        <f t="shared" si="5"/>
        <v>SD03146Non-hosting Population</v>
      </c>
      <c r="B150" s="206" t="s">
        <v>185</v>
      </c>
      <c r="C150" s="206" t="s">
        <v>120</v>
      </c>
      <c r="D150" s="206" t="s">
        <v>241</v>
      </c>
      <c r="E150" s="206" t="s">
        <v>240</v>
      </c>
      <c r="F150" s="206" t="s">
        <v>735</v>
      </c>
      <c r="G150" s="207">
        <v>57590</v>
      </c>
      <c r="H150" s="206" t="s">
        <v>568</v>
      </c>
      <c r="I150" s="206" t="s">
        <v>731</v>
      </c>
      <c r="J150" s="233">
        <v>3.4188034188034191E-2</v>
      </c>
      <c r="K150" s="233">
        <v>0.14529914529914531</v>
      </c>
      <c r="L150" s="233">
        <v>0.81196581196581197</v>
      </c>
      <c r="M150" s="233">
        <v>0</v>
      </c>
      <c r="N150" s="233">
        <v>8.5470085470085479E-3</v>
      </c>
      <c r="O150" s="207">
        <v>492</v>
      </c>
      <c r="P150" s="207">
        <f t="shared" si="6"/>
        <v>448</v>
      </c>
      <c r="Q150" s="207">
        <v>3</v>
      </c>
      <c r="R150" s="207">
        <v>3</v>
      </c>
      <c r="U150" s="206">
        <v>0</v>
      </c>
      <c r="V150" s="206">
        <v>1</v>
      </c>
      <c r="W150" s="206">
        <v>1</v>
      </c>
      <c r="X150" s="206">
        <v>0</v>
      </c>
    </row>
    <row r="151" spans="1:24" x14ac:dyDescent="0.25">
      <c r="A151" s="206" t="str">
        <f t="shared" si="5"/>
        <v>SD03147Host Community</v>
      </c>
      <c r="B151" s="206" t="s">
        <v>185</v>
      </c>
      <c r="C151" s="206" t="s">
        <v>120</v>
      </c>
      <c r="D151" s="206" t="s">
        <v>243</v>
      </c>
      <c r="E151" s="206" t="s">
        <v>242</v>
      </c>
      <c r="F151" s="206" t="s">
        <v>735</v>
      </c>
      <c r="G151" s="207">
        <v>0</v>
      </c>
      <c r="H151" s="206" t="s">
        <v>87</v>
      </c>
      <c r="I151" s="206" t="s">
        <v>731</v>
      </c>
      <c r="J151" s="233">
        <v>0</v>
      </c>
      <c r="K151" s="233">
        <v>0.48717948717948717</v>
      </c>
      <c r="L151" s="233">
        <v>0.51282051282051277</v>
      </c>
      <c r="M151" s="233">
        <v>0</v>
      </c>
      <c r="N151" s="233">
        <v>0</v>
      </c>
      <c r="O151" s="207">
        <v>0</v>
      </c>
      <c r="P151" s="207">
        <f t="shared" si="6"/>
        <v>0</v>
      </c>
      <c r="Q151" s="207">
        <v>3</v>
      </c>
      <c r="R151" s="207">
        <v>3</v>
      </c>
      <c r="U151" s="206">
        <v>0</v>
      </c>
      <c r="V151" s="206">
        <v>0</v>
      </c>
      <c r="W151" s="206">
        <v>0</v>
      </c>
      <c r="X151" s="206">
        <v>0</v>
      </c>
    </row>
    <row r="152" spans="1:24" x14ac:dyDescent="0.25">
      <c r="A152" s="206" t="str">
        <f t="shared" si="5"/>
        <v>SD03147IDPs</v>
      </c>
      <c r="B152" s="206" t="s">
        <v>185</v>
      </c>
      <c r="C152" s="206" t="s">
        <v>120</v>
      </c>
      <c r="D152" s="206" t="s">
        <v>243</v>
      </c>
      <c r="E152" s="206" t="s">
        <v>242</v>
      </c>
      <c r="F152" s="206" t="s">
        <v>735</v>
      </c>
      <c r="G152" s="207">
        <v>42045</v>
      </c>
      <c r="H152" s="206" t="s">
        <v>88</v>
      </c>
      <c r="I152" s="206" t="s">
        <v>732</v>
      </c>
      <c r="J152" s="233">
        <v>0</v>
      </c>
      <c r="K152" s="233">
        <v>0.48717948717948717</v>
      </c>
      <c r="L152" s="233">
        <v>0.51282051282051277</v>
      </c>
      <c r="M152" s="233">
        <v>0</v>
      </c>
      <c r="N152" s="233">
        <v>0</v>
      </c>
      <c r="O152" s="207">
        <v>21562</v>
      </c>
      <c r="P152" s="207">
        <f t="shared" si="6"/>
        <v>19635</v>
      </c>
      <c r="Q152" s="207">
        <v>3</v>
      </c>
      <c r="R152" s="207">
        <v>3</v>
      </c>
      <c r="U152" s="206">
        <v>0</v>
      </c>
      <c r="V152" s="206">
        <v>0</v>
      </c>
      <c r="W152" s="206">
        <v>1</v>
      </c>
      <c r="X152" s="206">
        <v>0</v>
      </c>
    </row>
    <row r="153" spans="1:24" x14ac:dyDescent="0.25">
      <c r="A153" s="206" t="str">
        <f t="shared" si="5"/>
        <v>SD03147Non-hosting Population</v>
      </c>
      <c r="B153" s="206" t="s">
        <v>185</v>
      </c>
      <c r="C153" s="206" t="s">
        <v>120</v>
      </c>
      <c r="D153" s="206" t="s">
        <v>243</v>
      </c>
      <c r="E153" s="206" t="s">
        <v>242</v>
      </c>
      <c r="F153" s="206" t="s">
        <v>735</v>
      </c>
      <c r="G153" s="207">
        <v>0</v>
      </c>
      <c r="H153" s="206" t="s">
        <v>568</v>
      </c>
      <c r="I153" s="206" t="s">
        <v>731</v>
      </c>
      <c r="J153" s="233">
        <v>0</v>
      </c>
      <c r="K153" s="233">
        <v>0.48717948717948717</v>
      </c>
      <c r="L153" s="233">
        <v>0.51282051282051277</v>
      </c>
      <c r="M153" s="233">
        <v>0</v>
      </c>
      <c r="N153" s="233">
        <v>0</v>
      </c>
      <c r="O153" s="207">
        <v>0</v>
      </c>
      <c r="P153" s="207">
        <f t="shared" si="6"/>
        <v>0</v>
      </c>
      <c r="Q153" s="207">
        <v>3</v>
      </c>
      <c r="R153" s="207">
        <v>3</v>
      </c>
      <c r="U153" s="206">
        <v>0</v>
      </c>
      <c r="V153" s="206">
        <v>0</v>
      </c>
      <c r="W153" s="206">
        <v>0</v>
      </c>
      <c r="X153" s="206">
        <v>0</v>
      </c>
    </row>
    <row r="154" spans="1:24" x14ac:dyDescent="0.25">
      <c r="A154" s="206" t="str">
        <f t="shared" si="5"/>
        <v>SD03149Host Community</v>
      </c>
      <c r="B154" s="206" t="s">
        <v>185</v>
      </c>
      <c r="C154" s="206" t="s">
        <v>120</v>
      </c>
      <c r="D154" s="206" t="s">
        <v>245</v>
      </c>
      <c r="E154" s="206" t="s">
        <v>244</v>
      </c>
      <c r="F154" s="206" t="s">
        <v>735</v>
      </c>
      <c r="G154" s="207">
        <v>20775</v>
      </c>
      <c r="H154" s="206" t="s">
        <v>87</v>
      </c>
      <c r="I154" s="206" t="s">
        <v>731</v>
      </c>
      <c r="J154" s="233">
        <v>0.15</v>
      </c>
      <c r="K154" s="233">
        <v>0.6166666666666667</v>
      </c>
      <c r="L154" s="233">
        <v>0.23333333333333334</v>
      </c>
      <c r="M154" s="233">
        <v>0</v>
      </c>
      <c r="N154" s="233">
        <v>0</v>
      </c>
      <c r="O154" s="207">
        <v>4848</v>
      </c>
      <c r="P154" s="207">
        <f t="shared" si="6"/>
        <v>4415</v>
      </c>
      <c r="Q154" s="207">
        <v>3</v>
      </c>
      <c r="R154" s="207">
        <v>3</v>
      </c>
      <c r="U154" s="206">
        <v>0</v>
      </c>
      <c r="V154" s="206">
        <v>1</v>
      </c>
      <c r="W154" s="206">
        <v>1</v>
      </c>
      <c r="X154" s="206">
        <v>0</v>
      </c>
    </row>
    <row r="155" spans="1:24" x14ac:dyDescent="0.25">
      <c r="A155" s="206" t="str">
        <f t="shared" si="5"/>
        <v>SD03149IDPs</v>
      </c>
      <c r="B155" s="206" t="s">
        <v>185</v>
      </c>
      <c r="C155" s="206" t="s">
        <v>120</v>
      </c>
      <c r="D155" s="206" t="s">
        <v>245</v>
      </c>
      <c r="E155" s="206" t="s">
        <v>244</v>
      </c>
      <c r="F155" s="206" t="s">
        <v>735</v>
      </c>
      <c r="G155" s="207">
        <v>20775</v>
      </c>
      <c r="H155" s="206" t="s">
        <v>88</v>
      </c>
      <c r="I155" s="206" t="s">
        <v>732</v>
      </c>
      <c r="J155" s="233">
        <v>0.15</v>
      </c>
      <c r="K155" s="233">
        <v>0.6166666666666667</v>
      </c>
      <c r="L155" s="233">
        <v>0.23333333333333334</v>
      </c>
      <c r="M155" s="233">
        <v>0</v>
      </c>
      <c r="N155" s="233">
        <v>0</v>
      </c>
      <c r="O155" s="207">
        <v>4848</v>
      </c>
      <c r="P155" s="207">
        <f t="shared" si="6"/>
        <v>4415</v>
      </c>
      <c r="Q155" s="207">
        <v>3</v>
      </c>
      <c r="R155" s="207">
        <v>3</v>
      </c>
      <c r="U155" s="206">
        <v>0</v>
      </c>
      <c r="V155" s="206">
        <v>1</v>
      </c>
      <c r="W155" s="206">
        <v>1</v>
      </c>
      <c r="X155" s="206">
        <v>0</v>
      </c>
    </row>
    <row r="156" spans="1:24" x14ac:dyDescent="0.25">
      <c r="A156" s="206" t="str">
        <f t="shared" si="5"/>
        <v>SD03149Non-hosting Population</v>
      </c>
      <c r="B156" s="206" t="s">
        <v>185</v>
      </c>
      <c r="C156" s="206" t="s">
        <v>120</v>
      </c>
      <c r="D156" s="206" t="s">
        <v>245</v>
      </c>
      <c r="E156" s="206" t="s">
        <v>244</v>
      </c>
      <c r="F156" s="206" t="s">
        <v>735</v>
      </c>
      <c r="G156" s="207">
        <v>330303</v>
      </c>
      <c r="H156" s="206" t="s">
        <v>568</v>
      </c>
      <c r="I156" s="206" t="s">
        <v>731</v>
      </c>
      <c r="J156" s="233">
        <v>0.15</v>
      </c>
      <c r="K156" s="233">
        <v>0.6166666666666667</v>
      </c>
      <c r="L156" s="233">
        <v>0.23333333333333334</v>
      </c>
      <c r="M156" s="233">
        <v>0</v>
      </c>
      <c r="N156" s="233">
        <v>0</v>
      </c>
      <c r="O156" s="207">
        <v>0</v>
      </c>
      <c r="P156" s="207">
        <f t="shared" si="6"/>
        <v>0</v>
      </c>
      <c r="Q156" s="207">
        <v>3</v>
      </c>
      <c r="R156" s="207">
        <v>3</v>
      </c>
      <c r="U156" s="206" t="e">
        <v>#DIV/0!</v>
      </c>
      <c r="V156" s="206" t="e">
        <v>#DIV/0!</v>
      </c>
      <c r="W156" s="206">
        <v>1</v>
      </c>
      <c r="X156" s="206">
        <v>0</v>
      </c>
    </row>
    <row r="157" spans="1:24" x14ac:dyDescent="0.25">
      <c r="A157" s="206" t="str">
        <f t="shared" si="5"/>
        <v>SD03150Host Community</v>
      </c>
      <c r="B157" s="206" t="s">
        <v>185</v>
      </c>
      <c r="C157" s="206" t="s">
        <v>120</v>
      </c>
      <c r="D157" s="206" t="s">
        <v>247</v>
      </c>
      <c r="E157" s="206" t="s">
        <v>246</v>
      </c>
      <c r="F157" s="206" t="s">
        <v>735</v>
      </c>
      <c r="G157" s="207">
        <v>3945</v>
      </c>
      <c r="H157" s="206" t="s">
        <v>87</v>
      </c>
      <c r="I157" s="206" t="s">
        <v>731</v>
      </c>
      <c r="J157" s="233">
        <v>9.4017094017094016E-2</v>
      </c>
      <c r="K157" s="233">
        <v>0.31623931623931623</v>
      </c>
      <c r="L157" s="233">
        <v>0.48717948717948717</v>
      </c>
      <c r="M157" s="233">
        <v>8.5470085470085472E-2</v>
      </c>
      <c r="N157" s="233">
        <v>1.7094017094017096E-2</v>
      </c>
      <c r="O157" s="207">
        <v>2327</v>
      </c>
      <c r="P157" s="207">
        <f t="shared" si="6"/>
        <v>2119</v>
      </c>
      <c r="Q157" s="207">
        <v>3</v>
      </c>
      <c r="R157" s="207">
        <v>3</v>
      </c>
      <c r="U157" s="206">
        <v>1</v>
      </c>
      <c r="V157" s="206">
        <v>0</v>
      </c>
      <c r="W157" s="206">
        <v>1</v>
      </c>
      <c r="X157" s="206">
        <v>0</v>
      </c>
    </row>
    <row r="158" spans="1:24" x14ac:dyDescent="0.25">
      <c r="A158" s="206" t="str">
        <f t="shared" si="5"/>
        <v>SD03150IDPs</v>
      </c>
      <c r="B158" s="206" t="s">
        <v>185</v>
      </c>
      <c r="C158" s="206" t="s">
        <v>120</v>
      </c>
      <c r="D158" s="206" t="s">
        <v>247</v>
      </c>
      <c r="E158" s="206" t="s">
        <v>246</v>
      </c>
      <c r="F158" s="206" t="s">
        <v>735</v>
      </c>
      <c r="G158" s="207">
        <v>3945</v>
      </c>
      <c r="H158" s="206" t="s">
        <v>88</v>
      </c>
      <c r="I158" s="206" t="s">
        <v>732</v>
      </c>
      <c r="J158" s="233">
        <v>9.4017094017094016E-2</v>
      </c>
      <c r="K158" s="233">
        <v>0.31623931623931623</v>
      </c>
      <c r="L158" s="233">
        <v>0.48717948717948717</v>
      </c>
      <c r="M158" s="233">
        <v>8.5470085470085472E-2</v>
      </c>
      <c r="N158" s="233">
        <v>1.7094017094017096E-2</v>
      </c>
      <c r="O158" s="207">
        <v>2327</v>
      </c>
      <c r="P158" s="207">
        <f t="shared" si="6"/>
        <v>2119</v>
      </c>
      <c r="Q158" s="207">
        <v>3</v>
      </c>
      <c r="R158" s="207">
        <v>3</v>
      </c>
      <c r="U158" s="206">
        <v>0</v>
      </c>
      <c r="V158" s="206">
        <v>0</v>
      </c>
      <c r="W158" s="206">
        <v>1</v>
      </c>
      <c r="X158" s="206">
        <v>0</v>
      </c>
    </row>
    <row r="159" spans="1:24" x14ac:dyDescent="0.25">
      <c r="A159" s="206" t="str">
        <f t="shared" si="5"/>
        <v>SD03150Non-hosting Population</v>
      </c>
      <c r="B159" s="206" t="s">
        <v>185</v>
      </c>
      <c r="C159" s="206" t="s">
        <v>120</v>
      </c>
      <c r="D159" s="206" t="s">
        <v>247</v>
      </c>
      <c r="E159" s="206" t="s">
        <v>246</v>
      </c>
      <c r="F159" s="206" t="s">
        <v>735</v>
      </c>
      <c r="G159" s="207">
        <v>40368</v>
      </c>
      <c r="H159" s="206" t="s">
        <v>568</v>
      </c>
      <c r="I159" s="206" t="s">
        <v>731</v>
      </c>
      <c r="J159" s="233">
        <v>9.4017094017094016E-2</v>
      </c>
      <c r="K159" s="233">
        <v>0.31623931623931623</v>
      </c>
      <c r="L159" s="233">
        <v>0.48717948717948717</v>
      </c>
      <c r="M159" s="233">
        <v>8.5470085470085472E-2</v>
      </c>
      <c r="N159" s="233">
        <v>1.7094017094017096E-2</v>
      </c>
      <c r="O159" s="207">
        <v>4140</v>
      </c>
      <c r="P159" s="207">
        <f t="shared" si="6"/>
        <v>3770</v>
      </c>
      <c r="Q159" s="207">
        <v>3</v>
      </c>
      <c r="R159" s="207">
        <v>3</v>
      </c>
      <c r="U159" s="206" t="e">
        <v>#DIV/0!</v>
      </c>
      <c r="V159" s="206" t="e">
        <v>#DIV/0!</v>
      </c>
      <c r="W159" s="206">
        <v>1</v>
      </c>
      <c r="X159" s="206">
        <v>0</v>
      </c>
    </row>
    <row r="160" spans="1:24" x14ac:dyDescent="0.25">
      <c r="A160" s="206" t="str">
        <f t="shared" si="5"/>
        <v>SD03151Host Community</v>
      </c>
      <c r="B160" s="206" t="s">
        <v>185</v>
      </c>
      <c r="C160" s="206" t="s">
        <v>120</v>
      </c>
      <c r="D160" s="206" t="s">
        <v>249</v>
      </c>
      <c r="E160" s="206" t="s">
        <v>248</v>
      </c>
      <c r="F160" s="206" t="s">
        <v>735</v>
      </c>
      <c r="G160" s="207">
        <v>189</v>
      </c>
      <c r="H160" s="206" t="s">
        <v>87</v>
      </c>
      <c r="I160" s="206" t="s">
        <v>731</v>
      </c>
      <c r="J160" s="233">
        <v>0</v>
      </c>
      <c r="K160" s="233">
        <v>0.10256410256410256</v>
      </c>
      <c r="L160" s="233">
        <v>0.80341880341880345</v>
      </c>
      <c r="M160" s="233">
        <v>2.564102564102564E-2</v>
      </c>
      <c r="N160" s="233">
        <v>6.8376068376068383E-2</v>
      </c>
      <c r="O160" s="207">
        <v>170</v>
      </c>
      <c r="P160" s="207">
        <f t="shared" si="6"/>
        <v>155</v>
      </c>
      <c r="Q160" s="207">
        <v>3</v>
      </c>
      <c r="R160" s="207">
        <v>3</v>
      </c>
      <c r="U160" s="206" t="e">
        <v>#DIV/0!</v>
      </c>
      <c r="V160" s="206" t="e">
        <v>#DIV/0!</v>
      </c>
      <c r="W160" s="206">
        <v>1</v>
      </c>
      <c r="X160" s="206">
        <v>0</v>
      </c>
    </row>
    <row r="161" spans="1:24" x14ac:dyDescent="0.25">
      <c r="A161" s="206" t="str">
        <f t="shared" si="5"/>
        <v>SD03151IDPs</v>
      </c>
      <c r="B161" s="206" t="s">
        <v>185</v>
      </c>
      <c r="C161" s="206" t="s">
        <v>120</v>
      </c>
      <c r="D161" s="206" t="s">
        <v>249</v>
      </c>
      <c r="E161" s="206" t="s">
        <v>248</v>
      </c>
      <c r="F161" s="206" t="s">
        <v>735</v>
      </c>
      <c r="G161" s="207">
        <v>28505</v>
      </c>
      <c r="H161" s="206" t="s">
        <v>88</v>
      </c>
      <c r="I161" s="206" t="s">
        <v>732</v>
      </c>
      <c r="J161" s="233">
        <v>0</v>
      </c>
      <c r="K161" s="233">
        <v>0.10256410256410256</v>
      </c>
      <c r="L161" s="233">
        <v>0.80341880341880345</v>
      </c>
      <c r="M161" s="233">
        <v>2.564102564102564E-2</v>
      </c>
      <c r="N161" s="233">
        <v>6.8376068376068383E-2</v>
      </c>
      <c r="O161" s="207">
        <v>25581</v>
      </c>
      <c r="P161" s="207">
        <f t="shared" si="6"/>
        <v>23295</v>
      </c>
      <c r="Q161" s="207">
        <v>3</v>
      </c>
      <c r="R161" s="207">
        <v>3</v>
      </c>
      <c r="U161" s="206" t="e">
        <v>#DIV/0!</v>
      </c>
      <c r="V161" s="206" t="e">
        <v>#DIV/0!</v>
      </c>
      <c r="W161" s="206">
        <v>1</v>
      </c>
      <c r="X161" s="206">
        <v>0</v>
      </c>
    </row>
    <row r="162" spans="1:24" x14ac:dyDescent="0.25">
      <c r="A162" s="206" t="str">
        <f t="shared" si="5"/>
        <v>SD03151Non-hosting Population</v>
      </c>
      <c r="B162" s="206" t="s">
        <v>185</v>
      </c>
      <c r="C162" s="206" t="s">
        <v>120</v>
      </c>
      <c r="D162" s="206" t="s">
        <v>249</v>
      </c>
      <c r="E162" s="206" t="s">
        <v>248</v>
      </c>
      <c r="F162" s="206" t="s">
        <v>735</v>
      </c>
      <c r="G162" s="207">
        <v>0</v>
      </c>
      <c r="H162" s="206" t="s">
        <v>568</v>
      </c>
      <c r="I162" s="206" t="s">
        <v>731</v>
      </c>
      <c r="J162" s="233">
        <v>0</v>
      </c>
      <c r="K162" s="233">
        <v>0.10256410256410256</v>
      </c>
      <c r="L162" s="233">
        <v>0.80341880341880345</v>
      </c>
      <c r="M162" s="233">
        <v>2.564102564102564E-2</v>
      </c>
      <c r="N162" s="233">
        <v>6.8376068376068383E-2</v>
      </c>
      <c r="O162" s="207">
        <v>0</v>
      </c>
      <c r="P162" s="207">
        <f t="shared" si="6"/>
        <v>0</v>
      </c>
      <c r="Q162" s="207">
        <v>3</v>
      </c>
      <c r="R162" s="207">
        <v>3</v>
      </c>
      <c r="U162" s="206">
        <v>0</v>
      </c>
      <c r="V162" s="206">
        <v>0</v>
      </c>
      <c r="W162" s="206">
        <v>1</v>
      </c>
      <c r="X162" s="206">
        <v>0</v>
      </c>
    </row>
    <row r="163" spans="1:24" x14ac:dyDescent="0.25">
      <c r="A163" s="206" t="str">
        <f t="shared" si="5"/>
        <v>SD03153Host Community</v>
      </c>
      <c r="B163" s="206" t="s">
        <v>185</v>
      </c>
      <c r="C163" s="206" t="s">
        <v>120</v>
      </c>
      <c r="D163" s="206" t="s">
        <v>251</v>
      </c>
      <c r="E163" s="206" t="s">
        <v>250</v>
      </c>
      <c r="F163" s="206" t="s">
        <v>735</v>
      </c>
      <c r="G163" s="207">
        <v>916</v>
      </c>
      <c r="H163" s="206" t="s">
        <v>87</v>
      </c>
      <c r="I163" s="206" t="s">
        <v>731</v>
      </c>
      <c r="J163" s="233">
        <v>0</v>
      </c>
      <c r="K163" s="233">
        <v>8.3333333333333332E-3</v>
      </c>
      <c r="L163" s="233">
        <v>0.85833333333333328</v>
      </c>
      <c r="M163" s="233">
        <v>0.13333333333333333</v>
      </c>
      <c r="N163" s="233">
        <v>0</v>
      </c>
      <c r="O163" s="207">
        <v>908</v>
      </c>
      <c r="P163" s="207">
        <f t="shared" si="6"/>
        <v>827</v>
      </c>
      <c r="Q163" s="207">
        <v>3</v>
      </c>
      <c r="R163" s="207">
        <v>3</v>
      </c>
      <c r="U163" s="206">
        <v>0</v>
      </c>
      <c r="V163" s="206">
        <v>1</v>
      </c>
      <c r="W163" s="206">
        <v>1</v>
      </c>
      <c r="X163" s="206">
        <v>0</v>
      </c>
    </row>
    <row r="164" spans="1:24" x14ac:dyDescent="0.25">
      <c r="A164" s="206" t="str">
        <f t="shared" si="5"/>
        <v>SD03153IDPs</v>
      </c>
      <c r="B164" s="206" t="s">
        <v>185</v>
      </c>
      <c r="C164" s="206" t="s">
        <v>120</v>
      </c>
      <c r="D164" s="206" t="s">
        <v>251</v>
      </c>
      <c r="E164" s="206" t="s">
        <v>250</v>
      </c>
      <c r="F164" s="206" t="s">
        <v>735</v>
      </c>
      <c r="G164" s="207">
        <v>139642</v>
      </c>
      <c r="H164" s="206" t="s">
        <v>88</v>
      </c>
      <c r="I164" s="206" t="s">
        <v>732</v>
      </c>
      <c r="J164" s="233">
        <v>0</v>
      </c>
      <c r="K164" s="233">
        <v>8.3333333333333332E-3</v>
      </c>
      <c r="L164" s="233">
        <v>0.85833333333333328</v>
      </c>
      <c r="M164" s="233">
        <v>0.13333333333333333</v>
      </c>
      <c r="N164" s="233">
        <v>0</v>
      </c>
      <c r="O164" s="207">
        <v>138478</v>
      </c>
      <c r="P164" s="207">
        <f t="shared" si="6"/>
        <v>126105</v>
      </c>
      <c r="Q164" s="207">
        <v>3</v>
      </c>
      <c r="R164" s="207">
        <v>3</v>
      </c>
      <c r="U164" s="206">
        <v>0</v>
      </c>
      <c r="V164" s="206">
        <v>1</v>
      </c>
      <c r="W164" s="206">
        <v>1</v>
      </c>
      <c r="X164" s="206">
        <v>0</v>
      </c>
    </row>
    <row r="165" spans="1:24" x14ac:dyDescent="0.25">
      <c r="A165" s="206" t="str">
        <f t="shared" si="5"/>
        <v>SD03153Non-hosting Population</v>
      </c>
      <c r="B165" s="206" t="s">
        <v>185</v>
      </c>
      <c r="C165" s="206" t="s">
        <v>120</v>
      </c>
      <c r="D165" s="206" t="s">
        <v>251</v>
      </c>
      <c r="E165" s="206" t="s">
        <v>250</v>
      </c>
      <c r="F165" s="206" t="s">
        <v>735</v>
      </c>
      <c r="G165" s="207">
        <v>0</v>
      </c>
      <c r="H165" s="206" t="s">
        <v>568</v>
      </c>
      <c r="I165" s="206" t="s">
        <v>731</v>
      </c>
      <c r="J165" s="233">
        <v>0</v>
      </c>
      <c r="K165" s="233">
        <v>8.3333333333333332E-3</v>
      </c>
      <c r="L165" s="233">
        <v>0.85833333333333328</v>
      </c>
      <c r="M165" s="233">
        <v>0.13333333333333333</v>
      </c>
      <c r="N165" s="233">
        <v>0</v>
      </c>
      <c r="O165" s="207">
        <v>0</v>
      </c>
      <c r="P165" s="207">
        <f t="shared" si="6"/>
        <v>0</v>
      </c>
      <c r="Q165" s="207">
        <v>3</v>
      </c>
      <c r="R165" s="207">
        <v>3</v>
      </c>
      <c r="U165" s="206" t="e">
        <v>#DIV/0!</v>
      </c>
      <c r="V165" s="206" t="e">
        <v>#DIV/0!</v>
      </c>
      <c r="W165" s="206">
        <v>1</v>
      </c>
      <c r="X165" s="206">
        <v>0</v>
      </c>
    </row>
    <row r="166" spans="1:24" x14ac:dyDescent="0.25">
      <c r="A166" s="206" t="str">
        <f t="shared" si="5"/>
        <v>SD03154Host Community</v>
      </c>
      <c r="B166" s="206" t="s">
        <v>185</v>
      </c>
      <c r="C166" s="206" t="s">
        <v>120</v>
      </c>
      <c r="D166" s="206" t="s">
        <v>253</v>
      </c>
      <c r="E166" s="206" t="s">
        <v>252</v>
      </c>
      <c r="F166" s="206" t="s">
        <v>735</v>
      </c>
      <c r="G166" s="207">
        <v>0</v>
      </c>
      <c r="H166" s="206" t="s">
        <v>87</v>
      </c>
      <c r="I166" s="206" t="s">
        <v>731</v>
      </c>
      <c r="J166" s="233">
        <v>1.5503875968992248E-2</v>
      </c>
      <c r="K166" s="233">
        <v>0.32558139534883723</v>
      </c>
      <c r="L166" s="233">
        <v>0.58914728682170547</v>
      </c>
      <c r="M166" s="233">
        <v>5.4263565891472867E-2</v>
      </c>
      <c r="N166" s="233">
        <v>1.5503875968992248E-2</v>
      </c>
      <c r="O166" s="207">
        <v>0</v>
      </c>
      <c r="P166" s="207">
        <f t="shared" si="6"/>
        <v>0</v>
      </c>
      <c r="Q166" s="207">
        <v>3</v>
      </c>
      <c r="R166" s="207">
        <v>3</v>
      </c>
      <c r="U166" s="206">
        <v>0</v>
      </c>
      <c r="V166" s="206">
        <v>1</v>
      </c>
      <c r="W166" s="206">
        <v>1</v>
      </c>
      <c r="X166" s="206">
        <v>0</v>
      </c>
    </row>
    <row r="167" spans="1:24" x14ac:dyDescent="0.25">
      <c r="A167" s="206" t="str">
        <f t="shared" si="5"/>
        <v>SD03154IDPs</v>
      </c>
      <c r="B167" s="206" t="s">
        <v>185</v>
      </c>
      <c r="C167" s="206" t="s">
        <v>120</v>
      </c>
      <c r="D167" s="206" t="s">
        <v>253</v>
      </c>
      <c r="E167" s="206" t="s">
        <v>252</v>
      </c>
      <c r="F167" s="206" t="s">
        <v>735</v>
      </c>
      <c r="G167" s="207">
        <v>0</v>
      </c>
      <c r="H167" s="206" t="s">
        <v>88</v>
      </c>
      <c r="I167" s="206" t="s">
        <v>732</v>
      </c>
      <c r="J167" s="233">
        <v>1.5503875968992248E-2</v>
      </c>
      <c r="K167" s="233">
        <v>0.32558139534883723</v>
      </c>
      <c r="L167" s="233">
        <v>0.58914728682170547</v>
      </c>
      <c r="M167" s="233">
        <v>5.4263565891472867E-2</v>
      </c>
      <c r="N167" s="233">
        <v>1.5503875968992248E-2</v>
      </c>
      <c r="O167" s="207">
        <v>0</v>
      </c>
      <c r="P167" s="207">
        <f t="shared" si="6"/>
        <v>0</v>
      </c>
      <c r="Q167" s="207">
        <v>3</v>
      </c>
      <c r="R167" s="207">
        <v>3</v>
      </c>
      <c r="U167" s="206">
        <v>0</v>
      </c>
      <c r="V167" s="206">
        <v>1</v>
      </c>
      <c r="W167" s="206">
        <v>1</v>
      </c>
      <c r="X167" s="206">
        <v>1</v>
      </c>
    </row>
    <row r="168" spans="1:24" x14ac:dyDescent="0.25">
      <c r="A168" s="206" t="str">
        <f t="shared" si="5"/>
        <v>SD03154Non-hosting Population</v>
      </c>
      <c r="B168" s="206" t="s">
        <v>185</v>
      </c>
      <c r="C168" s="206" t="s">
        <v>120</v>
      </c>
      <c r="D168" s="206" t="s">
        <v>253</v>
      </c>
      <c r="E168" s="206" t="s">
        <v>252</v>
      </c>
      <c r="F168" s="206" t="s">
        <v>735</v>
      </c>
      <c r="G168" s="207">
        <v>6230</v>
      </c>
      <c r="H168" s="206" t="s">
        <v>568</v>
      </c>
      <c r="I168" s="206" t="s">
        <v>731</v>
      </c>
      <c r="J168" s="233">
        <v>1.5503875968992248E-2</v>
      </c>
      <c r="K168" s="233">
        <v>0.32558139534883723</v>
      </c>
      <c r="L168" s="233">
        <v>0.58914728682170547</v>
      </c>
      <c r="M168" s="233">
        <v>5.4263565891472867E-2</v>
      </c>
      <c r="N168" s="233">
        <v>1.5503875968992248E-2</v>
      </c>
      <c r="O168" s="207">
        <v>435</v>
      </c>
      <c r="P168" s="207">
        <f t="shared" si="6"/>
        <v>396</v>
      </c>
      <c r="Q168" s="207">
        <v>3</v>
      </c>
      <c r="R168" s="207">
        <v>3</v>
      </c>
      <c r="U168" s="206">
        <v>0</v>
      </c>
      <c r="V168" s="206">
        <v>1</v>
      </c>
      <c r="W168" s="206">
        <v>1</v>
      </c>
      <c r="X168" s="206">
        <v>0</v>
      </c>
    </row>
    <row r="169" spans="1:24" x14ac:dyDescent="0.25">
      <c r="A169" s="206" t="str">
        <f t="shared" si="5"/>
        <v>SD03156Host Community</v>
      </c>
      <c r="B169" s="206" t="s">
        <v>185</v>
      </c>
      <c r="C169" s="206" t="s">
        <v>120</v>
      </c>
      <c r="D169" s="206" t="s">
        <v>255</v>
      </c>
      <c r="E169" s="206" t="s">
        <v>254</v>
      </c>
      <c r="F169" s="206" t="s">
        <v>735</v>
      </c>
      <c r="G169" s="207">
        <v>87312</v>
      </c>
      <c r="H169" s="206" t="s">
        <v>87</v>
      </c>
      <c r="I169" s="206" t="s">
        <v>731</v>
      </c>
      <c r="J169" s="233">
        <v>7.2580645161290328E-2</v>
      </c>
      <c r="K169" s="233">
        <v>0.54838709677419351</v>
      </c>
      <c r="L169" s="233">
        <v>0.35483870967741937</v>
      </c>
      <c r="M169" s="233">
        <v>1.6129032258064516E-2</v>
      </c>
      <c r="N169" s="233">
        <v>8.0645161290322578E-3</v>
      </c>
      <c r="O169" s="207">
        <v>33094</v>
      </c>
      <c r="P169" s="207">
        <f t="shared" si="6"/>
        <v>30137</v>
      </c>
      <c r="Q169" s="207">
        <v>3</v>
      </c>
      <c r="R169" s="207">
        <v>3</v>
      </c>
      <c r="U169" s="206">
        <v>0</v>
      </c>
      <c r="V169" s="206">
        <v>0</v>
      </c>
      <c r="W169" s="206">
        <v>0</v>
      </c>
      <c r="X169" s="206">
        <v>0</v>
      </c>
    </row>
    <row r="170" spans="1:24" x14ac:dyDescent="0.25">
      <c r="A170" s="206" t="str">
        <f t="shared" si="5"/>
        <v>SD03156IDPs</v>
      </c>
      <c r="B170" s="206" t="s">
        <v>185</v>
      </c>
      <c r="C170" s="206" t="s">
        <v>120</v>
      </c>
      <c r="D170" s="206" t="s">
        <v>255</v>
      </c>
      <c r="E170" s="206" t="s">
        <v>254</v>
      </c>
      <c r="F170" s="206" t="s">
        <v>735</v>
      </c>
      <c r="G170" s="207">
        <v>100380</v>
      </c>
      <c r="H170" s="206" t="s">
        <v>88</v>
      </c>
      <c r="I170" s="206" t="s">
        <v>732</v>
      </c>
      <c r="J170" s="233">
        <v>7.2580645161290328E-2</v>
      </c>
      <c r="K170" s="233">
        <v>0.54838709677419351</v>
      </c>
      <c r="L170" s="233">
        <v>0.35483870967741937</v>
      </c>
      <c r="M170" s="233">
        <v>1.6129032258064516E-2</v>
      </c>
      <c r="N170" s="233">
        <v>8.0645161290322578E-3</v>
      </c>
      <c r="O170" s="207">
        <v>38047</v>
      </c>
      <c r="P170" s="207">
        <f t="shared" si="6"/>
        <v>34647</v>
      </c>
      <c r="Q170" s="207">
        <v>3</v>
      </c>
      <c r="R170" s="207">
        <v>3</v>
      </c>
      <c r="U170" s="206">
        <v>0</v>
      </c>
      <c r="V170" s="206">
        <v>0</v>
      </c>
      <c r="W170" s="206">
        <v>1</v>
      </c>
      <c r="X170" s="206">
        <v>1</v>
      </c>
    </row>
    <row r="171" spans="1:24" x14ac:dyDescent="0.25">
      <c r="A171" s="206" t="str">
        <f t="shared" si="5"/>
        <v>SD03156Non-hosting Population</v>
      </c>
      <c r="B171" s="206" t="s">
        <v>185</v>
      </c>
      <c r="C171" s="206" t="s">
        <v>120</v>
      </c>
      <c r="D171" s="206" t="s">
        <v>255</v>
      </c>
      <c r="E171" s="206" t="s">
        <v>254</v>
      </c>
      <c r="F171" s="206" t="s">
        <v>735</v>
      </c>
      <c r="G171" s="207">
        <v>0</v>
      </c>
      <c r="H171" s="206" t="s">
        <v>568</v>
      </c>
      <c r="I171" s="206" t="s">
        <v>731</v>
      </c>
      <c r="J171" s="233">
        <v>7.2580645161290328E-2</v>
      </c>
      <c r="K171" s="233">
        <v>0.54838709677419351</v>
      </c>
      <c r="L171" s="233">
        <v>0.35483870967741937</v>
      </c>
      <c r="M171" s="233">
        <v>1.6129032258064516E-2</v>
      </c>
      <c r="N171" s="233">
        <v>8.0645161290322578E-3</v>
      </c>
      <c r="O171" s="207">
        <v>0</v>
      </c>
      <c r="P171" s="207">
        <f t="shared" si="6"/>
        <v>0</v>
      </c>
      <c r="Q171" s="207">
        <v>3</v>
      </c>
      <c r="R171" s="207">
        <v>3</v>
      </c>
      <c r="U171" s="206">
        <v>0</v>
      </c>
      <c r="V171" s="206">
        <v>0</v>
      </c>
      <c r="W171" s="206">
        <v>0</v>
      </c>
      <c r="X171" s="206">
        <v>0</v>
      </c>
    </row>
    <row r="172" spans="1:24" x14ac:dyDescent="0.25">
      <c r="A172" s="206" t="str">
        <f t="shared" si="5"/>
        <v>SD03157Host Community</v>
      </c>
      <c r="B172" s="206" t="s">
        <v>185</v>
      </c>
      <c r="C172" s="206" t="s">
        <v>120</v>
      </c>
      <c r="D172" s="206" t="s">
        <v>257</v>
      </c>
      <c r="E172" s="206" t="s">
        <v>256</v>
      </c>
      <c r="F172" s="206" t="s">
        <v>735</v>
      </c>
      <c r="G172" s="207">
        <v>9090</v>
      </c>
      <c r="H172" s="206" t="s">
        <v>87</v>
      </c>
      <c r="I172" s="206" t="s">
        <v>731</v>
      </c>
      <c r="J172" s="233">
        <v>0.14166666666666666</v>
      </c>
      <c r="K172" s="233">
        <v>0.30833333333333335</v>
      </c>
      <c r="L172" s="233">
        <v>0.54166666666666663</v>
      </c>
      <c r="M172" s="233">
        <v>0</v>
      </c>
      <c r="N172" s="233">
        <v>8.3333333333333332E-3</v>
      </c>
      <c r="O172" s="207">
        <v>5000</v>
      </c>
      <c r="P172" s="207">
        <f t="shared" si="6"/>
        <v>4553</v>
      </c>
      <c r="Q172" s="207">
        <v>3</v>
      </c>
      <c r="R172" s="207">
        <v>3</v>
      </c>
      <c r="U172" s="206">
        <v>0</v>
      </c>
      <c r="V172" s="206">
        <v>0</v>
      </c>
      <c r="W172" s="206">
        <v>1</v>
      </c>
      <c r="X172" s="206">
        <v>0</v>
      </c>
    </row>
    <row r="173" spans="1:24" x14ac:dyDescent="0.25">
      <c r="A173" s="206" t="str">
        <f t="shared" si="5"/>
        <v>SD03157IDPs</v>
      </c>
      <c r="B173" s="206" t="s">
        <v>185</v>
      </c>
      <c r="C173" s="206" t="s">
        <v>120</v>
      </c>
      <c r="D173" s="206" t="s">
        <v>257</v>
      </c>
      <c r="E173" s="206" t="s">
        <v>256</v>
      </c>
      <c r="F173" s="206" t="s">
        <v>735</v>
      </c>
      <c r="G173" s="207">
        <v>9090</v>
      </c>
      <c r="H173" s="206" t="s">
        <v>88</v>
      </c>
      <c r="I173" s="206" t="s">
        <v>732</v>
      </c>
      <c r="J173" s="233">
        <v>0.14166666666666666</v>
      </c>
      <c r="K173" s="233">
        <v>0.30833333333333335</v>
      </c>
      <c r="L173" s="233">
        <v>0.54166666666666663</v>
      </c>
      <c r="M173" s="233">
        <v>0</v>
      </c>
      <c r="N173" s="233">
        <v>8.3333333333333332E-3</v>
      </c>
      <c r="O173" s="207">
        <v>5000</v>
      </c>
      <c r="P173" s="207">
        <f t="shared" si="6"/>
        <v>4553</v>
      </c>
      <c r="Q173" s="207">
        <v>3</v>
      </c>
      <c r="R173" s="207">
        <v>3</v>
      </c>
      <c r="U173" s="206">
        <v>0</v>
      </c>
      <c r="V173" s="206">
        <v>0</v>
      </c>
      <c r="W173" s="206">
        <v>0</v>
      </c>
      <c r="X173" s="206">
        <v>0</v>
      </c>
    </row>
    <row r="174" spans="1:24" x14ac:dyDescent="0.25">
      <c r="A174" s="206" t="str">
        <f t="shared" si="5"/>
        <v>SD03157Non-hosting Population</v>
      </c>
      <c r="B174" s="206" t="s">
        <v>185</v>
      </c>
      <c r="C174" s="206" t="s">
        <v>120</v>
      </c>
      <c r="D174" s="206" t="s">
        <v>257</v>
      </c>
      <c r="E174" s="206" t="s">
        <v>256</v>
      </c>
      <c r="F174" s="206" t="s">
        <v>735</v>
      </c>
      <c r="G174" s="207">
        <v>214438</v>
      </c>
      <c r="H174" s="206" t="s">
        <v>568</v>
      </c>
      <c r="I174" s="206" t="s">
        <v>731</v>
      </c>
      <c r="J174" s="233">
        <v>0.14166666666666666</v>
      </c>
      <c r="K174" s="233">
        <v>0.30833333333333335</v>
      </c>
      <c r="L174" s="233">
        <v>0.54166666666666663</v>
      </c>
      <c r="M174" s="233">
        <v>0</v>
      </c>
      <c r="N174" s="233">
        <v>8.3333333333333332E-3</v>
      </c>
      <c r="O174" s="207">
        <v>1787</v>
      </c>
      <c r="P174" s="207">
        <f t="shared" si="6"/>
        <v>1627</v>
      </c>
      <c r="Q174" s="207">
        <v>3</v>
      </c>
      <c r="R174" s="207">
        <v>3</v>
      </c>
      <c r="U174" s="206">
        <v>0</v>
      </c>
      <c r="V174" s="206">
        <v>0</v>
      </c>
      <c r="W174" s="206">
        <v>1</v>
      </c>
      <c r="X174" s="206">
        <v>0</v>
      </c>
    </row>
    <row r="175" spans="1:24" x14ac:dyDescent="0.25">
      <c r="A175" s="206" t="str">
        <f t="shared" si="5"/>
        <v>SD03158Host Community</v>
      </c>
      <c r="B175" s="206" t="s">
        <v>185</v>
      </c>
      <c r="C175" s="206" t="s">
        <v>120</v>
      </c>
      <c r="D175" s="206" t="s">
        <v>259</v>
      </c>
      <c r="E175" s="206" t="s">
        <v>258</v>
      </c>
      <c r="F175" s="206" t="s">
        <v>735</v>
      </c>
      <c r="G175" s="207">
        <v>30621</v>
      </c>
      <c r="H175" s="206" t="s">
        <v>87</v>
      </c>
      <c r="I175" s="206" t="s">
        <v>731</v>
      </c>
      <c r="J175" s="233">
        <v>0.1377245508982036</v>
      </c>
      <c r="K175" s="233">
        <v>0.19760479041916168</v>
      </c>
      <c r="L175" s="233">
        <v>0.40119760479041916</v>
      </c>
      <c r="M175" s="233">
        <v>4.1916167664670656E-2</v>
      </c>
      <c r="N175" s="233">
        <v>0.22155688622754491</v>
      </c>
      <c r="O175" s="207">
        <v>20353</v>
      </c>
      <c r="P175" s="207">
        <f t="shared" si="6"/>
        <v>18534</v>
      </c>
      <c r="Q175" s="207">
        <v>5</v>
      </c>
      <c r="R175" s="207">
        <v>4</v>
      </c>
      <c r="U175" s="206">
        <v>0</v>
      </c>
      <c r="V175" s="206">
        <v>0</v>
      </c>
      <c r="W175" s="206">
        <v>0</v>
      </c>
      <c r="X175" s="206">
        <v>0</v>
      </c>
    </row>
    <row r="176" spans="1:24" x14ac:dyDescent="0.25">
      <c r="A176" s="206" t="str">
        <f t="shared" si="5"/>
        <v>SD03158IDPs</v>
      </c>
      <c r="B176" s="206" t="s">
        <v>185</v>
      </c>
      <c r="C176" s="206" t="s">
        <v>120</v>
      </c>
      <c r="D176" s="206" t="s">
        <v>259</v>
      </c>
      <c r="E176" s="206" t="s">
        <v>258</v>
      </c>
      <c r="F176" s="206" t="s">
        <v>735</v>
      </c>
      <c r="G176" s="207">
        <v>30621</v>
      </c>
      <c r="H176" s="206" t="s">
        <v>88</v>
      </c>
      <c r="I176" s="206" t="s">
        <v>732</v>
      </c>
      <c r="J176" s="233">
        <v>0.1377245508982036</v>
      </c>
      <c r="K176" s="233">
        <v>0.19760479041916168</v>
      </c>
      <c r="L176" s="233">
        <v>0.40119760479041916</v>
      </c>
      <c r="M176" s="233">
        <v>4.1916167664670656E-2</v>
      </c>
      <c r="N176" s="233">
        <v>0.22155688622754491</v>
      </c>
      <c r="O176" s="207">
        <v>20353</v>
      </c>
      <c r="P176" s="207">
        <f t="shared" si="6"/>
        <v>18534</v>
      </c>
      <c r="Q176" s="207">
        <v>5</v>
      </c>
      <c r="R176" s="207">
        <v>4</v>
      </c>
      <c r="U176" s="206">
        <v>0</v>
      </c>
      <c r="V176" s="206">
        <v>1</v>
      </c>
      <c r="W176" s="206">
        <v>0</v>
      </c>
      <c r="X176" s="206">
        <v>0</v>
      </c>
    </row>
    <row r="177" spans="1:24" x14ac:dyDescent="0.25">
      <c r="A177" s="206" t="str">
        <f t="shared" si="5"/>
        <v>SD03158Non-hosting Population</v>
      </c>
      <c r="B177" s="206" t="s">
        <v>185</v>
      </c>
      <c r="C177" s="206" t="s">
        <v>120</v>
      </c>
      <c r="D177" s="206" t="s">
        <v>259</v>
      </c>
      <c r="E177" s="206" t="s">
        <v>258</v>
      </c>
      <c r="F177" s="206" t="s">
        <v>735</v>
      </c>
      <c r="G177" s="207">
        <v>195095</v>
      </c>
      <c r="H177" s="206" t="s">
        <v>568</v>
      </c>
      <c r="I177" s="206" t="s">
        <v>731</v>
      </c>
      <c r="J177" s="233">
        <v>0.1377245508982036</v>
      </c>
      <c r="K177" s="233">
        <v>0.19760479041916168</v>
      </c>
      <c r="L177" s="233">
        <v>0.40119760479041916</v>
      </c>
      <c r="M177" s="233">
        <v>4.1916167664670656E-2</v>
      </c>
      <c r="N177" s="233">
        <v>0.22155688622754491</v>
      </c>
      <c r="O177" s="207">
        <v>51402</v>
      </c>
      <c r="P177" s="207">
        <f t="shared" si="6"/>
        <v>46809</v>
      </c>
      <c r="Q177" s="207">
        <v>5</v>
      </c>
      <c r="R177" s="207">
        <v>4</v>
      </c>
      <c r="U177" s="206" t="e">
        <v>#DIV/0!</v>
      </c>
      <c r="V177" s="206" t="e">
        <v>#DIV/0!</v>
      </c>
      <c r="W177" s="206">
        <v>0</v>
      </c>
      <c r="X177" s="206">
        <v>0</v>
      </c>
    </row>
    <row r="178" spans="1:24" x14ac:dyDescent="0.25">
      <c r="A178" s="206" t="str">
        <f t="shared" si="5"/>
        <v>SD03159Host Community</v>
      </c>
      <c r="B178" s="206" t="s">
        <v>185</v>
      </c>
      <c r="C178" s="206" t="s">
        <v>120</v>
      </c>
      <c r="D178" s="206" t="s">
        <v>261</v>
      </c>
      <c r="E178" s="206" t="s">
        <v>260</v>
      </c>
      <c r="F178" s="206" t="s">
        <v>735</v>
      </c>
      <c r="G178" s="207">
        <v>43133</v>
      </c>
      <c r="H178" s="206" t="s">
        <v>87</v>
      </c>
      <c r="I178" s="206" t="s">
        <v>731</v>
      </c>
      <c r="J178" s="233">
        <v>7.6335877862595422E-2</v>
      </c>
      <c r="K178" s="233">
        <v>0.49618320610687022</v>
      </c>
      <c r="L178" s="233">
        <v>0.29770992366412213</v>
      </c>
      <c r="M178" s="233">
        <v>0.12977099236641221</v>
      </c>
      <c r="N178" s="233">
        <v>0</v>
      </c>
      <c r="O178" s="207">
        <v>18439</v>
      </c>
      <c r="P178" s="207">
        <f t="shared" si="6"/>
        <v>16791</v>
      </c>
      <c r="Q178" s="207">
        <v>3</v>
      </c>
      <c r="R178" s="207">
        <v>3</v>
      </c>
      <c r="U178" s="206" t="e">
        <v>#DIV/0!</v>
      </c>
      <c r="V178" s="206" t="e">
        <v>#DIV/0!</v>
      </c>
      <c r="W178" s="206">
        <v>1</v>
      </c>
      <c r="X178" s="206">
        <v>0</v>
      </c>
    </row>
    <row r="179" spans="1:24" x14ac:dyDescent="0.25">
      <c r="A179" s="206" t="str">
        <f t="shared" si="5"/>
        <v>SD03159IDPs</v>
      </c>
      <c r="B179" s="206" t="s">
        <v>185</v>
      </c>
      <c r="C179" s="206" t="s">
        <v>120</v>
      </c>
      <c r="D179" s="206" t="s">
        <v>261</v>
      </c>
      <c r="E179" s="206" t="s">
        <v>260</v>
      </c>
      <c r="F179" s="206" t="s">
        <v>735</v>
      </c>
      <c r="G179" s="207">
        <v>43133</v>
      </c>
      <c r="H179" s="206" t="s">
        <v>88</v>
      </c>
      <c r="I179" s="206" t="s">
        <v>732</v>
      </c>
      <c r="J179" s="233">
        <v>7.6335877862595422E-2</v>
      </c>
      <c r="K179" s="233">
        <v>0.49618320610687022</v>
      </c>
      <c r="L179" s="233">
        <v>0.29770992366412213</v>
      </c>
      <c r="M179" s="233">
        <v>0.12977099236641221</v>
      </c>
      <c r="N179" s="233">
        <v>0</v>
      </c>
      <c r="O179" s="207">
        <v>18439</v>
      </c>
      <c r="P179" s="207">
        <f t="shared" si="6"/>
        <v>16791</v>
      </c>
      <c r="Q179" s="207">
        <v>3</v>
      </c>
      <c r="R179" s="207">
        <v>3</v>
      </c>
      <c r="U179" s="206">
        <v>0</v>
      </c>
      <c r="V179" s="206">
        <v>0</v>
      </c>
      <c r="W179" s="206">
        <v>1</v>
      </c>
      <c r="X179" s="206">
        <v>1</v>
      </c>
    </row>
    <row r="180" spans="1:24" x14ac:dyDescent="0.25">
      <c r="A180" s="206" t="str">
        <f t="shared" si="5"/>
        <v>SD03159Non-hosting Population</v>
      </c>
      <c r="B180" s="206" t="s">
        <v>185</v>
      </c>
      <c r="C180" s="206" t="s">
        <v>120</v>
      </c>
      <c r="D180" s="206" t="s">
        <v>261</v>
      </c>
      <c r="E180" s="206" t="s">
        <v>260</v>
      </c>
      <c r="F180" s="206" t="s">
        <v>735</v>
      </c>
      <c r="G180" s="207">
        <v>85750</v>
      </c>
      <c r="H180" s="206" t="s">
        <v>568</v>
      </c>
      <c r="I180" s="206" t="s">
        <v>731</v>
      </c>
      <c r="J180" s="233">
        <v>7.6335877862595422E-2</v>
      </c>
      <c r="K180" s="233">
        <v>0.49618320610687022</v>
      </c>
      <c r="L180" s="233">
        <v>0.29770992366412213</v>
      </c>
      <c r="M180" s="233">
        <v>0.12977099236641221</v>
      </c>
      <c r="N180" s="233">
        <v>0</v>
      </c>
      <c r="O180" s="207">
        <v>11128</v>
      </c>
      <c r="P180" s="207">
        <f t="shared" si="6"/>
        <v>10134</v>
      </c>
      <c r="Q180" s="207">
        <v>3</v>
      </c>
      <c r="R180" s="207">
        <v>3</v>
      </c>
      <c r="U180" s="206" t="e">
        <v>#DIV/0!</v>
      </c>
      <c r="V180" s="206" t="e">
        <v>#DIV/0!</v>
      </c>
      <c r="W180" s="206">
        <v>1</v>
      </c>
      <c r="X180" s="206">
        <v>0</v>
      </c>
    </row>
    <row r="181" spans="1:24" x14ac:dyDescent="0.25">
      <c r="A181" s="206" t="str">
        <f t="shared" si="5"/>
        <v>SD03161Host Community</v>
      </c>
      <c r="B181" s="206" t="s">
        <v>185</v>
      </c>
      <c r="C181" s="206" t="s">
        <v>120</v>
      </c>
      <c r="D181" s="206" t="s">
        <v>263</v>
      </c>
      <c r="E181" s="206" t="s">
        <v>262</v>
      </c>
      <c r="F181" s="206" t="s">
        <v>735</v>
      </c>
      <c r="G181" s="207">
        <v>55740</v>
      </c>
      <c r="H181" s="206" t="s">
        <v>87</v>
      </c>
      <c r="I181" s="206" t="s">
        <v>731</v>
      </c>
      <c r="J181" s="233">
        <v>0.08</v>
      </c>
      <c r="K181" s="233">
        <v>0.25600000000000001</v>
      </c>
      <c r="L181" s="233">
        <v>0.53600000000000003</v>
      </c>
      <c r="M181" s="233">
        <v>0.112</v>
      </c>
      <c r="N181" s="233">
        <v>1.6E-2</v>
      </c>
      <c r="O181" s="207">
        <v>37011</v>
      </c>
      <c r="P181" s="207">
        <f t="shared" si="6"/>
        <v>33704</v>
      </c>
      <c r="Q181" s="207">
        <v>3</v>
      </c>
      <c r="R181" s="207">
        <v>3</v>
      </c>
      <c r="U181" s="206">
        <v>0</v>
      </c>
      <c r="V181" s="206">
        <v>0</v>
      </c>
      <c r="W181" s="206">
        <v>1</v>
      </c>
      <c r="X181" s="206">
        <v>0</v>
      </c>
    </row>
    <row r="182" spans="1:24" x14ac:dyDescent="0.25">
      <c r="A182" s="206" t="str">
        <f t="shared" si="5"/>
        <v>SD03161IDPs</v>
      </c>
      <c r="B182" s="206" t="s">
        <v>185</v>
      </c>
      <c r="C182" s="206" t="s">
        <v>120</v>
      </c>
      <c r="D182" s="206" t="s">
        <v>263</v>
      </c>
      <c r="E182" s="206" t="s">
        <v>262</v>
      </c>
      <c r="F182" s="206" t="s">
        <v>735</v>
      </c>
      <c r="G182" s="207">
        <v>194660</v>
      </c>
      <c r="H182" s="206" t="s">
        <v>88</v>
      </c>
      <c r="I182" s="206" t="s">
        <v>732</v>
      </c>
      <c r="J182" s="233">
        <v>0.08</v>
      </c>
      <c r="K182" s="233">
        <v>0.25600000000000001</v>
      </c>
      <c r="L182" s="233">
        <v>0.53600000000000003</v>
      </c>
      <c r="M182" s="233">
        <v>0.112</v>
      </c>
      <c r="N182" s="233">
        <v>1.6E-2</v>
      </c>
      <c r="O182" s="207">
        <v>129254</v>
      </c>
      <c r="P182" s="207">
        <f t="shared" si="6"/>
        <v>117705</v>
      </c>
      <c r="Q182" s="207">
        <v>3</v>
      </c>
      <c r="R182" s="207">
        <v>3</v>
      </c>
      <c r="U182" s="206">
        <v>0</v>
      </c>
      <c r="V182" s="206">
        <v>0</v>
      </c>
      <c r="W182" s="206">
        <v>1</v>
      </c>
      <c r="X182" s="206">
        <v>1</v>
      </c>
    </row>
    <row r="183" spans="1:24" x14ac:dyDescent="0.25">
      <c r="A183" s="206" t="str">
        <f t="shared" si="5"/>
        <v>SD03161Non-hosting Population</v>
      </c>
      <c r="B183" s="206" t="s">
        <v>185</v>
      </c>
      <c r="C183" s="206" t="s">
        <v>120</v>
      </c>
      <c r="D183" s="206" t="s">
        <v>263</v>
      </c>
      <c r="E183" s="206" t="s">
        <v>262</v>
      </c>
      <c r="F183" s="206" t="s">
        <v>735</v>
      </c>
      <c r="G183" s="207">
        <v>0</v>
      </c>
      <c r="H183" s="206" t="s">
        <v>568</v>
      </c>
      <c r="I183" s="206" t="s">
        <v>731</v>
      </c>
      <c r="J183" s="233">
        <v>0.08</v>
      </c>
      <c r="K183" s="233">
        <v>0.25600000000000001</v>
      </c>
      <c r="L183" s="233">
        <v>0.53600000000000003</v>
      </c>
      <c r="M183" s="233">
        <v>0.112</v>
      </c>
      <c r="N183" s="233">
        <v>1.6E-2</v>
      </c>
      <c r="O183" s="207">
        <v>0</v>
      </c>
      <c r="P183" s="207">
        <f t="shared" si="6"/>
        <v>0</v>
      </c>
      <c r="Q183" s="207">
        <v>3</v>
      </c>
      <c r="R183" s="207">
        <v>3</v>
      </c>
      <c r="U183" s="206" t="e">
        <v>#DIV/0!</v>
      </c>
      <c r="V183" s="206" t="e">
        <v>#DIV/0!</v>
      </c>
      <c r="W183" s="206">
        <v>1</v>
      </c>
      <c r="X183" s="206">
        <v>0</v>
      </c>
    </row>
    <row r="184" spans="1:24" x14ac:dyDescent="0.25">
      <c r="A184" s="206" t="str">
        <f t="shared" si="5"/>
        <v>SD03162Host Community</v>
      </c>
      <c r="B184" s="206" t="s">
        <v>185</v>
      </c>
      <c r="C184" s="206" t="s">
        <v>120</v>
      </c>
      <c r="D184" s="206" t="s">
        <v>265</v>
      </c>
      <c r="E184" s="206" t="s">
        <v>264</v>
      </c>
      <c r="F184" s="206" t="s">
        <v>735</v>
      </c>
      <c r="G184" s="207">
        <v>0</v>
      </c>
      <c r="H184" s="206" t="s">
        <v>87</v>
      </c>
      <c r="I184" s="206" t="s">
        <v>731</v>
      </c>
      <c r="J184" s="233">
        <v>0.16935483870967741</v>
      </c>
      <c r="K184" s="233">
        <v>8.8709677419354843E-2</v>
      </c>
      <c r="L184" s="233">
        <v>0.62096774193548387</v>
      </c>
      <c r="M184" s="233">
        <v>8.0645161290322578E-3</v>
      </c>
      <c r="N184" s="233">
        <v>0.11290322580645161</v>
      </c>
      <c r="O184" s="207">
        <v>0</v>
      </c>
      <c r="P184" s="207">
        <f t="shared" si="6"/>
        <v>0</v>
      </c>
      <c r="Q184" s="207">
        <v>3</v>
      </c>
      <c r="R184" s="207">
        <v>4</v>
      </c>
      <c r="U184" s="206">
        <v>0</v>
      </c>
      <c r="V184" s="206">
        <v>0</v>
      </c>
      <c r="W184" s="206">
        <v>1</v>
      </c>
      <c r="X184" s="206">
        <v>0</v>
      </c>
    </row>
    <row r="185" spans="1:24" x14ac:dyDescent="0.25">
      <c r="A185" s="206" t="str">
        <f t="shared" si="5"/>
        <v>SD03162IDPs</v>
      </c>
      <c r="B185" s="206" t="s">
        <v>185</v>
      </c>
      <c r="C185" s="206" t="s">
        <v>120</v>
      </c>
      <c r="D185" s="206" t="s">
        <v>265</v>
      </c>
      <c r="E185" s="206" t="s">
        <v>264</v>
      </c>
      <c r="F185" s="206" t="s">
        <v>735</v>
      </c>
      <c r="G185" s="207">
        <v>473048</v>
      </c>
      <c r="H185" s="206" t="s">
        <v>88</v>
      </c>
      <c r="I185" s="206" t="s">
        <v>732</v>
      </c>
      <c r="J185" s="233">
        <v>0.16935483870967741</v>
      </c>
      <c r="K185" s="233">
        <v>8.8709677419354843E-2</v>
      </c>
      <c r="L185" s="233">
        <v>0.62096774193548387</v>
      </c>
      <c r="M185" s="233">
        <v>8.0645161290322578E-3</v>
      </c>
      <c r="N185" s="233">
        <v>0.11290322580645161</v>
      </c>
      <c r="O185" s="207">
        <v>350971</v>
      </c>
      <c r="P185" s="207">
        <f t="shared" si="6"/>
        <v>319611</v>
      </c>
      <c r="Q185" s="207">
        <v>3</v>
      </c>
      <c r="R185" s="207">
        <v>4</v>
      </c>
      <c r="U185" s="206">
        <v>0</v>
      </c>
      <c r="V185" s="206">
        <v>0</v>
      </c>
      <c r="W185" s="206">
        <v>1</v>
      </c>
      <c r="X185" s="206">
        <v>1</v>
      </c>
    </row>
    <row r="186" spans="1:24" x14ac:dyDescent="0.25">
      <c r="A186" s="206" t="str">
        <f t="shared" si="5"/>
        <v>SD03162Non-hosting Population</v>
      </c>
      <c r="B186" s="206" t="s">
        <v>185</v>
      </c>
      <c r="C186" s="206" t="s">
        <v>120</v>
      </c>
      <c r="D186" s="206" t="s">
        <v>265</v>
      </c>
      <c r="E186" s="206" t="s">
        <v>264</v>
      </c>
      <c r="F186" s="206" t="s">
        <v>735</v>
      </c>
      <c r="G186" s="207">
        <v>0</v>
      </c>
      <c r="H186" s="206" t="s">
        <v>568</v>
      </c>
      <c r="I186" s="206" t="s">
        <v>731</v>
      </c>
      <c r="J186" s="233">
        <v>0.16935483870967741</v>
      </c>
      <c r="K186" s="233">
        <v>8.8709677419354843E-2</v>
      </c>
      <c r="L186" s="233">
        <v>0.62096774193548387</v>
      </c>
      <c r="M186" s="233">
        <v>8.0645161290322578E-3</v>
      </c>
      <c r="N186" s="233">
        <v>0.11290322580645161</v>
      </c>
      <c r="O186" s="207">
        <v>0</v>
      </c>
      <c r="P186" s="207">
        <f t="shared" si="6"/>
        <v>0</v>
      </c>
      <c r="Q186" s="207">
        <v>3</v>
      </c>
      <c r="R186" s="207">
        <v>4</v>
      </c>
      <c r="U186" s="206">
        <v>0</v>
      </c>
      <c r="V186" s="206">
        <v>0</v>
      </c>
      <c r="W186" s="206">
        <v>1</v>
      </c>
      <c r="X186" s="206">
        <v>0</v>
      </c>
    </row>
    <row r="187" spans="1:24" x14ac:dyDescent="0.25">
      <c r="A187" s="206" t="str">
        <f t="shared" si="5"/>
        <v>SD03164Host Community</v>
      </c>
      <c r="B187" s="206" t="s">
        <v>185</v>
      </c>
      <c r="C187" s="206" t="s">
        <v>120</v>
      </c>
      <c r="D187" s="206" t="s">
        <v>267</v>
      </c>
      <c r="E187" s="206" t="s">
        <v>266</v>
      </c>
      <c r="F187" s="206" t="s">
        <v>735</v>
      </c>
      <c r="G187" s="207">
        <v>167630</v>
      </c>
      <c r="H187" s="206" t="s">
        <v>87</v>
      </c>
      <c r="I187" s="206" t="s">
        <v>731</v>
      </c>
      <c r="J187" s="233">
        <v>5.6910569105691054E-2</v>
      </c>
      <c r="K187" s="233">
        <v>0.14634146341463414</v>
      </c>
      <c r="L187" s="233">
        <v>0.60162601626016265</v>
      </c>
      <c r="M187" s="233">
        <v>2.4390243902439025E-2</v>
      </c>
      <c r="N187" s="233">
        <v>0.17073170731707318</v>
      </c>
      <c r="O187" s="207">
        <v>133559</v>
      </c>
      <c r="P187" s="207">
        <f t="shared" si="6"/>
        <v>121625</v>
      </c>
      <c r="Q187" s="207">
        <v>3</v>
      </c>
      <c r="R187" s="207">
        <v>4</v>
      </c>
      <c r="U187" s="206" t="e">
        <v>#DIV/0!</v>
      </c>
      <c r="V187" s="206" t="e">
        <v>#DIV/0!</v>
      </c>
      <c r="W187" s="206">
        <v>1</v>
      </c>
      <c r="X187" s="206">
        <v>0</v>
      </c>
    </row>
    <row r="188" spans="1:24" x14ac:dyDescent="0.25">
      <c r="A188" s="206" t="str">
        <f t="shared" si="5"/>
        <v>SD03164IDPs</v>
      </c>
      <c r="B188" s="206" t="s">
        <v>185</v>
      </c>
      <c r="C188" s="206" t="s">
        <v>120</v>
      </c>
      <c r="D188" s="206" t="s">
        <v>267</v>
      </c>
      <c r="E188" s="206" t="s">
        <v>266</v>
      </c>
      <c r="F188" s="206" t="s">
        <v>735</v>
      </c>
      <c r="G188" s="207">
        <v>327705</v>
      </c>
      <c r="H188" s="206" t="s">
        <v>88</v>
      </c>
      <c r="I188" s="206" t="s">
        <v>732</v>
      </c>
      <c r="J188" s="233">
        <v>5.6910569105691054E-2</v>
      </c>
      <c r="K188" s="233">
        <v>0.14634146341463414</v>
      </c>
      <c r="L188" s="233">
        <v>0.60162601626016265</v>
      </c>
      <c r="M188" s="233">
        <v>2.4390243902439025E-2</v>
      </c>
      <c r="N188" s="233">
        <v>0.17073170731707318</v>
      </c>
      <c r="O188" s="207">
        <v>261098</v>
      </c>
      <c r="P188" s="207">
        <f t="shared" si="6"/>
        <v>237768</v>
      </c>
      <c r="Q188" s="207">
        <v>3</v>
      </c>
      <c r="R188" s="207">
        <v>4</v>
      </c>
      <c r="U188" s="206">
        <v>0</v>
      </c>
      <c r="V188" s="206">
        <v>0</v>
      </c>
      <c r="W188" s="206">
        <v>1</v>
      </c>
      <c r="X188" s="206">
        <v>1</v>
      </c>
    </row>
    <row r="189" spans="1:24" x14ac:dyDescent="0.25">
      <c r="A189" s="206" t="str">
        <f t="shared" si="5"/>
        <v>SD03164Non-hosting Population</v>
      </c>
      <c r="B189" s="206" t="s">
        <v>185</v>
      </c>
      <c r="C189" s="206" t="s">
        <v>120</v>
      </c>
      <c r="D189" s="206" t="s">
        <v>267</v>
      </c>
      <c r="E189" s="206" t="s">
        <v>266</v>
      </c>
      <c r="F189" s="206" t="s">
        <v>735</v>
      </c>
      <c r="G189" s="207">
        <v>0</v>
      </c>
      <c r="H189" s="206" t="s">
        <v>568</v>
      </c>
      <c r="I189" s="206" t="s">
        <v>731</v>
      </c>
      <c r="J189" s="233">
        <v>5.6910569105691054E-2</v>
      </c>
      <c r="K189" s="233">
        <v>0.14634146341463414</v>
      </c>
      <c r="L189" s="233">
        <v>0.60162601626016265</v>
      </c>
      <c r="M189" s="233">
        <v>2.4390243902439025E-2</v>
      </c>
      <c r="N189" s="233">
        <v>0.17073170731707318</v>
      </c>
      <c r="O189" s="207">
        <v>0</v>
      </c>
      <c r="P189" s="207">
        <f t="shared" si="6"/>
        <v>0</v>
      </c>
      <c r="Q189" s="207">
        <v>3</v>
      </c>
      <c r="R189" s="207">
        <v>4</v>
      </c>
      <c r="U189" s="206" t="e">
        <v>#DIV/0!</v>
      </c>
      <c r="V189" s="206" t="e">
        <v>#DIV/0!</v>
      </c>
      <c r="W189" s="206">
        <v>1</v>
      </c>
      <c r="X189" s="206">
        <v>0</v>
      </c>
    </row>
    <row r="190" spans="1:24" x14ac:dyDescent="0.25">
      <c r="A190" s="206" t="str">
        <f t="shared" si="5"/>
        <v>SD03166Host Community</v>
      </c>
      <c r="B190" s="206" t="s">
        <v>185</v>
      </c>
      <c r="C190" s="206" t="s">
        <v>120</v>
      </c>
      <c r="D190" s="206" t="s">
        <v>269</v>
      </c>
      <c r="E190" s="206" t="s">
        <v>268</v>
      </c>
      <c r="F190" s="206" t="s">
        <v>735</v>
      </c>
      <c r="G190" s="207">
        <v>16250</v>
      </c>
      <c r="H190" s="206" t="s">
        <v>87</v>
      </c>
      <c r="I190" s="206" t="s">
        <v>731</v>
      </c>
      <c r="J190" s="233">
        <v>0.1623931623931624</v>
      </c>
      <c r="K190" s="233">
        <v>0.17094017094017094</v>
      </c>
      <c r="L190" s="233">
        <v>0.60683760683760679</v>
      </c>
      <c r="M190" s="233">
        <v>0</v>
      </c>
      <c r="N190" s="233">
        <v>5.9829059829059832E-2</v>
      </c>
      <c r="O190" s="207">
        <v>10833</v>
      </c>
      <c r="P190" s="207">
        <f t="shared" si="6"/>
        <v>9865</v>
      </c>
      <c r="Q190" s="207">
        <v>3</v>
      </c>
      <c r="R190" s="207">
        <v>3</v>
      </c>
      <c r="U190" s="206">
        <v>0</v>
      </c>
      <c r="V190" s="206">
        <v>0</v>
      </c>
      <c r="W190" s="206">
        <v>1</v>
      </c>
      <c r="X190" s="206">
        <v>0</v>
      </c>
    </row>
    <row r="191" spans="1:24" x14ac:dyDescent="0.25">
      <c r="A191" s="206" t="str">
        <f t="shared" si="5"/>
        <v>SD03166IDPs</v>
      </c>
      <c r="B191" s="206" t="s">
        <v>185</v>
      </c>
      <c r="C191" s="206" t="s">
        <v>120</v>
      </c>
      <c r="D191" s="206" t="s">
        <v>269</v>
      </c>
      <c r="E191" s="206" t="s">
        <v>268</v>
      </c>
      <c r="F191" s="206" t="s">
        <v>735</v>
      </c>
      <c r="G191" s="207">
        <v>16250</v>
      </c>
      <c r="H191" s="206" t="s">
        <v>88</v>
      </c>
      <c r="I191" s="206" t="s">
        <v>732</v>
      </c>
      <c r="J191" s="233">
        <v>0.1623931623931624</v>
      </c>
      <c r="K191" s="233">
        <v>0.17094017094017094</v>
      </c>
      <c r="L191" s="233">
        <v>0.60683760683760679</v>
      </c>
      <c r="M191" s="233">
        <v>0</v>
      </c>
      <c r="N191" s="233">
        <v>5.9829059829059832E-2</v>
      </c>
      <c r="O191" s="207">
        <v>10833</v>
      </c>
      <c r="P191" s="207">
        <f t="shared" si="6"/>
        <v>9865</v>
      </c>
      <c r="Q191" s="207">
        <v>3</v>
      </c>
      <c r="R191" s="207">
        <v>3</v>
      </c>
      <c r="U191" s="206">
        <v>1</v>
      </c>
      <c r="V191" s="206">
        <v>0</v>
      </c>
      <c r="W191" s="206">
        <v>1</v>
      </c>
      <c r="X191" s="206">
        <v>1</v>
      </c>
    </row>
    <row r="192" spans="1:24" x14ac:dyDescent="0.25">
      <c r="A192" s="206" t="str">
        <f t="shared" si="5"/>
        <v>SD03166Non-hosting Population</v>
      </c>
      <c r="B192" s="206" t="s">
        <v>185</v>
      </c>
      <c r="C192" s="206" t="s">
        <v>120</v>
      </c>
      <c r="D192" s="206" t="s">
        <v>269</v>
      </c>
      <c r="E192" s="206" t="s">
        <v>268</v>
      </c>
      <c r="F192" s="206" t="s">
        <v>735</v>
      </c>
      <c r="G192" s="207">
        <v>74097</v>
      </c>
      <c r="H192" s="206" t="s">
        <v>568</v>
      </c>
      <c r="I192" s="206" t="s">
        <v>731</v>
      </c>
      <c r="J192" s="233">
        <v>0.1623931623931624</v>
      </c>
      <c r="K192" s="233">
        <v>0.17094017094017094</v>
      </c>
      <c r="L192" s="233">
        <v>0.60683760683760679</v>
      </c>
      <c r="M192" s="233">
        <v>0</v>
      </c>
      <c r="N192" s="233">
        <v>5.9829059829059832E-2</v>
      </c>
      <c r="O192" s="207">
        <v>4433</v>
      </c>
      <c r="P192" s="207">
        <f t="shared" si="6"/>
        <v>4037</v>
      </c>
      <c r="Q192" s="207">
        <v>3</v>
      </c>
      <c r="R192" s="207">
        <v>3</v>
      </c>
      <c r="U192" s="206">
        <v>0</v>
      </c>
      <c r="V192" s="206">
        <v>0</v>
      </c>
      <c r="W192" s="206">
        <v>1</v>
      </c>
      <c r="X192" s="206">
        <v>0</v>
      </c>
    </row>
    <row r="193" spans="1:24" x14ac:dyDescent="0.25">
      <c r="A193" s="206" t="str">
        <f t="shared" si="5"/>
        <v>SD03167Host Community</v>
      </c>
      <c r="B193" s="206" t="s">
        <v>185</v>
      </c>
      <c r="C193" s="206" t="s">
        <v>120</v>
      </c>
      <c r="D193" s="206" t="s">
        <v>271</v>
      </c>
      <c r="E193" s="206" t="s">
        <v>270</v>
      </c>
      <c r="F193" s="206" t="s">
        <v>735</v>
      </c>
      <c r="G193" s="207">
        <v>0</v>
      </c>
      <c r="H193" s="206" t="s">
        <v>87</v>
      </c>
      <c r="I193" s="206" t="s">
        <v>731</v>
      </c>
      <c r="J193" s="233">
        <v>0.15217391304347827</v>
      </c>
      <c r="K193" s="233">
        <v>0.28985507246376813</v>
      </c>
      <c r="L193" s="233">
        <v>0.43478260869565216</v>
      </c>
      <c r="M193" s="233">
        <v>3.6231884057971016E-2</v>
      </c>
      <c r="N193" s="233">
        <v>8.6956521739130432E-2</v>
      </c>
      <c r="O193" s="207">
        <v>0</v>
      </c>
      <c r="P193" s="207">
        <f t="shared" si="6"/>
        <v>0</v>
      </c>
      <c r="Q193" s="207">
        <v>3</v>
      </c>
      <c r="R193" s="207">
        <v>3</v>
      </c>
      <c r="U193" s="206">
        <v>1</v>
      </c>
      <c r="V193" s="206">
        <v>0</v>
      </c>
      <c r="W193" s="206">
        <v>0</v>
      </c>
      <c r="X193" s="206">
        <v>0</v>
      </c>
    </row>
    <row r="194" spans="1:24" x14ac:dyDescent="0.25">
      <c r="A194" s="206" t="str">
        <f t="shared" si="5"/>
        <v>SD03167IDPs</v>
      </c>
      <c r="B194" s="206" t="s">
        <v>185</v>
      </c>
      <c r="C194" s="206" t="s">
        <v>120</v>
      </c>
      <c r="D194" s="206" t="s">
        <v>271</v>
      </c>
      <c r="E194" s="206" t="s">
        <v>270</v>
      </c>
      <c r="F194" s="206" t="s">
        <v>735</v>
      </c>
      <c r="G194" s="207">
        <v>78632</v>
      </c>
      <c r="H194" s="206" t="s">
        <v>88</v>
      </c>
      <c r="I194" s="206" t="s">
        <v>732</v>
      </c>
      <c r="J194" s="233">
        <v>0.15217391304347827</v>
      </c>
      <c r="K194" s="233">
        <v>0.28985507246376813</v>
      </c>
      <c r="L194" s="233">
        <v>0.43478260869565216</v>
      </c>
      <c r="M194" s="233">
        <v>3.6231884057971016E-2</v>
      </c>
      <c r="N194" s="233">
        <v>8.6956521739130432E-2</v>
      </c>
      <c r="O194" s="207">
        <v>43874</v>
      </c>
      <c r="P194" s="207">
        <f t="shared" si="6"/>
        <v>39954</v>
      </c>
      <c r="Q194" s="207">
        <v>3</v>
      </c>
      <c r="R194" s="207">
        <v>3</v>
      </c>
      <c r="U194" s="206">
        <v>0</v>
      </c>
      <c r="V194" s="206">
        <v>0</v>
      </c>
      <c r="W194" s="206">
        <v>1</v>
      </c>
      <c r="X194" s="206">
        <v>0</v>
      </c>
    </row>
    <row r="195" spans="1:24" x14ac:dyDescent="0.25">
      <c r="A195" s="206" t="str">
        <f t="shared" si="5"/>
        <v>SD03167Non-hosting Population</v>
      </c>
      <c r="B195" s="206" t="s">
        <v>185</v>
      </c>
      <c r="C195" s="206" t="s">
        <v>120</v>
      </c>
      <c r="D195" s="206" t="s">
        <v>271</v>
      </c>
      <c r="E195" s="206" t="s">
        <v>270</v>
      </c>
      <c r="F195" s="206" t="s">
        <v>735</v>
      </c>
      <c r="G195" s="207">
        <v>0</v>
      </c>
      <c r="H195" s="206" t="s">
        <v>568</v>
      </c>
      <c r="I195" s="206" t="s">
        <v>731</v>
      </c>
      <c r="J195" s="233">
        <v>0.15217391304347827</v>
      </c>
      <c r="K195" s="233">
        <v>0.28985507246376813</v>
      </c>
      <c r="L195" s="233">
        <v>0.43478260869565216</v>
      </c>
      <c r="M195" s="233">
        <v>3.6231884057971016E-2</v>
      </c>
      <c r="N195" s="233">
        <v>8.6956521739130432E-2</v>
      </c>
      <c r="O195" s="207">
        <v>0</v>
      </c>
      <c r="P195" s="207">
        <f t="shared" si="6"/>
        <v>0</v>
      </c>
      <c r="Q195" s="207">
        <v>3</v>
      </c>
      <c r="R195" s="207">
        <v>3</v>
      </c>
      <c r="U195" s="206">
        <v>1</v>
      </c>
      <c r="V195" s="206">
        <v>0</v>
      </c>
      <c r="W195" s="206">
        <v>0</v>
      </c>
      <c r="X195" s="206">
        <v>0</v>
      </c>
    </row>
    <row r="196" spans="1:24" x14ac:dyDescent="0.25">
      <c r="A196" s="206" t="str">
        <f t="shared" si="5"/>
        <v>SD03172Host Community</v>
      </c>
      <c r="B196" s="206" t="s">
        <v>185</v>
      </c>
      <c r="C196" s="206" t="s">
        <v>120</v>
      </c>
      <c r="D196" s="206" t="s">
        <v>273</v>
      </c>
      <c r="E196" s="206" t="s">
        <v>272</v>
      </c>
      <c r="F196" s="206" t="s">
        <v>735</v>
      </c>
      <c r="G196" s="207">
        <v>8997</v>
      </c>
      <c r="H196" s="206" t="s">
        <v>87</v>
      </c>
      <c r="I196" s="206" t="s">
        <v>731</v>
      </c>
      <c r="J196" s="233">
        <v>0.13934426229508196</v>
      </c>
      <c r="K196" s="233">
        <v>0.44262295081967212</v>
      </c>
      <c r="L196" s="233">
        <v>0.38524590163934425</v>
      </c>
      <c r="M196" s="233">
        <v>3.2786885245901641E-2</v>
      </c>
      <c r="N196" s="233">
        <v>0</v>
      </c>
      <c r="O196" s="207">
        <v>3761</v>
      </c>
      <c r="P196" s="207">
        <f t="shared" si="6"/>
        <v>3425</v>
      </c>
      <c r="Q196" s="207">
        <v>3</v>
      </c>
      <c r="R196" s="207">
        <v>3</v>
      </c>
      <c r="U196" s="206">
        <v>0</v>
      </c>
      <c r="V196" s="206">
        <v>0</v>
      </c>
      <c r="W196" s="206">
        <v>0</v>
      </c>
      <c r="X196" s="206">
        <v>0</v>
      </c>
    </row>
    <row r="197" spans="1:24" x14ac:dyDescent="0.25">
      <c r="A197" s="206" t="str">
        <f t="shared" si="5"/>
        <v>SD03172IDPs</v>
      </c>
      <c r="B197" s="206" t="s">
        <v>185</v>
      </c>
      <c r="C197" s="206" t="s">
        <v>120</v>
      </c>
      <c r="D197" s="206" t="s">
        <v>273</v>
      </c>
      <c r="E197" s="206" t="s">
        <v>272</v>
      </c>
      <c r="F197" s="206" t="s">
        <v>735</v>
      </c>
      <c r="G197" s="207">
        <v>7370</v>
      </c>
      <c r="H197" s="206" t="s">
        <v>88</v>
      </c>
      <c r="I197" s="206" t="s">
        <v>732</v>
      </c>
      <c r="J197" s="233">
        <v>0.13934426229508196</v>
      </c>
      <c r="K197" s="233">
        <v>0.44262295081967212</v>
      </c>
      <c r="L197" s="233">
        <v>0.38524590163934425</v>
      </c>
      <c r="M197" s="233">
        <v>3.2786885245901641E-2</v>
      </c>
      <c r="N197" s="233">
        <v>0</v>
      </c>
      <c r="O197" s="207">
        <v>3081</v>
      </c>
      <c r="P197" s="207">
        <f t="shared" si="6"/>
        <v>2806</v>
      </c>
      <c r="Q197" s="207">
        <v>3</v>
      </c>
      <c r="R197" s="207">
        <v>3</v>
      </c>
      <c r="U197" s="206">
        <v>1</v>
      </c>
      <c r="V197" s="206">
        <v>0</v>
      </c>
      <c r="W197" s="206">
        <v>1</v>
      </c>
      <c r="X197" s="206">
        <v>0</v>
      </c>
    </row>
    <row r="198" spans="1:24" x14ac:dyDescent="0.25">
      <c r="A198" s="206" t="str">
        <f t="shared" si="5"/>
        <v>SD03172Non-hosting Population</v>
      </c>
      <c r="B198" s="206" t="s">
        <v>185</v>
      </c>
      <c r="C198" s="206" t="s">
        <v>120</v>
      </c>
      <c r="D198" s="206" t="s">
        <v>273</v>
      </c>
      <c r="E198" s="206" t="s">
        <v>272</v>
      </c>
      <c r="F198" s="206" t="s">
        <v>735</v>
      </c>
      <c r="G198" s="207">
        <v>162828</v>
      </c>
      <c r="H198" s="206" t="s">
        <v>568</v>
      </c>
      <c r="I198" s="206" t="s">
        <v>731</v>
      </c>
      <c r="J198" s="233">
        <v>0.13934426229508196</v>
      </c>
      <c r="K198" s="233">
        <v>0.44262295081967212</v>
      </c>
      <c r="L198" s="233">
        <v>0.38524590163934425</v>
      </c>
      <c r="M198" s="233">
        <v>3.2786885245901641E-2</v>
      </c>
      <c r="N198" s="233">
        <v>0</v>
      </c>
      <c r="O198" s="207">
        <v>5339</v>
      </c>
      <c r="P198" s="207">
        <f t="shared" si="6"/>
        <v>4862</v>
      </c>
      <c r="Q198" s="207">
        <v>3</v>
      </c>
      <c r="R198" s="207">
        <v>3</v>
      </c>
      <c r="U198" s="206">
        <v>0</v>
      </c>
      <c r="V198" s="206">
        <v>0</v>
      </c>
      <c r="W198" s="206">
        <v>0</v>
      </c>
      <c r="X198" s="206">
        <v>0</v>
      </c>
    </row>
    <row r="199" spans="1:24" x14ac:dyDescent="0.25">
      <c r="A199" s="206" t="str">
        <f t="shared" si="5"/>
        <v>SD04111Host Community</v>
      </c>
      <c r="B199" s="206" t="s">
        <v>191</v>
      </c>
      <c r="C199" s="206" t="s">
        <v>121</v>
      </c>
      <c r="D199" s="206" t="s">
        <v>275</v>
      </c>
      <c r="E199" s="206" t="s">
        <v>274</v>
      </c>
      <c r="F199" s="206" t="s">
        <v>735</v>
      </c>
      <c r="G199" s="207">
        <v>3105</v>
      </c>
      <c r="H199" s="206" t="s">
        <v>87</v>
      </c>
      <c r="I199" s="206" t="s">
        <v>731</v>
      </c>
      <c r="J199" s="233">
        <v>7.5630252100840331E-2</v>
      </c>
      <c r="K199" s="233">
        <v>6.7226890756302518E-2</v>
      </c>
      <c r="L199" s="233">
        <v>0.78151260504201681</v>
      </c>
      <c r="M199" s="233">
        <v>4.2016806722689079E-2</v>
      </c>
      <c r="N199" s="233">
        <v>3.3613445378151259E-2</v>
      </c>
      <c r="O199" s="234">
        <v>2661</v>
      </c>
      <c r="P199" s="269">
        <f>ROUND(O199*$AB$5,0)</f>
        <v>2423</v>
      </c>
      <c r="Q199" s="207">
        <v>3</v>
      </c>
      <c r="R199" s="207">
        <v>3</v>
      </c>
      <c r="U199" s="206">
        <v>0</v>
      </c>
      <c r="V199" s="206">
        <v>0</v>
      </c>
      <c r="W199" s="206">
        <v>1</v>
      </c>
      <c r="X199" s="206">
        <v>0</v>
      </c>
    </row>
    <row r="200" spans="1:24" x14ac:dyDescent="0.25">
      <c r="A200" s="206" t="str">
        <f t="shared" si="5"/>
        <v>SD04111IDPs</v>
      </c>
      <c r="B200" s="206" t="s">
        <v>191</v>
      </c>
      <c r="C200" s="206" t="s">
        <v>121</v>
      </c>
      <c r="D200" s="206" t="s">
        <v>275</v>
      </c>
      <c r="E200" s="206" t="s">
        <v>274</v>
      </c>
      <c r="F200" s="206" t="s">
        <v>735</v>
      </c>
      <c r="G200" s="207">
        <v>3105</v>
      </c>
      <c r="H200" s="206" t="s">
        <v>88</v>
      </c>
      <c r="I200" s="206" t="s">
        <v>732</v>
      </c>
      <c r="J200" s="233">
        <v>7.5630252100840331E-2</v>
      </c>
      <c r="K200" s="233">
        <v>6.7226890756302518E-2</v>
      </c>
      <c r="L200" s="233">
        <v>0.78151260504201681</v>
      </c>
      <c r="M200" s="233">
        <v>4.2016806722689079E-2</v>
      </c>
      <c r="N200" s="233">
        <v>3.3613445378151259E-2</v>
      </c>
      <c r="O200" s="234">
        <v>2661</v>
      </c>
      <c r="P200" s="269">
        <f t="shared" ref="P200:P201" si="7">ROUND(O200*$AB$5,0)</f>
        <v>2423</v>
      </c>
      <c r="Q200" s="207">
        <v>3</v>
      </c>
      <c r="R200" s="207">
        <v>3</v>
      </c>
      <c r="U200" s="206">
        <v>1</v>
      </c>
      <c r="V200" s="206">
        <v>0</v>
      </c>
      <c r="W200" s="206">
        <v>1</v>
      </c>
      <c r="X200" s="206">
        <v>0</v>
      </c>
    </row>
    <row r="201" spans="1:24" x14ac:dyDescent="0.25">
      <c r="A201" s="206" t="str">
        <f t="shared" si="5"/>
        <v>SD04111Non-hosting Population</v>
      </c>
      <c r="B201" s="206" t="s">
        <v>191</v>
      </c>
      <c r="C201" s="206" t="s">
        <v>121</v>
      </c>
      <c r="D201" s="206" t="s">
        <v>275</v>
      </c>
      <c r="E201" s="206" t="s">
        <v>274</v>
      </c>
      <c r="F201" s="206" t="s">
        <v>735</v>
      </c>
      <c r="G201" s="207">
        <v>58928</v>
      </c>
      <c r="H201" s="206" t="s">
        <v>568</v>
      </c>
      <c r="I201" s="206" t="s">
        <v>731</v>
      </c>
      <c r="J201" s="233">
        <v>7.5630252100840331E-2</v>
      </c>
      <c r="K201" s="233">
        <v>6.7226890756302518E-2</v>
      </c>
      <c r="L201" s="233">
        <v>0.78151260504201681</v>
      </c>
      <c r="M201" s="233">
        <v>4.2016806722689079E-2</v>
      </c>
      <c r="N201" s="233">
        <v>3.3613445378151259E-2</v>
      </c>
      <c r="O201" s="234">
        <v>4457</v>
      </c>
      <c r="P201" s="269">
        <f t="shared" si="7"/>
        <v>4059</v>
      </c>
      <c r="Q201" s="207">
        <v>3</v>
      </c>
      <c r="R201" s="207">
        <v>3</v>
      </c>
      <c r="U201" s="206">
        <v>0</v>
      </c>
      <c r="V201" s="206">
        <v>0</v>
      </c>
      <c r="W201" s="206">
        <v>1</v>
      </c>
      <c r="X201" s="206">
        <v>0</v>
      </c>
    </row>
    <row r="202" spans="1:24" x14ac:dyDescent="0.25">
      <c r="A202" s="206" t="str">
        <f t="shared" si="5"/>
        <v>SD04115Host Community</v>
      </c>
      <c r="B202" s="206" t="s">
        <v>191</v>
      </c>
      <c r="C202" s="206" t="s">
        <v>121</v>
      </c>
      <c r="D202" s="206" t="s">
        <v>277</v>
      </c>
      <c r="E202" s="206" t="s">
        <v>276</v>
      </c>
      <c r="F202" s="206" t="s">
        <v>735</v>
      </c>
      <c r="G202" s="207">
        <v>69941</v>
      </c>
      <c r="H202" s="206" t="s">
        <v>87</v>
      </c>
      <c r="I202" s="206" t="s">
        <v>731</v>
      </c>
      <c r="J202" s="233">
        <v>0.14545454545454545</v>
      </c>
      <c r="K202" s="233">
        <v>0.48181818181818181</v>
      </c>
      <c r="L202" s="233">
        <v>0.31818181818181818</v>
      </c>
      <c r="M202" s="233">
        <v>5.4545454545454543E-2</v>
      </c>
      <c r="N202" s="233">
        <v>0</v>
      </c>
      <c r="O202" s="207">
        <v>26069</v>
      </c>
      <c r="P202" s="207">
        <f>ROUND(O202*$AB$5,0)</f>
        <v>23740</v>
      </c>
      <c r="Q202" s="207">
        <v>3</v>
      </c>
      <c r="R202" s="207">
        <v>3</v>
      </c>
      <c r="U202" s="206">
        <v>1</v>
      </c>
      <c r="V202" s="206">
        <v>0</v>
      </c>
      <c r="W202" s="206">
        <v>0</v>
      </c>
      <c r="X202" s="206">
        <v>0</v>
      </c>
    </row>
    <row r="203" spans="1:24" x14ac:dyDescent="0.25">
      <c r="A203" s="206" t="str">
        <f t="shared" ref="A203:A266" si="8">CONCATENATE(E203,H203)</f>
        <v>SD04115IDPs</v>
      </c>
      <c r="B203" s="206" t="s">
        <v>191</v>
      </c>
      <c r="C203" s="206" t="s">
        <v>121</v>
      </c>
      <c r="D203" s="206" t="s">
        <v>277</v>
      </c>
      <c r="E203" s="206" t="s">
        <v>276</v>
      </c>
      <c r="F203" s="206" t="s">
        <v>735</v>
      </c>
      <c r="G203" s="207">
        <v>70495</v>
      </c>
      <c r="H203" s="206" t="s">
        <v>88</v>
      </c>
      <c r="I203" s="206" t="s">
        <v>732</v>
      </c>
      <c r="J203" s="233">
        <v>0.14545454545454545</v>
      </c>
      <c r="K203" s="233">
        <v>0.48181818181818181</v>
      </c>
      <c r="L203" s="233">
        <v>0.31818181818181818</v>
      </c>
      <c r="M203" s="233">
        <v>5.4545454545454543E-2</v>
      </c>
      <c r="N203" s="233">
        <v>0</v>
      </c>
      <c r="O203" s="207">
        <v>26275</v>
      </c>
      <c r="P203" s="207">
        <f t="shared" ref="P203:P266" si="9">ROUND(O203*$AB$5,0)</f>
        <v>23927</v>
      </c>
      <c r="Q203" s="207">
        <v>3</v>
      </c>
      <c r="R203" s="207">
        <v>3</v>
      </c>
      <c r="U203" s="206">
        <v>1</v>
      </c>
      <c r="V203" s="206">
        <v>0</v>
      </c>
      <c r="W203" s="206">
        <v>1</v>
      </c>
      <c r="X203" s="206">
        <v>0</v>
      </c>
    </row>
    <row r="204" spans="1:24" x14ac:dyDescent="0.25">
      <c r="A204" s="206" t="str">
        <f t="shared" si="8"/>
        <v>SD04115Non-hosting Population</v>
      </c>
      <c r="B204" s="206" t="s">
        <v>191</v>
      </c>
      <c r="C204" s="206" t="s">
        <v>121</v>
      </c>
      <c r="D204" s="206" t="s">
        <v>277</v>
      </c>
      <c r="E204" s="206" t="s">
        <v>276</v>
      </c>
      <c r="F204" s="206" t="s">
        <v>735</v>
      </c>
      <c r="G204" s="207">
        <v>54780</v>
      </c>
      <c r="H204" s="206" t="s">
        <v>568</v>
      </c>
      <c r="I204" s="206" t="s">
        <v>731</v>
      </c>
      <c r="J204" s="233">
        <v>0.14545454545454545</v>
      </c>
      <c r="K204" s="233">
        <v>0.48181818181818181</v>
      </c>
      <c r="L204" s="233">
        <v>0.31818181818181818</v>
      </c>
      <c r="M204" s="233">
        <v>5.4545454545454543E-2</v>
      </c>
      <c r="N204" s="233">
        <v>0</v>
      </c>
      <c r="O204" s="207">
        <v>2988</v>
      </c>
      <c r="P204" s="207">
        <f t="shared" si="9"/>
        <v>2721</v>
      </c>
      <c r="Q204" s="207">
        <v>3</v>
      </c>
      <c r="R204" s="207">
        <v>3</v>
      </c>
      <c r="U204" s="206" t="e">
        <v>#DIV/0!</v>
      </c>
      <c r="V204" s="206" t="e">
        <v>#DIV/0!</v>
      </c>
      <c r="W204" s="206">
        <v>0</v>
      </c>
      <c r="X204" s="206">
        <v>0</v>
      </c>
    </row>
    <row r="205" spans="1:24" x14ac:dyDescent="0.25">
      <c r="A205" s="206" t="str">
        <f t="shared" si="8"/>
        <v>SD04121Host Community</v>
      </c>
      <c r="B205" s="206" t="s">
        <v>191</v>
      </c>
      <c r="C205" s="206" t="s">
        <v>121</v>
      </c>
      <c r="D205" s="206" t="s">
        <v>279</v>
      </c>
      <c r="E205" s="206" t="s">
        <v>278</v>
      </c>
      <c r="F205" s="206" t="s">
        <v>735</v>
      </c>
      <c r="G205" s="207">
        <v>9710</v>
      </c>
      <c r="H205" s="206" t="s">
        <v>87</v>
      </c>
      <c r="I205" s="206" t="s">
        <v>731</v>
      </c>
      <c r="J205" s="233">
        <v>0.28099173553719009</v>
      </c>
      <c r="K205" s="233">
        <v>0.38016528925619836</v>
      </c>
      <c r="L205" s="233">
        <v>0.23966942148760331</v>
      </c>
      <c r="M205" s="233">
        <v>1.6528925619834711E-2</v>
      </c>
      <c r="N205" s="233">
        <v>8.2644628099173556E-2</v>
      </c>
      <c r="O205" s="207">
        <v>3290</v>
      </c>
      <c r="P205" s="268">
        <f>ROUND(O205*$AB$5,0)+2000</f>
        <v>4996</v>
      </c>
      <c r="Q205" s="207">
        <v>3</v>
      </c>
      <c r="R205" s="207">
        <v>3</v>
      </c>
      <c r="U205" s="206" t="e">
        <v>#DIV/0!</v>
      </c>
      <c r="V205" s="206" t="e">
        <v>#DIV/0!</v>
      </c>
      <c r="W205" s="206">
        <v>1</v>
      </c>
      <c r="X205" s="206">
        <v>0</v>
      </c>
    </row>
    <row r="206" spans="1:24" x14ac:dyDescent="0.25">
      <c r="A206" s="206" t="str">
        <f t="shared" si="8"/>
        <v>SD04121IDPs</v>
      </c>
      <c r="B206" s="206" t="s">
        <v>191</v>
      </c>
      <c r="C206" s="206" t="s">
        <v>121</v>
      </c>
      <c r="D206" s="206" t="s">
        <v>279</v>
      </c>
      <c r="E206" s="206" t="s">
        <v>278</v>
      </c>
      <c r="F206" s="206" t="s">
        <v>735</v>
      </c>
      <c r="G206" s="207">
        <v>9710</v>
      </c>
      <c r="H206" s="206" t="s">
        <v>88</v>
      </c>
      <c r="I206" s="206" t="s">
        <v>732</v>
      </c>
      <c r="J206" s="233">
        <v>0.28099173553719009</v>
      </c>
      <c r="K206" s="233">
        <v>0.38016528925619836</v>
      </c>
      <c r="L206" s="233">
        <v>0.23966942148760331</v>
      </c>
      <c r="M206" s="233">
        <v>1.6528925619834711E-2</v>
      </c>
      <c r="N206" s="233">
        <v>8.2644628099173556E-2</v>
      </c>
      <c r="O206" s="207">
        <v>3290</v>
      </c>
      <c r="P206" s="268">
        <f t="shared" ref="P206:P207" si="10">ROUND(O206*$AB$5,0)+2000</f>
        <v>4996</v>
      </c>
      <c r="Q206" s="207">
        <v>3</v>
      </c>
      <c r="R206" s="207">
        <v>3</v>
      </c>
      <c r="U206" s="206">
        <v>0</v>
      </c>
      <c r="V206" s="206">
        <v>0</v>
      </c>
      <c r="W206" s="206">
        <v>0</v>
      </c>
      <c r="X206" s="206">
        <v>0</v>
      </c>
    </row>
    <row r="207" spans="1:24" x14ac:dyDescent="0.25">
      <c r="A207" s="206" t="str">
        <f t="shared" si="8"/>
        <v>SD04121Non-hosting Population</v>
      </c>
      <c r="B207" s="206" t="s">
        <v>191</v>
      </c>
      <c r="C207" s="206" t="s">
        <v>121</v>
      </c>
      <c r="D207" s="206" t="s">
        <v>279</v>
      </c>
      <c r="E207" s="206" t="s">
        <v>278</v>
      </c>
      <c r="F207" s="206" t="s">
        <v>735</v>
      </c>
      <c r="G207" s="207">
        <v>13732</v>
      </c>
      <c r="H207" s="206" t="s">
        <v>568</v>
      </c>
      <c r="I207" s="206" t="s">
        <v>731</v>
      </c>
      <c r="J207" s="233">
        <v>0.28099173553719009</v>
      </c>
      <c r="K207" s="233">
        <v>0.38016528925619836</v>
      </c>
      <c r="L207" s="233">
        <v>0.23966942148760331</v>
      </c>
      <c r="M207" s="233">
        <v>1.6528925619834711E-2</v>
      </c>
      <c r="N207" s="233">
        <v>8.2644628099173556E-2</v>
      </c>
      <c r="O207" s="207">
        <v>1362</v>
      </c>
      <c r="P207" s="268">
        <f t="shared" si="10"/>
        <v>3240</v>
      </c>
      <c r="Q207" s="207">
        <v>3</v>
      </c>
      <c r="R207" s="207">
        <v>3</v>
      </c>
      <c r="U207" s="206" t="e">
        <v>#DIV/0!</v>
      </c>
      <c r="V207" s="206" t="e">
        <v>#DIV/0!</v>
      </c>
      <c r="W207" s="206">
        <v>1</v>
      </c>
      <c r="X207" s="206">
        <v>0</v>
      </c>
    </row>
    <row r="208" spans="1:24" x14ac:dyDescent="0.25">
      <c r="A208" s="206" t="str">
        <f t="shared" si="8"/>
        <v>SD04122Host Community</v>
      </c>
      <c r="B208" s="206" t="s">
        <v>191</v>
      </c>
      <c r="C208" s="206" t="s">
        <v>121</v>
      </c>
      <c r="D208" s="206" t="s">
        <v>281</v>
      </c>
      <c r="E208" s="206" t="s">
        <v>280</v>
      </c>
      <c r="F208" s="206" t="s">
        <v>735</v>
      </c>
      <c r="G208" s="207">
        <v>17721</v>
      </c>
      <c r="H208" s="206" t="s">
        <v>87</v>
      </c>
      <c r="I208" s="206" t="s">
        <v>731</v>
      </c>
      <c r="J208" s="233">
        <v>0</v>
      </c>
      <c r="K208" s="233">
        <v>0.3</v>
      </c>
      <c r="L208" s="233">
        <v>0.69166666666666665</v>
      </c>
      <c r="M208" s="233">
        <v>8.3333333333333332E-3</v>
      </c>
      <c r="N208" s="233">
        <v>0</v>
      </c>
      <c r="O208" s="207">
        <v>12405</v>
      </c>
      <c r="P208" s="207">
        <f t="shared" si="9"/>
        <v>11297</v>
      </c>
      <c r="Q208" s="207">
        <v>3</v>
      </c>
      <c r="R208" s="207">
        <v>3</v>
      </c>
      <c r="U208" s="206">
        <v>0</v>
      </c>
      <c r="V208" s="206">
        <v>0</v>
      </c>
      <c r="W208" s="206">
        <v>0</v>
      </c>
      <c r="X208" s="206">
        <v>0</v>
      </c>
    </row>
    <row r="209" spans="1:24" x14ac:dyDescent="0.25">
      <c r="A209" s="206" t="str">
        <f t="shared" si="8"/>
        <v>SD04122IDPs</v>
      </c>
      <c r="B209" s="206" t="s">
        <v>191</v>
      </c>
      <c r="C209" s="206" t="s">
        <v>121</v>
      </c>
      <c r="D209" s="206" t="s">
        <v>281</v>
      </c>
      <c r="E209" s="206" t="s">
        <v>280</v>
      </c>
      <c r="F209" s="206" t="s">
        <v>735</v>
      </c>
      <c r="G209" s="207">
        <v>28260</v>
      </c>
      <c r="H209" s="206" t="s">
        <v>88</v>
      </c>
      <c r="I209" s="206" t="s">
        <v>732</v>
      </c>
      <c r="J209" s="233">
        <v>0</v>
      </c>
      <c r="K209" s="233">
        <v>0.3</v>
      </c>
      <c r="L209" s="233">
        <v>0.69166666666666665</v>
      </c>
      <c r="M209" s="233">
        <v>8.3333333333333332E-3</v>
      </c>
      <c r="N209" s="233">
        <v>0</v>
      </c>
      <c r="O209" s="207">
        <v>19782</v>
      </c>
      <c r="P209" s="207">
        <f t="shared" si="9"/>
        <v>18014</v>
      </c>
      <c r="Q209" s="207">
        <v>3</v>
      </c>
      <c r="R209" s="207">
        <v>3</v>
      </c>
      <c r="U209" s="206">
        <v>0</v>
      </c>
      <c r="V209" s="206">
        <v>0</v>
      </c>
      <c r="W209" s="206">
        <v>1</v>
      </c>
      <c r="X209" s="206">
        <v>0</v>
      </c>
    </row>
    <row r="210" spans="1:24" x14ac:dyDescent="0.25">
      <c r="A210" s="206" t="str">
        <f t="shared" si="8"/>
        <v>SD04122Non-hosting Population</v>
      </c>
      <c r="B210" s="206" t="s">
        <v>191</v>
      </c>
      <c r="C210" s="206" t="s">
        <v>121</v>
      </c>
      <c r="D210" s="206" t="s">
        <v>281</v>
      </c>
      <c r="E210" s="206" t="s">
        <v>280</v>
      </c>
      <c r="F210" s="206" t="s">
        <v>735</v>
      </c>
      <c r="G210" s="207">
        <v>0</v>
      </c>
      <c r="H210" s="206" t="s">
        <v>568</v>
      </c>
      <c r="I210" s="206" t="s">
        <v>731</v>
      </c>
      <c r="J210" s="233">
        <v>0</v>
      </c>
      <c r="K210" s="233">
        <v>0.3</v>
      </c>
      <c r="L210" s="233">
        <v>0.69166666666666665</v>
      </c>
      <c r="M210" s="233">
        <v>8.3333333333333332E-3</v>
      </c>
      <c r="N210" s="233">
        <v>0</v>
      </c>
      <c r="O210" s="207">
        <v>0</v>
      </c>
      <c r="P210" s="207">
        <f t="shared" si="9"/>
        <v>0</v>
      </c>
      <c r="Q210" s="207">
        <v>3</v>
      </c>
      <c r="R210" s="207">
        <v>3</v>
      </c>
      <c r="U210" s="206">
        <v>0</v>
      </c>
      <c r="V210" s="206">
        <v>0</v>
      </c>
      <c r="W210" s="206">
        <v>0</v>
      </c>
      <c r="X210" s="206">
        <v>0</v>
      </c>
    </row>
    <row r="211" spans="1:24" x14ac:dyDescent="0.25">
      <c r="A211" s="206" t="str">
        <f t="shared" si="8"/>
        <v>SD04123Host Community</v>
      </c>
      <c r="B211" s="206" t="s">
        <v>191</v>
      </c>
      <c r="C211" s="206" t="s">
        <v>121</v>
      </c>
      <c r="D211" s="206" t="s">
        <v>283</v>
      </c>
      <c r="E211" s="206" t="s">
        <v>282</v>
      </c>
      <c r="F211" s="206" t="s">
        <v>735</v>
      </c>
      <c r="G211" s="207">
        <v>0</v>
      </c>
      <c r="H211" s="206" t="s">
        <v>87</v>
      </c>
      <c r="I211" s="206" t="s">
        <v>731</v>
      </c>
      <c r="J211" s="233">
        <v>1.6393442622950821E-2</v>
      </c>
      <c r="K211" s="233">
        <v>0.15573770491803279</v>
      </c>
      <c r="L211" s="233">
        <v>0.75409836065573765</v>
      </c>
      <c r="M211" s="233">
        <v>4.0983606557377046E-2</v>
      </c>
      <c r="N211" s="233">
        <v>3.2786885245901641E-2</v>
      </c>
      <c r="O211" s="207">
        <v>0</v>
      </c>
      <c r="P211" s="207">
        <f t="shared" si="9"/>
        <v>0</v>
      </c>
      <c r="Q211" s="207">
        <v>3</v>
      </c>
      <c r="R211" s="207">
        <v>3</v>
      </c>
      <c r="U211" s="206" t="e">
        <v>#DIV/0!</v>
      </c>
      <c r="V211" s="206" t="e">
        <v>#DIV/0!</v>
      </c>
      <c r="W211" s="206">
        <v>1</v>
      </c>
      <c r="X211" s="206">
        <v>0</v>
      </c>
    </row>
    <row r="212" spans="1:24" x14ac:dyDescent="0.25">
      <c r="A212" s="206" t="str">
        <f t="shared" si="8"/>
        <v>SD04123IDPs</v>
      </c>
      <c r="B212" s="206" t="s">
        <v>191</v>
      </c>
      <c r="C212" s="206" t="s">
        <v>121</v>
      </c>
      <c r="D212" s="206" t="s">
        <v>283</v>
      </c>
      <c r="E212" s="206" t="s">
        <v>282</v>
      </c>
      <c r="F212" s="206" t="s">
        <v>735</v>
      </c>
      <c r="G212" s="207">
        <v>70720</v>
      </c>
      <c r="H212" s="206" t="s">
        <v>88</v>
      </c>
      <c r="I212" s="206" t="s">
        <v>732</v>
      </c>
      <c r="J212" s="233">
        <v>1.6393442622950821E-2</v>
      </c>
      <c r="K212" s="233">
        <v>0.15573770491803279</v>
      </c>
      <c r="L212" s="233">
        <v>0.75409836065573765</v>
      </c>
      <c r="M212" s="233">
        <v>4.0983606557377046E-2</v>
      </c>
      <c r="N212" s="233">
        <v>3.2786885245901641E-2</v>
      </c>
      <c r="O212" s="207">
        <v>58547</v>
      </c>
      <c r="P212" s="207">
        <f t="shared" si="9"/>
        <v>53316</v>
      </c>
      <c r="Q212" s="207">
        <v>3</v>
      </c>
      <c r="R212" s="207">
        <v>3</v>
      </c>
      <c r="U212" s="206">
        <v>0</v>
      </c>
      <c r="V212" s="206">
        <v>0</v>
      </c>
      <c r="W212" s="206">
        <v>1</v>
      </c>
      <c r="X212" s="206">
        <v>0</v>
      </c>
    </row>
    <row r="213" spans="1:24" x14ac:dyDescent="0.25">
      <c r="A213" s="206" t="str">
        <f t="shared" si="8"/>
        <v>SD04123Non-hosting Population</v>
      </c>
      <c r="B213" s="206" t="s">
        <v>191</v>
      </c>
      <c r="C213" s="206" t="s">
        <v>121</v>
      </c>
      <c r="D213" s="206" t="s">
        <v>283</v>
      </c>
      <c r="E213" s="206" t="s">
        <v>282</v>
      </c>
      <c r="F213" s="206" t="s">
        <v>735</v>
      </c>
      <c r="G213" s="207">
        <v>0</v>
      </c>
      <c r="H213" s="206" t="s">
        <v>568</v>
      </c>
      <c r="I213" s="206" t="s">
        <v>731</v>
      </c>
      <c r="J213" s="233">
        <v>1.6393442622950821E-2</v>
      </c>
      <c r="K213" s="233">
        <v>0.15573770491803279</v>
      </c>
      <c r="L213" s="233">
        <v>0.75409836065573765</v>
      </c>
      <c r="M213" s="233">
        <v>4.0983606557377046E-2</v>
      </c>
      <c r="N213" s="233">
        <v>3.2786885245901641E-2</v>
      </c>
      <c r="O213" s="207">
        <v>0</v>
      </c>
      <c r="P213" s="207">
        <f t="shared" si="9"/>
        <v>0</v>
      </c>
      <c r="Q213" s="207">
        <v>3</v>
      </c>
      <c r="R213" s="207">
        <v>3</v>
      </c>
      <c r="U213" s="206" t="e">
        <v>#DIV/0!</v>
      </c>
      <c r="V213" s="206" t="e">
        <v>#DIV/0!</v>
      </c>
      <c r="W213" s="206">
        <v>1</v>
      </c>
      <c r="X213" s="206">
        <v>0</v>
      </c>
    </row>
    <row r="214" spans="1:24" x14ac:dyDescent="0.25">
      <c r="A214" s="206" t="str">
        <f t="shared" si="8"/>
        <v>SD04125Host Community</v>
      </c>
      <c r="B214" s="206" t="s">
        <v>191</v>
      </c>
      <c r="C214" s="206" t="s">
        <v>121</v>
      </c>
      <c r="D214" s="206" t="s">
        <v>285</v>
      </c>
      <c r="E214" s="206" t="s">
        <v>284</v>
      </c>
      <c r="F214" s="206" t="s">
        <v>735</v>
      </c>
      <c r="G214" s="207">
        <v>41790</v>
      </c>
      <c r="H214" s="206" t="s">
        <v>87</v>
      </c>
      <c r="I214" s="206" t="s">
        <v>731</v>
      </c>
      <c r="J214" s="233">
        <v>0.14049586776859505</v>
      </c>
      <c r="K214" s="233">
        <v>0.18181818181818182</v>
      </c>
      <c r="L214" s="233">
        <v>0.57024793388429751</v>
      </c>
      <c r="M214" s="233">
        <v>7.43801652892562E-2</v>
      </c>
      <c r="N214" s="233">
        <v>3.3057851239669422E-2</v>
      </c>
      <c r="O214" s="207">
        <v>28320</v>
      </c>
      <c r="P214" s="207">
        <f t="shared" si="9"/>
        <v>25790</v>
      </c>
      <c r="Q214" s="207">
        <v>3</v>
      </c>
      <c r="R214" s="207">
        <v>3</v>
      </c>
      <c r="U214" s="206">
        <v>0</v>
      </c>
      <c r="V214" s="206">
        <v>0</v>
      </c>
      <c r="W214" s="206">
        <v>1</v>
      </c>
      <c r="X214" s="206">
        <v>0</v>
      </c>
    </row>
    <row r="215" spans="1:24" x14ac:dyDescent="0.25">
      <c r="A215" s="206" t="str">
        <f t="shared" si="8"/>
        <v>SD04125IDPs</v>
      </c>
      <c r="B215" s="206" t="s">
        <v>191</v>
      </c>
      <c r="C215" s="206" t="s">
        <v>121</v>
      </c>
      <c r="D215" s="206" t="s">
        <v>285</v>
      </c>
      <c r="E215" s="206" t="s">
        <v>284</v>
      </c>
      <c r="F215" s="206" t="s">
        <v>735</v>
      </c>
      <c r="G215" s="207">
        <v>41790</v>
      </c>
      <c r="H215" s="206" t="s">
        <v>88</v>
      </c>
      <c r="I215" s="206" t="s">
        <v>732</v>
      </c>
      <c r="J215" s="233">
        <v>0.14049586776859505</v>
      </c>
      <c r="K215" s="233">
        <v>0.18181818181818182</v>
      </c>
      <c r="L215" s="233">
        <v>0.57024793388429751</v>
      </c>
      <c r="M215" s="233">
        <v>7.43801652892562E-2</v>
      </c>
      <c r="N215" s="233">
        <v>3.3057851239669422E-2</v>
      </c>
      <c r="O215" s="207">
        <v>28320</v>
      </c>
      <c r="P215" s="207">
        <f t="shared" si="9"/>
        <v>25790</v>
      </c>
      <c r="Q215" s="207">
        <v>3</v>
      </c>
      <c r="R215" s="207">
        <v>3</v>
      </c>
      <c r="U215" s="206">
        <v>1</v>
      </c>
      <c r="V215" s="206">
        <v>0</v>
      </c>
      <c r="W215" s="206">
        <v>1</v>
      </c>
      <c r="X215" s="206">
        <v>0</v>
      </c>
    </row>
    <row r="216" spans="1:24" x14ac:dyDescent="0.25">
      <c r="A216" s="206" t="str">
        <f t="shared" si="8"/>
        <v>SD04125Non-hosting Population</v>
      </c>
      <c r="B216" s="206" t="s">
        <v>191</v>
      </c>
      <c r="C216" s="206" t="s">
        <v>121</v>
      </c>
      <c r="D216" s="206" t="s">
        <v>285</v>
      </c>
      <c r="E216" s="206" t="s">
        <v>284</v>
      </c>
      <c r="F216" s="206" t="s">
        <v>735</v>
      </c>
      <c r="G216" s="207">
        <v>45483</v>
      </c>
      <c r="H216" s="206" t="s">
        <v>568</v>
      </c>
      <c r="I216" s="206" t="s">
        <v>731</v>
      </c>
      <c r="J216" s="233">
        <v>0.14049586776859505</v>
      </c>
      <c r="K216" s="233">
        <v>0.18181818181818182</v>
      </c>
      <c r="L216" s="233">
        <v>0.57024793388429751</v>
      </c>
      <c r="M216" s="233">
        <v>7.43801652892562E-2</v>
      </c>
      <c r="N216" s="233">
        <v>3.3057851239669422E-2</v>
      </c>
      <c r="O216" s="207">
        <v>4887</v>
      </c>
      <c r="P216" s="207">
        <f t="shared" si="9"/>
        <v>4450</v>
      </c>
      <c r="Q216" s="207">
        <v>3</v>
      </c>
      <c r="R216" s="207">
        <v>3</v>
      </c>
      <c r="U216" s="206">
        <v>0</v>
      </c>
      <c r="V216" s="206">
        <v>0</v>
      </c>
      <c r="W216" s="206">
        <v>1</v>
      </c>
      <c r="X216" s="206">
        <v>0</v>
      </c>
    </row>
    <row r="217" spans="1:24" x14ac:dyDescent="0.25">
      <c r="A217" s="206" t="str">
        <f t="shared" si="8"/>
        <v>SD04127Host Community</v>
      </c>
      <c r="B217" s="206" t="s">
        <v>191</v>
      </c>
      <c r="C217" s="206" t="s">
        <v>121</v>
      </c>
      <c r="D217" s="206" t="s">
        <v>287</v>
      </c>
      <c r="E217" s="206" t="s">
        <v>286</v>
      </c>
      <c r="F217" s="206" t="s">
        <v>735</v>
      </c>
      <c r="G217" s="207">
        <v>0</v>
      </c>
      <c r="H217" s="206" t="s">
        <v>87</v>
      </c>
      <c r="I217" s="206" t="s">
        <v>731</v>
      </c>
      <c r="J217" s="233">
        <v>7.0484581497797363E-2</v>
      </c>
      <c r="K217" s="233">
        <v>0.58149779735682816</v>
      </c>
      <c r="L217" s="233">
        <v>0.34361233480176212</v>
      </c>
      <c r="M217" s="233">
        <v>0</v>
      </c>
      <c r="N217" s="233">
        <v>4.4052863436123352E-3</v>
      </c>
      <c r="O217" s="207">
        <v>0</v>
      </c>
      <c r="P217" s="207">
        <f t="shared" si="9"/>
        <v>0</v>
      </c>
      <c r="Q217" s="207">
        <v>3</v>
      </c>
      <c r="R217" s="207">
        <v>3</v>
      </c>
      <c r="U217" s="206">
        <v>0</v>
      </c>
      <c r="V217" s="206">
        <v>0</v>
      </c>
      <c r="W217" s="206">
        <v>1</v>
      </c>
      <c r="X217" s="206" t="e">
        <v>#DIV/0!</v>
      </c>
    </row>
    <row r="218" spans="1:24" x14ac:dyDescent="0.25">
      <c r="A218" s="206" t="str">
        <f t="shared" si="8"/>
        <v>SD04127IDPs</v>
      </c>
      <c r="B218" s="206" t="s">
        <v>191</v>
      </c>
      <c r="C218" s="206" t="s">
        <v>121</v>
      </c>
      <c r="D218" s="206" t="s">
        <v>287</v>
      </c>
      <c r="E218" s="206" t="s">
        <v>286</v>
      </c>
      <c r="F218" s="206" t="s">
        <v>735</v>
      </c>
      <c r="G218" s="207">
        <v>44562</v>
      </c>
      <c r="H218" s="206" t="s">
        <v>88</v>
      </c>
      <c r="I218" s="206" t="s">
        <v>732</v>
      </c>
      <c r="J218" s="233">
        <v>7.0484581497797363E-2</v>
      </c>
      <c r="K218" s="233">
        <v>0.58149779735682816</v>
      </c>
      <c r="L218" s="233">
        <v>0.34361233480176212</v>
      </c>
      <c r="M218" s="233">
        <v>0</v>
      </c>
      <c r="N218" s="233">
        <v>4.4052863436123352E-3</v>
      </c>
      <c r="O218" s="207">
        <v>15508</v>
      </c>
      <c r="P218" s="207">
        <f t="shared" si="9"/>
        <v>14122</v>
      </c>
      <c r="Q218" s="207">
        <v>3</v>
      </c>
      <c r="R218" s="207">
        <v>3</v>
      </c>
      <c r="U218" s="206">
        <v>0</v>
      </c>
      <c r="V218" s="206">
        <v>0</v>
      </c>
      <c r="W218" s="206">
        <v>1</v>
      </c>
      <c r="X218" s="206" t="e">
        <v>#DIV/0!</v>
      </c>
    </row>
    <row r="219" spans="1:24" x14ac:dyDescent="0.25">
      <c r="A219" s="206" t="str">
        <f t="shared" si="8"/>
        <v>SD04127Non-hosting Population</v>
      </c>
      <c r="B219" s="206" t="s">
        <v>191</v>
      </c>
      <c r="C219" s="206" t="s">
        <v>121</v>
      </c>
      <c r="D219" s="206" t="s">
        <v>287</v>
      </c>
      <c r="E219" s="206" t="s">
        <v>286</v>
      </c>
      <c r="F219" s="206" t="s">
        <v>735</v>
      </c>
      <c r="G219" s="207">
        <v>0</v>
      </c>
      <c r="H219" s="206" t="s">
        <v>568</v>
      </c>
      <c r="I219" s="206" t="s">
        <v>731</v>
      </c>
      <c r="J219" s="233">
        <v>7.0484581497797363E-2</v>
      </c>
      <c r="K219" s="233">
        <v>0.58149779735682816</v>
      </c>
      <c r="L219" s="233">
        <v>0.34361233480176212</v>
      </c>
      <c r="M219" s="233">
        <v>0</v>
      </c>
      <c r="N219" s="233">
        <v>4.4052863436123352E-3</v>
      </c>
      <c r="O219" s="207">
        <v>0</v>
      </c>
      <c r="P219" s="207">
        <f t="shared" si="9"/>
        <v>0</v>
      </c>
      <c r="Q219" s="207">
        <v>3</v>
      </c>
      <c r="R219" s="207">
        <v>3</v>
      </c>
      <c r="U219" s="206">
        <v>0</v>
      </c>
      <c r="V219" s="206">
        <v>0</v>
      </c>
      <c r="W219" s="206">
        <v>1</v>
      </c>
      <c r="X219" s="206" t="e">
        <v>#DIV/0!</v>
      </c>
    </row>
    <row r="220" spans="1:24" x14ac:dyDescent="0.25">
      <c r="A220" s="206" t="str">
        <f t="shared" si="8"/>
        <v>SD04134Host Community</v>
      </c>
      <c r="B220" s="206" t="s">
        <v>191</v>
      </c>
      <c r="C220" s="206" t="s">
        <v>121</v>
      </c>
      <c r="D220" s="206" t="s">
        <v>289</v>
      </c>
      <c r="E220" s="206" t="s">
        <v>288</v>
      </c>
      <c r="F220" s="206" t="s">
        <v>735</v>
      </c>
      <c r="G220" s="207">
        <v>26225</v>
      </c>
      <c r="H220" s="206" t="s">
        <v>87</v>
      </c>
      <c r="I220" s="206" t="s">
        <v>731</v>
      </c>
      <c r="J220" s="233">
        <v>0.28695652173913044</v>
      </c>
      <c r="K220" s="233">
        <v>0.25217391304347825</v>
      </c>
      <c r="L220" s="233">
        <v>0.46086956521739131</v>
      </c>
      <c r="M220" s="233">
        <v>0</v>
      </c>
      <c r="N220" s="233">
        <v>0</v>
      </c>
      <c r="O220" s="207">
        <v>12086</v>
      </c>
      <c r="P220" s="207">
        <f t="shared" si="9"/>
        <v>11006</v>
      </c>
      <c r="Q220" s="207">
        <v>3</v>
      </c>
      <c r="R220" s="207">
        <v>3</v>
      </c>
      <c r="U220" s="206">
        <v>1</v>
      </c>
      <c r="V220" s="206">
        <v>0</v>
      </c>
      <c r="W220" s="206">
        <v>1</v>
      </c>
      <c r="X220" s="206" t="e">
        <v>#DIV/0!</v>
      </c>
    </row>
    <row r="221" spans="1:24" x14ac:dyDescent="0.25">
      <c r="A221" s="206" t="str">
        <f t="shared" si="8"/>
        <v>SD04134IDPs</v>
      </c>
      <c r="B221" s="206" t="s">
        <v>191</v>
      </c>
      <c r="C221" s="206" t="s">
        <v>121</v>
      </c>
      <c r="D221" s="206" t="s">
        <v>289</v>
      </c>
      <c r="E221" s="206" t="s">
        <v>288</v>
      </c>
      <c r="F221" s="206" t="s">
        <v>735</v>
      </c>
      <c r="G221" s="207">
        <v>26225</v>
      </c>
      <c r="H221" s="206" t="s">
        <v>88</v>
      </c>
      <c r="I221" s="206" t="s">
        <v>732</v>
      </c>
      <c r="J221" s="233">
        <v>0.28695652173913044</v>
      </c>
      <c r="K221" s="233">
        <v>0.25217391304347825</v>
      </c>
      <c r="L221" s="233">
        <v>0.46086956521739131</v>
      </c>
      <c r="M221" s="233">
        <v>0</v>
      </c>
      <c r="N221" s="233">
        <v>0</v>
      </c>
      <c r="O221" s="207">
        <v>12086</v>
      </c>
      <c r="P221" s="207">
        <f t="shared" si="9"/>
        <v>11006</v>
      </c>
      <c r="Q221" s="207">
        <v>3</v>
      </c>
      <c r="R221" s="207">
        <v>3</v>
      </c>
      <c r="U221" s="206">
        <v>1</v>
      </c>
      <c r="V221" s="206">
        <v>0</v>
      </c>
      <c r="W221" s="206">
        <v>1</v>
      </c>
      <c r="X221" s="206" t="e">
        <v>#DIV/0!</v>
      </c>
    </row>
    <row r="222" spans="1:24" x14ac:dyDescent="0.25">
      <c r="A222" s="206" t="str">
        <f t="shared" si="8"/>
        <v>SD04134Non-hosting Population</v>
      </c>
      <c r="B222" s="206" t="s">
        <v>191</v>
      </c>
      <c r="C222" s="206" t="s">
        <v>121</v>
      </c>
      <c r="D222" s="206" t="s">
        <v>289</v>
      </c>
      <c r="E222" s="206" t="s">
        <v>288</v>
      </c>
      <c r="F222" s="206" t="s">
        <v>735</v>
      </c>
      <c r="G222" s="207">
        <v>1123</v>
      </c>
      <c r="H222" s="206" t="s">
        <v>568</v>
      </c>
      <c r="I222" s="206" t="s">
        <v>731</v>
      </c>
      <c r="J222" s="233">
        <v>0.28695652173913044</v>
      </c>
      <c r="K222" s="233">
        <v>0.25217391304347825</v>
      </c>
      <c r="L222" s="233">
        <v>0.46086956521739131</v>
      </c>
      <c r="M222" s="233">
        <v>0</v>
      </c>
      <c r="N222" s="233">
        <v>0</v>
      </c>
      <c r="O222" s="207">
        <v>0</v>
      </c>
      <c r="P222" s="207">
        <f t="shared" si="9"/>
        <v>0</v>
      </c>
      <c r="Q222" s="207">
        <v>3</v>
      </c>
      <c r="R222" s="207">
        <v>3</v>
      </c>
      <c r="U222" s="206">
        <v>1</v>
      </c>
      <c r="V222" s="206">
        <v>0</v>
      </c>
      <c r="W222" s="206">
        <v>1</v>
      </c>
      <c r="X222" s="206" t="e">
        <v>#DIV/0!</v>
      </c>
    </row>
    <row r="223" spans="1:24" x14ac:dyDescent="0.25">
      <c r="A223" s="206" t="str">
        <f t="shared" si="8"/>
        <v>SD05139Host Community</v>
      </c>
      <c r="B223" s="206" t="s">
        <v>155</v>
      </c>
      <c r="C223" s="206" t="s">
        <v>122</v>
      </c>
      <c r="D223" s="206" t="s">
        <v>169</v>
      </c>
      <c r="E223" s="206" t="s">
        <v>168</v>
      </c>
      <c r="F223" s="206" t="s">
        <v>735</v>
      </c>
      <c r="G223" s="207">
        <v>56553</v>
      </c>
      <c r="H223" s="206" t="s">
        <v>87</v>
      </c>
      <c r="I223" s="206" t="s">
        <v>731</v>
      </c>
      <c r="J223" s="233">
        <v>0.203125</v>
      </c>
      <c r="K223" s="233">
        <v>0.328125</v>
      </c>
      <c r="L223" s="233">
        <v>0.3984375</v>
      </c>
      <c r="M223" s="233">
        <v>0</v>
      </c>
      <c r="N223" s="233">
        <v>7.03125E-2</v>
      </c>
      <c r="O223" s="207">
        <v>26509</v>
      </c>
      <c r="P223" s="207">
        <f t="shared" si="9"/>
        <v>24140</v>
      </c>
      <c r="Q223" s="207">
        <v>3</v>
      </c>
      <c r="R223" s="207">
        <v>3</v>
      </c>
      <c r="U223" s="206">
        <v>0</v>
      </c>
      <c r="V223" s="206">
        <v>0</v>
      </c>
      <c r="W223" s="206">
        <v>0</v>
      </c>
      <c r="X223" s="206" t="e">
        <v>#DIV/0!</v>
      </c>
    </row>
    <row r="224" spans="1:24" x14ac:dyDescent="0.25">
      <c r="A224" s="206" t="str">
        <f t="shared" si="8"/>
        <v>SD05139IDPs</v>
      </c>
      <c r="B224" s="206" t="s">
        <v>155</v>
      </c>
      <c r="C224" s="206" t="s">
        <v>122</v>
      </c>
      <c r="D224" s="206" t="s">
        <v>169</v>
      </c>
      <c r="E224" s="206" t="s">
        <v>168</v>
      </c>
      <c r="F224" s="206" t="s">
        <v>735</v>
      </c>
      <c r="G224" s="207">
        <v>53737</v>
      </c>
      <c r="H224" s="206" t="s">
        <v>88</v>
      </c>
      <c r="I224" s="206" t="s">
        <v>732</v>
      </c>
      <c r="J224" s="233">
        <v>0.203125</v>
      </c>
      <c r="K224" s="233">
        <v>0.328125</v>
      </c>
      <c r="L224" s="233">
        <v>0.3984375</v>
      </c>
      <c r="M224" s="233">
        <v>0</v>
      </c>
      <c r="N224" s="233">
        <v>7.03125E-2</v>
      </c>
      <c r="O224" s="207">
        <v>25189</v>
      </c>
      <c r="P224" s="207">
        <f t="shared" si="9"/>
        <v>22938</v>
      </c>
      <c r="Q224" s="207">
        <v>3</v>
      </c>
      <c r="R224" s="207">
        <v>3</v>
      </c>
      <c r="U224" s="206">
        <v>0</v>
      </c>
      <c r="V224" s="206">
        <v>0</v>
      </c>
      <c r="W224" s="206">
        <v>1</v>
      </c>
      <c r="X224" s="206" t="e">
        <v>#DIV/0!</v>
      </c>
    </row>
    <row r="225" spans="1:24" x14ac:dyDescent="0.25">
      <c r="A225" s="206" t="str">
        <f t="shared" si="8"/>
        <v>SD05139Non-hosting Population</v>
      </c>
      <c r="B225" s="206" t="s">
        <v>155</v>
      </c>
      <c r="C225" s="206" t="s">
        <v>122</v>
      </c>
      <c r="D225" s="206" t="s">
        <v>169</v>
      </c>
      <c r="E225" s="206" t="s">
        <v>168</v>
      </c>
      <c r="F225" s="206" t="s">
        <v>735</v>
      </c>
      <c r="G225" s="207">
        <v>152418</v>
      </c>
      <c r="H225" s="206" t="s">
        <v>568</v>
      </c>
      <c r="I225" s="206" t="s">
        <v>731</v>
      </c>
      <c r="J225" s="233">
        <v>0.203125</v>
      </c>
      <c r="K225" s="233">
        <v>0.328125</v>
      </c>
      <c r="L225" s="233">
        <v>0.3984375</v>
      </c>
      <c r="M225" s="233">
        <v>0</v>
      </c>
      <c r="N225" s="233">
        <v>7.03125E-2</v>
      </c>
      <c r="O225" s="207">
        <v>10717</v>
      </c>
      <c r="P225" s="207">
        <f t="shared" si="9"/>
        <v>9759</v>
      </c>
      <c r="Q225" s="207">
        <v>3</v>
      </c>
      <c r="R225" s="207">
        <v>3</v>
      </c>
      <c r="U225" s="206" t="e">
        <v>#DIV/0!</v>
      </c>
      <c r="V225" s="206" t="e">
        <v>#DIV/0!</v>
      </c>
      <c r="W225" s="206">
        <v>0</v>
      </c>
      <c r="X225" s="206" t="e">
        <v>#DIV/0!</v>
      </c>
    </row>
    <row r="226" spans="1:24" x14ac:dyDescent="0.25">
      <c r="A226" s="206" t="str">
        <f t="shared" si="8"/>
        <v>SD05140Host Community</v>
      </c>
      <c r="B226" s="206" t="s">
        <v>155</v>
      </c>
      <c r="C226" s="206" t="s">
        <v>122</v>
      </c>
      <c r="D226" s="206" t="s">
        <v>172</v>
      </c>
      <c r="E226" s="206" t="s">
        <v>171</v>
      </c>
      <c r="F226" s="206" t="s">
        <v>735</v>
      </c>
      <c r="G226" s="207">
        <v>48571</v>
      </c>
      <c r="H226" s="206" t="s">
        <v>87</v>
      </c>
      <c r="I226" s="206" t="s">
        <v>731</v>
      </c>
      <c r="J226" s="233">
        <v>0</v>
      </c>
      <c r="K226" s="233">
        <v>1.5625E-2</v>
      </c>
      <c r="L226" s="233">
        <v>0.984375</v>
      </c>
      <c r="M226" s="233">
        <v>0</v>
      </c>
      <c r="N226" s="233">
        <v>0</v>
      </c>
      <c r="O226" s="207">
        <v>47812</v>
      </c>
      <c r="P226" s="207">
        <f t="shared" si="9"/>
        <v>43540</v>
      </c>
      <c r="Q226" s="207">
        <v>3</v>
      </c>
      <c r="R226" s="207">
        <v>3</v>
      </c>
      <c r="U226" s="206">
        <v>0</v>
      </c>
      <c r="V226" s="206">
        <v>0</v>
      </c>
      <c r="W226" s="206">
        <v>1</v>
      </c>
      <c r="X226" s="206" t="e">
        <v>#DIV/0!</v>
      </c>
    </row>
    <row r="227" spans="1:24" x14ac:dyDescent="0.25">
      <c r="A227" s="206" t="str">
        <f t="shared" si="8"/>
        <v>SD05140IDPs</v>
      </c>
      <c r="B227" s="206" t="s">
        <v>155</v>
      </c>
      <c r="C227" s="206" t="s">
        <v>122</v>
      </c>
      <c r="D227" s="206" t="s">
        <v>172</v>
      </c>
      <c r="E227" s="206" t="s">
        <v>171</v>
      </c>
      <c r="F227" s="206" t="s">
        <v>735</v>
      </c>
      <c r="G227" s="207">
        <v>43875</v>
      </c>
      <c r="H227" s="206" t="s">
        <v>88</v>
      </c>
      <c r="I227" s="206" t="s">
        <v>732</v>
      </c>
      <c r="J227" s="233">
        <v>0</v>
      </c>
      <c r="K227" s="233">
        <v>1.5625E-2</v>
      </c>
      <c r="L227" s="233">
        <v>0.984375</v>
      </c>
      <c r="M227" s="233">
        <v>0</v>
      </c>
      <c r="N227" s="233">
        <v>0</v>
      </c>
      <c r="O227" s="207">
        <v>43189</v>
      </c>
      <c r="P227" s="207">
        <f t="shared" si="9"/>
        <v>39330</v>
      </c>
      <c r="Q227" s="207">
        <v>3</v>
      </c>
      <c r="R227" s="207">
        <v>3</v>
      </c>
      <c r="U227" s="206">
        <v>0</v>
      </c>
      <c r="V227" s="206">
        <v>0</v>
      </c>
      <c r="W227" s="206">
        <v>0</v>
      </c>
      <c r="X227" s="206" t="e">
        <v>#DIV/0!</v>
      </c>
    </row>
    <row r="228" spans="1:24" x14ac:dyDescent="0.25">
      <c r="A228" s="206" t="str">
        <f t="shared" si="8"/>
        <v>SD05140Non-hosting Population</v>
      </c>
      <c r="B228" s="206" t="s">
        <v>155</v>
      </c>
      <c r="C228" s="206" t="s">
        <v>122</v>
      </c>
      <c r="D228" s="206" t="s">
        <v>172</v>
      </c>
      <c r="E228" s="206" t="s">
        <v>171</v>
      </c>
      <c r="F228" s="206" t="s">
        <v>735</v>
      </c>
      <c r="G228" s="207">
        <v>91830</v>
      </c>
      <c r="H228" s="206" t="s">
        <v>568</v>
      </c>
      <c r="I228" s="206" t="s">
        <v>731</v>
      </c>
      <c r="J228" s="233">
        <v>0</v>
      </c>
      <c r="K228" s="233">
        <v>1.5625E-2</v>
      </c>
      <c r="L228" s="233">
        <v>0.984375</v>
      </c>
      <c r="M228" s="233">
        <v>0</v>
      </c>
      <c r="N228" s="233">
        <v>0</v>
      </c>
      <c r="O228" s="207">
        <v>0</v>
      </c>
      <c r="P228" s="207">
        <f t="shared" si="9"/>
        <v>0</v>
      </c>
      <c r="Q228" s="207">
        <v>3</v>
      </c>
      <c r="R228" s="207">
        <v>3</v>
      </c>
      <c r="U228" s="206" t="e">
        <v>#DIV/0!</v>
      </c>
      <c r="V228" s="206" t="e">
        <v>#DIV/0!</v>
      </c>
      <c r="W228" s="206">
        <v>1</v>
      </c>
      <c r="X228" s="206" t="e">
        <v>#DIV/0!</v>
      </c>
    </row>
    <row r="229" spans="1:24" x14ac:dyDescent="0.25">
      <c r="A229" s="206" t="str">
        <f t="shared" si="8"/>
        <v>SD05142Host Community</v>
      </c>
      <c r="B229" s="206" t="s">
        <v>155</v>
      </c>
      <c r="C229" s="206" t="s">
        <v>122</v>
      </c>
      <c r="D229" s="206" t="s">
        <v>175</v>
      </c>
      <c r="E229" s="206" t="s">
        <v>174</v>
      </c>
      <c r="F229" s="206" t="s">
        <v>735</v>
      </c>
      <c r="G229" s="207">
        <v>62149</v>
      </c>
      <c r="H229" s="206" t="s">
        <v>87</v>
      </c>
      <c r="I229" s="206" t="s">
        <v>731</v>
      </c>
      <c r="J229" s="233">
        <v>9.285714285714286E-2</v>
      </c>
      <c r="K229" s="233">
        <v>0.15714285714285714</v>
      </c>
      <c r="L229" s="233">
        <v>0.6428571428571429</v>
      </c>
      <c r="M229" s="233">
        <v>2.8571428571428571E-2</v>
      </c>
      <c r="N229" s="233">
        <v>7.857142857142857E-2</v>
      </c>
      <c r="O229" s="207">
        <v>46612</v>
      </c>
      <c r="P229" s="207">
        <f t="shared" si="9"/>
        <v>42447</v>
      </c>
      <c r="Q229" s="207">
        <v>3</v>
      </c>
      <c r="R229" s="207">
        <v>3</v>
      </c>
      <c r="U229" s="206">
        <v>0</v>
      </c>
      <c r="V229" s="206">
        <v>0</v>
      </c>
      <c r="W229" s="206">
        <v>1</v>
      </c>
      <c r="X229" s="206" t="e">
        <v>#DIV/0!</v>
      </c>
    </row>
    <row r="230" spans="1:24" x14ac:dyDescent="0.25">
      <c r="A230" s="206" t="str">
        <f t="shared" si="8"/>
        <v>SD05142IDPs</v>
      </c>
      <c r="B230" s="206" t="s">
        <v>155</v>
      </c>
      <c r="C230" s="206" t="s">
        <v>122</v>
      </c>
      <c r="D230" s="206" t="s">
        <v>175</v>
      </c>
      <c r="E230" s="206" t="s">
        <v>174</v>
      </c>
      <c r="F230" s="206" t="s">
        <v>735</v>
      </c>
      <c r="G230" s="207">
        <v>200270</v>
      </c>
      <c r="H230" s="206" t="s">
        <v>88</v>
      </c>
      <c r="I230" s="206" t="s">
        <v>732</v>
      </c>
      <c r="J230" s="233">
        <v>9.285714285714286E-2</v>
      </c>
      <c r="K230" s="233">
        <v>0.15714285714285714</v>
      </c>
      <c r="L230" s="233">
        <v>0.6428571428571429</v>
      </c>
      <c r="M230" s="233">
        <v>2.8571428571428571E-2</v>
      </c>
      <c r="N230" s="233">
        <v>7.857142857142857E-2</v>
      </c>
      <c r="O230" s="207">
        <v>150203</v>
      </c>
      <c r="P230" s="207">
        <f t="shared" si="9"/>
        <v>136782</v>
      </c>
      <c r="Q230" s="207">
        <v>3</v>
      </c>
      <c r="R230" s="207">
        <v>3</v>
      </c>
      <c r="U230" s="206">
        <v>1</v>
      </c>
      <c r="V230" s="206">
        <v>0</v>
      </c>
      <c r="W230" s="206">
        <v>1</v>
      </c>
      <c r="X230" s="206" t="e">
        <v>#DIV/0!</v>
      </c>
    </row>
    <row r="231" spans="1:24" x14ac:dyDescent="0.25">
      <c r="A231" s="206" t="str">
        <f t="shared" si="8"/>
        <v>SD05142Non-hosting Population</v>
      </c>
      <c r="B231" s="206" t="s">
        <v>155</v>
      </c>
      <c r="C231" s="206" t="s">
        <v>122</v>
      </c>
      <c r="D231" s="206" t="s">
        <v>175</v>
      </c>
      <c r="E231" s="206" t="s">
        <v>174</v>
      </c>
      <c r="F231" s="206" t="s">
        <v>735</v>
      </c>
      <c r="G231" s="207">
        <v>0</v>
      </c>
      <c r="H231" s="206" t="s">
        <v>568</v>
      </c>
      <c r="I231" s="206" t="s">
        <v>731</v>
      </c>
      <c r="J231" s="233">
        <v>9.285714285714286E-2</v>
      </c>
      <c r="K231" s="233">
        <v>0.15714285714285714</v>
      </c>
      <c r="L231" s="233">
        <v>0.6428571428571429</v>
      </c>
      <c r="M231" s="233">
        <v>2.8571428571428571E-2</v>
      </c>
      <c r="N231" s="233">
        <v>7.857142857142857E-2</v>
      </c>
      <c r="O231" s="207">
        <v>0</v>
      </c>
      <c r="P231" s="207">
        <f t="shared" si="9"/>
        <v>0</v>
      </c>
      <c r="Q231" s="207">
        <v>3</v>
      </c>
      <c r="R231" s="207">
        <v>3</v>
      </c>
      <c r="U231" s="206">
        <v>0</v>
      </c>
      <c r="V231" s="206">
        <v>0</v>
      </c>
      <c r="W231" s="206">
        <v>1</v>
      </c>
      <c r="X231" s="206" t="e">
        <v>#DIV/0!</v>
      </c>
    </row>
    <row r="232" spans="1:24" x14ac:dyDescent="0.25">
      <c r="A232" s="206" t="str">
        <f t="shared" si="8"/>
        <v>SD05148Host Community</v>
      </c>
      <c r="B232" s="206" t="s">
        <v>155</v>
      </c>
      <c r="C232" s="206" t="s">
        <v>122</v>
      </c>
      <c r="D232" s="206" t="s">
        <v>178</v>
      </c>
      <c r="E232" s="206" t="s">
        <v>177</v>
      </c>
      <c r="F232" s="206" t="s">
        <v>735</v>
      </c>
      <c r="G232" s="207">
        <v>120603</v>
      </c>
      <c r="H232" s="206" t="s">
        <v>87</v>
      </c>
      <c r="I232" s="206" t="s">
        <v>731</v>
      </c>
      <c r="J232" s="233">
        <v>3.4246575342465752E-2</v>
      </c>
      <c r="K232" s="233">
        <v>0.17808219178082191</v>
      </c>
      <c r="L232" s="233">
        <v>0.65753424657534243</v>
      </c>
      <c r="M232" s="233">
        <v>6.8493150684931503E-3</v>
      </c>
      <c r="N232" s="233">
        <v>0.12328767123287671</v>
      </c>
      <c r="O232" s="207">
        <v>94996</v>
      </c>
      <c r="P232" s="207">
        <f t="shared" si="9"/>
        <v>86508</v>
      </c>
      <c r="Q232" s="207">
        <v>3</v>
      </c>
      <c r="R232" s="207">
        <v>3</v>
      </c>
      <c r="U232" s="206">
        <v>0</v>
      </c>
      <c r="V232" s="206">
        <v>1</v>
      </c>
      <c r="W232" s="206">
        <v>1</v>
      </c>
      <c r="X232" s="206" t="e">
        <v>#DIV/0!</v>
      </c>
    </row>
    <row r="233" spans="1:24" x14ac:dyDescent="0.25">
      <c r="A233" s="206" t="str">
        <f t="shared" si="8"/>
        <v>SD05148IDPs</v>
      </c>
      <c r="B233" s="206" t="s">
        <v>155</v>
      </c>
      <c r="C233" s="206" t="s">
        <v>122</v>
      </c>
      <c r="D233" s="206" t="s">
        <v>178</v>
      </c>
      <c r="E233" s="206" t="s">
        <v>177</v>
      </c>
      <c r="F233" s="206" t="s">
        <v>735</v>
      </c>
      <c r="G233" s="207">
        <v>192090</v>
      </c>
      <c r="H233" s="206" t="s">
        <v>88</v>
      </c>
      <c r="I233" s="206" t="s">
        <v>732</v>
      </c>
      <c r="J233" s="233">
        <v>3.4246575342465752E-2</v>
      </c>
      <c r="K233" s="233">
        <v>0.17808219178082191</v>
      </c>
      <c r="L233" s="233">
        <v>0.65753424657534243</v>
      </c>
      <c r="M233" s="233">
        <v>6.8493150684931503E-3</v>
      </c>
      <c r="N233" s="233">
        <v>0.12328767123287671</v>
      </c>
      <c r="O233" s="207">
        <v>151304</v>
      </c>
      <c r="P233" s="207">
        <f t="shared" si="9"/>
        <v>137785</v>
      </c>
      <c r="Q233" s="207">
        <v>3</v>
      </c>
      <c r="R233" s="207">
        <v>3</v>
      </c>
      <c r="U233" s="206">
        <v>0</v>
      </c>
      <c r="V233" s="206">
        <v>1</v>
      </c>
      <c r="W233" s="206">
        <v>1</v>
      </c>
      <c r="X233" s="206" t="e">
        <v>#DIV/0!</v>
      </c>
    </row>
    <row r="234" spans="1:24" x14ac:dyDescent="0.25">
      <c r="A234" s="206" t="str">
        <f t="shared" si="8"/>
        <v>SD05148Non-hosting Population</v>
      </c>
      <c r="B234" s="206" t="s">
        <v>155</v>
      </c>
      <c r="C234" s="206" t="s">
        <v>122</v>
      </c>
      <c r="D234" s="206" t="s">
        <v>178</v>
      </c>
      <c r="E234" s="206" t="s">
        <v>177</v>
      </c>
      <c r="F234" s="206" t="s">
        <v>735</v>
      </c>
      <c r="G234" s="207">
        <v>0</v>
      </c>
      <c r="H234" s="206" t="s">
        <v>568</v>
      </c>
      <c r="I234" s="206" t="s">
        <v>731</v>
      </c>
      <c r="J234" s="233">
        <v>3.4246575342465752E-2</v>
      </c>
      <c r="K234" s="233">
        <v>0.17808219178082191</v>
      </c>
      <c r="L234" s="233">
        <v>0.65753424657534243</v>
      </c>
      <c r="M234" s="233">
        <v>6.8493150684931503E-3</v>
      </c>
      <c r="N234" s="233">
        <v>0.12328767123287671</v>
      </c>
      <c r="O234" s="207">
        <v>0</v>
      </c>
      <c r="P234" s="207">
        <f t="shared" si="9"/>
        <v>0</v>
      </c>
      <c r="Q234" s="207">
        <v>3</v>
      </c>
      <c r="R234" s="207">
        <v>3</v>
      </c>
      <c r="U234" s="206">
        <v>0</v>
      </c>
      <c r="V234" s="206">
        <v>1</v>
      </c>
      <c r="W234" s="206">
        <v>1</v>
      </c>
      <c r="X234" s="206" t="e">
        <v>#DIV/0!</v>
      </c>
    </row>
    <row r="235" spans="1:24" x14ac:dyDescent="0.25">
      <c r="A235" s="206" t="str">
        <f t="shared" si="8"/>
        <v>SD05152Host Community</v>
      </c>
      <c r="B235" s="206" t="s">
        <v>155</v>
      </c>
      <c r="C235" s="206" t="s">
        <v>122</v>
      </c>
      <c r="D235" s="206" t="s">
        <v>181</v>
      </c>
      <c r="E235" s="206" t="s">
        <v>180</v>
      </c>
      <c r="F235" s="206" t="s">
        <v>735</v>
      </c>
      <c r="G235" s="207">
        <v>64116</v>
      </c>
      <c r="H235" s="206" t="s">
        <v>87</v>
      </c>
      <c r="I235" s="206" t="s">
        <v>731</v>
      </c>
      <c r="J235" s="233">
        <v>0.28688524590163933</v>
      </c>
      <c r="K235" s="233">
        <v>0.15573770491803279</v>
      </c>
      <c r="L235" s="233">
        <v>0.53278688524590168</v>
      </c>
      <c r="M235" s="233">
        <v>0</v>
      </c>
      <c r="N235" s="233">
        <v>2.4590163934426229E-2</v>
      </c>
      <c r="O235" s="207">
        <v>35737</v>
      </c>
      <c r="P235" s="207">
        <f t="shared" si="9"/>
        <v>32544</v>
      </c>
      <c r="Q235" s="207">
        <v>3</v>
      </c>
      <c r="R235" s="207">
        <v>3</v>
      </c>
      <c r="U235" s="206">
        <v>0</v>
      </c>
      <c r="V235" s="206">
        <v>0</v>
      </c>
      <c r="W235" s="206">
        <v>1</v>
      </c>
      <c r="X235" s="206" t="e">
        <v>#DIV/0!</v>
      </c>
    </row>
    <row r="236" spans="1:24" x14ac:dyDescent="0.25">
      <c r="A236" s="206" t="str">
        <f t="shared" si="8"/>
        <v>SD05152IDPs</v>
      </c>
      <c r="B236" s="206" t="s">
        <v>155</v>
      </c>
      <c r="C236" s="206" t="s">
        <v>122</v>
      </c>
      <c r="D236" s="206" t="s">
        <v>181</v>
      </c>
      <c r="E236" s="206" t="s">
        <v>180</v>
      </c>
      <c r="F236" s="206" t="s">
        <v>735</v>
      </c>
      <c r="G236" s="207">
        <v>59700</v>
      </c>
      <c r="H236" s="206" t="s">
        <v>88</v>
      </c>
      <c r="I236" s="206" t="s">
        <v>732</v>
      </c>
      <c r="J236" s="233">
        <v>0.28688524590163933</v>
      </c>
      <c r="K236" s="233">
        <v>0.15573770491803279</v>
      </c>
      <c r="L236" s="233">
        <v>0.53278688524590168</v>
      </c>
      <c r="M236" s="233">
        <v>0</v>
      </c>
      <c r="N236" s="233">
        <v>2.4590163934426229E-2</v>
      </c>
      <c r="O236" s="207">
        <v>33275</v>
      </c>
      <c r="P236" s="207">
        <f t="shared" si="9"/>
        <v>30302</v>
      </c>
      <c r="Q236" s="207">
        <v>3</v>
      </c>
      <c r="R236" s="207">
        <v>3</v>
      </c>
      <c r="U236" s="206">
        <v>1</v>
      </c>
      <c r="V236" s="206">
        <v>0</v>
      </c>
      <c r="W236" s="206">
        <v>1</v>
      </c>
      <c r="X236" s="206" t="e">
        <v>#DIV/0!</v>
      </c>
    </row>
    <row r="237" spans="1:24" x14ac:dyDescent="0.25">
      <c r="A237" s="206" t="str">
        <f t="shared" si="8"/>
        <v>SD05152Non-hosting Population</v>
      </c>
      <c r="B237" s="206" t="s">
        <v>155</v>
      </c>
      <c r="C237" s="206" t="s">
        <v>122</v>
      </c>
      <c r="D237" s="206" t="s">
        <v>181</v>
      </c>
      <c r="E237" s="206" t="s">
        <v>180</v>
      </c>
      <c r="F237" s="206" t="s">
        <v>735</v>
      </c>
      <c r="G237" s="207">
        <v>105960</v>
      </c>
      <c r="H237" s="206" t="s">
        <v>568</v>
      </c>
      <c r="I237" s="206" t="s">
        <v>731</v>
      </c>
      <c r="J237" s="233">
        <v>0.28688524590163933</v>
      </c>
      <c r="K237" s="233">
        <v>0.15573770491803279</v>
      </c>
      <c r="L237" s="233">
        <v>0.53278688524590168</v>
      </c>
      <c r="M237" s="233">
        <v>0</v>
      </c>
      <c r="N237" s="233">
        <v>2.4590163934426229E-2</v>
      </c>
      <c r="O237" s="207">
        <v>2606</v>
      </c>
      <c r="P237" s="207">
        <f t="shared" si="9"/>
        <v>2373</v>
      </c>
      <c r="Q237" s="207">
        <v>3</v>
      </c>
      <c r="R237" s="207">
        <v>3</v>
      </c>
      <c r="U237" s="206">
        <v>0</v>
      </c>
      <c r="V237" s="206">
        <v>0</v>
      </c>
      <c r="W237" s="206">
        <v>1</v>
      </c>
      <c r="X237" s="206" t="e">
        <v>#DIV/0!</v>
      </c>
    </row>
    <row r="238" spans="1:24" x14ac:dyDescent="0.25">
      <c r="A238" s="206" t="str">
        <f t="shared" si="8"/>
        <v>SD05155Host Community</v>
      </c>
      <c r="B238" s="206" t="s">
        <v>155</v>
      </c>
      <c r="C238" s="206" t="s">
        <v>122</v>
      </c>
      <c r="D238" s="206" t="s">
        <v>184</v>
      </c>
      <c r="E238" s="206" t="s">
        <v>183</v>
      </c>
      <c r="F238" s="206" t="s">
        <v>735</v>
      </c>
      <c r="G238" s="207">
        <v>46868</v>
      </c>
      <c r="H238" s="206" t="s">
        <v>87</v>
      </c>
      <c r="I238" s="206" t="s">
        <v>731</v>
      </c>
      <c r="J238" s="233">
        <v>2.3622047244094488E-2</v>
      </c>
      <c r="K238" s="233">
        <v>0.18110236220472442</v>
      </c>
      <c r="L238" s="233">
        <v>0.78740157480314965</v>
      </c>
      <c r="M238" s="233">
        <v>0</v>
      </c>
      <c r="N238" s="233">
        <v>7.874015748031496E-3</v>
      </c>
      <c r="O238" s="207">
        <v>37273</v>
      </c>
      <c r="P238" s="207">
        <f t="shared" si="9"/>
        <v>33943</v>
      </c>
      <c r="Q238" s="207">
        <v>3</v>
      </c>
      <c r="R238" s="207">
        <v>3</v>
      </c>
      <c r="U238" s="206">
        <v>0</v>
      </c>
      <c r="V238" s="206">
        <v>0</v>
      </c>
      <c r="W238" s="206">
        <v>1</v>
      </c>
      <c r="X238" s="206" t="e">
        <v>#DIV/0!</v>
      </c>
    </row>
    <row r="239" spans="1:24" x14ac:dyDescent="0.25">
      <c r="A239" s="206" t="str">
        <f t="shared" si="8"/>
        <v>SD05155IDPs</v>
      </c>
      <c r="B239" s="206" t="s">
        <v>155</v>
      </c>
      <c r="C239" s="206" t="s">
        <v>122</v>
      </c>
      <c r="D239" s="206" t="s">
        <v>184</v>
      </c>
      <c r="E239" s="206" t="s">
        <v>183</v>
      </c>
      <c r="F239" s="206" t="s">
        <v>735</v>
      </c>
      <c r="G239" s="207">
        <v>45046</v>
      </c>
      <c r="H239" s="206" t="s">
        <v>88</v>
      </c>
      <c r="I239" s="206" t="s">
        <v>732</v>
      </c>
      <c r="J239" s="233">
        <v>2.3622047244094488E-2</v>
      </c>
      <c r="K239" s="233">
        <v>0.18110236220472442</v>
      </c>
      <c r="L239" s="233">
        <v>0.78740157480314965</v>
      </c>
      <c r="M239" s="233">
        <v>0</v>
      </c>
      <c r="N239" s="233">
        <v>7.874015748031496E-3</v>
      </c>
      <c r="O239" s="207">
        <v>35824</v>
      </c>
      <c r="P239" s="207">
        <f t="shared" si="9"/>
        <v>32623</v>
      </c>
      <c r="Q239" s="207">
        <v>3</v>
      </c>
      <c r="R239" s="207">
        <v>3</v>
      </c>
      <c r="U239" s="206">
        <v>0</v>
      </c>
      <c r="V239" s="206">
        <v>1</v>
      </c>
      <c r="W239" s="206">
        <v>1</v>
      </c>
      <c r="X239" s="206" t="e">
        <v>#DIV/0!</v>
      </c>
    </row>
    <row r="240" spans="1:24" x14ac:dyDescent="0.25">
      <c r="A240" s="206" t="str">
        <f t="shared" si="8"/>
        <v>SD05155Non-hosting Population</v>
      </c>
      <c r="B240" s="206" t="s">
        <v>155</v>
      </c>
      <c r="C240" s="206" t="s">
        <v>122</v>
      </c>
      <c r="D240" s="206" t="s">
        <v>184</v>
      </c>
      <c r="E240" s="206" t="s">
        <v>183</v>
      </c>
      <c r="F240" s="206" t="s">
        <v>735</v>
      </c>
      <c r="G240" s="207">
        <v>225032</v>
      </c>
      <c r="H240" s="206" t="s">
        <v>568</v>
      </c>
      <c r="I240" s="206" t="s">
        <v>731</v>
      </c>
      <c r="J240" s="233">
        <v>2.3622047244094488E-2</v>
      </c>
      <c r="K240" s="233">
        <v>0.18110236220472442</v>
      </c>
      <c r="L240" s="233">
        <v>0.78740157480314965</v>
      </c>
      <c r="M240" s="233">
        <v>0</v>
      </c>
      <c r="N240" s="233">
        <v>7.874015748031496E-3</v>
      </c>
      <c r="O240" s="207">
        <v>1772</v>
      </c>
      <c r="P240" s="207">
        <f t="shared" si="9"/>
        <v>1614</v>
      </c>
      <c r="Q240" s="207">
        <v>3</v>
      </c>
      <c r="R240" s="207">
        <v>3</v>
      </c>
      <c r="U240" s="206">
        <v>0</v>
      </c>
      <c r="V240" s="206">
        <v>0</v>
      </c>
      <c r="W240" s="206">
        <v>1</v>
      </c>
      <c r="X240" s="206" t="e">
        <v>#DIV/0!</v>
      </c>
    </row>
    <row r="241" spans="1:24" x14ac:dyDescent="0.25">
      <c r="A241" s="206" t="str">
        <f t="shared" si="8"/>
        <v>SD05160Host Community</v>
      </c>
      <c r="B241" s="206" t="s">
        <v>155</v>
      </c>
      <c r="C241" s="206" t="s">
        <v>122</v>
      </c>
      <c r="D241" s="206" t="s">
        <v>187</v>
      </c>
      <c r="E241" s="206" t="s">
        <v>186</v>
      </c>
      <c r="F241" s="206" t="s">
        <v>735</v>
      </c>
      <c r="G241" s="207">
        <v>85220</v>
      </c>
      <c r="H241" s="206" t="s">
        <v>87</v>
      </c>
      <c r="I241" s="206" t="s">
        <v>731</v>
      </c>
      <c r="J241" s="233">
        <v>0</v>
      </c>
      <c r="K241" s="233">
        <v>0.17791411042944785</v>
      </c>
      <c r="L241" s="233">
        <v>0.80981595092024539</v>
      </c>
      <c r="M241" s="233">
        <v>0</v>
      </c>
      <c r="N241" s="233">
        <v>1.2269938650306749E-2</v>
      </c>
      <c r="O241" s="207">
        <v>70058</v>
      </c>
      <c r="P241" s="207">
        <f t="shared" si="9"/>
        <v>63798</v>
      </c>
      <c r="Q241" s="207">
        <v>3</v>
      </c>
      <c r="R241" s="207">
        <v>3</v>
      </c>
      <c r="U241" s="206">
        <v>0</v>
      </c>
      <c r="V241" s="206">
        <v>0</v>
      </c>
      <c r="W241" s="206">
        <v>1</v>
      </c>
      <c r="X241" s="206" t="e">
        <v>#DIV/0!</v>
      </c>
    </row>
    <row r="242" spans="1:24" x14ac:dyDescent="0.25">
      <c r="A242" s="206" t="str">
        <f t="shared" si="8"/>
        <v>SD05160IDPs</v>
      </c>
      <c r="B242" s="206" t="s">
        <v>155</v>
      </c>
      <c r="C242" s="206" t="s">
        <v>122</v>
      </c>
      <c r="D242" s="206" t="s">
        <v>187</v>
      </c>
      <c r="E242" s="206" t="s">
        <v>186</v>
      </c>
      <c r="F242" s="206" t="s">
        <v>735</v>
      </c>
      <c r="G242" s="207">
        <v>67220</v>
      </c>
      <c r="H242" s="206" t="s">
        <v>88</v>
      </c>
      <c r="I242" s="206" t="s">
        <v>732</v>
      </c>
      <c r="J242" s="233">
        <v>0</v>
      </c>
      <c r="K242" s="233">
        <v>0.17791411042944785</v>
      </c>
      <c r="L242" s="233">
        <v>0.80981595092024539</v>
      </c>
      <c r="M242" s="233">
        <v>0</v>
      </c>
      <c r="N242" s="233">
        <v>1.2269938650306749E-2</v>
      </c>
      <c r="O242" s="207">
        <v>55261</v>
      </c>
      <c r="P242" s="207">
        <f t="shared" si="9"/>
        <v>50323</v>
      </c>
      <c r="Q242" s="207">
        <v>3</v>
      </c>
      <c r="R242" s="207">
        <v>3</v>
      </c>
      <c r="U242" s="206">
        <v>0</v>
      </c>
      <c r="V242" s="206">
        <v>0</v>
      </c>
      <c r="W242" s="206">
        <v>0</v>
      </c>
      <c r="X242" s="206" t="e">
        <v>#DIV/0!</v>
      </c>
    </row>
    <row r="243" spans="1:24" x14ac:dyDescent="0.25">
      <c r="A243" s="206" t="str">
        <f t="shared" si="8"/>
        <v>SD05160Non-hosting Population</v>
      </c>
      <c r="B243" s="206" t="s">
        <v>155</v>
      </c>
      <c r="C243" s="206" t="s">
        <v>122</v>
      </c>
      <c r="D243" s="206" t="s">
        <v>187</v>
      </c>
      <c r="E243" s="206" t="s">
        <v>186</v>
      </c>
      <c r="F243" s="206" t="s">
        <v>735</v>
      </c>
      <c r="G243" s="207">
        <v>217630</v>
      </c>
      <c r="H243" s="206" t="s">
        <v>568</v>
      </c>
      <c r="I243" s="206" t="s">
        <v>731</v>
      </c>
      <c r="J243" s="233">
        <v>0</v>
      </c>
      <c r="K243" s="233">
        <v>0.17791411042944785</v>
      </c>
      <c r="L243" s="233">
        <v>0.80981595092024539</v>
      </c>
      <c r="M243" s="233">
        <v>0</v>
      </c>
      <c r="N243" s="233">
        <v>1.2269938650306749E-2</v>
      </c>
      <c r="O243" s="207">
        <v>2670</v>
      </c>
      <c r="P243" s="207">
        <f t="shared" si="9"/>
        <v>2431</v>
      </c>
      <c r="Q243" s="207">
        <v>3</v>
      </c>
      <c r="R243" s="207">
        <v>3</v>
      </c>
      <c r="U243" s="206" t="e">
        <v>#DIV/0!</v>
      </c>
      <c r="V243" s="206" t="e">
        <v>#DIV/0!</v>
      </c>
      <c r="W243" s="206">
        <v>1</v>
      </c>
      <c r="X243" s="206" t="e">
        <v>#DIV/0!</v>
      </c>
    </row>
    <row r="244" spans="1:24" x14ac:dyDescent="0.25">
      <c r="A244" s="206" t="str">
        <f t="shared" si="8"/>
        <v>SD05163Host Community</v>
      </c>
      <c r="B244" s="206" t="s">
        <v>155</v>
      </c>
      <c r="C244" s="206" t="s">
        <v>122</v>
      </c>
      <c r="D244" s="206" t="s">
        <v>190</v>
      </c>
      <c r="E244" s="206" t="s">
        <v>189</v>
      </c>
      <c r="F244" s="206" t="s">
        <v>735</v>
      </c>
      <c r="G244" s="207">
        <v>30544</v>
      </c>
      <c r="H244" s="206" t="s">
        <v>87</v>
      </c>
      <c r="I244" s="206" t="s">
        <v>731</v>
      </c>
      <c r="J244" s="233">
        <v>8.5714285714285715E-2</v>
      </c>
      <c r="K244" s="233">
        <v>5.1428571428571428E-2</v>
      </c>
      <c r="L244" s="233">
        <v>0.84571428571428575</v>
      </c>
      <c r="M244" s="233">
        <v>1.1428571428571429E-2</v>
      </c>
      <c r="N244" s="233">
        <v>5.7142857142857143E-3</v>
      </c>
      <c r="O244" s="207">
        <v>26355</v>
      </c>
      <c r="P244" s="207">
        <f t="shared" si="9"/>
        <v>24000</v>
      </c>
      <c r="Q244" s="207">
        <v>3</v>
      </c>
      <c r="R244" s="207">
        <v>3</v>
      </c>
      <c r="U244" s="206" t="e">
        <v>#DIV/0!</v>
      </c>
      <c r="V244" s="206" t="e">
        <v>#DIV/0!</v>
      </c>
      <c r="W244" s="206">
        <v>1</v>
      </c>
      <c r="X244" s="206" t="e">
        <v>#DIV/0!</v>
      </c>
    </row>
    <row r="245" spans="1:24" x14ac:dyDescent="0.25">
      <c r="A245" s="206" t="str">
        <f t="shared" si="8"/>
        <v>SD05163IDPs</v>
      </c>
      <c r="B245" s="206" t="s">
        <v>155</v>
      </c>
      <c r="C245" s="206" t="s">
        <v>122</v>
      </c>
      <c r="D245" s="206" t="s">
        <v>190</v>
      </c>
      <c r="E245" s="206" t="s">
        <v>189</v>
      </c>
      <c r="F245" s="206" t="s">
        <v>735</v>
      </c>
      <c r="G245" s="207">
        <v>25240</v>
      </c>
      <c r="H245" s="206" t="s">
        <v>88</v>
      </c>
      <c r="I245" s="206" t="s">
        <v>732</v>
      </c>
      <c r="J245" s="233">
        <v>8.5714285714285715E-2</v>
      </c>
      <c r="K245" s="233">
        <v>5.1428571428571428E-2</v>
      </c>
      <c r="L245" s="233">
        <v>0.84571428571428575</v>
      </c>
      <c r="M245" s="233">
        <v>1.1428571428571429E-2</v>
      </c>
      <c r="N245" s="233">
        <v>5.7142857142857143E-3</v>
      </c>
      <c r="O245" s="207">
        <v>21779</v>
      </c>
      <c r="P245" s="207">
        <f t="shared" si="9"/>
        <v>19833</v>
      </c>
      <c r="Q245" s="207">
        <v>3</v>
      </c>
      <c r="R245" s="207">
        <v>3</v>
      </c>
      <c r="U245" s="206">
        <v>0</v>
      </c>
      <c r="V245" s="206">
        <v>0</v>
      </c>
      <c r="W245" s="206">
        <v>1</v>
      </c>
      <c r="X245" s="206" t="e">
        <v>#DIV/0!</v>
      </c>
    </row>
    <row r="246" spans="1:24" x14ac:dyDescent="0.25">
      <c r="A246" s="206" t="str">
        <f t="shared" si="8"/>
        <v>SD05163Non-hosting Population</v>
      </c>
      <c r="B246" s="206" t="s">
        <v>155</v>
      </c>
      <c r="C246" s="206" t="s">
        <v>122</v>
      </c>
      <c r="D246" s="206" t="s">
        <v>190</v>
      </c>
      <c r="E246" s="206" t="s">
        <v>189</v>
      </c>
      <c r="F246" s="206" t="s">
        <v>735</v>
      </c>
      <c r="G246" s="207">
        <v>206551</v>
      </c>
      <c r="H246" s="206" t="s">
        <v>568</v>
      </c>
      <c r="I246" s="206" t="s">
        <v>731</v>
      </c>
      <c r="J246" s="233">
        <v>8.5714285714285715E-2</v>
      </c>
      <c r="K246" s="233">
        <v>5.1428571428571428E-2</v>
      </c>
      <c r="L246" s="233">
        <v>0.84571428571428575</v>
      </c>
      <c r="M246" s="233">
        <v>1.1428571428571429E-2</v>
      </c>
      <c r="N246" s="233">
        <v>5.7142857142857143E-3</v>
      </c>
      <c r="O246" s="207">
        <v>3541</v>
      </c>
      <c r="P246" s="207">
        <f t="shared" si="9"/>
        <v>3225</v>
      </c>
      <c r="Q246" s="207">
        <v>3</v>
      </c>
      <c r="R246" s="207">
        <v>3</v>
      </c>
      <c r="U246" s="206" t="e">
        <v>#DIV/0!</v>
      </c>
      <c r="V246" s="206" t="e">
        <v>#DIV/0!</v>
      </c>
      <c r="W246" s="206">
        <v>1</v>
      </c>
      <c r="X246" s="206" t="e">
        <v>#DIV/0!</v>
      </c>
    </row>
    <row r="247" spans="1:24" x14ac:dyDescent="0.25">
      <c r="A247" s="206" t="str">
        <f t="shared" si="8"/>
        <v>SD05165Host Community</v>
      </c>
      <c r="B247" s="206" t="s">
        <v>155</v>
      </c>
      <c r="C247" s="206" t="s">
        <v>122</v>
      </c>
      <c r="D247" s="206" t="s">
        <v>193</v>
      </c>
      <c r="E247" s="206" t="s">
        <v>192</v>
      </c>
      <c r="F247" s="206" t="s">
        <v>735</v>
      </c>
      <c r="G247" s="207">
        <v>71747</v>
      </c>
      <c r="H247" s="206" t="s">
        <v>87</v>
      </c>
      <c r="I247" s="206" t="s">
        <v>731</v>
      </c>
      <c r="J247" s="233">
        <v>0.13793103448275862</v>
      </c>
      <c r="K247" s="233">
        <v>0.28275862068965518</v>
      </c>
      <c r="L247" s="233">
        <v>0.46206896551724136</v>
      </c>
      <c r="M247" s="233">
        <v>1.3793103448275862E-2</v>
      </c>
      <c r="N247" s="233">
        <v>0.10344827586206896</v>
      </c>
      <c r="O247" s="207">
        <v>41564</v>
      </c>
      <c r="P247" s="207">
        <f t="shared" si="9"/>
        <v>37850</v>
      </c>
      <c r="Q247" s="207">
        <v>3</v>
      </c>
      <c r="R247" s="207">
        <v>3</v>
      </c>
      <c r="U247" s="206">
        <v>0</v>
      </c>
      <c r="V247" s="206">
        <v>0</v>
      </c>
      <c r="W247" s="206">
        <v>1</v>
      </c>
      <c r="X247" s="206" t="e">
        <v>#DIV/0!</v>
      </c>
    </row>
    <row r="248" spans="1:24" x14ac:dyDescent="0.25">
      <c r="A248" s="206" t="str">
        <f t="shared" si="8"/>
        <v>SD05165IDPs</v>
      </c>
      <c r="B248" s="206" t="s">
        <v>155</v>
      </c>
      <c r="C248" s="206" t="s">
        <v>122</v>
      </c>
      <c r="D248" s="206" t="s">
        <v>193</v>
      </c>
      <c r="E248" s="206" t="s">
        <v>192</v>
      </c>
      <c r="F248" s="206" t="s">
        <v>735</v>
      </c>
      <c r="G248" s="207">
        <v>79110</v>
      </c>
      <c r="H248" s="206" t="s">
        <v>88</v>
      </c>
      <c r="I248" s="206" t="s">
        <v>732</v>
      </c>
      <c r="J248" s="233">
        <v>0.13793103448275862</v>
      </c>
      <c r="K248" s="233">
        <v>0.28275862068965518</v>
      </c>
      <c r="L248" s="233">
        <v>0.46206896551724136</v>
      </c>
      <c r="M248" s="233">
        <v>1.3793103448275862E-2</v>
      </c>
      <c r="N248" s="233">
        <v>0.10344827586206896</v>
      </c>
      <c r="O248" s="207">
        <v>45829</v>
      </c>
      <c r="P248" s="207">
        <f t="shared" si="9"/>
        <v>41734</v>
      </c>
      <c r="Q248" s="207">
        <v>3</v>
      </c>
      <c r="R248" s="207">
        <v>3</v>
      </c>
      <c r="U248" s="206">
        <v>0</v>
      </c>
      <c r="V248" s="206">
        <v>0</v>
      </c>
      <c r="W248" s="206">
        <v>1</v>
      </c>
      <c r="X248" s="206" t="e">
        <v>#DIV/0!</v>
      </c>
    </row>
    <row r="249" spans="1:24" x14ac:dyDescent="0.25">
      <c r="A249" s="206" t="str">
        <f t="shared" si="8"/>
        <v>SD05165Non-hosting Population</v>
      </c>
      <c r="B249" s="206" t="s">
        <v>155</v>
      </c>
      <c r="C249" s="206" t="s">
        <v>122</v>
      </c>
      <c r="D249" s="206" t="s">
        <v>193</v>
      </c>
      <c r="E249" s="206" t="s">
        <v>192</v>
      </c>
      <c r="F249" s="206" t="s">
        <v>735</v>
      </c>
      <c r="G249" s="207">
        <v>0</v>
      </c>
      <c r="H249" s="206" t="s">
        <v>568</v>
      </c>
      <c r="I249" s="206" t="s">
        <v>731</v>
      </c>
      <c r="J249" s="233">
        <v>0.13793103448275862</v>
      </c>
      <c r="K249" s="233">
        <v>0.28275862068965518</v>
      </c>
      <c r="L249" s="233">
        <v>0.46206896551724136</v>
      </c>
      <c r="M249" s="233">
        <v>1.3793103448275862E-2</v>
      </c>
      <c r="N249" s="233">
        <v>0.10344827586206896</v>
      </c>
      <c r="O249" s="207">
        <v>0</v>
      </c>
      <c r="P249" s="207">
        <f t="shared" si="9"/>
        <v>0</v>
      </c>
      <c r="Q249" s="207">
        <v>3</v>
      </c>
      <c r="R249" s="207">
        <v>3</v>
      </c>
      <c r="U249" s="206">
        <v>0</v>
      </c>
      <c r="V249" s="206">
        <v>0</v>
      </c>
      <c r="W249" s="206">
        <v>1</v>
      </c>
      <c r="X249" s="206" t="e">
        <v>#DIV/0!</v>
      </c>
    </row>
    <row r="250" spans="1:24" x14ac:dyDescent="0.25">
      <c r="A250" s="206" t="str">
        <f t="shared" si="8"/>
        <v>SD06110Host Community</v>
      </c>
      <c r="B250" s="206" t="s">
        <v>141</v>
      </c>
      <c r="C250" s="206" t="s">
        <v>123</v>
      </c>
      <c r="D250" s="206" t="s">
        <v>143</v>
      </c>
      <c r="E250" s="206" t="s">
        <v>142</v>
      </c>
      <c r="F250" s="206" t="s">
        <v>735</v>
      </c>
      <c r="G250" s="207">
        <v>0</v>
      </c>
      <c r="H250" s="206" t="s">
        <v>87</v>
      </c>
      <c r="I250" s="206" t="s">
        <v>731</v>
      </c>
      <c r="J250" s="233">
        <v>0</v>
      </c>
      <c r="K250" s="233">
        <v>7.0270270270270274E-2</v>
      </c>
      <c r="L250" s="233">
        <v>0.87027027027027026</v>
      </c>
      <c r="M250" s="233">
        <v>1.0810810810810811E-2</v>
      </c>
      <c r="N250" s="233">
        <v>4.8648648648648651E-2</v>
      </c>
      <c r="O250" s="207">
        <v>0</v>
      </c>
      <c r="P250" s="207">
        <f t="shared" si="9"/>
        <v>0</v>
      </c>
      <c r="Q250" s="207">
        <v>3</v>
      </c>
      <c r="R250" s="207">
        <v>3</v>
      </c>
      <c r="U250" s="206">
        <v>0</v>
      </c>
      <c r="V250" s="206">
        <v>1</v>
      </c>
      <c r="W250" s="206">
        <v>1</v>
      </c>
      <c r="X250" s="206" t="e">
        <v>#DIV/0!</v>
      </c>
    </row>
    <row r="251" spans="1:24" x14ac:dyDescent="0.25">
      <c r="A251" s="206" t="str">
        <f t="shared" si="8"/>
        <v>SD06110IDPs</v>
      </c>
      <c r="B251" s="206" t="s">
        <v>141</v>
      </c>
      <c r="C251" s="206" t="s">
        <v>123</v>
      </c>
      <c r="D251" s="206" t="s">
        <v>143</v>
      </c>
      <c r="E251" s="206" t="s">
        <v>142</v>
      </c>
      <c r="F251" s="206" t="s">
        <v>735</v>
      </c>
      <c r="G251" s="207">
        <v>67400</v>
      </c>
      <c r="H251" s="206" t="s">
        <v>88</v>
      </c>
      <c r="I251" s="206" t="s">
        <v>732</v>
      </c>
      <c r="J251" s="233">
        <v>0</v>
      </c>
      <c r="K251" s="233">
        <v>7.0270270270270274E-2</v>
      </c>
      <c r="L251" s="233">
        <v>0.87027027027027026</v>
      </c>
      <c r="M251" s="233">
        <v>1.0810810810810811E-2</v>
      </c>
      <c r="N251" s="233">
        <v>4.8648648648648651E-2</v>
      </c>
      <c r="O251" s="207">
        <v>62664</v>
      </c>
      <c r="P251" s="207">
        <f t="shared" si="9"/>
        <v>57065</v>
      </c>
      <c r="Q251" s="207">
        <v>3</v>
      </c>
      <c r="R251" s="207">
        <v>3</v>
      </c>
      <c r="U251" s="206">
        <v>0</v>
      </c>
      <c r="V251" s="206">
        <v>0</v>
      </c>
      <c r="W251" s="206">
        <v>1</v>
      </c>
      <c r="X251" s="206" t="e">
        <v>#DIV/0!</v>
      </c>
    </row>
    <row r="252" spans="1:24" x14ac:dyDescent="0.25">
      <c r="A252" s="206" t="str">
        <f t="shared" si="8"/>
        <v>SD06110Non-hosting Population</v>
      </c>
      <c r="B252" s="206" t="s">
        <v>141</v>
      </c>
      <c r="C252" s="206" t="s">
        <v>123</v>
      </c>
      <c r="D252" s="206" t="s">
        <v>143</v>
      </c>
      <c r="E252" s="206" t="s">
        <v>142</v>
      </c>
      <c r="F252" s="206" t="s">
        <v>735</v>
      </c>
      <c r="G252" s="207">
        <v>0</v>
      </c>
      <c r="H252" s="206" t="s">
        <v>568</v>
      </c>
      <c r="I252" s="206" t="s">
        <v>731</v>
      </c>
      <c r="J252" s="233">
        <v>0</v>
      </c>
      <c r="K252" s="233">
        <v>7.0270270270270274E-2</v>
      </c>
      <c r="L252" s="233">
        <v>0.87027027027027026</v>
      </c>
      <c r="M252" s="233">
        <v>1.0810810810810811E-2</v>
      </c>
      <c r="N252" s="233">
        <v>4.8648648648648651E-2</v>
      </c>
      <c r="O252" s="207">
        <v>0</v>
      </c>
      <c r="P252" s="207">
        <f t="shared" si="9"/>
        <v>0</v>
      </c>
      <c r="Q252" s="207">
        <v>3</v>
      </c>
      <c r="R252" s="207">
        <v>3</v>
      </c>
      <c r="U252" s="206" t="e">
        <v>#DIV/0!</v>
      </c>
      <c r="V252" s="206" t="e">
        <v>#DIV/0!</v>
      </c>
      <c r="W252" s="206">
        <v>1</v>
      </c>
      <c r="X252" s="206" t="e">
        <v>#DIV/0!</v>
      </c>
    </row>
    <row r="253" spans="1:24" x14ac:dyDescent="0.25">
      <c r="A253" s="206" t="str">
        <f t="shared" si="8"/>
        <v>SD06112Host Community</v>
      </c>
      <c r="B253" s="206" t="s">
        <v>141</v>
      </c>
      <c r="C253" s="206" t="s">
        <v>123</v>
      </c>
      <c r="D253" s="206" t="s">
        <v>146</v>
      </c>
      <c r="E253" s="206" t="s">
        <v>145</v>
      </c>
      <c r="F253" s="206" t="s">
        <v>735</v>
      </c>
      <c r="G253" s="207">
        <v>28525</v>
      </c>
      <c r="H253" s="206" t="s">
        <v>87</v>
      </c>
      <c r="I253" s="206" t="s">
        <v>731</v>
      </c>
      <c r="J253" s="233">
        <v>2.4390243902439025E-2</v>
      </c>
      <c r="K253" s="233">
        <v>0.31707317073170732</v>
      </c>
      <c r="L253" s="233">
        <v>0.64878048780487807</v>
      </c>
      <c r="M253" s="233">
        <v>0</v>
      </c>
      <c r="N253" s="233">
        <v>9.7560975609756097E-3</v>
      </c>
      <c r="O253" s="207">
        <v>18785</v>
      </c>
      <c r="P253" s="207">
        <f t="shared" si="9"/>
        <v>17107</v>
      </c>
      <c r="Q253" s="207">
        <v>3</v>
      </c>
      <c r="R253" s="207">
        <v>3</v>
      </c>
      <c r="U253" s="206">
        <v>0</v>
      </c>
      <c r="V253" s="206">
        <v>0</v>
      </c>
      <c r="W253" s="206">
        <v>1</v>
      </c>
      <c r="X253" s="206" t="e">
        <v>#DIV/0!</v>
      </c>
    </row>
    <row r="254" spans="1:24" x14ac:dyDescent="0.25">
      <c r="A254" s="206" t="str">
        <f t="shared" si="8"/>
        <v>SD06112IDPs</v>
      </c>
      <c r="B254" s="206" t="s">
        <v>141</v>
      </c>
      <c r="C254" s="206" t="s">
        <v>123</v>
      </c>
      <c r="D254" s="206" t="s">
        <v>146</v>
      </c>
      <c r="E254" s="206" t="s">
        <v>145</v>
      </c>
      <c r="F254" s="206" t="s">
        <v>735</v>
      </c>
      <c r="G254" s="207">
        <v>28525</v>
      </c>
      <c r="H254" s="206" t="s">
        <v>88</v>
      </c>
      <c r="I254" s="206" t="s">
        <v>732</v>
      </c>
      <c r="J254" s="233">
        <v>2.4390243902439025E-2</v>
      </c>
      <c r="K254" s="233">
        <v>0.31707317073170732</v>
      </c>
      <c r="L254" s="233">
        <v>0.64878048780487807</v>
      </c>
      <c r="M254" s="233">
        <v>0</v>
      </c>
      <c r="N254" s="233">
        <v>9.7560975609756097E-3</v>
      </c>
      <c r="O254" s="207">
        <v>18785</v>
      </c>
      <c r="P254" s="207">
        <f t="shared" si="9"/>
        <v>17107</v>
      </c>
      <c r="Q254" s="207">
        <v>3</v>
      </c>
      <c r="R254" s="207">
        <v>3</v>
      </c>
      <c r="U254" s="206">
        <v>0</v>
      </c>
      <c r="V254" s="206">
        <v>0</v>
      </c>
      <c r="W254" s="206">
        <v>1</v>
      </c>
      <c r="X254" s="206" t="e">
        <v>#DIV/0!</v>
      </c>
    </row>
    <row r="255" spans="1:24" x14ac:dyDescent="0.25">
      <c r="A255" s="206" t="str">
        <f t="shared" si="8"/>
        <v>SD06112Non-hosting Population</v>
      </c>
      <c r="B255" s="206" t="s">
        <v>141</v>
      </c>
      <c r="C255" s="206" t="s">
        <v>123</v>
      </c>
      <c r="D255" s="206" t="s">
        <v>146</v>
      </c>
      <c r="E255" s="206" t="s">
        <v>145</v>
      </c>
      <c r="F255" s="206" t="s">
        <v>735</v>
      </c>
      <c r="G255" s="207">
        <v>13133</v>
      </c>
      <c r="H255" s="206" t="s">
        <v>568</v>
      </c>
      <c r="I255" s="206" t="s">
        <v>731</v>
      </c>
      <c r="J255" s="233">
        <v>2.4390243902439025E-2</v>
      </c>
      <c r="K255" s="233">
        <v>0.31707317073170732</v>
      </c>
      <c r="L255" s="233">
        <v>0.64878048780487807</v>
      </c>
      <c r="M255" s="233">
        <v>0</v>
      </c>
      <c r="N255" s="233">
        <v>9.7560975609756097E-3</v>
      </c>
      <c r="O255" s="207">
        <v>128</v>
      </c>
      <c r="P255" s="207">
        <f t="shared" si="9"/>
        <v>117</v>
      </c>
      <c r="Q255" s="207">
        <v>3</v>
      </c>
      <c r="R255" s="207">
        <v>3</v>
      </c>
      <c r="U255" s="206" t="e">
        <v>#DIV/0!</v>
      </c>
      <c r="V255" s="206" t="e">
        <v>#DIV/0!</v>
      </c>
      <c r="W255" s="206">
        <v>1</v>
      </c>
      <c r="X255" s="206" t="e">
        <v>#DIV/0!</v>
      </c>
    </row>
    <row r="256" spans="1:24" x14ac:dyDescent="0.25">
      <c r="A256" s="206" t="str">
        <f t="shared" si="8"/>
        <v>SD06130Host Community</v>
      </c>
      <c r="B256" s="206" t="s">
        <v>141</v>
      </c>
      <c r="C256" s="206" t="s">
        <v>123</v>
      </c>
      <c r="D256" s="206" t="s">
        <v>149</v>
      </c>
      <c r="E256" s="206" t="s">
        <v>148</v>
      </c>
      <c r="F256" s="206" t="s">
        <v>735</v>
      </c>
      <c r="G256" s="207">
        <v>15932</v>
      </c>
      <c r="H256" s="206" t="s">
        <v>87</v>
      </c>
      <c r="I256" s="206" t="s">
        <v>731</v>
      </c>
      <c r="J256" s="233">
        <v>0.30215827338129497</v>
      </c>
      <c r="K256" s="233">
        <v>0.46762589928057552</v>
      </c>
      <c r="L256" s="233">
        <v>0.15107913669064749</v>
      </c>
      <c r="M256" s="233">
        <v>0</v>
      </c>
      <c r="N256" s="233">
        <v>7.9136690647482008E-2</v>
      </c>
      <c r="O256" s="207">
        <v>3668</v>
      </c>
      <c r="P256" s="207">
        <f t="shared" si="9"/>
        <v>3340</v>
      </c>
      <c r="Q256" s="207">
        <v>3</v>
      </c>
      <c r="R256" s="207">
        <v>3</v>
      </c>
      <c r="U256" s="206" t="e">
        <v>#DIV/0!</v>
      </c>
      <c r="V256" s="206" t="e">
        <v>#DIV/0!</v>
      </c>
      <c r="W256" s="206">
        <v>1</v>
      </c>
      <c r="X256" s="206" t="e">
        <v>#DIV/0!</v>
      </c>
    </row>
    <row r="257" spans="1:24" x14ac:dyDescent="0.25">
      <c r="A257" s="206" t="str">
        <f t="shared" si="8"/>
        <v>SD06130IDPs</v>
      </c>
      <c r="B257" s="206" t="s">
        <v>141</v>
      </c>
      <c r="C257" s="206" t="s">
        <v>123</v>
      </c>
      <c r="D257" s="206" t="s">
        <v>149</v>
      </c>
      <c r="E257" s="206" t="s">
        <v>148</v>
      </c>
      <c r="F257" s="206" t="s">
        <v>735</v>
      </c>
      <c r="G257" s="207">
        <v>28750</v>
      </c>
      <c r="H257" s="206" t="s">
        <v>88</v>
      </c>
      <c r="I257" s="206" t="s">
        <v>732</v>
      </c>
      <c r="J257" s="233">
        <v>0.30215827338129497</v>
      </c>
      <c r="K257" s="233">
        <v>0.46762589928057552</v>
      </c>
      <c r="L257" s="233">
        <v>0.15107913669064749</v>
      </c>
      <c r="M257" s="233">
        <v>0</v>
      </c>
      <c r="N257" s="233">
        <v>7.9136690647482008E-2</v>
      </c>
      <c r="O257" s="207">
        <v>6619</v>
      </c>
      <c r="P257" s="207">
        <f t="shared" si="9"/>
        <v>6028</v>
      </c>
      <c r="Q257" s="207">
        <v>3</v>
      </c>
      <c r="R257" s="207">
        <v>3</v>
      </c>
      <c r="U257" s="206">
        <v>0</v>
      </c>
      <c r="V257" s="206">
        <v>0</v>
      </c>
      <c r="W257" s="206">
        <v>0</v>
      </c>
      <c r="X257" s="206" t="e">
        <v>#DIV/0!</v>
      </c>
    </row>
    <row r="258" spans="1:24" x14ac:dyDescent="0.25">
      <c r="A258" s="206" t="str">
        <f t="shared" si="8"/>
        <v>SD06130Non-hosting Population</v>
      </c>
      <c r="B258" s="206" t="s">
        <v>141</v>
      </c>
      <c r="C258" s="206" t="s">
        <v>123</v>
      </c>
      <c r="D258" s="206" t="s">
        <v>149</v>
      </c>
      <c r="E258" s="206" t="s">
        <v>148</v>
      </c>
      <c r="F258" s="206" t="s">
        <v>735</v>
      </c>
      <c r="G258" s="207">
        <v>0</v>
      </c>
      <c r="H258" s="206" t="s">
        <v>568</v>
      </c>
      <c r="I258" s="206" t="s">
        <v>731</v>
      </c>
      <c r="J258" s="233">
        <v>0.30215827338129497</v>
      </c>
      <c r="K258" s="233">
        <v>0.46762589928057552</v>
      </c>
      <c r="L258" s="233">
        <v>0.15107913669064749</v>
      </c>
      <c r="M258" s="233">
        <v>0</v>
      </c>
      <c r="N258" s="233">
        <v>7.9136690647482008E-2</v>
      </c>
      <c r="O258" s="207">
        <v>0</v>
      </c>
      <c r="P258" s="207">
        <f t="shared" si="9"/>
        <v>0</v>
      </c>
      <c r="Q258" s="207">
        <v>3</v>
      </c>
      <c r="R258" s="207">
        <v>3</v>
      </c>
      <c r="U258" s="206" t="e">
        <v>#DIV/0!</v>
      </c>
      <c r="V258" s="206" t="e">
        <v>#DIV/0!</v>
      </c>
      <c r="W258" s="206">
        <v>1</v>
      </c>
      <c r="X258" s="206" t="e">
        <v>#DIV/0!</v>
      </c>
    </row>
    <row r="259" spans="1:24" x14ac:dyDescent="0.25">
      <c r="A259" s="206" t="str">
        <f t="shared" si="8"/>
        <v>SD06131Host Community</v>
      </c>
      <c r="B259" s="206" t="s">
        <v>141</v>
      </c>
      <c r="C259" s="206" t="s">
        <v>123</v>
      </c>
      <c r="D259" s="206" t="s">
        <v>152</v>
      </c>
      <c r="E259" s="206" t="s">
        <v>151</v>
      </c>
      <c r="F259" s="206" t="s">
        <v>735</v>
      </c>
      <c r="G259" s="207">
        <v>32249</v>
      </c>
      <c r="H259" s="206" t="s">
        <v>87</v>
      </c>
      <c r="I259" s="206" t="s">
        <v>731</v>
      </c>
      <c r="J259" s="233">
        <v>3.5175879396984924E-2</v>
      </c>
      <c r="K259" s="233">
        <v>0.52763819095477382</v>
      </c>
      <c r="L259" s="233">
        <v>0.41708542713567837</v>
      </c>
      <c r="M259" s="233">
        <v>0</v>
      </c>
      <c r="N259" s="233">
        <v>2.0100502512562814E-2</v>
      </c>
      <c r="O259" s="207">
        <v>14099</v>
      </c>
      <c r="P259" s="207">
        <f t="shared" si="9"/>
        <v>12839</v>
      </c>
      <c r="Q259" s="207">
        <v>3</v>
      </c>
      <c r="R259" s="207">
        <v>3</v>
      </c>
      <c r="U259" s="206">
        <v>0</v>
      </c>
      <c r="V259" s="206">
        <v>0</v>
      </c>
      <c r="W259" s="206">
        <v>1</v>
      </c>
      <c r="X259" s="206" t="e">
        <v>#DIV/0!</v>
      </c>
    </row>
    <row r="260" spans="1:24" x14ac:dyDescent="0.25">
      <c r="A260" s="206" t="str">
        <f t="shared" si="8"/>
        <v>SD06131IDPs</v>
      </c>
      <c r="B260" s="206" t="s">
        <v>141</v>
      </c>
      <c r="C260" s="206" t="s">
        <v>123</v>
      </c>
      <c r="D260" s="206" t="s">
        <v>152</v>
      </c>
      <c r="E260" s="206" t="s">
        <v>151</v>
      </c>
      <c r="F260" s="206" t="s">
        <v>735</v>
      </c>
      <c r="G260" s="207">
        <v>82610</v>
      </c>
      <c r="H260" s="206" t="s">
        <v>88</v>
      </c>
      <c r="I260" s="206" t="s">
        <v>732</v>
      </c>
      <c r="J260" s="233">
        <v>3.5175879396984924E-2</v>
      </c>
      <c r="K260" s="233">
        <v>0.52763819095477382</v>
      </c>
      <c r="L260" s="233">
        <v>0.41708542713567837</v>
      </c>
      <c r="M260" s="233">
        <v>0</v>
      </c>
      <c r="N260" s="233">
        <v>2.0100502512562814E-2</v>
      </c>
      <c r="O260" s="207">
        <v>36116</v>
      </c>
      <c r="P260" s="207">
        <f t="shared" si="9"/>
        <v>32889</v>
      </c>
      <c r="Q260" s="207">
        <v>3</v>
      </c>
      <c r="R260" s="207">
        <v>3</v>
      </c>
      <c r="U260" s="206">
        <v>0</v>
      </c>
      <c r="V260" s="206">
        <v>0</v>
      </c>
      <c r="W260" s="206">
        <v>1</v>
      </c>
      <c r="X260" s="206" t="e">
        <v>#DIV/0!</v>
      </c>
    </row>
    <row r="261" spans="1:24" x14ac:dyDescent="0.25">
      <c r="A261" s="206" t="str">
        <f t="shared" si="8"/>
        <v>SD06131Non-hosting Population</v>
      </c>
      <c r="B261" s="206" t="s">
        <v>141</v>
      </c>
      <c r="C261" s="206" t="s">
        <v>123</v>
      </c>
      <c r="D261" s="206" t="s">
        <v>152</v>
      </c>
      <c r="E261" s="206" t="s">
        <v>151</v>
      </c>
      <c r="F261" s="206" t="s">
        <v>735</v>
      </c>
      <c r="G261" s="207">
        <v>0</v>
      </c>
      <c r="H261" s="206" t="s">
        <v>568</v>
      </c>
      <c r="I261" s="206" t="s">
        <v>731</v>
      </c>
      <c r="J261" s="233">
        <v>3.5175879396984924E-2</v>
      </c>
      <c r="K261" s="233">
        <v>0.52763819095477382</v>
      </c>
      <c r="L261" s="233">
        <v>0.41708542713567837</v>
      </c>
      <c r="M261" s="233">
        <v>0</v>
      </c>
      <c r="N261" s="233">
        <v>2.0100502512562814E-2</v>
      </c>
      <c r="O261" s="207">
        <v>0</v>
      </c>
      <c r="P261" s="207">
        <f t="shared" si="9"/>
        <v>0</v>
      </c>
      <c r="Q261" s="207">
        <v>3</v>
      </c>
      <c r="R261" s="207">
        <v>3</v>
      </c>
      <c r="U261" s="206" t="e">
        <v>#DIV/0!</v>
      </c>
      <c r="V261" s="206" t="e">
        <v>#DIV/0!</v>
      </c>
      <c r="W261" s="206">
        <v>1</v>
      </c>
      <c r="X261" s="206" t="e">
        <v>#DIV/0!</v>
      </c>
    </row>
    <row r="262" spans="1:24" x14ac:dyDescent="0.25">
      <c r="A262" s="206" t="str">
        <f t="shared" si="8"/>
        <v>SD06132Host Community</v>
      </c>
      <c r="B262" s="206" t="s">
        <v>141</v>
      </c>
      <c r="C262" s="206" t="s">
        <v>123</v>
      </c>
      <c r="D262" s="206" t="s">
        <v>154</v>
      </c>
      <c r="E262" s="206" t="s">
        <v>153</v>
      </c>
      <c r="F262" s="206" t="s">
        <v>735</v>
      </c>
      <c r="G262" s="207">
        <v>0</v>
      </c>
      <c r="H262" s="206" t="s">
        <v>87</v>
      </c>
      <c r="I262" s="206" t="s">
        <v>731</v>
      </c>
      <c r="J262" s="233">
        <v>2.4E-2</v>
      </c>
      <c r="K262" s="233">
        <v>0.38400000000000001</v>
      </c>
      <c r="L262" s="233">
        <v>0.54400000000000004</v>
      </c>
      <c r="M262" s="233">
        <v>2.4E-2</v>
      </c>
      <c r="N262" s="233">
        <v>2.4E-2</v>
      </c>
      <c r="O262" s="207">
        <v>0</v>
      </c>
      <c r="P262" s="207">
        <f t="shared" si="9"/>
        <v>0</v>
      </c>
      <c r="Q262" s="207">
        <v>3</v>
      </c>
      <c r="R262" s="207">
        <v>3</v>
      </c>
      <c r="U262" s="206" t="e">
        <v>#DIV/0!</v>
      </c>
      <c r="V262" s="206" t="e">
        <v>#DIV/0!</v>
      </c>
      <c r="W262" s="206">
        <v>0</v>
      </c>
      <c r="X262" s="206" t="e">
        <v>#DIV/0!</v>
      </c>
    </row>
    <row r="263" spans="1:24" x14ac:dyDescent="0.25">
      <c r="A263" s="206" t="str">
        <f t="shared" si="8"/>
        <v>SD06132IDPs</v>
      </c>
      <c r="B263" s="206" t="s">
        <v>141</v>
      </c>
      <c r="C263" s="206" t="s">
        <v>123</v>
      </c>
      <c r="D263" s="206" t="s">
        <v>154</v>
      </c>
      <c r="E263" s="206" t="s">
        <v>153</v>
      </c>
      <c r="F263" s="206" t="s">
        <v>735</v>
      </c>
      <c r="G263" s="207">
        <v>131357</v>
      </c>
      <c r="H263" s="206" t="s">
        <v>88</v>
      </c>
      <c r="I263" s="206" t="s">
        <v>732</v>
      </c>
      <c r="J263" s="233">
        <v>2.4E-2</v>
      </c>
      <c r="K263" s="233">
        <v>0.38400000000000001</v>
      </c>
      <c r="L263" s="233">
        <v>0.54400000000000004</v>
      </c>
      <c r="M263" s="233">
        <v>2.4E-2</v>
      </c>
      <c r="N263" s="233">
        <v>2.4E-2</v>
      </c>
      <c r="O263" s="207">
        <v>77763</v>
      </c>
      <c r="P263" s="207">
        <f t="shared" si="9"/>
        <v>70815</v>
      </c>
      <c r="Q263" s="207">
        <v>3</v>
      </c>
      <c r="R263" s="207">
        <v>3</v>
      </c>
      <c r="U263" s="206">
        <v>0</v>
      </c>
      <c r="V263" s="206">
        <v>0</v>
      </c>
      <c r="W263" s="206">
        <v>0</v>
      </c>
      <c r="X263" s="206" t="e">
        <v>#DIV/0!</v>
      </c>
    </row>
    <row r="264" spans="1:24" x14ac:dyDescent="0.25">
      <c r="A264" s="206" t="str">
        <f t="shared" si="8"/>
        <v>SD06132Non-hosting Population</v>
      </c>
      <c r="B264" s="206" t="s">
        <v>141</v>
      </c>
      <c r="C264" s="206" t="s">
        <v>123</v>
      </c>
      <c r="D264" s="206" t="s">
        <v>154</v>
      </c>
      <c r="E264" s="206" t="s">
        <v>153</v>
      </c>
      <c r="F264" s="206" t="s">
        <v>735</v>
      </c>
      <c r="G264" s="207">
        <v>0</v>
      </c>
      <c r="H264" s="206" t="s">
        <v>568</v>
      </c>
      <c r="I264" s="206" t="s">
        <v>731</v>
      </c>
      <c r="J264" s="233">
        <v>2.4E-2</v>
      </c>
      <c r="K264" s="233">
        <v>0.38400000000000001</v>
      </c>
      <c r="L264" s="233">
        <v>0.54400000000000004</v>
      </c>
      <c r="M264" s="233">
        <v>2.4E-2</v>
      </c>
      <c r="N264" s="233">
        <v>2.4E-2</v>
      </c>
      <c r="O264" s="207">
        <v>0</v>
      </c>
      <c r="P264" s="207">
        <f t="shared" si="9"/>
        <v>0</v>
      </c>
      <c r="Q264" s="207">
        <v>3</v>
      </c>
      <c r="R264" s="207">
        <v>3</v>
      </c>
      <c r="U264" s="206" t="e">
        <v>#DIV/0!</v>
      </c>
      <c r="V264" s="206" t="e">
        <v>#DIV/0!</v>
      </c>
      <c r="W264" s="206">
        <v>0</v>
      </c>
      <c r="X264" s="206" t="e">
        <v>#DIV/0!</v>
      </c>
    </row>
    <row r="265" spans="1:24" x14ac:dyDescent="0.25">
      <c r="A265" s="206" t="str">
        <f t="shared" si="8"/>
        <v>SD06135Host Community</v>
      </c>
      <c r="B265" s="206" t="s">
        <v>141</v>
      </c>
      <c r="C265" s="206" t="s">
        <v>123</v>
      </c>
      <c r="D265" s="206" t="s">
        <v>157</v>
      </c>
      <c r="E265" s="206" t="s">
        <v>156</v>
      </c>
      <c r="F265" s="206" t="s">
        <v>735</v>
      </c>
      <c r="G265" s="207">
        <v>37755</v>
      </c>
      <c r="H265" s="206" t="s">
        <v>87</v>
      </c>
      <c r="I265" s="206" t="s">
        <v>731</v>
      </c>
      <c r="J265" s="233">
        <v>0.13020833333333334</v>
      </c>
      <c r="K265" s="233">
        <v>0.33333333333333331</v>
      </c>
      <c r="L265" s="233">
        <v>0.39583333333333331</v>
      </c>
      <c r="M265" s="233">
        <v>1.5625E-2</v>
      </c>
      <c r="N265" s="233">
        <v>0.125</v>
      </c>
      <c r="O265" s="207">
        <v>20254</v>
      </c>
      <c r="P265" s="207">
        <f t="shared" si="9"/>
        <v>18444</v>
      </c>
      <c r="Q265" s="207">
        <v>3</v>
      </c>
      <c r="R265" s="207">
        <v>3</v>
      </c>
      <c r="U265" s="206" t="e">
        <v>#DIV/0!</v>
      </c>
      <c r="V265" s="206" t="e">
        <v>#DIV/0!</v>
      </c>
      <c r="W265" s="206">
        <v>0</v>
      </c>
      <c r="X265" s="206" t="e">
        <v>#DIV/0!</v>
      </c>
    </row>
    <row r="266" spans="1:24" x14ac:dyDescent="0.25">
      <c r="A266" s="206" t="str">
        <f t="shared" si="8"/>
        <v>SD06135IDPs</v>
      </c>
      <c r="B266" s="206" t="s">
        <v>141</v>
      </c>
      <c r="C266" s="206" t="s">
        <v>123</v>
      </c>
      <c r="D266" s="206" t="s">
        <v>157</v>
      </c>
      <c r="E266" s="206" t="s">
        <v>156</v>
      </c>
      <c r="F266" s="206" t="s">
        <v>735</v>
      </c>
      <c r="G266" s="207">
        <v>62030</v>
      </c>
      <c r="H266" s="206" t="s">
        <v>88</v>
      </c>
      <c r="I266" s="206" t="s">
        <v>732</v>
      </c>
      <c r="J266" s="233">
        <v>0.13020833333333334</v>
      </c>
      <c r="K266" s="233">
        <v>0.33333333333333331</v>
      </c>
      <c r="L266" s="233">
        <v>0.39583333333333331</v>
      </c>
      <c r="M266" s="233">
        <v>1.5625E-2</v>
      </c>
      <c r="N266" s="233">
        <v>0.125</v>
      </c>
      <c r="O266" s="207">
        <v>33277</v>
      </c>
      <c r="P266" s="207">
        <f t="shared" si="9"/>
        <v>30304</v>
      </c>
      <c r="Q266" s="207">
        <v>3</v>
      </c>
      <c r="R266" s="207">
        <v>3</v>
      </c>
      <c r="U266" s="206">
        <v>0</v>
      </c>
      <c r="V266" s="206">
        <v>0</v>
      </c>
      <c r="W266" s="206">
        <v>1</v>
      </c>
      <c r="X266" s="206" t="e">
        <v>#DIV/0!</v>
      </c>
    </row>
    <row r="267" spans="1:24" x14ac:dyDescent="0.25">
      <c r="A267" s="206" t="str">
        <f t="shared" ref="A267:A330" si="11">CONCATENATE(E267,H267)</f>
        <v>SD06135Non-hosting Population</v>
      </c>
      <c r="B267" s="206" t="s">
        <v>141</v>
      </c>
      <c r="C267" s="206" t="s">
        <v>123</v>
      </c>
      <c r="D267" s="206" t="s">
        <v>157</v>
      </c>
      <c r="E267" s="206" t="s">
        <v>156</v>
      </c>
      <c r="F267" s="206" t="s">
        <v>735</v>
      </c>
      <c r="G267" s="207">
        <v>0</v>
      </c>
      <c r="H267" s="206" t="s">
        <v>568</v>
      </c>
      <c r="I267" s="206" t="s">
        <v>731</v>
      </c>
      <c r="J267" s="233">
        <v>0.13020833333333334</v>
      </c>
      <c r="K267" s="233">
        <v>0.33333333333333331</v>
      </c>
      <c r="L267" s="233">
        <v>0.39583333333333331</v>
      </c>
      <c r="M267" s="233">
        <v>1.5625E-2</v>
      </c>
      <c r="N267" s="233">
        <v>0.125</v>
      </c>
      <c r="O267" s="207">
        <v>0</v>
      </c>
      <c r="P267" s="207">
        <f t="shared" ref="P267:P330" si="12">ROUND(O267*$AB$5,0)</f>
        <v>0</v>
      </c>
      <c r="Q267" s="207">
        <v>3</v>
      </c>
      <c r="R267" s="207">
        <v>3</v>
      </c>
      <c r="U267" s="206" t="e">
        <v>#DIV/0!</v>
      </c>
      <c r="V267" s="206" t="e">
        <v>#DIV/0!</v>
      </c>
      <c r="W267" s="206">
        <v>0</v>
      </c>
      <c r="X267" s="206" t="e">
        <v>#DIV/0!</v>
      </c>
    </row>
    <row r="268" spans="1:24" x14ac:dyDescent="0.25">
      <c r="A268" s="206" t="str">
        <f t="shared" si="11"/>
        <v>SD06137Host Community</v>
      </c>
      <c r="B268" s="206" t="s">
        <v>141</v>
      </c>
      <c r="C268" s="206" t="s">
        <v>123</v>
      </c>
      <c r="D268" s="206" t="s">
        <v>160</v>
      </c>
      <c r="E268" s="206" t="s">
        <v>159</v>
      </c>
      <c r="F268" s="206" t="s">
        <v>735</v>
      </c>
      <c r="G268" s="207">
        <v>0</v>
      </c>
      <c r="H268" s="206" t="s">
        <v>87</v>
      </c>
      <c r="I268" s="206" t="s">
        <v>731</v>
      </c>
      <c r="J268" s="233">
        <v>0.125</v>
      </c>
      <c r="K268" s="233">
        <v>0.435</v>
      </c>
      <c r="L268" s="233">
        <v>0.375</v>
      </c>
      <c r="M268" s="233">
        <v>0.06</v>
      </c>
      <c r="N268" s="233">
        <v>5.0000000000000001E-3</v>
      </c>
      <c r="O268" s="207">
        <v>0</v>
      </c>
      <c r="P268" s="207">
        <f t="shared" si="12"/>
        <v>0</v>
      </c>
      <c r="Q268" s="207">
        <v>3</v>
      </c>
      <c r="R268" s="207">
        <v>3</v>
      </c>
      <c r="U268" s="206" t="e">
        <v>#DIV/0!</v>
      </c>
      <c r="V268" s="206" t="e">
        <v>#DIV/0!</v>
      </c>
      <c r="W268" s="206">
        <v>0</v>
      </c>
      <c r="X268" s="206" t="e">
        <v>#DIV/0!</v>
      </c>
    </row>
    <row r="269" spans="1:24" x14ac:dyDescent="0.25">
      <c r="A269" s="206" t="str">
        <f t="shared" si="11"/>
        <v>SD06137IDPs</v>
      </c>
      <c r="B269" s="206" t="s">
        <v>141</v>
      </c>
      <c r="C269" s="206" t="s">
        <v>123</v>
      </c>
      <c r="D269" s="206" t="s">
        <v>160</v>
      </c>
      <c r="E269" s="206" t="s">
        <v>159</v>
      </c>
      <c r="F269" s="206" t="s">
        <v>735</v>
      </c>
      <c r="G269" s="207">
        <v>85993</v>
      </c>
      <c r="H269" s="206" t="s">
        <v>88</v>
      </c>
      <c r="I269" s="206" t="s">
        <v>732</v>
      </c>
      <c r="J269" s="233">
        <v>0.125</v>
      </c>
      <c r="K269" s="233">
        <v>0.435</v>
      </c>
      <c r="L269" s="233">
        <v>0.375</v>
      </c>
      <c r="M269" s="233">
        <v>0.06</v>
      </c>
      <c r="N269" s="233">
        <v>5.0000000000000001E-3</v>
      </c>
      <c r="O269" s="207">
        <v>37837</v>
      </c>
      <c r="P269" s="207">
        <f t="shared" si="12"/>
        <v>34456</v>
      </c>
      <c r="Q269" s="207">
        <v>3</v>
      </c>
      <c r="R269" s="207">
        <v>3</v>
      </c>
      <c r="U269" s="206">
        <v>0</v>
      </c>
      <c r="V269" s="206">
        <v>0</v>
      </c>
      <c r="W269" s="206">
        <v>1</v>
      </c>
      <c r="X269" s="206" t="e">
        <v>#DIV/0!</v>
      </c>
    </row>
    <row r="270" spans="1:24" x14ac:dyDescent="0.25">
      <c r="A270" s="206" t="str">
        <f t="shared" si="11"/>
        <v>SD06137Non-hosting Population</v>
      </c>
      <c r="B270" s="206" t="s">
        <v>141</v>
      </c>
      <c r="C270" s="206" t="s">
        <v>123</v>
      </c>
      <c r="D270" s="206" t="s">
        <v>160</v>
      </c>
      <c r="E270" s="206" t="s">
        <v>159</v>
      </c>
      <c r="F270" s="206" t="s">
        <v>735</v>
      </c>
      <c r="G270" s="207">
        <v>0</v>
      </c>
      <c r="H270" s="206" t="s">
        <v>568</v>
      </c>
      <c r="I270" s="206" t="s">
        <v>731</v>
      </c>
      <c r="J270" s="233">
        <v>0.125</v>
      </c>
      <c r="K270" s="233">
        <v>0.435</v>
      </c>
      <c r="L270" s="233">
        <v>0.375</v>
      </c>
      <c r="M270" s="233">
        <v>0.06</v>
      </c>
      <c r="N270" s="233">
        <v>5.0000000000000001E-3</v>
      </c>
      <c r="O270" s="207">
        <v>0</v>
      </c>
      <c r="P270" s="207">
        <f t="shared" si="12"/>
        <v>0</v>
      </c>
      <c r="Q270" s="207">
        <v>3</v>
      </c>
      <c r="R270" s="207">
        <v>3</v>
      </c>
      <c r="U270" s="206" t="e">
        <v>#DIV/0!</v>
      </c>
      <c r="V270" s="206" t="e">
        <v>#DIV/0!</v>
      </c>
      <c r="W270" s="206">
        <v>0</v>
      </c>
      <c r="X270" s="206" t="e">
        <v>#DIV/0!</v>
      </c>
    </row>
    <row r="271" spans="1:24" x14ac:dyDescent="0.25">
      <c r="A271" s="206" t="str">
        <f t="shared" si="11"/>
        <v>SD06138Host Community</v>
      </c>
      <c r="B271" s="206" t="s">
        <v>141</v>
      </c>
      <c r="C271" s="206" t="s">
        <v>123</v>
      </c>
      <c r="D271" s="206" t="s">
        <v>163</v>
      </c>
      <c r="E271" s="206" t="s">
        <v>162</v>
      </c>
      <c r="F271" s="206" t="s">
        <v>735</v>
      </c>
      <c r="G271" s="207">
        <v>0</v>
      </c>
      <c r="H271" s="206" t="s">
        <v>87</v>
      </c>
      <c r="I271" s="206" t="s">
        <v>731</v>
      </c>
      <c r="J271" s="233">
        <v>0.11377245508982035</v>
      </c>
      <c r="K271" s="233">
        <v>0.18562874251497005</v>
      </c>
      <c r="L271" s="233">
        <v>0.42514970059880242</v>
      </c>
      <c r="M271" s="233">
        <v>7.1856287425149698E-2</v>
      </c>
      <c r="N271" s="233">
        <v>0.20359281437125748</v>
      </c>
      <c r="O271" s="207">
        <v>0</v>
      </c>
      <c r="P271" s="207">
        <f t="shared" si="12"/>
        <v>0</v>
      </c>
      <c r="Q271" s="207">
        <v>5</v>
      </c>
      <c r="R271" s="207">
        <v>4</v>
      </c>
      <c r="U271" s="206">
        <v>0</v>
      </c>
      <c r="V271" s="206">
        <v>1</v>
      </c>
      <c r="W271" s="206">
        <v>1</v>
      </c>
      <c r="X271" s="206" t="e">
        <v>#DIV/0!</v>
      </c>
    </row>
    <row r="272" spans="1:24" x14ac:dyDescent="0.25">
      <c r="A272" s="206" t="str">
        <f t="shared" si="11"/>
        <v>SD06138IDPs</v>
      </c>
      <c r="B272" s="206" t="s">
        <v>141</v>
      </c>
      <c r="C272" s="206" t="s">
        <v>123</v>
      </c>
      <c r="D272" s="206" t="s">
        <v>163</v>
      </c>
      <c r="E272" s="206" t="s">
        <v>162</v>
      </c>
      <c r="F272" s="206" t="s">
        <v>735</v>
      </c>
      <c r="G272" s="207">
        <v>216688</v>
      </c>
      <c r="H272" s="206" t="s">
        <v>88</v>
      </c>
      <c r="I272" s="206" t="s">
        <v>732</v>
      </c>
      <c r="J272" s="233">
        <v>0.11377245508982035</v>
      </c>
      <c r="K272" s="233">
        <v>0.18562874251497005</v>
      </c>
      <c r="L272" s="233">
        <v>0.42514970059880242</v>
      </c>
      <c r="M272" s="233">
        <v>7.1856287425149698E-2</v>
      </c>
      <c r="N272" s="233">
        <v>0.20359281437125748</v>
      </c>
      <c r="O272" s="207">
        <v>151811</v>
      </c>
      <c r="P272" s="207">
        <f t="shared" si="12"/>
        <v>138246</v>
      </c>
      <c r="Q272" s="207">
        <v>5</v>
      </c>
      <c r="R272" s="207">
        <v>4</v>
      </c>
      <c r="U272" s="206">
        <v>0</v>
      </c>
      <c r="V272" s="206">
        <v>1</v>
      </c>
      <c r="W272" s="206">
        <v>1</v>
      </c>
      <c r="X272" s="206" t="e">
        <v>#DIV/0!</v>
      </c>
    </row>
    <row r="273" spans="1:24" x14ac:dyDescent="0.25">
      <c r="A273" s="206" t="str">
        <f t="shared" si="11"/>
        <v>SD06138Non-hosting Population</v>
      </c>
      <c r="B273" s="206" t="s">
        <v>141</v>
      </c>
      <c r="C273" s="206" t="s">
        <v>123</v>
      </c>
      <c r="D273" s="206" t="s">
        <v>163</v>
      </c>
      <c r="E273" s="206" t="s">
        <v>162</v>
      </c>
      <c r="F273" s="206" t="s">
        <v>735</v>
      </c>
      <c r="G273" s="207">
        <v>0</v>
      </c>
      <c r="H273" s="206" t="s">
        <v>568</v>
      </c>
      <c r="I273" s="206" t="s">
        <v>731</v>
      </c>
      <c r="J273" s="233">
        <v>0.11377245508982035</v>
      </c>
      <c r="K273" s="233">
        <v>0.18562874251497005</v>
      </c>
      <c r="L273" s="233">
        <v>0.42514970059880242</v>
      </c>
      <c r="M273" s="233">
        <v>7.1856287425149698E-2</v>
      </c>
      <c r="N273" s="233">
        <v>0.20359281437125748</v>
      </c>
      <c r="O273" s="207">
        <v>0</v>
      </c>
      <c r="P273" s="207">
        <f t="shared" si="12"/>
        <v>0</v>
      </c>
      <c r="Q273" s="207">
        <v>5</v>
      </c>
      <c r="R273" s="207">
        <v>4</v>
      </c>
      <c r="U273" s="206">
        <v>0</v>
      </c>
      <c r="V273" s="206">
        <v>1</v>
      </c>
      <c r="W273" s="206">
        <v>1</v>
      </c>
      <c r="X273" s="206" t="e">
        <v>#DIV/0!</v>
      </c>
    </row>
    <row r="274" spans="1:24" x14ac:dyDescent="0.25">
      <c r="A274" s="206" t="str">
        <f t="shared" si="11"/>
        <v>SD06139Host Community</v>
      </c>
      <c r="B274" s="206" t="s">
        <v>141</v>
      </c>
      <c r="C274" s="206" t="s">
        <v>123</v>
      </c>
      <c r="D274" s="206" t="s">
        <v>166</v>
      </c>
      <c r="E274" s="206" t="s">
        <v>165</v>
      </c>
      <c r="F274" s="206" t="s">
        <v>735</v>
      </c>
      <c r="G274" s="207">
        <v>0</v>
      </c>
      <c r="H274" s="206" t="s">
        <v>87</v>
      </c>
      <c r="I274" s="206" t="s">
        <v>731</v>
      </c>
      <c r="J274" s="233">
        <v>2.2222222222222223E-2</v>
      </c>
      <c r="K274" s="233">
        <v>7.2222222222222215E-2</v>
      </c>
      <c r="L274" s="233">
        <v>0.88888888888888884</v>
      </c>
      <c r="M274" s="233">
        <v>5.5555555555555558E-3</v>
      </c>
      <c r="N274" s="233">
        <v>1.1111111111111112E-2</v>
      </c>
      <c r="O274" s="207">
        <v>0</v>
      </c>
      <c r="P274" s="207">
        <f t="shared" si="12"/>
        <v>0</v>
      </c>
      <c r="Q274" s="207">
        <v>3</v>
      </c>
      <c r="R274" s="207">
        <v>3</v>
      </c>
      <c r="U274" s="206" t="e">
        <v>#DIV/0!</v>
      </c>
      <c r="V274" s="206" t="e">
        <v>#DIV/0!</v>
      </c>
      <c r="W274" s="206">
        <v>0</v>
      </c>
      <c r="X274" s="206" t="e">
        <v>#DIV/0!</v>
      </c>
    </row>
    <row r="275" spans="1:24" x14ac:dyDescent="0.25">
      <c r="A275" s="206" t="str">
        <f t="shared" si="11"/>
        <v>SD06139IDPs</v>
      </c>
      <c r="B275" s="206" t="s">
        <v>141</v>
      </c>
      <c r="C275" s="206" t="s">
        <v>123</v>
      </c>
      <c r="D275" s="206" t="s">
        <v>166</v>
      </c>
      <c r="E275" s="206" t="s">
        <v>165</v>
      </c>
      <c r="F275" s="206" t="s">
        <v>735</v>
      </c>
      <c r="G275" s="207">
        <v>169210</v>
      </c>
      <c r="H275" s="206" t="s">
        <v>88</v>
      </c>
      <c r="I275" s="206" t="s">
        <v>732</v>
      </c>
      <c r="J275" s="233">
        <v>2.2222222222222223E-2</v>
      </c>
      <c r="K275" s="233">
        <v>7.2222222222222215E-2</v>
      </c>
      <c r="L275" s="233">
        <v>0.88888888888888884</v>
      </c>
      <c r="M275" s="233">
        <v>5.5555555555555558E-3</v>
      </c>
      <c r="N275" s="233">
        <v>1.1111111111111112E-2</v>
      </c>
      <c r="O275" s="207">
        <v>153229</v>
      </c>
      <c r="P275" s="207">
        <f t="shared" si="12"/>
        <v>139538</v>
      </c>
      <c r="Q275" s="207">
        <v>3</v>
      </c>
      <c r="R275" s="207">
        <v>3</v>
      </c>
      <c r="U275" s="206">
        <v>0</v>
      </c>
      <c r="V275" s="206">
        <v>0</v>
      </c>
      <c r="W275" s="206">
        <v>0</v>
      </c>
      <c r="X275" s="206" t="e">
        <v>#DIV/0!</v>
      </c>
    </row>
    <row r="276" spans="1:24" x14ac:dyDescent="0.25">
      <c r="A276" s="206" t="str">
        <f t="shared" si="11"/>
        <v>SD06139Non-hosting Population</v>
      </c>
      <c r="B276" s="206" t="s">
        <v>141</v>
      </c>
      <c r="C276" s="206" t="s">
        <v>123</v>
      </c>
      <c r="D276" s="206" t="s">
        <v>166</v>
      </c>
      <c r="E276" s="206" t="s">
        <v>165</v>
      </c>
      <c r="F276" s="206" t="s">
        <v>735</v>
      </c>
      <c r="G276" s="207">
        <v>0</v>
      </c>
      <c r="H276" s="206" t="s">
        <v>568</v>
      </c>
      <c r="I276" s="206" t="s">
        <v>731</v>
      </c>
      <c r="J276" s="233">
        <v>2.2222222222222223E-2</v>
      </c>
      <c r="K276" s="233">
        <v>7.2222222222222215E-2</v>
      </c>
      <c r="L276" s="233">
        <v>0.88888888888888884</v>
      </c>
      <c r="M276" s="233">
        <v>5.5555555555555558E-3</v>
      </c>
      <c r="N276" s="233">
        <v>1.1111111111111112E-2</v>
      </c>
      <c r="O276" s="207">
        <v>0</v>
      </c>
      <c r="P276" s="207">
        <f t="shared" si="12"/>
        <v>0</v>
      </c>
      <c r="Q276" s="207">
        <v>3</v>
      </c>
      <c r="R276" s="207">
        <v>3</v>
      </c>
      <c r="U276" s="206" t="e">
        <v>#DIV/0!</v>
      </c>
      <c r="V276" s="206" t="e">
        <v>#DIV/0!</v>
      </c>
      <c r="W276" s="206">
        <v>0</v>
      </c>
      <c r="X276" s="206" t="e">
        <v>#DIV/0!</v>
      </c>
    </row>
    <row r="277" spans="1:24" x14ac:dyDescent="0.25">
      <c r="A277" s="206" t="str">
        <f t="shared" si="11"/>
        <v>SD07088Host Community</v>
      </c>
      <c r="B277" s="206" t="s">
        <v>188</v>
      </c>
      <c r="C277" s="206" t="s">
        <v>124</v>
      </c>
      <c r="D277" s="206" t="s">
        <v>336</v>
      </c>
      <c r="E277" s="206" t="s">
        <v>337</v>
      </c>
      <c r="F277" s="206" t="s">
        <v>735</v>
      </c>
      <c r="G277" s="207">
        <v>67940</v>
      </c>
      <c r="H277" s="206" t="s">
        <v>87</v>
      </c>
      <c r="I277" s="206" t="s">
        <v>731</v>
      </c>
      <c r="J277" s="233">
        <v>0.21527777777777779</v>
      </c>
      <c r="K277" s="233">
        <v>0.25694444444444442</v>
      </c>
      <c r="L277" s="233">
        <v>0.47222222222222221</v>
      </c>
      <c r="M277" s="233">
        <v>0</v>
      </c>
      <c r="N277" s="233">
        <v>5.5555555555555552E-2</v>
      </c>
      <c r="O277" s="207">
        <v>35857</v>
      </c>
      <c r="P277" s="207">
        <f t="shared" si="12"/>
        <v>32653</v>
      </c>
      <c r="Q277" s="207">
        <v>3</v>
      </c>
      <c r="R277" s="207">
        <v>3</v>
      </c>
      <c r="U277" s="206">
        <v>0</v>
      </c>
      <c r="V277" s="206">
        <v>0</v>
      </c>
      <c r="W277" s="206">
        <v>1</v>
      </c>
      <c r="X277" s="206" t="e">
        <v>#DIV/0!</v>
      </c>
    </row>
    <row r="278" spans="1:24" x14ac:dyDescent="0.25">
      <c r="A278" s="206" t="str">
        <f t="shared" si="11"/>
        <v>SD07088IDPs</v>
      </c>
      <c r="B278" s="206" t="s">
        <v>188</v>
      </c>
      <c r="C278" s="206" t="s">
        <v>124</v>
      </c>
      <c r="D278" s="206" t="s">
        <v>336</v>
      </c>
      <c r="E278" s="206" t="s">
        <v>337</v>
      </c>
      <c r="F278" s="206" t="s">
        <v>735</v>
      </c>
      <c r="G278" s="207">
        <v>58100</v>
      </c>
      <c r="H278" s="206" t="s">
        <v>88</v>
      </c>
      <c r="I278" s="206" t="s">
        <v>732</v>
      </c>
      <c r="J278" s="233">
        <v>0.21527777777777779</v>
      </c>
      <c r="K278" s="233">
        <v>0.25694444444444442</v>
      </c>
      <c r="L278" s="233">
        <v>0.47222222222222221</v>
      </c>
      <c r="M278" s="233">
        <v>0</v>
      </c>
      <c r="N278" s="233">
        <v>5.5555555555555552E-2</v>
      </c>
      <c r="O278" s="207">
        <v>30664</v>
      </c>
      <c r="P278" s="207">
        <f t="shared" si="12"/>
        <v>27924</v>
      </c>
      <c r="Q278" s="207">
        <v>3</v>
      </c>
      <c r="R278" s="207">
        <v>3</v>
      </c>
      <c r="U278" s="206">
        <v>0</v>
      </c>
      <c r="V278" s="206">
        <v>0</v>
      </c>
      <c r="W278" s="206">
        <v>1</v>
      </c>
      <c r="X278" s="206" t="e">
        <v>#DIV/0!</v>
      </c>
    </row>
    <row r="279" spans="1:24" x14ac:dyDescent="0.25">
      <c r="A279" s="206" t="str">
        <f t="shared" si="11"/>
        <v>SD07088Non-hosting Population</v>
      </c>
      <c r="B279" s="206" t="s">
        <v>188</v>
      </c>
      <c r="C279" s="206" t="s">
        <v>124</v>
      </c>
      <c r="D279" s="206" t="s">
        <v>336</v>
      </c>
      <c r="E279" s="206" t="s">
        <v>337</v>
      </c>
      <c r="F279" s="206" t="s">
        <v>735</v>
      </c>
      <c r="G279" s="207">
        <v>17941</v>
      </c>
      <c r="H279" s="206" t="s">
        <v>568</v>
      </c>
      <c r="I279" s="206" t="s">
        <v>731</v>
      </c>
      <c r="J279" s="233">
        <v>0.21527777777777779</v>
      </c>
      <c r="K279" s="233">
        <v>0.25694444444444442</v>
      </c>
      <c r="L279" s="233">
        <v>0.47222222222222221</v>
      </c>
      <c r="M279" s="233">
        <v>0</v>
      </c>
      <c r="N279" s="233">
        <v>5.5555555555555552E-2</v>
      </c>
      <c r="O279" s="207">
        <v>997</v>
      </c>
      <c r="P279" s="207">
        <f t="shared" si="12"/>
        <v>908</v>
      </c>
      <c r="Q279" s="207">
        <v>3</v>
      </c>
      <c r="R279" s="207">
        <v>3</v>
      </c>
      <c r="U279" s="206" t="e">
        <v>#DIV/0!</v>
      </c>
      <c r="V279" s="206" t="e">
        <v>#DIV/0!</v>
      </c>
      <c r="W279" s="206">
        <v>1</v>
      </c>
      <c r="X279" s="206" t="e">
        <v>#DIV/0!</v>
      </c>
    </row>
    <row r="280" spans="1:24" x14ac:dyDescent="0.25">
      <c r="A280" s="206" t="str">
        <f t="shared" si="11"/>
        <v>SD07089Host Community</v>
      </c>
      <c r="B280" s="206" t="s">
        <v>188</v>
      </c>
      <c r="C280" s="206" t="s">
        <v>124</v>
      </c>
      <c r="D280" s="206" t="s">
        <v>338</v>
      </c>
      <c r="E280" s="206" t="s">
        <v>339</v>
      </c>
      <c r="F280" s="206" t="s">
        <v>735</v>
      </c>
      <c r="G280" s="207">
        <v>0</v>
      </c>
      <c r="H280" s="206" t="s">
        <v>87</v>
      </c>
      <c r="I280" s="206" t="s">
        <v>731</v>
      </c>
      <c r="J280" s="233">
        <v>0.25</v>
      </c>
      <c r="K280" s="233">
        <v>0.27142857142857141</v>
      </c>
      <c r="L280" s="233">
        <v>0.42857142857142855</v>
      </c>
      <c r="M280" s="233">
        <v>3.5714285714285712E-2</v>
      </c>
      <c r="N280" s="233">
        <v>1.4285714285714285E-2</v>
      </c>
      <c r="O280" s="207">
        <v>0</v>
      </c>
      <c r="P280" s="207">
        <f t="shared" si="12"/>
        <v>0</v>
      </c>
      <c r="Q280" s="207">
        <v>3</v>
      </c>
      <c r="R280" s="207">
        <v>3</v>
      </c>
      <c r="U280" s="206">
        <v>0</v>
      </c>
      <c r="V280" s="206">
        <v>1</v>
      </c>
      <c r="W280" s="206">
        <v>1</v>
      </c>
      <c r="X280" s="206" t="e">
        <v>#DIV/0!</v>
      </c>
    </row>
    <row r="281" spans="1:24" x14ac:dyDescent="0.25">
      <c r="A281" s="206" t="str">
        <f t="shared" si="11"/>
        <v>SD07089IDPs</v>
      </c>
      <c r="B281" s="206" t="s">
        <v>188</v>
      </c>
      <c r="C281" s="206" t="s">
        <v>124</v>
      </c>
      <c r="D281" s="206" t="s">
        <v>338</v>
      </c>
      <c r="E281" s="206" t="s">
        <v>339</v>
      </c>
      <c r="F281" s="206" t="s">
        <v>735</v>
      </c>
      <c r="G281" s="207">
        <v>10407</v>
      </c>
      <c r="H281" s="206" t="s">
        <v>88</v>
      </c>
      <c r="I281" s="206" t="s">
        <v>732</v>
      </c>
      <c r="J281" s="233">
        <v>0.25</v>
      </c>
      <c r="K281" s="233">
        <v>0.27142857142857141</v>
      </c>
      <c r="L281" s="233">
        <v>0.42857142857142855</v>
      </c>
      <c r="M281" s="233">
        <v>3.5714285714285712E-2</v>
      </c>
      <c r="N281" s="233">
        <v>1.4285714285714285E-2</v>
      </c>
      <c r="O281" s="207">
        <v>4980</v>
      </c>
      <c r="P281" s="207">
        <f t="shared" si="12"/>
        <v>4535</v>
      </c>
      <c r="Q281" s="207">
        <v>3</v>
      </c>
      <c r="R281" s="207">
        <v>3</v>
      </c>
      <c r="U281" s="206">
        <v>0</v>
      </c>
      <c r="V281" s="206">
        <v>1</v>
      </c>
      <c r="W281" s="206">
        <v>1</v>
      </c>
      <c r="X281" s="206" t="e">
        <v>#DIV/0!</v>
      </c>
    </row>
    <row r="282" spans="1:24" x14ac:dyDescent="0.25">
      <c r="A282" s="206" t="str">
        <f t="shared" si="11"/>
        <v>SD07089Non-hosting Population</v>
      </c>
      <c r="B282" s="206" t="s">
        <v>188</v>
      </c>
      <c r="C282" s="206" t="s">
        <v>124</v>
      </c>
      <c r="D282" s="206" t="s">
        <v>338</v>
      </c>
      <c r="E282" s="206" t="s">
        <v>339</v>
      </c>
      <c r="F282" s="206" t="s">
        <v>735</v>
      </c>
      <c r="G282" s="207">
        <v>0</v>
      </c>
      <c r="H282" s="206" t="s">
        <v>568</v>
      </c>
      <c r="I282" s="206" t="s">
        <v>731</v>
      </c>
      <c r="J282" s="233">
        <v>0.25</v>
      </c>
      <c r="K282" s="233">
        <v>0.27142857142857141</v>
      </c>
      <c r="L282" s="233">
        <v>0.42857142857142855</v>
      </c>
      <c r="M282" s="233">
        <v>3.5714285714285712E-2</v>
      </c>
      <c r="N282" s="233">
        <v>1.4285714285714285E-2</v>
      </c>
      <c r="O282" s="207">
        <v>0</v>
      </c>
      <c r="P282" s="207">
        <f t="shared" si="12"/>
        <v>0</v>
      </c>
      <c r="Q282" s="207">
        <v>3</v>
      </c>
      <c r="R282" s="207">
        <v>3</v>
      </c>
      <c r="U282" s="206">
        <v>0</v>
      </c>
      <c r="V282" s="206">
        <v>1</v>
      </c>
      <c r="W282" s="206">
        <v>1</v>
      </c>
      <c r="X282" s="206" t="e">
        <v>#DIV/0!</v>
      </c>
    </row>
    <row r="283" spans="1:24" x14ac:dyDescent="0.25">
      <c r="A283" s="206" t="str">
        <f t="shared" si="11"/>
        <v>SD07090Host Community</v>
      </c>
      <c r="B283" s="206" t="s">
        <v>188</v>
      </c>
      <c r="C283" s="206" t="s">
        <v>124</v>
      </c>
      <c r="D283" s="206" t="s">
        <v>340</v>
      </c>
      <c r="E283" s="206" t="s">
        <v>341</v>
      </c>
      <c r="F283" s="206" t="s">
        <v>735</v>
      </c>
      <c r="G283" s="207">
        <v>26911</v>
      </c>
      <c r="H283" s="206" t="s">
        <v>87</v>
      </c>
      <c r="I283" s="206" t="s">
        <v>731</v>
      </c>
      <c r="J283" s="233">
        <v>7.0422535211267607E-3</v>
      </c>
      <c r="K283" s="233">
        <v>4.2253521126760563E-2</v>
      </c>
      <c r="L283" s="233">
        <v>0.62676056338028174</v>
      </c>
      <c r="M283" s="233">
        <v>0.29577464788732394</v>
      </c>
      <c r="N283" s="233">
        <v>2.8169014084507043E-2</v>
      </c>
      <c r="O283" s="207">
        <v>25584</v>
      </c>
      <c r="P283" s="207">
        <f t="shared" si="12"/>
        <v>23298</v>
      </c>
      <c r="Q283" s="207">
        <v>4</v>
      </c>
      <c r="R283" s="207">
        <v>4</v>
      </c>
      <c r="U283" s="206">
        <v>0</v>
      </c>
      <c r="V283" s="206">
        <v>1</v>
      </c>
      <c r="W283" s="206">
        <v>1</v>
      </c>
      <c r="X283" s="206" t="e">
        <v>#DIV/0!</v>
      </c>
    </row>
    <row r="284" spans="1:24" x14ac:dyDescent="0.25">
      <c r="A284" s="206" t="str">
        <f t="shared" si="11"/>
        <v>SD07090IDPs</v>
      </c>
      <c r="B284" s="206" t="s">
        <v>188</v>
      </c>
      <c r="C284" s="206" t="s">
        <v>124</v>
      </c>
      <c r="D284" s="206" t="s">
        <v>340</v>
      </c>
      <c r="E284" s="206" t="s">
        <v>341</v>
      </c>
      <c r="F284" s="206" t="s">
        <v>735</v>
      </c>
      <c r="G284" s="207">
        <v>62991</v>
      </c>
      <c r="H284" s="206" t="s">
        <v>88</v>
      </c>
      <c r="I284" s="206" t="s">
        <v>732</v>
      </c>
      <c r="J284" s="233">
        <v>7.0422535211267607E-3</v>
      </c>
      <c r="K284" s="233">
        <v>4.2253521126760563E-2</v>
      </c>
      <c r="L284" s="233">
        <v>0.62676056338028174</v>
      </c>
      <c r="M284" s="233">
        <v>0.29577464788732394</v>
      </c>
      <c r="N284" s="233">
        <v>2.8169014084507043E-2</v>
      </c>
      <c r="O284" s="207">
        <v>59886</v>
      </c>
      <c r="P284" s="207">
        <f t="shared" si="12"/>
        <v>54535</v>
      </c>
      <c r="Q284" s="207">
        <v>4</v>
      </c>
      <c r="R284" s="207">
        <v>4</v>
      </c>
      <c r="U284" s="206">
        <v>0</v>
      </c>
      <c r="V284" s="206">
        <v>1</v>
      </c>
      <c r="W284" s="206">
        <v>1</v>
      </c>
      <c r="X284" s="206" t="e">
        <v>#DIV/0!</v>
      </c>
    </row>
    <row r="285" spans="1:24" x14ac:dyDescent="0.25">
      <c r="A285" s="206" t="str">
        <f t="shared" si="11"/>
        <v>SD07090Non-hosting Population</v>
      </c>
      <c r="B285" s="206" t="s">
        <v>188</v>
      </c>
      <c r="C285" s="206" t="s">
        <v>124</v>
      </c>
      <c r="D285" s="206" t="s">
        <v>340</v>
      </c>
      <c r="E285" s="206" t="s">
        <v>341</v>
      </c>
      <c r="F285" s="206" t="s">
        <v>735</v>
      </c>
      <c r="G285" s="207">
        <v>0</v>
      </c>
      <c r="H285" s="206" t="s">
        <v>568</v>
      </c>
      <c r="I285" s="206" t="s">
        <v>731</v>
      </c>
      <c r="J285" s="233">
        <v>7.0422535211267607E-3</v>
      </c>
      <c r="K285" s="233">
        <v>4.2253521126760563E-2</v>
      </c>
      <c r="L285" s="233">
        <v>0.62676056338028174</v>
      </c>
      <c r="M285" s="233">
        <v>0.29577464788732394</v>
      </c>
      <c r="N285" s="233">
        <v>2.8169014084507043E-2</v>
      </c>
      <c r="O285" s="207">
        <v>0</v>
      </c>
      <c r="P285" s="207">
        <f t="shared" si="12"/>
        <v>0</v>
      </c>
      <c r="Q285" s="207">
        <v>4</v>
      </c>
      <c r="R285" s="207">
        <v>4</v>
      </c>
      <c r="U285" s="206">
        <v>0</v>
      </c>
      <c r="V285" s="206">
        <v>1</v>
      </c>
      <c r="W285" s="206">
        <v>1</v>
      </c>
      <c r="X285" s="206" t="e">
        <v>#DIV/0!</v>
      </c>
    </row>
    <row r="286" spans="1:24" x14ac:dyDescent="0.25">
      <c r="A286" s="206" t="str">
        <f t="shared" si="11"/>
        <v>SD07093Host Community</v>
      </c>
      <c r="B286" s="206" t="s">
        <v>188</v>
      </c>
      <c r="C286" s="206" t="s">
        <v>124</v>
      </c>
      <c r="D286" s="206" t="s">
        <v>344</v>
      </c>
      <c r="E286" s="206" t="s">
        <v>345</v>
      </c>
      <c r="F286" s="206" t="s">
        <v>735</v>
      </c>
      <c r="G286" s="207">
        <v>22213</v>
      </c>
      <c r="H286" s="206" t="s">
        <v>87</v>
      </c>
      <c r="I286" s="206" t="s">
        <v>731</v>
      </c>
      <c r="J286" s="233">
        <v>0.21582733812949639</v>
      </c>
      <c r="K286" s="233">
        <v>0.23021582733812951</v>
      </c>
      <c r="L286" s="233">
        <v>0.5539568345323741</v>
      </c>
      <c r="M286" s="233">
        <v>0</v>
      </c>
      <c r="N286" s="233">
        <v>0</v>
      </c>
      <c r="O286" s="207">
        <v>12305</v>
      </c>
      <c r="P286" s="207">
        <f t="shared" si="12"/>
        <v>11206</v>
      </c>
      <c r="Q286" s="207">
        <v>3</v>
      </c>
      <c r="R286" s="207">
        <v>3</v>
      </c>
      <c r="U286" s="206">
        <v>0</v>
      </c>
      <c r="V286" s="206">
        <v>1</v>
      </c>
      <c r="W286" s="206">
        <v>1</v>
      </c>
      <c r="X286" s="206" t="e">
        <v>#DIV/0!</v>
      </c>
    </row>
    <row r="287" spans="1:24" x14ac:dyDescent="0.25">
      <c r="A287" s="206" t="str">
        <f t="shared" si="11"/>
        <v>SD07093IDPs</v>
      </c>
      <c r="B287" s="206" t="s">
        <v>188</v>
      </c>
      <c r="C287" s="206" t="s">
        <v>124</v>
      </c>
      <c r="D287" s="206" t="s">
        <v>344</v>
      </c>
      <c r="E287" s="206" t="s">
        <v>345</v>
      </c>
      <c r="F287" s="206" t="s">
        <v>735</v>
      </c>
      <c r="G287" s="207">
        <v>22054</v>
      </c>
      <c r="H287" s="206" t="s">
        <v>88</v>
      </c>
      <c r="I287" s="206" t="s">
        <v>732</v>
      </c>
      <c r="J287" s="233">
        <v>0.21582733812949639</v>
      </c>
      <c r="K287" s="233">
        <v>0.23021582733812951</v>
      </c>
      <c r="L287" s="233">
        <v>0.5539568345323741</v>
      </c>
      <c r="M287" s="233">
        <v>0</v>
      </c>
      <c r="N287" s="233">
        <v>0</v>
      </c>
      <c r="O287" s="207">
        <v>12217</v>
      </c>
      <c r="P287" s="207">
        <f t="shared" si="12"/>
        <v>11125</v>
      </c>
      <c r="Q287" s="207">
        <v>3</v>
      </c>
      <c r="R287" s="207">
        <v>3</v>
      </c>
      <c r="U287" s="206">
        <v>0</v>
      </c>
      <c r="V287" s="206">
        <v>0</v>
      </c>
      <c r="W287" s="206">
        <v>1</v>
      </c>
      <c r="X287" s="206" t="e">
        <v>#DIV/0!</v>
      </c>
    </row>
    <row r="288" spans="1:24" x14ac:dyDescent="0.25">
      <c r="A288" s="206" t="str">
        <f t="shared" si="11"/>
        <v>SD07093Non-hosting Population</v>
      </c>
      <c r="B288" s="206" t="s">
        <v>188</v>
      </c>
      <c r="C288" s="206" t="s">
        <v>124</v>
      </c>
      <c r="D288" s="206" t="s">
        <v>344</v>
      </c>
      <c r="E288" s="206" t="s">
        <v>345</v>
      </c>
      <c r="F288" s="206" t="s">
        <v>735</v>
      </c>
      <c r="G288" s="207">
        <v>2418</v>
      </c>
      <c r="H288" s="206" t="s">
        <v>568</v>
      </c>
      <c r="I288" s="206" t="s">
        <v>731</v>
      </c>
      <c r="J288" s="233">
        <v>0.21582733812949639</v>
      </c>
      <c r="K288" s="233">
        <v>0.23021582733812951</v>
      </c>
      <c r="L288" s="233">
        <v>0.5539568345323741</v>
      </c>
      <c r="M288" s="233">
        <v>0</v>
      </c>
      <c r="N288" s="233">
        <v>0</v>
      </c>
      <c r="O288" s="207">
        <v>0</v>
      </c>
      <c r="P288" s="207">
        <f t="shared" si="12"/>
        <v>0</v>
      </c>
      <c r="Q288" s="207">
        <v>3</v>
      </c>
      <c r="R288" s="207">
        <v>3</v>
      </c>
      <c r="U288" s="206">
        <v>0</v>
      </c>
      <c r="V288" s="206">
        <v>1</v>
      </c>
      <c r="W288" s="206">
        <v>1</v>
      </c>
      <c r="X288" s="206" t="e">
        <v>#DIV/0!</v>
      </c>
    </row>
    <row r="289" spans="1:24" x14ac:dyDescent="0.25">
      <c r="A289" s="206" t="str">
        <f t="shared" si="11"/>
        <v>SD07094Host Community</v>
      </c>
      <c r="B289" s="206" t="s">
        <v>188</v>
      </c>
      <c r="C289" s="206" t="s">
        <v>124</v>
      </c>
      <c r="D289" s="206" t="s">
        <v>346</v>
      </c>
      <c r="E289" s="206" t="s">
        <v>347</v>
      </c>
      <c r="F289" s="206" t="s">
        <v>735</v>
      </c>
      <c r="G289" s="207">
        <v>8964</v>
      </c>
      <c r="H289" s="206" t="s">
        <v>87</v>
      </c>
      <c r="I289" s="206" t="s">
        <v>731</v>
      </c>
      <c r="J289" s="233">
        <v>0.18965517241379309</v>
      </c>
      <c r="K289" s="233">
        <v>0.25</v>
      </c>
      <c r="L289" s="233">
        <v>0.55172413793103448</v>
      </c>
      <c r="M289" s="233">
        <v>0</v>
      </c>
      <c r="N289" s="233">
        <v>8.6206896551724137E-3</v>
      </c>
      <c r="O289" s="207">
        <v>5023</v>
      </c>
      <c r="P289" s="207">
        <f t="shared" si="12"/>
        <v>4574</v>
      </c>
      <c r="Q289" s="207">
        <v>3</v>
      </c>
      <c r="R289" s="207">
        <v>3</v>
      </c>
      <c r="U289" s="206" t="e">
        <v>#DIV/0!</v>
      </c>
      <c r="V289" s="206" t="e">
        <v>#DIV/0!</v>
      </c>
      <c r="W289" s="206">
        <v>1</v>
      </c>
      <c r="X289" s="206" t="e">
        <v>#DIV/0!</v>
      </c>
    </row>
    <row r="290" spans="1:24" x14ac:dyDescent="0.25">
      <c r="A290" s="206" t="str">
        <f t="shared" si="11"/>
        <v>SD07094IDPs</v>
      </c>
      <c r="B290" s="206" t="s">
        <v>188</v>
      </c>
      <c r="C290" s="206" t="s">
        <v>124</v>
      </c>
      <c r="D290" s="206" t="s">
        <v>346</v>
      </c>
      <c r="E290" s="206" t="s">
        <v>347</v>
      </c>
      <c r="F290" s="206" t="s">
        <v>735</v>
      </c>
      <c r="G290" s="207">
        <v>8677</v>
      </c>
      <c r="H290" s="206" t="s">
        <v>88</v>
      </c>
      <c r="I290" s="206" t="s">
        <v>732</v>
      </c>
      <c r="J290" s="233">
        <v>0.18965517241379309</v>
      </c>
      <c r="K290" s="233">
        <v>0.25</v>
      </c>
      <c r="L290" s="233">
        <v>0.55172413793103448</v>
      </c>
      <c r="M290" s="233">
        <v>0</v>
      </c>
      <c r="N290" s="233">
        <v>8.6206896551724137E-3</v>
      </c>
      <c r="O290" s="207">
        <v>4862</v>
      </c>
      <c r="P290" s="207">
        <f t="shared" si="12"/>
        <v>4428</v>
      </c>
      <c r="Q290" s="207">
        <v>3</v>
      </c>
      <c r="R290" s="207">
        <v>3</v>
      </c>
      <c r="U290" s="206" t="e">
        <v>#DIV/0!</v>
      </c>
      <c r="V290" s="206" t="e">
        <v>#DIV/0!</v>
      </c>
      <c r="W290" s="206">
        <v>1</v>
      </c>
      <c r="X290" s="206" t="e">
        <v>#DIV/0!</v>
      </c>
    </row>
    <row r="291" spans="1:24" x14ac:dyDescent="0.25">
      <c r="A291" s="206" t="str">
        <f t="shared" si="11"/>
        <v>SD07094Non-hosting Population</v>
      </c>
      <c r="B291" s="206" t="s">
        <v>188</v>
      </c>
      <c r="C291" s="206" t="s">
        <v>124</v>
      </c>
      <c r="D291" s="206" t="s">
        <v>346</v>
      </c>
      <c r="E291" s="206" t="s">
        <v>347</v>
      </c>
      <c r="F291" s="206" t="s">
        <v>735</v>
      </c>
      <c r="G291" s="207">
        <v>59917</v>
      </c>
      <c r="H291" s="206" t="s">
        <v>568</v>
      </c>
      <c r="I291" s="206" t="s">
        <v>731</v>
      </c>
      <c r="J291" s="233">
        <v>0.18965517241379309</v>
      </c>
      <c r="K291" s="233">
        <v>0.25</v>
      </c>
      <c r="L291" s="233">
        <v>0.55172413793103448</v>
      </c>
      <c r="M291" s="233">
        <v>0</v>
      </c>
      <c r="N291" s="233">
        <v>8.6206896551724137E-3</v>
      </c>
      <c r="O291" s="207">
        <v>517</v>
      </c>
      <c r="P291" s="207">
        <f t="shared" si="12"/>
        <v>471</v>
      </c>
      <c r="Q291" s="207">
        <v>3</v>
      </c>
      <c r="R291" s="207">
        <v>3</v>
      </c>
      <c r="U291" s="206">
        <v>0</v>
      </c>
      <c r="V291" s="206">
        <v>1</v>
      </c>
      <c r="W291" s="206">
        <v>1</v>
      </c>
      <c r="X291" s="206" t="e">
        <v>#DIV/0!</v>
      </c>
    </row>
    <row r="292" spans="1:24" x14ac:dyDescent="0.25">
      <c r="A292" s="206" t="str">
        <f t="shared" si="11"/>
        <v>SD07095Host Community</v>
      </c>
      <c r="B292" s="206" t="s">
        <v>188</v>
      </c>
      <c r="C292" s="206" t="s">
        <v>124</v>
      </c>
      <c r="D292" s="206" t="s">
        <v>348</v>
      </c>
      <c r="E292" s="206" t="s">
        <v>349</v>
      </c>
      <c r="F292" s="206" t="s">
        <v>735</v>
      </c>
      <c r="G292" s="207">
        <v>44909</v>
      </c>
      <c r="H292" s="206" t="s">
        <v>87</v>
      </c>
      <c r="I292" s="206" t="s">
        <v>731</v>
      </c>
      <c r="J292" s="233">
        <v>0.25925925925925924</v>
      </c>
      <c r="K292" s="233">
        <v>0.34814814814814815</v>
      </c>
      <c r="L292" s="233">
        <v>0.37037037037037035</v>
      </c>
      <c r="M292" s="233">
        <v>7.4074074074074077E-3</v>
      </c>
      <c r="N292" s="233">
        <v>1.4814814814814815E-2</v>
      </c>
      <c r="O292" s="207">
        <v>17631</v>
      </c>
      <c r="P292" s="207">
        <f t="shared" si="12"/>
        <v>16056</v>
      </c>
      <c r="Q292" s="207">
        <v>3</v>
      </c>
      <c r="R292" s="207">
        <v>3</v>
      </c>
      <c r="U292" s="206">
        <v>0</v>
      </c>
      <c r="V292" s="206">
        <v>1</v>
      </c>
      <c r="W292" s="206">
        <v>1</v>
      </c>
      <c r="X292" s="206" t="e">
        <v>#DIV/0!</v>
      </c>
    </row>
    <row r="293" spans="1:24" x14ac:dyDescent="0.25">
      <c r="A293" s="206" t="str">
        <f t="shared" si="11"/>
        <v>SD07095IDPs</v>
      </c>
      <c r="B293" s="206" t="s">
        <v>188</v>
      </c>
      <c r="C293" s="206" t="s">
        <v>124</v>
      </c>
      <c r="D293" s="206" t="s">
        <v>348</v>
      </c>
      <c r="E293" s="206" t="s">
        <v>349</v>
      </c>
      <c r="F293" s="206" t="s">
        <v>735</v>
      </c>
      <c r="G293" s="207">
        <v>44297</v>
      </c>
      <c r="H293" s="206" t="s">
        <v>88</v>
      </c>
      <c r="I293" s="206" t="s">
        <v>732</v>
      </c>
      <c r="J293" s="233">
        <v>0.25925925925925924</v>
      </c>
      <c r="K293" s="233">
        <v>0.34814814814814815</v>
      </c>
      <c r="L293" s="233">
        <v>0.37037037037037035</v>
      </c>
      <c r="M293" s="233">
        <v>7.4074074074074077E-3</v>
      </c>
      <c r="N293" s="233">
        <v>1.4814814814814815E-2</v>
      </c>
      <c r="O293" s="207">
        <v>17391</v>
      </c>
      <c r="P293" s="207">
        <f t="shared" si="12"/>
        <v>15837</v>
      </c>
      <c r="Q293" s="207">
        <v>3</v>
      </c>
      <c r="R293" s="207">
        <v>3</v>
      </c>
      <c r="U293" s="206">
        <v>0</v>
      </c>
      <c r="V293" s="206">
        <v>1</v>
      </c>
      <c r="W293" s="206">
        <v>1</v>
      </c>
      <c r="X293" s="206" t="e">
        <v>#DIV/0!</v>
      </c>
    </row>
    <row r="294" spans="1:24" x14ac:dyDescent="0.25">
      <c r="A294" s="206" t="str">
        <f t="shared" si="11"/>
        <v>SD07095Non-hosting Population</v>
      </c>
      <c r="B294" s="206" t="s">
        <v>188</v>
      </c>
      <c r="C294" s="206" t="s">
        <v>124</v>
      </c>
      <c r="D294" s="206" t="s">
        <v>348</v>
      </c>
      <c r="E294" s="206" t="s">
        <v>349</v>
      </c>
      <c r="F294" s="206" t="s">
        <v>735</v>
      </c>
      <c r="G294" s="207">
        <v>27905</v>
      </c>
      <c r="H294" s="206" t="s">
        <v>568</v>
      </c>
      <c r="I294" s="206" t="s">
        <v>731</v>
      </c>
      <c r="J294" s="233">
        <v>0.25925925925925924</v>
      </c>
      <c r="K294" s="233">
        <v>0.34814814814814815</v>
      </c>
      <c r="L294" s="233">
        <v>0.37037037037037035</v>
      </c>
      <c r="M294" s="233">
        <v>7.4074074074074077E-3</v>
      </c>
      <c r="N294" s="233">
        <v>1.4814814814814815E-2</v>
      </c>
      <c r="O294" s="207">
        <v>620</v>
      </c>
      <c r="P294" s="207">
        <f t="shared" si="12"/>
        <v>565</v>
      </c>
      <c r="Q294" s="207">
        <v>3</v>
      </c>
      <c r="R294" s="207">
        <v>3</v>
      </c>
      <c r="U294" s="206" t="e">
        <v>#DIV/0!</v>
      </c>
      <c r="V294" s="206" t="e">
        <v>#DIV/0!</v>
      </c>
      <c r="W294" s="206">
        <v>1</v>
      </c>
      <c r="X294" s="206" t="e">
        <v>#DIV/0!</v>
      </c>
    </row>
    <row r="295" spans="1:24" x14ac:dyDescent="0.25">
      <c r="A295" s="206" t="str">
        <f t="shared" si="11"/>
        <v>SD07097Host Community</v>
      </c>
      <c r="B295" s="206" t="s">
        <v>188</v>
      </c>
      <c r="C295" s="206" t="s">
        <v>124</v>
      </c>
      <c r="D295" s="206" t="s">
        <v>352</v>
      </c>
      <c r="E295" s="206" t="s">
        <v>353</v>
      </c>
      <c r="F295" s="206" t="s">
        <v>735</v>
      </c>
      <c r="G295" s="207">
        <v>477</v>
      </c>
      <c r="H295" s="206" t="s">
        <v>87</v>
      </c>
      <c r="I295" s="206" t="s">
        <v>731</v>
      </c>
      <c r="J295" s="233">
        <v>2.2556390977443608E-2</v>
      </c>
      <c r="K295" s="233">
        <v>0.12781954887218044</v>
      </c>
      <c r="L295" s="233">
        <v>0.81203007518796988</v>
      </c>
      <c r="M295" s="233">
        <v>0</v>
      </c>
      <c r="N295" s="233">
        <v>3.7593984962406013E-2</v>
      </c>
      <c r="O295" s="207">
        <v>405</v>
      </c>
      <c r="P295" s="207">
        <f t="shared" si="12"/>
        <v>369</v>
      </c>
      <c r="Q295" s="207">
        <v>3</v>
      </c>
      <c r="R295" s="207">
        <v>3</v>
      </c>
      <c r="U295" s="206" t="e">
        <v>#DIV/0!</v>
      </c>
      <c r="V295" s="206" t="e">
        <v>#DIV/0!</v>
      </c>
      <c r="W295" s="206">
        <v>1</v>
      </c>
      <c r="X295" s="206" t="e">
        <v>#DIV/0!</v>
      </c>
    </row>
    <row r="296" spans="1:24" x14ac:dyDescent="0.25">
      <c r="A296" s="206" t="str">
        <f t="shared" si="11"/>
        <v>SD07097IDPs</v>
      </c>
      <c r="B296" s="206" t="s">
        <v>188</v>
      </c>
      <c r="C296" s="206" t="s">
        <v>124</v>
      </c>
      <c r="D296" s="206" t="s">
        <v>352</v>
      </c>
      <c r="E296" s="206" t="s">
        <v>353</v>
      </c>
      <c r="F296" s="206" t="s">
        <v>735</v>
      </c>
      <c r="G296" s="207">
        <v>39030</v>
      </c>
      <c r="H296" s="206" t="s">
        <v>88</v>
      </c>
      <c r="I296" s="206" t="s">
        <v>732</v>
      </c>
      <c r="J296" s="233">
        <v>2.2556390977443608E-2</v>
      </c>
      <c r="K296" s="233">
        <v>0.12781954887218044</v>
      </c>
      <c r="L296" s="233">
        <v>0.81203007518796988</v>
      </c>
      <c r="M296" s="233">
        <v>0</v>
      </c>
      <c r="N296" s="233">
        <v>3.7593984962406013E-2</v>
      </c>
      <c r="O296" s="207">
        <v>33161</v>
      </c>
      <c r="P296" s="207">
        <f t="shared" si="12"/>
        <v>30198</v>
      </c>
      <c r="Q296" s="207">
        <v>3</v>
      </c>
      <c r="R296" s="207">
        <v>3</v>
      </c>
      <c r="U296" s="206">
        <v>0</v>
      </c>
      <c r="V296" s="206">
        <v>0</v>
      </c>
      <c r="W296" s="206">
        <v>1</v>
      </c>
      <c r="X296" s="206" t="e">
        <v>#DIV/0!</v>
      </c>
    </row>
    <row r="297" spans="1:24" x14ac:dyDescent="0.25">
      <c r="A297" s="206" t="str">
        <f t="shared" si="11"/>
        <v>SD07097Non-hosting Population</v>
      </c>
      <c r="B297" s="206" t="s">
        <v>188</v>
      </c>
      <c r="C297" s="206" t="s">
        <v>124</v>
      </c>
      <c r="D297" s="206" t="s">
        <v>352</v>
      </c>
      <c r="E297" s="206" t="s">
        <v>353</v>
      </c>
      <c r="F297" s="206" t="s">
        <v>735</v>
      </c>
      <c r="G297" s="207">
        <v>0</v>
      </c>
      <c r="H297" s="206" t="s">
        <v>568</v>
      </c>
      <c r="I297" s="206" t="s">
        <v>731</v>
      </c>
      <c r="J297" s="233">
        <v>2.2556390977443608E-2</v>
      </c>
      <c r="K297" s="233">
        <v>0.12781954887218044</v>
      </c>
      <c r="L297" s="233">
        <v>0.81203007518796988</v>
      </c>
      <c r="M297" s="233">
        <v>0</v>
      </c>
      <c r="N297" s="233">
        <v>3.7593984962406013E-2</v>
      </c>
      <c r="O297" s="207">
        <v>0</v>
      </c>
      <c r="P297" s="207">
        <f t="shared" si="12"/>
        <v>0</v>
      </c>
      <c r="Q297" s="207">
        <v>3</v>
      </c>
      <c r="R297" s="207">
        <v>3</v>
      </c>
      <c r="U297" s="206">
        <v>0</v>
      </c>
      <c r="V297" s="206">
        <v>1</v>
      </c>
      <c r="W297" s="206">
        <v>1</v>
      </c>
      <c r="X297" s="206" t="e">
        <v>#DIV/0!</v>
      </c>
    </row>
    <row r="298" spans="1:24" x14ac:dyDescent="0.25">
      <c r="A298" s="206" t="str">
        <f t="shared" si="11"/>
        <v>SD07098Host Community</v>
      </c>
      <c r="B298" s="206" t="s">
        <v>188</v>
      </c>
      <c r="C298" s="206" t="s">
        <v>124</v>
      </c>
      <c r="D298" s="206" t="s">
        <v>354</v>
      </c>
      <c r="E298" s="206" t="s">
        <v>355</v>
      </c>
      <c r="F298" s="206" t="s">
        <v>735</v>
      </c>
      <c r="G298" s="207">
        <v>0</v>
      </c>
      <c r="H298" s="206" t="s">
        <v>87</v>
      </c>
      <c r="I298" s="206" t="s">
        <v>731</v>
      </c>
      <c r="J298" s="233">
        <v>0.22222222222222221</v>
      </c>
      <c r="K298" s="233">
        <v>0.19259259259259259</v>
      </c>
      <c r="L298" s="233">
        <v>0.54814814814814816</v>
      </c>
      <c r="M298" s="233">
        <v>7.4074074074074077E-3</v>
      </c>
      <c r="N298" s="233">
        <v>2.9629629629629631E-2</v>
      </c>
      <c r="O298" s="207">
        <v>0</v>
      </c>
      <c r="P298" s="207">
        <f t="shared" si="12"/>
        <v>0</v>
      </c>
      <c r="Q298" s="207">
        <v>3</v>
      </c>
      <c r="R298" s="207">
        <v>3</v>
      </c>
      <c r="U298" s="206">
        <v>0</v>
      </c>
      <c r="V298" s="206">
        <v>1</v>
      </c>
      <c r="W298" s="206">
        <v>1</v>
      </c>
      <c r="X298" s="206" t="e">
        <v>#DIV/0!</v>
      </c>
    </row>
    <row r="299" spans="1:24" x14ac:dyDescent="0.25">
      <c r="A299" s="206" t="str">
        <f t="shared" si="11"/>
        <v>SD07098IDPs</v>
      </c>
      <c r="B299" s="206" t="s">
        <v>188</v>
      </c>
      <c r="C299" s="206" t="s">
        <v>124</v>
      </c>
      <c r="D299" s="206" t="s">
        <v>354</v>
      </c>
      <c r="E299" s="206" t="s">
        <v>355</v>
      </c>
      <c r="F299" s="206" t="s">
        <v>735</v>
      </c>
      <c r="G299" s="207">
        <v>84600</v>
      </c>
      <c r="H299" s="206" t="s">
        <v>88</v>
      </c>
      <c r="I299" s="206" t="s">
        <v>732</v>
      </c>
      <c r="J299" s="233">
        <v>0.22222222222222221</v>
      </c>
      <c r="K299" s="233">
        <v>0.19259259259259259</v>
      </c>
      <c r="L299" s="233">
        <v>0.54814814814814816</v>
      </c>
      <c r="M299" s="233">
        <v>7.4074074074074077E-3</v>
      </c>
      <c r="N299" s="233">
        <v>2.9629629629629631E-2</v>
      </c>
      <c r="O299" s="207">
        <v>49507</v>
      </c>
      <c r="P299" s="207">
        <f t="shared" si="12"/>
        <v>45083</v>
      </c>
      <c r="Q299" s="207">
        <v>3</v>
      </c>
      <c r="R299" s="207">
        <v>3</v>
      </c>
      <c r="U299" s="206">
        <v>0</v>
      </c>
      <c r="V299" s="206">
        <v>1</v>
      </c>
      <c r="W299" s="206">
        <v>1</v>
      </c>
      <c r="X299" s="206" t="e">
        <v>#DIV/0!</v>
      </c>
    </row>
    <row r="300" spans="1:24" x14ac:dyDescent="0.25">
      <c r="A300" s="206" t="str">
        <f t="shared" si="11"/>
        <v>SD07098Non-hosting Population</v>
      </c>
      <c r="B300" s="206" t="s">
        <v>188</v>
      </c>
      <c r="C300" s="206" t="s">
        <v>124</v>
      </c>
      <c r="D300" s="206" t="s">
        <v>354</v>
      </c>
      <c r="E300" s="206" t="s">
        <v>355</v>
      </c>
      <c r="F300" s="206" t="s">
        <v>735</v>
      </c>
      <c r="G300" s="207">
        <v>240</v>
      </c>
      <c r="H300" s="206" t="s">
        <v>568</v>
      </c>
      <c r="I300" s="206" t="s">
        <v>731</v>
      </c>
      <c r="J300" s="233">
        <v>0.22222222222222221</v>
      </c>
      <c r="K300" s="233">
        <v>0.19259259259259259</v>
      </c>
      <c r="L300" s="233">
        <v>0.54814814814814816</v>
      </c>
      <c r="M300" s="233">
        <v>7.4074074074074077E-3</v>
      </c>
      <c r="N300" s="233">
        <v>2.9629629629629631E-2</v>
      </c>
      <c r="O300" s="207">
        <v>9</v>
      </c>
      <c r="P300" s="207">
        <f t="shared" si="12"/>
        <v>8</v>
      </c>
      <c r="Q300" s="207">
        <v>3</v>
      </c>
      <c r="R300" s="207">
        <v>3</v>
      </c>
      <c r="U300" s="206" t="e">
        <v>#DIV/0!</v>
      </c>
      <c r="V300" s="206" t="e">
        <v>#DIV/0!</v>
      </c>
      <c r="W300" s="206">
        <v>1</v>
      </c>
      <c r="X300" s="206" t="e">
        <v>#DIV/0!</v>
      </c>
    </row>
    <row r="301" spans="1:24" x14ac:dyDescent="0.25">
      <c r="A301" s="206" t="str">
        <f t="shared" si="11"/>
        <v>SD07103Host Community</v>
      </c>
      <c r="B301" s="206" t="s">
        <v>188</v>
      </c>
      <c r="C301" s="206" t="s">
        <v>124</v>
      </c>
      <c r="D301" s="206" t="s">
        <v>358</v>
      </c>
      <c r="E301" s="206" t="s">
        <v>359</v>
      </c>
      <c r="F301" s="206" t="s">
        <v>735</v>
      </c>
      <c r="G301" s="207">
        <v>483</v>
      </c>
      <c r="H301" s="206" t="s">
        <v>87</v>
      </c>
      <c r="I301" s="206" t="s">
        <v>731</v>
      </c>
      <c r="J301" s="233">
        <v>0</v>
      </c>
      <c r="K301" s="233">
        <v>6.6666666666666666E-2</v>
      </c>
      <c r="L301" s="233">
        <v>0.71333333333333337</v>
      </c>
      <c r="M301" s="233">
        <v>5.3333333333333337E-2</v>
      </c>
      <c r="N301" s="233">
        <v>0.16666666666666666</v>
      </c>
      <c r="O301" s="207">
        <v>451</v>
      </c>
      <c r="P301" s="207">
        <f t="shared" si="12"/>
        <v>411</v>
      </c>
      <c r="Q301" s="207">
        <v>4</v>
      </c>
      <c r="R301" s="207">
        <v>4</v>
      </c>
      <c r="U301" s="206">
        <v>0</v>
      </c>
      <c r="V301" s="206">
        <v>0</v>
      </c>
      <c r="W301" s="206">
        <v>0</v>
      </c>
      <c r="X301" s="206" t="e">
        <v>#DIV/0!</v>
      </c>
    </row>
    <row r="302" spans="1:24" x14ac:dyDescent="0.25">
      <c r="A302" s="206" t="str">
        <f t="shared" si="11"/>
        <v>SD07103IDPs</v>
      </c>
      <c r="B302" s="206" t="s">
        <v>188</v>
      </c>
      <c r="C302" s="206" t="s">
        <v>124</v>
      </c>
      <c r="D302" s="206" t="s">
        <v>358</v>
      </c>
      <c r="E302" s="206" t="s">
        <v>359</v>
      </c>
      <c r="F302" s="206" t="s">
        <v>735</v>
      </c>
      <c r="G302" s="207">
        <v>59211</v>
      </c>
      <c r="H302" s="206" t="s">
        <v>88</v>
      </c>
      <c r="I302" s="206" t="s">
        <v>732</v>
      </c>
      <c r="J302" s="233">
        <v>0</v>
      </c>
      <c r="K302" s="233">
        <v>6.6666666666666666E-2</v>
      </c>
      <c r="L302" s="233">
        <v>0.71333333333333337</v>
      </c>
      <c r="M302" s="233">
        <v>5.3333333333333337E-2</v>
      </c>
      <c r="N302" s="233">
        <v>0.16666666666666666</v>
      </c>
      <c r="O302" s="207">
        <v>55264</v>
      </c>
      <c r="P302" s="207">
        <f t="shared" si="12"/>
        <v>50326</v>
      </c>
      <c r="Q302" s="207">
        <v>4</v>
      </c>
      <c r="R302" s="207">
        <v>4</v>
      </c>
      <c r="U302" s="206">
        <v>0</v>
      </c>
      <c r="V302" s="206">
        <v>0</v>
      </c>
      <c r="W302" s="206">
        <v>1</v>
      </c>
      <c r="X302" s="206" t="e">
        <v>#DIV/0!</v>
      </c>
    </row>
    <row r="303" spans="1:24" x14ac:dyDescent="0.25">
      <c r="A303" s="206" t="str">
        <f t="shared" si="11"/>
        <v>SD07103Non-hosting Population</v>
      </c>
      <c r="B303" s="206" t="s">
        <v>188</v>
      </c>
      <c r="C303" s="206" t="s">
        <v>124</v>
      </c>
      <c r="D303" s="206" t="s">
        <v>358</v>
      </c>
      <c r="E303" s="206" t="s">
        <v>359</v>
      </c>
      <c r="F303" s="206" t="s">
        <v>735</v>
      </c>
      <c r="G303" s="207">
        <v>0</v>
      </c>
      <c r="H303" s="206" t="s">
        <v>568</v>
      </c>
      <c r="I303" s="206" t="s">
        <v>731</v>
      </c>
      <c r="J303" s="233">
        <v>0</v>
      </c>
      <c r="K303" s="233">
        <v>6.6666666666666666E-2</v>
      </c>
      <c r="L303" s="233">
        <v>0.71333333333333337</v>
      </c>
      <c r="M303" s="233">
        <v>5.3333333333333337E-2</v>
      </c>
      <c r="N303" s="233">
        <v>0.16666666666666666</v>
      </c>
      <c r="O303" s="207">
        <v>0</v>
      </c>
      <c r="P303" s="207">
        <f t="shared" si="12"/>
        <v>0</v>
      </c>
      <c r="Q303" s="207">
        <v>4</v>
      </c>
      <c r="R303" s="207">
        <v>4</v>
      </c>
      <c r="U303" s="206" t="e">
        <v>#DIV/0!</v>
      </c>
      <c r="V303" s="206" t="e">
        <v>#DIV/0!</v>
      </c>
      <c r="W303" s="206">
        <v>0</v>
      </c>
      <c r="X303" s="206" t="e">
        <v>#DIV/0!</v>
      </c>
    </row>
    <row r="304" spans="1:24" x14ac:dyDescent="0.25">
      <c r="A304" s="206" t="str">
        <f t="shared" si="11"/>
        <v>SD07104Host Community</v>
      </c>
      <c r="B304" s="206" t="s">
        <v>188</v>
      </c>
      <c r="C304" s="206" t="s">
        <v>124</v>
      </c>
      <c r="D304" s="206" t="s">
        <v>360</v>
      </c>
      <c r="E304" s="206" t="s">
        <v>361</v>
      </c>
      <c r="F304" s="206" t="s">
        <v>735</v>
      </c>
      <c r="G304" s="207">
        <v>22620</v>
      </c>
      <c r="H304" s="206" t="s">
        <v>87</v>
      </c>
      <c r="I304" s="206" t="s">
        <v>731</v>
      </c>
      <c r="J304" s="233">
        <v>0.17218543046357615</v>
      </c>
      <c r="K304" s="233">
        <v>0.15894039735099338</v>
      </c>
      <c r="L304" s="233">
        <v>0.56953642384105962</v>
      </c>
      <c r="M304" s="233">
        <v>5.2980132450331126E-2</v>
      </c>
      <c r="N304" s="233">
        <v>4.6357615894039736E-2</v>
      </c>
      <c r="O304" s="207">
        <v>15130</v>
      </c>
      <c r="P304" s="207">
        <f t="shared" si="12"/>
        <v>13778</v>
      </c>
      <c r="Q304" s="207">
        <v>3</v>
      </c>
      <c r="R304" s="207">
        <v>3</v>
      </c>
      <c r="U304" s="206">
        <v>0</v>
      </c>
      <c r="V304" s="206">
        <v>0</v>
      </c>
      <c r="W304" s="206">
        <v>1</v>
      </c>
      <c r="X304" s="206" t="e">
        <v>#DIV/0!</v>
      </c>
    </row>
    <row r="305" spans="1:24" x14ac:dyDescent="0.25">
      <c r="A305" s="206" t="str">
        <f t="shared" si="11"/>
        <v>SD07104IDPs</v>
      </c>
      <c r="B305" s="206" t="s">
        <v>188</v>
      </c>
      <c r="C305" s="206" t="s">
        <v>124</v>
      </c>
      <c r="D305" s="206" t="s">
        <v>360</v>
      </c>
      <c r="E305" s="206" t="s">
        <v>361</v>
      </c>
      <c r="F305" s="206" t="s">
        <v>735</v>
      </c>
      <c r="G305" s="207">
        <v>26703</v>
      </c>
      <c r="H305" s="206" t="s">
        <v>88</v>
      </c>
      <c r="I305" s="206" t="s">
        <v>732</v>
      </c>
      <c r="J305" s="233">
        <v>0.17218543046357615</v>
      </c>
      <c r="K305" s="233">
        <v>0.15894039735099338</v>
      </c>
      <c r="L305" s="233">
        <v>0.56953642384105962</v>
      </c>
      <c r="M305" s="233">
        <v>5.2980132450331126E-2</v>
      </c>
      <c r="N305" s="233">
        <v>4.6357615894039736E-2</v>
      </c>
      <c r="O305" s="207">
        <v>17861</v>
      </c>
      <c r="P305" s="207">
        <f t="shared" si="12"/>
        <v>16265</v>
      </c>
      <c r="Q305" s="207">
        <v>3</v>
      </c>
      <c r="R305" s="207">
        <v>3</v>
      </c>
      <c r="U305" s="206">
        <v>0</v>
      </c>
      <c r="V305" s="206">
        <v>0</v>
      </c>
      <c r="W305" s="206">
        <v>1</v>
      </c>
      <c r="X305" s="206" t="e">
        <v>#DIV/0!</v>
      </c>
    </row>
    <row r="306" spans="1:24" x14ac:dyDescent="0.25">
      <c r="A306" s="206" t="str">
        <f t="shared" si="11"/>
        <v>SD07104Non-hosting Population</v>
      </c>
      <c r="B306" s="206" t="s">
        <v>188</v>
      </c>
      <c r="C306" s="206" t="s">
        <v>124</v>
      </c>
      <c r="D306" s="206" t="s">
        <v>360</v>
      </c>
      <c r="E306" s="206" t="s">
        <v>361</v>
      </c>
      <c r="F306" s="206" t="s">
        <v>735</v>
      </c>
      <c r="G306" s="207">
        <v>0</v>
      </c>
      <c r="H306" s="206" t="s">
        <v>568</v>
      </c>
      <c r="I306" s="206" t="s">
        <v>731</v>
      </c>
      <c r="J306" s="233">
        <v>0.17218543046357615</v>
      </c>
      <c r="K306" s="233">
        <v>0.15894039735099338</v>
      </c>
      <c r="L306" s="233">
        <v>0.56953642384105962</v>
      </c>
      <c r="M306" s="233">
        <v>5.2980132450331126E-2</v>
      </c>
      <c r="N306" s="233">
        <v>4.6357615894039736E-2</v>
      </c>
      <c r="O306" s="207">
        <v>0</v>
      </c>
      <c r="P306" s="207">
        <f t="shared" si="12"/>
        <v>0</v>
      </c>
      <c r="Q306" s="207">
        <v>3</v>
      </c>
      <c r="R306" s="207">
        <v>3</v>
      </c>
      <c r="U306" s="206">
        <v>0</v>
      </c>
      <c r="V306" s="206">
        <v>0</v>
      </c>
      <c r="W306" s="206">
        <v>1</v>
      </c>
      <c r="X306" s="206" t="e">
        <v>#DIV/0!</v>
      </c>
    </row>
    <row r="307" spans="1:24" x14ac:dyDescent="0.25">
      <c r="A307" s="206" t="str">
        <f t="shared" si="11"/>
        <v>SD07105Host Community</v>
      </c>
      <c r="B307" s="206" t="s">
        <v>188</v>
      </c>
      <c r="C307" s="206" t="s">
        <v>124</v>
      </c>
      <c r="D307" s="206" t="s">
        <v>362</v>
      </c>
      <c r="E307" s="206" t="s">
        <v>363</v>
      </c>
      <c r="F307" s="206" t="s">
        <v>735</v>
      </c>
      <c r="G307" s="207">
        <v>8373</v>
      </c>
      <c r="H307" s="206" t="s">
        <v>87</v>
      </c>
      <c r="I307" s="206" t="s">
        <v>731</v>
      </c>
      <c r="J307" s="233">
        <v>6.2111801242236021E-3</v>
      </c>
      <c r="K307" s="233">
        <v>5.5900621118012424E-2</v>
      </c>
      <c r="L307" s="233">
        <v>0.93167701863354035</v>
      </c>
      <c r="M307" s="233">
        <v>0</v>
      </c>
      <c r="N307" s="233">
        <v>6.2111801242236021E-3</v>
      </c>
      <c r="O307" s="207">
        <v>7853</v>
      </c>
      <c r="P307" s="207">
        <f t="shared" si="12"/>
        <v>7151</v>
      </c>
      <c r="Q307" s="207">
        <v>3</v>
      </c>
      <c r="R307" s="207">
        <v>3</v>
      </c>
      <c r="U307" s="206">
        <v>0</v>
      </c>
      <c r="V307" s="206">
        <v>0</v>
      </c>
      <c r="W307" s="206">
        <v>1</v>
      </c>
      <c r="X307" s="206" t="e">
        <v>#DIV/0!</v>
      </c>
    </row>
    <row r="308" spans="1:24" x14ac:dyDescent="0.25">
      <c r="A308" s="206" t="str">
        <f t="shared" si="11"/>
        <v>SD07105IDPs</v>
      </c>
      <c r="B308" s="206" t="s">
        <v>188</v>
      </c>
      <c r="C308" s="206" t="s">
        <v>124</v>
      </c>
      <c r="D308" s="206" t="s">
        <v>362</v>
      </c>
      <c r="E308" s="206" t="s">
        <v>363</v>
      </c>
      <c r="F308" s="206" t="s">
        <v>735</v>
      </c>
      <c r="G308" s="207">
        <v>6641</v>
      </c>
      <c r="H308" s="206" t="s">
        <v>88</v>
      </c>
      <c r="I308" s="206" t="s">
        <v>732</v>
      </c>
      <c r="J308" s="233">
        <v>6.2111801242236021E-3</v>
      </c>
      <c r="K308" s="233">
        <v>5.5900621118012424E-2</v>
      </c>
      <c r="L308" s="233">
        <v>0.93167701863354035</v>
      </c>
      <c r="M308" s="233">
        <v>0</v>
      </c>
      <c r="N308" s="233">
        <v>6.2111801242236021E-3</v>
      </c>
      <c r="O308" s="207">
        <v>6229</v>
      </c>
      <c r="P308" s="207">
        <f t="shared" si="12"/>
        <v>5672</v>
      </c>
      <c r="Q308" s="207">
        <v>3</v>
      </c>
      <c r="R308" s="207">
        <v>3</v>
      </c>
      <c r="U308" s="206">
        <v>0</v>
      </c>
      <c r="V308" s="206">
        <v>0</v>
      </c>
      <c r="W308" s="206">
        <v>1</v>
      </c>
      <c r="X308" s="206" t="e">
        <v>#DIV/0!</v>
      </c>
    </row>
    <row r="309" spans="1:24" x14ac:dyDescent="0.25">
      <c r="A309" s="206" t="str">
        <f t="shared" si="11"/>
        <v>SD07105Non-hosting Population</v>
      </c>
      <c r="B309" s="206" t="s">
        <v>188</v>
      </c>
      <c r="C309" s="206" t="s">
        <v>124</v>
      </c>
      <c r="D309" s="206" t="s">
        <v>362</v>
      </c>
      <c r="E309" s="206" t="s">
        <v>363</v>
      </c>
      <c r="F309" s="206" t="s">
        <v>735</v>
      </c>
      <c r="G309" s="207">
        <v>11654</v>
      </c>
      <c r="H309" s="206" t="s">
        <v>568</v>
      </c>
      <c r="I309" s="206" t="s">
        <v>731</v>
      </c>
      <c r="J309" s="233">
        <v>6.2111801242236021E-3</v>
      </c>
      <c r="K309" s="233">
        <v>5.5900621118012424E-2</v>
      </c>
      <c r="L309" s="233">
        <v>0.93167701863354035</v>
      </c>
      <c r="M309" s="233">
        <v>0</v>
      </c>
      <c r="N309" s="233">
        <v>6.2111801242236021E-3</v>
      </c>
      <c r="O309" s="207">
        <v>72</v>
      </c>
      <c r="P309" s="207">
        <f t="shared" si="12"/>
        <v>66</v>
      </c>
      <c r="Q309" s="207">
        <v>3</v>
      </c>
      <c r="R309" s="207">
        <v>3</v>
      </c>
      <c r="U309" s="206">
        <v>0</v>
      </c>
      <c r="V309" s="206">
        <v>0</v>
      </c>
      <c r="W309" s="206">
        <v>1</v>
      </c>
      <c r="X309" s="206" t="e">
        <v>#DIV/0!</v>
      </c>
    </row>
    <row r="310" spans="1:24" x14ac:dyDescent="0.25">
      <c r="A310" s="206" t="str">
        <f t="shared" si="11"/>
        <v>SD07106Host Community</v>
      </c>
      <c r="B310" s="206" t="s">
        <v>188</v>
      </c>
      <c r="C310" s="206" t="s">
        <v>124</v>
      </c>
      <c r="D310" s="206" t="s">
        <v>364</v>
      </c>
      <c r="E310" s="206" t="s">
        <v>365</v>
      </c>
      <c r="F310" s="206" t="s">
        <v>735</v>
      </c>
      <c r="G310" s="207">
        <v>2887</v>
      </c>
      <c r="H310" s="206" t="s">
        <v>87</v>
      </c>
      <c r="I310" s="206" t="s">
        <v>731</v>
      </c>
      <c r="J310" s="233">
        <v>0.1366906474820144</v>
      </c>
      <c r="K310" s="233">
        <v>0.37410071942446044</v>
      </c>
      <c r="L310" s="233">
        <v>0.41726618705035973</v>
      </c>
      <c r="M310" s="233">
        <v>0</v>
      </c>
      <c r="N310" s="233">
        <v>7.1942446043165464E-2</v>
      </c>
      <c r="O310" s="207">
        <v>1412</v>
      </c>
      <c r="P310" s="207">
        <f t="shared" si="12"/>
        <v>1286</v>
      </c>
      <c r="Q310" s="207">
        <v>3</v>
      </c>
      <c r="R310" s="207">
        <v>3</v>
      </c>
      <c r="U310" s="206">
        <v>0</v>
      </c>
      <c r="V310" s="206">
        <v>1</v>
      </c>
      <c r="W310" s="206">
        <v>1</v>
      </c>
      <c r="X310" s="206" t="e">
        <v>#DIV/0!</v>
      </c>
    </row>
    <row r="311" spans="1:24" x14ac:dyDescent="0.25">
      <c r="A311" s="206" t="str">
        <f t="shared" si="11"/>
        <v>SD07106IDPs</v>
      </c>
      <c r="B311" s="206" t="s">
        <v>188</v>
      </c>
      <c r="C311" s="206" t="s">
        <v>124</v>
      </c>
      <c r="D311" s="206" t="s">
        <v>364</v>
      </c>
      <c r="E311" s="206" t="s">
        <v>365</v>
      </c>
      <c r="F311" s="206" t="s">
        <v>735</v>
      </c>
      <c r="G311" s="207">
        <v>2093</v>
      </c>
      <c r="H311" s="206" t="s">
        <v>88</v>
      </c>
      <c r="I311" s="206" t="s">
        <v>732</v>
      </c>
      <c r="J311" s="233">
        <v>0.1366906474820144</v>
      </c>
      <c r="K311" s="233">
        <v>0.37410071942446044</v>
      </c>
      <c r="L311" s="233">
        <v>0.41726618705035973</v>
      </c>
      <c r="M311" s="233">
        <v>0</v>
      </c>
      <c r="N311" s="233">
        <v>7.1942446043165464E-2</v>
      </c>
      <c r="O311" s="207">
        <v>1024</v>
      </c>
      <c r="P311" s="207">
        <f t="shared" si="12"/>
        <v>933</v>
      </c>
      <c r="Q311" s="207">
        <v>3</v>
      </c>
      <c r="R311" s="207">
        <v>3</v>
      </c>
      <c r="U311" s="206">
        <v>0</v>
      </c>
      <c r="V311" s="206">
        <v>0</v>
      </c>
      <c r="W311" s="206">
        <v>1</v>
      </c>
      <c r="X311" s="206" t="e">
        <v>#DIV/0!</v>
      </c>
    </row>
    <row r="312" spans="1:24" x14ac:dyDescent="0.25">
      <c r="A312" s="206" t="str">
        <f t="shared" si="11"/>
        <v>SD07106Non-hosting Population</v>
      </c>
      <c r="B312" s="206" t="s">
        <v>188</v>
      </c>
      <c r="C312" s="206" t="s">
        <v>124</v>
      </c>
      <c r="D312" s="206" t="s">
        <v>364</v>
      </c>
      <c r="E312" s="206" t="s">
        <v>365</v>
      </c>
      <c r="F312" s="206" t="s">
        <v>735</v>
      </c>
      <c r="G312" s="207">
        <v>44539</v>
      </c>
      <c r="H312" s="206" t="s">
        <v>568</v>
      </c>
      <c r="I312" s="206" t="s">
        <v>731</v>
      </c>
      <c r="J312" s="233">
        <v>0.1366906474820144</v>
      </c>
      <c r="K312" s="233">
        <v>0.37410071942446044</v>
      </c>
      <c r="L312" s="233">
        <v>0.41726618705035973</v>
      </c>
      <c r="M312" s="233">
        <v>0</v>
      </c>
      <c r="N312" s="233">
        <v>7.1942446043165464E-2</v>
      </c>
      <c r="O312" s="207">
        <v>3204</v>
      </c>
      <c r="P312" s="207">
        <f t="shared" si="12"/>
        <v>2918</v>
      </c>
      <c r="Q312" s="207">
        <v>3</v>
      </c>
      <c r="R312" s="207">
        <v>3</v>
      </c>
      <c r="U312" s="206">
        <v>0</v>
      </c>
      <c r="V312" s="206">
        <v>1</v>
      </c>
      <c r="W312" s="206">
        <v>1</v>
      </c>
      <c r="X312" s="206" t="e">
        <v>#DIV/0!</v>
      </c>
    </row>
    <row r="313" spans="1:24" x14ac:dyDescent="0.25">
      <c r="A313" s="206" t="str">
        <f t="shared" si="11"/>
        <v>SD07107Host Community</v>
      </c>
      <c r="B313" s="206" t="s">
        <v>188</v>
      </c>
      <c r="C313" s="206" t="s">
        <v>124</v>
      </c>
      <c r="D313" s="206" t="s">
        <v>366</v>
      </c>
      <c r="E313" s="206" t="s">
        <v>367</v>
      </c>
      <c r="F313" s="206" t="s">
        <v>735</v>
      </c>
      <c r="G313" s="207">
        <v>4781</v>
      </c>
      <c r="H313" s="206" t="s">
        <v>87</v>
      </c>
      <c r="I313" s="206" t="s">
        <v>731</v>
      </c>
      <c r="J313" s="233">
        <v>9.8765432098765427E-2</v>
      </c>
      <c r="K313" s="233">
        <v>0.18518518518518517</v>
      </c>
      <c r="L313" s="233">
        <v>0.69753086419753085</v>
      </c>
      <c r="M313" s="233">
        <v>0</v>
      </c>
      <c r="N313" s="233">
        <v>1.8518518518518517E-2</v>
      </c>
      <c r="O313" s="207">
        <v>3423</v>
      </c>
      <c r="P313" s="207">
        <f t="shared" si="12"/>
        <v>3117</v>
      </c>
      <c r="Q313" s="207">
        <v>3</v>
      </c>
      <c r="R313" s="207">
        <v>3</v>
      </c>
      <c r="U313" s="206" t="e">
        <v>#DIV/0!</v>
      </c>
      <c r="V313" s="206" t="e">
        <v>#DIV/0!</v>
      </c>
      <c r="W313" s="206">
        <v>1</v>
      </c>
      <c r="X313" s="206" t="e">
        <v>#DIV/0!</v>
      </c>
    </row>
    <row r="314" spans="1:24" x14ac:dyDescent="0.25">
      <c r="A314" s="206" t="str">
        <f t="shared" si="11"/>
        <v>SD07107IDPs</v>
      </c>
      <c r="B314" s="206" t="s">
        <v>188</v>
      </c>
      <c r="C314" s="206" t="s">
        <v>124</v>
      </c>
      <c r="D314" s="206" t="s">
        <v>366</v>
      </c>
      <c r="E314" s="206" t="s">
        <v>367</v>
      </c>
      <c r="F314" s="206" t="s">
        <v>735</v>
      </c>
      <c r="G314" s="207">
        <v>4781</v>
      </c>
      <c r="H314" s="206" t="s">
        <v>88</v>
      </c>
      <c r="I314" s="206" t="s">
        <v>732</v>
      </c>
      <c r="J314" s="233">
        <v>9.8765432098765427E-2</v>
      </c>
      <c r="K314" s="233">
        <v>0.18518518518518517</v>
      </c>
      <c r="L314" s="233">
        <v>0.69753086419753085</v>
      </c>
      <c r="M314" s="233">
        <v>0</v>
      </c>
      <c r="N314" s="233">
        <v>1.8518518518518517E-2</v>
      </c>
      <c r="O314" s="207">
        <v>3423</v>
      </c>
      <c r="P314" s="207">
        <f t="shared" si="12"/>
        <v>3117</v>
      </c>
      <c r="Q314" s="207">
        <v>3</v>
      </c>
      <c r="R314" s="207">
        <v>3</v>
      </c>
      <c r="U314" s="206">
        <v>0</v>
      </c>
      <c r="V314" s="206">
        <v>0</v>
      </c>
      <c r="W314" s="206">
        <v>1</v>
      </c>
      <c r="X314" s="206" t="e">
        <v>#DIV/0!</v>
      </c>
    </row>
    <row r="315" spans="1:24" x14ac:dyDescent="0.25">
      <c r="A315" s="206" t="str">
        <f t="shared" si="11"/>
        <v>SD07107Non-hosting Population</v>
      </c>
      <c r="B315" s="206" t="s">
        <v>188</v>
      </c>
      <c r="C315" s="206" t="s">
        <v>124</v>
      </c>
      <c r="D315" s="206" t="s">
        <v>366</v>
      </c>
      <c r="E315" s="206" t="s">
        <v>367</v>
      </c>
      <c r="F315" s="206" t="s">
        <v>735</v>
      </c>
      <c r="G315" s="207">
        <v>5586</v>
      </c>
      <c r="H315" s="206" t="s">
        <v>568</v>
      </c>
      <c r="I315" s="206" t="s">
        <v>731</v>
      </c>
      <c r="J315" s="233">
        <v>9.8765432098765427E-2</v>
      </c>
      <c r="K315" s="233">
        <v>0.18518518518518517</v>
      </c>
      <c r="L315" s="233">
        <v>0.69753086419753085</v>
      </c>
      <c r="M315" s="233">
        <v>0</v>
      </c>
      <c r="N315" s="233">
        <v>1.8518518518518517E-2</v>
      </c>
      <c r="O315" s="207">
        <v>103</v>
      </c>
      <c r="P315" s="207">
        <f t="shared" si="12"/>
        <v>94</v>
      </c>
      <c r="Q315" s="207">
        <v>3</v>
      </c>
      <c r="R315" s="207">
        <v>3</v>
      </c>
      <c r="U315" s="206" t="e">
        <v>#DIV/0!</v>
      </c>
      <c r="V315" s="206" t="e">
        <v>#DIV/0!</v>
      </c>
      <c r="W315" s="206">
        <v>1</v>
      </c>
      <c r="X315" s="206" t="e">
        <v>#DIV/0!</v>
      </c>
    </row>
    <row r="316" spans="1:24" x14ac:dyDescent="0.25">
      <c r="A316" s="206" t="str">
        <f t="shared" si="11"/>
        <v>SD07108Host Community</v>
      </c>
      <c r="B316" s="206" t="s">
        <v>188</v>
      </c>
      <c r="C316" s="206" t="s">
        <v>124</v>
      </c>
      <c r="D316" s="206" t="s">
        <v>368</v>
      </c>
      <c r="E316" s="206" t="s">
        <v>369</v>
      </c>
      <c r="F316" s="206" t="s">
        <v>735</v>
      </c>
      <c r="G316" s="207">
        <v>0</v>
      </c>
      <c r="H316" s="206" t="s">
        <v>87</v>
      </c>
      <c r="I316" s="206" t="s">
        <v>731</v>
      </c>
      <c r="J316" s="233">
        <v>0.11347517730496454</v>
      </c>
      <c r="K316" s="233">
        <v>0.22695035460992907</v>
      </c>
      <c r="L316" s="233">
        <v>0.61702127659574468</v>
      </c>
      <c r="M316" s="233">
        <v>3.5460992907801421E-2</v>
      </c>
      <c r="N316" s="233">
        <v>7.0921985815602835E-3</v>
      </c>
      <c r="O316" s="207">
        <v>0</v>
      </c>
      <c r="P316" s="207">
        <f t="shared" si="12"/>
        <v>0</v>
      </c>
      <c r="Q316" s="207">
        <v>3</v>
      </c>
      <c r="R316" s="207">
        <v>3</v>
      </c>
      <c r="U316" s="206">
        <v>0</v>
      </c>
      <c r="V316" s="206">
        <v>1</v>
      </c>
      <c r="W316" s="206">
        <v>0</v>
      </c>
      <c r="X316" s="206" t="e">
        <v>#DIV/0!</v>
      </c>
    </row>
    <row r="317" spans="1:24" x14ac:dyDescent="0.25">
      <c r="A317" s="206" t="str">
        <f t="shared" si="11"/>
        <v>SD07108IDPs</v>
      </c>
      <c r="B317" s="206" t="s">
        <v>188</v>
      </c>
      <c r="C317" s="206" t="s">
        <v>124</v>
      </c>
      <c r="D317" s="206" t="s">
        <v>368</v>
      </c>
      <c r="E317" s="206" t="s">
        <v>369</v>
      </c>
      <c r="F317" s="206" t="s">
        <v>735</v>
      </c>
      <c r="G317" s="207">
        <v>13458</v>
      </c>
      <c r="H317" s="206" t="s">
        <v>88</v>
      </c>
      <c r="I317" s="206" t="s">
        <v>732</v>
      </c>
      <c r="J317" s="233">
        <v>0.11347517730496454</v>
      </c>
      <c r="K317" s="233">
        <v>0.22695035460992907</v>
      </c>
      <c r="L317" s="233">
        <v>0.61702127659574468</v>
      </c>
      <c r="M317" s="233">
        <v>3.5460992907801421E-2</v>
      </c>
      <c r="N317" s="233">
        <v>7.0921985815602835E-3</v>
      </c>
      <c r="O317" s="207">
        <v>8877</v>
      </c>
      <c r="P317" s="207">
        <f t="shared" si="12"/>
        <v>8084</v>
      </c>
      <c r="Q317" s="207">
        <v>3</v>
      </c>
      <c r="R317" s="207">
        <v>3</v>
      </c>
      <c r="U317" s="206">
        <v>0</v>
      </c>
      <c r="V317" s="206">
        <v>1</v>
      </c>
      <c r="W317" s="206">
        <v>1</v>
      </c>
      <c r="X317" s="206" t="e">
        <v>#DIV/0!</v>
      </c>
    </row>
    <row r="318" spans="1:24" x14ac:dyDescent="0.25">
      <c r="A318" s="206" t="str">
        <f t="shared" si="11"/>
        <v>SD07108Non-hosting Population</v>
      </c>
      <c r="B318" s="206" t="s">
        <v>188</v>
      </c>
      <c r="C318" s="206" t="s">
        <v>124</v>
      </c>
      <c r="D318" s="206" t="s">
        <v>368</v>
      </c>
      <c r="E318" s="206" t="s">
        <v>369</v>
      </c>
      <c r="F318" s="206" t="s">
        <v>735</v>
      </c>
      <c r="G318" s="207">
        <v>0</v>
      </c>
      <c r="H318" s="206" t="s">
        <v>568</v>
      </c>
      <c r="I318" s="206" t="s">
        <v>731</v>
      </c>
      <c r="J318" s="233">
        <v>0.11347517730496454</v>
      </c>
      <c r="K318" s="233">
        <v>0.22695035460992907</v>
      </c>
      <c r="L318" s="233">
        <v>0.61702127659574468</v>
      </c>
      <c r="M318" s="233">
        <v>3.5460992907801421E-2</v>
      </c>
      <c r="N318" s="233">
        <v>7.0921985815602835E-3</v>
      </c>
      <c r="O318" s="207">
        <v>0</v>
      </c>
      <c r="P318" s="207">
        <f t="shared" si="12"/>
        <v>0</v>
      </c>
      <c r="Q318" s="207">
        <v>3</v>
      </c>
      <c r="R318" s="207">
        <v>3</v>
      </c>
      <c r="U318" s="206">
        <v>0</v>
      </c>
      <c r="V318" s="206">
        <v>1</v>
      </c>
      <c r="W318" s="206">
        <v>0</v>
      </c>
      <c r="X318" s="206" t="e">
        <v>#DIV/0!</v>
      </c>
    </row>
    <row r="319" spans="1:24" x14ac:dyDescent="0.25">
      <c r="A319" s="206" t="str">
        <f t="shared" si="11"/>
        <v>SD08104Host Community</v>
      </c>
      <c r="B319" s="206" t="s">
        <v>150</v>
      </c>
      <c r="C319" s="206" t="s">
        <v>125</v>
      </c>
      <c r="D319" s="206" t="s">
        <v>370</v>
      </c>
      <c r="E319" s="206" t="s">
        <v>371</v>
      </c>
      <c r="F319" s="206" t="s">
        <v>736</v>
      </c>
      <c r="G319" s="207">
        <v>50471</v>
      </c>
      <c r="H319" s="206" t="s">
        <v>87</v>
      </c>
      <c r="I319" s="206" t="s">
        <v>731</v>
      </c>
      <c r="J319" s="233">
        <v>0</v>
      </c>
      <c r="K319" s="233">
        <v>4.1666666666666664E-2</v>
      </c>
      <c r="L319" s="233">
        <v>0.58333333333333337</v>
      </c>
      <c r="M319" s="233">
        <v>0.31666666666666665</v>
      </c>
      <c r="N319" s="233">
        <v>5.8333333333333334E-2</v>
      </c>
      <c r="O319" s="207">
        <v>48368</v>
      </c>
      <c r="P319" s="207">
        <f t="shared" si="12"/>
        <v>44046</v>
      </c>
      <c r="Q319" s="207">
        <v>4</v>
      </c>
      <c r="R319" s="207">
        <v>4</v>
      </c>
      <c r="U319" s="206">
        <v>0</v>
      </c>
      <c r="V319" s="206">
        <v>1</v>
      </c>
      <c r="W319" s="206">
        <v>1</v>
      </c>
      <c r="X319" s="206" t="e">
        <v>#DIV/0!</v>
      </c>
    </row>
    <row r="320" spans="1:24" x14ac:dyDescent="0.25">
      <c r="A320" s="206" t="str">
        <f t="shared" si="11"/>
        <v>SD08104IDPs</v>
      </c>
      <c r="B320" s="206" t="s">
        <v>150</v>
      </c>
      <c r="C320" s="206" t="s">
        <v>125</v>
      </c>
      <c r="D320" s="206" t="s">
        <v>370</v>
      </c>
      <c r="E320" s="206" t="s">
        <v>371</v>
      </c>
      <c r="F320" s="206" t="s">
        <v>736</v>
      </c>
      <c r="G320" s="207">
        <v>50471</v>
      </c>
      <c r="H320" s="206" t="s">
        <v>88</v>
      </c>
      <c r="I320" s="206" t="s">
        <v>732</v>
      </c>
      <c r="J320" s="233">
        <v>0</v>
      </c>
      <c r="K320" s="233">
        <v>4.1666666666666664E-2</v>
      </c>
      <c r="L320" s="233">
        <v>0.58333333333333337</v>
      </c>
      <c r="M320" s="233">
        <v>0.31666666666666665</v>
      </c>
      <c r="N320" s="233">
        <v>5.8333333333333334E-2</v>
      </c>
      <c r="O320" s="207">
        <v>48368</v>
      </c>
      <c r="P320" s="207">
        <f t="shared" si="12"/>
        <v>44046</v>
      </c>
      <c r="Q320" s="207">
        <v>4</v>
      </c>
      <c r="R320" s="207">
        <v>4</v>
      </c>
      <c r="U320" s="206">
        <v>0</v>
      </c>
      <c r="V320" s="206">
        <v>1</v>
      </c>
      <c r="W320" s="206">
        <v>1</v>
      </c>
      <c r="X320" s="206" t="e">
        <v>#DIV/0!</v>
      </c>
    </row>
    <row r="321" spans="1:24" x14ac:dyDescent="0.25">
      <c r="A321" s="206" t="str">
        <f t="shared" si="11"/>
        <v>SD08104Non-hosting Population</v>
      </c>
      <c r="B321" s="206" t="s">
        <v>150</v>
      </c>
      <c r="C321" s="206" t="s">
        <v>125</v>
      </c>
      <c r="D321" s="206" t="s">
        <v>370</v>
      </c>
      <c r="E321" s="206" t="s">
        <v>371</v>
      </c>
      <c r="F321" s="206" t="s">
        <v>736</v>
      </c>
      <c r="G321" s="207">
        <v>5384</v>
      </c>
      <c r="H321" s="206" t="s">
        <v>568</v>
      </c>
      <c r="I321" s="206" t="s">
        <v>731</v>
      </c>
      <c r="J321" s="233">
        <v>0</v>
      </c>
      <c r="K321" s="233">
        <v>4.1666666666666664E-2</v>
      </c>
      <c r="L321" s="233">
        <v>0.58333333333333337</v>
      </c>
      <c r="M321" s="233">
        <v>0.31666666666666665</v>
      </c>
      <c r="N321" s="233">
        <v>5.8333333333333334E-2</v>
      </c>
      <c r="O321" s="207">
        <v>2019</v>
      </c>
      <c r="P321" s="207">
        <f t="shared" si="12"/>
        <v>1839</v>
      </c>
      <c r="Q321" s="207">
        <v>4</v>
      </c>
      <c r="R321" s="207">
        <v>4</v>
      </c>
      <c r="U321" s="206">
        <v>0</v>
      </c>
      <c r="V321" s="206">
        <v>1</v>
      </c>
      <c r="W321" s="206">
        <v>1</v>
      </c>
      <c r="X321" s="206" t="e">
        <v>#DIV/0!</v>
      </c>
    </row>
    <row r="322" spans="1:24" x14ac:dyDescent="0.25">
      <c r="A322" s="206" t="str">
        <f t="shared" si="11"/>
        <v>SD08105Host Community</v>
      </c>
      <c r="B322" s="206" t="s">
        <v>150</v>
      </c>
      <c r="C322" s="206" t="s">
        <v>125</v>
      </c>
      <c r="D322" s="206" t="s">
        <v>372</v>
      </c>
      <c r="E322" s="206" t="s">
        <v>373</v>
      </c>
      <c r="F322" s="206" t="s">
        <v>736</v>
      </c>
      <c r="G322" s="207">
        <v>129751</v>
      </c>
      <c r="H322" s="206" t="s">
        <v>87</v>
      </c>
      <c r="I322" s="206" t="s">
        <v>731</v>
      </c>
      <c r="J322" s="233">
        <v>2.0408163265306121E-2</v>
      </c>
      <c r="K322" s="233">
        <v>0.31972789115646261</v>
      </c>
      <c r="L322" s="233">
        <v>0.63265306122448983</v>
      </c>
      <c r="M322" s="233">
        <v>6.8027210884353739E-3</v>
      </c>
      <c r="N322" s="233">
        <v>2.0408163265306121E-2</v>
      </c>
      <c r="O322" s="207">
        <v>85618</v>
      </c>
      <c r="P322" s="207">
        <f t="shared" si="12"/>
        <v>77968</v>
      </c>
      <c r="Q322" s="207">
        <v>3</v>
      </c>
      <c r="R322" s="207">
        <v>3</v>
      </c>
      <c r="U322" s="206">
        <v>0</v>
      </c>
      <c r="V322" s="206">
        <v>0</v>
      </c>
      <c r="W322" s="206">
        <v>0</v>
      </c>
      <c r="X322" s="206" t="e">
        <v>#DIV/0!</v>
      </c>
    </row>
    <row r="323" spans="1:24" x14ac:dyDescent="0.25">
      <c r="A323" s="206" t="str">
        <f t="shared" si="11"/>
        <v>SD08105IDPs</v>
      </c>
      <c r="B323" s="206" t="s">
        <v>150</v>
      </c>
      <c r="C323" s="206" t="s">
        <v>125</v>
      </c>
      <c r="D323" s="206" t="s">
        <v>372</v>
      </c>
      <c r="E323" s="206" t="s">
        <v>373</v>
      </c>
      <c r="F323" s="206" t="s">
        <v>736</v>
      </c>
      <c r="G323" s="207">
        <v>126167</v>
      </c>
      <c r="H323" s="206" t="s">
        <v>88</v>
      </c>
      <c r="I323" s="206" t="s">
        <v>732</v>
      </c>
      <c r="J323" s="233">
        <v>2.0408163265306121E-2</v>
      </c>
      <c r="K323" s="233">
        <v>0.31972789115646261</v>
      </c>
      <c r="L323" s="233">
        <v>0.63265306122448983</v>
      </c>
      <c r="M323" s="233">
        <v>6.8027210884353739E-3</v>
      </c>
      <c r="N323" s="233">
        <v>2.0408163265306121E-2</v>
      </c>
      <c r="O323" s="207">
        <v>83253</v>
      </c>
      <c r="P323" s="207">
        <f t="shared" si="12"/>
        <v>75814</v>
      </c>
      <c r="Q323" s="207">
        <v>3</v>
      </c>
      <c r="R323" s="207">
        <v>3</v>
      </c>
      <c r="U323" s="206">
        <v>0</v>
      </c>
      <c r="V323" s="206">
        <v>0</v>
      </c>
      <c r="W323" s="206">
        <v>1</v>
      </c>
      <c r="X323" s="206" t="e">
        <v>#DIV/0!</v>
      </c>
    </row>
    <row r="324" spans="1:24" x14ac:dyDescent="0.25">
      <c r="A324" s="206" t="str">
        <f t="shared" si="11"/>
        <v>SD08105Non-hosting Population</v>
      </c>
      <c r="B324" s="206" t="s">
        <v>150</v>
      </c>
      <c r="C324" s="206" t="s">
        <v>125</v>
      </c>
      <c r="D324" s="206" t="s">
        <v>372</v>
      </c>
      <c r="E324" s="206" t="s">
        <v>373</v>
      </c>
      <c r="F324" s="206" t="s">
        <v>736</v>
      </c>
      <c r="G324" s="207">
        <v>21850</v>
      </c>
      <c r="H324" s="206" t="s">
        <v>568</v>
      </c>
      <c r="I324" s="206" t="s">
        <v>731</v>
      </c>
      <c r="J324" s="233">
        <v>2.0408163265306121E-2</v>
      </c>
      <c r="K324" s="233">
        <v>0.31972789115646261</v>
      </c>
      <c r="L324" s="233">
        <v>0.63265306122448983</v>
      </c>
      <c r="M324" s="233">
        <v>6.8027210884353739E-3</v>
      </c>
      <c r="N324" s="233">
        <v>2.0408163265306121E-2</v>
      </c>
      <c r="O324" s="207">
        <v>595</v>
      </c>
      <c r="P324" s="207">
        <f t="shared" si="12"/>
        <v>542</v>
      </c>
      <c r="Q324" s="207">
        <v>3</v>
      </c>
      <c r="R324" s="207">
        <v>3</v>
      </c>
      <c r="U324" s="206">
        <v>0</v>
      </c>
      <c r="V324" s="206">
        <v>0</v>
      </c>
      <c r="W324" s="206">
        <v>0</v>
      </c>
      <c r="X324" s="206" t="e">
        <v>#DIV/0!</v>
      </c>
    </row>
    <row r="325" spans="1:24" x14ac:dyDescent="0.25">
      <c r="A325" s="206" t="str">
        <f t="shared" si="11"/>
        <v>SD08106Host Community</v>
      </c>
      <c r="B325" s="206" t="s">
        <v>150</v>
      </c>
      <c r="C325" s="206" t="s">
        <v>125</v>
      </c>
      <c r="D325" s="206" t="s">
        <v>374</v>
      </c>
      <c r="E325" s="206" t="s">
        <v>375</v>
      </c>
      <c r="F325" s="206" t="s">
        <v>736</v>
      </c>
      <c r="G325" s="207">
        <v>17761</v>
      </c>
      <c r="H325" s="206" t="s">
        <v>87</v>
      </c>
      <c r="I325" s="206" t="s">
        <v>731</v>
      </c>
      <c r="J325" s="233">
        <v>0</v>
      </c>
      <c r="K325" s="233">
        <v>7.1428571428571425E-2</v>
      </c>
      <c r="L325" s="233">
        <v>0.83333333333333337</v>
      </c>
      <c r="M325" s="233">
        <v>3.968253968253968E-2</v>
      </c>
      <c r="N325" s="233">
        <v>5.5555555555555552E-2</v>
      </c>
      <c r="O325" s="207">
        <v>16492</v>
      </c>
      <c r="P325" s="207">
        <f t="shared" si="12"/>
        <v>15018</v>
      </c>
      <c r="Q325" s="207">
        <v>3</v>
      </c>
      <c r="R325" s="207">
        <v>3</v>
      </c>
      <c r="U325" s="206">
        <v>0</v>
      </c>
      <c r="V325" s="206">
        <v>1</v>
      </c>
      <c r="W325" s="206">
        <v>1</v>
      </c>
      <c r="X325" s="206" t="e">
        <v>#DIV/0!</v>
      </c>
    </row>
    <row r="326" spans="1:24" x14ac:dyDescent="0.25">
      <c r="A326" s="206" t="str">
        <f t="shared" si="11"/>
        <v>SD08106IDPs</v>
      </c>
      <c r="B326" s="206" t="s">
        <v>150</v>
      </c>
      <c r="C326" s="206" t="s">
        <v>125</v>
      </c>
      <c r="D326" s="206" t="s">
        <v>374</v>
      </c>
      <c r="E326" s="206" t="s">
        <v>375</v>
      </c>
      <c r="F326" s="206" t="s">
        <v>736</v>
      </c>
      <c r="G326" s="207">
        <v>18121</v>
      </c>
      <c r="H326" s="206" t="s">
        <v>88</v>
      </c>
      <c r="I326" s="206" t="s">
        <v>732</v>
      </c>
      <c r="J326" s="233">
        <v>0</v>
      </c>
      <c r="K326" s="233">
        <v>7.1428571428571425E-2</v>
      </c>
      <c r="L326" s="233">
        <v>0.83333333333333337</v>
      </c>
      <c r="M326" s="233">
        <v>3.968253968253968E-2</v>
      </c>
      <c r="N326" s="233">
        <v>5.5555555555555552E-2</v>
      </c>
      <c r="O326" s="207">
        <v>16827</v>
      </c>
      <c r="P326" s="207">
        <f t="shared" si="12"/>
        <v>15323</v>
      </c>
      <c r="Q326" s="207">
        <v>3</v>
      </c>
      <c r="R326" s="207">
        <v>3</v>
      </c>
      <c r="U326" s="206">
        <v>0</v>
      </c>
      <c r="V326" s="206">
        <v>1</v>
      </c>
      <c r="W326" s="206">
        <v>1</v>
      </c>
      <c r="X326" s="206" t="e">
        <v>#DIV/0!</v>
      </c>
    </row>
    <row r="327" spans="1:24" x14ac:dyDescent="0.25">
      <c r="A327" s="206" t="str">
        <f t="shared" si="11"/>
        <v>SD08106Non-hosting Population</v>
      </c>
      <c r="B327" s="206" t="s">
        <v>150</v>
      </c>
      <c r="C327" s="206" t="s">
        <v>125</v>
      </c>
      <c r="D327" s="206" t="s">
        <v>374</v>
      </c>
      <c r="E327" s="206" t="s">
        <v>375</v>
      </c>
      <c r="F327" s="206" t="s">
        <v>736</v>
      </c>
      <c r="G327" s="207">
        <v>45211</v>
      </c>
      <c r="H327" s="206" t="s">
        <v>568</v>
      </c>
      <c r="I327" s="206" t="s">
        <v>731</v>
      </c>
      <c r="J327" s="233">
        <v>0</v>
      </c>
      <c r="K327" s="233">
        <v>7.1428571428571425E-2</v>
      </c>
      <c r="L327" s="233">
        <v>0.83333333333333337</v>
      </c>
      <c r="M327" s="233">
        <v>3.968253968253968E-2</v>
      </c>
      <c r="N327" s="233">
        <v>5.5555555555555552E-2</v>
      </c>
      <c r="O327" s="207">
        <v>4306</v>
      </c>
      <c r="P327" s="207">
        <f t="shared" si="12"/>
        <v>3921</v>
      </c>
      <c r="Q327" s="207">
        <v>3</v>
      </c>
      <c r="R327" s="207">
        <v>3</v>
      </c>
      <c r="U327" s="206">
        <v>0</v>
      </c>
      <c r="V327" s="206">
        <v>1</v>
      </c>
      <c r="W327" s="206">
        <v>1</v>
      </c>
      <c r="X327" s="206" t="e">
        <v>#DIV/0!</v>
      </c>
    </row>
    <row r="328" spans="1:24" x14ac:dyDescent="0.25">
      <c r="A328" s="206" t="str">
        <f t="shared" si="11"/>
        <v>SD08107Host Community</v>
      </c>
      <c r="B328" s="206" t="s">
        <v>150</v>
      </c>
      <c r="C328" s="206" t="s">
        <v>125</v>
      </c>
      <c r="D328" s="206" t="s">
        <v>376</v>
      </c>
      <c r="E328" s="206" t="s">
        <v>377</v>
      </c>
      <c r="F328" s="206" t="s">
        <v>736</v>
      </c>
      <c r="G328" s="207">
        <v>50975</v>
      </c>
      <c r="H328" s="206" t="s">
        <v>87</v>
      </c>
      <c r="I328" s="206" t="s">
        <v>731</v>
      </c>
      <c r="J328" s="233">
        <v>0.36799999999999999</v>
      </c>
      <c r="K328" s="233">
        <v>0.44</v>
      </c>
      <c r="L328" s="233">
        <v>0.17599999999999999</v>
      </c>
      <c r="M328" s="233">
        <v>1.6E-2</v>
      </c>
      <c r="N328" s="233">
        <v>0</v>
      </c>
      <c r="O328" s="207">
        <v>9787</v>
      </c>
      <c r="P328" s="207">
        <f t="shared" si="12"/>
        <v>8913</v>
      </c>
      <c r="Q328" s="207">
        <v>2</v>
      </c>
      <c r="R328" s="207">
        <v>2</v>
      </c>
      <c r="U328" s="206">
        <v>0</v>
      </c>
      <c r="V328" s="206">
        <v>0</v>
      </c>
      <c r="W328" s="206">
        <v>0</v>
      </c>
      <c r="X328" s="206" t="e">
        <v>#DIV/0!</v>
      </c>
    </row>
    <row r="329" spans="1:24" x14ac:dyDescent="0.25">
      <c r="A329" s="206" t="str">
        <f t="shared" si="11"/>
        <v>SD08107IDPs</v>
      </c>
      <c r="B329" s="206" t="s">
        <v>150</v>
      </c>
      <c r="C329" s="206" t="s">
        <v>125</v>
      </c>
      <c r="D329" s="206" t="s">
        <v>376</v>
      </c>
      <c r="E329" s="206" t="s">
        <v>377</v>
      </c>
      <c r="F329" s="206" t="s">
        <v>736</v>
      </c>
      <c r="G329" s="207">
        <v>55712</v>
      </c>
      <c r="H329" s="206" t="s">
        <v>88</v>
      </c>
      <c r="I329" s="206" t="s">
        <v>732</v>
      </c>
      <c r="J329" s="233">
        <v>0.36799999999999999</v>
      </c>
      <c r="K329" s="233">
        <v>0.44</v>
      </c>
      <c r="L329" s="233">
        <v>0.17599999999999999</v>
      </c>
      <c r="M329" s="233">
        <v>1.6E-2</v>
      </c>
      <c r="N329" s="233">
        <v>0</v>
      </c>
      <c r="O329" s="207">
        <v>10697</v>
      </c>
      <c r="P329" s="207">
        <f t="shared" si="12"/>
        <v>9741</v>
      </c>
      <c r="Q329" s="207">
        <v>2</v>
      </c>
      <c r="R329" s="207">
        <v>2</v>
      </c>
      <c r="U329" s="206">
        <v>1</v>
      </c>
      <c r="V329" s="206">
        <v>0</v>
      </c>
      <c r="W329" s="206">
        <v>1</v>
      </c>
      <c r="X329" s="206" t="e">
        <v>#DIV/0!</v>
      </c>
    </row>
    <row r="330" spans="1:24" x14ac:dyDescent="0.25">
      <c r="A330" s="206" t="str">
        <f t="shared" si="11"/>
        <v>SD08107Non-hosting Population</v>
      </c>
      <c r="B330" s="206" t="s">
        <v>150</v>
      </c>
      <c r="C330" s="206" t="s">
        <v>125</v>
      </c>
      <c r="D330" s="206" t="s">
        <v>376</v>
      </c>
      <c r="E330" s="206" t="s">
        <v>377</v>
      </c>
      <c r="F330" s="206" t="s">
        <v>736</v>
      </c>
      <c r="G330" s="207">
        <v>21633</v>
      </c>
      <c r="H330" s="206" t="s">
        <v>568</v>
      </c>
      <c r="I330" s="206" t="s">
        <v>731</v>
      </c>
      <c r="J330" s="233">
        <v>0.36799999999999999</v>
      </c>
      <c r="K330" s="233">
        <v>0.44</v>
      </c>
      <c r="L330" s="233">
        <v>0.17599999999999999</v>
      </c>
      <c r="M330" s="233">
        <v>1.6E-2</v>
      </c>
      <c r="N330" s="233">
        <v>0</v>
      </c>
      <c r="O330" s="207">
        <v>346</v>
      </c>
      <c r="P330" s="207">
        <f t="shared" si="12"/>
        <v>315</v>
      </c>
      <c r="Q330" s="207">
        <v>2</v>
      </c>
      <c r="R330" s="207">
        <v>2</v>
      </c>
      <c r="U330" s="206">
        <v>0</v>
      </c>
      <c r="V330" s="206">
        <v>0</v>
      </c>
      <c r="W330" s="206">
        <v>0</v>
      </c>
      <c r="X330" s="206" t="e">
        <v>#DIV/0!</v>
      </c>
    </row>
    <row r="331" spans="1:24" x14ac:dyDescent="0.25">
      <c r="A331" s="206" t="str">
        <f t="shared" ref="A331:A394" si="13">CONCATENATE(E331,H331)</f>
        <v>SD08108Host Community</v>
      </c>
      <c r="B331" s="206" t="s">
        <v>150</v>
      </c>
      <c r="C331" s="206" t="s">
        <v>125</v>
      </c>
      <c r="D331" s="206" t="s">
        <v>378</v>
      </c>
      <c r="E331" s="206" t="s">
        <v>379</v>
      </c>
      <c r="F331" s="206" t="s">
        <v>736</v>
      </c>
      <c r="G331" s="207">
        <v>21640</v>
      </c>
      <c r="H331" s="206" t="s">
        <v>87</v>
      </c>
      <c r="I331" s="206" t="s">
        <v>731</v>
      </c>
      <c r="J331" s="233">
        <v>3.4722222222222224E-2</v>
      </c>
      <c r="K331" s="233">
        <v>0.13194444444444445</v>
      </c>
      <c r="L331" s="233">
        <v>0.76388888888888884</v>
      </c>
      <c r="M331" s="233">
        <v>2.0833333333333332E-2</v>
      </c>
      <c r="N331" s="233">
        <v>4.8611111111111112E-2</v>
      </c>
      <c r="O331" s="207">
        <v>18033</v>
      </c>
      <c r="P331" s="207">
        <f t="shared" ref="P331:P394" si="14">ROUND(O331*$AB$5,0)</f>
        <v>16422</v>
      </c>
      <c r="Q331" s="207">
        <v>3</v>
      </c>
      <c r="R331" s="207">
        <v>3</v>
      </c>
      <c r="U331" s="206">
        <v>0</v>
      </c>
      <c r="V331" s="206">
        <v>0</v>
      </c>
      <c r="W331" s="206">
        <v>1</v>
      </c>
      <c r="X331" s="206" t="e">
        <v>#DIV/0!</v>
      </c>
    </row>
    <row r="332" spans="1:24" x14ac:dyDescent="0.25">
      <c r="A332" s="206" t="str">
        <f t="shared" si="13"/>
        <v>SD08108IDPs</v>
      </c>
      <c r="B332" s="206" t="s">
        <v>150</v>
      </c>
      <c r="C332" s="206" t="s">
        <v>125</v>
      </c>
      <c r="D332" s="206" t="s">
        <v>378</v>
      </c>
      <c r="E332" s="206" t="s">
        <v>379</v>
      </c>
      <c r="F332" s="206" t="s">
        <v>736</v>
      </c>
      <c r="G332" s="207">
        <v>21640</v>
      </c>
      <c r="H332" s="206" t="s">
        <v>88</v>
      </c>
      <c r="I332" s="206" t="s">
        <v>732</v>
      </c>
      <c r="J332" s="233">
        <v>3.4722222222222224E-2</v>
      </c>
      <c r="K332" s="233">
        <v>0.13194444444444445</v>
      </c>
      <c r="L332" s="233">
        <v>0.76388888888888884</v>
      </c>
      <c r="M332" s="233">
        <v>2.0833333333333332E-2</v>
      </c>
      <c r="N332" s="233">
        <v>4.8611111111111112E-2</v>
      </c>
      <c r="O332" s="207">
        <v>18033</v>
      </c>
      <c r="P332" s="207">
        <f t="shared" si="14"/>
        <v>16422</v>
      </c>
      <c r="Q332" s="207">
        <v>3</v>
      </c>
      <c r="R332" s="207">
        <v>3</v>
      </c>
      <c r="U332" s="206">
        <v>0</v>
      </c>
      <c r="V332" s="206">
        <v>0</v>
      </c>
      <c r="W332" s="206">
        <v>1</v>
      </c>
      <c r="X332" s="206" t="e">
        <v>#DIV/0!</v>
      </c>
    </row>
    <row r="333" spans="1:24" x14ac:dyDescent="0.25">
      <c r="A333" s="206" t="str">
        <f t="shared" si="13"/>
        <v>SD08108Non-hosting Population</v>
      </c>
      <c r="B333" s="206" t="s">
        <v>150</v>
      </c>
      <c r="C333" s="206" t="s">
        <v>125</v>
      </c>
      <c r="D333" s="206" t="s">
        <v>378</v>
      </c>
      <c r="E333" s="206" t="s">
        <v>379</v>
      </c>
      <c r="F333" s="206" t="s">
        <v>736</v>
      </c>
      <c r="G333" s="207">
        <v>41064</v>
      </c>
      <c r="H333" s="206" t="s">
        <v>568</v>
      </c>
      <c r="I333" s="206" t="s">
        <v>731</v>
      </c>
      <c r="J333" s="233">
        <v>3.4722222222222224E-2</v>
      </c>
      <c r="K333" s="233">
        <v>0.13194444444444445</v>
      </c>
      <c r="L333" s="233">
        <v>0.76388888888888884</v>
      </c>
      <c r="M333" s="233">
        <v>2.0833333333333332E-2</v>
      </c>
      <c r="N333" s="233">
        <v>4.8611111111111112E-2</v>
      </c>
      <c r="O333" s="207">
        <v>2852</v>
      </c>
      <c r="P333" s="207">
        <f t="shared" si="14"/>
        <v>2597</v>
      </c>
      <c r="Q333" s="207">
        <v>3</v>
      </c>
      <c r="R333" s="207">
        <v>3</v>
      </c>
      <c r="U333" s="206">
        <v>0</v>
      </c>
      <c r="V333" s="206">
        <v>0</v>
      </c>
      <c r="W333" s="206">
        <v>1</v>
      </c>
      <c r="X333" s="206" t="e">
        <v>#DIV/0!</v>
      </c>
    </row>
    <row r="334" spans="1:24" x14ac:dyDescent="0.25">
      <c r="A334" s="206" t="str">
        <f t="shared" si="13"/>
        <v>SD08109Host Community</v>
      </c>
      <c r="B334" s="206" t="s">
        <v>150</v>
      </c>
      <c r="C334" s="206" t="s">
        <v>125</v>
      </c>
      <c r="D334" s="206" t="s">
        <v>380</v>
      </c>
      <c r="E334" s="206" t="s">
        <v>381</v>
      </c>
      <c r="F334" s="206" t="s">
        <v>736</v>
      </c>
      <c r="G334" s="207">
        <v>33794</v>
      </c>
      <c r="H334" s="206" t="s">
        <v>87</v>
      </c>
      <c r="I334" s="206" t="s">
        <v>731</v>
      </c>
      <c r="J334" s="233">
        <v>8.1967213114754092E-2</v>
      </c>
      <c r="K334" s="233">
        <v>0.19672131147540983</v>
      </c>
      <c r="L334" s="233">
        <v>0.59836065573770492</v>
      </c>
      <c r="M334" s="233">
        <v>5.737704918032787E-2</v>
      </c>
      <c r="N334" s="233">
        <v>6.5573770491803282E-2</v>
      </c>
      <c r="O334" s="207">
        <v>24376</v>
      </c>
      <c r="P334" s="207">
        <f t="shared" si="14"/>
        <v>22198</v>
      </c>
      <c r="Q334" s="207">
        <v>3</v>
      </c>
      <c r="R334" s="207">
        <v>3</v>
      </c>
      <c r="U334" s="206">
        <v>0</v>
      </c>
      <c r="V334" s="206">
        <v>1</v>
      </c>
      <c r="W334" s="206">
        <v>1</v>
      </c>
      <c r="X334" s="206" t="e">
        <v>#DIV/0!</v>
      </c>
    </row>
    <row r="335" spans="1:24" x14ac:dyDescent="0.25">
      <c r="A335" s="206" t="str">
        <f t="shared" si="13"/>
        <v>SD08109IDPs</v>
      </c>
      <c r="B335" s="206" t="s">
        <v>150</v>
      </c>
      <c r="C335" s="206" t="s">
        <v>125</v>
      </c>
      <c r="D335" s="206" t="s">
        <v>380</v>
      </c>
      <c r="E335" s="206" t="s">
        <v>381</v>
      </c>
      <c r="F335" s="206" t="s">
        <v>736</v>
      </c>
      <c r="G335" s="207">
        <v>34059</v>
      </c>
      <c r="H335" s="206" t="s">
        <v>88</v>
      </c>
      <c r="I335" s="206" t="s">
        <v>732</v>
      </c>
      <c r="J335" s="233">
        <v>8.1967213114754092E-2</v>
      </c>
      <c r="K335" s="233">
        <v>0.19672131147540983</v>
      </c>
      <c r="L335" s="233">
        <v>0.59836065573770492</v>
      </c>
      <c r="M335" s="233">
        <v>5.737704918032787E-2</v>
      </c>
      <c r="N335" s="233">
        <v>6.5573770491803282E-2</v>
      </c>
      <c r="O335" s="207">
        <v>24567</v>
      </c>
      <c r="P335" s="207">
        <f t="shared" si="14"/>
        <v>22372</v>
      </c>
      <c r="Q335" s="207">
        <v>3</v>
      </c>
      <c r="R335" s="207">
        <v>3</v>
      </c>
      <c r="U335" s="206">
        <v>0</v>
      </c>
      <c r="V335" s="206">
        <v>1</v>
      </c>
      <c r="W335" s="206">
        <v>1</v>
      </c>
      <c r="X335" s="206" t="e">
        <v>#DIV/0!</v>
      </c>
    </row>
    <row r="336" spans="1:24" x14ac:dyDescent="0.25">
      <c r="A336" s="206" t="str">
        <f t="shared" si="13"/>
        <v>SD08109Non-hosting Population</v>
      </c>
      <c r="B336" s="206" t="s">
        <v>150</v>
      </c>
      <c r="C336" s="206" t="s">
        <v>125</v>
      </c>
      <c r="D336" s="206" t="s">
        <v>380</v>
      </c>
      <c r="E336" s="206" t="s">
        <v>381</v>
      </c>
      <c r="F336" s="206" t="s">
        <v>736</v>
      </c>
      <c r="G336" s="207">
        <v>9554</v>
      </c>
      <c r="H336" s="206" t="s">
        <v>568</v>
      </c>
      <c r="I336" s="206" t="s">
        <v>731</v>
      </c>
      <c r="J336" s="233">
        <v>8.1967213114754092E-2</v>
      </c>
      <c r="K336" s="233">
        <v>0.19672131147540983</v>
      </c>
      <c r="L336" s="233">
        <v>0.59836065573770492</v>
      </c>
      <c r="M336" s="233">
        <v>5.737704918032787E-2</v>
      </c>
      <c r="N336" s="233">
        <v>6.5573770491803282E-2</v>
      </c>
      <c r="O336" s="207">
        <v>1175</v>
      </c>
      <c r="P336" s="207">
        <f t="shared" si="14"/>
        <v>1070</v>
      </c>
      <c r="Q336" s="207">
        <v>3</v>
      </c>
      <c r="R336" s="207">
        <v>3</v>
      </c>
      <c r="U336" s="206">
        <v>0</v>
      </c>
      <c r="V336" s="206">
        <v>1</v>
      </c>
      <c r="W336" s="206">
        <v>1</v>
      </c>
      <c r="X336" s="206" t="e">
        <v>#DIV/0!</v>
      </c>
    </row>
    <row r="337" spans="1:24" x14ac:dyDescent="0.25">
      <c r="A337" s="206" t="str">
        <f t="shared" si="13"/>
        <v>SD08110Host Community</v>
      </c>
      <c r="B337" s="206" t="s">
        <v>150</v>
      </c>
      <c r="C337" s="206" t="s">
        <v>125</v>
      </c>
      <c r="D337" s="206" t="s">
        <v>382</v>
      </c>
      <c r="E337" s="206" t="s">
        <v>383</v>
      </c>
      <c r="F337" s="206" t="s">
        <v>736</v>
      </c>
      <c r="G337" s="207">
        <v>21683</v>
      </c>
      <c r="H337" s="206" t="s">
        <v>87</v>
      </c>
      <c r="I337" s="206" t="s">
        <v>731</v>
      </c>
      <c r="J337" s="233">
        <v>4.9586776859504134E-2</v>
      </c>
      <c r="K337" s="233">
        <v>0.48760330578512395</v>
      </c>
      <c r="L337" s="233">
        <v>0.42148760330578511</v>
      </c>
      <c r="M337" s="233">
        <v>0</v>
      </c>
      <c r="N337" s="233">
        <v>4.1322314049586778E-2</v>
      </c>
      <c r="O337" s="207">
        <v>10035</v>
      </c>
      <c r="P337" s="207">
        <f t="shared" si="14"/>
        <v>9138</v>
      </c>
      <c r="Q337" s="207">
        <v>3</v>
      </c>
      <c r="R337" s="207">
        <v>3</v>
      </c>
      <c r="U337" s="206">
        <v>0</v>
      </c>
      <c r="V337" s="206">
        <v>0</v>
      </c>
      <c r="W337" s="206">
        <v>1</v>
      </c>
      <c r="X337" s="206" t="e">
        <v>#DIV/0!</v>
      </c>
    </row>
    <row r="338" spans="1:24" x14ac:dyDescent="0.25">
      <c r="A338" s="206" t="str">
        <f t="shared" si="13"/>
        <v>SD08110IDPs</v>
      </c>
      <c r="B338" s="206" t="s">
        <v>150</v>
      </c>
      <c r="C338" s="206" t="s">
        <v>125</v>
      </c>
      <c r="D338" s="206" t="s">
        <v>382</v>
      </c>
      <c r="E338" s="206" t="s">
        <v>383</v>
      </c>
      <c r="F338" s="206" t="s">
        <v>736</v>
      </c>
      <c r="G338" s="207">
        <v>9671</v>
      </c>
      <c r="H338" s="206" t="s">
        <v>88</v>
      </c>
      <c r="I338" s="206" t="s">
        <v>732</v>
      </c>
      <c r="J338" s="233">
        <v>4.9586776859504134E-2</v>
      </c>
      <c r="K338" s="233">
        <v>0.48760330578512395</v>
      </c>
      <c r="L338" s="233">
        <v>0.42148760330578511</v>
      </c>
      <c r="M338" s="233">
        <v>0</v>
      </c>
      <c r="N338" s="233">
        <v>4.1322314049586778E-2</v>
      </c>
      <c r="O338" s="207">
        <v>4476</v>
      </c>
      <c r="P338" s="207">
        <f t="shared" si="14"/>
        <v>4076</v>
      </c>
      <c r="Q338" s="207">
        <v>3</v>
      </c>
      <c r="R338" s="207">
        <v>3</v>
      </c>
      <c r="U338" s="206">
        <v>0</v>
      </c>
      <c r="V338" s="206">
        <v>1</v>
      </c>
      <c r="W338" s="206">
        <v>1</v>
      </c>
      <c r="X338" s="206" t="e">
        <v>#DIV/0!</v>
      </c>
    </row>
    <row r="339" spans="1:24" x14ac:dyDescent="0.25">
      <c r="A339" s="206" t="str">
        <f t="shared" si="13"/>
        <v>SD08110Non-hosting Population</v>
      </c>
      <c r="B339" s="206" t="s">
        <v>150</v>
      </c>
      <c r="C339" s="206" t="s">
        <v>125</v>
      </c>
      <c r="D339" s="206" t="s">
        <v>382</v>
      </c>
      <c r="E339" s="206" t="s">
        <v>383</v>
      </c>
      <c r="F339" s="206" t="s">
        <v>736</v>
      </c>
      <c r="G339" s="207">
        <v>11722</v>
      </c>
      <c r="H339" s="206" t="s">
        <v>568</v>
      </c>
      <c r="I339" s="206" t="s">
        <v>731</v>
      </c>
      <c r="J339" s="233">
        <v>4.9586776859504134E-2</v>
      </c>
      <c r="K339" s="233">
        <v>0.48760330578512395</v>
      </c>
      <c r="L339" s="233">
        <v>0.42148760330578511</v>
      </c>
      <c r="M339" s="233">
        <v>0</v>
      </c>
      <c r="N339" s="233">
        <v>4.1322314049586778E-2</v>
      </c>
      <c r="O339" s="207">
        <v>484</v>
      </c>
      <c r="P339" s="207">
        <f t="shared" si="14"/>
        <v>441</v>
      </c>
      <c r="Q339" s="207">
        <v>3</v>
      </c>
      <c r="R339" s="207">
        <v>3</v>
      </c>
      <c r="U339" s="206">
        <v>0</v>
      </c>
      <c r="V339" s="206">
        <v>0</v>
      </c>
      <c r="W339" s="206">
        <v>1</v>
      </c>
      <c r="X339" s="206" t="e">
        <v>#DIV/0!</v>
      </c>
    </row>
    <row r="340" spans="1:24" x14ac:dyDescent="0.25">
      <c r="A340" s="206" t="str">
        <f t="shared" si="13"/>
        <v>SD09044Host Community</v>
      </c>
      <c r="B340" s="206" t="s">
        <v>197</v>
      </c>
      <c r="C340" s="206" t="s">
        <v>126</v>
      </c>
      <c r="D340" s="206" t="s">
        <v>384</v>
      </c>
      <c r="E340" s="206" t="s">
        <v>385</v>
      </c>
      <c r="F340" s="206" t="s">
        <v>735</v>
      </c>
      <c r="G340" s="207">
        <v>85388</v>
      </c>
      <c r="H340" s="206" t="s">
        <v>87</v>
      </c>
      <c r="I340" s="206" t="s">
        <v>731</v>
      </c>
      <c r="J340" s="233">
        <v>0.11764705882352941</v>
      </c>
      <c r="K340" s="233">
        <v>0.21323529411764705</v>
      </c>
      <c r="L340" s="233">
        <v>0.61764705882352944</v>
      </c>
      <c r="M340" s="233">
        <v>0</v>
      </c>
      <c r="N340" s="233">
        <v>5.1470588235294115E-2</v>
      </c>
      <c r="O340" s="207">
        <v>57135</v>
      </c>
      <c r="P340" s="207">
        <f t="shared" si="14"/>
        <v>52030</v>
      </c>
      <c r="Q340" s="207">
        <v>3</v>
      </c>
      <c r="R340" s="207">
        <v>3</v>
      </c>
      <c r="U340" s="206">
        <v>0</v>
      </c>
      <c r="V340" s="206">
        <v>0</v>
      </c>
      <c r="W340" s="206">
        <v>1</v>
      </c>
      <c r="X340" s="206" t="e">
        <v>#DIV/0!</v>
      </c>
    </row>
    <row r="341" spans="1:24" x14ac:dyDescent="0.25">
      <c r="A341" s="206" t="str">
        <f t="shared" si="13"/>
        <v>SD09044IDPs</v>
      </c>
      <c r="B341" s="206" t="s">
        <v>197</v>
      </c>
      <c r="C341" s="206" t="s">
        <v>126</v>
      </c>
      <c r="D341" s="206" t="s">
        <v>384</v>
      </c>
      <c r="E341" s="206" t="s">
        <v>385</v>
      </c>
      <c r="F341" s="206" t="s">
        <v>735</v>
      </c>
      <c r="G341" s="207">
        <v>85184</v>
      </c>
      <c r="H341" s="206" t="s">
        <v>88</v>
      </c>
      <c r="I341" s="206" t="s">
        <v>732</v>
      </c>
      <c r="J341" s="233">
        <v>0.11764705882352941</v>
      </c>
      <c r="K341" s="233">
        <v>0.21323529411764705</v>
      </c>
      <c r="L341" s="233">
        <v>0.61764705882352944</v>
      </c>
      <c r="M341" s="233">
        <v>0</v>
      </c>
      <c r="N341" s="233">
        <v>5.1470588235294115E-2</v>
      </c>
      <c r="O341" s="207">
        <v>56998</v>
      </c>
      <c r="P341" s="207">
        <f t="shared" si="14"/>
        <v>51905</v>
      </c>
      <c r="Q341" s="207">
        <v>3</v>
      </c>
      <c r="R341" s="207">
        <v>3</v>
      </c>
      <c r="U341" s="206">
        <v>0</v>
      </c>
      <c r="V341" s="206">
        <v>1</v>
      </c>
      <c r="W341" s="206">
        <v>1</v>
      </c>
      <c r="X341" s="206" t="e">
        <v>#DIV/0!</v>
      </c>
    </row>
    <row r="342" spans="1:24" x14ac:dyDescent="0.25">
      <c r="A342" s="206" t="str">
        <f t="shared" si="13"/>
        <v>SD09044Non-hosting Population</v>
      </c>
      <c r="B342" s="206" t="s">
        <v>197</v>
      </c>
      <c r="C342" s="206" t="s">
        <v>126</v>
      </c>
      <c r="D342" s="206" t="s">
        <v>384</v>
      </c>
      <c r="E342" s="206" t="s">
        <v>385</v>
      </c>
      <c r="F342" s="206" t="s">
        <v>735</v>
      </c>
      <c r="G342" s="207">
        <v>375452</v>
      </c>
      <c r="H342" s="206" t="s">
        <v>568</v>
      </c>
      <c r="I342" s="206" t="s">
        <v>731</v>
      </c>
      <c r="J342" s="233">
        <v>0.11764705882352941</v>
      </c>
      <c r="K342" s="233">
        <v>0.21323529411764705</v>
      </c>
      <c r="L342" s="233">
        <v>0.61764705882352944</v>
      </c>
      <c r="M342" s="233">
        <v>0</v>
      </c>
      <c r="N342" s="233">
        <v>5.1470588235294115E-2</v>
      </c>
      <c r="O342" s="207">
        <v>19325</v>
      </c>
      <c r="P342" s="207">
        <f t="shared" si="14"/>
        <v>17598</v>
      </c>
      <c r="Q342" s="207">
        <v>3</v>
      </c>
      <c r="R342" s="207">
        <v>3</v>
      </c>
      <c r="U342" s="206">
        <v>0</v>
      </c>
      <c r="V342" s="206">
        <v>0</v>
      </c>
      <c r="W342" s="206">
        <v>1</v>
      </c>
      <c r="X342" s="206" t="e">
        <v>#DIV/0!</v>
      </c>
    </row>
    <row r="343" spans="1:24" x14ac:dyDescent="0.25">
      <c r="A343" s="206" t="str">
        <f t="shared" si="13"/>
        <v>SD09045Host Community</v>
      </c>
      <c r="B343" s="206" t="s">
        <v>197</v>
      </c>
      <c r="C343" s="206" t="s">
        <v>126</v>
      </c>
      <c r="D343" s="206" t="s">
        <v>386</v>
      </c>
      <c r="E343" s="206" t="s">
        <v>387</v>
      </c>
      <c r="F343" s="206" t="s">
        <v>735</v>
      </c>
      <c r="G343" s="207">
        <v>12850</v>
      </c>
      <c r="H343" s="206" t="s">
        <v>87</v>
      </c>
      <c r="I343" s="206" t="s">
        <v>731</v>
      </c>
      <c r="J343" s="233">
        <v>6.3829787234042548E-2</v>
      </c>
      <c r="K343" s="233">
        <v>0.46808510638297873</v>
      </c>
      <c r="L343" s="233">
        <v>0.45390070921985815</v>
      </c>
      <c r="M343" s="233">
        <v>0</v>
      </c>
      <c r="N343" s="233">
        <v>1.4184397163120567E-2</v>
      </c>
      <c r="O343" s="207">
        <v>6015</v>
      </c>
      <c r="P343" s="207">
        <f t="shared" si="14"/>
        <v>5478</v>
      </c>
      <c r="Q343" s="207">
        <v>3</v>
      </c>
      <c r="R343" s="207">
        <v>3</v>
      </c>
      <c r="U343" s="206">
        <v>0</v>
      </c>
      <c r="V343" s="206">
        <v>1</v>
      </c>
      <c r="W343" s="206">
        <v>1</v>
      </c>
      <c r="X343" s="206" t="e">
        <v>#DIV/0!</v>
      </c>
    </row>
    <row r="344" spans="1:24" x14ac:dyDescent="0.25">
      <c r="A344" s="206" t="str">
        <f t="shared" si="13"/>
        <v>SD09045IDPs</v>
      </c>
      <c r="B344" s="206" t="s">
        <v>197</v>
      </c>
      <c r="C344" s="206" t="s">
        <v>126</v>
      </c>
      <c r="D344" s="206" t="s">
        <v>386</v>
      </c>
      <c r="E344" s="206" t="s">
        <v>387</v>
      </c>
      <c r="F344" s="206" t="s">
        <v>735</v>
      </c>
      <c r="G344" s="207">
        <v>12315</v>
      </c>
      <c r="H344" s="206" t="s">
        <v>88</v>
      </c>
      <c r="I344" s="206" t="s">
        <v>732</v>
      </c>
      <c r="J344" s="233">
        <v>6.3829787234042548E-2</v>
      </c>
      <c r="K344" s="233">
        <v>0.46808510638297873</v>
      </c>
      <c r="L344" s="233">
        <v>0.45390070921985815</v>
      </c>
      <c r="M344" s="233">
        <v>0</v>
      </c>
      <c r="N344" s="233">
        <v>1.4184397163120567E-2</v>
      </c>
      <c r="O344" s="207">
        <v>5764</v>
      </c>
      <c r="P344" s="207">
        <f t="shared" si="14"/>
        <v>5249</v>
      </c>
      <c r="Q344" s="207">
        <v>3</v>
      </c>
      <c r="R344" s="207">
        <v>3</v>
      </c>
      <c r="U344" s="206">
        <v>0</v>
      </c>
      <c r="V344" s="206">
        <v>0</v>
      </c>
      <c r="W344" s="206">
        <v>1</v>
      </c>
      <c r="X344" s="206" t="e">
        <v>#DIV/0!</v>
      </c>
    </row>
    <row r="345" spans="1:24" x14ac:dyDescent="0.25">
      <c r="A345" s="206" t="str">
        <f t="shared" si="13"/>
        <v>SD09045Non-hosting Population</v>
      </c>
      <c r="B345" s="206" t="s">
        <v>197</v>
      </c>
      <c r="C345" s="206" t="s">
        <v>126</v>
      </c>
      <c r="D345" s="206" t="s">
        <v>386</v>
      </c>
      <c r="E345" s="206" t="s">
        <v>387</v>
      </c>
      <c r="F345" s="206" t="s">
        <v>735</v>
      </c>
      <c r="G345" s="207">
        <v>169137</v>
      </c>
      <c r="H345" s="206" t="s">
        <v>568</v>
      </c>
      <c r="I345" s="206" t="s">
        <v>731</v>
      </c>
      <c r="J345" s="233">
        <v>6.3829787234042548E-2</v>
      </c>
      <c r="K345" s="233">
        <v>0.46808510638297873</v>
      </c>
      <c r="L345" s="233">
        <v>0.45390070921985815</v>
      </c>
      <c r="M345" s="233">
        <v>0</v>
      </c>
      <c r="N345" s="233">
        <v>1.4184397163120567E-2</v>
      </c>
      <c r="O345" s="207">
        <v>2399</v>
      </c>
      <c r="P345" s="207">
        <f t="shared" si="14"/>
        <v>2185</v>
      </c>
      <c r="Q345" s="207">
        <v>3</v>
      </c>
      <c r="R345" s="207">
        <v>3</v>
      </c>
      <c r="U345" s="206">
        <v>0</v>
      </c>
      <c r="V345" s="206">
        <v>1</v>
      </c>
      <c r="W345" s="206">
        <v>1</v>
      </c>
      <c r="X345" s="206" t="e">
        <v>#DIV/0!</v>
      </c>
    </row>
    <row r="346" spans="1:24" x14ac:dyDescent="0.25">
      <c r="A346" s="206" t="str">
        <f t="shared" si="13"/>
        <v>SD09046Host Community</v>
      </c>
      <c r="B346" s="206" t="s">
        <v>197</v>
      </c>
      <c r="C346" s="206" t="s">
        <v>126</v>
      </c>
      <c r="D346" s="206" t="s">
        <v>388</v>
      </c>
      <c r="E346" s="206" t="s">
        <v>389</v>
      </c>
      <c r="F346" s="206" t="s">
        <v>735</v>
      </c>
      <c r="G346" s="207">
        <v>143680</v>
      </c>
      <c r="H346" s="206" t="s">
        <v>87</v>
      </c>
      <c r="I346" s="206" t="s">
        <v>731</v>
      </c>
      <c r="J346" s="233">
        <v>0.19117647058823528</v>
      </c>
      <c r="K346" s="233">
        <v>0.15196078431372548</v>
      </c>
      <c r="L346" s="233">
        <v>0.34803921568627449</v>
      </c>
      <c r="M346" s="233">
        <v>0.16176470588235295</v>
      </c>
      <c r="N346" s="233">
        <v>0.14705882352941177</v>
      </c>
      <c r="O346" s="207">
        <v>94378</v>
      </c>
      <c r="P346" s="207">
        <f t="shared" si="14"/>
        <v>85945</v>
      </c>
      <c r="Q346" s="207">
        <v>4</v>
      </c>
      <c r="R346" s="207">
        <v>4</v>
      </c>
      <c r="U346" s="206">
        <v>0</v>
      </c>
      <c r="V346" s="206">
        <v>1</v>
      </c>
      <c r="W346" s="206">
        <v>1</v>
      </c>
      <c r="X346" s="206" t="e">
        <v>#DIV/0!</v>
      </c>
    </row>
    <row r="347" spans="1:24" x14ac:dyDescent="0.25">
      <c r="A347" s="206" t="str">
        <f t="shared" si="13"/>
        <v>SD09046IDPs</v>
      </c>
      <c r="B347" s="206" t="s">
        <v>197</v>
      </c>
      <c r="C347" s="206" t="s">
        <v>126</v>
      </c>
      <c r="D347" s="206" t="s">
        <v>388</v>
      </c>
      <c r="E347" s="206" t="s">
        <v>389</v>
      </c>
      <c r="F347" s="206" t="s">
        <v>735</v>
      </c>
      <c r="G347" s="207">
        <v>143722</v>
      </c>
      <c r="H347" s="206" t="s">
        <v>88</v>
      </c>
      <c r="I347" s="206" t="s">
        <v>732</v>
      </c>
      <c r="J347" s="233">
        <v>0.19117647058823528</v>
      </c>
      <c r="K347" s="233">
        <v>0.15196078431372548</v>
      </c>
      <c r="L347" s="233">
        <v>0.34803921568627449</v>
      </c>
      <c r="M347" s="233">
        <v>0.16176470588235295</v>
      </c>
      <c r="N347" s="233">
        <v>0.14705882352941177</v>
      </c>
      <c r="O347" s="207">
        <v>94406</v>
      </c>
      <c r="P347" s="207">
        <f t="shared" si="14"/>
        <v>85971</v>
      </c>
      <c r="Q347" s="207">
        <v>4</v>
      </c>
      <c r="R347" s="207">
        <v>4</v>
      </c>
      <c r="U347" s="206">
        <v>0</v>
      </c>
      <c r="V347" s="206">
        <v>1</v>
      </c>
      <c r="W347" s="206">
        <v>1</v>
      </c>
      <c r="X347" s="206" t="e">
        <v>#DIV/0!</v>
      </c>
    </row>
    <row r="348" spans="1:24" x14ac:dyDescent="0.25">
      <c r="A348" s="206" t="str">
        <f t="shared" si="13"/>
        <v>SD09046Non-hosting Population</v>
      </c>
      <c r="B348" s="206" t="s">
        <v>197</v>
      </c>
      <c r="C348" s="206" t="s">
        <v>126</v>
      </c>
      <c r="D348" s="206" t="s">
        <v>388</v>
      </c>
      <c r="E348" s="206" t="s">
        <v>389</v>
      </c>
      <c r="F348" s="206" t="s">
        <v>735</v>
      </c>
      <c r="G348" s="207">
        <v>230501</v>
      </c>
      <c r="H348" s="206" t="s">
        <v>568</v>
      </c>
      <c r="I348" s="206" t="s">
        <v>731</v>
      </c>
      <c r="J348" s="233">
        <v>0.19117647058823528</v>
      </c>
      <c r="K348" s="233">
        <v>0.15196078431372548</v>
      </c>
      <c r="L348" s="233">
        <v>0.34803921568627449</v>
      </c>
      <c r="M348" s="233">
        <v>0.16176470588235295</v>
      </c>
      <c r="N348" s="233">
        <v>0.14705882352941177</v>
      </c>
      <c r="O348" s="207">
        <v>71184</v>
      </c>
      <c r="P348" s="207">
        <f t="shared" si="14"/>
        <v>64824</v>
      </c>
      <c r="Q348" s="207">
        <v>4</v>
      </c>
      <c r="R348" s="207">
        <v>4</v>
      </c>
      <c r="U348" s="206">
        <v>0</v>
      </c>
      <c r="V348" s="206">
        <v>1</v>
      </c>
      <c r="W348" s="206">
        <v>1</v>
      </c>
      <c r="X348" s="206" t="e">
        <v>#DIV/0!</v>
      </c>
    </row>
    <row r="349" spans="1:24" x14ac:dyDescent="0.25">
      <c r="A349" s="206" t="str">
        <f t="shared" si="13"/>
        <v>SD09047Host Community</v>
      </c>
      <c r="B349" s="206" t="s">
        <v>197</v>
      </c>
      <c r="C349" s="206" t="s">
        <v>126</v>
      </c>
      <c r="D349" s="206" t="s">
        <v>390</v>
      </c>
      <c r="E349" s="206" t="s">
        <v>391</v>
      </c>
      <c r="F349" s="206" t="s">
        <v>735</v>
      </c>
      <c r="G349" s="207">
        <v>212484</v>
      </c>
      <c r="H349" s="206" t="s">
        <v>87</v>
      </c>
      <c r="I349" s="206" t="s">
        <v>731</v>
      </c>
      <c r="J349" s="233">
        <v>0.19277108433734941</v>
      </c>
      <c r="K349" s="233">
        <v>0.34337349397590361</v>
      </c>
      <c r="L349" s="233">
        <v>0.40361445783132532</v>
      </c>
      <c r="M349" s="233">
        <v>6.024096385542169E-3</v>
      </c>
      <c r="N349" s="233">
        <v>5.4216867469879519E-2</v>
      </c>
      <c r="O349" s="207">
        <v>98562</v>
      </c>
      <c r="P349" s="207">
        <f t="shared" si="14"/>
        <v>89755</v>
      </c>
      <c r="Q349" s="207">
        <v>3</v>
      </c>
      <c r="R349" s="207">
        <v>3</v>
      </c>
      <c r="U349" s="206">
        <v>0</v>
      </c>
      <c r="V349" s="206">
        <v>0</v>
      </c>
      <c r="W349" s="206">
        <v>0</v>
      </c>
      <c r="X349" s="206" t="e">
        <v>#DIV/0!</v>
      </c>
    </row>
    <row r="350" spans="1:24" x14ac:dyDescent="0.25">
      <c r="A350" s="206" t="str">
        <f t="shared" si="13"/>
        <v>SD09047IDPs</v>
      </c>
      <c r="B350" s="206" t="s">
        <v>197</v>
      </c>
      <c r="C350" s="206" t="s">
        <v>126</v>
      </c>
      <c r="D350" s="206" t="s">
        <v>390</v>
      </c>
      <c r="E350" s="206" t="s">
        <v>391</v>
      </c>
      <c r="F350" s="206" t="s">
        <v>735</v>
      </c>
      <c r="G350" s="207">
        <v>159983</v>
      </c>
      <c r="H350" s="206" t="s">
        <v>88</v>
      </c>
      <c r="I350" s="206" t="s">
        <v>732</v>
      </c>
      <c r="J350" s="233">
        <v>0.19277108433734941</v>
      </c>
      <c r="K350" s="233">
        <v>0.34337349397590361</v>
      </c>
      <c r="L350" s="233">
        <v>0.40361445783132532</v>
      </c>
      <c r="M350" s="233">
        <v>6.024096385542169E-3</v>
      </c>
      <c r="N350" s="233">
        <v>5.4216867469879519E-2</v>
      </c>
      <c r="O350" s="207">
        <v>74209</v>
      </c>
      <c r="P350" s="207">
        <f t="shared" si="14"/>
        <v>67578</v>
      </c>
      <c r="Q350" s="207">
        <v>3</v>
      </c>
      <c r="R350" s="207">
        <v>3</v>
      </c>
      <c r="U350" s="206">
        <v>0</v>
      </c>
      <c r="V350" s="206">
        <v>0</v>
      </c>
      <c r="W350" s="206">
        <v>1</v>
      </c>
      <c r="X350" s="206" t="e">
        <v>#DIV/0!</v>
      </c>
    </row>
    <row r="351" spans="1:24" x14ac:dyDescent="0.25">
      <c r="A351" s="206" t="str">
        <f t="shared" si="13"/>
        <v>SD09047Non-hosting Population</v>
      </c>
      <c r="B351" s="206" t="s">
        <v>197</v>
      </c>
      <c r="C351" s="206" t="s">
        <v>126</v>
      </c>
      <c r="D351" s="206" t="s">
        <v>390</v>
      </c>
      <c r="E351" s="206" t="s">
        <v>391</v>
      </c>
      <c r="F351" s="206" t="s">
        <v>735</v>
      </c>
      <c r="G351" s="207">
        <v>132550</v>
      </c>
      <c r="H351" s="206" t="s">
        <v>568</v>
      </c>
      <c r="I351" s="206" t="s">
        <v>731</v>
      </c>
      <c r="J351" s="233">
        <v>0.19277108433734941</v>
      </c>
      <c r="K351" s="233">
        <v>0.34337349397590361</v>
      </c>
      <c r="L351" s="233">
        <v>0.40361445783132532</v>
      </c>
      <c r="M351" s="233">
        <v>6.024096385542169E-3</v>
      </c>
      <c r="N351" s="233">
        <v>5.4216867469879519E-2</v>
      </c>
      <c r="O351" s="207">
        <v>7985</v>
      </c>
      <c r="P351" s="207">
        <f t="shared" si="14"/>
        <v>7272</v>
      </c>
      <c r="Q351" s="207">
        <v>3</v>
      </c>
      <c r="R351" s="207">
        <v>3</v>
      </c>
      <c r="U351" s="206">
        <v>0</v>
      </c>
      <c r="V351" s="206">
        <v>0</v>
      </c>
      <c r="W351" s="206">
        <v>0</v>
      </c>
      <c r="X351" s="206" t="e">
        <v>#DIV/0!</v>
      </c>
    </row>
    <row r="352" spans="1:24" x14ac:dyDescent="0.25">
      <c r="A352" s="206" t="str">
        <f t="shared" si="13"/>
        <v>SD09048Host Community</v>
      </c>
      <c r="B352" s="206" t="s">
        <v>197</v>
      </c>
      <c r="C352" s="206" t="s">
        <v>126</v>
      </c>
      <c r="D352" s="206" t="s">
        <v>392</v>
      </c>
      <c r="E352" s="206" t="s">
        <v>393</v>
      </c>
      <c r="F352" s="206" t="s">
        <v>735</v>
      </c>
      <c r="G352" s="207">
        <v>19380</v>
      </c>
      <c r="H352" s="206" t="s">
        <v>87</v>
      </c>
      <c r="I352" s="206" t="s">
        <v>731</v>
      </c>
      <c r="J352" s="233">
        <v>0.39552238805970147</v>
      </c>
      <c r="K352" s="233">
        <v>0.26865671641791045</v>
      </c>
      <c r="L352" s="233">
        <v>0.29104477611940299</v>
      </c>
      <c r="M352" s="233">
        <v>2.9850746268656716E-2</v>
      </c>
      <c r="N352" s="233">
        <v>1.4925373134328358E-2</v>
      </c>
      <c r="O352" s="207">
        <v>6508</v>
      </c>
      <c r="P352" s="207">
        <f t="shared" si="14"/>
        <v>5926</v>
      </c>
      <c r="Q352" s="207">
        <v>3</v>
      </c>
      <c r="R352" s="207">
        <v>3</v>
      </c>
      <c r="U352" s="206" t="e">
        <v>#DIV/0!</v>
      </c>
      <c r="V352" s="206" t="e">
        <v>#DIV/0!</v>
      </c>
      <c r="W352" s="206">
        <v>0</v>
      </c>
      <c r="X352" s="206" t="e">
        <v>#DIV/0!</v>
      </c>
    </row>
    <row r="353" spans="1:24" x14ac:dyDescent="0.25">
      <c r="A353" s="206" t="str">
        <f t="shared" si="13"/>
        <v>SD09048IDPs</v>
      </c>
      <c r="B353" s="206" t="s">
        <v>197</v>
      </c>
      <c r="C353" s="206" t="s">
        <v>126</v>
      </c>
      <c r="D353" s="206" t="s">
        <v>392</v>
      </c>
      <c r="E353" s="206" t="s">
        <v>393</v>
      </c>
      <c r="F353" s="206" t="s">
        <v>735</v>
      </c>
      <c r="G353" s="207">
        <v>19378</v>
      </c>
      <c r="H353" s="206" t="s">
        <v>88</v>
      </c>
      <c r="I353" s="206" t="s">
        <v>732</v>
      </c>
      <c r="J353" s="233">
        <v>0.39552238805970147</v>
      </c>
      <c r="K353" s="233">
        <v>0.26865671641791045</v>
      </c>
      <c r="L353" s="233">
        <v>0.29104477611940299</v>
      </c>
      <c r="M353" s="233">
        <v>2.9850746268656716E-2</v>
      </c>
      <c r="N353" s="233">
        <v>1.4925373134328358E-2</v>
      </c>
      <c r="O353" s="207">
        <v>6508</v>
      </c>
      <c r="P353" s="207">
        <f t="shared" si="14"/>
        <v>5926</v>
      </c>
      <c r="Q353" s="207">
        <v>3</v>
      </c>
      <c r="R353" s="207">
        <v>3</v>
      </c>
      <c r="U353" s="206">
        <v>0</v>
      </c>
      <c r="V353" s="206">
        <v>1</v>
      </c>
      <c r="W353" s="206">
        <v>1</v>
      </c>
      <c r="X353" s="206" t="e">
        <v>#DIV/0!</v>
      </c>
    </row>
    <row r="354" spans="1:24" x14ac:dyDescent="0.25">
      <c r="A354" s="206" t="str">
        <f t="shared" si="13"/>
        <v>SD09048Non-hosting Population</v>
      </c>
      <c r="B354" s="206" t="s">
        <v>197</v>
      </c>
      <c r="C354" s="206" t="s">
        <v>126</v>
      </c>
      <c r="D354" s="206" t="s">
        <v>392</v>
      </c>
      <c r="E354" s="206" t="s">
        <v>393</v>
      </c>
      <c r="F354" s="206" t="s">
        <v>735</v>
      </c>
      <c r="G354" s="207">
        <v>196952</v>
      </c>
      <c r="H354" s="206" t="s">
        <v>568</v>
      </c>
      <c r="I354" s="206" t="s">
        <v>731</v>
      </c>
      <c r="J354" s="233">
        <v>0.39552238805970147</v>
      </c>
      <c r="K354" s="233">
        <v>0.26865671641791045</v>
      </c>
      <c r="L354" s="233">
        <v>0.29104477611940299</v>
      </c>
      <c r="M354" s="233">
        <v>2.9850746268656716E-2</v>
      </c>
      <c r="N354" s="233">
        <v>1.4925373134328358E-2</v>
      </c>
      <c r="O354" s="207">
        <v>8819</v>
      </c>
      <c r="P354" s="207">
        <f t="shared" si="14"/>
        <v>8031</v>
      </c>
      <c r="Q354" s="207">
        <v>3</v>
      </c>
      <c r="R354" s="207">
        <v>3</v>
      </c>
      <c r="U354" s="206" t="e">
        <v>#DIV/0!</v>
      </c>
      <c r="V354" s="206" t="e">
        <v>#DIV/0!</v>
      </c>
      <c r="W354" s="206">
        <v>0</v>
      </c>
      <c r="X354" s="206" t="e">
        <v>#DIV/0!</v>
      </c>
    </row>
    <row r="355" spans="1:24" x14ac:dyDescent="0.25">
      <c r="A355" s="206" t="str">
        <f t="shared" si="13"/>
        <v>SD09049Host Community</v>
      </c>
      <c r="B355" s="206" t="s">
        <v>197</v>
      </c>
      <c r="C355" s="206" t="s">
        <v>126</v>
      </c>
      <c r="D355" s="206" t="s">
        <v>394</v>
      </c>
      <c r="E355" s="206" t="s">
        <v>395</v>
      </c>
      <c r="F355" s="206" t="s">
        <v>735</v>
      </c>
      <c r="G355" s="207">
        <v>0</v>
      </c>
      <c r="H355" s="206" t="s">
        <v>87</v>
      </c>
      <c r="I355" s="206" t="s">
        <v>731</v>
      </c>
      <c r="J355" s="233">
        <v>0</v>
      </c>
      <c r="K355" s="233">
        <v>0.13872832369942195</v>
      </c>
      <c r="L355" s="233">
        <v>0.77456647398843925</v>
      </c>
      <c r="M355" s="233">
        <v>5.2023121387283239E-2</v>
      </c>
      <c r="N355" s="233">
        <v>3.4682080924855488E-2</v>
      </c>
      <c r="O355" s="207">
        <v>0</v>
      </c>
      <c r="P355" s="207">
        <f t="shared" si="14"/>
        <v>0</v>
      </c>
      <c r="Q355" s="207">
        <v>3</v>
      </c>
      <c r="R355" s="207">
        <v>3</v>
      </c>
      <c r="U355" s="206">
        <v>0</v>
      </c>
      <c r="V355" s="206">
        <v>0</v>
      </c>
      <c r="W355" s="206">
        <v>1</v>
      </c>
      <c r="X355" s="206" t="e">
        <v>#DIV/0!</v>
      </c>
    </row>
    <row r="356" spans="1:24" x14ac:dyDescent="0.25">
      <c r="A356" s="206" t="str">
        <f t="shared" si="13"/>
        <v>SD09049IDPs</v>
      </c>
      <c r="B356" s="206" t="s">
        <v>197</v>
      </c>
      <c r="C356" s="206" t="s">
        <v>126</v>
      </c>
      <c r="D356" s="206" t="s">
        <v>394</v>
      </c>
      <c r="E356" s="206" t="s">
        <v>395</v>
      </c>
      <c r="F356" s="206" t="s">
        <v>735</v>
      </c>
      <c r="G356" s="207">
        <v>54837</v>
      </c>
      <c r="H356" s="206" t="s">
        <v>88</v>
      </c>
      <c r="I356" s="206" t="s">
        <v>732</v>
      </c>
      <c r="J356" s="233">
        <v>0</v>
      </c>
      <c r="K356" s="233">
        <v>0.13872832369942195</v>
      </c>
      <c r="L356" s="233">
        <v>0.77456647398843925</v>
      </c>
      <c r="M356" s="233">
        <v>5.2023121387283239E-2</v>
      </c>
      <c r="N356" s="233">
        <v>3.4682080924855488E-2</v>
      </c>
      <c r="O356" s="207">
        <v>47230</v>
      </c>
      <c r="P356" s="207">
        <f t="shared" si="14"/>
        <v>43010</v>
      </c>
      <c r="Q356" s="207">
        <v>3</v>
      </c>
      <c r="R356" s="207">
        <v>3</v>
      </c>
      <c r="U356" s="206">
        <v>0</v>
      </c>
      <c r="V356" s="206">
        <v>1</v>
      </c>
      <c r="W356" s="206">
        <v>1</v>
      </c>
      <c r="X356" s="206" t="e">
        <v>#DIV/0!</v>
      </c>
    </row>
    <row r="357" spans="1:24" x14ac:dyDescent="0.25">
      <c r="A357" s="206" t="str">
        <f t="shared" si="13"/>
        <v>SD09049Non-hosting Population</v>
      </c>
      <c r="B357" s="206" t="s">
        <v>197</v>
      </c>
      <c r="C357" s="206" t="s">
        <v>126</v>
      </c>
      <c r="D357" s="206" t="s">
        <v>394</v>
      </c>
      <c r="E357" s="206" t="s">
        <v>395</v>
      </c>
      <c r="F357" s="206" t="s">
        <v>735</v>
      </c>
      <c r="G357" s="207">
        <v>0</v>
      </c>
      <c r="H357" s="206" t="s">
        <v>568</v>
      </c>
      <c r="I357" s="206" t="s">
        <v>731</v>
      </c>
      <c r="J357" s="233">
        <v>0</v>
      </c>
      <c r="K357" s="233">
        <v>0.13872832369942195</v>
      </c>
      <c r="L357" s="233">
        <v>0.77456647398843925</v>
      </c>
      <c r="M357" s="233">
        <v>5.2023121387283239E-2</v>
      </c>
      <c r="N357" s="233">
        <v>3.4682080924855488E-2</v>
      </c>
      <c r="O357" s="207">
        <v>0</v>
      </c>
      <c r="P357" s="207">
        <f t="shared" si="14"/>
        <v>0</v>
      </c>
      <c r="Q357" s="207">
        <v>3</v>
      </c>
      <c r="R357" s="207">
        <v>3</v>
      </c>
      <c r="U357" s="206">
        <v>0</v>
      </c>
      <c r="V357" s="206">
        <v>0</v>
      </c>
      <c r="W357" s="206">
        <v>1</v>
      </c>
      <c r="X357" s="206" t="e">
        <v>#DIV/0!</v>
      </c>
    </row>
    <row r="358" spans="1:24" x14ac:dyDescent="0.25">
      <c r="A358" s="206" t="str">
        <f t="shared" si="13"/>
        <v>SD09050Host Community</v>
      </c>
      <c r="B358" s="206" t="s">
        <v>197</v>
      </c>
      <c r="C358" s="206" t="s">
        <v>126</v>
      </c>
      <c r="D358" s="206" t="s">
        <v>396</v>
      </c>
      <c r="E358" s="206" t="s">
        <v>397</v>
      </c>
      <c r="F358" s="206" t="s">
        <v>735</v>
      </c>
      <c r="G358" s="207">
        <v>16497</v>
      </c>
      <c r="H358" s="206" t="s">
        <v>87</v>
      </c>
      <c r="I358" s="206" t="s">
        <v>731</v>
      </c>
      <c r="J358" s="233">
        <v>0.14864864864864866</v>
      </c>
      <c r="K358" s="233">
        <v>0.20945945945945946</v>
      </c>
      <c r="L358" s="233">
        <v>0.61486486486486491</v>
      </c>
      <c r="M358" s="233">
        <v>6.7567567567567571E-3</v>
      </c>
      <c r="N358" s="233">
        <v>2.0270270270270271E-2</v>
      </c>
      <c r="O358" s="207">
        <v>10589</v>
      </c>
      <c r="P358" s="207">
        <f t="shared" si="14"/>
        <v>9643</v>
      </c>
      <c r="Q358" s="207">
        <v>3</v>
      </c>
      <c r="R358" s="207">
        <v>3</v>
      </c>
      <c r="U358" s="206">
        <v>0</v>
      </c>
      <c r="V358" s="206">
        <v>0</v>
      </c>
      <c r="W358" s="206">
        <v>0</v>
      </c>
      <c r="X358" s="206" t="e">
        <v>#DIV/0!</v>
      </c>
    </row>
    <row r="359" spans="1:24" x14ac:dyDescent="0.25">
      <c r="A359" s="206" t="str">
        <f t="shared" si="13"/>
        <v>SD09050IDPs</v>
      </c>
      <c r="B359" s="206" t="s">
        <v>197</v>
      </c>
      <c r="C359" s="206" t="s">
        <v>126</v>
      </c>
      <c r="D359" s="206" t="s">
        <v>396</v>
      </c>
      <c r="E359" s="206" t="s">
        <v>397</v>
      </c>
      <c r="F359" s="206" t="s">
        <v>735</v>
      </c>
      <c r="G359" s="207">
        <v>16970</v>
      </c>
      <c r="H359" s="206" t="s">
        <v>88</v>
      </c>
      <c r="I359" s="206" t="s">
        <v>732</v>
      </c>
      <c r="J359" s="233">
        <v>0.14864864864864866</v>
      </c>
      <c r="K359" s="233">
        <v>0.20945945945945946</v>
      </c>
      <c r="L359" s="233">
        <v>0.61486486486486491</v>
      </c>
      <c r="M359" s="233">
        <v>6.7567567567567571E-3</v>
      </c>
      <c r="N359" s="233">
        <v>2.0270270270270271E-2</v>
      </c>
      <c r="O359" s="207">
        <v>10893</v>
      </c>
      <c r="P359" s="207">
        <f t="shared" si="14"/>
        <v>9920</v>
      </c>
      <c r="Q359" s="207">
        <v>3</v>
      </c>
      <c r="R359" s="207">
        <v>3</v>
      </c>
      <c r="U359" s="206">
        <v>0</v>
      </c>
      <c r="V359" s="206">
        <v>1</v>
      </c>
      <c r="W359" s="206">
        <v>1</v>
      </c>
      <c r="X359" s="206" t="e">
        <v>#DIV/0!</v>
      </c>
    </row>
    <row r="360" spans="1:24" x14ac:dyDescent="0.25">
      <c r="A360" s="206" t="str">
        <f t="shared" si="13"/>
        <v>SD09050Non-hosting Population</v>
      </c>
      <c r="B360" s="206" t="s">
        <v>197</v>
      </c>
      <c r="C360" s="206" t="s">
        <v>126</v>
      </c>
      <c r="D360" s="206" t="s">
        <v>396</v>
      </c>
      <c r="E360" s="206" t="s">
        <v>397</v>
      </c>
      <c r="F360" s="206" t="s">
        <v>735</v>
      </c>
      <c r="G360" s="207">
        <v>340156</v>
      </c>
      <c r="H360" s="206" t="s">
        <v>568</v>
      </c>
      <c r="I360" s="206" t="s">
        <v>731</v>
      </c>
      <c r="J360" s="233">
        <v>0.14864864864864866</v>
      </c>
      <c r="K360" s="233">
        <v>0.20945945945945946</v>
      </c>
      <c r="L360" s="233">
        <v>0.61486486486486491</v>
      </c>
      <c r="M360" s="233">
        <v>6.7567567567567571E-3</v>
      </c>
      <c r="N360" s="233">
        <v>2.0270270270270271E-2</v>
      </c>
      <c r="O360" s="207">
        <v>9193</v>
      </c>
      <c r="P360" s="207">
        <f t="shared" si="14"/>
        <v>8372</v>
      </c>
      <c r="Q360" s="207">
        <v>3</v>
      </c>
      <c r="R360" s="207">
        <v>3</v>
      </c>
      <c r="U360" s="206" t="e">
        <v>#DIV/0!</v>
      </c>
      <c r="V360" s="206" t="e">
        <v>#DIV/0!</v>
      </c>
      <c r="W360" s="206">
        <v>0</v>
      </c>
      <c r="X360" s="206" t="e">
        <v>#DIV/0!</v>
      </c>
    </row>
    <row r="361" spans="1:24" x14ac:dyDescent="0.25">
      <c r="A361" s="206" t="str">
        <f t="shared" si="13"/>
        <v>SD09051Host Community</v>
      </c>
      <c r="B361" s="206" t="s">
        <v>197</v>
      </c>
      <c r="C361" s="206" t="s">
        <v>126</v>
      </c>
      <c r="D361" s="206" t="s">
        <v>398</v>
      </c>
      <c r="E361" s="206" t="s">
        <v>399</v>
      </c>
      <c r="F361" s="206" t="s">
        <v>735</v>
      </c>
      <c r="G361" s="207">
        <v>225999</v>
      </c>
      <c r="H361" s="206" t="s">
        <v>87</v>
      </c>
      <c r="I361" s="206" t="s">
        <v>731</v>
      </c>
      <c r="J361" s="233">
        <v>1.948051948051948E-2</v>
      </c>
      <c r="K361" s="233">
        <v>8.4415584415584416E-2</v>
      </c>
      <c r="L361" s="233">
        <v>0.5714285714285714</v>
      </c>
      <c r="M361" s="233">
        <v>7.792207792207792E-2</v>
      </c>
      <c r="N361" s="233">
        <v>0.24675324675324675</v>
      </c>
      <c r="O361" s="207">
        <v>202519</v>
      </c>
      <c r="P361" s="207">
        <f t="shared" si="14"/>
        <v>184424</v>
      </c>
      <c r="Q361" s="207">
        <v>5</v>
      </c>
      <c r="R361" s="207">
        <v>4</v>
      </c>
      <c r="U361" s="206">
        <v>0</v>
      </c>
      <c r="V361" s="206">
        <v>0</v>
      </c>
      <c r="W361" s="206">
        <v>1</v>
      </c>
      <c r="X361" s="206" t="e">
        <v>#DIV/0!</v>
      </c>
    </row>
    <row r="362" spans="1:24" x14ac:dyDescent="0.25">
      <c r="A362" s="206" t="str">
        <f t="shared" si="13"/>
        <v>SD09051IDPs</v>
      </c>
      <c r="B362" s="206" t="s">
        <v>197</v>
      </c>
      <c r="C362" s="206" t="s">
        <v>126</v>
      </c>
      <c r="D362" s="206" t="s">
        <v>398</v>
      </c>
      <c r="E362" s="206" t="s">
        <v>399</v>
      </c>
      <c r="F362" s="206" t="s">
        <v>735</v>
      </c>
      <c r="G362" s="207">
        <v>133362</v>
      </c>
      <c r="H362" s="206" t="s">
        <v>88</v>
      </c>
      <c r="I362" s="206" t="s">
        <v>732</v>
      </c>
      <c r="J362" s="233">
        <v>1.948051948051948E-2</v>
      </c>
      <c r="K362" s="233">
        <v>8.4415584415584416E-2</v>
      </c>
      <c r="L362" s="233">
        <v>0.5714285714285714</v>
      </c>
      <c r="M362" s="233">
        <v>7.792207792207792E-2</v>
      </c>
      <c r="N362" s="233">
        <v>0.24675324675324675</v>
      </c>
      <c r="O362" s="207">
        <v>119506</v>
      </c>
      <c r="P362" s="207">
        <f t="shared" si="14"/>
        <v>108828</v>
      </c>
      <c r="Q362" s="207">
        <v>5</v>
      </c>
      <c r="R362" s="207">
        <v>4</v>
      </c>
      <c r="U362" s="206">
        <v>0</v>
      </c>
      <c r="V362" s="206">
        <v>0</v>
      </c>
      <c r="W362" s="206">
        <v>1</v>
      </c>
      <c r="X362" s="206" t="e">
        <v>#DIV/0!</v>
      </c>
    </row>
    <row r="363" spans="1:24" x14ac:dyDescent="0.25">
      <c r="A363" s="206" t="str">
        <f t="shared" si="13"/>
        <v>SD09051Non-hosting Population</v>
      </c>
      <c r="B363" s="206" t="s">
        <v>197</v>
      </c>
      <c r="C363" s="206" t="s">
        <v>126</v>
      </c>
      <c r="D363" s="206" t="s">
        <v>398</v>
      </c>
      <c r="E363" s="206" t="s">
        <v>399</v>
      </c>
      <c r="F363" s="206" t="s">
        <v>735</v>
      </c>
      <c r="G363" s="207">
        <v>0</v>
      </c>
      <c r="H363" s="206" t="s">
        <v>568</v>
      </c>
      <c r="I363" s="206" t="s">
        <v>731</v>
      </c>
      <c r="J363" s="233">
        <v>1.948051948051948E-2</v>
      </c>
      <c r="K363" s="233">
        <v>8.4415584415584416E-2</v>
      </c>
      <c r="L363" s="233">
        <v>0.5714285714285714</v>
      </c>
      <c r="M363" s="233">
        <v>7.792207792207792E-2</v>
      </c>
      <c r="N363" s="233">
        <v>0.24675324675324675</v>
      </c>
      <c r="O363" s="207">
        <v>0</v>
      </c>
      <c r="P363" s="207">
        <f t="shared" si="14"/>
        <v>0</v>
      </c>
      <c r="Q363" s="207">
        <v>5</v>
      </c>
      <c r="R363" s="207">
        <v>4</v>
      </c>
      <c r="U363" s="206">
        <v>0</v>
      </c>
      <c r="V363" s="206">
        <v>0</v>
      </c>
      <c r="W363" s="206">
        <v>1</v>
      </c>
      <c r="X363" s="206" t="e">
        <v>#DIV/0!</v>
      </c>
    </row>
    <row r="364" spans="1:24" x14ac:dyDescent="0.25">
      <c r="A364" s="206" t="str">
        <f t="shared" si="13"/>
        <v>SD09052Host Community</v>
      </c>
      <c r="B364" s="206" t="s">
        <v>197</v>
      </c>
      <c r="C364" s="206" t="s">
        <v>126</v>
      </c>
      <c r="D364" s="206" t="s">
        <v>400</v>
      </c>
      <c r="E364" s="206" t="s">
        <v>401</v>
      </c>
      <c r="F364" s="206" t="s">
        <v>735</v>
      </c>
      <c r="G364" s="207">
        <v>26540</v>
      </c>
      <c r="H364" s="206" t="s">
        <v>87</v>
      </c>
      <c r="I364" s="206" t="s">
        <v>731</v>
      </c>
      <c r="J364" s="233">
        <v>1.4705882352941176E-2</v>
      </c>
      <c r="K364" s="233">
        <v>0.28676470588235292</v>
      </c>
      <c r="L364" s="233">
        <v>0.63235294117647056</v>
      </c>
      <c r="M364" s="233">
        <v>0</v>
      </c>
      <c r="N364" s="233">
        <v>6.6176470588235295E-2</v>
      </c>
      <c r="O364" s="207">
        <v>18539</v>
      </c>
      <c r="P364" s="207">
        <f t="shared" si="14"/>
        <v>16883</v>
      </c>
      <c r="Q364" s="207">
        <v>3</v>
      </c>
      <c r="R364" s="207">
        <v>3</v>
      </c>
      <c r="U364" s="206">
        <v>0</v>
      </c>
      <c r="V364" s="206">
        <v>0</v>
      </c>
      <c r="W364" s="206">
        <v>0</v>
      </c>
      <c r="X364" s="206" t="e">
        <v>#DIV/0!</v>
      </c>
    </row>
    <row r="365" spans="1:24" x14ac:dyDescent="0.25">
      <c r="A365" s="206" t="str">
        <f t="shared" si="13"/>
        <v>SD09052IDPs</v>
      </c>
      <c r="B365" s="206" t="s">
        <v>197</v>
      </c>
      <c r="C365" s="206" t="s">
        <v>126</v>
      </c>
      <c r="D365" s="206" t="s">
        <v>400</v>
      </c>
      <c r="E365" s="206" t="s">
        <v>401</v>
      </c>
      <c r="F365" s="206" t="s">
        <v>735</v>
      </c>
      <c r="G365" s="207">
        <v>26377</v>
      </c>
      <c r="H365" s="206" t="s">
        <v>88</v>
      </c>
      <c r="I365" s="206" t="s">
        <v>732</v>
      </c>
      <c r="J365" s="233">
        <v>1.4705882352941176E-2</v>
      </c>
      <c r="K365" s="233">
        <v>0.28676470588235292</v>
      </c>
      <c r="L365" s="233">
        <v>0.63235294117647056</v>
      </c>
      <c r="M365" s="233">
        <v>0</v>
      </c>
      <c r="N365" s="233">
        <v>6.6176470588235295E-2</v>
      </c>
      <c r="O365" s="207">
        <v>18425</v>
      </c>
      <c r="P365" s="207">
        <f t="shared" si="14"/>
        <v>16779</v>
      </c>
      <c r="Q365" s="207">
        <v>3</v>
      </c>
      <c r="R365" s="207">
        <v>3</v>
      </c>
      <c r="U365" s="206">
        <v>0</v>
      </c>
      <c r="V365" s="206">
        <v>1</v>
      </c>
      <c r="W365" s="206">
        <v>1</v>
      </c>
      <c r="X365" s="206" t="e">
        <v>#DIV/0!</v>
      </c>
    </row>
    <row r="366" spans="1:24" x14ac:dyDescent="0.25">
      <c r="A366" s="206" t="str">
        <f t="shared" si="13"/>
        <v>SD09052Non-hosting Population</v>
      </c>
      <c r="B366" s="206" t="s">
        <v>197</v>
      </c>
      <c r="C366" s="206" t="s">
        <v>126</v>
      </c>
      <c r="D366" s="206" t="s">
        <v>400</v>
      </c>
      <c r="E366" s="206" t="s">
        <v>401</v>
      </c>
      <c r="F366" s="206" t="s">
        <v>735</v>
      </c>
      <c r="G366" s="207">
        <v>196991</v>
      </c>
      <c r="H366" s="206" t="s">
        <v>568</v>
      </c>
      <c r="I366" s="206" t="s">
        <v>731</v>
      </c>
      <c r="J366" s="233">
        <v>1.4705882352941176E-2</v>
      </c>
      <c r="K366" s="233">
        <v>0.28676470588235292</v>
      </c>
      <c r="L366" s="233">
        <v>0.63235294117647056</v>
      </c>
      <c r="M366" s="233">
        <v>0</v>
      </c>
      <c r="N366" s="233">
        <v>6.6176470588235295E-2</v>
      </c>
      <c r="O366" s="207">
        <v>13036</v>
      </c>
      <c r="P366" s="207">
        <f t="shared" si="14"/>
        <v>11871</v>
      </c>
      <c r="Q366" s="207">
        <v>3</v>
      </c>
      <c r="R366" s="207">
        <v>3</v>
      </c>
      <c r="U366" s="206">
        <v>0</v>
      </c>
      <c r="V366" s="206">
        <v>0</v>
      </c>
      <c r="W366" s="206">
        <v>0</v>
      </c>
      <c r="X366" s="206" t="e">
        <v>#DIV/0!</v>
      </c>
    </row>
    <row r="367" spans="1:24" x14ac:dyDescent="0.25">
      <c r="A367" s="206" t="str">
        <f t="shared" si="13"/>
        <v>SD10063Host Community</v>
      </c>
      <c r="B367" s="206" t="s">
        <v>176</v>
      </c>
      <c r="C367" s="206" t="s">
        <v>127</v>
      </c>
      <c r="D367" s="206" t="s">
        <v>402</v>
      </c>
      <c r="E367" s="206" t="s">
        <v>403</v>
      </c>
      <c r="F367" s="206" t="s">
        <v>735</v>
      </c>
      <c r="G367" s="207">
        <v>1160</v>
      </c>
      <c r="H367" s="206" t="s">
        <v>87</v>
      </c>
      <c r="I367" s="206" t="s">
        <v>731</v>
      </c>
      <c r="J367" s="233">
        <v>0.12396694214876033</v>
      </c>
      <c r="K367" s="233">
        <v>0.14049586776859505</v>
      </c>
      <c r="L367" s="233">
        <v>0.62809917355371903</v>
      </c>
      <c r="M367" s="233">
        <v>9.9173553719008267E-2</v>
      </c>
      <c r="N367" s="233">
        <v>8.2644628099173556E-3</v>
      </c>
      <c r="O367" s="207">
        <v>853</v>
      </c>
      <c r="P367" s="207">
        <f t="shared" si="14"/>
        <v>777</v>
      </c>
      <c r="Q367" s="207">
        <v>3</v>
      </c>
      <c r="R367" s="207">
        <v>3</v>
      </c>
      <c r="U367" s="206">
        <v>0</v>
      </c>
      <c r="V367" s="206">
        <v>1</v>
      </c>
      <c r="W367" s="206">
        <v>1</v>
      </c>
      <c r="X367" s="206" t="e">
        <v>#DIV/0!</v>
      </c>
    </row>
    <row r="368" spans="1:24" x14ac:dyDescent="0.25">
      <c r="A368" s="206" t="str">
        <f t="shared" si="13"/>
        <v>SD10063IDPs</v>
      </c>
      <c r="B368" s="206" t="s">
        <v>176</v>
      </c>
      <c r="C368" s="206" t="s">
        <v>127</v>
      </c>
      <c r="D368" s="206" t="s">
        <v>402</v>
      </c>
      <c r="E368" s="206" t="s">
        <v>403</v>
      </c>
      <c r="F368" s="206" t="s">
        <v>735</v>
      </c>
      <c r="G368" s="207">
        <v>1595</v>
      </c>
      <c r="H368" s="206" t="s">
        <v>88</v>
      </c>
      <c r="I368" s="206" t="s">
        <v>732</v>
      </c>
      <c r="J368" s="233">
        <v>0.12396694214876033</v>
      </c>
      <c r="K368" s="233">
        <v>0.14049586776859505</v>
      </c>
      <c r="L368" s="233">
        <v>0.62809917355371903</v>
      </c>
      <c r="M368" s="233">
        <v>9.9173553719008267E-2</v>
      </c>
      <c r="N368" s="233">
        <v>8.2644628099173556E-3</v>
      </c>
      <c r="O368" s="207">
        <v>1173</v>
      </c>
      <c r="P368" s="207">
        <f t="shared" si="14"/>
        <v>1068</v>
      </c>
      <c r="Q368" s="207">
        <v>3</v>
      </c>
      <c r="R368" s="207">
        <v>3</v>
      </c>
      <c r="U368" s="206">
        <v>0</v>
      </c>
      <c r="V368" s="206">
        <v>1</v>
      </c>
      <c r="W368" s="206">
        <v>1</v>
      </c>
      <c r="X368" s="206" t="e">
        <v>#DIV/0!</v>
      </c>
    </row>
    <row r="369" spans="1:24" x14ac:dyDescent="0.25">
      <c r="A369" s="206" t="str">
        <f t="shared" si="13"/>
        <v>SD10063Non-hosting Population</v>
      </c>
      <c r="B369" s="206" t="s">
        <v>176</v>
      </c>
      <c r="C369" s="206" t="s">
        <v>127</v>
      </c>
      <c r="D369" s="206" t="s">
        <v>402</v>
      </c>
      <c r="E369" s="206" t="s">
        <v>403</v>
      </c>
      <c r="F369" s="206" t="s">
        <v>735</v>
      </c>
      <c r="G369" s="207">
        <v>74775</v>
      </c>
      <c r="H369" s="206" t="s">
        <v>568</v>
      </c>
      <c r="I369" s="206" t="s">
        <v>731</v>
      </c>
      <c r="J369" s="233">
        <v>0.12396694214876033</v>
      </c>
      <c r="K369" s="233">
        <v>0.14049586776859505</v>
      </c>
      <c r="L369" s="233">
        <v>0.62809917355371903</v>
      </c>
      <c r="M369" s="233">
        <v>9.9173553719008267E-2</v>
      </c>
      <c r="N369" s="233">
        <v>8.2644628099173556E-3</v>
      </c>
      <c r="O369" s="207">
        <v>8034</v>
      </c>
      <c r="P369" s="207">
        <f t="shared" si="14"/>
        <v>7316</v>
      </c>
      <c r="Q369" s="207">
        <v>3</v>
      </c>
      <c r="R369" s="207">
        <v>3</v>
      </c>
      <c r="U369" s="206">
        <v>0</v>
      </c>
      <c r="V369" s="206">
        <v>1</v>
      </c>
      <c r="W369" s="206">
        <v>1</v>
      </c>
      <c r="X369" s="206" t="e">
        <v>#DIV/0!</v>
      </c>
    </row>
    <row r="370" spans="1:24" x14ac:dyDescent="0.25">
      <c r="A370" s="206" t="str">
        <f t="shared" si="13"/>
        <v>SD10064Host Community</v>
      </c>
      <c r="B370" s="206" t="s">
        <v>176</v>
      </c>
      <c r="C370" s="206" t="s">
        <v>127</v>
      </c>
      <c r="D370" s="206" t="s">
        <v>404</v>
      </c>
      <c r="E370" s="206" t="s">
        <v>405</v>
      </c>
      <c r="F370" s="206" t="s">
        <v>735</v>
      </c>
      <c r="G370" s="207">
        <v>257748</v>
      </c>
      <c r="H370" s="206" t="s">
        <v>87</v>
      </c>
      <c r="I370" s="206" t="s">
        <v>731</v>
      </c>
      <c r="J370" s="233">
        <v>0.15527950310559005</v>
      </c>
      <c r="K370" s="233">
        <v>0.14285714285714285</v>
      </c>
      <c r="L370" s="233">
        <v>0.55279503105590067</v>
      </c>
      <c r="M370" s="233">
        <v>7.4534161490683232E-2</v>
      </c>
      <c r="N370" s="233">
        <v>7.4534161490683232E-2</v>
      </c>
      <c r="O370" s="207">
        <v>180904</v>
      </c>
      <c r="P370" s="207">
        <f t="shared" si="14"/>
        <v>164740</v>
      </c>
      <c r="Q370" s="207">
        <v>3</v>
      </c>
      <c r="R370" s="207">
        <v>3</v>
      </c>
      <c r="U370" s="206">
        <v>0</v>
      </c>
      <c r="V370" s="206">
        <v>0</v>
      </c>
      <c r="W370" s="206">
        <v>1</v>
      </c>
      <c r="X370" s="206" t="e">
        <v>#DIV/0!</v>
      </c>
    </row>
    <row r="371" spans="1:24" x14ac:dyDescent="0.25">
      <c r="A371" s="206" t="str">
        <f t="shared" si="13"/>
        <v>SD10064IDPs</v>
      </c>
      <c r="B371" s="206" t="s">
        <v>176</v>
      </c>
      <c r="C371" s="206" t="s">
        <v>127</v>
      </c>
      <c r="D371" s="206" t="s">
        <v>404</v>
      </c>
      <c r="E371" s="206" t="s">
        <v>405</v>
      </c>
      <c r="F371" s="206" t="s">
        <v>735</v>
      </c>
      <c r="G371" s="207">
        <v>239573</v>
      </c>
      <c r="H371" s="206" t="s">
        <v>88</v>
      </c>
      <c r="I371" s="206" t="s">
        <v>732</v>
      </c>
      <c r="J371" s="233">
        <v>0.15527950310559005</v>
      </c>
      <c r="K371" s="233">
        <v>0.14285714285714285</v>
      </c>
      <c r="L371" s="233">
        <v>0.55279503105590067</v>
      </c>
      <c r="M371" s="233">
        <v>7.4534161490683232E-2</v>
      </c>
      <c r="N371" s="233">
        <v>7.4534161490683232E-2</v>
      </c>
      <c r="O371" s="207">
        <v>168148</v>
      </c>
      <c r="P371" s="207">
        <f t="shared" si="14"/>
        <v>153124</v>
      </c>
      <c r="Q371" s="207">
        <v>3</v>
      </c>
      <c r="R371" s="207">
        <v>3</v>
      </c>
      <c r="U371" s="206">
        <v>0</v>
      </c>
      <c r="V371" s="206">
        <v>0</v>
      </c>
      <c r="W371" s="206">
        <v>1</v>
      </c>
      <c r="X371" s="206" t="e">
        <v>#DIV/0!</v>
      </c>
    </row>
    <row r="372" spans="1:24" x14ac:dyDescent="0.25">
      <c r="A372" s="206" t="str">
        <f t="shared" si="13"/>
        <v>SD10064Non-hosting Population</v>
      </c>
      <c r="B372" s="206" t="s">
        <v>176</v>
      </c>
      <c r="C372" s="206" t="s">
        <v>127</v>
      </c>
      <c r="D372" s="206" t="s">
        <v>404</v>
      </c>
      <c r="E372" s="206" t="s">
        <v>405</v>
      </c>
      <c r="F372" s="206" t="s">
        <v>735</v>
      </c>
      <c r="G372" s="207">
        <v>95444</v>
      </c>
      <c r="H372" s="206" t="s">
        <v>568</v>
      </c>
      <c r="I372" s="206" t="s">
        <v>731</v>
      </c>
      <c r="J372" s="233">
        <v>0.15527950310559005</v>
      </c>
      <c r="K372" s="233">
        <v>0.14285714285714285</v>
      </c>
      <c r="L372" s="233">
        <v>0.55279503105590067</v>
      </c>
      <c r="M372" s="233">
        <v>7.4534161490683232E-2</v>
      </c>
      <c r="N372" s="233">
        <v>7.4534161490683232E-2</v>
      </c>
      <c r="O372" s="207">
        <v>14228</v>
      </c>
      <c r="P372" s="207">
        <f t="shared" si="14"/>
        <v>12957</v>
      </c>
      <c r="Q372" s="207">
        <v>3</v>
      </c>
      <c r="R372" s="207">
        <v>3</v>
      </c>
      <c r="U372" s="206">
        <v>0</v>
      </c>
      <c r="V372" s="206">
        <v>0</v>
      </c>
      <c r="W372" s="206">
        <v>1</v>
      </c>
      <c r="X372" s="206" t="e">
        <v>#DIV/0!</v>
      </c>
    </row>
    <row r="373" spans="1:24" x14ac:dyDescent="0.25">
      <c r="A373" s="206" t="str">
        <f t="shared" si="13"/>
        <v>SD10065Host Community</v>
      </c>
      <c r="B373" s="206" t="s">
        <v>176</v>
      </c>
      <c r="C373" s="206" t="s">
        <v>127</v>
      </c>
      <c r="D373" s="206" t="s">
        <v>406</v>
      </c>
      <c r="E373" s="206" t="s">
        <v>407</v>
      </c>
      <c r="F373" s="206" t="s">
        <v>735</v>
      </c>
      <c r="G373" s="207">
        <v>2434</v>
      </c>
      <c r="H373" s="206" t="s">
        <v>87</v>
      </c>
      <c r="I373" s="206" t="s">
        <v>731</v>
      </c>
      <c r="J373" s="233">
        <v>4.9180327868852458E-2</v>
      </c>
      <c r="K373" s="233">
        <v>0.4098360655737705</v>
      </c>
      <c r="L373" s="233">
        <v>0.54098360655737709</v>
      </c>
      <c r="M373" s="233">
        <v>0</v>
      </c>
      <c r="N373" s="233">
        <v>0</v>
      </c>
      <c r="O373" s="207">
        <v>1317</v>
      </c>
      <c r="P373" s="207">
        <f t="shared" si="14"/>
        <v>1199</v>
      </c>
      <c r="Q373" s="207">
        <v>3</v>
      </c>
      <c r="R373" s="207">
        <v>3</v>
      </c>
      <c r="U373" s="206">
        <v>0</v>
      </c>
      <c r="V373" s="206">
        <v>0</v>
      </c>
      <c r="W373" s="206">
        <v>0</v>
      </c>
      <c r="X373" s="206" t="e">
        <v>#DIV/0!</v>
      </c>
    </row>
    <row r="374" spans="1:24" x14ac:dyDescent="0.25">
      <c r="A374" s="206" t="str">
        <f t="shared" si="13"/>
        <v>SD10065IDPs</v>
      </c>
      <c r="B374" s="206" t="s">
        <v>176</v>
      </c>
      <c r="C374" s="206" t="s">
        <v>127</v>
      </c>
      <c r="D374" s="206" t="s">
        <v>406</v>
      </c>
      <c r="E374" s="206" t="s">
        <v>407</v>
      </c>
      <c r="F374" s="206" t="s">
        <v>735</v>
      </c>
      <c r="G374" s="207">
        <v>2415</v>
      </c>
      <c r="H374" s="206" t="s">
        <v>88</v>
      </c>
      <c r="I374" s="206" t="s">
        <v>732</v>
      </c>
      <c r="J374" s="233">
        <v>4.9180327868852458E-2</v>
      </c>
      <c r="K374" s="233">
        <v>0.4098360655737705</v>
      </c>
      <c r="L374" s="233">
        <v>0.54098360655737709</v>
      </c>
      <c r="M374" s="233">
        <v>0</v>
      </c>
      <c r="N374" s="233">
        <v>0</v>
      </c>
      <c r="O374" s="207">
        <v>1306</v>
      </c>
      <c r="P374" s="207">
        <f t="shared" si="14"/>
        <v>1189</v>
      </c>
      <c r="Q374" s="207">
        <v>3</v>
      </c>
      <c r="R374" s="207">
        <v>3</v>
      </c>
      <c r="U374" s="206">
        <v>0</v>
      </c>
      <c r="V374" s="206">
        <v>0</v>
      </c>
      <c r="W374" s="206">
        <v>1</v>
      </c>
      <c r="X374" s="206" t="e">
        <v>#DIV/0!</v>
      </c>
    </row>
    <row r="375" spans="1:24" x14ac:dyDescent="0.25">
      <c r="A375" s="206" t="str">
        <f t="shared" si="13"/>
        <v>SD10065Non-hosting Population</v>
      </c>
      <c r="B375" s="206" t="s">
        <v>176</v>
      </c>
      <c r="C375" s="206" t="s">
        <v>127</v>
      </c>
      <c r="D375" s="206" t="s">
        <v>406</v>
      </c>
      <c r="E375" s="206" t="s">
        <v>407</v>
      </c>
      <c r="F375" s="206" t="s">
        <v>735</v>
      </c>
      <c r="G375" s="207">
        <v>215869</v>
      </c>
      <c r="H375" s="206" t="s">
        <v>568</v>
      </c>
      <c r="I375" s="206" t="s">
        <v>731</v>
      </c>
      <c r="J375" s="233">
        <v>4.9180327868852458E-2</v>
      </c>
      <c r="K375" s="233">
        <v>0.4098360655737705</v>
      </c>
      <c r="L375" s="233">
        <v>0.54098360655737709</v>
      </c>
      <c r="M375" s="233">
        <v>0</v>
      </c>
      <c r="N375" s="233">
        <v>0</v>
      </c>
      <c r="O375" s="207">
        <v>0</v>
      </c>
      <c r="P375" s="207">
        <f t="shared" si="14"/>
        <v>0</v>
      </c>
      <c r="Q375" s="207">
        <v>3</v>
      </c>
      <c r="R375" s="207">
        <v>3</v>
      </c>
      <c r="U375" s="206">
        <v>0</v>
      </c>
      <c r="V375" s="206">
        <v>0</v>
      </c>
      <c r="W375" s="206">
        <v>0</v>
      </c>
      <c r="X375" s="206" t="e">
        <v>#DIV/0!</v>
      </c>
    </row>
    <row r="376" spans="1:24" x14ac:dyDescent="0.25">
      <c r="A376" s="206" t="str">
        <f t="shared" si="13"/>
        <v>SD10066Host Community</v>
      </c>
      <c r="B376" s="206" t="s">
        <v>176</v>
      </c>
      <c r="C376" s="206" t="s">
        <v>127</v>
      </c>
      <c r="D376" s="206" t="s">
        <v>408</v>
      </c>
      <c r="E376" s="206" t="s">
        <v>409</v>
      </c>
      <c r="F376" s="206" t="s">
        <v>735</v>
      </c>
      <c r="G376" s="207">
        <v>600</v>
      </c>
      <c r="H376" s="206" t="s">
        <v>87</v>
      </c>
      <c r="I376" s="206" t="s">
        <v>731</v>
      </c>
      <c r="J376" s="233">
        <v>0.19379844961240311</v>
      </c>
      <c r="K376" s="233">
        <v>0.56589147286821706</v>
      </c>
      <c r="L376" s="233">
        <v>0.23255813953488372</v>
      </c>
      <c r="M376" s="233">
        <v>7.7519379844961239E-3</v>
      </c>
      <c r="N376" s="233">
        <v>0</v>
      </c>
      <c r="O376" s="207">
        <v>144</v>
      </c>
      <c r="P376" s="207">
        <f t="shared" si="14"/>
        <v>131</v>
      </c>
      <c r="Q376" s="207">
        <v>3</v>
      </c>
      <c r="R376" s="207">
        <v>3</v>
      </c>
      <c r="U376" s="206">
        <v>0</v>
      </c>
      <c r="V376" s="206">
        <v>1</v>
      </c>
      <c r="W376" s="206">
        <v>0</v>
      </c>
      <c r="X376" s="206" t="e">
        <v>#DIV/0!</v>
      </c>
    </row>
    <row r="377" spans="1:24" x14ac:dyDescent="0.25">
      <c r="A377" s="206" t="str">
        <f t="shared" si="13"/>
        <v>SD10066IDPs</v>
      </c>
      <c r="B377" s="206" t="s">
        <v>176</v>
      </c>
      <c r="C377" s="206" t="s">
        <v>127</v>
      </c>
      <c r="D377" s="206" t="s">
        <v>408</v>
      </c>
      <c r="E377" s="206" t="s">
        <v>409</v>
      </c>
      <c r="F377" s="206" t="s">
        <v>735</v>
      </c>
      <c r="G377" s="207">
        <v>490</v>
      </c>
      <c r="H377" s="206" t="s">
        <v>88</v>
      </c>
      <c r="I377" s="206" t="s">
        <v>732</v>
      </c>
      <c r="J377" s="233">
        <v>0.19379844961240311</v>
      </c>
      <c r="K377" s="233">
        <v>0.56589147286821706</v>
      </c>
      <c r="L377" s="233">
        <v>0.23255813953488372</v>
      </c>
      <c r="M377" s="233">
        <v>7.7519379844961239E-3</v>
      </c>
      <c r="N377" s="233">
        <v>0</v>
      </c>
      <c r="O377" s="207">
        <v>118</v>
      </c>
      <c r="P377" s="207">
        <f t="shared" si="14"/>
        <v>107</v>
      </c>
      <c r="Q377" s="207">
        <v>3</v>
      </c>
      <c r="R377" s="207">
        <v>3</v>
      </c>
      <c r="U377" s="206">
        <v>0</v>
      </c>
      <c r="V377" s="206">
        <v>1</v>
      </c>
      <c r="W377" s="206">
        <v>1</v>
      </c>
      <c r="X377" s="206" t="e">
        <v>#DIV/0!</v>
      </c>
    </row>
    <row r="378" spans="1:24" x14ac:dyDescent="0.25">
      <c r="A378" s="206" t="str">
        <f t="shared" si="13"/>
        <v>SD10066Non-hosting Population</v>
      </c>
      <c r="B378" s="206" t="s">
        <v>176</v>
      </c>
      <c r="C378" s="206" t="s">
        <v>127</v>
      </c>
      <c r="D378" s="206" t="s">
        <v>408</v>
      </c>
      <c r="E378" s="206" t="s">
        <v>409</v>
      </c>
      <c r="F378" s="206" t="s">
        <v>735</v>
      </c>
      <c r="G378" s="207">
        <v>32794</v>
      </c>
      <c r="H378" s="206" t="s">
        <v>568</v>
      </c>
      <c r="I378" s="206" t="s">
        <v>731</v>
      </c>
      <c r="J378" s="233">
        <v>0.19379844961240311</v>
      </c>
      <c r="K378" s="233">
        <v>0.56589147286821706</v>
      </c>
      <c r="L378" s="233">
        <v>0.23255813953488372</v>
      </c>
      <c r="M378" s="233">
        <v>7.7519379844961239E-3</v>
      </c>
      <c r="N378" s="233">
        <v>0</v>
      </c>
      <c r="O378" s="207">
        <v>254</v>
      </c>
      <c r="P378" s="207">
        <f t="shared" si="14"/>
        <v>231</v>
      </c>
      <c r="Q378" s="207">
        <v>3</v>
      </c>
      <c r="R378" s="207">
        <v>3</v>
      </c>
      <c r="U378" s="206">
        <v>0</v>
      </c>
      <c r="V378" s="206">
        <v>1</v>
      </c>
      <c r="W378" s="206">
        <v>0</v>
      </c>
      <c r="X378" s="206" t="e">
        <v>#DIV/0!</v>
      </c>
    </row>
    <row r="379" spans="1:24" x14ac:dyDescent="0.25">
      <c r="A379" s="206" t="str">
        <f t="shared" si="13"/>
        <v>SD10067Host Community</v>
      </c>
      <c r="B379" s="206" t="s">
        <v>176</v>
      </c>
      <c r="C379" s="206" t="s">
        <v>127</v>
      </c>
      <c r="D379" s="206" t="s">
        <v>410</v>
      </c>
      <c r="E379" s="206" t="s">
        <v>411</v>
      </c>
      <c r="F379" s="206" t="s">
        <v>735</v>
      </c>
      <c r="G379" s="207">
        <v>345</v>
      </c>
      <c r="H379" s="206" t="s">
        <v>87</v>
      </c>
      <c r="I379" s="206" t="s">
        <v>731</v>
      </c>
      <c r="J379" s="233">
        <v>9.3617021276595741E-2</v>
      </c>
      <c r="K379" s="233">
        <v>0.2</v>
      </c>
      <c r="L379" s="233">
        <v>0.43404255319148938</v>
      </c>
      <c r="M379" s="233">
        <v>5.106382978723404E-2</v>
      </c>
      <c r="N379" s="233">
        <v>0.22127659574468084</v>
      </c>
      <c r="O379" s="207">
        <v>244</v>
      </c>
      <c r="P379" s="207">
        <f t="shared" si="14"/>
        <v>222</v>
      </c>
      <c r="Q379" s="207">
        <v>5</v>
      </c>
      <c r="R379" s="207">
        <v>4</v>
      </c>
      <c r="U379" s="206">
        <v>0</v>
      </c>
      <c r="V379" s="206">
        <v>0</v>
      </c>
      <c r="W379" s="206">
        <v>1</v>
      </c>
      <c r="X379" s="206" t="e">
        <v>#DIV/0!</v>
      </c>
    </row>
    <row r="380" spans="1:24" x14ac:dyDescent="0.25">
      <c r="A380" s="206" t="str">
        <f t="shared" si="13"/>
        <v>SD10067IDPs</v>
      </c>
      <c r="B380" s="206" t="s">
        <v>176</v>
      </c>
      <c r="C380" s="206" t="s">
        <v>127</v>
      </c>
      <c r="D380" s="206" t="s">
        <v>410</v>
      </c>
      <c r="E380" s="206" t="s">
        <v>411</v>
      </c>
      <c r="F380" s="206" t="s">
        <v>735</v>
      </c>
      <c r="G380" s="207">
        <v>280</v>
      </c>
      <c r="H380" s="206" t="s">
        <v>88</v>
      </c>
      <c r="I380" s="206" t="s">
        <v>732</v>
      </c>
      <c r="J380" s="233">
        <v>9.3617021276595741E-2</v>
      </c>
      <c r="K380" s="233">
        <v>0.2</v>
      </c>
      <c r="L380" s="233">
        <v>0.43404255319148938</v>
      </c>
      <c r="M380" s="233">
        <v>5.106382978723404E-2</v>
      </c>
      <c r="N380" s="233">
        <v>0.22127659574468084</v>
      </c>
      <c r="O380" s="207">
        <v>198</v>
      </c>
      <c r="P380" s="207">
        <f t="shared" si="14"/>
        <v>180</v>
      </c>
      <c r="Q380" s="207">
        <v>5</v>
      </c>
      <c r="R380" s="207">
        <v>4</v>
      </c>
      <c r="U380" s="206">
        <v>0</v>
      </c>
      <c r="V380" s="206">
        <v>0</v>
      </c>
      <c r="W380" s="206">
        <v>1</v>
      </c>
      <c r="X380" s="206" t="e">
        <v>#DIV/0!</v>
      </c>
    </row>
    <row r="381" spans="1:24" x14ac:dyDescent="0.25">
      <c r="A381" s="206" t="str">
        <f t="shared" si="13"/>
        <v>SD10067Non-hosting Population</v>
      </c>
      <c r="B381" s="206" t="s">
        <v>176</v>
      </c>
      <c r="C381" s="206" t="s">
        <v>127</v>
      </c>
      <c r="D381" s="206" t="s">
        <v>410</v>
      </c>
      <c r="E381" s="206" t="s">
        <v>411</v>
      </c>
      <c r="F381" s="206" t="s">
        <v>735</v>
      </c>
      <c r="G381" s="207">
        <v>128554</v>
      </c>
      <c r="H381" s="206" t="s">
        <v>568</v>
      </c>
      <c r="I381" s="206" t="s">
        <v>731</v>
      </c>
      <c r="J381" s="233">
        <v>9.3617021276595741E-2</v>
      </c>
      <c r="K381" s="233">
        <v>0.2</v>
      </c>
      <c r="L381" s="233">
        <v>0.43404255319148938</v>
      </c>
      <c r="M381" s="233">
        <v>5.106382978723404E-2</v>
      </c>
      <c r="N381" s="233">
        <v>0.22127659574468084</v>
      </c>
      <c r="O381" s="207">
        <v>35010</v>
      </c>
      <c r="P381" s="207">
        <f t="shared" si="14"/>
        <v>31882</v>
      </c>
      <c r="Q381" s="207">
        <v>5</v>
      </c>
      <c r="R381" s="207">
        <v>4</v>
      </c>
      <c r="U381" s="206">
        <v>0</v>
      </c>
      <c r="V381" s="206">
        <v>0</v>
      </c>
      <c r="W381" s="206">
        <v>1</v>
      </c>
      <c r="X381" s="206" t="e">
        <v>#DIV/0!</v>
      </c>
    </row>
    <row r="382" spans="1:24" x14ac:dyDescent="0.25">
      <c r="A382" s="206" t="str">
        <f t="shared" si="13"/>
        <v>SD10068Host Community</v>
      </c>
      <c r="B382" s="206" t="s">
        <v>176</v>
      </c>
      <c r="C382" s="206" t="s">
        <v>127</v>
      </c>
      <c r="D382" s="206" t="s">
        <v>412</v>
      </c>
      <c r="E382" s="206" t="s">
        <v>413</v>
      </c>
      <c r="F382" s="206" t="s">
        <v>735</v>
      </c>
      <c r="G382" s="207">
        <v>7897</v>
      </c>
      <c r="H382" s="206" t="s">
        <v>87</v>
      </c>
      <c r="I382" s="206" t="s">
        <v>731</v>
      </c>
      <c r="J382" s="233">
        <v>0.39166666666666666</v>
      </c>
      <c r="K382" s="233">
        <v>0.35833333333333334</v>
      </c>
      <c r="L382" s="233">
        <v>0.23333333333333334</v>
      </c>
      <c r="M382" s="233">
        <v>8.3333333333333332E-3</v>
      </c>
      <c r="N382" s="233">
        <v>8.3333333333333332E-3</v>
      </c>
      <c r="O382" s="207">
        <v>1974</v>
      </c>
      <c r="P382" s="207">
        <f t="shared" si="14"/>
        <v>1798</v>
      </c>
      <c r="Q382" s="207">
        <v>3</v>
      </c>
      <c r="R382" s="207">
        <v>3</v>
      </c>
      <c r="U382" s="206">
        <v>1</v>
      </c>
      <c r="V382" s="206">
        <v>0</v>
      </c>
      <c r="W382" s="206">
        <v>1</v>
      </c>
      <c r="X382" s="206" t="e">
        <v>#DIV/0!</v>
      </c>
    </row>
    <row r="383" spans="1:24" x14ac:dyDescent="0.25">
      <c r="A383" s="206" t="str">
        <f t="shared" si="13"/>
        <v>SD10068IDPs</v>
      </c>
      <c r="B383" s="206" t="s">
        <v>176</v>
      </c>
      <c r="C383" s="206" t="s">
        <v>127</v>
      </c>
      <c r="D383" s="206" t="s">
        <v>412</v>
      </c>
      <c r="E383" s="206" t="s">
        <v>413</v>
      </c>
      <c r="F383" s="206" t="s">
        <v>735</v>
      </c>
      <c r="G383" s="207">
        <v>6987</v>
      </c>
      <c r="H383" s="206" t="s">
        <v>88</v>
      </c>
      <c r="I383" s="206" t="s">
        <v>732</v>
      </c>
      <c r="J383" s="233">
        <v>0.39166666666666666</v>
      </c>
      <c r="K383" s="233">
        <v>0.35833333333333334</v>
      </c>
      <c r="L383" s="233">
        <v>0.23333333333333334</v>
      </c>
      <c r="M383" s="233">
        <v>8.3333333333333332E-3</v>
      </c>
      <c r="N383" s="233">
        <v>8.3333333333333332E-3</v>
      </c>
      <c r="O383" s="207">
        <v>1747</v>
      </c>
      <c r="P383" s="207">
        <f t="shared" si="14"/>
        <v>1591</v>
      </c>
      <c r="Q383" s="207">
        <v>3</v>
      </c>
      <c r="R383" s="207">
        <v>3</v>
      </c>
      <c r="U383" s="206">
        <v>0</v>
      </c>
      <c r="V383" s="206">
        <v>1</v>
      </c>
      <c r="W383" s="206">
        <v>1</v>
      </c>
      <c r="X383" s="206" t="e">
        <v>#DIV/0!</v>
      </c>
    </row>
    <row r="384" spans="1:24" x14ac:dyDescent="0.25">
      <c r="A384" s="206" t="str">
        <f t="shared" si="13"/>
        <v>SD10068Non-hosting Population</v>
      </c>
      <c r="B384" s="206" t="s">
        <v>176</v>
      </c>
      <c r="C384" s="206" t="s">
        <v>127</v>
      </c>
      <c r="D384" s="206" t="s">
        <v>412</v>
      </c>
      <c r="E384" s="206" t="s">
        <v>413</v>
      </c>
      <c r="F384" s="206" t="s">
        <v>735</v>
      </c>
      <c r="G384" s="207">
        <v>99558</v>
      </c>
      <c r="H384" s="206" t="s">
        <v>568</v>
      </c>
      <c r="I384" s="206" t="s">
        <v>731</v>
      </c>
      <c r="J384" s="233">
        <v>0.39166666666666666</v>
      </c>
      <c r="K384" s="233">
        <v>0.35833333333333334</v>
      </c>
      <c r="L384" s="233">
        <v>0.23333333333333334</v>
      </c>
      <c r="M384" s="233">
        <v>8.3333333333333332E-3</v>
      </c>
      <c r="N384" s="233">
        <v>8.3333333333333332E-3</v>
      </c>
      <c r="O384" s="207">
        <v>1659</v>
      </c>
      <c r="P384" s="207">
        <f t="shared" si="14"/>
        <v>1511</v>
      </c>
      <c r="Q384" s="207">
        <v>3</v>
      </c>
      <c r="R384" s="207">
        <v>3</v>
      </c>
      <c r="U384" s="206">
        <v>1</v>
      </c>
      <c r="V384" s="206">
        <v>0</v>
      </c>
      <c r="W384" s="206">
        <v>1</v>
      </c>
      <c r="X384" s="206" t="e">
        <v>#DIV/0!</v>
      </c>
    </row>
    <row r="385" spans="1:24" x14ac:dyDescent="0.25">
      <c r="A385" s="206" t="str">
        <f t="shared" si="13"/>
        <v>SD10069Host Community</v>
      </c>
      <c r="B385" s="206" t="s">
        <v>176</v>
      </c>
      <c r="C385" s="206" t="s">
        <v>127</v>
      </c>
      <c r="D385" s="206" t="s">
        <v>414</v>
      </c>
      <c r="E385" s="206" t="s">
        <v>415</v>
      </c>
      <c r="F385" s="206" t="s">
        <v>735</v>
      </c>
      <c r="G385" s="207">
        <v>240</v>
      </c>
      <c r="H385" s="206" t="s">
        <v>87</v>
      </c>
      <c r="I385" s="206" t="s">
        <v>731</v>
      </c>
      <c r="J385" s="233">
        <v>2.2388059701492536E-2</v>
      </c>
      <c r="K385" s="233">
        <v>8.2089552238805971E-2</v>
      </c>
      <c r="L385" s="233">
        <v>0.85820895522388063</v>
      </c>
      <c r="M385" s="233">
        <v>0</v>
      </c>
      <c r="N385" s="233">
        <v>3.7313432835820892E-2</v>
      </c>
      <c r="O385" s="207">
        <v>215</v>
      </c>
      <c r="P385" s="207">
        <f t="shared" si="14"/>
        <v>196</v>
      </c>
      <c r="Q385" s="207">
        <v>3</v>
      </c>
      <c r="R385" s="207">
        <v>3</v>
      </c>
      <c r="U385" s="206">
        <v>0</v>
      </c>
      <c r="V385" s="206">
        <v>0</v>
      </c>
      <c r="W385" s="206">
        <v>1</v>
      </c>
      <c r="X385" s="206" t="e">
        <v>#DIV/0!</v>
      </c>
    </row>
    <row r="386" spans="1:24" x14ac:dyDescent="0.25">
      <c r="A386" s="206" t="str">
        <f t="shared" si="13"/>
        <v>SD10069IDPs</v>
      </c>
      <c r="B386" s="206" t="s">
        <v>176</v>
      </c>
      <c r="C386" s="206" t="s">
        <v>127</v>
      </c>
      <c r="D386" s="206" t="s">
        <v>414</v>
      </c>
      <c r="E386" s="206" t="s">
        <v>415</v>
      </c>
      <c r="F386" s="206" t="s">
        <v>735</v>
      </c>
      <c r="G386" s="207">
        <v>260</v>
      </c>
      <c r="H386" s="206" t="s">
        <v>88</v>
      </c>
      <c r="I386" s="206" t="s">
        <v>732</v>
      </c>
      <c r="J386" s="233">
        <v>2.2388059701492536E-2</v>
      </c>
      <c r="K386" s="233">
        <v>8.2089552238805971E-2</v>
      </c>
      <c r="L386" s="233">
        <v>0.85820895522388063</v>
      </c>
      <c r="M386" s="233">
        <v>0</v>
      </c>
      <c r="N386" s="233">
        <v>3.7313432835820892E-2</v>
      </c>
      <c r="O386" s="207">
        <v>233</v>
      </c>
      <c r="P386" s="207">
        <f t="shared" si="14"/>
        <v>212</v>
      </c>
      <c r="Q386" s="207">
        <v>3</v>
      </c>
      <c r="R386" s="207">
        <v>3</v>
      </c>
      <c r="U386" s="206">
        <v>0</v>
      </c>
      <c r="V386" s="206">
        <v>0</v>
      </c>
      <c r="W386" s="206">
        <v>1</v>
      </c>
      <c r="X386" s="206" t="e">
        <v>#DIV/0!</v>
      </c>
    </row>
    <row r="387" spans="1:24" x14ac:dyDescent="0.25">
      <c r="A387" s="206" t="str">
        <f t="shared" si="13"/>
        <v>SD10069Non-hosting Population</v>
      </c>
      <c r="B387" s="206" t="s">
        <v>176</v>
      </c>
      <c r="C387" s="206" t="s">
        <v>127</v>
      </c>
      <c r="D387" s="206" t="s">
        <v>414</v>
      </c>
      <c r="E387" s="206" t="s">
        <v>415</v>
      </c>
      <c r="F387" s="206" t="s">
        <v>735</v>
      </c>
      <c r="G387" s="207">
        <v>152066</v>
      </c>
      <c r="H387" s="206" t="s">
        <v>568</v>
      </c>
      <c r="I387" s="206" t="s">
        <v>731</v>
      </c>
      <c r="J387" s="233">
        <v>2.2388059701492536E-2</v>
      </c>
      <c r="K387" s="233">
        <v>8.2089552238805971E-2</v>
      </c>
      <c r="L387" s="233">
        <v>0.85820895522388063</v>
      </c>
      <c r="M387" s="233">
        <v>0</v>
      </c>
      <c r="N387" s="233">
        <v>3.7313432835820892E-2</v>
      </c>
      <c r="O387" s="207">
        <v>5674</v>
      </c>
      <c r="P387" s="207">
        <f t="shared" si="14"/>
        <v>5167</v>
      </c>
      <c r="Q387" s="207">
        <v>3</v>
      </c>
      <c r="R387" s="207">
        <v>3</v>
      </c>
      <c r="U387" s="206">
        <v>0</v>
      </c>
      <c r="V387" s="206">
        <v>0</v>
      </c>
      <c r="W387" s="206">
        <v>1</v>
      </c>
      <c r="X387" s="206" t="e">
        <v>#DIV/0!</v>
      </c>
    </row>
    <row r="388" spans="1:24" x14ac:dyDescent="0.25">
      <c r="A388" s="206" t="str">
        <f t="shared" si="13"/>
        <v>SD10070Host Community</v>
      </c>
      <c r="B388" s="206" t="s">
        <v>176</v>
      </c>
      <c r="C388" s="206" t="s">
        <v>127</v>
      </c>
      <c r="D388" s="206" t="s">
        <v>416</v>
      </c>
      <c r="E388" s="206" t="s">
        <v>417</v>
      </c>
      <c r="F388" s="206" t="s">
        <v>735</v>
      </c>
      <c r="G388" s="207">
        <v>2130</v>
      </c>
      <c r="H388" s="206" t="s">
        <v>87</v>
      </c>
      <c r="I388" s="206" t="s">
        <v>731</v>
      </c>
      <c r="J388" s="233">
        <v>0</v>
      </c>
      <c r="K388" s="233">
        <v>0.23333333333333334</v>
      </c>
      <c r="L388" s="233">
        <v>0.68333333333333335</v>
      </c>
      <c r="M388" s="233">
        <v>0</v>
      </c>
      <c r="N388" s="233">
        <v>8.3333333333333329E-2</v>
      </c>
      <c r="O388" s="207">
        <v>1633</v>
      </c>
      <c r="P388" s="207">
        <f t="shared" si="14"/>
        <v>1487</v>
      </c>
      <c r="Q388" s="207">
        <v>3</v>
      </c>
      <c r="R388" s="207">
        <v>3</v>
      </c>
      <c r="U388" s="206">
        <v>0</v>
      </c>
      <c r="V388" s="206">
        <v>0</v>
      </c>
      <c r="W388" s="206">
        <v>1</v>
      </c>
      <c r="X388" s="206" t="e">
        <v>#DIV/0!</v>
      </c>
    </row>
    <row r="389" spans="1:24" x14ac:dyDescent="0.25">
      <c r="A389" s="206" t="str">
        <f t="shared" si="13"/>
        <v>SD10070IDPs</v>
      </c>
      <c r="B389" s="206" t="s">
        <v>176</v>
      </c>
      <c r="C389" s="206" t="s">
        <v>127</v>
      </c>
      <c r="D389" s="206" t="s">
        <v>416</v>
      </c>
      <c r="E389" s="206" t="s">
        <v>417</v>
      </c>
      <c r="F389" s="206" t="s">
        <v>735</v>
      </c>
      <c r="G389" s="207">
        <v>2335</v>
      </c>
      <c r="H389" s="206" t="s">
        <v>88</v>
      </c>
      <c r="I389" s="206" t="s">
        <v>732</v>
      </c>
      <c r="J389" s="233">
        <v>0</v>
      </c>
      <c r="K389" s="233">
        <v>0.23333333333333334</v>
      </c>
      <c r="L389" s="233">
        <v>0.68333333333333335</v>
      </c>
      <c r="M389" s="233">
        <v>0</v>
      </c>
      <c r="N389" s="233">
        <v>8.3333333333333329E-2</v>
      </c>
      <c r="O389" s="207">
        <v>1790</v>
      </c>
      <c r="P389" s="207">
        <f t="shared" si="14"/>
        <v>1630</v>
      </c>
      <c r="Q389" s="207">
        <v>3</v>
      </c>
      <c r="R389" s="207">
        <v>3</v>
      </c>
      <c r="U389" s="206">
        <v>1</v>
      </c>
      <c r="V389" s="206">
        <v>0</v>
      </c>
      <c r="W389" s="206">
        <v>1</v>
      </c>
      <c r="X389" s="206" t="e">
        <v>#DIV/0!</v>
      </c>
    </row>
    <row r="390" spans="1:24" x14ac:dyDescent="0.25">
      <c r="A390" s="206" t="str">
        <f t="shared" si="13"/>
        <v>SD10070Non-hosting Population</v>
      </c>
      <c r="B390" s="206" t="s">
        <v>176</v>
      </c>
      <c r="C390" s="206" t="s">
        <v>127</v>
      </c>
      <c r="D390" s="206" t="s">
        <v>416</v>
      </c>
      <c r="E390" s="206" t="s">
        <v>417</v>
      </c>
      <c r="F390" s="206" t="s">
        <v>735</v>
      </c>
      <c r="G390" s="207">
        <v>351047</v>
      </c>
      <c r="H390" s="206" t="s">
        <v>568</v>
      </c>
      <c r="I390" s="206" t="s">
        <v>731</v>
      </c>
      <c r="J390" s="233">
        <v>0</v>
      </c>
      <c r="K390" s="233">
        <v>0.23333333333333334</v>
      </c>
      <c r="L390" s="233">
        <v>0.68333333333333335</v>
      </c>
      <c r="M390" s="233">
        <v>0</v>
      </c>
      <c r="N390" s="233">
        <v>8.3333333333333329E-2</v>
      </c>
      <c r="O390" s="207">
        <v>29254</v>
      </c>
      <c r="P390" s="207">
        <f t="shared" si="14"/>
        <v>26640</v>
      </c>
      <c r="Q390" s="207">
        <v>3</v>
      </c>
      <c r="R390" s="207">
        <v>3</v>
      </c>
      <c r="U390" s="206">
        <v>0</v>
      </c>
      <c r="V390" s="206">
        <v>0</v>
      </c>
      <c r="W390" s="206">
        <v>1</v>
      </c>
      <c r="X390" s="206" t="e">
        <v>#DIV/0!</v>
      </c>
    </row>
    <row r="391" spans="1:24" x14ac:dyDescent="0.25">
      <c r="A391" s="206" t="str">
        <f t="shared" si="13"/>
        <v>SD10071Host Community</v>
      </c>
      <c r="B391" s="206" t="s">
        <v>176</v>
      </c>
      <c r="C391" s="206" t="s">
        <v>127</v>
      </c>
      <c r="D391" s="206" t="s">
        <v>418</v>
      </c>
      <c r="E391" s="206" t="s">
        <v>419</v>
      </c>
      <c r="F391" s="206" t="s">
        <v>735</v>
      </c>
      <c r="G391" s="207">
        <v>7993</v>
      </c>
      <c r="H391" s="206" t="s">
        <v>87</v>
      </c>
      <c r="I391" s="206" t="s">
        <v>731</v>
      </c>
      <c r="J391" s="233">
        <v>0.13600000000000001</v>
      </c>
      <c r="K391" s="233">
        <v>0.46400000000000002</v>
      </c>
      <c r="L391" s="233">
        <v>0.4</v>
      </c>
      <c r="M391" s="233">
        <v>0</v>
      </c>
      <c r="N391" s="233">
        <v>0</v>
      </c>
      <c r="O391" s="207">
        <v>3197</v>
      </c>
      <c r="P391" s="207">
        <f t="shared" si="14"/>
        <v>2911</v>
      </c>
      <c r="Q391" s="207">
        <v>3</v>
      </c>
      <c r="R391" s="207">
        <v>3</v>
      </c>
      <c r="U391" s="206">
        <v>1</v>
      </c>
      <c r="V391" s="206">
        <v>0</v>
      </c>
      <c r="W391" s="206">
        <v>0</v>
      </c>
      <c r="X391" s="206" t="e">
        <v>#DIV/0!</v>
      </c>
    </row>
    <row r="392" spans="1:24" x14ac:dyDescent="0.25">
      <c r="A392" s="206" t="str">
        <f t="shared" si="13"/>
        <v>SD10071IDPs</v>
      </c>
      <c r="B392" s="206" t="s">
        <v>176</v>
      </c>
      <c r="C392" s="206" t="s">
        <v>127</v>
      </c>
      <c r="D392" s="206" t="s">
        <v>418</v>
      </c>
      <c r="E392" s="206" t="s">
        <v>419</v>
      </c>
      <c r="F392" s="206" t="s">
        <v>735</v>
      </c>
      <c r="G392" s="207">
        <v>7264</v>
      </c>
      <c r="H392" s="206" t="s">
        <v>88</v>
      </c>
      <c r="I392" s="206" t="s">
        <v>732</v>
      </c>
      <c r="J392" s="233">
        <v>0.13600000000000001</v>
      </c>
      <c r="K392" s="233">
        <v>0.46400000000000002</v>
      </c>
      <c r="L392" s="233">
        <v>0.4</v>
      </c>
      <c r="M392" s="233">
        <v>0</v>
      </c>
      <c r="N392" s="233">
        <v>0</v>
      </c>
      <c r="O392" s="207">
        <v>2906</v>
      </c>
      <c r="P392" s="207">
        <f t="shared" si="14"/>
        <v>2646</v>
      </c>
      <c r="Q392" s="207">
        <v>3</v>
      </c>
      <c r="R392" s="207">
        <v>3</v>
      </c>
      <c r="U392" s="206">
        <v>0</v>
      </c>
      <c r="V392" s="206">
        <v>1</v>
      </c>
      <c r="W392" s="206">
        <v>1</v>
      </c>
      <c r="X392" s="206" t="e">
        <v>#DIV/0!</v>
      </c>
    </row>
    <row r="393" spans="1:24" x14ac:dyDescent="0.25">
      <c r="A393" s="206" t="str">
        <f t="shared" si="13"/>
        <v>SD10071Non-hosting Population</v>
      </c>
      <c r="B393" s="206" t="s">
        <v>176</v>
      </c>
      <c r="C393" s="206" t="s">
        <v>127</v>
      </c>
      <c r="D393" s="206" t="s">
        <v>418</v>
      </c>
      <c r="E393" s="206" t="s">
        <v>419</v>
      </c>
      <c r="F393" s="206" t="s">
        <v>735</v>
      </c>
      <c r="G393" s="207">
        <v>221441</v>
      </c>
      <c r="H393" s="206" t="s">
        <v>568</v>
      </c>
      <c r="I393" s="206" t="s">
        <v>731</v>
      </c>
      <c r="J393" s="233">
        <v>0.13600000000000001</v>
      </c>
      <c r="K393" s="233">
        <v>0.46400000000000002</v>
      </c>
      <c r="L393" s="233">
        <v>0.4</v>
      </c>
      <c r="M393" s="233">
        <v>0</v>
      </c>
      <c r="N393" s="233">
        <v>0</v>
      </c>
      <c r="O393" s="207">
        <v>0</v>
      </c>
      <c r="P393" s="207">
        <f t="shared" si="14"/>
        <v>0</v>
      </c>
      <c r="Q393" s="207">
        <v>3</v>
      </c>
      <c r="R393" s="207">
        <v>3</v>
      </c>
      <c r="U393" s="206">
        <v>1</v>
      </c>
      <c r="V393" s="206">
        <v>0</v>
      </c>
      <c r="W393" s="206">
        <v>0</v>
      </c>
      <c r="X393" s="206" t="e">
        <v>#DIV/0!</v>
      </c>
    </row>
    <row r="394" spans="1:24" x14ac:dyDescent="0.25">
      <c r="A394" s="206" t="str">
        <f t="shared" si="13"/>
        <v>SD10072Host Community</v>
      </c>
      <c r="B394" s="206" t="s">
        <v>176</v>
      </c>
      <c r="C394" s="206" t="s">
        <v>127</v>
      </c>
      <c r="D394" s="206" t="s">
        <v>420</v>
      </c>
      <c r="E394" s="206" t="s">
        <v>421</v>
      </c>
      <c r="F394" s="206" t="s">
        <v>735</v>
      </c>
      <c r="G394" s="207">
        <v>250</v>
      </c>
      <c r="H394" s="206" t="s">
        <v>87</v>
      </c>
      <c r="I394" s="206" t="s">
        <v>731</v>
      </c>
      <c r="J394" s="233">
        <v>0</v>
      </c>
      <c r="K394" s="233">
        <v>8.6206896551724144E-2</v>
      </c>
      <c r="L394" s="233">
        <v>0.68103448275862066</v>
      </c>
      <c r="M394" s="233">
        <v>0.16379310344827586</v>
      </c>
      <c r="N394" s="233">
        <v>6.8965517241379309E-2</v>
      </c>
      <c r="O394" s="207">
        <v>228</v>
      </c>
      <c r="P394" s="207">
        <f t="shared" si="14"/>
        <v>208</v>
      </c>
      <c r="Q394" s="207">
        <v>4</v>
      </c>
      <c r="R394" s="207">
        <v>4</v>
      </c>
      <c r="U394" s="206">
        <v>0</v>
      </c>
      <c r="V394" s="206">
        <v>0</v>
      </c>
      <c r="W394" s="206">
        <v>0</v>
      </c>
      <c r="X394" s="206" t="e">
        <v>#DIV/0!</v>
      </c>
    </row>
    <row r="395" spans="1:24" x14ac:dyDescent="0.25">
      <c r="A395" s="206" t="str">
        <f t="shared" ref="A395:A458" si="15">CONCATENATE(E395,H395)</f>
        <v>SD10072IDPs</v>
      </c>
      <c r="B395" s="206" t="s">
        <v>176</v>
      </c>
      <c r="C395" s="206" t="s">
        <v>127</v>
      </c>
      <c r="D395" s="206" t="s">
        <v>420</v>
      </c>
      <c r="E395" s="206" t="s">
        <v>421</v>
      </c>
      <c r="F395" s="206" t="s">
        <v>735</v>
      </c>
      <c r="G395" s="207">
        <v>275</v>
      </c>
      <c r="H395" s="206" t="s">
        <v>88</v>
      </c>
      <c r="I395" s="206" t="s">
        <v>732</v>
      </c>
      <c r="J395" s="233">
        <v>0</v>
      </c>
      <c r="K395" s="233">
        <v>8.6206896551724144E-2</v>
      </c>
      <c r="L395" s="233">
        <v>0.68103448275862066</v>
      </c>
      <c r="M395" s="233">
        <v>0.16379310344827586</v>
      </c>
      <c r="N395" s="233">
        <v>6.8965517241379309E-2</v>
      </c>
      <c r="O395" s="207">
        <v>251</v>
      </c>
      <c r="P395" s="207">
        <f t="shared" ref="P395:P458" si="16">ROUND(O395*$AB$5,0)</f>
        <v>229</v>
      </c>
      <c r="Q395" s="207">
        <v>4</v>
      </c>
      <c r="R395" s="207">
        <v>4</v>
      </c>
      <c r="U395" s="206">
        <v>0</v>
      </c>
      <c r="V395" s="206">
        <v>1</v>
      </c>
      <c r="W395" s="206">
        <v>1</v>
      </c>
      <c r="X395" s="206" t="e">
        <v>#DIV/0!</v>
      </c>
    </row>
    <row r="396" spans="1:24" x14ac:dyDescent="0.25">
      <c r="A396" s="206" t="str">
        <f t="shared" si="15"/>
        <v>SD10072Non-hosting Population</v>
      </c>
      <c r="B396" s="206" t="s">
        <v>176</v>
      </c>
      <c r="C396" s="206" t="s">
        <v>127</v>
      </c>
      <c r="D396" s="206" t="s">
        <v>420</v>
      </c>
      <c r="E396" s="206" t="s">
        <v>421</v>
      </c>
      <c r="F396" s="206" t="s">
        <v>735</v>
      </c>
      <c r="G396" s="207">
        <v>102649</v>
      </c>
      <c r="H396" s="206" t="s">
        <v>568</v>
      </c>
      <c r="I396" s="206" t="s">
        <v>731</v>
      </c>
      <c r="J396" s="233">
        <v>0</v>
      </c>
      <c r="K396" s="233">
        <v>8.6206896551724144E-2</v>
      </c>
      <c r="L396" s="233">
        <v>0.68103448275862066</v>
      </c>
      <c r="M396" s="233">
        <v>0.16379310344827586</v>
      </c>
      <c r="N396" s="233">
        <v>6.8965517241379309E-2</v>
      </c>
      <c r="O396" s="207">
        <v>23892</v>
      </c>
      <c r="P396" s="207">
        <f t="shared" si="16"/>
        <v>21757</v>
      </c>
      <c r="Q396" s="207">
        <v>4</v>
      </c>
      <c r="R396" s="207">
        <v>4</v>
      </c>
      <c r="U396" s="206">
        <v>0</v>
      </c>
      <c r="V396" s="206">
        <v>0</v>
      </c>
      <c r="W396" s="206">
        <v>0</v>
      </c>
      <c r="X396" s="206" t="e">
        <v>#DIV/0!</v>
      </c>
    </row>
    <row r="397" spans="1:24" x14ac:dyDescent="0.25">
      <c r="A397" s="206" t="str">
        <f t="shared" si="15"/>
        <v>SD11052Host Community</v>
      </c>
      <c r="B397" s="206" t="s">
        <v>161</v>
      </c>
      <c r="C397" s="206" t="s">
        <v>128</v>
      </c>
      <c r="D397" s="206" t="s">
        <v>422</v>
      </c>
      <c r="E397" s="206" t="s">
        <v>423</v>
      </c>
      <c r="F397" s="206" t="s">
        <v>735</v>
      </c>
      <c r="G397" s="207">
        <v>61559</v>
      </c>
      <c r="H397" s="206" t="s">
        <v>87</v>
      </c>
      <c r="I397" s="206" t="s">
        <v>731</v>
      </c>
      <c r="J397" s="233">
        <v>0.34299516908212563</v>
      </c>
      <c r="K397" s="233">
        <v>0.40096618357487923</v>
      </c>
      <c r="L397" s="233">
        <v>0.18357487922705315</v>
      </c>
      <c r="M397" s="233">
        <v>4.8309178743961352E-2</v>
      </c>
      <c r="N397" s="233">
        <v>2.4154589371980676E-2</v>
      </c>
      <c r="O397" s="207">
        <v>15761</v>
      </c>
      <c r="P397" s="207">
        <f t="shared" si="16"/>
        <v>14353</v>
      </c>
      <c r="Q397" s="207">
        <v>3</v>
      </c>
      <c r="R397" s="207">
        <v>3</v>
      </c>
      <c r="U397" s="206">
        <v>0</v>
      </c>
      <c r="V397" s="206">
        <v>1</v>
      </c>
      <c r="W397" s="206">
        <v>1</v>
      </c>
      <c r="X397" s="206" t="e">
        <v>#DIV/0!</v>
      </c>
    </row>
    <row r="398" spans="1:24" x14ac:dyDescent="0.25">
      <c r="A398" s="206" t="str">
        <f t="shared" si="15"/>
        <v>SD11052IDPs</v>
      </c>
      <c r="B398" s="206" t="s">
        <v>161</v>
      </c>
      <c r="C398" s="206" t="s">
        <v>128</v>
      </c>
      <c r="D398" s="206" t="s">
        <v>422</v>
      </c>
      <c r="E398" s="206" t="s">
        <v>423</v>
      </c>
      <c r="F398" s="206" t="s">
        <v>735</v>
      </c>
      <c r="G398" s="207">
        <v>60325</v>
      </c>
      <c r="H398" s="206" t="s">
        <v>88</v>
      </c>
      <c r="I398" s="206" t="s">
        <v>732</v>
      </c>
      <c r="J398" s="233">
        <v>0.34299516908212563</v>
      </c>
      <c r="K398" s="233">
        <v>0.40096618357487923</v>
      </c>
      <c r="L398" s="233">
        <v>0.18357487922705315</v>
      </c>
      <c r="M398" s="233">
        <v>4.8309178743961352E-2</v>
      </c>
      <c r="N398" s="233">
        <v>2.4154589371980676E-2</v>
      </c>
      <c r="O398" s="207">
        <v>15446</v>
      </c>
      <c r="P398" s="207">
        <f t="shared" si="16"/>
        <v>14066</v>
      </c>
      <c r="Q398" s="207">
        <v>3</v>
      </c>
      <c r="R398" s="207">
        <v>3</v>
      </c>
      <c r="U398" s="206">
        <v>0</v>
      </c>
      <c r="V398" s="206">
        <v>1</v>
      </c>
      <c r="W398" s="206">
        <v>1</v>
      </c>
      <c r="X398" s="206" t="e">
        <v>#DIV/0!</v>
      </c>
    </row>
    <row r="399" spans="1:24" x14ac:dyDescent="0.25">
      <c r="A399" s="206" t="str">
        <f t="shared" si="15"/>
        <v>SD11052Non-hosting Population</v>
      </c>
      <c r="B399" s="206" t="s">
        <v>161</v>
      </c>
      <c r="C399" s="206" t="s">
        <v>128</v>
      </c>
      <c r="D399" s="206" t="s">
        <v>422</v>
      </c>
      <c r="E399" s="206" t="s">
        <v>423</v>
      </c>
      <c r="F399" s="206" t="s">
        <v>735</v>
      </c>
      <c r="G399" s="207">
        <v>247045</v>
      </c>
      <c r="H399" s="206" t="s">
        <v>568</v>
      </c>
      <c r="I399" s="206" t="s">
        <v>731</v>
      </c>
      <c r="J399" s="233">
        <v>0.34299516908212563</v>
      </c>
      <c r="K399" s="233">
        <v>0.40096618357487923</v>
      </c>
      <c r="L399" s="233">
        <v>0.18357487922705315</v>
      </c>
      <c r="M399" s="233">
        <v>4.8309178743961352E-2</v>
      </c>
      <c r="N399" s="233">
        <v>2.4154589371980676E-2</v>
      </c>
      <c r="O399" s="207">
        <v>17902</v>
      </c>
      <c r="P399" s="207">
        <f t="shared" si="16"/>
        <v>16302</v>
      </c>
      <c r="Q399" s="207">
        <v>3</v>
      </c>
      <c r="R399" s="207">
        <v>3</v>
      </c>
      <c r="U399" s="206">
        <v>0</v>
      </c>
      <c r="V399" s="206">
        <v>1</v>
      </c>
      <c r="W399" s="206">
        <v>1</v>
      </c>
      <c r="X399" s="206" t="e">
        <v>#DIV/0!</v>
      </c>
    </row>
    <row r="400" spans="1:24" x14ac:dyDescent="0.25">
      <c r="A400" s="206" t="str">
        <f t="shared" si="15"/>
        <v>SD11053Host Community</v>
      </c>
      <c r="B400" s="206" t="s">
        <v>161</v>
      </c>
      <c r="C400" s="206" t="s">
        <v>128</v>
      </c>
      <c r="D400" s="206" t="s">
        <v>424</v>
      </c>
      <c r="E400" s="206" t="s">
        <v>425</v>
      </c>
      <c r="F400" s="206" t="s">
        <v>735</v>
      </c>
      <c r="G400" s="207">
        <v>170470</v>
      </c>
      <c r="H400" s="206" t="s">
        <v>87</v>
      </c>
      <c r="I400" s="206" t="s">
        <v>731</v>
      </c>
      <c r="J400" s="233">
        <v>0.33152173913043476</v>
      </c>
      <c r="K400" s="233">
        <v>0.30978260869565216</v>
      </c>
      <c r="L400" s="233">
        <v>0.25543478260869568</v>
      </c>
      <c r="M400" s="233">
        <v>4.8913043478260872E-2</v>
      </c>
      <c r="N400" s="233">
        <v>5.434782608695652E-2</v>
      </c>
      <c r="O400" s="207">
        <v>61147</v>
      </c>
      <c r="P400" s="207">
        <f t="shared" si="16"/>
        <v>55683</v>
      </c>
      <c r="Q400" s="207">
        <v>3</v>
      </c>
      <c r="R400" s="207">
        <v>3</v>
      </c>
      <c r="U400" s="206">
        <v>0</v>
      </c>
      <c r="V400" s="206">
        <v>0</v>
      </c>
      <c r="W400" s="206">
        <v>1</v>
      </c>
      <c r="X400" s="206" t="e">
        <v>#DIV/0!</v>
      </c>
    </row>
    <row r="401" spans="1:24" x14ac:dyDescent="0.25">
      <c r="A401" s="206" t="str">
        <f t="shared" si="15"/>
        <v>SD11053IDPs</v>
      </c>
      <c r="B401" s="206" t="s">
        <v>161</v>
      </c>
      <c r="C401" s="206" t="s">
        <v>128</v>
      </c>
      <c r="D401" s="206" t="s">
        <v>424</v>
      </c>
      <c r="E401" s="206" t="s">
        <v>425</v>
      </c>
      <c r="F401" s="206" t="s">
        <v>735</v>
      </c>
      <c r="G401" s="207">
        <v>154013</v>
      </c>
      <c r="H401" s="206" t="s">
        <v>88</v>
      </c>
      <c r="I401" s="206" t="s">
        <v>732</v>
      </c>
      <c r="J401" s="233">
        <v>0.33152173913043476</v>
      </c>
      <c r="K401" s="233">
        <v>0.30978260869565216</v>
      </c>
      <c r="L401" s="233">
        <v>0.25543478260869568</v>
      </c>
      <c r="M401" s="233">
        <v>4.8913043478260872E-2</v>
      </c>
      <c r="N401" s="233">
        <v>5.434782608695652E-2</v>
      </c>
      <c r="O401" s="207">
        <v>55244</v>
      </c>
      <c r="P401" s="207">
        <f t="shared" si="16"/>
        <v>50308</v>
      </c>
      <c r="Q401" s="207">
        <v>3</v>
      </c>
      <c r="R401" s="207">
        <v>3</v>
      </c>
      <c r="U401" s="206">
        <v>0</v>
      </c>
      <c r="V401" s="206">
        <v>1</v>
      </c>
      <c r="W401" s="206">
        <v>1</v>
      </c>
      <c r="X401" s="206" t="e">
        <v>#DIV/0!</v>
      </c>
    </row>
    <row r="402" spans="1:24" x14ac:dyDescent="0.25">
      <c r="A402" s="206" t="str">
        <f t="shared" si="15"/>
        <v>SD11053Non-hosting Population</v>
      </c>
      <c r="B402" s="206" t="s">
        <v>161</v>
      </c>
      <c r="C402" s="206" t="s">
        <v>128</v>
      </c>
      <c r="D402" s="206" t="s">
        <v>424</v>
      </c>
      <c r="E402" s="206" t="s">
        <v>425</v>
      </c>
      <c r="F402" s="206" t="s">
        <v>735</v>
      </c>
      <c r="G402" s="207">
        <v>242374</v>
      </c>
      <c r="H402" s="206" t="s">
        <v>568</v>
      </c>
      <c r="I402" s="206" t="s">
        <v>731</v>
      </c>
      <c r="J402" s="233">
        <v>0.33152173913043476</v>
      </c>
      <c r="K402" s="233">
        <v>0.30978260869565216</v>
      </c>
      <c r="L402" s="233">
        <v>0.25543478260869568</v>
      </c>
      <c r="M402" s="233">
        <v>4.8913043478260872E-2</v>
      </c>
      <c r="N402" s="233">
        <v>5.434782608695652E-2</v>
      </c>
      <c r="O402" s="207">
        <v>25028</v>
      </c>
      <c r="P402" s="207">
        <f t="shared" si="16"/>
        <v>22792</v>
      </c>
      <c r="Q402" s="207">
        <v>3</v>
      </c>
      <c r="R402" s="207">
        <v>3</v>
      </c>
      <c r="U402" s="206">
        <v>0</v>
      </c>
      <c r="V402" s="206">
        <v>0</v>
      </c>
      <c r="W402" s="206">
        <v>1</v>
      </c>
      <c r="X402" s="206" t="e">
        <v>#DIV/0!</v>
      </c>
    </row>
    <row r="403" spans="1:24" x14ac:dyDescent="0.25">
      <c r="A403" s="206" t="str">
        <f t="shared" si="15"/>
        <v>SD11054Host Community</v>
      </c>
      <c r="B403" s="206" t="s">
        <v>161</v>
      </c>
      <c r="C403" s="206" t="s">
        <v>128</v>
      </c>
      <c r="D403" s="206" t="s">
        <v>426</v>
      </c>
      <c r="E403" s="206" t="s">
        <v>427</v>
      </c>
      <c r="F403" s="206" t="s">
        <v>735</v>
      </c>
      <c r="G403" s="207">
        <v>20</v>
      </c>
      <c r="H403" s="206" t="s">
        <v>87</v>
      </c>
      <c r="I403" s="206" t="s">
        <v>731</v>
      </c>
      <c r="J403" s="233">
        <v>8.1967213114754103E-3</v>
      </c>
      <c r="K403" s="233">
        <v>8.1967213114754103E-3</v>
      </c>
      <c r="L403" s="233">
        <v>0.93442622950819676</v>
      </c>
      <c r="M403" s="233">
        <v>4.0983606557377046E-2</v>
      </c>
      <c r="N403" s="233">
        <v>8.1967213114754103E-3</v>
      </c>
      <c r="O403" s="207">
        <v>20</v>
      </c>
      <c r="P403" s="207">
        <f t="shared" si="16"/>
        <v>18</v>
      </c>
      <c r="Q403" s="207">
        <v>3</v>
      </c>
      <c r="R403" s="207">
        <v>3</v>
      </c>
      <c r="U403" s="206">
        <v>0</v>
      </c>
      <c r="V403" s="206">
        <v>0</v>
      </c>
      <c r="W403" s="206">
        <v>1</v>
      </c>
      <c r="X403" s="206" t="e">
        <v>#DIV/0!</v>
      </c>
    </row>
    <row r="404" spans="1:24" x14ac:dyDescent="0.25">
      <c r="A404" s="206" t="str">
        <f t="shared" si="15"/>
        <v>SD11054IDPs</v>
      </c>
      <c r="B404" s="206" t="s">
        <v>161</v>
      </c>
      <c r="C404" s="206" t="s">
        <v>128</v>
      </c>
      <c r="D404" s="206" t="s">
        <v>426</v>
      </c>
      <c r="E404" s="206" t="s">
        <v>427</v>
      </c>
      <c r="F404" s="206" t="s">
        <v>735</v>
      </c>
      <c r="G404" s="207">
        <v>20</v>
      </c>
      <c r="H404" s="206" t="s">
        <v>88</v>
      </c>
      <c r="I404" s="206" t="s">
        <v>732</v>
      </c>
      <c r="J404" s="233">
        <v>8.1967213114754103E-3</v>
      </c>
      <c r="K404" s="233">
        <v>8.1967213114754103E-3</v>
      </c>
      <c r="L404" s="233">
        <v>0.93442622950819676</v>
      </c>
      <c r="M404" s="233">
        <v>4.0983606557377046E-2</v>
      </c>
      <c r="N404" s="233">
        <v>8.1967213114754103E-3</v>
      </c>
      <c r="O404" s="207">
        <v>20</v>
      </c>
      <c r="P404" s="207">
        <f t="shared" si="16"/>
        <v>18</v>
      </c>
      <c r="Q404" s="207">
        <v>3</v>
      </c>
      <c r="R404" s="207">
        <v>3</v>
      </c>
      <c r="U404" s="206">
        <v>0</v>
      </c>
      <c r="V404" s="206">
        <v>0</v>
      </c>
      <c r="W404" s="206">
        <v>1</v>
      </c>
      <c r="X404" s="206" t="e">
        <v>#DIV/0!</v>
      </c>
    </row>
    <row r="405" spans="1:24" x14ac:dyDescent="0.25">
      <c r="A405" s="206" t="str">
        <f t="shared" si="15"/>
        <v>SD11054Non-hosting Population</v>
      </c>
      <c r="B405" s="206" t="s">
        <v>161</v>
      </c>
      <c r="C405" s="206" t="s">
        <v>128</v>
      </c>
      <c r="D405" s="206" t="s">
        <v>426</v>
      </c>
      <c r="E405" s="206" t="s">
        <v>427</v>
      </c>
      <c r="F405" s="206" t="s">
        <v>735</v>
      </c>
      <c r="G405" s="207">
        <v>117423</v>
      </c>
      <c r="H405" s="206" t="s">
        <v>568</v>
      </c>
      <c r="I405" s="206" t="s">
        <v>731</v>
      </c>
      <c r="J405" s="233">
        <v>8.1967213114754103E-3</v>
      </c>
      <c r="K405" s="233">
        <v>8.1967213114754103E-3</v>
      </c>
      <c r="L405" s="233">
        <v>0.93442622950819676</v>
      </c>
      <c r="M405" s="233">
        <v>4.0983606557377046E-2</v>
      </c>
      <c r="N405" s="233">
        <v>8.1967213114754103E-3</v>
      </c>
      <c r="O405" s="207">
        <v>5775</v>
      </c>
      <c r="P405" s="207">
        <f t="shared" si="16"/>
        <v>5259</v>
      </c>
      <c r="Q405" s="207">
        <v>3</v>
      </c>
      <c r="R405" s="207">
        <v>3</v>
      </c>
      <c r="U405" s="206">
        <v>0</v>
      </c>
      <c r="V405" s="206">
        <v>0</v>
      </c>
      <c r="W405" s="206">
        <v>1</v>
      </c>
      <c r="X405" s="206" t="e">
        <v>#DIV/0!</v>
      </c>
    </row>
    <row r="406" spans="1:24" x14ac:dyDescent="0.25">
      <c r="A406" s="206" t="str">
        <f t="shared" si="15"/>
        <v>SD11055Host Community</v>
      </c>
      <c r="B406" s="206" t="s">
        <v>161</v>
      </c>
      <c r="C406" s="206" t="s">
        <v>128</v>
      </c>
      <c r="D406" s="206" t="s">
        <v>428</v>
      </c>
      <c r="E406" s="206" t="s">
        <v>429</v>
      </c>
      <c r="F406" s="206" t="s">
        <v>735</v>
      </c>
      <c r="G406" s="207">
        <v>1655</v>
      </c>
      <c r="H406" s="206" t="s">
        <v>87</v>
      </c>
      <c r="I406" s="206" t="s">
        <v>731</v>
      </c>
      <c r="J406" s="233">
        <v>4.3859649122807015E-2</v>
      </c>
      <c r="K406" s="233">
        <v>0.47368421052631576</v>
      </c>
      <c r="L406" s="233">
        <v>0.46491228070175439</v>
      </c>
      <c r="M406" s="233">
        <v>0</v>
      </c>
      <c r="N406" s="233">
        <v>1.7543859649122806E-2</v>
      </c>
      <c r="O406" s="207">
        <v>798</v>
      </c>
      <c r="P406" s="207">
        <f t="shared" si="16"/>
        <v>727</v>
      </c>
      <c r="Q406" s="207">
        <v>3</v>
      </c>
      <c r="R406" s="207">
        <v>3</v>
      </c>
      <c r="U406" s="206">
        <v>0</v>
      </c>
      <c r="V406" s="206">
        <v>1</v>
      </c>
      <c r="W406" s="206">
        <v>1</v>
      </c>
      <c r="X406" s="206" t="e">
        <v>#DIV/0!</v>
      </c>
    </row>
    <row r="407" spans="1:24" x14ac:dyDescent="0.25">
      <c r="A407" s="206" t="str">
        <f t="shared" si="15"/>
        <v>SD11055IDPs</v>
      </c>
      <c r="B407" s="206" t="s">
        <v>161</v>
      </c>
      <c r="C407" s="206" t="s">
        <v>128</v>
      </c>
      <c r="D407" s="206" t="s">
        <v>428</v>
      </c>
      <c r="E407" s="206" t="s">
        <v>429</v>
      </c>
      <c r="F407" s="206" t="s">
        <v>735</v>
      </c>
      <c r="G407" s="207">
        <v>1645</v>
      </c>
      <c r="H407" s="206" t="s">
        <v>88</v>
      </c>
      <c r="I407" s="206" t="s">
        <v>732</v>
      </c>
      <c r="J407" s="233">
        <v>4.3859649122807015E-2</v>
      </c>
      <c r="K407" s="233">
        <v>0.47368421052631576</v>
      </c>
      <c r="L407" s="233">
        <v>0.46491228070175439</v>
      </c>
      <c r="M407" s="233">
        <v>0</v>
      </c>
      <c r="N407" s="233">
        <v>1.7543859649122806E-2</v>
      </c>
      <c r="O407" s="207">
        <v>794</v>
      </c>
      <c r="P407" s="207">
        <f t="shared" si="16"/>
        <v>723</v>
      </c>
      <c r="Q407" s="207">
        <v>3</v>
      </c>
      <c r="R407" s="207">
        <v>3</v>
      </c>
      <c r="U407" s="206">
        <v>1</v>
      </c>
      <c r="V407" s="206">
        <v>0</v>
      </c>
      <c r="W407" s="206">
        <v>1</v>
      </c>
      <c r="X407" s="206" t="e">
        <v>#DIV/0!</v>
      </c>
    </row>
    <row r="408" spans="1:24" x14ac:dyDescent="0.25">
      <c r="A408" s="206" t="str">
        <f t="shared" si="15"/>
        <v>SD11055Non-hosting Population</v>
      </c>
      <c r="B408" s="206" t="s">
        <v>161</v>
      </c>
      <c r="C408" s="206" t="s">
        <v>128</v>
      </c>
      <c r="D408" s="206" t="s">
        <v>428</v>
      </c>
      <c r="E408" s="206" t="s">
        <v>429</v>
      </c>
      <c r="F408" s="206" t="s">
        <v>735</v>
      </c>
      <c r="G408" s="207">
        <v>139771</v>
      </c>
      <c r="H408" s="206" t="s">
        <v>568</v>
      </c>
      <c r="I408" s="206" t="s">
        <v>731</v>
      </c>
      <c r="J408" s="233">
        <v>4.3859649122807015E-2</v>
      </c>
      <c r="K408" s="233">
        <v>0.47368421052631576</v>
      </c>
      <c r="L408" s="233">
        <v>0.46491228070175439</v>
      </c>
      <c r="M408" s="233">
        <v>0</v>
      </c>
      <c r="N408" s="233">
        <v>1.7543859649122806E-2</v>
      </c>
      <c r="O408" s="207">
        <v>2452</v>
      </c>
      <c r="P408" s="207">
        <f t="shared" si="16"/>
        <v>2233</v>
      </c>
      <c r="Q408" s="207">
        <v>3</v>
      </c>
      <c r="R408" s="207">
        <v>3</v>
      </c>
      <c r="U408" s="206">
        <v>0</v>
      </c>
      <c r="V408" s="206">
        <v>0</v>
      </c>
      <c r="W408" s="206">
        <v>1</v>
      </c>
      <c r="X408" s="206" t="e">
        <v>#DIV/0!</v>
      </c>
    </row>
    <row r="409" spans="1:24" x14ac:dyDescent="0.25">
      <c r="A409" s="206" t="str">
        <f t="shared" si="15"/>
        <v>SD11056Host Community</v>
      </c>
      <c r="B409" s="206" t="s">
        <v>161</v>
      </c>
      <c r="C409" s="206" t="s">
        <v>128</v>
      </c>
      <c r="D409" s="206" t="s">
        <v>430</v>
      </c>
      <c r="E409" s="206" t="s">
        <v>431</v>
      </c>
      <c r="F409" s="206" t="s">
        <v>735</v>
      </c>
      <c r="G409" s="207">
        <v>7610</v>
      </c>
      <c r="H409" s="206" t="s">
        <v>87</v>
      </c>
      <c r="I409" s="206" t="s">
        <v>731</v>
      </c>
      <c r="J409" s="233">
        <v>1.5151515151515152E-2</v>
      </c>
      <c r="K409" s="233">
        <v>8.3333333333333329E-2</v>
      </c>
      <c r="L409" s="233">
        <v>0.75757575757575757</v>
      </c>
      <c r="M409" s="233">
        <v>0</v>
      </c>
      <c r="N409" s="233">
        <v>0.14393939393939395</v>
      </c>
      <c r="O409" s="207">
        <v>6861</v>
      </c>
      <c r="P409" s="207">
        <f t="shared" si="16"/>
        <v>6248</v>
      </c>
      <c r="Q409" s="207">
        <v>3</v>
      </c>
      <c r="R409" s="207">
        <v>3</v>
      </c>
      <c r="U409" s="206">
        <v>0</v>
      </c>
      <c r="V409" s="206">
        <v>0</v>
      </c>
      <c r="W409" s="206">
        <v>1</v>
      </c>
      <c r="X409" s="206" t="e">
        <v>#DIV/0!</v>
      </c>
    </row>
    <row r="410" spans="1:24" x14ac:dyDescent="0.25">
      <c r="A410" s="206" t="str">
        <f t="shared" si="15"/>
        <v>SD11056IDPs</v>
      </c>
      <c r="B410" s="206" t="s">
        <v>161</v>
      </c>
      <c r="C410" s="206" t="s">
        <v>128</v>
      </c>
      <c r="D410" s="206" t="s">
        <v>430</v>
      </c>
      <c r="E410" s="206" t="s">
        <v>431</v>
      </c>
      <c r="F410" s="206" t="s">
        <v>735</v>
      </c>
      <c r="G410" s="207">
        <v>4155</v>
      </c>
      <c r="H410" s="206" t="s">
        <v>88</v>
      </c>
      <c r="I410" s="206" t="s">
        <v>732</v>
      </c>
      <c r="J410" s="233">
        <v>1.5151515151515152E-2</v>
      </c>
      <c r="K410" s="233">
        <v>8.3333333333333329E-2</v>
      </c>
      <c r="L410" s="233">
        <v>0.75757575757575757</v>
      </c>
      <c r="M410" s="233">
        <v>0</v>
      </c>
      <c r="N410" s="233">
        <v>0.14393939393939395</v>
      </c>
      <c r="O410" s="207">
        <v>3746</v>
      </c>
      <c r="P410" s="207">
        <f t="shared" si="16"/>
        <v>3411</v>
      </c>
      <c r="Q410" s="207">
        <v>3</v>
      </c>
      <c r="R410" s="207">
        <v>3</v>
      </c>
      <c r="U410" s="206">
        <v>0</v>
      </c>
      <c r="V410" s="206">
        <v>0</v>
      </c>
      <c r="W410" s="206">
        <v>1</v>
      </c>
      <c r="X410" s="206" t="e">
        <v>#DIV/0!</v>
      </c>
    </row>
    <row r="411" spans="1:24" x14ac:dyDescent="0.25">
      <c r="A411" s="206" t="str">
        <f t="shared" si="15"/>
        <v>SD11056Non-hosting Population</v>
      </c>
      <c r="B411" s="206" t="s">
        <v>161</v>
      </c>
      <c r="C411" s="206" t="s">
        <v>128</v>
      </c>
      <c r="D411" s="206" t="s">
        <v>430</v>
      </c>
      <c r="E411" s="206" t="s">
        <v>431</v>
      </c>
      <c r="F411" s="206" t="s">
        <v>735</v>
      </c>
      <c r="G411" s="207">
        <v>204328</v>
      </c>
      <c r="H411" s="206" t="s">
        <v>568</v>
      </c>
      <c r="I411" s="206" t="s">
        <v>731</v>
      </c>
      <c r="J411" s="233">
        <v>1.5151515151515152E-2</v>
      </c>
      <c r="K411" s="233">
        <v>8.3333333333333329E-2</v>
      </c>
      <c r="L411" s="233">
        <v>0.75757575757575757</v>
      </c>
      <c r="M411" s="233">
        <v>0</v>
      </c>
      <c r="N411" s="233">
        <v>0.14393939393939395</v>
      </c>
      <c r="O411" s="207">
        <v>29411</v>
      </c>
      <c r="P411" s="207">
        <f t="shared" si="16"/>
        <v>26783</v>
      </c>
      <c r="Q411" s="207">
        <v>3</v>
      </c>
      <c r="R411" s="207">
        <v>3</v>
      </c>
      <c r="U411" s="206">
        <v>0</v>
      </c>
      <c r="V411" s="206">
        <v>0</v>
      </c>
      <c r="W411" s="206">
        <v>1</v>
      </c>
      <c r="X411" s="206" t="e">
        <v>#DIV/0!</v>
      </c>
    </row>
    <row r="412" spans="1:24" x14ac:dyDescent="0.25">
      <c r="A412" s="206" t="str">
        <f t="shared" si="15"/>
        <v>SD11057Host Community</v>
      </c>
      <c r="B412" s="206" t="s">
        <v>161</v>
      </c>
      <c r="C412" s="206" t="s">
        <v>128</v>
      </c>
      <c r="D412" s="206" t="s">
        <v>432</v>
      </c>
      <c r="E412" s="206" t="s">
        <v>433</v>
      </c>
      <c r="F412" s="206" t="s">
        <v>735</v>
      </c>
      <c r="G412" s="207">
        <v>5790</v>
      </c>
      <c r="H412" s="206" t="s">
        <v>87</v>
      </c>
      <c r="I412" s="206" t="s">
        <v>731</v>
      </c>
      <c r="J412" s="233">
        <v>0.47826086956521741</v>
      </c>
      <c r="K412" s="233">
        <v>0.35652173913043478</v>
      </c>
      <c r="L412" s="233">
        <v>0.16521739130434782</v>
      </c>
      <c r="M412" s="233">
        <v>0</v>
      </c>
      <c r="N412" s="233">
        <v>0</v>
      </c>
      <c r="O412" s="207">
        <v>957</v>
      </c>
      <c r="P412" s="207">
        <f t="shared" si="16"/>
        <v>871</v>
      </c>
      <c r="Q412" s="207">
        <v>2</v>
      </c>
      <c r="R412" s="207">
        <v>2</v>
      </c>
      <c r="U412" s="206">
        <v>0</v>
      </c>
      <c r="V412" s="206">
        <v>1</v>
      </c>
      <c r="W412" s="206">
        <v>1</v>
      </c>
      <c r="X412" s="206" t="e">
        <v>#DIV/0!</v>
      </c>
    </row>
    <row r="413" spans="1:24" x14ac:dyDescent="0.25">
      <c r="A413" s="206" t="str">
        <f t="shared" si="15"/>
        <v>SD11057IDPs</v>
      </c>
      <c r="B413" s="206" t="s">
        <v>161</v>
      </c>
      <c r="C413" s="206" t="s">
        <v>128</v>
      </c>
      <c r="D413" s="206" t="s">
        <v>432</v>
      </c>
      <c r="E413" s="206" t="s">
        <v>433</v>
      </c>
      <c r="F413" s="206" t="s">
        <v>735</v>
      </c>
      <c r="G413" s="207">
        <v>5790</v>
      </c>
      <c r="H413" s="206" t="s">
        <v>88</v>
      </c>
      <c r="I413" s="206" t="s">
        <v>732</v>
      </c>
      <c r="J413" s="233">
        <v>0.47826086956521741</v>
      </c>
      <c r="K413" s="233">
        <v>0.35652173913043478</v>
      </c>
      <c r="L413" s="233">
        <v>0.16521739130434782</v>
      </c>
      <c r="M413" s="233">
        <v>0</v>
      </c>
      <c r="N413" s="233">
        <v>0</v>
      </c>
      <c r="O413" s="207">
        <v>957</v>
      </c>
      <c r="P413" s="207">
        <f t="shared" si="16"/>
        <v>871</v>
      </c>
      <c r="Q413" s="207">
        <v>2</v>
      </c>
      <c r="R413" s="207">
        <v>2</v>
      </c>
      <c r="U413" s="206">
        <v>0</v>
      </c>
      <c r="V413" s="206">
        <v>1</v>
      </c>
      <c r="W413" s="206">
        <v>1</v>
      </c>
      <c r="X413" s="206" t="e">
        <v>#DIV/0!</v>
      </c>
    </row>
    <row r="414" spans="1:24" x14ac:dyDescent="0.25">
      <c r="A414" s="206" t="str">
        <f t="shared" si="15"/>
        <v>SD11057Non-hosting Population</v>
      </c>
      <c r="B414" s="206" t="s">
        <v>161</v>
      </c>
      <c r="C414" s="206" t="s">
        <v>128</v>
      </c>
      <c r="D414" s="206" t="s">
        <v>432</v>
      </c>
      <c r="E414" s="206" t="s">
        <v>433</v>
      </c>
      <c r="F414" s="206" t="s">
        <v>735</v>
      </c>
      <c r="G414" s="207">
        <v>119528</v>
      </c>
      <c r="H414" s="206" t="s">
        <v>568</v>
      </c>
      <c r="I414" s="206" t="s">
        <v>731</v>
      </c>
      <c r="J414" s="233">
        <v>0.47826086956521741</v>
      </c>
      <c r="K414" s="233">
        <v>0.35652173913043478</v>
      </c>
      <c r="L414" s="233">
        <v>0.16521739130434782</v>
      </c>
      <c r="M414" s="233">
        <v>0</v>
      </c>
      <c r="N414" s="233">
        <v>0</v>
      </c>
      <c r="O414" s="207">
        <v>0</v>
      </c>
      <c r="P414" s="207">
        <f t="shared" si="16"/>
        <v>0</v>
      </c>
      <c r="Q414" s="207">
        <v>2</v>
      </c>
      <c r="R414" s="207">
        <v>2</v>
      </c>
      <c r="U414" s="206">
        <v>0</v>
      </c>
      <c r="V414" s="206">
        <v>1</v>
      </c>
      <c r="W414" s="206">
        <v>1</v>
      </c>
      <c r="X414" s="206" t="e">
        <v>#DIV/0!</v>
      </c>
    </row>
    <row r="415" spans="1:24" x14ac:dyDescent="0.25">
      <c r="A415" s="206" t="str">
        <f t="shared" si="15"/>
        <v>SD11058Host Community</v>
      </c>
      <c r="B415" s="206" t="s">
        <v>161</v>
      </c>
      <c r="C415" s="206" t="s">
        <v>128</v>
      </c>
      <c r="D415" s="206" t="s">
        <v>434</v>
      </c>
      <c r="E415" s="206" t="s">
        <v>435</v>
      </c>
      <c r="F415" s="206" t="s">
        <v>735</v>
      </c>
      <c r="G415" s="207">
        <v>735</v>
      </c>
      <c r="H415" s="206" t="s">
        <v>87</v>
      </c>
      <c r="I415" s="206" t="s">
        <v>731</v>
      </c>
      <c r="J415" s="233">
        <v>0</v>
      </c>
      <c r="K415" s="233">
        <v>0.44067796610169491</v>
      </c>
      <c r="L415" s="233">
        <v>0.53389830508474578</v>
      </c>
      <c r="M415" s="233">
        <v>8.4745762711864406E-3</v>
      </c>
      <c r="N415" s="233">
        <v>1.6949152542372881E-2</v>
      </c>
      <c r="O415" s="207">
        <v>411</v>
      </c>
      <c r="P415" s="207">
        <f t="shared" si="16"/>
        <v>374</v>
      </c>
      <c r="Q415" s="207">
        <v>3</v>
      </c>
      <c r="R415" s="207">
        <v>3</v>
      </c>
      <c r="U415" s="206">
        <v>0</v>
      </c>
      <c r="V415" s="206">
        <v>0</v>
      </c>
      <c r="W415" s="206">
        <v>1</v>
      </c>
      <c r="X415" s="206" t="e">
        <v>#DIV/0!</v>
      </c>
    </row>
    <row r="416" spans="1:24" x14ac:dyDescent="0.25">
      <c r="A416" s="206" t="str">
        <f t="shared" si="15"/>
        <v>SD11058IDPs</v>
      </c>
      <c r="B416" s="206" t="s">
        <v>161</v>
      </c>
      <c r="C416" s="206" t="s">
        <v>128</v>
      </c>
      <c r="D416" s="206" t="s">
        <v>434</v>
      </c>
      <c r="E416" s="206" t="s">
        <v>435</v>
      </c>
      <c r="F416" s="206" t="s">
        <v>735</v>
      </c>
      <c r="G416" s="207">
        <v>745</v>
      </c>
      <c r="H416" s="206" t="s">
        <v>88</v>
      </c>
      <c r="I416" s="206" t="s">
        <v>732</v>
      </c>
      <c r="J416" s="233">
        <v>0</v>
      </c>
      <c r="K416" s="233">
        <v>0.44067796610169491</v>
      </c>
      <c r="L416" s="233">
        <v>0.53389830508474578</v>
      </c>
      <c r="M416" s="233">
        <v>8.4745762711864406E-3</v>
      </c>
      <c r="N416" s="233">
        <v>1.6949152542372881E-2</v>
      </c>
      <c r="O416" s="207">
        <v>417</v>
      </c>
      <c r="P416" s="207">
        <f t="shared" si="16"/>
        <v>380</v>
      </c>
      <c r="Q416" s="207">
        <v>3</v>
      </c>
      <c r="R416" s="207">
        <v>3</v>
      </c>
      <c r="U416" s="206">
        <v>0</v>
      </c>
      <c r="V416" s="206">
        <v>1</v>
      </c>
      <c r="W416" s="206">
        <v>1</v>
      </c>
      <c r="X416" s="206" t="e">
        <v>#DIV/0!</v>
      </c>
    </row>
    <row r="417" spans="1:24" x14ac:dyDescent="0.25">
      <c r="A417" s="206" t="str">
        <f t="shared" si="15"/>
        <v>SD11058Non-hosting Population</v>
      </c>
      <c r="B417" s="206" t="s">
        <v>161</v>
      </c>
      <c r="C417" s="206" t="s">
        <v>128</v>
      </c>
      <c r="D417" s="206" t="s">
        <v>434</v>
      </c>
      <c r="E417" s="206" t="s">
        <v>435</v>
      </c>
      <c r="F417" s="206" t="s">
        <v>735</v>
      </c>
      <c r="G417" s="207">
        <v>311316</v>
      </c>
      <c r="H417" s="206" t="s">
        <v>568</v>
      </c>
      <c r="I417" s="206" t="s">
        <v>731</v>
      </c>
      <c r="J417" s="233">
        <v>0</v>
      </c>
      <c r="K417" s="233">
        <v>0.44067796610169491</v>
      </c>
      <c r="L417" s="233">
        <v>0.53389830508474578</v>
      </c>
      <c r="M417" s="233">
        <v>8.4745762711864406E-3</v>
      </c>
      <c r="N417" s="233">
        <v>1.6949152542372881E-2</v>
      </c>
      <c r="O417" s="207">
        <v>7915</v>
      </c>
      <c r="P417" s="207">
        <f t="shared" si="16"/>
        <v>7208</v>
      </c>
      <c r="Q417" s="207">
        <v>3</v>
      </c>
      <c r="R417" s="207">
        <v>3</v>
      </c>
      <c r="U417" s="206">
        <v>0</v>
      </c>
      <c r="V417" s="206">
        <v>0</v>
      </c>
      <c r="W417" s="206">
        <v>1</v>
      </c>
      <c r="X417" s="206" t="e">
        <v>#DIV/0!</v>
      </c>
    </row>
    <row r="418" spans="1:24" x14ac:dyDescent="0.25">
      <c r="A418" s="206" t="str">
        <f t="shared" si="15"/>
        <v>SD11059Host Community</v>
      </c>
      <c r="B418" s="206" t="s">
        <v>161</v>
      </c>
      <c r="C418" s="206" t="s">
        <v>128</v>
      </c>
      <c r="D418" s="206" t="s">
        <v>436</v>
      </c>
      <c r="E418" s="206" t="s">
        <v>437</v>
      </c>
      <c r="F418" s="206" t="s">
        <v>735</v>
      </c>
      <c r="G418" s="207">
        <v>3585</v>
      </c>
      <c r="H418" s="206" t="s">
        <v>87</v>
      </c>
      <c r="I418" s="206" t="s">
        <v>731</v>
      </c>
      <c r="J418" s="233">
        <v>0</v>
      </c>
      <c r="K418" s="233">
        <v>0.33620689655172414</v>
      </c>
      <c r="L418" s="233">
        <v>0.66379310344827591</v>
      </c>
      <c r="M418" s="233">
        <v>0</v>
      </c>
      <c r="N418" s="233">
        <v>0</v>
      </c>
      <c r="O418" s="207">
        <v>2380</v>
      </c>
      <c r="P418" s="207">
        <f t="shared" si="16"/>
        <v>2167</v>
      </c>
      <c r="Q418" s="207">
        <v>3</v>
      </c>
      <c r="R418" s="207">
        <v>3</v>
      </c>
      <c r="U418" s="206">
        <v>0</v>
      </c>
      <c r="V418" s="206">
        <v>0</v>
      </c>
      <c r="W418" s="206">
        <v>1</v>
      </c>
      <c r="X418" s="206" t="e">
        <v>#DIV/0!</v>
      </c>
    </row>
    <row r="419" spans="1:24" x14ac:dyDescent="0.25">
      <c r="A419" s="206" t="str">
        <f t="shared" si="15"/>
        <v>SD11059IDPs</v>
      </c>
      <c r="B419" s="206" t="s">
        <v>161</v>
      </c>
      <c r="C419" s="206" t="s">
        <v>128</v>
      </c>
      <c r="D419" s="206" t="s">
        <v>436</v>
      </c>
      <c r="E419" s="206" t="s">
        <v>437</v>
      </c>
      <c r="F419" s="206" t="s">
        <v>735</v>
      </c>
      <c r="G419" s="207">
        <v>3585</v>
      </c>
      <c r="H419" s="206" t="s">
        <v>88</v>
      </c>
      <c r="I419" s="206" t="s">
        <v>732</v>
      </c>
      <c r="J419" s="233">
        <v>0</v>
      </c>
      <c r="K419" s="233">
        <v>0.33620689655172414</v>
      </c>
      <c r="L419" s="233">
        <v>0.66379310344827591</v>
      </c>
      <c r="M419" s="233">
        <v>0</v>
      </c>
      <c r="N419" s="233">
        <v>0</v>
      </c>
      <c r="O419" s="207">
        <v>2380</v>
      </c>
      <c r="P419" s="207">
        <f t="shared" si="16"/>
        <v>2167</v>
      </c>
      <c r="Q419" s="207">
        <v>3</v>
      </c>
      <c r="R419" s="207">
        <v>3</v>
      </c>
      <c r="U419" s="206">
        <v>0</v>
      </c>
      <c r="V419" s="206">
        <v>1</v>
      </c>
      <c r="W419" s="206">
        <v>1</v>
      </c>
      <c r="X419" s="206" t="e">
        <v>#DIV/0!</v>
      </c>
    </row>
    <row r="420" spans="1:24" x14ac:dyDescent="0.25">
      <c r="A420" s="206" t="str">
        <f t="shared" si="15"/>
        <v>SD11059Non-hosting Population</v>
      </c>
      <c r="B420" s="206" t="s">
        <v>161</v>
      </c>
      <c r="C420" s="206" t="s">
        <v>128</v>
      </c>
      <c r="D420" s="206" t="s">
        <v>436</v>
      </c>
      <c r="E420" s="206" t="s">
        <v>437</v>
      </c>
      <c r="F420" s="206" t="s">
        <v>735</v>
      </c>
      <c r="G420" s="207">
        <v>345502</v>
      </c>
      <c r="H420" s="206" t="s">
        <v>568</v>
      </c>
      <c r="I420" s="206" t="s">
        <v>731</v>
      </c>
      <c r="J420" s="233">
        <v>0</v>
      </c>
      <c r="K420" s="233">
        <v>0.33620689655172414</v>
      </c>
      <c r="L420" s="233">
        <v>0.66379310344827591</v>
      </c>
      <c r="M420" s="233">
        <v>0</v>
      </c>
      <c r="N420" s="233">
        <v>0</v>
      </c>
      <c r="O420" s="207">
        <v>0</v>
      </c>
      <c r="P420" s="207">
        <f t="shared" si="16"/>
        <v>0</v>
      </c>
      <c r="Q420" s="207">
        <v>3</v>
      </c>
      <c r="R420" s="207">
        <v>3</v>
      </c>
      <c r="U420" s="206">
        <v>0</v>
      </c>
      <c r="V420" s="206">
        <v>0</v>
      </c>
      <c r="W420" s="206">
        <v>1</v>
      </c>
      <c r="X420" s="206" t="e">
        <v>#DIV/0!</v>
      </c>
    </row>
    <row r="421" spans="1:24" x14ac:dyDescent="0.25">
      <c r="A421" s="206" t="str">
        <f t="shared" si="15"/>
        <v>SD11060Host Community</v>
      </c>
      <c r="B421" s="206" t="s">
        <v>161</v>
      </c>
      <c r="C421" s="206" t="s">
        <v>128</v>
      </c>
      <c r="D421" s="206" t="s">
        <v>438</v>
      </c>
      <c r="E421" s="206" t="s">
        <v>439</v>
      </c>
      <c r="F421" s="206" t="s">
        <v>735</v>
      </c>
      <c r="G421" s="207">
        <v>27095</v>
      </c>
      <c r="H421" s="206" t="s">
        <v>87</v>
      </c>
      <c r="I421" s="206" t="s">
        <v>731</v>
      </c>
      <c r="J421" s="233">
        <v>0.20161290322580644</v>
      </c>
      <c r="K421" s="233">
        <v>0.64516129032258063</v>
      </c>
      <c r="L421" s="233">
        <v>0.14516129032258066</v>
      </c>
      <c r="M421" s="233">
        <v>0</v>
      </c>
      <c r="N421" s="233">
        <v>8.0645161290322578E-3</v>
      </c>
      <c r="O421" s="207">
        <v>4152</v>
      </c>
      <c r="P421" s="207">
        <f t="shared" si="16"/>
        <v>3781</v>
      </c>
      <c r="Q421" s="207">
        <v>2</v>
      </c>
      <c r="R421" s="207">
        <v>2</v>
      </c>
      <c r="U421" s="206">
        <v>0</v>
      </c>
      <c r="V421" s="206">
        <v>0</v>
      </c>
      <c r="W421" s="206">
        <v>1</v>
      </c>
      <c r="X421" s="206" t="e">
        <v>#DIV/0!</v>
      </c>
    </row>
    <row r="422" spans="1:24" x14ac:dyDescent="0.25">
      <c r="A422" s="206" t="str">
        <f t="shared" si="15"/>
        <v>SD11060IDPs</v>
      </c>
      <c r="B422" s="206" t="s">
        <v>161</v>
      </c>
      <c r="C422" s="206" t="s">
        <v>128</v>
      </c>
      <c r="D422" s="206" t="s">
        <v>438</v>
      </c>
      <c r="E422" s="206" t="s">
        <v>439</v>
      </c>
      <c r="F422" s="206" t="s">
        <v>735</v>
      </c>
      <c r="G422" s="207">
        <v>8209</v>
      </c>
      <c r="H422" s="206" t="s">
        <v>88</v>
      </c>
      <c r="I422" s="206" t="s">
        <v>732</v>
      </c>
      <c r="J422" s="233">
        <v>0.20161290322580644</v>
      </c>
      <c r="K422" s="233">
        <v>0.64516129032258063</v>
      </c>
      <c r="L422" s="233">
        <v>0.14516129032258066</v>
      </c>
      <c r="M422" s="233">
        <v>0</v>
      </c>
      <c r="N422" s="233">
        <v>8.0645161290322578E-3</v>
      </c>
      <c r="O422" s="207">
        <v>1258</v>
      </c>
      <c r="P422" s="207">
        <f t="shared" si="16"/>
        <v>1146</v>
      </c>
      <c r="Q422" s="207">
        <v>2</v>
      </c>
      <c r="R422" s="207">
        <v>2</v>
      </c>
      <c r="U422" s="206" t="e">
        <v>#DIV/0!</v>
      </c>
      <c r="V422" s="206" t="e">
        <v>#DIV/0!</v>
      </c>
      <c r="W422" s="206">
        <v>1</v>
      </c>
      <c r="X422" s="206" t="e">
        <v>#DIV/0!</v>
      </c>
    </row>
    <row r="423" spans="1:24" x14ac:dyDescent="0.25">
      <c r="A423" s="206" t="str">
        <f t="shared" si="15"/>
        <v>SD11060Non-hosting Population</v>
      </c>
      <c r="B423" s="206" t="s">
        <v>161</v>
      </c>
      <c r="C423" s="206" t="s">
        <v>128</v>
      </c>
      <c r="D423" s="206" t="s">
        <v>438</v>
      </c>
      <c r="E423" s="206" t="s">
        <v>439</v>
      </c>
      <c r="F423" s="206" t="s">
        <v>735</v>
      </c>
      <c r="G423" s="207">
        <v>99211</v>
      </c>
      <c r="H423" s="206" t="s">
        <v>568</v>
      </c>
      <c r="I423" s="206" t="s">
        <v>731</v>
      </c>
      <c r="J423" s="233">
        <v>0.20161290322580644</v>
      </c>
      <c r="K423" s="233">
        <v>0.64516129032258063</v>
      </c>
      <c r="L423" s="233">
        <v>0.14516129032258066</v>
      </c>
      <c r="M423" s="233">
        <v>0</v>
      </c>
      <c r="N423" s="233">
        <v>8.0645161290322578E-3</v>
      </c>
      <c r="O423" s="207">
        <v>800</v>
      </c>
      <c r="P423" s="207">
        <f t="shared" si="16"/>
        <v>729</v>
      </c>
      <c r="Q423" s="207">
        <v>2</v>
      </c>
      <c r="R423" s="207">
        <v>2</v>
      </c>
      <c r="U423" s="206" t="e">
        <v>#DIV/0!</v>
      </c>
      <c r="V423" s="206" t="e">
        <v>#DIV/0!</v>
      </c>
      <c r="W423" s="206">
        <v>1</v>
      </c>
      <c r="X423" s="206" t="e">
        <v>#DIV/0!</v>
      </c>
    </row>
    <row r="424" spans="1:24" x14ac:dyDescent="0.25">
      <c r="A424" s="206" t="str">
        <f t="shared" si="15"/>
        <v>SD11061Host Community</v>
      </c>
      <c r="B424" s="206" t="s">
        <v>161</v>
      </c>
      <c r="C424" s="206" t="s">
        <v>128</v>
      </c>
      <c r="D424" s="206" t="s">
        <v>440</v>
      </c>
      <c r="E424" s="206" t="s">
        <v>441</v>
      </c>
      <c r="F424" s="206" t="s">
        <v>735</v>
      </c>
      <c r="G424" s="207">
        <v>35641</v>
      </c>
      <c r="H424" s="206" t="s">
        <v>87</v>
      </c>
      <c r="I424" s="206" t="s">
        <v>731</v>
      </c>
      <c r="J424" s="233">
        <v>0.30232558139534882</v>
      </c>
      <c r="K424" s="233">
        <v>0.43410852713178294</v>
      </c>
      <c r="L424" s="233">
        <v>0.26356589147286824</v>
      </c>
      <c r="M424" s="233">
        <v>0</v>
      </c>
      <c r="N424" s="233">
        <v>0</v>
      </c>
      <c r="O424" s="207">
        <v>9394</v>
      </c>
      <c r="P424" s="207">
        <f t="shared" si="16"/>
        <v>8555</v>
      </c>
      <c r="Q424" s="207">
        <v>3</v>
      </c>
      <c r="R424" s="207">
        <v>3</v>
      </c>
      <c r="U424" s="206">
        <v>0</v>
      </c>
      <c r="V424" s="206">
        <v>1</v>
      </c>
      <c r="W424" s="206">
        <v>0</v>
      </c>
      <c r="X424" s="206" t="e">
        <v>#DIV/0!</v>
      </c>
    </row>
    <row r="425" spans="1:24" x14ac:dyDescent="0.25">
      <c r="A425" s="206" t="str">
        <f t="shared" si="15"/>
        <v>SD11061IDPs</v>
      </c>
      <c r="B425" s="206" t="s">
        <v>161</v>
      </c>
      <c r="C425" s="206" t="s">
        <v>128</v>
      </c>
      <c r="D425" s="206" t="s">
        <v>440</v>
      </c>
      <c r="E425" s="206" t="s">
        <v>441</v>
      </c>
      <c r="F425" s="206" t="s">
        <v>735</v>
      </c>
      <c r="G425" s="207">
        <v>0</v>
      </c>
      <c r="H425" s="206" t="s">
        <v>88</v>
      </c>
      <c r="I425" s="206" t="s">
        <v>732</v>
      </c>
      <c r="J425" s="233">
        <v>0.30232558139534882</v>
      </c>
      <c r="K425" s="233">
        <v>0.43410852713178294</v>
      </c>
      <c r="L425" s="233">
        <v>0.26356589147286824</v>
      </c>
      <c r="M425" s="233">
        <v>0</v>
      </c>
      <c r="N425" s="233">
        <v>0</v>
      </c>
      <c r="O425" s="207">
        <v>0</v>
      </c>
      <c r="P425" s="207">
        <f t="shared" si="16"/>
        <v>0</v>
      </c>
      <c r="Q425" s="207">
        <v>3</v>
      </c>
      <c r="R425" s="207">
        <v>3</v>
      </c>
      <c r="U425" s="206">
        <v>0</v>
      </c>
      <c r="V425" s="206">
        <v>0</v>
      </c>
      <c r="W425" s="206">
        <v>0</v>
      </c>
      <c r="X425" s="206" t="e">
        <v>#DIV/0!</v>
      </c>
    </row>
    <row r="426" spans="1:24" x14ac:dyDescent="0.25">
      <c r="A426" s="206" t="str">
        <f t="shared" si="15"/>
        <v>SD11061Non-hosting Population</v>
      </c>
      <c r="B426" s="206" t="s">
        <v>161</v>
      </c>
      <c r="C426" s="206" t="s">
        <v>128</v>
      </c>
      <c r="D426" s="206" t="s">
        <v>440</v>
      </c>
      <c r="E426" s="206" t="s">
        <v>441</v>
      </c>
      <c r="F426" s="206" t="s">
        <v>735</v>
      </c>
      <c r="G426" s="207">
        <v>0</v>
      </c>
      <c r="H426" s="206" t="s">
        <v>568</v>
      </c>
      <c r="I426" s="206" t="s">
        <v>731</v>
      </c>
      <c r="J426" s="233">
        <v>0.30232558139534882</v>
      </c>
      <c r="K426" s="233">
        <v>0.43410852713178294</v>
      </c>
      <c r="L426" s="233">
        <v>0.26356589147286824</v>
      </c>
      <c r="M426" s="233">
        <v>0</v>
      </c>
      <c r="N426" s="233">
        <v>0</v>
      </c>
      <c r="O426" s="207">
        <v>0</v>
      </c>
      <c r="P426" s="207">
        <f t="shared" si="16"/>
        <v>0</v>
      </c>
      <c r="Q426" s="207">
        <v>3</v>
      </c>
      <c r="R426" s="207">
        <v>3</v>
      </c>
      <c r="U426" s="206">
        <v>0</v>
      </c>
      <c r="V426" s="206">
        <v>1</v>
      </c>
      <c r="W426" s="206">
        <v>0</v>
      </c>
      <c r="X426" s="206" t="e">
        <v>#DIV/0!</v>
      </c>
    </row>
    <row r="427" spans="1:24" x14ac:dyDescent="0.25">
      <c r="A427" s="206" t="str">
        <f t="shared" si="15"/>
        <v>SD11062Host Community</v>
      </c>
      <c r="B427" s="206" t="s">
        <v>161</v>
      </c>
      <c r="C427" s="206" t="s">
        <v>128</v>
      </c>
      <c r="D427" s="206" t="s">
        <v>442</v>
      </c>
      <c r="E427" s="206" t="s">
        <v>443</v>
      </c>
      <c r="F427" s="206" t="s">
        <v>735</v>
      </c>
      <c r="G427" s="207">
        <v>4067</v>
      </c>
      <c r="H427" s="206" t="s">
        <v>87</v>
      </c>
      <c r="I427" s="206" t="s">
        <v>731</v>
      </c>
      <c r="J427" s="233">
        <v>0</v>
      </c>
      <c r="K427" s="233">
        <v>5.3435114503816793E-2</v>
      </c>
      <c r="L427" s="233">
        <v>0.74045801526717558</v>
      </c>
      <c r="M427" s="233">
        <v>9.1603053435114504E-2</v>
      </c>
      <c r="N427" s="233">
        <v>0.11450381679389313</v>
      </c>
      <c r="O427" s="207">
        <v>3850</v>
      </c>
      <c r="P427" s="207">
        <f t="shared" si="16"/>
        <v>3506</v>
      </c>
      <c r="Q427" s="207">
        <v>4</v>
      </c>
      <c r="R427" s="207">
        <v>4</v>
      </c>
      <c r="U427" s="206">
        <v>0</v>
      </c>
      <c r="V427" s="206">
        <v>1</v>
      </c>
      <c r="W427" s="206">
        <v>1</v>
      </c>
      <c r="X427" s="206" t="e">
        <v>#DIV/0!</v>
      </c>
    </row>
    <row r="428" spans="1:24" x14ac:dyDescent="0.25">
      <c r="A428" s="206" t="str">
        <f t="shared" si="15"/>
        <v>SD11062IDPs</v>
      </c>
      <c r="B428" s="206" t="s">
        <v>161</v>
      </c>
      <c r="C428" s="206" t="s">
        <v>128</v>
      </c>
      <c r="D428" s="206" t="s">
        <v>442</v>
      </c>
      <c r="E428" s="206" t="s">
        <v>443</v>
      </c>
      <c r="F428" s="206" t="s">
        <v>735</v>
      </c>
      <c r="G428" s="207">
        <v>4067</v>
      </c>
      <c r="H428" s="206" t="s">
        <v>88</v>
      </c>
      <c r="I428" s="206" t="s">
        <v>732</v>
      </c>
      <c r="J428" s="233">
        <v>0</v>
      </c>
      <c r="K428" s="233">
        <v>5.3435114503816793E-2</v>
      </c>
      <c r="L428" s="233">
        <v>0.74045801526717558</v>
      </c>
      <c r="M428" s="233">
        <v>9.1603053435114504E-2</v>
      </c>
      <c r="N428" s="233">
        <v>0.11450381679389313</v>
      </c>
      <c r="O428" s="207">
        <v>3850</v>
      </c>
      <c r="P428" s="207">
        <f t="shared" si="16"/>
        <v>3506</v>
      </c>
      <c r="Q428" s="207">
        <v>4</v>
      </c>
      <c r="R428" s="207">
        <v>4</v>
      </c>
      <c r="U428" s="206">
        <v>0</v>
      </c>
      <c r="V428" s="206">
        <v>1</v>
      </c>
      <c r="W428" s="206">
        <v>1</v>
      </c>
      <c r="X428" s="206" t="e">
        <v>#DIV/0!</v>
      </c>
    </row>
    <row r="429" spans="1:24" x14ac:dyDescent="0.25">
      <c r="A429" s="206" t="str">
        <f t="shared" si="15"/>
        <v>SD11062Non-hosting Population</v>
      </c>
      <c r="B429" s="206" t="s">
        <v>161</v>
      </c>
      <c r="C429" s="206" t="s">
        <v>128</v>
      </c>
      <c r="D429" s="206" t="s">
        <v>442</v>
      </c>
      <c r="E429" s="206" t="s">
        <v>443</v>
      </c>
      <c r="F429" s="206" t="s">
        <v>735</v>
      </c>
      <c r="G429" s="207">
        <v>199129</v>
      </c>
      <c r="H429" s="206" t="s">
        <v>568</v>
      </c>
      <c r="I429" s="206" t="s">
        <v>731</v>
      </c>
      <c r="J429" s="233">
        <v>0</v>
      </c>
      <c r="K429" s="233">
        <v>5.3435114503816793E-2</v>
      </c>
      <c r="L429" s="233">
        <v>0.74045801526717558</v>
      </c>
      <c r="M429" s="233">
        <v>9.1603053435114504E-2</v>
      </c>
      <c r="N429" s="233">
        <v>0.11450381679389313</v>
      </c>
      <c r="O429" s="207">
        <v>41042</v>
      </c>
      <c r="P429" s="207">
        <f t="shared" si="16"/>
        <v>37375</v>
      </c>
      <c r="Q429" s="207">
        <v>4</v>
      </c>
      <c r="R429" s="207">
        <v>4</v>
      </c>
      <c r="U429" s="206">
        <v>0</v>
      </c>
      <c r="V429" s="206">
        <v>1</v>
      </c>
      <c r="W429" s="206">
        <v>1</v>
      </c>
      <c r="X429" s="206" t="e">
        <v>#DIV/0!</v>
      </c>
    </row>
    <row r="430" spans="1:24" x14ac:dyDescent="0.25">
      <c r="A430" s="206" t="str">
        <f t="shared" si="15"/>
        <v>SD12075Host Community</v>
      </c>
      <c r="B430" s="206" t="s">
        <v>158</v>
      </c>
      <c r="C430" s="206" t="s">
        <v>129</v>
      </c>
      <c r="D430" s="206" t="s">
        <v>448</v>
      </c>
      <c r="E430" s="206" t="s">
        <v>449</v>
      </c>
      <c r="F430" s="206" t="s">
        <v>736</v>
      </c>
      <c r="G430" s="207">
        <v>10923</v>
      </c>
      <c r="H430" s="206" t="s">
        <v>87</v>
      </c>
      <c r="I430" s="206" t="s">
        <v>731</v>
      </c>
      <c r="J430" s="233">
        <v>0.2391304347826087</v>
      </c>
      <c r="K430" s="233">
        <v>0.3188405797101449</v>
      </c>
      <c r="L430" s="233">
        <v>0.38405797101449274</v>
      </c>
      <c r="M430" s="233">
        <v>7.246376811594203E-3</v>
      </c>
      <c r="N430" s="233">
        <v>5.0724637681159424E-2</v>
      </c>
      <c r="O430" s="207">
        <v>4828</v>
      </c>
      <c r="P430" s="207">
        <f t="shared" si="16"/>
        <v>4397</v>
      </c>
      <c r="Q430" s="207">
        <v>3</v>
      </c>
      <c r="R430" s="207">
        <v>3</v>
      </c>
      <c r="U430" s="206">
        <v>0</v>
      </c>
      <c r="V430" s="206">
        <v>1</v>
      </c>
      <c r="W430" s="206">
        <v>1</v>
      </c>
      <c r="X430" s="206" t="e">
        <v>#DIV/0!</v>
      </c>
    </row>
    <row r="431" spans="1:24" x14ac:dyDescent="0.25">
      <c r="A431" s="206" t="str">
        <f t="shared" si="15"/>
        <v>SD12075IDPs</v>
      </c>
      <c r="B431" s="206" t="s">
        <v>158</v>
      </c>
      <c r="C431" s="206" t="s">
        <v>129</v>
      </c>
      <c r="D431" s="206" t="s">
        <v>448</v>
      </c>
      <c r="E431" s="206" t="s">
        <v>449</v>
      </c>
      <c r="F431" s="206" t="s">
        <v>736</v>
      </c>
      <c r="G431" s="207">
        <v>53678</v>
      </c>
      <c r="H431" s="206" t="s">
        <v>88</v>
      </c>
      <c r="I431" s="206" t="s">
        <v>732</v>
      </c>
      <c r="J431" s="233">
        <v>0.2391304347826087</v>
      </c>
      <c r="K431" s="233">
        <v>0.3188405797101449</v>
      </c>
      <c r="L431" s="233">
        <v>0.38405797101449274</v>
      </c>
      <c r="M431" s="233">
        <v>7.246376811594203E-3</v>
      </c>
      <c r="N431" s="233">
        <v>5.0724637681159424E-2</v>
      </c>
      <c r="O431" s="207">
        <v>23727</v>
      </c>
      <c r="P431" s="207">
        <f t="shared" si="16"/>
        <v>21607</v>
      </c>
      <c r="Q431" s="207">
        <v>3</v>
      </c>
      <c r="R431" s="207">
        <v>3</v>
      </c>
      <c r="U431" s="206">
        <v>0</v>
      </c>
      <c r="V431" s="206">
        <v>1</v>
      </c>
      <c r="W431" s="206">
        <v>1</v>
      </c>
      <c r="X431" s="206" t="e">
        <v>#DIV/0!</v>
      </c>
    </row>
    <row r="432" spans="1:24" x14ac:dyDescent="0.25">
      <c r="A432" s="206" t="str">
        <f t="shared" si="15"/>
        <v>SD12075Non-hosting Population</v>
      </c>
      <c r="B432" s="206" t="s">
        <v>158</v>
      </c>
      <c r="C432" s="206" t="s">
        <v>129</v>
      </c>
      <c r="D432" s="206" t="s">
        <v>448</v>
      </c>
      <c r="E432" s="206" t="s">
        <v>449</v>
      </c>
      <c r="F432" s="206" t="s">
        <v>736</v>
      </c>
      <c r="G432" s="207">
        <v>0</v>
      </c>
      <c r="H432" s="206" t="s">
        <v>568</v>
      </c>
      <c r="I432" s="206" t="s">
        <v>731</v>
      </c>
      <c r="J432" s="233">
        <v>0.2391304347826087</v>
      </c>
      <c r="K432" s="233">
        <v>0.3188405797101449</v>
      </c>
      <c r="L432" s="233">
        <v>0.38405797101449274</v>
      </c>
      <c r="M432" s="233">
        <v>7.246376811594203E-3</v>
      </c>
      <c r="N432" s="233">
        <v>5.0724637681159424E-2</v>
      </c>
      <c r="O432" s="207">
        <v>0</v>
      </c>
      <c r="P432" s="207">
        <f t="shared" si="16"/>
        <v>0</v>
      </c>
      <c r="Q432" s="207">
        <v>3</v>
      </c>
      <c r="R432" s="207">
        <v>3</v>
      </c>
      <c r="U432" s="206" t="e">
        <v>#DIV/0!</v>
      </c>
      <c r="V432" s="206" t="e">
        <v>#DIV/0!</v>
      </c>
      <c r="W432" s="206">
        <v>1</v>
      </c>
      <c r="X432" s="206" t="e">
        <v>#DIV/0!</v>
      </c>
    </row>
    <row r="433" spans="1:24" x14ac:dyDescent="0.25">
      <c r="A433" s="206" t="str">
        <f t="shared" si="15"/>
        <v>SD12076Host Community</v>
      </c>
      <c r="B433" s="206" t="s">
        <v>158</v>
      </c>
      <c r="C433" s="206" t="s">
        <v>129</v>
      </c>
      <c r="D433" s="206" t="s">
        <v>450</v>
      </c>
      <c r="E433" s="206" t="s">
        <v>451</v>
      </c>
      <c r="F433" s="206" t="s">
        <v>736</v>
      </c>
      <c r="G433" s="207">
        <v>57710</v>
      </c>
      <c r="H433" s="206" t="s">
        <v>87</v>
      </c>
      <c r="I433" s="206" t="s">
        <v>731</v>
      </c>
      <c r="J433" s="233">
        <v>0.77952755905511806</v>
      </c>
      <c r="K433" s="233">
        <v>0.18110236220472442</v>
      </c>
      <c r="L433" s="233">
        <v>1.5748031496062992E-2</v>
      </c>
      <c r="M433" s="233">
        <v>0</v>
      </c>
      <c r="N433" s="233">
        <v>2.3622047244094488E-2</v>
      </c>
      <c r="O433" s="207">
        <v>2272</v>
      </c>
      <c r="P433" s="207">
        <f t="shared" si="16"/>
        <v>2069</v>
      </c>
      <c r="Q433" s="207">
        <v>2</v>
      </c>
      <c r="R433" s="207">
        <v>3</v>
      </c>
      <c r="U433" s="206">
        <v>0</v>
      </c>
      <c r="V433" s="206">
        <v>1</v>
      </c>
      <c r="W433" s="206">
        <v>1</v>
      </c>
      <c r="X433" s="206" t="e">
        <v>#DIV/0!</v>
      </c>
    </row>
    <row r="434" spans="1:24" x14ac:dyDescent="0.25">
      <c r="A434" s="206" t="str">
        <f t="shared" si="15"/>
        <v>SD12076IDPs</v>
      </c>
      <c r="B434" s="206" t="s">
        <v>158</v>
      </c>
      <c r="C434" s="206" t="s">
        <v>129</v>
      </c>
      <c r="D434" s="206" t="s">
        <v>450</v>
      </c>
      <c r="E434" s="206" t="s">
        <v>451</v>
      </c>
      <c r="F434" s="206" t="s">
        <v>736</v>
      </c>
      <c r="G434" s="207">
        <v>57710</v>
      </c>
      <c r="H434" s="206" t="s">
        <v>88</v>
      </c>
      <c r="I434" s="206" t="s">
        <v>732</v>
      </c>
      <c r="J434" s="233">
        <v>0.77952755905511806</v>
      </c>
      <c r="K434" s="233">
        <v>0.18110236220472442</v>
      </c>
      <c r="L434" s="233">
        <v>1.5748031496062992E-2</v>
      </c>
      <c r="M434" s="233">
        <v>0</v>
      </c>
      <c r="N434" s="233">
        <v>2.3622047244094488E-2</v>
      </c>
      <c r="O434" s="207">
        <v>2272</v>
      </c>
      <c r="P434" s="207">
        <f t="shared" si="16"/>
        <v>2069</v>
      </c>
      <c r="Q434" s="207">
        <v>2</v>
      </c>
      <c r="R434" s="207">
        <v>3</v>
      </c>
      <c r="U434" s="206">
        <v>0</v>
      </c>
      <c r="V434" s="206">
        <v>1</v>
      </c>
      <c r="W434" s="206">
        <v>1</v>
      </c>
      <c r="X434" s="206" t="e">
        <v>#DIV/0!</v>
      </c>
    </row>
    <row r="435" spans="1:24" x14ac:dyDescent="0.25">
      <c r="A435" s="206" t="str">
        <f t="shared" si="15"/>
        <v>SD12076Non-hosting Population</v>
      </c>
      <c r="B435" s="206" t="s">
        <v>158</v>
      </c>
      <c r="C435" s="206" t="s">
        <v>129</v>
      </c>
      <c r="D435" s="206" t="s">
        <v>450</v>
      </c>
      <c r="E435" s="206" t="s">
        <v>451</v>
      </c>
      <c r="F435" s="206" t="s">
        <v>736</v>
      </c>
      <c r="G435" s="207">
        <v>107308</v>
      </c>
      <c r="H435" s="206" t="s">
        <v>568</v>
      </c>
      <c r="I435" s="206" t="s">
        <v>731</v>
      </c>
      <c r="J435" s="233">
        <v>0.77952755905511806</v>
      </c>
      <c r="K435" s="233">
        <v>0.18110236220472442</v>
      </c>
      <c r="L435" s="233">
        <v>1.5748031496062992E-2</v>
      </c>
      <c r="M435" s="233">
        <v>0</v>
      </c>
      <c r="N435" s="233">
        <v>2.3622047244094488E-2</v>
      </c>
      <c r="O435" s="207">
        <v>2535</v>
      </c>
      <c r="P435" s="207">
        <f t="shared" si="16"/>
        <v>2308</v>
      </c>
      <c r="Q435" s="207">
        <v>2</v>
      </c>
      <c r="R435" s="207">
        <v>3</v>
      </c>
      <c r="U435" s="206">
        <v>0</v>
      </c>
      <c r="V435" s="206">
        <v>1</v>
      </c>
      <c r="W435" s="206">
        <v>1</v>
      </c>
      <c r="X435" s="206" t="e">
        <v>#DIV/0!</v>
      </c>
    </row>
    <row r="436" spans="1:24" x14ac:dyDescent="0.25">
      <c r="A436" s="206" t="str">
        <f t="shared" si="15"/>
        <v>SD12077Host Community</v>
      </c>
      <c r="B436" s="206" t="s">
        <v>158</v>
      </c>
      <c r="C436" s="206" t="s">
        <v>129</v>
      </c>
      <c r="D436" s="206" t="s">
        <v>452</v>
      </c>
      <c r="E436" s="206" t="s">
        <v>453</v>
      </c>
      <c r="F436" s="206" t="s">
        <v>736</v>
      </c>
      <c r="G436" s="207">
        <v>50846</v>
      </c>
      <c r="H436" s="206" t="s">
        <v>87</v>
      </c>
      <c r="I436" s="206" t="s">
        <v>731</v>
      </c>
      <c r="J436" s="233">
        <v>0</v>
      </c>
      <c r="K436" s="233">
        <v>0.23448275862068965</v>
      </c>
      <c r="L436" s="233">
        <v>0.59310344827586203</v>
      </c>
      <c r="M436" s="233">
        <v>0.10344827586206896</v>
      </c>
      <c r="N436" s="233">
        <v>6.8965517241379309E-2</v>
      </c>
      <c r="O436" s="207">
        <v>38923</v>
      </c>
      <c r="P436" s="207">
        <f t="shared" si="16"/>
        <v>35445</v>
      </c>
      <c r="Q436" s="207">
        <v>3</v>
      </c>
      <c r="R436" s="207">
        <v>3</v>
      </c>
      <c r="U436" s="206">
        <v>0</v>
      </c>
      <c r="V436" s="206">
        <v>0</v>
      </c>
      <c r="W436" s="206">
        <v>1</v>
      </c>
      <c r="X436" s="206" t="e">
        <v>#DIV/0!</v>
      </c>
    </row>
    <row r="437" spans="1:24" x14ac:dyDescent="0.25">
      <c r="A437" s="206" t="str">
        <f t="shared" si="15"/>
        <v>SD12077IDPs</v>
      </c>
      <c r="B437" s="206" t="s">
        <v>158</v>
      </c>
      <c r="C437" s="206" t="s">
        <v>129</v>
      </c>
      <c r="D437" s="206" t="s">
        <v>452</v>
      </c>
      <c r="E437" s="206" t="s">
        <v>453</v>
      </c>
      <c r="F437" s="206" t="s">
        <v>736</v>
      </c>
      <c r="G437" s="207">
        <v>51406</v>
      </c>
      <c r="H437" s="206" t="s">
        <v>88</v>
      </c>
      <c r="I437" s="206" t="s">
        <v>732</v>
      </c>
      <c r="J437" s="233">
        <v>0</v>
      </c>
      <c r="K437" s="233">
        <v>0.23448275862068965</v>
      </c>
      <c r="L437" s="233">
        <v>0.59310344827586203</v>
      </c>
      <c r="M437" s="233">
        <v>0.10344827586206896</v>
      </c>
      <c r="N437" s="233">
        <v>6.8965517241379309E-2</v>
      </c>
      <c r="O437" s="207">
        <v>39352</v>
      </c>
      <c r="P437" s="207">
        <f t="shared" si="16"/>
        <v>35836</v>
      </c>
      <c r="Q437" s="207">
        <v>3</v>
      </c>
      <c r="R437" s="207">
        <v>3</v>
      </c>
      <c r="U437" s="206">
        <v>0</v>
      </c>
      <c r="V437" s="206">
        <v>1</v>
      </c>
      <c r="W437" s="206">
        <v>1</v>
      </c>
      <c r="X437" s="206" t="e">
        <v>#DIV/0!</v>
      </c>
    </row>
    <row r="438" spans="1:24" x14ac:dyDescent="0.25">
      <c r="A438" s="206" t="str">
        <f t="shared" si="15"/>
        <v>SD12077Non-hosting Population</v>
      </c>
      <c r="B438" s="206" t="s">
        <v>158</v>
      </c>
      <c r="C438" s="206" t="s">
        <v>129</v>
      </c>
      <c r="D438" s="206" t="s">
        <v>452</v>
      </c>
      <c r="E438" s="206" t="s">
        <v>453</v>
      </c>
      <c r="F438" s="206" t="s">
        <v>736</v>
      </c>
      <c r="G438" s="207">
        <v>32481</v>
      </c>
      <c r="H438" s="206" t="s">
        <v>568</v>
      </c>
      <c r="I438" s="206" t="s">
        <v>731</v>
      </c>
      <c r="J438" s="233">
        <v>0</v>
      </c>
      <c r="K438" s="233">
        <v>0.23448275862068965</v>
      </c>
      <c r="L438" s="233">
        <v>0.59310344827586203</v>
      </c>
      <c r="M438" s="233">
        <v>0.10344827586206896</v>
      </c>
      <c r="N438" s="233">
        <v>6.8965517241379309E-2</v>
      </c>
      <c r="O438" s="207">
        <v>5600</v>
      </c>
      <c r="P438" s="207">
        <f t="shared" si="16"/>
        <v>5100</v>
      </c>
      <c r="Q438" s="207">
        <v>3</v>
      </c>
      <c r="R438" s="207">
        <v>3</v>
      </c>
      <c r="U438" s="206">
        <v>0</v>
      </c>
      <c r="V438" s="206">
        <v>0</v>
      </c>
      <c r="W438" s="206">
        <v>1</v>
      </c>
      <c r="X438" s="206" t="e">
        <v>#DIV/0!</v>
      </c>
    </row>
    <row r="439" spans="1:24" x14ac:dyDescent="0.25">
      <c r="A439" s="206" t="str">
        <f t="shared" si="15"/>
        <v>SD12078Host Community</v>
      </c>
      <c r="B439" s="206" t="s">
        <v>158</v>
      </c>
      <c r="C439" s="206" t="s">
        <v>129</v>
      </c>
      <c r="D439" s="206" t="s">
        <v>454</v>
      </c>
      <c r="E439" s="206" t="s">
        <v>455</v>
      </c>
      <c r="F439" s="206" t="s">
        <v>736</v>
      </c>
      <c r="G439" s="207">
        <v>18265</v>
      </c>
      <c r="H439" s="206" t="s">
        <v>87</v>
      </c>
      <c r="I439" s="206" t="s">
        <v>731</v>
      </c>
      <c r="J439" s="233">
        <v>0.26271186440677968</v>
      </c>
      <c r="K439" s="233">
        <v>0.49152542372881358</v>
      </c>
      <c r="L439" s="233">
        <v>0.23728813559322035</v>
      </c>
      <c r="M439" s="233">
        <v>0</v>
      </c>
      <c r="N439" s="233">
        <v>8.4745762711864406E-3</v>
      </c>
      <c r="O439" s="207">
        <v>4489</v>
      </c>
      <c r="P439" s="207">
        <f t="shared" si="16"/>
        <v>4088</v>
      </c>
      <c r="Q439" s="207">
        <v>3</v>
      </c>
      <c r="R439" s="207">
        <v>3</v>
      </c>
      <c r="U439" s="206">
        <v>0</v>
      </c>
      <c r="V439" s="206">
        <v>1</v>
      </c>
      <c r="W439" s="206">
        <v>1</v>
      </c>
      <c r="X439" s="206" t="e">
        <v>#DIV/0!</v>
      </c>
    </row>
    <row r="440" spans="1:24" x14ac:dyDescent="0.25">
      <c r="A440" s="206" t="str">
        <f t="shared" si="15"/>
        <v>SD12078IDPs</v>
      </c>
      <c r="B440" s="206" t="s">
        <v>158</v>
      </c>
      <c r="C440" s="206" t="s">
        <v>129</v>
      </c>
      <c r="D440" s="206" t="s">
        <v>454</v>
      </c>
      <c r="E440" s="206" t="s">
        <v>455</v>
      </c>
      <c r="F440" s="206" t="s">
        <v>736</v>
      </c>
      <c r="G440" s="207">
        <v>18585</v>
      </c>
      <c r="H440" s="206" t="s">
        <v>88</v>
      </c>
      <c r="I440" s="206" t="s">
        <v>732</v>
      </c>
      <c r="J440" s="233">
        <v>0.26271186440677968</v>
      </c>
      <c r="K440" s="233">
        <v>0.49152542372881358</v>
      </c>
      <c r="L440" s="233">
        <v>0.23728813559322035</v>
      </c>
      <c r="M440" s="233">
        <v>0</v>
      </c>
      <c r="N440" s="233">
        <v>8.4745762711864406E-3</v>
      </c>
      <c r="O440" s="207">
        <v>4568</v>
      </c>
      <c r="P440" s="207">
        <f t="shared" si="16"/>
        <v>4160</v>
      </c>
      <c r="Q440" s="207">
        <v>3</v>
      </c>
      <c r="R440" s="207">
        <v>3</v>
      </c>
      <c r="U440" s="206">
        <v>0</v>
      </c>
      <c r="V440" s="206">
        <v>1</v>
      </c>
      <c r="W440" s="206">
        <v>1</v>
      </c>
      <c r="X440" s="206" t="e">
        <v>#DIV/0!</v>
      </c>
    </row>
    <row r="441" spans="1:24" x14ac:dyDescent="0.25">
      <c r="A441" s="206" t="str">
        <f t="shared" si="15"/>
        <v>SD12078Non-hosting Population</v>
      </c>
      <c r="B441" s="206" t="s">
        <v>158</v>
      </c>
      <c r="C441" s="206" t="s">
        <v>129</v>
      </c>
      <c r="D441" s="206" t="s">
        <v>454</v>
      </c>
      <c r="E441" s="206" t="s">
        <v>455</v>
      </c>
      <c r="F441" s="206" t="s">
        <v>736</v>
      </c>
      <c r="G441" s="207">
        <v>158588</v>
      </c>
      <c r="H441" s="206" t="s">
        <v>568</v>
      </c>
      <c r="I441" s="206" t="s">
        <v>731</v>
      </c>
      <c r="J441" s="233">
        <v>0.26271186440677968</v>
      </c>
      <c r="K441" s="233">
        <v>0.49152542372881358</v>
      </c>
      <c r="L441" s="233">
        <v>0.23728813559322035</v>
      </c>
      <c r="M441" s="233">
        <v>0</v>
      </c>
      <c r="N441" s="233">
        <v>8.4745762711864406E-3</v>
      </c>
      <c r="O441" s="207">
        <v>1344</v>
      </c>
      <c r="P441" s="207">
        <f t="shared" si="16"/>
        <v>1224</v>
      </c>
      <c r="Q441" s="207">
        <v>3</v>
      </c>
      <c r="R441" s="207">
        <v>3</v>
      </c>
      <c r="U441" s="206">
        <v>0</v>
      </c>
      <c r="V441" s="206">
        <v>1</v>
      </c>
      <c r="W441" s="206">
        <v>1</v>
      </c>
      <c r="X441" s="206" t="e">
        <v>#DIV/0!</v>
      </c>
    </row>
    <row r="442" spans="1:24" x14ac:dyDescent="0.25">
      <c r="A442" s="206" t="str">
        <f t="shared" si="15"/>
        <v>SD12079Host Community</v>
      </c>
      <c r="B442" s="206" t="s">
        <v>158</v>
      </c>
      <c r="C442" s="206" t="s">
        <v>129</v>
      </c>
      <c r="D442" s="206" t="s">
        <v>456</v>
      </c>
      <c r="E442" s="206" t="s">
        <v>457</v>
      </c>
      <c r="F442" s="206" t="s">
        <v>736</v>
      </c>
      <c r="G442" s="207">
        <v>12202</v>
      </c>
      <c r="H442" s="206" t="s">
        <v>87</v>
      </c>
      <c r="I442" s="206" t="s">
        <v>731</v>
      </c>
      <c r="J442" s="233">
        <v>0.42537313432835822</v>
      </c>
      <c r="K442" s="233">
        <v>0.23134328358208955</v>
      </c>
      <c r="L442" s="233">
        <v>0.21641791044776118</v>
      </c>
      <c r="M442" s="233">
        <v>9.7014925373134331E-2</v>
      </c>
      <c r="N442" s="233">
        <v>2.9850746268656716E-2</v>
      </c>
      <c r="O442" s="207">
        <v>4189</v>
      </c>
      <c r="P442" s="207">
        <f t="shared" si="16"/>
        <v>3815</v>
      </c>
      <c r="Q442" s="207">
        <v>3</v>
      </c>
      <c r="R442" s="207">
        <v>3</v>
      </c>
      <c r="U442" s="206">
        <v>0</v>
      </c>
      <c r="V442" s="206">
        <v>1</v>
      </c>
      <c r="W442" s="206">
        <v>1</v>
      </c>
      <c r="X442" s="206" t="e">
        <v>#DIV/0!</v>
      </c>
    </row>
    <row r="443" spans="1:24" x14ac:dyDescent="0.25">
      <c r="A443" s="206" t="str">
        <f t="shared" si="15"/>
        <v>SD12079IDPs</v>
      </c>
      <c r="B443" s="206" t="s">
        <v>158</v>
      </c>
      <c r="C443" s="206" t="s">
        <v>129</v>
      </c>
      <c r="D443" s="206" t="s">
        <v>456</v>
      </c>
      <c r="E443" s="206" t="s">
        <v>457</v>
      </c>
      <c r="F443" s="206" t="s">
        <v>736</v>
      </c>
      <c r="G443" s="207">
        <v>12202</v>
      </c>
      <c r="H443" s="206" t="s">
        <v>88</v>
      </c>
      <c r="I443" s="206" t="s">
        <v>732</v>
      </c>
      <c r="J443" s="233">
        <v>0.42537313432835822</v>
      </c>
      <c r="K443" s="233">
        <v>0.23134328358208955</v>
      </c>
      <c r="L443" s="233">
        <v>0.21641791044776118</v>
      </c>
      <c r="M443" s="233">
        <v>9.7014925373134331E-2</v>
      </c>
      <c r="N443" s="233">
        <v>2.9850746268656716E-2</v>
      </c>
      <c r="O443" s="207">
        <v>4189</v>
      </c>
      <c r="P443" s="207">
        <f t="shared" si="16"/>
        <v>3815</v>
      </c>
      <c r="Q443" s="207">
        <v>3</v>
      </c>
      <c r="R443" s="207">
        <v>3</v>
      </c>
      <c r="U443" s="206">
        <v>0</v>
      </c>
      <c r="V443" s="206">
        <v>1</v>
      </c>
      <c r="W443" s="206">
        <v>1</v>
      </c>
      <c r="X443" s="206" t="e">
        <v>#DIV/0!</v>
      </c>
    </row>
    <row r="444" spans="1:24" x14ac:dyDescent="0.25">
      <c r="A444" s="206" t="str">
        <f t="shared" si="15"/>
        <v>SD12079Non-hosting Population</v>
      </c>
      <c r="B444" s="206" t="s">
        <v>158</v>
      </c>
      <c r="C444" s="206" t="s">
        <v>129</v>
      </c>
      <c r="D444" s="206" t="s">
        <v>456</v>
      </c>
      <c r="E444" s="206" t="s">
        <v>457</v>
      </c>
      <c r="F444" s="206" t="s">
        <v>736</v>
      </c>
      <c r="G444" s="207">
        <v>116487</v>
      </c>
      <c r="H444" s="206" t="s">
        <v>568</v>
      </c>
      <c r="I444" s="206" t="s">
        <v>731</v>
      </c>
      <c r="J444" s="233">
        <v>0.42537313432835822</v>
      </c>
      <c r="K444" s="233">
        <v>0.23134328358208955</v>
      </c>
      <c r="L444" s="233">
        <v>0.21641791044776118</v>
      </c>
      <c r="M444" s="233">
        <v>9.7014925373134331E-2</v>
      </c>
      <c r="N444" s="233">
        <v>2.9850746268656716E-2</v>
      </c>
      <c r="O444" s="207">
        <v>14778</v>
      </c>
      <c r="P444" s="207">
        <f t="shared" si="16"/>
        <v>13458</v>
      </c>
      <c r="Q444" s="207">
        <v>3</v>
      </c>
      <c r="R444" s="207">
        <v>3</v>
      </c>
      <c r="U444" s="206">
        <v>0</v>
      </c>
      <c r="V444" s="206">
        <v>1</v>
      </c>
      <c r="W444" s="206">
        <v>1</v>
      </c>
      <c r="X444" s="206" t="e">
        <v>#DIV/0!</v>
      </c>
    </row>
    <row r="445" spans="1:24" x14ac:dyDescent="0.25">
      <c r="A445" s="206" t="str">
        <f t="shared" si="15"/>
        <v>SD12080Host Community</v>
      </c>
      <c r="B445" s="206" t="s">
        <v>158</v>
      </c>
      <c r="C445" s="206" t="s">
        <v>129</v>
      </c>
      <c r="D445" s="206" t="s">
        <v>458</v>
      </c>
      <c r="E445" s="206" t="s">
        <v>459</v>
      </c>
      <c r="F445" s="206" t="s">
        <v>736</v>
      </c>
      <c r="G445" s="207">
        <v>133966</v>
      </c>
      <c r="H445" s="206" t="s">
        <v>87</v>
      </c>
      <c r="I445" s="206" t="s">
        <v>731</v>
      </c>
      <c r="J445" s="233">
        <v>0.37190082644628097</v>
      </c>
      <c r="K445" s="233">
        <v>0.37190082644628097</v>
      </c>
      <c r="L445" s="233">
        <v>0.23140495867768596</v>
      </c>
      <c r="M445" s="233">
        <v>0</v>
      </c>
      <c r="N445" s="233">
        <v>2.4793388429752067E-2</v>
      </c>
      <c r="O445" s="207">
        <v>34322</v>
      </c>
      <c r="P445" s="207">
        <f t="shared" si="16"/>
        <v>31255</v>
      </c>
      <c r="Q445" s="207">
        <v>3</v>
      </c>
      <c r="R445" s="207">
        <v>3</v>
      </c>
      <c r="U445" s="206">
        <v>0</v>
      </c>
      <c r="V445" s="206">
        <v>1</v>
      </c>
      <c r="W445" s="206">
        <v>1</v>
      </c>
      <c r="X445" s="206" t="e">
        <v>#DIV/0!</v>
      </c>
    </row>
    <row r="446" spans="1:24" x14ac:dyDescent="0.25">
      <c r="A446" s="206" t="str">
        <f t="shared" si="15"/>
        <v>SD12080IDPs</v>
      </c>
      <c r="B446" s="206" t="s">
        <v>158</v>
      </c>
      <c r="C446" s="206" t="s">
        <v>129</v>
      </c>
      <c r="D446" s="206" t="s">
        <v>458</v>
      </c>
      <c r="E446" s="206" t="s">
        <v>459</v>
      </c>
      <c r="F446" s="206" t="s">
        <v>736</v>
      </c>
      <c r="G446" s="207">
        <v>133964</v>
      </c>
      <c r="H446" s="206" t="s">
        <v>88</v>
      </c>
      <c r="I446" s="206" t="s">
        <v>732</v>
      </c>
      <c r="J446" s="233">
        <v>0.37190082644628097</v>
      </c>
      <c r="K446" s="233">
        <v>0.37190082644628097</v>
      </c>
      <c r="L446" s="233">
        <v>0.23140495867768596</v>
      </c>
      <c r="M446" s="233">
        <v>0</v>
      </c>
      <c r="N446" s="233">
        <v>2.4793388429752067E-2</v>
      </c>
      <c r="O446" s="207">
        <v>34321</v>
      </c>
      <c r="P446" s="207">
        <f t="shared" si="16"/>
        <v>31254</v>
      </c>
      <c r="Q446" s="207">
        <v>3</v>
      </c>
      <c r="R446" s="207">
        <v>3</v>
      </c>
      <c r="U446" s="206">
        <v>0</v>
      </c>
      <c r="V446" s="206">
        <v>1</v>
      </c>
      <c r="W446" s="206">
        <v>1</v>
      </c>
      <c r="X446" s="206" t="e">
        <v>#DIV/0!</v>
      </c>
    </row>
    <row r="447" spans="1:24" x14ac:dyDescent="0.25">
      <c r="A447" s="206" t="str">
        <f t="shared" si="15"/>
        <v>SD12080Non-hosting Population</v>
      </c>
      <c r="B447" s="206" t="s">
        <v>158</v>
      </c>
      <c r="C447" s="206" t="s">
        <v>129</v>
      </c>
      <c r="D447" s="206" t="s">
        <v>458</v>
      </c>
      <c r="E447" s="206" t="s">
        <v>459</v>
      </c>
      <c r="F447" s="206" t="s">
        <v>736</v>
      </c>
      <c r="G447" s="207">
        <v>396010</v>
      </c>
      <c r="H447" s="206" t="s">
        <v>568</v>
      </c>
      <c r="I447" s="206" t="s">
        <v>731</v>
      </c>
      <c r="J447" s="233">
        <v>0.37190082644628097</v>
      </c>
      <c r="K447" s="233">
        <v>0.37190082644628097</v>
      </c>
      <c r="L447" s="233">
        <v>0.23140495867768596</v>
      </c>
      <c r="M447" s="233">
        <v>0</v>
      </c>
      <c r="N447" s="233">
        <v>2.4793388429752067E-2</v>
      </c>
      <c r="O447" s="207">
        <v>9818</v>
      </c>
      <c r="P447" s="207">
        <f t="shared" si="16"/>
        <v>8941</v>
      </c>
      <c r="Q447" s="207">
        <v>3</v>
      </c>
      <c r="R447" s="207">
        <v>3</v>
      </c>
      <c r="U447" s="206">
        <v>0</v>
      </c>
      <c r="V447" s="206">
        <v>1</v>
      </c>
      <c r="W447" s="206">
        <v>1</v>
      </c>
      <c r="X447" s="206" t="e">
        <v>#DIV/0!</v>
      </c>
    </row>
    <row r="448" spans="1:24" x14ac:dyDescent="0.25">
      <c r="A448" s="206" t="str">
        <f t="shared" si="15"/>
        <v>SD12081Host Community</v>
      </c>
      <c r="B448" s="206" t="s">
        <v>158</v>
      </c>
      <c r="C448" s="206" t="s">
        <v>129</v>
      </c>
      <c r="D448" s="206" t="s">
        <v>460</v>
      </c>
      <c r="E448" s="206" t="s">
        <v>461</v>
      </c>
      <c r="F448" s="206" t="s">
        <v>736</v>
      </c>
      <c r="G448" s="207">
        <v>32365</v>
      </c>
      <c r="H448" s="206" t="s">
        <v>87</v>
      </c>
      <c r="I448" s="206" t="s">
        <v>731</v>
      </c>
      <c r="J448" s="233">
        <v>0.24806201550387597</v>
      </c>
      <c r="K448" s="233">
        <v>0.54263565891472865</v>
      </c>
      <c r="L448" s="233">
        <v>0.12403100775193798</v>
      </c>
      <c r="M448" s="233">
        <v>3.875968992248062E-2</v>
      </c>
      <c r="N448" s="233">
        <v>4.6511627906976744E-2</v>
      </c>
      <c r="O448" s="207">
        <v>6774</v>
      </c>
      <c r="P448" s="207">
        <f t="shared" si="16"/>
        <v>6169</v>
      </c>
      <c r="Q448" s="207">
        <v>3</v>
      </c>
      <c r="R448" s="207">
        <v>3</v>
      </c>
      <c r="U448" s="206">
        <v>0</v>
      </c>
      <c r="V448" s="206">
        <v>1</v>
      </c>
      <c r="W448" s="206">
        <v>1</v>
      </c>
      <c r="X448" s="206" t="e">
        <v>#DIV/0!</v>
      </c>
    </row>
    <row r="449" spans="1:24" x14ac:dyDescent="0.25">
      <c r="A449" s="206" t="str">
        <f t="shared" si="15"/>
        <v>SD12081IDPs</v>
      </c>
      <c r="B449" s="206" t="s">
        <v>158</v>
      </c>
      <c r="C449" s="206" t="s">
        <v>129</v>
      </c>
      <c r="D449" s="206" t="s">
        <v>460</v>
      </c>
      <c r="E449" s="206" t="s">
        <v>461</v>
      </c>
      <c r="F449" s="206" t="s">
        <v>736</v>
      </c>
      <c r="G449" s="207">
        <v>25648</v>
      </c>
      <c r="H449" s="206" t="s">
        <v>88</v>
      </c>
      <c r="I449" s="206" t="s">
        <v>732</v>
      </c>
      <c r="J449" s="233">
        <v>0.24806201550387597</v>
      </c>
      <c r="K449" s="233">
        <v>0.54263565891472865</v>
      </c>
      <c r="L449" s="233">
        <v>0.12403100775193798</v>
      </c>
      <c r="M449" s="233">
        <v>3.875968992248062E-2</v>
      </c>
      <c r="N449" s="233">
        <v>4.6511627906976744E-2</v>
      </c>
      <c r="O449" s="207">
        <v>5368</v>
      </c>
      <c r="P449" s="207">
        <f t="shared" si="16"/>
        <v>4888</v>
      </c>
      <c r="Q449" s="207">
        <v>3</v>
      </c>
      <c r="R449" s="207">
        <v>3</v>
      </c>
      <c r="U449" s="206">
        <v>0</v>
      </c>
      <c r="V449" s="206">
        <v>0</v>
      </c>
      <c r="W449" s="206">
        <v>1</v>
      </c>
      <c r="X449" s="206" t="e">
        <v>#DIV/0!</v>
      </c>
    </row>
    <row r="450" spans="1:24" x14ac:dyDescent="0.25">
      <c r="A450" s="206" t="str">
        <f t="shared" si="15"/>
        <v>SD12081Non-hosting Population</v>
      </c>
      <c r="B450" s="206" t="s">
        <v>158</v>
      </c>
      <c r="C450" s="206" t="s">
        <v>129</v>
      </c>
      <c r="D450" s="206" t="s">
        <v>460</v>
      </c>
      <c r="E450" s="206" t="s">
        <v>461</v>
      </c>
      <c r="F450" s="206" t="s">
        <v>736</v>
      </c>
      <c r="G450" s="207">
        <v>177476</v>
      </c>
      <c r="H450" s="206" t="s">
        <v>568</v>
      </c>
      <c r="I450" s="206" t="s">
        <v>731</v>
      </c>
      <c r="J450" s="233">
        <v>0.24806201550387597</v>
      </c>
      <c r="K450" s="233">
        <v>0.54263565891472865</v>
      </c>
      <c r="L450" s="233">
        <v>0.12403100775193798</v>
      </c>
      <c r="M450" s="233">
        <v>3.875968992248062E-2</v>
      </c>
      <c r="N450" s="233">
        <v>4.6511627906976744E-2</v>
      </c>
      <c r="O450" s="207">
        <v>15134</v>
      </c>
      <c r="P450" s="207">
        <f t="shared" si="16"/>
        <v>13782</v>
      </c>
      <c r="Q450" s="207">
        <v>3</v>
      </c>
      <c r="R450" s="207">
        <v>3</v>
      </c>
      <c r="U450" s="206">
        <v>0</v>
      </c>
      <c r="V450" s="206">
        <v>1</v>
      </c>
      <c r="W450" s="206">
        <v>1</v>
      </c>
      <c r="X450" s="206" t="e">
        <v>#DIV/0!</v>
      </c>
    </row>
    <row r="451" spans="1:24" x14ac:dyDescent="0.25">
      <c r="A451" s="206" t="str">
        <f t="shared" si="15"/>
        <v>SD12082Host Community</v>
      </c>
      <c r="B451" s="206" t="s">
        <v>158</v>
      </c>
      <c r="C451" s="206" t="s">
        <v>129</v>
      </c>
      <c r="D451" s="206" t="s">
        <v>462</v>
      </c>
      <c r="E451" s="206" t="s">
        <v>463</v>
      </c>
      <c r="F451" s="206" t="s">
        <v>736</v>
      </c>
      <c r="G451" s="207">
        <v>92865</v>
      </c>
      <c r="H451" s="206" t="s">
        <v>87</v>
      </c>
      <c r="I451" s="206" t="s">
        <v>731</v>
      </c>
      <c r="J451" s="233">
        <v>9.9173553719008267E-2</v>
      </c>
      <c r="K451" s="233">
        <v>0.43801652892561982</v>
      </c>
      <c r="L451" s="233">
        <v>0.28925619834710742</v>
      </c>
      <c r="M451" s="233">
        <v>0.15702479338842976</v>
      </c>
      <c r="N451" s="233">
        <v>1.6528925619834711E-2</v>
      </c>
      <c r="O451" s="207">
        <v>42979</v>
      </c>
      <c r="P451" s="207">
        <f t="shared" si="16"/>
        <v>39139</v>
      </c>
      <c r="Q451" s="207">
        <v>3</v>
      </c>
      <c r="R451" s="207">
        <v>3</v>
      </c>
      <c r="U451" s="206">
        <v>0</v>
      </c>
      <c r="V451" s="206">
        <v>1</v>
      </c>
      <c r="W451" s="206">
        <v>1</v>
      </c>
      <c r="X451" s="206" t="e">
        <v>#DIV/0!</v>
      </c>
    </row>
    <row r="452" spans="1:24" x14ac:dyDescent="0.25">
      <c r="A452" s="206" t="str">
        <f t="shared" si="15"/>
        <v>SD12082IDPs</v>
      </c>
      <c r="B452" s="206" t="s">
        <v>158</v>
      </c>
      <c r="C452" s="206" t="s">
        <v>129</v>
      </c>
      <c r="D452" s="206" t="s">
        <v>462</v>
      </c>
      <c r="E452" s="206" t="s">
        <v>463</v>
      </c>
      <c r="F452" s="206" t="s">
        <v>736</v>
      </c>
      <c r="G452" s="207">
        <v>97820</v>
      </c>
      <c r="H452" s="206" t="s">
        <v>88</v>
      </c>
      <c r="I452" s="206" t="s">
        <v>732</v>
      </c>
      <c r="J452" s="233">
        <v>9.9173553719008267E-2</v>
      </c>
      <c r="K452" s="233">
        <v>0.43801652892561982</v>
      </c>
      <c r="L452" s="233">
        <v>0.28925619834710742</v>
      </c>
      <c r="M452" s="233">
        <v>0.15702479338842976</v>
      </c>
      <c r="N452" s="233">
        <v>1.6528925619834711E-2</v>
      </c>
      <c r="O452" s="207">
        <v>45272</v>
      </c>
      <c r="P452" s="207">
        <f t="shared" si="16"/>
        <v>41227</v>
      </c>
      <c r="Q452" s="207">
        <v>3</v>
      </c>
      <c r="R452" s="207">
        <v>3</v>
      </c>
      <c r="U452" s="206">
        <v>0</v>
      </c>
      <c r="V452" s="206">
        <v>1</v>
      </c>
      <c r="W452" s="206">
        <v>1</v>
      </c>
      <c r="X452" s="206" t="e">
        <v>#DIV/0!</v>
      </c>
    </row>
    <row r="453" spans="1:24" x14ac:dyDescent="0.25">
      <c r="A453" s="206" t="str">
        <f t="shared" si="15"/>
        <v>SD12082Non-hosting Population</v>
      </c>
      <c r="B453" s="206" t="s">
        <v>158</v>
      </c>
      <c r="C453" s="206" t="s">
        <v>129</v>
      </c>
      <c r="D453" s="206" t="s">
        <v>462</v>
      </c>
      <c r="E453" s="206" t="s">
        <v>463</v>
      </c>
      <c r="F453" s="206" t="s">
        <v>736</v>
      </c>
      <c r="G453" s="207">
        <v>0</v>
      </c>
      <c r="H453" s="206" t="s">
        <v>568</v>
      </c>
      <c r="I453" s="206" t="s">
        <v>731</v>
      </c>
      <c r="J453" s="233">
        <v>9.9173553719008267E-2</v>
      </c>
      <c r="K453" s="233">
        <v>0.43801652892561982</v>
      </c>
      <c r="L453" s="233">
        <v>0.28925619834710742</v>
      </c>
      <c r="M453" s="233">
        <v>0.15702479338842976</v>
      </c>
      <c r="N453" s="233">
        <v>1.6528925619834711E-2</v>
      </c>
      <c r="O453" s="207">
        <v>0</v>
      </c>
      <c r="P453" s="207">
        <f t="shared" si="16"/>
        <v>0</v>
      </c>
      <c r="Q453" s="207">
        <v>3</v>
      </c>
      <c r="R453" s="207">
        <v>3</v>
      </c>
      <c r="U453" s="206" t="e">
        <v>#DIV/0!</v>
      </c>
      <c r="V453" s="206" t="e">
        <v>#DIV/0!</v>
      </c>
      <c r="W453" s="206">
        <v>1</v>
      </c>
      <c r="X453" s="206" t="e">
        <v>#DIV/0!</v>
      </c>
    </row>
    <row r="454" spans="1:24" x14ac:dyDescent="0.25">
      <c r="A454" s="206" t="str">
        <f t="shared" si="15"/>
        <v>SD12083Host Community</v>
      </c>
      <c r="B454" s="206" t="s">
        <v>158</v>
      </c>
      <c r="C454" s="206" t="s">
        <v>129</v>
      </c>
      <c r="D454" s="206" t="s">
        <v>464</v>
      </c>
      <c r="E454" s="206" t="s">
        <v>465</v>
      </c>
      <c r="F454" s="206" t="s">
        <v>736</v>
      </c>
      <c r="G454" s="207">
        <v>70923</v>
      </c>
      <c r="H454" s="206" t="s">
        <v>87</v>
      </c>
      <c r="I454" s="206" t="s">
        <v>731</v>
      </c>
      <c r="J454" s="233">
        <v>0.21551724137931033</v>
      </c>
      <c r="K454" s="233">
        <v>0.73275862068965514</v>
      </c>
      <c r="L454" s="233">
        <v>5.1724137931034482E-2</v>
      </c>
      <c r="M454" s="233">
        <v>0</v>
      </c>
      <c r="N454" s="233">
        <v>0</v>
      </c>
      <c r="O454" s="207">
        <v>3668</v>
      </c>
      <c r="P454" s="207">
        <f t="shared" si="16"/>
        <v>3340</v>
      </c>
      <c r="Q454" s="207">
        <v>2</v>
      </c>
      <c r="R454" s="207">
        <v>3</v>
      </c>
      <c r="U454" s="206">
        <v>0</v>
      </c>
      <c r="V454" s="206">
        <v>1</v>
      </c>
      <c r="W454" s="206">
        <v>1</v>
      </c>
      <c r="X454" s="206" t="e">
        <v>#DIV/0!</v>
      </c>
    </row>
    <row r="455" spans="1:24" x14ac:dyDescent="0.25">
      <c r="A455" s="206" t="str">
        <f t="shared" si="15"/>
        <v>SD12083IDPs</v>
      </c>
      <c r="B455" s="206" t="s">
        <v>158</v>
      </c>
      <c r="C455" s="206" t="s">
        <v>129</v>
      </c>
      <c r="D455" s="206" t="s">
        <v>464</v>
      </c>
      <c r="E455" s="206" t="s">
        <v>465</v>
      </c>
      <c r="F455" s="206" t="s">
        <v>736</v>
      </c>
      <c r="G455" s="207">
        <v>53565</v>
      </c>
      <c r="H455" s="206" t="s">
        <v>88</v>
      </c>
      <c r="I455" s="206" t="s">
        <v>732</v>
      </c>
      <c r="J455" s="233">
        <v>0.21551724137931033</v>
      </c>
      <c r="K455" s="233">
        <v>0.73275862068965514</v>
      </c>
      <c r="L455" s="233">
        <v>5.1724137931034482E-2</v>
      </c>
      <c r="M455" s="233">
        <v>0</v>
      </c>
      <c r="N455" s="233">
        <v>0</v>
      </c>
      <c r="O455" s="207">
        <v>2771</v>
      </c>
      <c r="P455" s="207">
        <f t="shared" si="16"/>
        <v>2523</v>
      </c>
      <c r="Q455" s="207">
        <v>2</v>
      </c>
      <c r="R455" s="207">
        <v>3</v>
      </c>
      <c r="U455" s="206">
        <v>0</v>
      </c>
      <c r="V455" s="206">
        <v>1</v>
      </c>
      <c r="W455" s="206">
        <v>1</v>
      </c>
      <c r="X455" s="206" t="e">
        <v>#DIV/0!</v>
      </c>
    </row>
    <row r="456" spans="1:24" x14ac:dyDescent="0.25">
      <c r="A456" s="206" t="str">
        <f t="shared" si="15"/>
        <v>SD12083Non-hosting Population</v>
      </c>
      <c r="B456" s="206" t="s">
        <v>158</v>
      </c>
      <c r="C456" s="206" t="s">
        <v>129</v>
      </c>
      <c r="D456" s="206" t="s">
        <v>464</v>
      </c>
      <c r="E456" s="206" t="s">
        <v>465</v>
      </c>
      <c r="F456" s="206" t="s">
        <v>736</v>
      </c>
      <c r="G456" s="207">
        <v>135437</v>
      </c>
      <c r="H456" s="206" t="s">
        <v>568</v>
      </c>
      <c r="I456" s="206" t="s">
        <v>731</v>
      </c>
      <c r="J456" s="233">
        <v>0.21551724137931033</v>
      </c>
      <c r="K456" s="233">
        <v>0.73275862068965514</v>
      </c>
      <c r="L456" s="233">
        <v>5.1724137931034482E-2</v>
      </c>
      <c r="M456" s="233">
        <v>0</v>
      </c>
      <c r="N456" s="233">
        <v>0</v>
      </c>
      <c r="O456" s="207">
        <v>0</v>
      </c>
      <c r="P456" s="207">
        <f t="shared" si="16"/>
        <v>0</v>
      </c>
      <c r="Q456" s="207">
        <v>2</v>
      </c>
      <c r="R456" s="207">
        <v>3</v>
      </c>
      <c r="U456" s="206">
        <v>0</v>
      </c>
      <c r="V456" s="206">
        <v>1</v>
      </c>
      <c r="W456" s="206">
        <v>1</v>
      </c>
      <c r="X456" s="206" t="e">
        <v>#DIV/0!</v>
      </c>
    </row>
    <row r="457" spans="1:24" x14ac:dyDescent="0.25">
      <c r="A457" s="206" t="str">
        <f t="shared" si="15"/>
        <v>SD12084Host Community</v>
      </c>
      <c r="B457" s="206" t="s">
        <v>158</v>
      </c>
      <c r="C457" s="206" t="s">
        <v>129</v>
      </c>
      <c r="D457" s="206" t="s">
        <v>466</v>
      </c>
      <c r="E457" s="206" t="s">
        <v>467</v>
      </c>
      <c r="F457" s="206" t="s">
        <v>736</v>
      </c>
      <c r="G457" s="207">
        <v>64220</v>
      </c>
      <c r="H457" s="206" t="s">
        <v>87</v>
      </c>
      <c r="I457" s="206" t="s">
        <v>731</v>
      </c>
      <c r="J457" s="233">
        <v>0.10160427807486631</v>
      </c>
      <c r="K457" s="233">
        <v>0.25133689839572193</v>
      </c>
      <c r="L457" s="233">
        <v>0.6203208556149733</v>
      </c>
      <c r="M457" s="233">
        <v>2.1390374331550801E-2</v>
      </c>
      <c r="N457" s="233">
        <v>5.3475935828877002E-3</v>
      </c>
      <c r="O457" s="207">
        <v>41554</v>
      </c>
      <c r="P457" s="207">
        <f t="shared" si="16"/>
        <v>37841</v>
      </c>
      <c r="Q457" s="207">
        <v>3</v>
      </c>
      <c r="R457" s="207">
        <v>3</v>
      </c>
      <c r="U457" s="206">
        <v>0</v>
      </c>
      <c r="V457" s="206">
        <v>1</v>
      </c>
      <c r="W457" s="206">
        <v>1</v>
      </c>
      <c r="X457" s="206" t="e">
        <v>#DIV/0!</v>
      </c>
    </row>
    <row r="458" spans="1:24" x14ac:dyDescent="0.25">
      <c r="A458" s="206" t="str">
        <f t="shared" si="15"/>
        <v>SD12084IDPs</v>
      </c>
      <c r="B458" s="206" t="s">
        <v>158</v>
      </c>
      <c r="C458" s="206" t="s">
        <v>129</v>
      </c>
      <c r="D458" s="206" t="s">
        <v>466</v>
      </c>
      <c r="E458" s="206" t="s">
        <v>467</v>
      </c>
      <c r="F458" s="206" t="s">
        <v>736</v>
      </c>
      <c r="G458" s="207">
        <v>64220</v>
      </c>
      <c r="H458" s="206" t="s">
        <v>88</v>
      </c>
      <c r="I458" s="206" t="s">
        <v>732</v>
      </c>
      <c r="J458" s="233">
        <v>0.10160427807486631</v>
      </c>
      <c r="K458" s="233">
        <v>0.25133689839572193</v>
      </c>
      <c r="L458" s="233">
        <v>0.6203208556149733</v>
      </c>
      <c r="M458" s="233">
        <v>2.1390374331550801E-2</v>
      </c>
      <c r="N458" s="233">
        <v>5.3475935828877002E-3</v>
      </c>
      <c r="O458" s="207">
        <v>41554</v>
      </c>
      <c r="P458" s="207">
        <f t="shared" si="16"/>
        <v>37841</v>
      </c>
      <c r="Q458" s="207">
        <v>3</v>
      </c>
      <c r="R458" s="207">
        <v>3</v>
      </c>
      <c r="U458" s="206">
        <v>0</v>
      </c>
      <c r="V458" s="206">
        <v>1</v>
      </c>
      <c r="W458" s="206">
        <v>0</v>
      </c>
      <c r="X458" s="206" t="e">
        <v>#DIV/0!</v>
      </c>
    </row>
    <row r="459" spans="1:24" x14ac:dyDescent="0.25">
      <c r="A459" s="206" t="str">
        <f t="shared" ref="A459:A522" si="17">CONCATENATE(E459,H459)</f>
        <v>SD12084Non-hosting Population</v>
      </c>
      <c r="B459" s="206" t="s">
        <v>158</v>
      </c>
      <c r="C459" s="206" t="s">
        <v>129</v>
      </c>
      <c r="D459" s="206" t="s">
        <v>466</v>
      </c>
      <c r="E459" s="206" t="s">
        <v>467</v>
      </c>
      <c r="F459" s="206" t="s">
        <v>736</v>
      </c>
      <c r="G459" s="207">
        <v>203193</v>
      </c>
      <c r="H459" s="206" t="s">
        <v>568</v>
      </c>
      <c r="I459" s="206" t="s">
        <v>731</v>
      </c>
      <c r="J459" s="233">
        <v>0.10160427807486631</v>
      </c>
      <c r="K459" s="233">
        <v>0.25133689839572193</v>
      </c>
      <c r="L459" s="233">
        <v>0.6203208556149733</v>
      </c>
      <c r="M459" s="233">
        <v>2.1390374331550801E-2</v>
      </c>
      <c r="N459" s="233">
        <v>5.3475935828877002E-3</v>
      </c>
      <c r="O459" s="207">
        <v>5433</v>
      </c>
      <c r="P459" s="207">
        <f t="shared" ref="P459:P522" si="18">ROUND(O459*$AB$5,0)</f>
        <v>4948</v>
      </c>
      <c r="Q459" s="207">
        <v>3</v>
      </c>
      <c r="R459" s="207">
        <v>3</v>
      </c>
      <c r="U459" s="206">
        <v>0</v>
      </c>
      <c r="V459" s="206">
        <v>1</v>
      </c>
      <c r="W459" s="206">
        <v>1</v>
      </c>
      <c r="X459" s="206" t="e">
        <v>#DIV/0!</v>
      </c>
    </row>
    <row r="460" spans="1:24" x14ac:dyDescent="0.25">
      <c r="A460" s="206" t="str">
        <f t="shared" si="17"/>
        <v>SD13023Host Community</v>
      </c>
      <c r="B460" s="206" t="s">
        <v>170</v>
      </c>
      <c r="C460" s="206" t="s">
        <v>130</v>
      </c>
      <c r="D460" s="206" t="s">
        <v>468</v>
      </c>
      <c r="E460" s="206" t="s">
        <v>469</v>
      </c>
      <c r="F460" s="206" t="s">
        <v>736</v>
      </c>
      <c r="G460" s="207">
        <v>42517</v>
      </c>
      <c r="H460" s="206" t="s">
        <v>87</v>
      </c>
      <c r="I460" s="206" t="s">
        <v>731</v>
      </c>
      <c r="J460" s="233">
        <v>0.14102564102564102</v>
      </c>
      <c r="K460" s="233">
        <v>0.27564102564102566</v>
      </c>
      <c r="L460" s="233">
        <v>0.57692307692307687</v>
      </c>
      <c r="M460" s="233">
        <v>0</v>
      </c>
      <c r="N460" s="233">
        <v>6.41025641025641E-3</v>
      </c>
      <c r="O460" s="207">
        <v>24802</v>
      </c>
      <c r="P460" s="207">
        <f t="shared" si="18"/>
        <v>22586</v>
      </c>
      <c r="Q460" s="207">
        <v>3</v>
      </c>
      <c r="R460" s="207">
        <v>3</v>
      </c>
      <c r="U460" s="206">
        <v>0</v>
      </c>
      <c r="V460" s="206">
        <v>1</v>
      </c>
      <c r="W460" s="206">
        <v>1</v>
      </c>
      <c r="X460" s="206" t="e">
        <v>#DIV/0!</v>
      </c>
    </row>
    <row r="461" spans="1:24" x14ac:dyDescent="0.25">
      <c r="A461" s="206" t="str">
        <f t="shared" si="17"/>
        <v>SD13023IDPs</v>
      </c>
      <c r="B461" s="206" t="s">
        <v>170</v>
      </c>
      <c r="C461" s="206" t="s">
        <v>130</v>
      </c>
      <c r="D461" s="206" t="s">
        <v>468</v>
      </c>
      <c r="E461" s="206" t="s">
        <v>469</v>
      </c>
      <c r="F461" s="206" t="s">
        <v>736</v>
      </c>
      <c r="G461" s="207">
        <v>41575</v>
      </c>
      <c r="H461" s="206" t="s">
        <v>88</v>
      </c>
      <c r="I461" s="206" t="s">
        <v>732</v>
      </c>
      <c r="J461" s="233">
        <v>0.14102564102564102</v>
      </c>
      <c r="K461" s="233">
        <v>0.27564102564102566</v>
      </c>
      <c r="L461" s="233">
        <v>0.57692307692307687</v>
      </c>
      <c r="M461" s="233">
        <v>0</v>
      </c>
      <c r="N461" s="233">
        <v>6.41025641025641E-3</v>
      </c>
      <c r="O461" s="207">
        <v>24252</v>
      </c>
      <c r="P461" s="207">
        <f t="shared" si="18"/>
        <v>22085</v>
      </c>
      <c r="Q461" s="207">
        <v>3</v>
      </c>
      <c r="R461" s="207">
        <v>3</v>
      </c>
      <c r="U461" s="206">
        <v>0</v>
      </c>
      <c r="V461" s="206">
        <v>1</v>
      </c>
      <c r="W461" s="206">
        <v>1</v>
      </c>
      <c r="X461" s="206" t="e">
        <v>#DIV/0!</v>
      </c>
    </row>
    <row r="462" spans="1:24" x14ac:dyDescent="0.25">
      <c r="A462" s="206" t="str">
        <f t="shared" si="17"/>
        <v>SD13023Non-hosting Population</v>
      </c>
      <c r="B462" s="206" t="s">
        <v>170</v>
      </c>
      <c r="C462" s="206" t="s">
        <v>130</v>
      </c>
      <c r="D462" s="206" t="s">
        <v>468</v>
      </c>
      <c r="E462" s="206" t="s">
        <v>469</v>
      </c>
      <c r="F462" s="206" t="s">
        <v>736</v>
      </c>
      <c r="G462" s="207">
        <v>521374</v>
      </c>
      <c r="H462" s="206" t="s">
        <v>568</v>
      </c>
      <c r="I462" s="206" t="s">
        <v>731</v>
      </c>
      <c r="J462" s="233">
        <v>0.14102564102564102</v>
      </c>
      <c r="K462" s="233">
        <v>0.27564102564102566</v>
      </c>
      <c r="L462" s="233">
        <v>0.57692307692307687</v>
      </c>
      <c r="M462" s="233">
        <v>0</v>
      </c>
      <c r="N462" s="233">
        <v>6.41025641025641E-3</v>
      </c>
      <c r="O462" s="207">
        <v>3342</v>
      </c>
      <c r="P462" s="207">
        <f t="shared" si="18"/>
        <v>3043</v>
      </c>
      <c r="Q462" s="207">
        <v>3</v>
      </c>
      <c r="R462" s="207">
        <v>3</v>
      </c>
      <c r="U462" s="206">
        <v>0</v>
      </c>
      <c r="V462" s="206">
        <v>1</v>
      </c>
      <c r="W462" s="206">
        <v>1</v>
      </c>
      <c r="X462" s="206" t="e">
        <v>#DIV/0!</v>
      </c>
    </row>
    <row r="463" spans="1:24" x14ac:dyDescent="0.25">
      <c r="A463" s="206" t="str">
        <f t="shared" si="17"/>
        <v>SD13024Host Community</v>
      </c>
      <c r="B463" s="206" t="s">
        <v>170</v>
      </c>
      <c r="C463" s="206" t="s">
        <v>130</v>
      </c>
      <c r="D463" s="206" t="s">
        <v>470</v>
      </c>
      <c r="E463" s="206" t="s">
        <v>471</v>
      </c>
      <c r="F463" s="206" t="s">
        <v>736</v>
      </c>
      <c r="G463" s="207">
        <v>56621</v>
      </c>
      <c r="H463" s="206" t="s">
        <v>87</v>
      </c>
      <c r="I463" s="206" t="s">
        <v>731</v>
      </c>
      <c r="J463" s="233">
        <v>9.0322580645161285E-2</v>
      </c>
      <c r="K463" s="233">
        <v>0.40645161290322579</v>
      </c>
      <c r="L463" s="233">
        <v>0.3935483870967742</v>
      </c>
      <c r="M463" s="233">
        <v>0.1032258064516129</v>
      </c>
      <c r="N463" s="233">
        <v>6.4516129032258064E-3</v>
      </c>
      <c r="O463" s="207">
        <v>28493</v>
      </c>
      <c r="P463" s="207">
        <f t="shared" si="18"/>
        <v>25947</v>
      </c>
      <c r="Q463" s="207">
        <v>3</v>
      </c>
      <c r="R463" s="207">
        <v>3</v>
      </c>
      <c r="U463" s="206">
        <v>0</v>
      </c>
      <c r="V463" s="206">
        <v>1</v>
      </c>
      <c r="W463" s="206">
        <v>1</v>
      </c>
      <c r="X463" s="206" t="e">
        <v>#DIV/0!</v>
      </c>
    </row>
    <row r="464" spans="1:24" x14ac:dyDescent="0.25">
      <c r="A464" s="206" t="str">
        <f t="shared" si="17"/>
        <v>SD13024IDPs</v>
      </c>
      <c r="B464" s="206" t="s">
        <v>170</v>
      </c>
      <c r="C464" s="206" t="s">
        <v>130</v>
      </c>
      <c r="D464" s="206" t="s">
        <v>470</v>
      </c>
      <c r="E464" s="206" t="s">
        <v>471</v>
      </c>
      <c r="F464" s="206" t="s">
        <v>736</v>
      </c>
      <c r="G464" s="207">
        <v>45562</v>
      </c>
      <c r="H464" s="206" t="s">
        <v>88</v>
      </c>
      <c r="I464" s="206" t="s">
        <v>732</v>
      </c>
      <c r="J464" s="233">
        <v>9.0322580645161285E-2</v>
      </c>
      <c r="K464" s="233">
        <v>0.40645161290322579</v>
      </c>
      <c r="L464" s="233">
        <v>0.3935483870967742</v>
      </c>
      <c r="M464" s="233">
        <v>0.1032258064516129</v>
      </c>
      <c r="N464" s="233">
        <v>6.4516129032258064E-3</v>
      </c>
      <c r="O464" s="207">
        <v>22928</v>
      </c>
      <c r="P464" s="207">
        <f t="shared" si="18"/>
        <v>20879</v>
      </c>
      <c r="Q464" s="207">
        <v>3</v>
      </c>
      <c r="R464" s="207">
        <v>3</v>
      </c>
      <c r="U464" s="206">
        <v>0</v>
      </c>
      <c r="V464" s="206">
        <v>1</v>
      </c>
      <c r="W464" s="206">
        <v>1</v>
      </c>
      <c r="X464" s="206" t="e">
        <v>#DIV/0!</v>
      </c>
    </row>
    <row r="465" spans="1:24" x14ac:dyDescent="0.25">
      <c r="A465" s="206" t="str">
        <f t="shared" si="17"/>
        <v>SD13024Non-hosting Population</v>
      </c>
      <c r="B465" s="206" t="s">
        <v>170</v>
      </c>
      <c r="C465" s="206" t="s">
        <v>130</v>
      </c>
      <c r="D465" s="206" t="s">
        <v>470</v>
      </c>
      <c r="E465" s="206" t="s">
        <v>471</v>
      </c>
      <c r="F465" s="206" t="s">
        <v>736</v>
      </c>
      <c r="G465" s="207">
        <v>782222</v>
      </c>
      <c r="H465" s="206" t="s">
        <v>568</v>
      </c>
      <c r="I465" s="206" t="s">
        <v>731</v>
      </c>
      <c r="J465" s="233">
        <v>9.0322580645161285E-2</v>
      </c>
      <c r="K465" s="233">
        <v>0.40645161290322579</v>
      </c>
      <c r="L465" s="233">
        <v>0.3935483870967742</v>
      </c>
      <c r="M465" s="233">
        <v>0.1032258064516129</v>
      </c>
      <c r="N465" s="233">
        <v>6.4516129032258064E-3</v>
      </c>
      <c r="O465" s="207">
        <v>85792</v>
      </c>
      <c r="P465" s="207">
        <f t="shared" si="18"/>
        <v>78126</v>
      </c>
      <c r="Q465" s="207">
        <v>3</v>
      </c>
      <c r="R465" s="207">
        <v>3</v>
      </c>
      <c r="U465" s="206">
        <v>0</v>
      </c>
      <c r="V465" s="206">
        <v>1</v>
      </c>
      <c r="W465" s="206">
        <v>1</v>
      </c>
      <c r="X465" s="206" t="e">
        <v>#DIV/0!</v>
      </c>
    </row>
    <row r="466" spans="1:24" x14ac:dyDescent="0.25">
      <c r="A466" s="206" t="str">
        <f t="shared" si="17"/>
        <v>SD13025Host Community</v>
      </c>
      <c r="B466" s="206" t="s">
        <v>170</v>
      </c>
      <c r="C466" s="206" t="s">
        <v>130</v>
      </c>
      <c r="D466" s="206" t="s">
        <v>472</v>
      </c>
      <c r="E466" s="206" t="s">
        <v>473</v>
      </c>
      <c r="F466" s="206" t="s">
        <v>736</v>
      </c>
      <c r="G466" s="207">
        <v>3968</v>
      </c>
      <c r="H466" s="206" t="s">
        <v>87</v>
      </c>
      <c r="I466" s="206" t="s">
        <v>731</v>
      </c>
      <c r="J466" s="233">
        <v>0.20212765957446807</v>
      </c>
      <c r="K466" s="233">
        <v>0.35106382978723405</v>
      </c>
      <c r="L466" s="233">
        <v>0.44680851063829785</v>
      </c>
      <c r="M466" s="233">
        <v>0</v>
      </c>
      <c r="N466" s="233">
        <v>0</v>
      </c>
      <c r="O466" s="207">
        <v>1773</v>
      </c>
      <c r="P466" s="207">
        <f t="shared" si="18"/>
        <v>1615</v>
      </c>
      <c r="Q466" s="207">
        <v>3</v>
      </c>
      <c r="R466" s="207">
        <v>3</v>
      </c>
      <c r="U466" s="206">
        <v>0</v>
      </c>
      <c r="V466" s="206">
        <v>0</v>
      </c>
      <c r="W466" s="206">
        <v>1</v>
      </c>
      <c r="X466" s="206" t="e">
        <v>#DIV/0!</v>
      </c>
    </row>
    <row r="467" spans="1:24" x14ac:dyDescent="0.25">
      <c r="A467" s="206" t="str">
        <f t="shared" si="17"/>
        <v>SD13025IDPs</v>
      </c>
      <c r="B467" s="206" t="s">
        <v>170</v>
      </c>
      <c r="C467" s="206" t="s">
        <v>130</v>
      </c>
      <c r="D467" s="206" t="s">
        <v>472</v>
      </c>
      <c r="E467" s="206" t="s">
        <v>473</v>
      </c>
      <c r="F467" s="206" t="s">
        <v>736</v>
      </c>
      <c r="G467" s="207">
        <v>3968</v>
      </c>
      <c r="H467" s="206" t="s">
        <v>88</v>
      </c>
      <c r="I467" s="206" t="s">
        <v>732</v>
      </c>
      <c r="J467" s="233">
        <v>0.20212765957446807</v>
      </c>
      <c r="K467" s="233">
        <v>0.35106382978723405</v>
      </c>
      <c r="L467" s="233">
        <v>0.44680851063829785</v>
      </c>
      <c r="M467" s="233">
        <v>0</v>
      </c>
      <c r="N467" s="233">
        <v>0</v>
      </c>
      <c r="O467" s="207">
        <v>1773</v>
      </c>
      <c r="P467" s="207">
        <f t="shared" si="18"/>
        <v>1615</v>
      </c>
      <c r="Q467" s="207">
        <v>3</v>
      </c>
      <c r="R467" s="207">
        <v>3</v>
      </c>
      <c r="U467" s="206">
        <v>0</v>
      </c>
      <c r="V467" s="206">
        <v>1</v>
      </c>
      <c r="W467" s="206">
        <v>1</v>
      </c>
      <c r="X467" s="206" t="e">
        <v>#DIV/0!</v>
      </c>
    </row>
    <row r="468" spans="1:24" x14ac:dyDescent="0.25">
      <c r="A468" s="206" t="str">
        <f t="shared" si="17"/>
        <v>SD13025Non-hosting Population</v>
      </c>
      <c r="B468" s="206" t="s">
        <v>170</v>
      </c>
      <c r="C468" s="206" t="s">
        <v>130</v>
      </c>
      <c r="D468" s="206" t="s">
        <v>472</v>
      </c>
      <c r="E468" s="206" t="s">
        <v>473</v>
      </c>
      <c r="F468" s="206" t="s">
        <v>736</v>
      </c>
      <c r="G468" s="207">
        <v>418610</v>
      </c>
      <c r="H468" s="206" t="s">
        <v>568</v>
      </c>
      <c r="I468" s="206" t="s">
        <v>731</v>
      </c>
      <c r="J468" s="233">
        <v>0.20212765957446807</v>
      </c>
      <c r="K468" s="233">
        <v>0.35106382978723405</v>
      </c>
      <c r="L468" s="233">
        <v>0.44680851063829785</v>
      </c>
      <c r="M468" s="233">
        <v>0</v>
      </c>
      <c r="N468" s="233">
        <v>0</v>
      </c>
      <c r="O468" s="207">
        <v>0</v>
      </c>
      <c r="P468" s="207">
        <f t="shared" si="18"/>
        <v>0</v>
      </c>
      <c r="Q468" s="207">
        <v>3</v>
      </c>
      <c r="R468" s="207">
        <v>3</v>
      </c>
      <c r="U468" s="206">
        <v>0</v>
      </c>
      <c r="V468" s="206">
        <v>0</v>
      </c>
      <c r="W468" s="206">
        <v>1</v>
      </c>
      <c r="X468" s="206" t="e">
        <v>#DIV/0!</v>
      </c>
    </row>
    <row r="469" spans="1:24" x14ac:dyDescent="0.25">
      <c r="A469" s="206" t="str">
        <f t="shared" si="17"/>
        <v>SD13026Host Community</v>
      </c>
      <c r="B469" s="206" t="s">
        <v>170</v>
      </c>
      <c r="C469" s="206" t="s">
        <v>130</v>
      </c>
      <c r="D469" s="206" t="s">
        <v>474</v>
      </c>
      <c r="E469" s="206" t="s">
        <v>475</v>
      </c>
      <c r="F469" s="206" t="s">
        <v>736</v>
      </c>
      <c r="G469" s="207">
        <v>33815</v>
      </c>
      <c r="H469" s="206" t="s">
        <v>87</v>
      </c>
      <c r="I469" s="206" t="s">
        <v>731</v>
      </c>
      <c r="J469" s="233">
        <v>5.6737588652482268E-2</v>
      </c>
      <c r="K469" s="233">
        <v>0.43971631205673761</v>
      </c>
      <c r="L469" s="233">
        <v>0.48936170212765956</v>
      </c>
      <c r="M469" s="233">
        <v>1.4184397163120567E-2</v>
      </c>
      <c r="N469" s="233">
        <v>0</v>
      </c>
      <c r="O469" s="207">
        <v>17027</v>
      </c>
      <c r="P469" s="207">
        <f t="shared" si="18"/>
        <v>15506</v>
      </c>
      <c r="Q469" s="207">
        <v>3</v>
      </c>
      <c r="R469" s="207">
        <v>3</v>
      </c>
      <c r="U469" s="206">
        <v>0</v>
      </c>
      <c r="V469" s="206">
        <v>1</v>
      </c>
      <c r="W469" s="206">
        <v>1</v>
      </c>
      <c r="X469" s="206" t="e">
        <v>#DIV/0!</v>
      </c>
    </row>
    <row r="470" spans="1:24" x14ac:dyDescent="0.25">
      <c r="A470" s="206" t="str">
        <f t="shared" si="17"/>
        <v>SD13026IDPs</v>
      </c>
      <c r="B470" s="206" t="s">
        <v>170</v>
      </c>
      <c r="C470" s="206" t="s">
        <v>130</v>
      </c>
      <c r="D470" s="206" t="s">
        <v>474</v>
      </c>
      <c r="E470" s="206" t="s">
        <v>475</v>
      </c>
      <c r="F470" s="206" t="s">
        <v>736</v>
      </c>
      <c r="G470" s="207">
        <v>32914</v>
      </c>
      <c r="H470" s="206" t="s">
        <v>88</v>
      </c>
      <c r="I470" s="206" t="s">
        <v>732</v>
      </c>
      <c r="J470" s="233">
        <v>5.6737588652482268E-2</v>
      </c>
      <c r="K470" s="233">
        <v>0.43971631205673761</v>
      </c>
      <c r="L470" s="233">
        <v>0.48936170212765956</v>
      </c>
      <c r="M470" s="233">
        <v>1.4184397163120567E-2</v>
      </c>
      <c r="N470" s="233">
        <v>0</v>
      </c>
      <c r="O470" s="207">
        <v>16574</v>
      </c>
      <c r="P470" s="207">
        <f t="shared" si="18"/>
        <v>15093</v>
      </c>
      <c r="Q470" s="207">
        <v>3</v>
      </c>
      <c r="R470" s="207">
        <v>3</v>
      </c>
      <c r="U470" s="206">
        <v>0</v>
      </c>
      <c r="V470" s="206">
        <v>1</v>
      </c>
      <c r="W470" s="206">
        <v>1</v>
      </c>
      <c r="X470" s="206" t="e">
        <v>#DIV/0!</v>
      </c>
    </row>
    <row r="471" spans="1:24" x14ac:dyDescent="0.25">
      <c r="A471" s="206" t="str">
        <f t="shared" si="17"/>
        <v>SD13026Non-hosting Population</v>
      </c>
      <c r="B471" s="206" t="s">
        <v>170</v>
      </c>
      <c r="C471" s="206" t="s">
        <v>130</v>
      </c>
      <c r="D471" s="206" t="s">
        <v>474</v>
      </c>
      <c r="E471" s="206" t="s">
        <v>475</v>
      </c>
      <c r="F471" s="206" t="s">
        <v>736</v>
      </c>
      <c r="G471" s="207">
        <v>270876</v>
      </c>
      <c r="H471" s="206" t="s">
        <v>568</v>
      </c>
      <c r="I471" s="206" t="s">
        <v>731</v>
      </c>
      <c r="J471" s="233">
        <v>5.6737588652482268E-2</v>
      </c>
      <c r="K471" s="233">
        <v>0.43971631205673761</v>
      </c>
      <c r="L471" s="233">
        <v>0.48936170212765956</v>
      </c>
      <c r="M471" s="233">
        <v>1.4184397163120567E-2</v>
      </c>
      <c r="N471" s="233">
        <v>0</v>
      </c>
      <c r="O471" s="207">
        <v>3842</v>
      </c>
      <c r="P471" s="207">
        <f t="shared" si="18"/>
        <v>3499</v>
      </c>
      <c r="Q471" s="207">
        <v>3</v>
      </c>
      <c r="R471" s="207">
        <v>3</v>
      </c>
      <c r="U471" s="206">
        <v>0</v>
      </c>
      <c r="V471" s="206">
        <v>1</v>
      </c>
      <c r="W471" s="206">
        <v>1</v>
      </c>
      <c r="X471" s="206" t="e">
        <v>#DIV/0!</v>
      </c>
    </row>
    <row r="472" spans="1:24" x14ac:dyDescent="0.25">
      <c r="A472" s="206" t="str">
        <f t="shared" si="17"/>
        <v>SD13027Host Community</v>
      </c>
      <c r="B472" s="206" t="s">
        <v>170</v>
      </c>
      <c r="C472" s="206" t="s">
        <v>130</v>
      </c>
      <c r="D472" s="206" t="s">
        <v>476</v>
      </c>
      <c r="E472" s="206" t="s">
        <v>477</v>
      </c>
      <c r="F472" s="206" t="s">
        <v>736</v>
      </c>
      <c r="G472" s="207">
        <v>7373</v>
      </c>
      <c r="H472" s="206" t="s">
        <v>87</v>
      </c>
      <c r="I472" s="206" t="s">
        <v>731</v>
      </c>
      <c r="J472" s="233">
        <v>3.5211267605633804E-2</v>
      </c>
      <c r="K472" s="233">
        <v>0.28873239436619719</v>
      </c>
      <c r="L472" s="233">
        <v>0.676056338028169</v>
      </c>
      <c r="M472" s="233">
        <v>0</v>
      </c>
      <c r="N472" s="233">
        <v>0</v>
      </c>
      <c r="O472" s="207">
        <v>4985</v>
      </c>
      <c r="P472" s="207">
        <f t="shared" si="18"/>
        <v>4540</v>
      </c>
      <c r="Q472" s="207">
        <v>3</v>
      </c>
      <c r="R472" s="207">
        <v>3</v>
      </c>
      <c r="U472" s="206">
        <v>0</v>
      </c>
      <c r="V472" s="206">
        <v>1</v>
      </c>
      <c r="W472" s="206">
        <v>1</v>
      </c>
      <c r="X472" s="206" t="e">
        <v>#DIV/0!</v>
      </c>
    </row>
    <row r="473" spans="1:24" x14ac:dyDescent="0.25">
      <c r="A473" s="206" t="str">
        <f t="shared" si="17"/>
        <v>SD13027IDPs</v>
      </c>
      <c r="B473" s="206" t="s">
        <v>170</v>
      </c>
      <c r="C473" s="206" t="s">
        <v>130</v>
      </c>
      <c r="D473" s="206" t="s">
        <v>476</v>
      </c>
      <c r="E473" s="206" t="s">
        <v>477</v>
      </c>
      <c r="F473" s="206" t="s">
        <v>736</v>
      </c>
      <c r="G473" s="207">
        <v>7418</v>
      </c>
      <c r="H473" s="206" t="s">
        <v>88</v>
      </c>
      <c r="I473" s="206" t="s">
        <v>732</v>
      </c>
      <c r="J473" s="233">
        <v>3.5211267605633804E-2</v>
      </c>
      <c r="K473" s="233">
        <v>0.28873239436619719</v>
      </c>
      <c r="L473" s="233">
        <v>0.676056338028169</v>
      </c>
      <c r="M473" s="233">
        <v>0</v>
      </c>
      <c r="N473" s="233">
        <v>0</v>
      </c>
      <c r="O473" s="207">
        <v>5015</v>
      </c>
      <c r="P473" s="207">
        <f t="shared" si="18"/>
        <v>4567</v>
      </c>
      <c r="Q473" s="207">
        <v>3</v>
      </c>
      <c r="R473" s="207">
        <v>3</v>
      </c>
      <c r="U473" s="206">
        <v>0</v>
      </c>
      <c r="V473" s="206">
        <v>1</v>
      </c>
      <c r="W473" s="206">
        <v>1</v>
      </c>
      <c r="X473" s="206" t="e">
        <v>#DIV/0!</v>
      </c>
    </row>
    <row r="474" spans="1:24" x14ac:dyDescent="0.25">
      <c r="A474" s="206" t="str">
        <f t="shared" si="17"/>
        <v>SD13027Non-hosting Population</v>
      </c>
      <c r="B474" s="206" t="s">
        <v>170</v>
      </c>
      <c r="C474" s="206" t="s">
        <v>130</v>
      </c>
      <c r="D474" s="206" t="s">
        <v>476</v>
      </c>
      <c r="E474" s="206" t="s">
        <v>477</v>
      </c>
      <c r="F474" s="206" t="s">
        <v>736</v>
      </c>
      <c r="G474" s="207">
        <v>342808</v>
      </c>
      <c r="H474" s="206" t="s">
        <v>568</v>
      </c>
      <c r="I474" s="206" t="s">
        <v>731</v>
      </c>
      <c r="J474" s="233">
        <v>3.5211267605633804E-2</v>
      </c>
      <c r="K474" s="233">
        <v>0.28873239436619719</v>
      </c>
      <c r="L474" s="233">
        <v>0.676056338028169</v>
      </c>
      <c r="M474" s="233">
        <v>0</v>
      </c>
      <c r="N474" s="233">
        <v>0</v>
      </c>
      <c r="O474" s="207">
        <v>0</v>
      </c>
      <c r="P474" s="207">
        <f t="shared" si="18"/>
        <v>0</v>
      </c>
      <c r="Q474" s="207">
        <v>3</v>
      </c>
      <c r="R474" s="207">
        <v>3</v>
      </c>
      <c r="U474" s="206">
        <v>0</v>
      </c>
      <c r="V474" s="206">
        <v>1</v>
      </c>
      <c r="W474" s="206">
        <v>1</v>
      </c>
      <c r="X474" s="206" t="e">
        <v>#DIV/0!</v>
      </c>
    </row>
    <row r="475" spans="1:24" x14ac:dyDescent="0.25">
      <c r="A475" s="206" t="str">
        <f t="shared" si="17"/>
        <v>SD13028Host Community</v>
      </c>
      <c r="B475" s="206" t="s">
        <v>170</v>
      </c>
      <c r="C475" s="206" t="s">
        <v>130</v>
      </c>
      <c r="D475" s="206" t="s">
        <v>478</v>
      </c>
      <c r="E475" s="206" t="s">
        <v>479</v>
      </c>
      <c r="F475" s="206" t="s">
        <v>736</v>
      </c>
      <c r="G475" s="207">
        <v>15156</v>
      </c>
      <c r="H475" s="206" t="s">
        <v>87</v>
      </c>
      <c r="I475" s="206" t="s">
        <v>731</v>
      </c>
      <c r="J475" s="233">
        <v>6.3380281690140844E-2</v>
      </c>
      <c r="K475" s="233">
        <v>0.61971830985915488</v>
      </c>
      <c r="L475" s="233">
        <v>0.30281690140845069</v>
      </c>
      <c r="M475" s="233">
        <v>7.0422535211267607E-3</v>
      </c>
      <c r="N475" s="233">
        <v>7.0422535211267607E-3</v>
      </c>
      <c r="O475" s="207">
        <v>4803</v>
      </c>
      <c r="P475" s="207">
        <f t="shared" si="18"/>
        <v>4374</v>
      </c>
      <c r="Q475" s="207">
        <v>3</v>
      </c>
      <c r="R475" s="207">
        <v>3</v>
      </c>
      <c r="U475" s="206">
        <v>0</v>
      </c>
      <c r="V475" s="206">
        <v>0</v>
      </c>
      <c r="W475" s="206">
        <v>1</v>
      </c>
      <c r="X475" s="206" t="e">
        <v>#DIV/0!</v>
      </c>
    </row>
    <row r="476" spans="1:24" x14ac:dyDescent="0.25">
      <c r="A476" s="206" t="str">
        <f t="shared" si="17"/>
        <v>SD13028IDPs</v>
      </c>
      <c r="B476" s="206" t="s">
        <v>170</v>
      </c>
      <c r="C476" s="206" t="s">
        <v>130</v>
      </c>
      <c r="D476" s="206" t="s">
        <v>478</v>
      </c>
      <c r="E476" s="206" t="s">
        <v>479</v>
      </c>
      <c r="F476" s="206" t="s">
        <v>736</v>
      </c>
      <c r="G476" s="207">
        <v>15156</v>
      </c>
      <c r="H476" s="206" t="s">
        <v>88</v>
      </c>
      <c r="I476" s="206" t="s">
        <v>732</v>
      </c>
      <c r="J476" s="233">
        <v>6.3380281690140844E-2</v>
      </c>
      <c r="K476" s="233">
        <v>0.61971830985915488</v>
      </c>
      <c r="L476" s="233">
        <v>0.30281690140845069</v>
      </c>
      <c r="M476" s="233">
        <v>7.0422535211267607E-3</v>
      </c>
      <c r="N476" s="233">
        <v>7.0422535211267607E-3</v>
      </c>
      <c r="O476" s="207">
        <v>4803</v>
      </c>
      <c r="P476" s="207">
        <f t="shared" si="18"/>
        <v>4374</v>
      </c>
      <c r="Q476" s="207">
        <v>3</v>
      </c>
      <c r="R476" s="207">
        <v>3</v>
      </c>
      <c r="U476" s="206">
        <v>0</v>
      </c>
      <c r="V476" s="206">
        <v>0</v>
      </c>
      <c r="W476" s="206">
        <v>1</v>
      </c>
      <c r="X476" s="206" t="e">
        <v>#DIV/0!</v>
      </c>
    </row>
    <row r="477" spans="1:24" x14ac:dyDescent="0.25">
      <c r="A477" s="206" t="str">
        <f t="shared" si="17"/>
        <v>SD13028Non-hosting Population</v>
      </c>
      <c r="B477" s="206" t="s">
        <v>170</v>
      </c>
      <c r="C477" s="206" t="s">
        <v>130</v>
      </c>
      <c r="D477" s="206" t="s">
        <v>478</v>
      </c>
      <c r="E477" s="206" t="s">
        <v>479</v>
      </c>
      <c r="F477" s="206" t="s">
        <v>736</v>
      </c>
      <c r="G477" s="207">
        <v>209716</v>
      </c>
      <c r="H477" s="206" t="s">
        <v>568</v>
      </c>
      <c r="I477" s="206" t="s">
        <v>731</v>
      </c>
      <c r="J477" s="233">
        <v>6.3380281690140844E-2</v>
      </c>
      <c r="K477" s="233">
        <v>0.61971830985915488</v>
      </c>
      <c r="L477" s="233">
        <v>0.30281690140845069</v>
      </c>
      <c r="M477" s="233">
        <v>7.0422535211267607E-3</v>
      </c>
      <c r="N477" s="233">
        <v>7.0422535211267607E-3</v>
      </c>
      <c r="O477" s="207">
        <v>2954</v>
      </c>
      <c r="P477" s="207">
        <f t="shared" si="18"/>
        <v>2690</v>
      </c>
      <c r="Q477" s="207">
        <v>3</v>
      </c>
      <c r="R477" s="207">
        <v>3</v>
      </c>
      <c r="U477" s="206">
        <v>0</v>
      </c>
      <c r="V477" s="206">
        <v>0</v>
      </c>
      <c r="W477" s="206">
        <v>1</v>
      </c>
      <c r="X477" s="206" t="e">
        <v>#DIV/0!</v>
      </c>
    </row>
    <row r="478" spans="1:24" x14ac:dyDescent="0.25">
      <c r="A478" s="206" t="str">
        <f t="shared" si="17"/>
        <v>SD13029Host Community</v>
      </c>
      <c r="B478" s="206" t="s">
        <v>170</v>
      </c>
      <c r="C478" s="206" t="s">
        <v>130</v>
      </c>
      <c r="D478" s="206" t="s">
        <v>480</v>
      </c>
      <c r="E478" s="206" t="s">
        <v>481</v>
      </c>
      <c r="F478" s="206" t="s">
        <v>736</v>
      </c>
      <c r="G478" s="207">
        <v>8036</v>
      </c>
      <c r="H478" s="206" t="s">
        <v>87</v>
      </c>
      <c r="I478" s="206" t="s">
        <v>731</v>
      </c>
      <c r="J478" s="233">
        <v>3.4013605442176874E-2</v>
      </c>
      <c r="K478" s="233">
        <v>0.62585034013605445</v>
      </c>
      <c r="L478" s="233">
        <v>0.31292517006802723</v>
      </c>
      <c r="M478" s="233">
        <v>1.3605442176870748E-2</v>
      </c>
      <c r="N478" s="233">
        <v>1.3605442176870748E-2</v>
      </c>
      <c r="O478" s="207">
        <v>2733</v>
      </c>
      <c r="P478" s="207">
        <f t="shared" si="18"/>
        <v>2489</v>
      </c>
      <c r="Q478" s="207">
        <v>3</v>
      </c>
      <c r="R478" s="207">
        <v>3</v>
      </c>
      <c r="U478" s="206">
        <v>0</v>
      </c>
      <c r="V478" s="206">
        <v>1</v>
      </c>
      <c r="W478" s="206">
        <v>1</v>
      </c>
      <c r="X478" s="206" t="e">
        <v>#DIV/0!</v>
      </c>
    </row>
    <row r="479" spans="1:24" x14ac:dyDescent="0.25">
      <c r="A479" s="206" t="str">
        <f t="shared" si="17"/>
        <v>SD13029IDPs</v>
      </c>
      <c r="B479" s="206" t="s">
        <v>170</v>
      </c>
      <c r="C479" s="206" t="s">
        <v>130</v>
      </c>
      <c r="D479" s="206" t="s">
        <v>480</v>
      </c>
      <c r="E479" s="206" t="s">
        <v>481</v>
      </c>
      <c r="F479" s="206" t="s">
        <v>736</v>
      </c>
      <c r="G479" s="207">
        <v>8097</v>
      </c>
      <c r="H479" s="206" t="s">
        <v>88</v>
      </c>
      <c r="I479" s="206" t="s">
        <v>732</v>
      </c>
      <c r="J479" s="233">
        <v>3.4013605442176874E-2</v>
      </c>
      <c r="K479" s="233">
        <v>0.62585034013605445</v>
      </c>
      <c r="L479" s="233">
        <v>0.31292517006802723</v>
      </c>
      <c r="M479" s="233">
        <v>1.3605442176870748E-2</v>
      </c>
      <c r="N479" s="233">
        <v>1.3605442176870748E-2</v>
      </c>
      <c r="O479" s="207">
        <v>2754</v>
      </c>
      <c r="P479" s="207">
        <f t="shared" si="18"/>
        <v>2508</v>
      </c>
      <c r="Q479" s="207">
        <v>3</v>
      </c>
      <c r="R479" s="207">
        <v>3</v>
      </c>
      <c r="U479" s="206">
        <v>0</v>
      </c>
      <c r="V479" s="206">
        <v>1</v>
      </c>
      <c r="W479" s="206">
        <v>1</v>
      </c>
      <c r="X479" s="206" t="e">
        <v>#DIV/0!</v>
      </c>
    </row>
    <row r="480" spans="1:24" x14ac:dyDescent="0.25">
      <c r="A480" s="206" t="str">
        <f t="shared" si="17"/>
        <v>SD13029Non-hosting Population</v>
      </c>
      <c r="B480" s="206" t="s">
        <v>170</v>
      </c>
      <c r="C480" s="206" t="s">
        <v>130</v>
      </c>
      <c r="D480" s="206" t="s">
        <v>480</v>
      </c>
      <c r="E480" s="206" t="s">
        <v>481</v>
      </c>
      <c r="F480" s="206" t="s">
        <v>736</v>
      </c>
      <c r="G480" s="207">
        <v>280767</v>
      </c>
      <c r="H480" s="206" t="s">
        <v>568</v>
      </c>
      <c r="I480" s="206" t="s">
        <v>731</v>
      </c>
      <c r="J480" s="233">
        <v>3.4013605442176874E-2</v>
      </c>
      <c r="K480" s="233">
        <v>0.62585034013605445</v>
      </c>
      <c r="L480" s="233">
        <v>0.31292517006802723</v>
      </c>
      <c r="M480" s="233">
        <v>1.3605442176870748E-2</v>
      </c>
      <c r="N480" s="233">
        <v>1.3605442176870748E-2</v>
      </c>
      <c r="O480" s="207">
        <v>7640</v>
      </c>
      <c r="P480" s="207">
        <f t="shared" si="18"/>
        <v>6957</v>
      </c>
      <c r="Q480" s="207">
        <v>3</v>
      </c>
      <c r="R480" s="207">
        <v>3</v>
      </c>
      <c r="U480" s="206">
        <v>0</v>
      </c>
      <c r="V480" s="206">
        <v>1</v>
      </c>
      <c r="W480" s="206">
        <v>1</v>
      </c>
      <c r="X480" s="206" t="e">
        <v>#DIV/0!</v>
      </c>
    </row>
    <row r="481" spans="1:24" x14ac:dyDescent="0.25">
      <c r="A481" s="206" t="str">
        <f t="shared" si="17"/>
        <v>SD13030Host Community</v>
      </c>
      <c r="B481" s="206" t="s">
        <v>170</v>
      </c>
      <c r="C481" s="206" t="s">
        <v>130</v>
      </c>
      <c r="D481" s="206" t="s">
        <v>466</v>
      </c>
      <c r="E481" s="206" t="s">
        <v>482</v>
      </c>
      <c r="F481" s="206" t="s">
        <v>736</v>
      </c>
      <c r="G481" s="207">
        <v>43198</v>
      </c>
      <c r="H481" s="206" t="s">
        <v>87</v>
      </c>
      <c r="I481" s="206" t="s">
        <v>731</v>
      </c>
      <c r="J481" s="233">
        <v>0.19580419580419581</v>
      </c>
      <c r="K481" s="233">
        <v>0.34265734265734266</v>
      </c>
      <c r="L481" s="233">
        <v>0.39160839160839161</v>
      </c>
      <c r="M481" s="233">
        <v>4.195804195804196E-2</v>
      </c>
      <c r="N481" s="233">
        <v>2.7972027972027972E-2</v>
      </c>
      <c r="O481" s="207">
        <v>19938</v>
      </c>
      <c r="P481" s="207">
        <f t="shared" si="18"/>
        <v>18156</v>
      </c>
      <c r="Q481" s="207">
        <v>3</v>
      </c>
      <c r="R481" s="207">
        <v>3</v>
      </c>
      <c r="U481" s="206">
        <v>0</v>
      </c>
      <c r="V481" s="206">
        <v>1</v>
      </c>
      <c r="W481" s="206">
        <v>0</v>
      </c>
      <c r="X481" s="206" t="e">
        <v>#DIV/0!</v>
      </c>
    </row>
    <row r="482" spans="1:24" x14ac:dyDescent="0.25">
      <c r="A482" s="206" t="str">
        <f t="shared" si="17"/>
        <v>SD13030IDPs</v>
      </c>
      <c r="B482" s="206" t="s">
        <v>170</v>
      </c>
      <c r="C482" s="206" t="s">
        <v>130</v>
      </c>
      <c r="D482" s="206" t="s">
        <v>466</v>
      </c>
      <c r="E482" s="206" t="s">
        <v>482</v>
      </c>
      <c r="F482" s="206" t="s">
        <v>736</v>
      </c>
      <c r="G482" s="207">
        <v>42037</v>
      </c>
      <c r="H482" s="206" t="s">
        <v>88</v>
      </c>
      <c r="I482" s="206" t="s">
        <v>732</v>
      </c>
      <c r="J482" s="233">
        <v>0.19580419580419581</v>
      </c>
      <c r="K482" s="233">
        <v>0.34265734265734266</v>
      </c>
      <c r="L482" s="233">
        <v>0.39160839160839161</v>
      </c>
      <c r="M482" s="233">
        <v>4.195804195804196E-2</v>
      </c>
      <c r="N482" s="233">
        <v>2.7972027972027972E-2</v>
      </c>
      <c r="O482" s="207">
        <v>19402</v>
      </c>
      <c r="P482" s="207">
        <f t="shared" si="18"/>
        <v>17668</v>
      </c>
      <c r="Q482" s="207">
        <v>3</v>
      </c>
      <c r="R482" s="207">
        <v>3</v>
      </c>
      <c r="U482" s="206">
        <v>0</v>
      </c>
      <c r="V482" s="206">
        <v>0</v>
      </c>
      <c r="W482" s="206">
        <v>0</v>
      </c>
      <c r="X482" s="206" t="e">
        <v>#DIV/0!</v>
      </c>
    </row>
    <row r="483" spans="1:24" x14ac:dyDescent="0.25">
      <c r="A483" s="206" t="str">
        <f t="shared" si="17"/>
        <v>SD13030Non-hosting Population</v>
      </c>
      <c r="B483" s="206" t="s">
        <v>170</v>
      </c>
      <c r="C483" s="206" t="s">
        <v>130</v>
      </c>
      <c r="D483" s="206" t="s">
        <v>466</v>
      </c>
      <c r="E483" s="206" t="s">
        <v>482</v>
      </c>
      <c r="F483" s="206" t="s">
        <v>736</v>
      </c>
      <c r="G483" s="207">
        <v>197595</v>
      </c>
      <c r="H483" s="206" t="s">
        <v>568</v>
      </c>
      <c r="I483" s="206" t="s">
        <v>731</v>
      </c>
      <c r="J483" s="233">
        <v>0.19580419580419581</v>
      </c>
      <c r="K483" s="233">
        <v>0.34265734265734266</v>
      </c>
      <c r="L483" s="233">
        <v>0.39160839160839161</v>
      </c>
      <c r="M483" s="233">
        <v>4.195804195804196E-2</v>
      </c>
      <c r="N483" s="233">
        <v>2.7972027972027972E-2</v>
      </c>
      <c r="O483" s="207">
        <v>13818</v>
      </c>
      <c r="P483" s="207">
        <f t="shared" si="18"/>
        <v>12583</v>
      </c>
      <c r="Q483" s="207">
        <v>3</v>
      </c>
      <c r="R483" s="207">
        <v>3</v>
      </c>
      <c r="U483" s="206">
        <v>0</v>
      </c>
      <c r="V483" s="206">
        <v>1</v>
      </c>
      <c r="W483" s="206">
        <v>0</v>
      </c>
      <c r="X483" s="206" t="e">
        <v>#DIV/0!</v>
      </c>
    </row>
    <row r="484" spans="1:24" x14ac:dyDescent="0.25">
      <c r="A484" s="206" t="str">
        <f t="shared" si="17"/>
        <v>SD15036Host Community</v>
      </c>
      <c r="B484" s="206" t="s">
        <v>147</v>
      </c>
      <c r="C484" s="206" t="s">
        <v>132</v>
      </c>
      <c r="D484" s="206" t="s">
        <v>508</v>
      </c>
      <c r="E484" s="206" t="s">
        <v>509</v>
      </c>
      <c r="F484" s="206" t="s">
        <v>735</v>
      </c>
      <c r="G484" s="207">
        <v>81831</v>
      </c>
      <c r="H484" s="206" t="s">
        <v>87</v>
      </c>
      <c r="I484" s="206" t="s">
        <v>731</v>
      </c>
      <c r="J484" s="233">
        <v>7.4866310160427801E-2</v>
      </c>
      <c r="K484" s="233">
        <v>0.43315508021390375</v>
      </c>
      <c r="L484" s="233">
        <v>0.41711229946524064</v>
      </c>
      <c r="M484" s="233">
        <v>3.7433155080213901E-2</v>
      </c>
      <c r="N484" s="233">
        <v>3.7433155080213901E-2</v>
      </c>
      <c r="O484" s="207">
        <v>40259</v>
      </c>
      <c r="P484" s="207">
        <f t="shared" si="18"/>
        <v>36662</v>
      </c>
      <c r="Q484" s="207">
        <v>3</v>
      </c>
      <c r="R484" s="207">
        <v>3</v>
      </c>
      <c r="U484" s="206">
        <v>0</v>
      </c>
      <c r="V484" s="206">
        <v>1</v>
      </c>
      <c r="W484" s="206">
        <v>1</v>
      </c>
      <c r="X484" s="206" t="e">
        <v>#DIV/0!</v>
      </c>
    </row>
    <row r="485" spans="1:24" x14ac:dyDescent="0.25">
      <c r="A485" s="206" t="str">
        <f t="shared" si="17"/>
        <v>SD15036IDPs</v>
      </c>
      <c r="B485" s="206" t="s">
        <v>147</v>
      </c>
      <c r="C485" s="206" t="s">
        <v>132</v>
      </c>
      <c r="D485" s="206" t="s">
        <v>508</v>
      </c>
      <c r="E485" s="206" t="s">
        <v>509</v>
      </c>
      <c r="F485" s="206" t="s">
        <v>735</v>
      </c>
      <c r="G485" s="207">
        <v>78131</v>
      </c>
      <c r="H485" s="206" t="s">
        <v>88</v>
      </c>
      <c r="I485" s="206" t="s">
        <v>732</v>
      </c>
      <c r="J485" s="233">
        <v>7.4866310160427801E-2</v>
      </c>
      <c r="K485" s="233">
        <v>0.43315508021390375</v>
      </c>
      <c r="L485" s="233">
        <v>0.41711229946524064</v>
      </c>
      <c r="M485" s="233">
        <v>3.7433155080213901E-2</v>
      </c>
      <c r="N485" s="233">
        <v>3.7433155080213901E-2</v>
      </c>
      <c r="O485" s="207">
        <v>38439</v>
      </c>
      <c r="P485" s="207">
        <f t="shared" si="18"/>
        <v>35004</v>
      </c>
      <c r="Q485" s="207">
        <v>3</v>
      </c>
      <c r="R485" s="207">
        <v>3</v>
      </c>
      <c r="U485" s="206">
        <v>0</v>
      </c>
      <c r="V485" s="206">
        <v>1</v>
      </c>
      <c r="W485" s="206">
        <v>1</v>
      </c>
      <c r="X485" s="206" t="e">
        <v>#DIV/0!</v>
      </c>
    </row>
    <row r="486" spans="1:24" x14ac:dyDescent="0.25">
      <c r="A486" s="206" t="str">
        <f t="shared" si="17"/>
        <v>SD15036Non-hosting Population</v>
      </c>
      <c r="B486" s="206" t="s">
        <v>147</v>
      </c>
      <c r="C486" s="206" t="s">
        <v>132</v>
      </c>
      <c r="D486" s="206" t="s">
        <v>508</v>
      </c>
      <c r="E486" s="206" t="s">
        <v>509</v>
      </c>
      <c r="F486" s="206" t="s">
        <v>735</v>
      </c>
      <c r="G486" s="207">
        <v>725439</v>
      </c>
      <c r="H486" s="206" t="s">
        <v>568</v>
      </c>
      <c r="I486" s="206" t="s">
        <v>731</v>
      </c>
      <c r="J486" s="233">
        <v>7.4866310160427801E-2</v>
      </c>
      <c r="K486" s="233">
        <v>0.43315508021390375</v>
      </c>
      <c r="L486" s="233">
        <v>0.41711229946524064</v>
      </c>
      <c r="M486" s="233">
        <v>3.7433155080213901E-2</v>
      </c>
      <c r="N486" s="233">
        <v>3.7433155080213901E-2</v>
      </c>
      <c r="O486" s="207">
        <v>54311</v>
      </c>
      <c r="P486" s="207">
        <f t="shared" si="18"/>
        <v>49458</v>
      </c>
      <c r="Q486" s="207">
        <v>3</v>
      </c>
      <c r="R486" s="207">
        <v>3</v>
      </c>
      <c r="U486" s="206">
        <v>0</v>
      </c>
      <c r="V486" s="206">
        <v>1</v>
      </c>
      <c r="W486" s="206">
        <v>1</v>
      </c>
      <c r="X486" s="206" t="e">
        <v>#DIV/0!</v>
      </c>
    </row>
    <row r="487" spans="1:24" x14ac:dyDescent="0.25">
      <c r="A487" s="206" t="str">
        <f t="shared" si="17"/>
        <v>SD15037Host Community</v>
      </c>
      <c r="B487" s="206" t="s">
        <v>147</v>
      </c>
      <c r="C487" s="206" t="s">
        <v>132</v>
      </c>
      <c r="D487" s="206" t="s">
        <v>510</v>
      </c>
      <c r="E487" s="206" t="s">
        <v>511</v>
      </c>
      <c r="F487" s="206" t="s">
        <v>735</v>
      </c>
      <c r="G487" s="207">
        <v>84484</v>
      </c>
      <c r="H487" s="206" t="s">
        <v>87</v>
      </c>
      <c r="I487" s="206" t="s">
        <v>731</v>
      </c>
      <c r="J487" s="233">
        <v>0.17616580310880828</v>
      </c>
      <c r="K487" s="233">
        <v>0.37305699481865284</v>
      </c>
      <c r="L487" s="233">
        <v>0.39896373056994816</v>
      </c>
      <c r="M487" s="233">
        <v>4.6632124352331605E-2</v>
      </c>
      <c r="N487" s="233">
        <v>5.1813471502590676E-3</v>
      </c>
      <c r="O487" s="207">
        <v>38083</v>
      </c>
      <c r="P487" s="207">
        <f t="shared" si="18"/>
        <v>34680</v>
      </c>
      <c r="Q487" s="207">
        <v>3</v>
      </c>
      <c r="R487" s="207">
        <v>3</v>
      </c>
      <c r="U487" s="206">
        <v>0</v>
      </c>
      <c r="V487" s="206">
        <v>1</v>
      </c>
      <c r="W487" s="206">
        <v>1</v>
      </c>
      <c r="X487" s="206" t="e">
        <v>#DIV/0!</v>
      </c>
    </row>
    <row r="488" spans="1:24" x14ac:dyDescent="0.25">
      <c r="A488" s="206" t="str">
        <f t="shared" si="17"/>
        <v>SD15037IDPs</v>
      </c>
      <c r="B488" s="206" t="s">
        <v>147</v>
      </c>
      <c r="C488" s="206" t="s">
        <v>132</v>
      </c>
      <c r="D488" s="206" t="s">
        <v>510</v>
      </c>
      <c r="E488" s="206" t="s">
        <v>511</v>
      </c>
      <c r="F488" s="206" t="s">
        <v>735</v>
      </c>
      <c r="G488" s="207">
        <v>84123</v>
      </c>
      <c r="H488" s="206" t="s">
        <v>88</v>
      </c>
      <c r="I488" s="206" t="s">
        <v>732</v>
      </c>
      <c r="J488" s="233">
        <v>0.17616580310880828</v>
      </c>
      <c r="K488" s="233">
        <v>0.37305699481865284</v>
      </c>
      <c r="L488" s="233">
        <v>0.39896373056994816</v>
      </c>
      <c r="M488" s="233">
        <v>4.6632124352331605E-2</v>
      </c>
      <c r="N488" s="233">
        <v>5.1813471502590676E-3</v>
      </c>
      <c r="O488" s="207">
        <v>37921</v>
      </c>
      <c r="P488" s="207">
        <f t="shared" si="18"/>
        <v>34533</v>
      </c>
      <c r="Q488" s="207">
        <v>3</v>
      </c>
      <c r="R488" s="207">
        <v>3</v>
      </c>
      <c r="U488" s="206">
        <v>0</v>
      </c>
      <c r="V488" s="206">
        <v>1</v>
      </c>
      <c r="W488" s="206">
        <v>1</v>
      </c>
      <c r="X488" s="206" t="e">
        <v>#DIV/0!</v>
      </c>
    </row>
    <row r="489" spans="1:24" x14ac:dyDescent="0.25">
      <c r="A489" s="206" t="str">
        <f t="shared" si="17"/>
        <v>SD15037Non-hosting Population</v>
      </c>
      <c r="B489" s="206" t="s">
        <v>147</v>
      </c>
      <c r="C489" s="206" t="s">
        <v>132</v>
      </c>
      <c r="D489" s="206" t="s">
        <v>510</v>
      </c>
      <c r="E489" s="206" t="s">
        <v>511</v>
      </c>
      <c r="F489" s="206" t="s">
        <v>735</v>
      </c>
      <c r="G489" s="207">
        <v>419203</v>
      </c>
      <c r="H489" s="206" t="s">
        <v>568</v>
      </c>
      <c r="I489" s="206" t="s">
        <v>731</v>
      </c>
      <c r="J489" s="233">
        <v>0.17616580310880828</v>
      </c>
      <c r="K489" s="233">
        <v>0.37305699481865284</v>
      </c>
      <c r="L489" s="233">
        <v>0.39896373056994816</v>
      </c>
      <c r="M489" s="233">
        <v>4.6632124352331605E-2</v>
      </c>
      <c r="N489" s="233">
        <v>5.1813471502590676E-3</v>
      </c>
      <c r="O489" s="207">
        <v>21720</v>
      </c>
      <c r="P489" s="207">
        <f t="shared" si="18"/>
        <v>19779</v>
      </c>
      <c r="Q489" s="207">
        <v>3</v>
      </c>
      <c r="R489" s="207">
        <v>3</v>
      </c>
      <c r="U489" s="206">
        <v>0</v>
      </c>
      <c r="V489" s="206">
        <v>1</v>
      </c>
      <c r="W489" s="206">
        <v>1</v>
      </c>
      <c r="X489" s="206" t="e">
        <v>#DIV/0!</v>
      </c>
    </row>
    <row r="490" spans="1:24" x14ac:dyDescent="0.25">
      <c r="A490" s="206" t="str">
        <f t="shared" si="17"/>
        <v>SD16008Host Community</v>
      </c>
      <c r="B490" s="206" t="s">
        <v>179</v>
      </c>
      <c r="C490" s="206" t="s">
        <v>133</v>
      </c>
      <c r="D490" s="206" t="s">
        <v>512</v>
      </c>
      <c r="E490" s="206" t="s">
        <v>513</v>
      </c>
      <c r="F490" s="206" t="s">
        <v>735</v>
      </c>
      <c r="G490" s="207">
        <v>48025</v>
      </c>
      <c r="H490" s="206" t="s">
        <v>87</v>
      </c>
      <c r="I490" s="206" t="s">
        <v>731</v>
      </c>
      <c r="J490" s="233">
        <v>0.25384615384615383</v>
      </c>
      <c r="K490" s="233">
        <v>0.61538461538461542</v>
      </c>
      <c r="L490" s="233">
        <v>0.1076923076923077</v>
      </c>
      <c r="M490" s="233">
        <v>0</v>
      </c>
      <c r="N490" s="233">
        <v>2.3076923076923078E-2</v>
      </c>
      <c r="O490" s="207">
        <v>6280</v>
      </c>
      <c r="P490" s="207">
        <f t="shared" si="18"/>
        <v>5719</v>
      </c>
      <c r="Q490" s="207">
        <v>2</v>
      </c>
      <c r="R490" s="207">
        <v>2</v>
      </c>
      <c r="U490" s="206">
        <v>0</v>
      </c>
      <c r="V490" s="206">
        <v>1</v>
      </c>
      <c r="W490" s="206">
        <v>1</v>
      </c>
      <c r="X490" s="206" t="e">
        <v>#DIV/0!</v>
      </c>
    </row>
    <row r="491" spans="1:24" x14ac:dyDescent="0.25">
      <c r="A491" s="206" t="str">
        <f t="shared" si="17"/>
        <v>SD16008IDPs</v>
      </c>
      <c r="B491" s="206" t="s">
        <v>179</v>
      </c>
      <c r="C491" s="206" t="s">
        <v>133</v>
      </c>
      <c r="D491" s="206" t="s">
        <v>512</v>
      </c>
      <c r="E491" s="206" t="s">
        <v>513</v>
      </c>
      <c r="F491" s="206" t="s">
        <v>735</v>
      </c>
      <c r="G491" s="207">
        <v>47265</v>
      </c>
      <c r="H491" s="206" t="s">
        <v>88</v>
      </c>
      <c r="I491" s="206" t="s">
        <v>732</v>
      </c>
      <c r="J491" s="233">
        <v>0.25384615384615383</v>
      </c>
      <c r="K491" s="233">
        <v>0.61538461538461542</v>
      </c>
      <c r="L491" s="233">
        <v>0.1076923076923077</v>
      </c>
      <c r="M491" s="233">
        <v>0</v>
      </c>
      <c r="N491" s="233">
        <v>2.3076923076923078E-2</v>
      </c>
      <c r="O491" s="207">
        <v>6181</v>
      </c>
      <c r="P491" s="207">
        <f t="shared" si="18"/>
        <v>5629</v>
      </c>
      <c r="Q491" s="207">
        <v>2</v>
      </c>
      <c r="R491" s="207">
        <v>2</v>
      </c>
      <c r="U491" s="206">
        <v>0</v>
      </c>
      <c r="V491" s="206">
        <v>0</v>
      </c>
      <c r="W491" s="206">
        <v>1</v>
      </c>
      <c r="X491" s="206" t="e">
        <v>#DIV/0!</v>
      </c>
    </row>
    <row r="492" spans="1:24" x14ac:dyDescent="0.25">
      <c r="A492" s="206" t="str">
        <f t="shared" si="17"/>
        <v>SD16008Non-hosting Population</v>
      </c>
      <c r="B492" s="206" t="s">
        <v>179</v>
      </c>
      <c r="C492" s="206" t="s">
        <v>133</v>
      </c>
      <c r="D492" s="206" t="s">
        <v>512</v>
      </c>
      <c r="E492" s="206" t="s">
        <v>513</v>
      </c>
      <c r="F492" s="206" t="s">
        <v>735</v>
      </c>
      <c r="G492" s="207">
        <v>88417</v>
      </c>
      <c r="H492" s="206" t="s">
        <v>568</v>
      </c>
      <c r="I492" s="206" t="s">
        <v>731</v>
      </c>
      <c r="J492" s="233">
        <v>0.25384615384615383</v>
      </c>
      <c r="K492" s="233">
        <v>0.61538461538461542</v>
      </c>
      <c r="L492" s="233">
        <v>0.1076923076923077</v>
      </c>
      <c r="M492" s="233">
        <v>0</v>
      </c>
      <c r="N492" s="233">
        <v>2.3076923076923078E-2</v>
      </c>
      <c r="O492" s="207">
        <v>2040</v>
      </c>
      <c r="P492" s="207">
        <f t="shared" si="18"/>
        <v>1858</v>
      </c>
      <c r="Q492" s="207">
        <v>2</v>
      </c>
      <c r="R492" s="207">
        <v>2</v>
      </c>
      <c r="U492" s="206">
        <v>0</v>
      </c>
      <c r="V492" s="206">
        <v>1</v>
      </c>
      <c r="W492" s="206">
        <v>1</v>
      </c>
      <c r="X492" s="206" t="e">
        <v>#DIV/0!</v>
      </c>
    </row>
    <row r="493" spans="1:24" x14ac:dyDescent="0.25">
      <c r="A493" s="206" t="str">
        <f t="shared" si="17"/>
        <v>SD16009Host Community</v>
      </c>
      <c r="B493" s="206" t="s">
        <v>179</v>
      </c>
      <c r="C493" s="206" t="s">
        <v>133</v>
      </c>
      <c r="D493" s="206" t="s">
        <v>514</v>
      </c>
      <c r="E493" s="206" t="s">
        <v>515</v>
      </c>
      <c r="F493" s="206" t="s">
        <v>735</v>
      </c>
      <c r="G493" s="207">
        <v>107824</v>
      </c>
      <c r="H493" s="206" t="s">
        <v>87</v>
      </c>
      <c r="I493" s="206" t="s">
        <v>731</v>
      </c>
      <c r="J493" s="233">
        <v>8.1081081081081086E-2</v>
      </c>
      <c r="K493" s="233">
        <v>0.58783783783783783</v>
      </c>
      <c r="L493" s="233">
        <v>0.29054054054054052</v>
      </c>
      <c r="M493" s="233">
        <v>6.7567567567567571E-3</v>
      </c>
      <c r="N493" s="233">
        <v>3.3783783783783786E-2</v>
      </c>
      <c r="O493" s="207">
        <v>35698</v>
      </c>
      <c r="P493" s="207">
        <f t="shared" si="18"/>
        <v>32508</v>
      </c>
      <c r="Q493" s="207">
        <v>3</v>
      </c>
      <c r="R493" s="207">
        <v>3</v>
      </c>
      <c r="U493" s="206">
        <v>0</v>
      </c>
      <c r="V493" s="206">
        <v>0</v>
      </c>
      <c r="W493" s="206">
        <v>1</v>
      </c>
      <c r="X493" s="206" t="e">
        <v>#DIV/0!</v>
      </c>
    </row>
    <row r="494" spans="1:24" x14ac:dyDescent="0.25">
      <c r="A494" s="206" t="str">
        <f t="shared" si="17"/>
        <v>SD16009IDPs</v>
      </c>
      <c r="B494" s="206" t="s">
        <v>179</v>
      </c>
      <c r="C494" s="206" t="s">
        <v>133</v>
      </c>
      <c r="D494" s="206" t="s">
        <v>514</v>
      </c>
      <c r="E494" s="206" t="s">
        <v>515</v>
      </c>
      <c r="F494" s="206" t="s">
        <v>735</v>
      </c>
      <c r="G494" s="207">
        <v>107773</v>
      </c>
      <c r="H494" s="206" t="s">
        <v>88</v>
      </c>
      <c r="I494" s="206" t="s">
        <v>732</v>
      </c>
      <c r="J494" s="233">
        <v>8.1081081081081086E-2</v>
      </c>
      <c r="K494" s="233">
        <v>0.58783783783783783</v>
      </c>
      <c r="L494" s="233">
        <v>0.29054054054054052</v>
      </c>
      <c r="M494" s="233">
        <v>6.7567567567567571E-3</v>
      </c>
      <c r="N494" s="233">
        <v>3.3783783783783786E-2</v>
      </c>
      <c r="O494" s="207">
        <v>35682</v>
      </c>
      <c r="P494" s="207">
        <f t="shared" si="18"/>
        <v>32494</v>
      </c>
      <c r="Q494" s="207">
        <v>3</v>
      </c>
      <c r="R494" s="207">
        <v>3</v>
      </c>
      <c r="U494" s="206">
        <v>0</v>
      </c>
      <c r="V494" s="206">
        <v>0</v>
      </c>
      <c r="W494" s="206">
        <v>1</v>
      </c>
      <c r="X494" s="206" t="e">
        <v>#DIV/0!</v>
      </c>
    </row>
    <row r="495" spans="1:24" x14ac:dyDescent="0.25">
      <c r="A495" s="206" t="str">
        <f t="shared" si="17"/>
        <v>SD16009Non-hosting Population</v>
      </c>
      <c r="B495" s="206" t="s">
        <v>179</v>
      </c>
      <c r="C495" s="206" t="s">
        <v>133</v>
      </c>
      <c r="D495" s="206" t="s">
        <v>514</v>
      </c>
      <c r="E495" s="206" t="s">
        <v>515</v>
      </c>
      <c r="F495" s="206" t="s">
        <v>735</v>
      </c>
      <c r="G495" s="207">
        <v>30038</v>
      </c>
      <c r="H495" s="206" t="s">
        <v>568</v>
      </c>
      <c r="I495" s="206" t="s">
        <v>731</v>
      </c>
      <c r="J495" s="233">
        <v>8.1081081081081086E-2</v>
      </c>
      <c r="K495" s="233">
        <v>0.58783783783783783</v>
      </c>
      <c r="L495" s="233">
        <v>0.29054054054054052</v>
      </c>
      <c r="M495" s="233">
        <v>6.7567567567567571E-3</v>
      </c>
      <c r="N495" s="233">
        <v>3.3783783783783786E-2</v>
      </c>
      <c r="O495" s="207">
        <v>1218</v>
      </c>
      <c r="P495" s="207">
        <f t="shared" si="18"/>
        <v>1109</v>
      </c>
      <c r="Q495" s="207">
        <v>3</v>
      </c>
      <c r="R495" s="207">
        <v>3</v>
      </c>
      <c r="U495" s="206">
        <v>0</v>
      </c>
      <c r="V495" s="206">
        <v>0</v>
      </c>
      <c r="W495" s="206">
        <v>1</v>
      </c>
      <c r="X495" s="206" t="e">
        <v>#DIV/0!</v>
      </c>
    </row>
    <row r="496" spans="1:24" x14ac:dyDescent="0.25">
      <c r="A496" s="206" t="str">
        <f t="shared" si="17"/>
        <v>SD16010Host Community</v>
      </c>
      <c r="B496" s="206" t="s">
        <v>179</v>
      </c>
      <c r="C496" s="206" t="s">
        <v>133</v>
      </c>
      <c r="D496" s="206" t="s">
        <v>516</v>
      </c>
      <c r="E496" s="206" t="s">
        <v>517</v>
      </c>
      <c r="F496" s="206" t="s">
        <v>735</v>
      </c>
      <c r="G496" s="207">
        <v>223515</v>
      </c>
      <c r="H496" s="206" t="s">
        <v>87</v>
      </c>
      <c r="I496" s="206" t="s">
        <v>731</v>
      </c>
      <c r="J496" s="233">
        <v>0.1864406779661017</v>
      </c>
      <c r="K496" s="233">
        <v>0.31638418079096048</v>
      </c>
      <c r="L496" s="233">
        <v>0.34463276836158191</v>
      </c>
      <c r="M496" s="233">
        <v>0</v>
      </c>
      <c r="N496" s="233">
        <v>0.15254237288135594</v>
      </c>
      <c r="O496" s="207">
        <v>111126</v>
      </c>
      <c r="P496" s="207">
        <f t="shared" si="18"/>
        <v>101197</v>
      </c>
      <c r="Q496" s="207">
        <v>3</v>
      </c>
      <c r="R496" s="207">
        <v>3</v>
      </c>
      <c r="U496" s="206">
        <v>0</v>
      </c>
      <c r="V496" s="206">
        <v>0</v>
      </c>
      <c r="W496" s="206">
        <v>1</v>
      </c>
      <c r="X496" s="206" t="e">
        <v>#DIV/0!</v>
      </c>
    </row>
    <row r="497" spans="1:24" x14ac:dyDescent="0.25">
      <c r="A497" s="206" t="str">
        <f t="shared" si="17"/>
        <v>SD16010IDPs</v>
      </c>
      <c r="B497" s="206" t="s">
        <v>179</v>
      </c>
      <c r="C497" s="206" t="s">
        <v>133</v>
      </c>
      <c r="D497" s="206" t="s">
        <v>516</v>
      </c>
      <c r="E497" s="206" t="s">
        <v>517</v>
      </c>
      <c r="F497" s="206" t="s">
        <v>735</v>
      </c>
      <c r="G497" s="207">
        <v>266545</v>
      </c>
      <c r="H497" s="206" t="s">
        <v>88</v>
      </c>
      <c r="I497" s="206" t="s">
        <v>732</v>
      </c>
      <c r="J497" s="233">
        <v>0.1864406779661017</v>
      </c>
      <c r="K497" s="233">
        <v>0.31638418079096048</v>
      </c>
      <c r="L497" s="233">
        <v>0.34463276836158191</v>
      </c>
      <c r="M497" s="233">
        <v>0</v>
      </c>
      <c r="N497" s="233">
        <v>0.15254237288135594</v>
      </c>
      <c r="O497" s="207">
        <v>132520</v>
      </c>
      <c r="P497" s="207">
        <f t="shared" si="18"/>
        <v>120679</v>
      </c>
      <c r="Q497" s="207">
        <v>3</v>
      </c>
      <c r="R497" s="207">
        <v>3</v>
      </c>
      <c r="U497" s="206">
        <v>0</v>
      </c>
      <c r="V497" s="206">
        <v>0</v>
      </c>
      <c r="W497" s="206">
        <v>1</v>
      </c>
      <c r="X497" s="206" t="e">
        <v>#DIV/0!</v>
      </c>
    </row>
    <row r="498" spans="1:24" x14ac:dyDescent="0.25">
      <c r="A498" s="206" t="str">
        <f t="shared" si="17"/>
        <v>SD16010Non-hosting Population</v>
      </c>
      <c r="B498" s="206" t="s">
        <v>179</v>
      </c>
      <c r="C498" s="206" t="s">
        <v>133</v>
      </c>
      <c r="D498" s="206" t="s">
        <v>516</v>
      </c>
      <c r="E498" s="206" t="s">
        <v>517</v>
      </c>
      <c r="F498" s="206" t="s">
        <v>735</v>
      </c>
      <c r="G498" s="207">
        <v>0</v>
      </c>
      <c r="H498" s="206" t="s">
        <v>568</v>
      </c>
      <c r="I498" s="206" t="s">
        <v>731</v>
      </c>
      <c r="J498" s="233">
        <v>0.1864406779661017</v>
      </c>
      <c r="K498" s="233">
        <v>0.31638418079096048</v>
      </c>
      <c r="L498" s="233">
        <v>0.34463276836158191</v>
      </c>
      <c r="M498" s="233">
        <v>0</v>
      </c>
      <c r="N498" s="233">
        <v>0.15254237288135594</v>
      </c>
      <c r="O498" s="207">
        <v>0</v>
      </c>
      <c r="P498" s="207">
        <f t="shared" si="18"/>
        <v>0</v>
      </c>
      <c r="Q498" s="207">
        <v>3</v>
      </c>
      <c r="R498" s="207">
        <v>3</v>
      </c>
      <c r="U498" s="206" t="e">
        <v>#DIV/0!</v>
      </c>
      <c r="V498" s="206" t="e">
        <v>#DIV/0!</v>
      </c>
      <c r="W498" s="206">
        <v>1</v>
      </c>
      <c r="X498" s="206" t="e">
        <v>#DIV/0!</v>
      </c>
    </row>
    <row r="499" spans="1:24" x14ac:dyDescent="0.25">
      <c r="A499" s="206" t="str">
        <f t="shared" si="17"/>
        <v>SD16011Host Community</v>
      </c>
      <c r="B499" s="206" t="s">
        <v>179</v>
      </c>
      <c r="C499" s="206" t="s">
        <v>133</v>
      </c>
      <c r="D499" s="206" t="s">
        <v>518</v>
      </c>
      <c r="E499" s="206" t="s">
        <v>519</v>
      </c>
      <c r="F499" s="206" t="s">
        <v>735</v>
      </c>
      <c r="G499" s="207">
        <v>145177</v>
      </c>
      <c r="H499" s="206" t="s">
        <v>87</v>
      </c>
      <c r="I499" s="206" t="s">
        <v>731</v>
      </c>
      <c r="J499" s="233">
        <v>0.17557251908396945</v>
      </c>
      <c r="K499" s="233">
        <v>0.3282442748091603</v>
      </c>
      <c r="L499" s="233">
        <v>0.37404580152671757</v>
      </c>
      <c r="M499" s="233">
        <v>2.2900763358778626E-2</v>
      </c>
      <c r="N499" s="233">
        <v>9.9236641221374045E-2</v>
      </c>
      <c r="O499" s="207">
        <v>72034</v>
      </c>
      <c r="P499" s="207">
        <f t="shared" si="18"/>
        <v>65598</v>
      </c>
      <c r="Q499" s="207">
        <v>3</v>
      </c>
      <c r="R499" s="207">
        <v>3</v>
      </c>
      <c r="U499" s="206">
        <v>0</v>
      </c>
      <c r="V499" s="206">
        <v>0</v>
      </c>
      <c r="W499" s="206">
        <v>0</v>
      </c>
      <c r="X499" s="206" t="e">
        <v>#DIV/0!</v>
      </c>
    </row>
    <row r="500" spans="1:24" x14ac:dyDescent="0.25">
      <c r="A500" s="206" t="str">
        <f t="shared" si="17"/>
        <v>SD16011IDPs</v>
      </c>
      <c r="B500" s="206" t="s">
        <v>179</v>
      </c>
      <c r="C500" s="206" t="s">
        <v>133</v>
      </c>
      <c r="D500" s="206" t="s">
        <v>518</v>
      </c>
      <c r="E500" s="206" t="s">
        <v>519</v>
      </c>
      <c r="F500" s="206" t="s">
        <v>735</v>
      </c>
      <c r="G500" s="207">
        <v>143830</v>
      </c>
      <c r="H500" s="206" t="s">
        <v>88</v>
      </c>
      <c r="I500" s="206" t="s">
        <v>732</v>
      </c>
      <c r="J500" s="233">
        <v>0.17557251908396945</v>
      </c>
      <c r="K500" s="233">
        <v>0.3282442748091603</v>
      </c>
      <c r="L500" s="233">
        <v>0.37404580152671757</v>
      </c>
      <c r="M500" s="233">
        <v>2.2900763358778626E-2</v>
      </c>
      <c r="N500" s="233">
        <v>9.9236641221374045E-2</v>
      </c>
      <c r="O500" s="207">
        <v>71366</v>
      </c>
      <c r="P500" s="207">
        <f t="shared" si="18"/>
        <v>64989</v>
      </c>
      <c r="Q500" s="207">
        <v>3</v>
      </c>
      <c r="R500" s="207">
        <v>3</v>
      </c>
      <c r="U500" s="206">
        <v>1</v>
      </c>
      <c r="V500" s="206">
        <v>0</v>
      </c>
      <c r="W500" s="206">
        <v>0</v>
      </c>
      <c r="X500" s="206" t="e">
        <v>#DIV/0!</v>
      </c>
    </row>
    <row r="501" spans="1:24" x14ac:dyDescent="0.25">
      <c r="A501" s="206" t="str">
        <f t="shared" si="17"/>
        <v>SD16011Non-hosting Population</v>
      </c>
      <c r="B501" s="206" t="s">
        <v>179</v>
      </c>
      <c r="C501" s="206" t="s">
        <v>133</v>
      </c>
      <c r="D501" s="206" t="s">
        <v>518</v>
      </c>
      <c r="E501" s="206" t="s">
        <v>519</v>
      </c>
      <c r="F501" s="206" t="s">
        <v>735</v>
      </c>
      <c r="G501" s="207">
        <v>132100</v>
      </c>
      <c r="H501" s="206" t="s">
        <v>568</v>
      </c>
      <c r="I501" s="206" t="s">
        <v>731</v>
      </c>
      <c r="J501" s="233">
        <v>0.17557251908396945</v>
      </c>
      <c r="K501" s="233">
        <v>0.3282442748091603</v>
      </c>
      <c r="L501" s="233">
        <v>0.37404580152671757</v>
      </c>
      <c r="M501" s="233">
        <v>2.2900763358778626E-2</v>
      </c>
      <c r="N501" s="233">
        <v>9.9236641221374045E-2</v>
      </c>
      <c r="O501" s="207">
        <v>16134</v>
      </c>
      <c r="P501" s="207">
        <f t="shared" si="18"/>
        <v>14692</v>
      </c>
      <c r="Q501" s="207">
        <v>3</v>
      </c>
      <c r="R501" s="207">
        <v>3</v>
      </c>
      <c r="U501" s="206">
        <v>0</v>
      </c>
      <c r="V501" s="206">
        <v>0</v>
      </c>
      <c r="W501" s="206">
        <v>0</v>
      </c>
      <c r="X501" s="206" t="e">
        <v>#DIV/0!</v>
      </c>
    </row>
    <row r="502" spans="1:24" x14ac:dyDescent="0.25">
      <c r="A502" s="206" t="str">
        <f t="shared" si="17"/>
        <v>SD16012Host Community</v>
      </c>
      <c r="B502" s="206" t="s">
        <v>179</v>
      </c>
      <c r="C502" s="206" t="s">
        <v>133</v>
      </c>
      <c r="D502" s="206" t="s">
        <v>520</v>
      </c>
      <c r="E502" s="206" t="s">
        <v>521</v>
      </c>
      <c r="F502" s="206" t="s">
        <v>735</v>
      </c>
      <c r="G502" s="207">
        <v>99538</v>
      </c>
      <c r="H502" s="206" t="s">
        <v>87</v>
      </c>
      <c r="I502" s="206" t="s">
        <v>731</v>
      </c>
      <c r="J502" s="233">
        <v>0.21656050955414013</v>
      </c>
      <c r="K502" s="233">
        <v>0.38853503184713378</v>
      </c>
      <c r="L502" s="233">
        <v>0.32484076433121017</v>
      </c>
      <c r="M502" s="233">
        <v>0</v>
      </c>
      <c r="N502" s="233">
        <v>7.0063694267515922E-2</v>
      </c>
      <c r="O502" s="207">
        <v>39308</v>
      </c>
      <c r="P502" s="207">
        <f t="shared" si="18"/>
        <v>35796</v>
      </c>
      <c r="Q502" s="207">
        <v>3</v>
      </c>
      <c r="R502" s="207">
        <v>3</v>
      </c>
      <c r="U502" s="206">
        <v>0</v>
      </c>
      <c r="V502" s="206">
        <v>0</v>
      </c>
      <c r="W502" s="206">
        <v>0</v>
      </c>
      <c r="X502" s="206" t="e">
        <v>#DIV/0!</v>
      </c>
    </row>
    <row r="503" spans="1:24" x14ac:dyDescent="0.25">
      <c r="A503" s="206" t="str">
        <f t="shared" si="17"/>
        <v>SD16012IDPs</v>
      </c>
      <c r="B503" s="206" t="s">
        <v>179</v>
      </c>
      <c r="C503" s="206" t="s">
        <v>133</v>
      </c>
      <c r="D503" s="206" t="s">
        <v>520</v>
      </c>
      <c r="E503" s="206" t="s">
        <v>521</v>
      </c>
      <c r="F503" s="206" t="s">
        <v>735</v>
      </c>
      <c r="G503" s="207">
        <v>156069</v>
      </c>
      <c r="H503" s="206" t="s">
        <v>88</v>
      </c>
      <c r="I503" s="206" t="s">
        <v>732</v>
      </c>
      <c r="J503" s="233">
        <v>0.21656050955414013</v>
      </c>
      <c r="K503" s="233">
        <v>0.38853503184713378</v>
      </c>
      <c r="L503" s="233">
        <v>0.32484076433121017</v>
      </c>
      <c r="M503" s="233">
        <v>0</v>
      </c>
      <c r="N503" s="233">
        <v>7.0063694267515922E-2</v>
      </c>
      <c r="O503" s="207">
        <v>61632</v>
      </c>
      <c r="P503" s="207">
        <f t="shared" si="18"/>
        <v>56125</v>
      </c>
      <c r="Q503" s="207">
        <v>3</v>
      </c>
      <c r="R503" s="207">
        <v>3</v>
      </c>
      <c r="U503" s="206">
        <v>0</v>
      </c>
      <c r="V503" s="206">
        <v>0</v>
      </c>
      <c r="W503" s="206">
        <v>1</v>
      </c>
      <c r="X503" s="206" t="e">
        <v>#DIV/0!</v>
      </c>
    </row>
    <row r="504" spans="1:24" x14ac:dyDescent="0.25">
      <c r="A504" s="206" t="str">
        <f t="shared" si="17"/>
        <v>SD16012Non-hosting Population</v>
      </c>
      <c r="B504" s="206" t="s">
        <v>179</v>
      </c>
      <c r="C504" s="206" t="s">
        <v>133</v>
      </c>
      <c r="D504" s="206" t="s">
        <v>520</v>
      </c>
      <c r="E504" s="206" t="s">
        <v>521</v>
      </c>
      <c r="F504" s="206" t="s">
        <v>735</v>
      </c>
      <c r="G504" s="207">
        <v>7134</v>
      </c>
      <c r="H504" s="206" t="s">
        <v>568</v>
      </c>
      <c r="I504" s="206" t="s">
        <v>731</v>
      </c>
      <c r="J504" s="233">
        <v>0.21656050955414013</v>
      </c>
      <c r="K504" s="233">
        <v>0.38853503184713378</v>
      </c>
      <c r="L504" s="233">
        <v>0.32484076433121017</v>
      </c>
      <c r="M504" s="233">
        <v>0</v>
      </c>
      <c r="N504" s="233">
        <v>7.0063694267515922E-2</v>
      </c>
      <c r="O504" s="207">
        <v>500</v>
      </c>
      <c r="P504" s="207">
        <f t="shared" si="18"/>
        <v>455</v>
      </c>
      <c r="Q504" s="207">
        <v>3</v>
      </c>
      <c r="R504" s="207">
        <v>3</v>
      </c>
      <c r="U504" s="206">
        <v>0</v>
      </c>
      <c r="V504" s="206">
        <v>0</v>
      </c>
      <c r="W504" s="206">
        <v>0</v>
      </c>
      <c r="X504" s="206" t="e">
        <v>#DIV/0!</v>
      </c>
    </row>
    <row r="505" spans="1:24" x14ac:dyDescent="0.25">
      <c r="A505" s="206" t="str">
        <f t="shared" si="17"/>
        <v>SD16013Host Community</v>
      </c>
      <c r="B505" s="206" t="s">
        <v>179</v>
      </c>
      <c r="C505" s="206" t="s">
        <v>133</v>
      </c>
      <c r="D505" s="206" t="s">
        <v>522</v>
      </c>
      <c r="E505" s="206" t="s">
        <v>523</v>
      </c>
      <c r="F505" s="206" t="s">
        <v>735</v>
      </c>
      <c r="G505" s="207">
        <v>26356</v>
      </c>
      <c r="H505" s="206" t="s">
        <v>87</v>
      </c>
      <c r="I505" s="206" t="s">
        <v>731</v>
      </c>
      <c r="J505" s="233">
        <v>0.17322834645669291</v>
      </c>
      <c r="K505" s="233">
        <v>0.38582677165354329</v>
      </c>
      <c r="L505" s="233">
        <v>0.41732283464566927</v>
      </c>
      <c r="M505" s="233">
        <v>0</v>
      </c>
      <c r="N505" s="233">
        <v>2.3622047244094488E-2</v>
      </c>
      <c r="O505" s="207">
        <v>11622</v>
      </c>
      <c r="P505" s="207">
        <f t="shared" si="18"/>
        <v>10584</v>
      </c>
      <c r="Q505" s="207">
        <v>3</v>
      </c>
      <c r="R505" s="207">
        <v>3</v>
      </c>
      <c r="U505" s="206">
        <v>0</v>
      </c>
      <c r="V505" s="206">
        <v>0</v>
      </c>
      <c r="W505" s="206">
        <v>1</v>
      </c>
      <c r="X505" s="206" t="e">
        <v>#DIV/0!</v>
      </c>
    </row>
    <row r="506" spans="1:24" x14ac:dyDescent="0.25">
      <c r="A506" s="206" t="str">
        <f t="shared" si="17"/>
        <v>SD16013IDPs</v>
      </c>
      <c r="B506" s="206" t="s">
        <v>179</v>
      </c>
      <c r="C506" s="206" t="s">
        <v>133</v>
      </c>
      <c r="D506" s="206" t="s">
        <v>522</v>
      </c>
      <c r="E506" s="206" t="s">
        <v>523</v>
      </c>
      <c r="F506" s="206" t="s">
        <v>735</v>
      </c>
      <c r="G506" s="207">
        <v>31649</v>
      </c>
      <c r="H506" s="206" t="s">
        <v>88</v>
      </c>
      <c r="I506" s="206" t="s">
        <v>732</v>
      </c>
      <c r="J506" s="233">
        <v>0.17322834645669291</v>
      </c>
      <c r="K506" s="233">
        <v>0.38582677165354329</v>
      </c>
      <c r="L506" s="233">
        <v>0.41732283464566927</v>
      </c>
      <c r="M506" s="233">
        <v>0</v>
      </c>
      <c r="N506" s="233">
        <v>2.3622047244094488E-2</v>
      </c>
      <c r="O506" s="207">
        <v>13955</v>
      </c>
      <c r="P506" s="207">
        <f t="shared" si="18"/>
        <v>12708</v>
      </c>
      <c r="Q506" s="207">
        <v>3</v>
      </c>
      <c r="R506" s="207">
        <v>3</v>
      </c>
      <c r="U506" s="206">
        <v>0</v>
      </c>
      <c r="V506" s="206">
        <v>0</v>
      </c>
      <c r="W506" s="206">
        <v>1</v>
      </c>
      <c r="X506" s="206" t="e">
        <v>#DIV/0!</v>
      </c>
    </row>
    <row r="507" spans="1:24" x14ac:dyDescent="0.25">
      <c r="A507" s="206" t="str">
        <f t="shared" si="17"/>
        <v>SD16013Non-hosting Population</v>
      </c>
      <c r="B507" s="206" t="s">
        <v>179</v>
      </c>
      <c r="C507" s="206" t="s">
        <v>133</v>
      </c>
      <c r="D507" s="206" t="s">
        <v>522</v>
      </c>
      <c r="E507" s="206" t="s">
        <v>523</v>
      </c>
      <c r="F507" s="206" t="s">
        <v>735</v>
      </c>
      <c r="G507" s="207">
        <v>123573</v>
      </c>
      <c r="H507" s="206" t="s">
        <v>568</v>
      </c>
      <c r="I507" s="206" t="s">
        <v>731</v>
      </c>
      <c r="J507" s="233">
        <v>0.17322834645669291</v>
      </c>
      <c r="K507" s="233">
        <v>0.38582677165354329</v>
      </c>
      <c r="L507" s="233">
        <v>0.41732283464566927</v>
      </c>
      <c r="M507" s="233">
        <v>0</v>
      </c>
      <c r="N507" s="233">
        <v>2.3622047244094488E-2</v>
      </c>
      <c r="O507" s="207">
        <v>2919</v>
      </c>
      <c r="P507" s="207">
        <f t="shared" si="18"/>
        <v>2658</v>
      </c>
      <c r="Q507" s="207">
        <v>3</v>
      </c>
      <c r="R507" s="207">
        <v>3</v>
      </c>
      <c r="U507" s="206">
        <v>0</v>
      </c>
      <c r="V507" s="206">
        <v>0</v>
      </c>
      <c r="W507" s="206">
        <v>1</v>
      </c>
      <c r="X507" s="206" t="e">
        <v>#DIV/0!</v>
      </c>
    </row>
    <row r="508" spans="1:24" x14ac:dyDescent="0.25">
      <c r="A508" s="206" t="str">
        <f t="shared" si="17"/>
        <v>SD16014Host Community</v>
      </c>
      <c r="B508" s="206" t="s">
        <v>179</v>
      </c>
      <c r="C508" s="206" t="s">
        <v>133</v>
      </c>
      <c r="D508" s="206" t="s">
        <v>524</v>
      </c>
      <c r="E508" s="206" t="s">
        <v>525</v>
      </c>
      <c r="F508" s="206" t="s">
        <v>735</v>
      </c>
      <c r="G508" s="207">
        <v>19265</v>
      </c>
      <c r="H508" s="206" t="s">
        <v>87</v>
      </c>
      <c r="I508" s="206" t="s">
        <v>731</v>
      </c>
      <c r="J508" s="233">
        <v>6.7307692307692304E-2</v>
      </c>
      <c r="K508" s="233">
        <v>0.38461538461538464</v>
      </c>
      <c r="L508" s="233">
        <v>0.52884615384615385</v>
      </c>
      <c r="M508" s="233">
        <v>0</v>
      </c>
      <c r="N508" s="233">
        <v>1.9230769230769232E-2</v>
      </c>
      <c r="O508" s="207">
        <v>10559</v>
      </c>
      <c r="P508" s="207">
        <f t="shared" si="18"/>
        <v>9616</v>
      </c>
      <c r="Q508" s="207">
        <v>3</v>
      </c>
      <c r="R508" s="207">
        <v>3</v>
      </c>
      <c r="U508" s="206">
        <v>0</v>
      </c>
      <c r="V508" s="206">
        <v>0</v>
      </c>
      <c r="W508" s="206">
        <v>1</v>
      </c>
      <c r="X508" s="206" t="e">
        <v>#DIV/0!</v>
      </c>
    </row>
    <row r="509" spans="1:24" x14ac:dyDescent="0.25">
      <c r="A509" s="206" t="str">
        <f t="shared" si="17"/>
        <v>SD16014IDPs</v>
      </c>
      <c r="B509" s="206" t="s">
        <v>179</v>
      </c>
      <c r="C509" s="206" t="s">
        <v>133</v>
      </c>
      <c r="D509" s="206" t="s">
        <v>524</v>
      </c>
      <c r="E509" s="206" t="s">
        <v>525</v>
      </c>
      <c r="F509" s="206" t="s">
        <v>735</v>
      </c>
      <c r="G509" s="207">
        <v>17265</v>
      </c>
      <c r="H509" s="206" t="s">
        <v>88</v>
      </c>
      <c r="I509" s="206" t="s">
        <v>732</v>
      </c>
      <c r="J509" s="233">
        <v>6.7307692307692304E-2</v>
      </c>
      <c r="K509" s="233">
        <v>0.38461538461538464</v>
      </c>
      <c r="L509" s="233">
        <v>0.52884615384615385</v>
      </c>
      <c r="M509" s="233">
        <v>0</v>
      </c>
      <c r="N509" s="233">
        <v>1.9230769230769232E-2</v>
      </c>
      <c r="O509" s="207">
        <v>9463</v>
      </c>
      <c r="P509" s="207">
        <f t="shared" si="18"/>
        <v>8617</v>
      </c>
      <c r="Q509" s="207">
        <v>3</v>
      </c>
      <c r="R509" s="207">
        <v>3</v>
      </c>
      <c r="U509" s="206">
        <v>0</v>
      </c>
      <c r="V509" s="206">
        <v>0</v>
      </c>
      <c r="W509" s="206">
        <v>1</v>
      </c>
      <c r="X509" s="206" t="e">
        <v>#DIV/0!</v>
      </c>
    </row>
    <row r="510" spans="1:24" x14ac:dyDescent="0.25">
      <c r="A510" s="206" t="str">
        <f t="shared" si="17"/>
        <v>SD16014Non-hosting Population</v>
      </c>
      <c r="B510" s="206" t="s">
        <v>179</v>
      </c>
      <c r="C510" s="206" t="s">
        <v>133</v>
      </c>
      <c r="D510" s="206" t="s">
        <v>524</v>
      </c>
      <c r="E510" s="206" t="s">
        <v>525</v>
      </c>
      <c r="F510" s="206" t="s">
        <v>735</v>
      </c>
      <c r="G510" s="207">
        <v>29945</v>
      </c>
      <c r="H510" s="206" t="s">
        <v>568</v>
      </c>
      <c r="I510" s="206" t="s">
        <v>731</v>
      </c>
      <c r="J510" s="233">
        <v>6.7307692307692304E-2</v>
      </c>
      <c r="K510" s="233">
        <v>0.38461538461538464</v>
      </c>
      <c r="L510" s="233">
        <v>0.52884615384615385</v>
      </c>
      <c r="M510" s="233">
        <v>0</v>
      </c>
      <c r="N510" s="233">
        <v>1.9230769230769232E-2</v>
      </c>
      <c r="O510" s="207">
        <v>576</v>
      </c>
      <c r="P510" s="207">
        <f t="shared" si="18"/>
        <v>525</v>
      </c>
      <c r="Q510" s="207">
        <v>3</v>
      </c>
      <c r="R510" s="207">
        <v>3</v>
      </c>
      <c r="U510" s="206">
        <v>0</v>
      </c>
      <c r="V510" s="206">
        <v>0</v>
      </c>
      <c r="W510" s="206">
        <v>1</v>
      </c>
      <c r="X510" s="206" t="e">
        <v>#DIV/0!</v>
      </c>
    </row>
    <row r="511" spans="1:24" x14ac:dyDescent="0.25">
      <c r="A511" s="206" t="str">
        <f t="shared" si="17"/>
        <v>SD17014Host Community</v>
      </c>
      <c r="B511" s="206" t="s">
        <v>173</v>
      </c>
      <c r="C511" s="206" t="s">
        <v>134</v>
      </c>
      <c r="D511" s="206" t="s">
        <v>526</v>
      </c>
      <c r="E511" s="206" t="s">
        <v>527</v>
      </c>
      <c r="F511" s="206" t="s">
        <v>735</v>
      </c>
      <c r="G511" s="207">
        <v>36548</v>
      </c>
      <c r="H511" s="206" t="s">
        <v>87</v>
      </c>
      <c r="I511" s="206" t="s">
        <v>731</v>
      </c>
      <c r="J511" s="233">
        <v>0.21008403361344538</v>
      </c>
      <c r="K511" s="233">
        <v>0.42857142857142855</v>
      </c>
      <c r="L511" s="233">
        <v>0.19327731092436976</v>
      </c>
      <c r="M511" s="233">
        <v>5.8823529411764705E-2</v>
      </c>
      <c r="N511" s="233">
        <v>0.1092436974789916</v>
      </c>
      <c r="O511" s="207">
        <v>13206</v>
      </c>
      <c r="P511" s="207">
        <f t="shared" si="18"/>
        <v>12026</v>
      </c>
      <c r="Q511" s="207">
        <v>3</v>
      </c>
      <c r="R511" s="207">
        <v>3</v>
      </c>
      <c r="U511" s="206">
        <v>0</v>
      </c>
      <c r="V511" s="206">
        <v>0</v>
      </c>
      <c r="W511" s="206">
        <v>1</v>
      </c>
      <c r="X511" s="206" t="e">
        <v>#DIV/0!</v>
      </c>
    </row>
    <row r="512" spans="1:24" x14ac:dyDescent="0.25">
      <c r="A512" s="206" t="str">
        <f t="shared" si="17"/>
        <v>SD17014IDPs</v>
      </c>
      <c r="B512" s="206" t="s">
        <v>173</v>
      </c>
      <c r="C512" s="206" t="s">
        <v>134</v>
      </c>
      <c r="D512" s="206" t="s">
        <v>526</v>
      </c>
      <c r="E512" s="206" t="s">
        <v>527</v>
      </c>
      <c r="F512" s="206" t="s">
        <v>735</v>
      </c>
      <c r="G512" s="207">
        <v>36214</v>
      </c>
      <c r="H512" s="206" t="s">
        <v>88</v>
      </c>
      <c r="I512" s="206" t="s">
        <v>732</v>
      </c>
      <c r="J512" s="233">
        <v>0.21008403361344538</v>
      </c>
      <c r="K512" s="233">
        <v>0.42857142857142855</v>
      </c>
      <c r="L512" s="233">
        <v>0.19327731092436976</v>
      </c>
      <c r="M512" s="233">
        <v>5.8823529411764705E-2</v>
      </c>
      <c r="N512" s="233">
        <v>0.1092436974789916</v>
      </c>
      <c r="O512" s="207">
        <v>13086</v>
      </c>
      <c r="P512" s="207">
        <f t="shared" si="18"/>
        <v>11917</v>
      </c>
      <c r="Q512" s="207">
        <v>3</v>
      </c>
      <c r="R512" s="207">
        <v>3</v>
      </c>
      <c r="U512" s="206">
        <v>0</v>
      </c>
      <c r="V512" s="206">
        <v>0</v>
      </c>
      <c r="W512" s="206">
        <v>0</v>
      </c>
      <c r="X512" s="206" t="e">
        <v>#DIV/0!</v>
      </c>
    </row>
    <row r="513" spans="1:24" x14ac:dyDescent="0.25">
      <c r="A513" s="206" t="str">
        <f t="shared" si="17"/>
        <v>SD17014Non-hosting Population</v>
      </c>
      <c r="B513" s="206" t="s">
        <v>173</v>
      </c>
      <c r="C513" s="206" t="s">
        <v>134</v>
      </c>
      <c r="D513" s="206" t="s">
        <v>526</v>
      </c>
      <c r="E513" s="206" t="s">
        <v>527</v>
      </c>
      <c r="F513" s="206" t="s">
        <v>735</v>
      </c>
      <c r="G513" s="207">
        <v>11681</v>
      </c>
      <c r="H513" s="206" t="s">
        <v>568</v>
      </c>
      <c r="I513" s="206" t="s">
        <v>731</v>
      </c>
      <c r="J513" s="233">
        <v>0.21008403361344538</v>
      </c>
      <c r="K513" s="233">
        <v>0.42857142857142855</v>
      </c>
      <c r="L513" s="233">
        <v>0.19327731092436976</v>
      </c>
      <c r="M513" s="233">
        <v>5.8823529411764705E-2</v>
      </c>
      <c r="N513" s="233">
        <v>0.1092436974789916</v>
      </c>
      <c r="O513" s="207">
        <v>1963</v>
      </c>
      <c r="P513" s="207">
        <f t="shared" si="18"/>
        <v>1788</v>
      </c>
      <c r="Q513" s="207">
        <v>3</v>
      </c>
      <c r="R513" s="207">
        <v>3</v>
      </c>
      <c r="U513" s="206">
        <v>0</v>
      </c>
      <c r="V513" s="206">
        <v>0</v>
      </c>
      <c r="W513" s="206">
        <v>1</v>
      </c>
      <c r="X513" s="206" t="e">
        <v>#DIV/0!</v>
      </c>
    </row>
    <row r="514" spans="1:24" x14ac:dyDescent="0.25">
      <c r="A514" s="206" t="str">
        <f t="shared" si="17"/>
        <v>SD17015Host Community</v>
      </c>
      <c r="B514" s="206" t="s">
        <v>173</v>
      </c>
      <c r="C514" s="206" t="s">
        <v>134</v>
      </c>
      <c r="D514" s="206" t="s">
        <v>528</v>
      </c>
      <c r="E514" s="206" t="s">
        <v>529</v>
      </c>
      <c r="F514" s="206" t="s">
        <v>735</v>
      </c>
      <c r="G514" s="207">
        <v>40452</v>
      </c>
      <c r="H514" s="206" t="s">
        <v>87</v>
      </c>
      <c r="I514" s="206" t="s">
        <v>731</v>
      </c>
      <c r="J514" s="233">
        <v>0.1</v>
      </c>
      <c r="K514" s="233">
        <v>0.42499999999999999</v>
      </c>
      <c r="L514" s="233">
        <v>0.42499999999999999</v>
      </c>
      <c r="M514" s="233">
        <v>0.05</v>
      </c>
      <c r="N514" s="233">
        <v>0</v>
      </c>
      <c r="O514" s="207">
        <v>19215</v>
      </c>
      <c r="P514" s="207">
        <f t="shared" si="18"/>
        <v>17498</v>
      </c>
      <c r="Q514" s="207">
        <v>3</v>
      </c>
      <c r="R514" s="207">
        <v>3</v>
      </c>
      <c r="U514" s="206">
        <v>0</v>
      </c>
      <c r="V514" s="206">
        <v>0</v>
      </c>
      <c r="W514" s="206">
        <v>1</v>
      </c>
      <c r="X514" s="206" t="e">
        <v>#DIV/0!</v>
      </c>
    </row>
    <row r="515" spans="1:24" x14ac:dyDescent="0.25">
      <c r="A515" s="206" t="str">
        <f t="shared" si="17"/>
        <v>SD17015IDPs</v>
      </c>
      <c r="B515" s="206" t="s">
        <v>173</v>
      </c>
      <c r="C515" s="206" t="s">
        <v>134</v>
      </c>
      <c r="D515" s="206" t="s">
        <v>528</v>
      </c>
      <c r="E515" s="206" t="s">
        <v>529</v>
      </c>
      <c r="F515" s="206" t="s">
        <v>735</v>
      </c>
      <c r="G515" s="207">
        <v>40375</v>
      </c>
      <c r="H515" s="206" t="s">
        <v>88</v>
      </c>
      <c r="I515" s="206" t="s">
        <v>732</v>
      </c>
      <c r="J515" s="233">
        <v>0.1</v>
      </c>
      <c r="K515" s="233">
        <v>0.42499999999999999</v>
      </c>
      <c r="L515" s="233">
        <v>0.42499999999999999</v>
      </c>
      <c r="M515" s="233">
        <v>0.05</v>
      </c>
      <c r="N515" s="233">
        <v>0</v>
      </c>
      <c r="O515" s="207">
        <v>19178</v>
      </c>
      <c r="P515" s="207">
        <f t="shared" si="18"/>
        <v>17464</v>
      </c>
      <c r="Q515" s="207">
        <v>3</v>
      </c>
      <c r="R515" s="207">
        <v>3</v>
      </c>
      <c r="U515" s="206">
        <v>0</v>
      </c>
      <c r="V515" s="206">
        <v>0</v>
      </c>
      <c r="W515" s="206">
        <v>1</v>
      </c>
      <c r="X515" s="206" t="e">
        <v>#DIV/0!</v>
      </c>
    </row>
    <row r="516" spans="1:24" x14ac:dyDescent="0.25">
      <c r="A516" s="206" t="str">
        <f t="shared" si="17"/>
        <v>SD17015Non-hosting Population</v>
      </c>
      <c r="B516" s="206" t="s">
        <v>173</v>
      </c>
      <c r="C516" s="206" t="s">
        <v>134</v>
      </c>
      <c r="D516" s="206" t="s">
        <v>528</v>
      </c>
      <c r="E516" s="206" t="s">
        <v>529</v>
      </c>
      <c r="F516" s="206" t="s">
        <v>735</v>
      </c>
      <c r="G516" s="207">
        <v>23591</v>
      </c>
      <c r="H516" s="206" t="s">
        <v>568</v>
      </c>
      <c r="I516" s="206" t="s">
        <v>731</v>
      </c>
      <c r="J516" s="233">
        <v>0.1</v>
      </c>
      <c r="K516" s="233">
        <v>0.42499999999999999</v>
      </c>
      <c r="L516" s="233">
        <v>0.42499999999999999</v>
      </c>
      <c r="M516" s="233">
        <v>0.05</v>
      </c>
      <c r="N516" s="233">
        <v>0</v>
      </c>
      <c r="O516" s="207">
        <v>1180</v>
      </c>
      <c r="P516" s="207">
        <f t="shared" si="18"/>
        <v>1075</v>
      </c>
      <c r="Q516" s="207">
        <v>3</v>
      </c>
      <c r="R516" s="207">
        <v>3</v>
      </c>
      <c r="U516" s="206">
        <v>0</v>
      </c>
      <c r="V516" s="206">
        <v>0</v>
      </c>
      <c r="W516" s="206">
        <v>1</v>
      </c>
      <c r="X516" s="206" t="e">
        <v>#DIV/0!</v>
      </c>
    </row>
    <row r="517" spans="1:24" x14ac:dyDescent="0.25">
      <c r="A517" s="206" t="str">
        <f t="shared" si="17"/>
        <v>SD17016Host Community</v>
      </c>
      <c r="B517" s="206" t="s">
        <v>173</v>
      </c>
      <c r="C517" s="206" t="s">
        <v>134</v>
      </c>
      <c r="D517" s="206" t="s">
        <v>530</v>
      </c>
      <c r="E517" s="206" t="s">
        <v>531</v>
      </c>
      <c r="F517" s="206" t="s">
        <v>735</v>
      </c>
      <c r="G517" s="207">
        <v>60564</v>
      </c>
      <c r="H517" s="206" t="s">
        <v>87</v>
      </c>
      <c r="I517" s="206" t="s">
        <v>731</v>
      </c>
      <c r="J517" s="233">
        <v>0.28448275862068967</v>
      </c>
      <c r="K517" s="233">
        <v>0.44827586206896552</v>
      </c>
      <c r="L517" s="233">
        <v>0.18965517241379309</v>
      </c>
      <c r="M517" s="233">
        <v>4.3103448275862072E-2</v>
      </c>
      <c r="N517" s="233">
        <v>3.4482758620689655E-2</v>
      </c>
      <c r="O517" s="207">
        <v>16185</v>
      </c>
      <c r="P517" s="207">
        <f t="shared" si="18"/>
        <v>14739</v>
      </c>
      <c r="Q517" s="207">
        <v>3</v>
      </c>
      <c r="R517" s="207">
        <v>3</v>
      </c>
      <c r="U517" s="206">
        <v>0</v>
      </c>
      <c r="V517" s="206">
        <v>1</v>
      </c>
      <c r="W517" s="206">
        <v>1</v>
      </c>
      <c r="X517" s="206" t="e">
        <v>#DIV/0!</v>
      </c>
    </row>
    <row r="518" spans="1:24" x14ac:dyDescent="0.25">
      <c r="A518" s="206" t="str">
        <f t="shared" si="17"/>
        <v>SD17016IDPs</v>
      </c>
      <c r="B518" s="206" t="s">
        <v>173</v>
      </c>
      <c r="C518" s="206" t="s">
        <v>134</v>
      </c>
      <c r="D518" s="206" t="s">
        <v>530</v>
      </c>
      <c r="E518" s="206" t="s">
        <v>531</v>
      </c>
      <c r="F518" s="206" t="s">
        <v>735</v>
      </c>
      <c r="G518" s="207">
        <v>59772</v>
      </c>
      <c r="H518" s="206" t="s">
        <v>88</v>
      </c>
      <c r="I518" s="206" t="s">
        <v>732</v>
      </c>
      <c r="J518" s="233">
        <v>0.28448275862068967</v>
      </c>
      <c r="K518" s="233">
        <v>0.44827586206896552</v>
      </c>
      <c r="L518" s="233">
        <v>0.18965517241379309</v>
      </c>
      <c r="M518" s="233">
        <v>4.3103448275862072E-2</v>
      </c>
      <c r="N518" s="233">
        <v>3.4482758620689655E-2</v>
      </c>
      <c r="O518" s="207">
        <v>15974</v>
      </c>
      <c r="P518" s="207">
        <f t="shared" si="18"/>
        <v>14547</v>
      </c>
      <c r="Q518" s="207">
        <v>3</v>
      </c>
      <c r="R518" s="207">
        <v>3</v>
      </c>
      <c r="U518" s="206">
        <v>0</v>
      </c>
      <c r="V518" s="206">
        <v>0</v>
      </c>
      <c r="W518" s="206">
        <v>1</v>
      </c>
      <c r="X518" s="206" t="e">
        <v>#DIV/0!</v>
      </c>
    </row>
    <row r="519" spans="1:24" x14ac:dyDescent="0.25">
      <c r="A519" s="206" t="str">
        <f t="shared" si="17"/>
        <v>SD17016Non-hosting Population</v>
      </c>
      <c r="B519" s="206" t="s">
        <v>173</v>
      </c>
      <c r="C519" s="206" t="s">
        <v>134</v>
      </c>
      <c r="D519" s="206" t="s">
        <v>530</v>
      </c>
      <c r="E519" s="206" t="s">
        <v>531</v>
      </c>
      <c r="F519" s="206" t="s">
        <v>735</v>
      </c>
      <c r="G519" s="207">
        <v>70910</v>
      </c>
      <c r="H519" s="206" t="s">
        <v>568</v>
      </c>
      <c r="I519" s="206" t="s">
        <v>731</v>
      </c>
      <c r="J519" s="233">
        <v>0.28448275862068967</v>
      </c>
      <c r="K519" s="233">
        <v>0.44827586206896552</v>
      </c>
      <c r="L519" s="233">
        <v>0.18965517241379309</v>
      </c>
      <c r="M519" s="233">
        <v>4.3103448275862072E-2</v>
      </c>
      <c r="N519" s="233">
        <v>3.4482758620689655E-2</v>
      </c>
      <c r="O519" s="207">
        <v>5502</v>
      </c>
      <c r="P519" s="207">
        <f t="shared" si="18"/>
        <v>5010</v>
      </c>
      <c r="Q519" s="207">
        <v>3</v>
      </c>
      <c r="R519" s="207">
        <v>3</v>
      </c>
      <c r="U519" s="206">
        <v>0</v>
      </c>
      <c r="V519" s="206">
        <v>1</v>
      </c>
      <c r="W519" s="206">
        <v>1</v>
      </c>
      <c r="X519" s="206" t="e">
        <v>#DIV/0!</v>
      </c>
    </row>
    <row r="520" spans="1:24" x14ac:dyDescent="0.25">
      <c r="A520" s="206" t="str">
        <f t="shared" si="17"/>
        <v>SD17017Host Community</v>
      </c>
      <c r="B520" s="206" t="s">
        <v>173</v>
      </c>
      <c r="C520" s="206" t="s">
        <v>134</v>
      </c>
      <c r="D520" s="206" t="s">
        <v>532</v>
      </c>
      <c r="E520" s="206" t="s">
        <v>533</v>
      </c>
      <c r="F520" s="206" t="s">
        <v>735</v>
      </c>
      <c r="G520" s="207">
        <v>63604</v>
      </c>
      <c r="H520" s="206" t="s">
        <v>87</v>
      </c>
      <c r="I520" s="206" t="s">
        <v>731</v>
      </c>
      <c r="J520" s="233">
        <v>0.14965986394557823</v>
      </c>
      <c r="K520" s="233">
        <v>0.31292517006802723</v>
      </c>
      <c r="L520" s="233">
        <v>0.48299319727891155</v>
      </c>
      <c r="M520" s="233">
        <v>3.4013605442176874E-2</v>
      </c>
      <c r="N520" s="233">
        <v>2.0408163265306121E-2</v>
      </c>
      <c r="O520" s="207">
        <v>34182</v>
      </c>
      <c r="P520" s="207">
        <f t="shared" si="18"/>
        <v>31128</v>
      </c>
      <c r="Q520" s="207">
        <v>3</v>
      </c>
      <c r="R520" s="207">
        <v>3</v>
      </c>
      <c r="U520" s="206">
        <v>0</v>
      </c>
      <c r="V520" s="206">
        <v>1</v>
      </c>
      <c r="W520" s="206">
        <v>1</v>
      </c>
      <c r="X520" s="206" t="e">
        <v>#DIV/0!</v>
      </c>
    </row>
    <row r="521" spans="1:24" x14ac:dyDescent="0.25">
      <c r="A521" s="206" t="str">
        <f t="shared" si="17"/>
        <v>SD17017IDPs</v>
      </c>
      <c r="B521" s="206" t="s">
        <v>173</v>
      </c>
      <c r="C521" s="206" t="s">
        <v>134</v>
      </c>
      <c r="D521" s="206" t="s">
        <v>532</v>
      </c>
      <c r="E521" s="206" t="s">
        <v>533</v>
      </c>
      <c r="F521" s="206" t="s">
        <v>735</v>
      </c>
      <c r="G521" s="207">
        <v>56350</v>
      </c>
      <c r="H521" s="206" t="s">
        <v>88</v>
      </c>
      <c r="I521" s="206" t="s">
        <v>732</v>
      </c>
      <c r="J521" s="233">
        <v>0.14965986394557823</v>
      </c>
      <c r="K521" s="233">
        <v>0.31292517006802723</v>
      </c>
      <c r="L521" s="233">
        <v>0.48299319727891155</v>
      </c>
      <c r="M521" s="233">
        <v>3.4013605442176874E-2</v>
      </c>
      <c r="N521" s="233">
        <v>2.0408163265306121E-2</v>
      </c>
      <c r="O521" s="207">
        <v>30283</v>
      </c>
      <c r="P521" s="207">
        <f t="shared" si="18"/>
        <v>27577</v>
      </c>
      <c r="Q521" s="207">
        <v>3</v>
      </c>
      <c r="R521" s="207">
        <v>3</v>
      </c>
      <c r="U521" s="206">
        <v>0</v>
      </c>
      <c r="V521" s="206">
        <v>1</v>
      </c>
      <c r="W521" s="206">
        <v>1</v>
      </c>
      <c r="X521" s="206" t="e">
        <v>#DIV/0!</v>
      </c>
    </row>
    <row r="522" spans="1:24" x14ac:dyDescent="0.25">
      <c r="A522" s="206" t="str">
        <f t="shared" si="17"/>
        <v>SD17017Non-hosting Population</v>
      </c>
      <c r="B522" s="206" t="s">
        <v>173</v>
      </c>
      <c r="C522" s="206" t="s">
        <v>134</v>
      </c>
      <c r="D522" s="206" t="s">
        <v>532</v>
      </c>
      <c r="E522" s="206" t="s">
        <v>533</v>
      </c>
      <c r="F522" s="206" t="s">
        <v>735</v>
      </c>
      <c r="G522" s="207">
        <v>156870</v>
      </c>
      <c r="H522" s="206" t="s">
        <v>568</v>
      </c>
      <c r="I522" s="206" t="s">
        <v>731</v>
      </c>
      <c r="J522" s="233">
        <v>0.14965986394557823</v>
      </c>
      <c r="K522" s="233">
        <v>0.31292517006802723</v>
      </c>
      <c r="L522" s="233">
        <v>0.48299319727891155</v>
      </c>
      <c r="M522" s="233">
        <v>3.4013605442176874E-2</v>
      </c>
      <c r="N522" s="233">
        <v>2.0408163265306121E-2</v>
      </c>
      <c r="O522" s="207">
        <v>8537</v>
      </c>
      <c r="P522" s="207">
        <f t="shared" si="18"/>
        <v>7774</v>
      </c>
      <c r="Q522" s="207">
        <v>3</v>
      </c>
      <c r="R522" s="207">
        <v>3</v>
      </c>
      <c r="U522" s="206">
        <v>0</v>
      </c>
      <c r="V522" s="206">
        <v>1</v>
      </c>
      <c r="W522" s="206">
        <v>1</v>
      </c>
      <c r="X522" s="206" t="e">
        <v>#DIV/0!</v>
      </c>
    </row>
    <row r="523" spans="1:24" x14ac:dyDescent="0.25">
      <c r="A523" s="206" t="str">
        <f t="shared" ref="A523:A573" si="19">CONCATENATE(E523,H523)</f>
        <v>SD17018Host Community</v>
      </c>
      <c r="B523" s="206" t="s">
        <v>173</v>
      </c>
      <c r="C523" s="206" t="s">
        <v>134</v>
      </c>
      <c r="D523" s="206" t="s">
        <v>534</v>
      </c>
      <c r="E523" s="206" t="s">
        <v>535</v>
      </c>
      <c r="F523" s="206" t="s">
        <v>735</v>
      </c>
      <c r="G523" s="207">
        <v>61040</v>
      </c>
      <c r="H523" s="206" t="s">
        <v>87</v>
      </c>
      <c r="I523" s="206" t="s">
        <v>731</v>
      </c>
      <c r="J523" s="233">
        <v>0.21546961325966851</v>
      </c>
      <c r="K523" s="233">
        <v>0.51933701657458564</v>
      </c>
      <c r="L523" s="233">
        <v>0.20441988950276244</v>
      </c>
      <c r="M523" s="233">
        <v>3.8674033149171269E-2</v>
      </c>
      <c r="N523" s="233">
        <v>2.2099447513812154E-2</v>
      </c>
      <c r="O523" s="207">
        <v>16187</v>
      </c>
      <c r="P523" s="207">
        <f t="shared" ref="P523:P573" si="20">ROUND(O523*$AB$5,0)</f>
        <v>14741</v>
      </c>
      <c r="Q523" s="207">
        <v>3</v>
      </c>
      <c r="R523" s="207">
        <v>3</v>
      </c>
      <c r="U523" s="206">
        <v>0</v>
      </c>
      <c r="V523" s="206">
        <v>0</v>
      </c>
      <c r="W523" s="206">
        <v>0</v>
      </c>
      <c r="X523" s="206" t="e">
        <v>#DIV/0!</v>
      </c>
    </row>
    <row r="524" spans="1:24" x14ac:dyDescent="0.25">
      <c r="A524" s="206" t="str">
        <f t="shared" si="19"/>
        <v>SD17018IDPs</v>
      </c>
      <c r="B524" s="206" t="s">
        <v>173</v>
      </c>
      <c r="C524" s="206" t="s">
        <v>134</v>
      </c>
      <c r="D524" s="206" t="s">
        <v>534</v>
      </c>
      <c r="E524" s="206" t="s">
        <v>535</v>
      </c>
      <c r="F524" s="206" t="s">
        <v>735</v>
      </c>
      <c r="G524" s="207">
        <v>60442</v>
      </c>
      <c r="H524" s="206" t="s">
        <v>88</v>
      </c>
      <c r="I524" s="206" t="s">
        <v>732</v>
      </c>
      <c r="J524" s="233">
        <v>0.21546961325966851</v>
      </c>
      <c r="K524" s="233">
        <v>0.51933701657458564</v>
      </c>
      <c r="L524" s="233">
        <v>0.20441988950276244</v>
      </c>
      <c r="M524" s="233">
        <v>3.8674033149171269E-2</v>
      </c>
      <c r="N524" s="233">
        <v>2.2099447513812154E-2</v>
      </c>
      <c r="O524" s="207">
        <v>16029</v>
      </c>
      <c r="P524" s="207">
        <f t="shared" si="20"/>
        <v>14597</v>
      </c>
      <c r="Q524" s="207">
        <v>3</v>
      </c>
      <c r="R524" s="207">
        <v>3</v>
      </c>
      <c r="U524" s="206">
        <v>0</v>
      </c>
      <c r="V524" s="206">
        <v>0</v>
      </c>
      <c r="W524" s="206">
        <v>0</v>
      </c>
      <c r="X524" s="206" t="e">
        <v>#DIV/0!</v>
      </c>
    </row>
    <row r="525" spans="1:24" x14ac:dyDescent="0.25">
      <c r="A525" s="206" t="str">
        <f t="shared" si="19"/>
        <v>SD17018Non-hosting Population</v>
      </c>
      <c r="B525" s="206" t="s">
        <v>173</v>
      </c>
      <c r="C525" s="206" t="s">
        <v>134</v>
      </c>
      <c r="D525" s="206" t="s">
        <v>534</v>
      </c>
      <c r="E525" s="206" t="s">
        <v>535</v>
      </c>
      <c r="F525" s="206" t="s">
        <v>735</v>
      </c>
      <c r="G525" s="207">
        <v>60478</v>
      </c>
      <c r="H525" s="206" t="s">
        <v>568</v>
      </c>
      <c r="I525" s="206" t="s">
        <v>731</v>
      </c>
      <c r="J525" s="233">
        <v>0.21546961325966851</v>
      </c>
      <c r="K525" s="233">
        <v>0.51933701657458564</v>
      </c>
      <c r="L525" s="233">
        <v>0.20441988950276244</v>
      </c>
      <c r="M525" s="233">
        <v>3.8674033149171269E-2</v>
      </c>
      <c r="N525" s="233">
        <v>2.2099447513812154E-2</v>
      </c>
      <c r="O525" s="207">
        <v>3675</v>
      </c>
      <c r="P525" s="207">
        <f t="shared" si="20"/>
        <v>3347</v>
      </c>
      <c r="Q525" s="207">
        <v>3</v>
      </c>
      <c r="R525" s="207">
        <v>3</v>
      </c>
      <c r="U525" s="206">
        <v>0</v>
      </c>
      <c r="V525" s="206">
        <v>0</v>
      </c>
      <c r="W525" s="206">
        <v>0</v>
      </c>
      <c r="X525" s="206" t="e">
        <v>#DIV/0!</v>
      </c>
    </row>
    <row r="526" spans="1:24" x14ac:dyDescent="0.25">
      <c r="A526" s="206" t="str">
        <f t="shared" si="19"/>
        <v>SD17019Host Community</v>
      </c>
      <c r="B526" s="206" t="s">
        <v>173</v>
      </c>
      <c r="C526" s="206" t="s">
        <v>134</v>
      </c>
      <c r="D526" s="206" t="s">
        <v>536</v>
      </c>
      <c r="E526" s="206" t="s">
        <v>537</v>
      </c>
      <c r="F526" s="206" t="s">
        <v>735</v>
      </c>
      <c r="G526" s="207">
        <v>67094</v>
      </c>
      <c r="H526" s="206" t="s">
        <v>87</v>
      </c>
      <c r="I526" s="206" t="s">
        <v>731</v>
      </c>
      <c r="J526" s="233">
        <v>0.25688073394495414</v>
      </c>
      <c r="K526" s="233">
        <v>0.44954128440366975</v>
      </c>
      <c r="L526" s="233">
        <v>0.20183486238532111</v>
      </c>
      <c r="M526" s="233">
        <v>4.5871559633027525E-2</v>
      </c>
      <c r="N526" s="233">
        <v>4.5871559633027525E-2</v>
      </c>
      <c r="O526" s="207">
        <v>19697</v>
      </c>
      <c r="P526" s="207">
        <f t="shared" si="20"/>
        <v>17937</v>
      </c>
      <c r="Q526" s="207">
        <v>3</v>
      </c>
      <c r="R526" s="207">
        <v>3</v>
      </c>
      <c r="U526" s="206">
        <v>0</v>
      </c>
      <c r="V526" s="206">
        <v>1</v>
      </c>
      <c r="W526" s="206">
        <v>1</v>
      </c>
      <c r="X526" s="206" t="e">
        <v>#DIV/0!</v>
      </c>
    </row>
    <row r="527" spans="1:24" x14ac:dyDescent="0.25">
      <c r="A527" s="206" t="str">
        <f t="shared" si="19"/>
        <v>SD17019IDPs</v>
      </c>
      <c r="B527" s="206" t="s">
        <v>173</v>
      </c>
      <c r="C527" s="206" t="s">
        <v>134</v>
      </c>
      <c r="D527" s="206" t="s">
        <v>536</v>
      </c>
      <c r="E527" s="206" t="s">
        <v>537</v>
      </c>
      <c r="F527" s="206" t="s">
        <v>735</v>
      </c>
      <c r="G527" s="207">
        <v>66310</v>
      </c>
      <c r="H527" s="206" t="s">
        <v>88</v>
      </c>
      <c r="I527" s="206" t="s">
        <v>732</v>
      </c>
      <c r="J527" s="233">
        <v>0.25688073394495414</v>
      </c>
      <c r="K527" s="233">
        <v>0.44954128440366975</v>
      </c>
      <c r="L527" s="233">
        <v>0.20183486238532111</v>
      </c>
      <c r="M527" s="233">
        <v>4.5871559633027525E-2</v>
      </c>
      <c r="N527" s="233">
        <v>4.5871559633027525E-2</v>
      </c>
      <c r="O527" s="207">
        <v>19467</v>
      </c>
      <c r="P527" s="207">
        <f t="shared" si="20"/>
        <v>17728</v>
      </c>
      <c r="Q527" s="207">
        <v>3</v>
      </c>
      <c r="R527" s="207">
        <v>3</v>
      </c>
      <c r="U527" s="206">
        <v>0</v>
      </c>
      <c r="V527" s="206">
        <v>0</v>
      </c>
      <c r="W527" s="206">
        <v>0</v>
      </c>
      <c r="X527" s="206" t="e">
        <v>#DIV/0!</v>
      </c>
    </row>
    <row r="528" spans="1:24" x14ac:dyDescent="0.25">
      <c r="A528" s="206" t="str">
        <f t="shared" si="19"/>
        <v>SD17019Non-hosting Population</v>
      </c>
      <c r="B528" s="206" t="s">
        <v>173</v>
      </c>
      <c r="C528" s="206" t="s">
        <v>134</v>
      </c>
      <c r="D528" s="206" t="s">
        <v>536</v>
      </c>
      <c r="E528" s="206" t="s">
        <v>537</v>
      </c>
      <c r="F528" s="206" t="s">
        <v>735</v>
      </c>
      <c r="G528" s="207">
        <v>152565</v>
      </c>
      <c r="H528" s="206" t="s">
        <v>568</v>
      </c>
      <c r="I528" s="206" t="s">
        <v>731</v>
      </c>
      <c r="J528" s="233">
        <v>0.25688073394495414</v>
      </c>
      <c r="K528" s="233">
        <v>0.44954128440366975</v>
      </c>
      <c r="L528" s="233">
        <v>0.20183486238532111</v>
      </c>
      <c r="M528" s="233">
        <v>4.5871559633027525E-2</v>
      </c>
      <c r="N528" s="233">
        <v>4.5871559633027525E-2</v>
      </c>
      <c r="O528" s="207">
        <v>13997</v>
      </c>
      <c r="P528" s="207">
        <f t="shared" si="20"/>
        <v>12746</v>
      </c>
      <c r="Q528" s="207">
        <v>3</v>
      </c>
      <c r="R528" s="207">
        <v>3</v>
      </c>
      <c r="U528" s="206">
        <v>0</v>
      </c>
      <c r="V528" s="206">
        <v>1</v>
      </c>
      <c r="W528" s="206">
        <v>1</v>
      </c>
      <c r="X528" s="206" t="e">
        <v>#DIV/0!</v>
      </c>
    </row>
    <row r="529" spans="1:24" x14ac:dyDescent="0.25">
      <c r="A529" s="206" t="str">
        <f t="shared" si="19"/>
        <v>SD17020Host Community</v>
      </c>
      <c r="B529" s="206" t="s">
        <v>173</v>
      </c>
      <c r="C529" s="206" t="s">
        <v>134</v>
      </c>
      <c r="D529" s="206" t="s">
        <v>538</v>
      </c>
      <c r="E529" s="206" t="s">
        <v>539</v>
      </c>
      <c r="F529" s="206" t="s">
        <v>735</v>
      </c>
      <c r="G529" s="207">
        <v>79787</v>
      </c>
      <c r="H529" s="206" t="s">
        <v>87</v>
      </c>
      <c r="I529" s="206" t="s">
        <v>731</v>
      </c>
      <c r="J529" s="233">
        <v>6.569343065693431E-2</v>
      </c>
      <c r="K529" s="233">
        <v>0.64233576642335766</v>
      </c>
      <c r="L529" s="233">
        <v>0.27007299270072993</v>
      </c>
      <c r="M529" s="233">
        <v>7.2992700729927005E-3</v>
      </c>
      <c r="N529" s="233">
        <v>1.4598540145985401E-2</v>
      </c>
      <c r="O529" s="207">
        <v>23295</v>
      </c>
      <c r="P529" s="207">
        <f t="shared" si="20"/>
        <v>21214</v>
      </c>
      <c r="Q529" s="207">
        <v>3</v>
      </c>
      <c r="R529" s="207">
        <v>3</v>
      </c>
      <c r="U529" s="206">
        <v>0</v>
      </c>
      <c r="V529" s="206">
        <v>0</v>
      </c>
      <c r="W529" s="206">
        <v>0</v>
      </c>
      <c r="X529" s="206" t="e">
        <v>#DIV/0!</v>
      </c>
    </row>
    <row r="530" spans="1:24" x14ac:dyDescent="0.25">
      <c r="A530" s="206" t="str">
        <f t="shared" si="19"/>
        <v>SD17020IDPs</v>
      </c>
      <c r="B530" s="206" t="s">
        <v>173</v>
      </c>
      <c r="C530" s="206" t="s">
        <v>134</v>
      </c>
      <c r="D530" s="206" t="s">
        <v>538</v>
      </c>
      <c r="E530" s="206" t="s">
        <v>539</v>
      </c>
      <c r="F530" s="206" t="s">
        <v>735</v>
      </c>
      <c r="G530" s="207">
        <v>79388</v>
      </c>
      <c r="H530" s="206" t="s">
        <v>88</v>
      </c>
      <c r="I530" s="206" t="s">
        <v>732</v>
      </c>
      <c r="J530" s="233">
        <v>6.569343065693431E-2</v>
      </c>
      <c r="K530" s="233">
        <v>0.64233576642335766</v>
      </c>
      <c r="L530" s="233">
        <v>0.27007299270072993</v>
      </c>
      <c r="M530" s="233">
        <v>7.2992700729927005E-3</v>
      </c>
      <c r="N530" s="233">
        <v>1.4598540145985401E-2</v>
      </c>
      <c r="O530" s="207">
        <v>23179</v>
      </c>
      <c r="P530" s="207">
        <f t="shared" si="20"/>
        <v>21108</v>
      </c>
      <c r="Q530" s="207">
        <v>3</v>
      </c>
      <c r="R530" s="207">
        <v>3</v>
      </c>
      <c r="U530" s="206">
        <v>0</v>
      </c>
      <c r="V530" s="206">
        <v>0</v>
      </c>
      <c r="W530" s="206">
        <v>1</v>
      </c>
      <c r="X530" s="206" t="e">
        <v>#DIV/0!</v>
      </c>
    </row>
    <row r="531" spans="1:24" x14ac:dyDescent="0.25">
      <c r="A531" s="206" t="str">
        <f t="shared" si="19"/>
        <v>SD17020Non-hosting Population</v>
      </c>
      <c r="B531" s="206" t="s">
        <v>173</v>
      </c>
      <c r="C531" s="206" t="s">
        <v>134</v>
      </c>
      <c r="D531" s="206" t="s">
        <v>538</v>
      </c>
      <c r="E531" s="206" t="s">
        <v>539</v>
      </c>
      <c r="F531" s="206" t="s">
        <v>735</v>
      </c>
      <c r="G531" s="207">
        <v>151326</v>
      </c>
      <c r="H531" s="206" t="s">
        <v>568</v>
      </c>
      <c r="I531" s="206" t="s">
        <v>731</v>
      </c>
      <c r="J531" s="233">
        <v>6.569343065693431E-2</v>
      </c>
      <c r="K531" s="233">
        <v>0.64233576642335766</v>
      </c>
      <c r="L531" s="233">
        <v>0.27007299270072993</v>
      </c>
      <c r="M531" s="233">
        <v>7.2992700729927005E-3</v>
      </c>
      <c r="N531" s="233">
        <v>1.4598540145985401E-2</v>
      </c>
      <c r="O531" s="207">
        <v>3314</v>
      </c>
      <c r="P531" s="207">
        <f t="shared" si="20"/>
        <v>3018</v>
      </c>
      <c r="Q531" s="207">
        <v>3</v>
      </c>
      <c r="R531" s="207">
        <v>3</v>
      </c>
      <c r="U531" s="206">
        <v>0</v>
      </c>
      <c r="V531" s="206">
        <v>0</v>
      </c>
      <c r="W531" s="206">
        <v>0</v>
      </c>
      <c r="X531" s="206" t="e">
        <v>#DIV/0!</v>
      </c>
    </row>
    <row r="532" spans="1:24" x14ac:dyDescent="0.25">
      <c r="A532" s="206" t="str">
        <f t="shared" si="19"/>
        <v>SD18021Host Community</v>
      </c>
      <c r="B532" s="206" t="s">
        <v>194</v>
      </c>
      <c r="C532" s="206" t="s">
        <v>135</v>
      </c>
      <c r="D532" s="206" t="s">
        <v>540</v>
      </c>
      <c r="E532" s="206" t="s">
        <v>541</v>
      </c>
      <c r="F532" s="206" t="s">
        <v>735</v>
      </c>
      <c r="G532" s="207">
        <v>19604</v>
      </c>
      <c r="H532" s="206" t="s">
        <v>87</v>
      </c>
      <c r="I532" s="206" t="s">
        <v>731</v>
      </c>
      <c r="J532" s="233">
        <v>0.17073170731707318</v>
      </c>
      <c r="K532" s="233">
        <v>0.22764227642276422</v>
      </c>
      <c r="L532" s="233">
        <v>0.53658536585365857</v>
      </c>
      <c r="M532" s="233">
        <v>4.065040650406504E-2</v>
      </c>
      <c r="N532" s="233">
        <v>2.4390243902439025E-2</v>
      </c>
      <c r="O532" s="207">
        <v>11794</v>
      </c>
      <c r="P532" s="207">
        <f t="shared" si="20"/>
        <v>10740</v>
      </c>
      <c r="Q532" s="207">
        <v>3</v>
      </c>
      <c r="R532" s="207">
        <v>3</v>
      </c>
      <c r="U532" s="206">
        <v>0</v>
      </c>
      <c r="V532" s="206">
        <v>1</v>
      </c>
      <c r="W532" s="206">
        <v>1</v>
      </c>
      <c r="X532" s="206" t="e">
        <v>#DIV/0!</v>
      </c>
    </row>
    <row r="533" spans="1:24" x14ac:dyDescent="0.25">
      <c r="A533" s="206" t="str">
        <f t="shared" si="19"/>
        <v>SD18021IDPs</v>
      </c>
      <c r="B533" s="206" t="s">
        <v>194</v>
      </c>
      <c r="C533" s="206" t="s">
        <v>135</v>
      </c>
      <c r="D533" s="206" t="s">
        <v>540</v>
      </c>
      <c r="E533" s="206" t="s">
        <v>541</v>
      </c>
      <c r="F533" s="206" t="s">
        <v>735</v>
      </c>
      <c r="G533" s="207">
        <v>13823</v>
      </c>
      <c r="H533" s="206" t="s">
        <v>88</v>
      </c>
      <c r="I533" s="206" t="s">
        <v>732</v>
      </c>
      <c r="J533" s="233">
        <v>0.17073170731707318</v>
      </c>
      <c r="K533" s="233">
        <v>0.22764227642276422</v>
      </c>
      <c r="L533" s="233">
        <v>0.53658536585365857</v>
      </c>
      <c r="M533" s="233">
        <v>4.065040650406504E-2</v>
      </c>
      <c r="N533" s="233">
        <v>2.4390243902439025E-2</v>
      </c>
      <c r="O533" s="207">
        <v>8316</v>
      </c>
      <c r="P533" s="207">
        <f t="shared" si="20"/>
        <v>7573</v>
      </c>
      <c r="Q533" s="207">
        <v>3</v>
      </c>
      <c r="R533" s="207">
        <v>3</v>
      </c>
      <c r="U533" s="206">
        <v>0</v>
      </c>
      <c r="V533" s="206">
        <v>1</v>
      </c>
      <c r="W533" s="206">
        <v>1</v>
      </c>
      <c r="X533" s="206" t="e">
        <v>#DIV/0!</v>
      </c>
    </row>
    <row r="534" spans="1:24" x14ac:dyDescent="0.25">
      <c r="A534" s="206" t="str">
        <f t="shared" si="19"/>
        <v>SD18021Non-hosting Population</v>
      </c>
      <c r="B534" s="206" t="s">
        <v>194</v>
      </c>
      <c r="C534" s="206" t="s">
        <v>135</v>
      </c>
      <c r="D534" s="206" t="s">
        <v>540</v>
      </c>
      <c r="E534" s="206" t="s">
        <v>541</v>
      </c>
      <c r="F534" s="206" t="s">
        <v>735</v>
      </c>
      <c r="G534" s="207">
        <v>188919</v>
      </c>
      <c r="H534" s="206" t="s">
        <v>568</v>
      </c>
      <c r="I534" s="206" t="s">
        <v>731</v>
      </c>
      <c r="J534" s="233">
        <v>0.17073170731707318</v>
      </c>
      <c r="K534" s="233">
        <v>0.22764227642276422</v>
      </c>
      <c r="L534" s="233">
        <v>0.53658536585365857</v>
      </c>
      <c r="M534" s="233">
        <v>4.065040650406504E-2</v>
      </c>
      <c r="N534" s="233">
        <v>2.4390243902439025E-2</v>
      </c>
      <c r="O534" s="207">
        <v>12287</v>
      </c>
      <c r="P534" s="207">
        <f t="shared" si="20"/>
        <v>11189</v>
      </c>
      <c r="Q534" s="207">
        <v>3</v>
      </c>
      <c r="R534" s="207">
        <v>3</v>
      </c>
      <c r="U534" s="206">
        <v>0</v>
      </c>
      <c r="V534" s="206">
        <v>1</v>
      </c>
      <c r="W534" s="206">
        <v>1</v>
      </c>
      <c r="X534" s="206" t="e">
        <v>#DIV/0!</v>
      </c>
    </row>
    <row r="535" spans="1:24" x14ac:dyDescent="0.25">
      <c r="A535" s="206" t="str">
        <f t="shared" si="19"/>
        <v>SD18022Host Community</v>
      </c>
      <c r="B535" s="206" t="s">
        <v>194</v>
      </c>
      <c r="C535" s="206" t="s">
        <v>135</v>
      </c>
      <c r="D535" s="206" t="s">
        <v>542</v>
      </c>
      <c r="E535" s="206" t="s">
        <v>543</v>
      </c>
      <c r="F535" s="206" t="s">
        <v>735</v>
      </c>
      <c r="G535" s="207">
        <v>45809</v>
      </c>
      <c r="H535" s="206" t="s">
        <v>87</v>
      </c>
      <c r="I535" s="206" t="s">
        <v>731</v>
      </c>
      <c r="J535" s="233">
        <v>0.16393442622950818</v>
      </c>
      <c r="K535" s="233">
        <v>0.38524590163934425</v>
      </c>
      <c r="L535" s="233">
        <v>0.45081967213114754</v>
      </c>
      <c r="M535" s="233">
        <v>0</v>
      </c>
      <c r="N535" s="233">
        <v>0</v>
      </c>
      <c r="O535" s="207">
        <v>20652</v>
      </c>
      <c r="P535" s="207">
        <f t="shared" si="20"/>
        <v>18807</v>
      </c>
      <c r="Q535" s="207">
        <v>3</v>
      </c>
      <c r="R535" s="207">
        <v>3</v>
      </c>
      <c r="U535" s="206">
        <v>0</v>
      </c>
      <c r="V535" s="206">
        <v>1</v>
      </c>
      <c r="W535" s="206">
        <v>1</v>
      </c>
      <c r="X535" s="206" t="e">
        <v>#DIV/0!</v>
      </c>
    </row>
    <row r="536" spans="1:24" x14ac:dyDescent="0.25">
      <c r="A536" s="206" t="str">
        <f t="shared" si="19"/>
        <v>SD18022IDPs</v>
      </c>
      <c r="B536" s="206" t="s">
        <v>194</v>
      </c>
      <c r="C536" s="206" t="s">
        <v>135</v>
      </c>
      <c r="D536" s="206" t="s">
        <v>542</v>
      </c>
      <c r="E536" s="206" t="s">
        <v>543</v>
      </c>
      <c r="F536" s="206" t="s">
        <v>735</v>
      </c>
      <c r="G536" s="207">
        <v>46202</v>
      </c>
      <c r="H536" s="206" t="s">
        <v>88</v>
      </c>
      <c r="I536" s="206" t="s">
        <v>732</v>
      </c>
      <c r="J536" s="233">
        <v>0.16393442622950818</v>
      </c>
      <c r="K536" s="233">
        <v>0.38524590163934425</v>
      </c>
      <c r="L536" s="233">
        <v>0.45081967213114754</v>
      </c>
      <c r="M536" s="233">
        <v>0</v>
      </c>
      <c r="N536" s="233">
        <v>0</v>
      </c>
      <c r="O536" s="207">
        <v>20829</v>
      </c>
      <c r="P536" s="207">
        <f t="shared" si="20"/>
        <v>18968</v>
      </c>
      <c r="Q536" s="207">
        <v>3</v>
      </c>
      <c r="R536" s="207">
        <v>3</v>
      </c>
      <c r="U536" s="206">
        <v>0</v>
      </c>
      <c r="V536" s="206">
        <v>1</v>
      </c>
      <c r="W536" s="206">
        <v>1</v>
      </c>
      <c r="X536" s="206" t="e">
        <v>#DIV/0!</v>
      </c>
    </row>
    <row r="537" spans="1:24" x14ac:dyDescent="0.25">
      <c r="A537" s="206" t="str">
        <f t="shared" si="19"/>
        <v>SD18022Non-hosting Population</v>
      </c>
      <c r="B537" s="206" t="s">
        <v>194</v>
      </c>
      <c r="C537" s="206" t="s">
        <v>135</v>
      </c>
      <c r="D537" s="206" t="s">
        <v>542</v>
      </c>
      <c r="E537" s="206" t="s">
        <v>543</v>
      </c>
      <c r="F537" s="206" t="s">
        <v>735</v>
      </c>
      <c r="G537" s="207">
        <v>312259</v>
      </c>
      <c r="H537" s="206" t="s">
        <v>568</v>
      </c>
      <c r="I537" s="206" t="s">
        <v>731</v>
      </c>
      <c r="J537" s="233">
        <v>0.16393442622950818</v>
      </c>
      <c r="K537" s="233">
        <v>0.38524590163934425</v>
      </c>
      <c r="L537" s="233">
        <v>0.45081967213114754</v>
      </c>
      <c r="M537" s="233">
        <v>0</v>
      </c>
      <c r="N537" s="233">
        <v>0</v>
      </c>
      <c r="O537" s="207">
        <v>0</v>
      </c>
      <c r="P537" s="207">
        <f t="shared" si="20"/>
        <v>0</v>
      </c>
      <c r="Q537" s="207">
        <v>3</v>
      </c>
      <c r="R537" s="207">
        <v>3</v>
      </c>
      <c r="U537" s="206">
        <v>0</v>
      </c>
      <c r="V537" s="206">
        <v>1</v>
      </c>
      <c r="W537" s="206">
        <v>1</v>
      </c>
      <c r="X537" s="206" t="e">
        <v>#DIV/0!</v>
      </c>
    </row>
    <row r="538" spans="1:24" x14ac:dyDescent="0.25">
      <c r="A538" s="206" t="str">
        <f t="shared" si="19"/>
        <v>SD18028Host Community</v>
      </c>
      <c r="B538" s="206" t="s">
        <v>194</v>
      </c>
      <c r="C538" s="206" t="s">
        <v>135</v>
      </c>
      <c r="D538" s="206" t="s">
        <v>544</v>
      </c>
      <c r="E538" s="206" t="s">
        <v>545</v>
      </c>
      <c r="F538" s="206" t="s">
        <v>735</v>
      </c>
      <c r="G538" s="207">
        <v>26620</v>
      </c>
      <c r="H538" s="206" t="s">
        <v>87</v>
      </c>
      <c r="I538" s="206" t="s">
        <v>731</v>
      </c>
      <c r="J538" s="233">
        <v>0.17073170731707318</v>
      </c>
      <c r="K538" s="233">
        <v>0.33333333333333331</v>
      </c>
      <c r="L538" s="233">
        <v>0.4065040650406504</v>
      </c>
      <c r="M538" s="233">
        <v>1.6260162601626018E-2</v>
      </c>
      <c r="N538" s="233">
        <v>7.3170731707317069E-2</v>
      </c>
      <c r="O538" s="207">
        <v>13202</v>
      </c>
      <c r="P538" s="207">
        <f t="shared" si="20"/>
        <v>12022</v>
      </c>
      <c r="Q538" s="207">
        <v>3</v>
      </c>
      <c r="R538" s="207">
        <v>3</v>
      </c>
      <c r="U538" s="206">
        <v>0</v>
      </c>
      <c r="V538" s="206">
        <v>0</v>
      </c>
      <c r="W538" s="206">
        <v>1</v>
      </c>
      <c r="X538" s="206" t="e">
        <v>#DIV/0!</v>
      </c>
    </row>
    <row r="539" spans="1:24" x14ac:dyDescent="0.25">
      <c r="A539" s="206" t="str">
        <f t="shared" si="19"/>
        <v>SD18028IDPs</v>
      </c>
      <c r="B539" s="206" t="s">
        <v>194</v>
      </c>
      <c r="C539" s="206" t="s">
        <v>135</v>
      </c>
      <c r="D539" s="206" t="s">
        <v>544</v>
      </c>
      <c r="E539" s="206" t="s">
        <v>545</v>
      </c>
      <c r="F539" s="206" t="s">
        <v>735</v>
      </c>
      <c r="G539" s="207">
        <v>26261</v>
      </c>
      <c r="H539" s="206" t="s">
        <v>88</v>
      </c>
      <c r="I539" s="206" t="s">
        <v>732</v>
      </c>
      <c r="J539" s="233">
        <v>0.17073170731707318</v>
      </c>
      <c r="K539" s="233">
        <v>0.33333333333333331</v>
      </c>
      <c r="L539" s="233">
        <v>0.4065040650406504</v>
      </c>
      <c r="M539" s="233">
        <v>1.6260162601626018E-2</v>
      </c>
      <c r="N539" s="233">
        <v>7.3170731707317069E-2</v>
      </c>
      <c r="O539" s="207">
        <v>13024</v>
      </c>
      <c r="P539" s="207">
        <f t="shared" si="20"/>
        <v>11860</v>
      </c>
      <c r="Q539" s="207">
        <v>3</v>
      </c>
      <c r="R539" s="207">
        <v>3</v>
      </c>
      <c r="U539" s="206">
        <v>0</v>
      </c>
      <c r="V539" s="206">
        <v>1</v>
      </c>
      <c r="W539" s="206">
        <v>1</v>
      </c>
      <c r="X539" s="206" t="e">
        <v>#DIV/0!</v>
      </c>
    </row>
    <row r="540" spans="1:24" x14ac:dyDescent="0.25">
      <c r="A540" s="206" t="str">
        <f t="shared" si="19"/>
        <v>SD18028Non-hosting Population</v>
      </c>
      <c r="B540" s="206" t="s">
        <v>194</v>
      </c>
      <c r="C540" s="206" t="s">
        <v>135</v>
      </c>
      <c r="D540" s="206" t="s">
        <v>544</v>
      </c>
      <c r="E540" s="206" t="s">
        <v>545</v>
      </c>
      <c r="F540" s="206" t="s">
        <v>735</v>
      </c>
      <c r="G540" s="207">
        <v>123632</v>
      </c>
      <c r="H540" s="206" t="s">
        <v>568</v>
      </c>
      <c r="I540" s="206" t="s">
        <v>731</v>
      </c>
      <c r="J540" s="233">
        <v>0.17073170731707318</v>
      </c>
      <c r="K540" s="233">
        <v>0.33333333333333331</v>
      </c>
      <c r="L540" s="233">
        <v>0.4065040650406504</v>
      </c>
      <c r="M540" s="233">
        <v>1.6260162601626018E-2</v>
      </c>
      <c r="N540" s="233">
        <v>7.3170731707317069E-2</v>
      </c>
      <c r="O540" s="207">
        <v>11057</v>
      </c>
      <c r="P540" s="207">
        <f t="shared" si="20"/>
        <v>10069</v>
      </c>
      <c r="Q540" s="207">
        <v>3</v>
      </c>
      <c r="R540" s="207">
        <v>3</v>
      </c>
      <c r="U540" s="206">
        <v>0</v>
      </c>
      <c r="V540" s="206">
        <v>0</v>
      </c>
      <c r="W540" s="206">
        <v>1</v>
      </c>
      <c r="X540" s="206" t="e">
        <v>#DIV/0!</v>
      </c>
    </row>
    <row r="541" spans="1:24" x14ac:dyDescent="0.25">
      <c r="A541" s="206" t="str">
        <f t="shared" si="19"/>
        <v>SD18029Host Community</v>
      </c>
      <c r="B541" s="206" t="s">
        <v>194</v>
      </c>
      <c r="C541" s="206" t="s">
        <v>135</v>
      </c>
      <c r="D541" s="206" t="s">
        <v>546</v>
      </c>
      <c r="E541" s="206" t="s">
        <v>547</v>
      </c>
      <c r="F541" s="206" t="s">
        <v>735</v>
      </c>
      <c r="G541" s="207">
        <v>6303</v>
      </c>
      <c r="H541" s="206" t="s">
        <v>87</v>
      </c>
      <c r="I541" s="206" t="s">
        <v>731</v>
      </c>
      <c r="J541" s="233">
        <v>7.3770491803278687E-2</v>
      </c>
      <c r="K541" s="233">
        <v>0.28688524590163933</v>
      </c>
      <c r="L541" s="233">
        <v>0.60655737704918034</v>
      </c>
      <c r="M541" s="233">
        <v>0</v>
      </c>
      <c r="N541" s="233">
        <v>3.2786885245901641E-2</v>
      </c>
      <c r="O541" s="207">
        <v>4030</v>
      </c>
      <c r="P541" s="207">
        <f t="shared" si="20"/>
        <v>3670</v>
      </c>
      <c r="Q541" s="207">
        <v>3</v>
      </c>
      <c r="R541" s="207">
        <v>3</v>
      </c>
      <c r="U541" s="206">
        <v>0</v>
      </c>
      <c r="V541" s="206">
        <v>0</v>
      </c>
      <c r="W541" s="206">
        <v>1</v>
      </c>
      <c r="X541" s="206" t="e">
        <v>#DIV/0!</v>
      </c>
    </row>
    <row r="542" spans="1:24" x14ac:dyDescent="0.25">
      <c r="A542" s="206" t="str">
        <f t="shared" si="19"/>
        <v>SD18029IDPs</v>
      </c>
      <c r="B542" s="206" t="s">
        <v>194</v>
      </c>
      <c r="C542" s="206" t="s">
        <v>135</v>
      </c>
      <c r="D542" s="206" t="s">
        <v>546</v>
      </c>
      <c r="E542" s="206" t="s">
        <v>547</v>
      </c>
      <c r="F542" s="206" t="s">
        <v>735</v>
      </c>
      <c r="G542" s="207">
        <v>6300</v>
      </c>
      <c r="H542" s="206" t="s">
        <v>88</v>
      </c>
      <c r="I542" s="206" t="s">
        <v>732</v>
      </c>
      <c r="J542" s="233">
        <v>7.3770491803278687E-2</v>
      </c>
      <c r="K542" s="233">
        <v>0.28688524590163933</v>
      </c>
      <c r="L542" s="233">
        <v>0.60655737704918034</v>
      </c>
      <c r="M542" s="233">
        <v>0</v>
      </c>
      <c r="N542" s="233">
        <v>3.2786885245901641E-2</v>
      </c>
      <c r="O542" s="207">
        <v>4028</v>
      </c>
      <c r="P542" s="207">
        <f t="shared" si="20"/>
        <v>3668</v>
      </c>
      <c r="Q542" s="207">
        <v>3</v>
      </c>
      <c r="R542" s="207">
        <v>3</v>
      </c>
      <c r="U542" s="206">
        <v>0</v>
      </c>
      <c r="V542" s="206">
        <v>0</v>
      </c>
      <c r="W542" s="206">
        <v>1</v>
      </c>
      <c r="X542" s="206" t="e">
        <v>#DIV/0!</v>
      </c>
    </row>
    <row r="543" spans="1:24" x14ac:dyDescent="0.25">
      <c r="A543" s="206" t="str">
        <f t="shared" si="19"/>
        <v>SD18029Non-hosting Population</v>
      </c>
      <c r="B543" s="206" t="s">
        <v>194</v>
      </c>
      <c r="C543" s="206" t="s">
        <v>135</v>
      </c>
      <c r="D543" s="206" t="s">
        <v>546</v>
      </c>
      <c r="E543" s="206" t="s">
        <v>547</v>
      </c>
      <c r="F543" s="206" t="s">
        <v>735</v>
      </c>
      <c r="G543" s="207">
        <v>213955</v>
      </c>
      <c r="H543" s="206" t="s">
        <v>568</v>
      </c>
      <c r="I543" s="206" t="s">
        <v>731</v>
      </c>
      <c r="J543" s="233">
        <v>7.3770491803278687E-2</v>
      </c>
      <c r="K543" s="233">
        <v>0.28688524590163933</v>
      </c>
      <c r="L543" s="233">
        <v>0.60655737704918034</v>
      </c>
      <c r="M543" s="233">
        <v>0</v>
      </c>
      <c r="N543" s="233">
        <v>3.2786885245901641E-2</v>
      </c>
      <c r="O543" s="207">
        <v>7015</v>
      </c>
      <c r="P543" s="207">
        <f t="shared" si="20"/>
        <v>6388</v>
      </c>
      <c r="Q543" s="207">
        <v>3</v>
      </c>
      <c r="R543" s="207">
        <v>3</v>
      </c>
      <c r="U543" s="206">
        <v>0</v>
      </c>
      <c r="V543" s="206">
        <v>0</v>
      </c>
      <c r="W543" s="206">
        <v>1</v>
      </c>
      <c r="X543" s="206" t="e">
        <v>#DIV/0!</v>
      </c>
    </row>
    <row r="544" spans="1:24" x14ac:dyDescent="0.25">
      <c r="A544" s="206" t="str">
        <f t="shared" si="19"/>
        <v>SD18085Host Community</v>
      </c>
      <c r="B544" s="206" t="s">
        <v>194</v>
      </c>
      <c r="C544" s="206" t="s">
        <v>135</v>
      </c>
      <c r="D544" s="206" t="s">
        <v>548</v>
      </c>
      <c r="E544" s="206" t="s">
        <v>549</v>
      </c>
      <c r="F544" s="206" t="s">
        <v>735</v>
      </c>
      <c r="G544" s="207">
        <v>20112</v>
      </c>
      <c r="H544" s="206" t="s">
        <v>87</v>
      </c>
      <c r="I544" s="206" t="s">
        <v>731</v>
      </c>
      <c r="J544" s="233">
        <v>2.5000000000000001E-2</v>
      </c>
      <c r="K544" s="233">
        <v>0.1</v>
      </c>
      <c r="L544" s="233">
        <v>0.78333333333333333</v>
      </c>
      <c r="M544" s="233">
        <v>0</v>
      </c>
      <c r="N544" s="233">
        <v>9.166666666666666E-2</v>
      </c>
      <c r="O544" s="207">
        <v>17598</v>
      </c>
      <c r="P544" s="207">
        <f t="shared" si="20"/>
        <v>16026</v>
      </c>
      <c r="Q544" s="207">
        <v>3</v>
      </c>
      <c r="R544" s="207">
        <v>3</v>
      </c>
      <c r="U544" s="206">
        <v>0</v>
      </c>
      <c r="V544" s="206">
        <v>1</v>
      </c>
      <c r="W544" s="206">
        <v>1</v>
      </c>
      <c r="X544" s="206" t="e">
        <v>#DIV/0!</v>
      </c>
    </row>
    <row r="545" spans="1:24" x14ac:dyDescent="0.25">
      <c r="A545" s="206" t="str">
        <f t="shared" si="19"/>
        <v>SD18085IDPs</v>
      </c>
      <c r="B545" s="206" t="s">
        <v>194</v>
      </c>
      <c r="C545" s="206" t="s">
        <v>135</v>
      </c>
      <c r="D545" s="206" t="s">
        <v>548</v>
      </c>
      <c r="E545" s="206" t="s">
        <v>549</v>
      </c>
      <c r="F545" s="206" t="s">
        <v>735</v>
      </c>
      <c r="G545" s="207">
        <v>13758</v>
      </c>
      <c r="H545" s="206" t="s">
        <v>88</v>
      </c>
      <c r="I545" s="206" t="s">
        <v>732</v>
      </c>
      <c r="J545" s="233">
        <v>2.5000000000000001E-2</v>
      </c>
      <c r="K545" s="233">
        <v>0.1</v>
      </c>
      <c r="L545" s="233">
        <v>0.78333333333333333</v>
      </c>
      <c r="M545" s="233">
        <v>0</v>
      </c>
      <c r="N545" s="233">
        <v>9.166666666666666E-2</v>
      </c>
      <c r="O545" s="207">
        <v>12038</v>
      </c>
      <c r="P545" s="207">
        <f t="shared" si="20"/>
        <v>10962</v>
      </c>
      <c r="Q545" s="207">
        <v>3</v>
      </c>
      <c r="R545" s="207">
        <v>3</v>
      </c>
      <c r="U545" s="206">
        <v>0</v>
      </c>
      <c r="V545" s="206">
        <v>1</v>
      </c>
      <c r="W545" s="206">
        <v>1</v>
      </c>
      <c r="X545" s="206" t="e">
        <v>#DIV/0!</v>
      </c>
    </row>
    <row r="546" spans="1:24" x14ac:dyDescent="0.25">
      <c r="A546" s="206" t="str">
        <f t="shared" si="19"/>
        <v>SD18085Non-hosting Population</v>
      </c>
      <c r="B546" s="206" t="s">
        <v>194</v>
      </c>
      <c r="C546" s="206" t="s">
        <v>135</v>
      </c>
      <c r="D546" s="206" t="s">
        <v>548</v>
      </c>
      <c r="E546" s="206" t="s">
        <v>549</v>
      </c>
      <c r="F546" s="206" t="s">
        <v>735</v>
      </c>
      <c r="G546" s="207">
        <v>79436</v>
      </c>
      <c r="H546" s="206" t="s">
        <v>568</v>
      </c>
      <c r="I546" s="206" t="s">
        <v>731</v>
      </c>
      <c r="J546" s="233">
        <v>2.5000000000000001E-2</v>
      </c>
      <c r="K546" s="233">
        <v>0.1</v>
      </c>
      <c r="L546" s="233">
        <v>0.78333333333333333</v>
      </c>
      <c r="M546" s="233">
        <v>0</v>
      </c>
      <c r="N546" s="233">
        <v>9.166666666666666E-2</v>
      </c>
      <c r="O546" s="207">
        <v>7282</v>
      </c>
      <c r="P546" s="207">
        <f t="shared" si="20"/>
        <v>6631</v>
      </c>
      <c r="Q546" s="207">
        <v>3</v>
      </c>
      <c r="R546" s="207">
        <v>3</v>
      </c>
      <c r="U546" s="206">
        <v>0</v>
      </c>
      <c r="V546" s="206">
        <v>1</v>
      </c>
      <c r="W546" s="206">
        <v>1</v>
      </c>
      <c r="X546" s="206" t="e">
        <v>#DIV/0!</v>
      </c>
    </row>
    <row r="547" spans="1:24" x14ac:dyDescent="0.25">
      <c r="A547" s="206" t="str">
        <f t="shared" si="19"/>
        <v>SD18086Host Community</v>
      </c>
      <c r="B547" s="206" t="s">
        <v>194</v>
      </c>
      <c r="C547" s="206" t="s">
        <v>135</v>
      </c>
      <c r="D547" s="206" t="s">
        <v>550</v>
      </c>
      <c r="E547" s="206" t="s">
        <v>551</v>
      </c>
      <c r="F547" s="206" t="s">
        <v>735</v>
      </c>
      <c r="G547" s="207">
        <v>29010</v>
      </c>
      <c r="H547" s="206" t="s">
        <v>87</v>
      </c>
      <c r="I547" s="206" t="s">
        <v>731</v>
      </c>
      <c r="J547" s="233">
        <v>0.13636363636363635</v>
      </c>
      <c r="K547" s="233">
        <v>0.14393939393939395</v>
      </c>
      <c r="L547" s="233">
        <v>0.68939393939393945</v>
      </c>
      <c r="M547" s="233">
        <v>3.0303030303030304E-2</v>
      </c>
      <c r="N547" s="233">
        <v>0</v>
      </c>
      <c r="O547" s="207">
        <v>20878</v>
      </c>
      <c r="P547" s="207">
        <f t="shared" si="20"/>
        <v>19013</v>
      </c>
      <c r="Q547" s="207">
        <v>3</v>
      </c>
      <c r="R547" s="207">
        <v>3</v>
      </c>
      <c r="U547" s="206">
        <v>0</v>
      </c>
      <c r="V547" s="206">
        <v>0</v>
      </c>
      <c r="W547" s="206">
        <v>0</v>
      </c>
      <c r="X547" s="206" t="e">
        <v>#DIV/0!</v>
      </c>
    </row>
    <row r="548" spans="1:24" x14ac:dyDescent="0.25">
      <c r="A548" s="206" t="str">
        <f t="shared" si="19"/>
        <v>SD18086IDPs</v>
      </c>
      <c r="B548" s="206" t="s">
        <v>194</v>
      </c>
      <c r="C548" s="206" t="s">
        <v>135</v>
      </c>
      <c r="D548" s="206" t="s">
        <v>550</v>
      </c>
      <c r="E548" s="206" t="s">
        <v>551</v>
      </c>
      <c r="F548" s="206" t="s">
        <v>735</v>
      </c>
      <c r="G548" s="207">
        <v>31416</v>
      </c>
      <c r="H548" s="206" t="s">
        <v>88</v>
      </c>
      <c r="I548" s="206" t="s">
        <v>732</v>
      </c>
      <c r="J548" s="233">
        <v>0.13636363636363635</v>
      </c>
      <c r="K548" s="233">
        <v>0.14393939393939395</v>
      </c>
      <c r="L548" s="233">
        <v>0.68939393939393945</v>
      </c>
      <c r="M548" s="233">
        <v>3.0303030303030304E-2</v>
      </c>
      <c r="N548" s="233">
        <v>0</v>
      </c>
      <c r="O548" s="207">
        <v>22610</v>
      </c>
      <c r="P548" s="207">
        <f t="shared" si="20"/>
        <v>20590</v>
      </c>
      <c r="Q548" s="207">
        <v>3</v>
      </c>
      <c r="R548" s="207">
        <v>3</v>
      </c>
      <c r="U548" s="206">
        <v>0</v>
      </c>
      <c r="V548" s="206">
        <v>1</v>
      </c>
      <c r="W548" s="206">
        <v>1</v>
      </c>
      <c r="X548" s="206" t="e">
        <v>#DIV/0!</v>
      </c>
    </row>
    <row r="549" spans="1:24" x14ac:dyDescent="0.25">
      <c r="A549" s="206" t="str">
        <f t="shared" si="19"/>
        <v>SD18086Non-hosting Population</v>
      </c>
      <c r="B549" s="206" t="s">
        <v>194</v>
      </c>
      <c r="C549" s="206" t="s">
        <v>135</v>
      </c>
      <c r="D549" s="206" t="s">
        <v>550</v>
      </c>
      <c r="E549" s="206" t="s">
        <v>551</v>
      </c>
      <c r="F549" s="206" t="s">
        <v>735</v>
      </c>
      <c r="G549" s="207">
        <v>156205</v>
      </c>
      <c r="H549" s="206" t="s">
        <v>568</v>
      </c>
      <c r="I549" s="206" t="s">
        <v>731</v>
      </c>
      <c r="J549" s="233">
        <v>0.13636363636363635</v>
      </c>
      <c r="K549" s="233">
        <v>0.14393939393939395</v>
      </c>
      <c r="L549" s="233">
        <v>0.68939393939393945</v>
      </c>
      <c r="M549" s="233">
        <v>3.0303030303030304E-2</v>
      </c>
      <c r="N549" s="233">
        <v>0</v>
      </c>
      <c r="O549" s="207">
        <v>4733</v>
      </c>
      <c r="P549" s="207">
        <f t="shared" si="20"/>
        <v>4310</v>
      </c>
      <c r="Q549" s="207">
        <v>3</v>
      </c>
      <c r="R549" s="207">
        <v>3</v>
      </c>
      <c r="U549" s="206">
        <v>0</v>
      </c>
      <c r="V549" s="206">
        <v>0</v>
      </c>
      <c r="W549" s="206">
        <v>0</v>
      </c>
      <c r="X549" s="206" t="e">
        <v>#DIV/0!</v>
      </c>
    </row>
    <row r="550" spans="1:24" x14ac:dyDescent="0.25">
      <c r="A550" s="206" t="str">
        <f t="shared" si="19"/>
        <v>SD18087Host Community</v>
      </c>
      <c r="B550" s="206" t="s">
        <v>194</v>
      </c>
      <c r="C550" s="206" t="s">
        <v>135</v>
      </c>
      <c r="D550" s="206" t="s">
        <v>552</v>
      </c>
      <c r="E550" s="206" t="s">
        <v>553</v>
      </c>
      <c r="F550" s="206" t="s">
        <v>735</v>
      </c>
      <c r="G550" s="207">
        <v>0</v>
      </c>
      <c r="H550" s="206" t="s">
        <v>87</v>
      </c>
      <c r="I550" s="206" t="s">
        <v>731</v>
      </c>
      <c r="J550" s="233">
        <v>0.25</v>
      </c>
      <c r="K550" s="233">
        <v>0.24285714285714285</v>
      </c>
      <c r="L550" s="233">
        <v>0.50714285714285712</v>
      </c>
      <c r="M550" s="233">
        <v>0</v>
      </c>
      <c r="N550" s="233">
        <v>0</v>
      </c>
      <c r="O550" s="207">
        <v>0</v>
      </c>
      <c r="P550" s="207">
        <f t="shared" si="20"/>
        <v>0</v>
      </c>
      <c r="Q550" s="207">
        <v>3</v>
      </c>
      <c r="R550" s="207">
        <v>3</v>
      </c>
      <c r="U550" s="206" t="e">
        <v>#DIV/0!</v>
      </c>
      <c r="V550" s="206" t="e">
        <v>#DIV/0!</v>
      </c>
      <c r="W550" s="206">
        <v>1</v>
      </c>
      <c r="X550" s="206" t="e">
        <v>#DIV/0!</v>
      </c>
    </row>
    <row r="551" spans="1:24" x14ac:dyDescent="0.25">
      <c r="A551" s="206" t="str">
        <f t="shared" si="19"/>
        <v>SD18087IDPs</v>
      </c>
      <c r="B551" s="206" t="s">
        <v>194</v>
      </c>
      <c r="C551" s="206" t="s">
        <v>135</v>
      </c>
      <c r="D551" s="206" t="s">
        <v>552</v>
      </c>
      <c r="E551" s="206" t="s">
        <v>553</v>
      </c>
      <c r="F551" s="206" t="s">
        <v>735</v>
      </c>
      <c r="G551" s="207">
        <v>19629</v>
      </c>
      <c r="H551" s="206" t="s">
        <v>88</v>
      </c>
      <c r="I551" s="206" t="s">
        <v>732</v>
      </c>
      <c r="J551" s="233">
        <v>0.25</v>
      </c>
      <c r="K551" s="233">
        <v>0.24285714285714285</v>
      </c>
      <c r="L551" s="233">
        <v>0.50714285714285712</v>
      </c>
      <c r="M551" s="233">
        <v>0</v>
      </c>
      <c r="N551" s="233">
        <v>0</v>
      </c>
      <c r="O551" s="207">
        <v>9955</v>
      </c>
      <c r="P551" s="207">
        <f t="shared" si="20"/>
        <v>9066</v>
      </c>
      <c r="Q551" s="207">
        <v>3</v>
      </c>
      <c r="R551" s="207">
        <v>3</v>
      </c>
      <c r="U551" s="206">
        <v>0</v>
      </c>
      <c r="V551" s="206">
        <v>0</v>
      </c>
      <c r="W551" s="206">
        <v>1</v>
      </c>
      <c r="X551" s="206" t="e">
        <v>#DIV/0!</v>
      </c>
    </row>
    <row r="552" spans="1:24" x14ac:dyDescent="0.25">
      <c r="A552" s="206" t="str">
        <f t="shared" si="19"/>
        <v>SD18087Non-hosting Population</v>
      </c>
      <c r="B552" s="206" t="s">
        <v>194</v>
      </c>
      <c r="C552" s="206" t="s">
        <v>135</v>
      </c>
      <c r="D552" s="206" t="s">
        <v>552</v>
      </c>
      <c r="E552" s="206" t="s">
        <v>553</v>
      </c>
      <c r="F552" s="206" t="s">
        <v>735</v>
      </c>
      <c r="G552" s="207">
        <v>0</v>
      </c>
      <c r="H552" s="206" t="s">
        <v>568</v>
      </c>
      <c r="I552" s="206" t="s">
        <v>731</v>
      </c>
      <c r="J552" s="233">
        <v>0.25</v>
      </c>
      <c r="K552" s="233">
        <v>0.24285714285714285</v>
      </c>
      <c r="L552" s="233">
        <v>0.50714285714285712</v>
      </c>
      <c r="M552" s="233">
        <v>0</v>
      </c>
      <c r="N552" s="233">
        <v>0</v>
      </c>
      <c r="O552" s="207">
        <v>0</v>
      </c>
      <c r="P552" s="207">
        <f t="shared" si="20"/>
        <v>0</v>
      </c>
      <c r="Q552" s="207">
        <v>3</v>
      </c>
      <c r="R552" s="207">
        <v>3</v>
      </c>
      <c r="U552" s="206" t="e">
        <v>#DIV/0!</v>
      </c>
      <c r="V552" s="206" t="e">
        <v>#DIV/0!</v>
      </c>
      <c r="W552" s="206">
        <v>1</v>
      </c>
      <c r="X552" s="206" t="e">
        <v>#DIV/0!</v>
      </c>
    </row>
    <row r="553" spans="1:24" x14ac:dyDescent="0.25">
      <c r="A553" s="206" t="str">
        <f t="shared" si="19"/>
        <v>SD18092Host Community</v>
      </c>
      <c r="B553" s="206" t="s">
        <v>194</v>
      </c>
      <c r="C553" s="206" t="s">
        <v>135</v>
      </c>
      <c r="D553" s="206" t="s">
        <v>554</v>
      </c>
      <c r="E553" s="206" t="s">
        <v>555</v>
      </c>
      <c r="F553" s="206" t="s">
        <v>735</v>
      </c>
      <c r="G553" s="207">
        <v>8359</v>
      </c>
      <c r="H553" s="206" t="s">
        <v>87</v>
      </c>
      <c r="I553" s="206" t="s">
        <v>731</v>
      </c>
      <c r="J553" s="233">
        <v>0.22500000000000001</v>
      </c>
      <c r="K553" s="233">
        <v>0.20833333333333334</v>
      </c>
      <c r="L553" s="233">
        <v>0.5083333333333333</v>
      </c>
      <c r="M553" s="233">
        <v>8.3333333333333332E-3</v>
      </c>
      <c r="N553" s="233">
        <v>0.05</v>
      </c>
      <c r="O553" s="207">
        <v>4737</v>
      </c>
      <c r="P553" s="207">
        <f t="shared" si="20"/>
        <v>4314</v>
      </c>
      <c r="Q553" s="207">
        <v>3</v>
      </c>
      <c r="R553" s="207">
        <v>3</v>
      </c>
      <c r="U553" s="206">
        <v>0</v>
      </c>
      <c r="V553" s="206">
        <v>1</v>
      </c>
      <c r="W553" s="206">
        <v>1</v>
      </c>
      <c r="X553" s="206" t="e">
        <v>#DIV/0!</v>
      </c>
    </row>
    <row r="554" spans="1:24" x14ac:dyDescent="0.25">
      <c r="A554" s="206" t="str">
        <f t="shared" si="19"/>
        <v>SD18092IDPs</v>
      </c>
      <c r="B554" s="206" t="s">
        <v>194</v>
      </c>
      <c r="C554" s="206" t="s">
        <v>135</v>
      </c>
      <c r="D554" s="206" t="s">
        <v>554</v>
      </c>
      <c r="E554" s="206" t="s">
        <v>555</v>
      </c>
      <c r="F554" s="206" t="s">
        <v>735</v>
      </c>
      <c r="G554" s="207">
        <v>8359</v>
      </c>
      <c r="H554" s="206" t="s">
        <v>88</v>
      </c>
      <c r="I554" s="206" t="s">
        <v>732</v>
      </c>
      <c r="J554" s="233">
        <v>0.22500000000000001</v>
      </c>
      <c r="K554" s="233">
        <v>0.20833333333333334</v>
      </c>
      <c r="L554" s="233">
        <v>0.5083333333333333</v>
      </c>
      <c r="M554" s="233">
        <v>8.3333333333333332E-3</v>
      </c>
      <c r="N554" s="233">
        <v>0.05</v>
      </c>
      <c r="O554" s="207">
        <v>4737</v>
      </c>
      <c r="P554" s="207">
        <f t="shared" si="20"/>
        <v>4314</v>
      </c>
      <c r="Q554" s="207">
        <v>3</v>
      </c>
      <c r="R554" s="207">
        <v>3</v>
      </c>
      <c r="U554" s="206">
        <v>0</v>
      </c>
      <c r="V554" s="206">
        <v>1</v>
      </c>
      <c r="W554" s="206">
        <v>1</v>
      </c>
      <c r="X554" s="206" t="e">
        <v>#DIV/0!</v>
      </c>
    </row>
    <row r="555" spans="1:24" x14ac:dyDescent="0.25">
      <c r="A555" s="206" t="str">
        <f t="shared" si="19"/>
        <v>SD18092Non-hosting Population</v>
      </c>
      <c r="B555" s="206" t="s">
        <v>194</v>
      </c>
      <c r="C555" s="206" t="s">
        <v>135</v>
      </c>
      <c r="D555" s="206" t="s">
        <v>554</v>
      </c>
      <c r="E555" s="206" t="s">
        <v>555</v>
      </c>
      <c r="F555" s="206" t="s">
        <v>735</v>
      </c>
      <c r="G555" s="207">
        <v>235599</v>
      </c>
      <c r="H555" s="206" t="s">
        <v>568</v>
      </c>
      <c r="I555" s="206" t="s">
        <v>731</v>
      </c>
      <c r="J555" s="233">
        <v>0.22500000000000001</v>
      </c>
      <c r="K555" s="233">
        <v>0.20833333333333334</v>
      </c>
      <c r="L555" s="233">
        <v>0.5083333333333333</v>
      </c>
      <c r="M555" s="233">
        <v>8.3333333333333332E-3</v>
      </c>
      <c r="N555" s="233">
        <v>0.05</v>
      </c>
      <c r="O555" s="207">
        <v>13743</v>
      </c>
      <c r="P555" s="207">
        <f t="shared" si="20"/>
        <v>12515</v>
      </c>
      <c r="Q555" s="207">
        <v>3</v>
      </c>
      <c r="R555" s="207">
        <v>3</v>
      </c>
      <c r="U555" s="206">
        <v>0</v>
      </c>
      <c r="V555" s="206">
        <v>1</v>
      </c>
      <c r="W555" s="206">
        <v>1</v>
      </c>
      <c r="X555" s="206" t="e">
        <v>#DIV/0!</v>
      </c>
    </row>
    <row r="556" spans="1:24" x14ac:dyDescent="0.25">
      <c r="A556" s="206" t="str">
        <f t="shared" si="19"/>
        <v>SD18100Host Community</v>
      </c>
      <c r="B556" s="206" t="s">
        <v>194</v>
      </c>
      <c r="C556" s="206" t="s">
        <v>135</v>
      </c>
      <c r="D556" s="206" t="s">
        <v>556</v>
      </c>
      <c r="E556" s="206" t="s">
        <v>557</v>
      </c>
      <c r="F556" s="206" t="s">
        <v>735</v>
      </c>
      <c r="G556" s="207">
        <v>38841</v>
      </c>
      <c r="H556" s="206" t="s">
        <v>87</v>
      </c>
      <c r="I556" s="206" t="s">
        <v>731</v>
      </c>
      <c r="J556" s="233">
        <v>8.0000000000000002E-3</v>
      </c>
      <c r="K556" s="233">
        <v>0.112</v>
      </c>
      <c r="L556" s="233">
        <v>0.872</v>
      </c>
      <c r="M556" s="233">
        <v>0</v>
      </c>
      <c r="N556" s="233">
        <v>8.0000000000000002E-3</v>
      </c>
      <c r="O556" s="207">
        <v>34180</v>
      </c>
      <c r="P556" s="207">
        <f t="shared" si="20"/>
        <v>31126</v>
      </c>
      <c r="Q556" s="207">
        <v>3</v>
      </c>
      <c r="R556" s="207">
        <v>3</v>
      </c>
      <c r="U556" s="206">
        <v>0</v>
      </c>
      <c r="V556" s="206">
        <v>1</v>
      </c>
      <c r="W556" s="206">
        <v>1</v>
      </c>
      <c r="X556" s="206" t="e">
        <v>#DIV/0!</v>
      </c>
    </row>
    <row r="557" spans="1:24" x14ac:dyDescent="0.25">
      <c r="A557" s="206" t="str">
        <f t="shared" si="19"/>
        <v>SD18100IDPs</v>
      </c>
      <c r="B557" s="206" t="s">
        <v>194</v>
      </c>
      <c r="C557" s="206" t="s">
        <v>135</v>
      </c>
      <c r="D557" s="206" t="s">
        <v>556</v>
      </c>
      <c r="E557" s="206" t="s">
        <v>557</v>
      </c>
      <c r="F557" s="206" t="s">
        <v>735</v>
      </c>
      <c r="G557" s="207">
        <v>34417</v>
      </c>
      <c r="H557" s="206" t="s">
        <v>88</v>
      </c>
      <c r="I557" s="206" t="s">
        <v>732</v>
      </c>
      <c r="J557" s="233">
        <v>8.0000000000000002E-3</v>
      </c>
      <c r="K557" s="233">
        <v>0.112</v>
      </c>
      <c r="L557" s="233">
        <v>0.872</v>
      </c>
      <c r="M557" s="233">
        <v>0</v>
      </c>
      <c r="N557" s="233">
        <v>8.0000000000000002E-3</v>
      </c>
      <c r="O557" s="207">
        <v>30287</v>
      </c>
      <c r="P557" s="207">
        <f t="shared" si="20"/>
        <v>27581</v>
      </c>
      <c r="Q557" s="207">
        <v>3</v>
      </c>
      <c r="R557" s="207">
        <v>3</v>
      </c>
      <c r="U557" s="206">
        <v>0</v>
      </c>
      <c r="V557" s="206">
        <v>1</v>
      </c>
      <c r="W557" s="206">
        <v>1</v>
      </c>
      <c r="X557" s="206" t="e">
        <v>#DIV/0!</v>
      </c>
    </row>
    <row r="558" spans="1:24" x14ac:dyDescent="0.25">
      <c r="A558" s="206" t="str">
        <f t="shared" si="19"/>
        <v>SD18100Non-hosting Population</v>
      </c>
      <c r="B558" s="206" t="s">
        <v>194</v>
      </c>
      <c r="C558" s="206" t="s">
        <v>135</v>
      </c>
      <c r="D558" s="206" t="s">
        <v>556</v>
      </c>
      <c r="E558" s="206" t="s">
        <v>557</v>
      </c>
      <c r="F558" s="206" t="s">
        <v>735</v>
      </c>
      <c r="G558" s="207">
        <v>1383</v>
      </c>
      <c r="H558" s="206" t="s">
        <v>568</v>
      </c>
      <c r="I558" s="206" t="s">
        <v>731</v>
      </c>
      <c r="J558" s="233">
        <v>8.0000000000000002E-3</v>
      </c>
      <c r="K558" s="233">
        <v>0.112</v>
      </c>
      <c r="L558" s="233">
        <v>0.872</v>
      </c>
      <c r="M558" s="233">
        <v>0</v>
      </c>
      <c r="N558" s="233">
        <v>8.0000000000000002E-3</v>
      </c>
      <c r="O558" s="207">
        <v>11</v>
      </c>
      <c r="P558" s="207">
        <f t="shared" si="20"/>
        <v>10</v>
      </c>
      <c r="Q558" s="207">
        <v>3</v>
      </c>
      <c r="R558" s="207">
        <v>3</v>
      </c>
      <c r="U558" s="206">
        <v>0</v>
      </c>
      <c r="V558" s="206">
        <v>1</v>
      </c>
      <c r="W558" s="206">
        <v>1</v>
      </c>
      <c r="X558" s="206" t="e">
        <v>#DIV/0!</v>
      </c>
    </row>
    <row r="559" spans="1:24" x14ac:dyDescent="0.25">
      <c r="A559" s="206" t="str">
        <f t="shared" si="19"/>
        <v>SD18102Host Community</v>
      </c>
      <c r="B559" s="206" t="s">
        <v>194</v>
      </c>
      <c r="C559" s="206" t="s">
        <v>135</v>
      </c>
      <c r="D559" s="206" t="s">
        <v>558</v>
      </c>
      <c r="E559" s="206" t="s">
        <v>559</v>
      </c>
      <c r="F559" s="206" t="s">
        <v>735</v>
      </c>
      <c r="G559" s="207">
        <v>19274</v>
      </c>
      <c r="H559" s="206" t="s">
        <v>87</v>
      </c>
      <c r="I559" s="206" t="s">
        <v>731</v>
      </c>
      <c r="J559" s="233">
        <v>2.7027027027027029E-2</v>
      </c>
      <c r="K559" s="233">
        <v>9.90990990990991E-2</v>
      </c>
      <c r="L559" s="233">
        <v>0.71171171171171166</v>
      </c>
      <c r="M559" s="233">
        <v>3.6036036036036036E-2</v>
      </c>
      <c r="N559" s="233">
        <v>0.12612612612612611</v>
      </c>
      <c r="O559" s="207">
        <v>16843</v>
      </c>
      <c r="P559" s="207">
        <f t="shared" si="20"/>
        <v>15338</v>
      </c>
      <c r="Q559" s="207">
        <v>3</v>
      </c>
      <c r="R559" s="207">
        <v>3</v>
      </c>
      <c r="U559" s="206">
        <v>0</v>
      </c>
      <c r="V559" s="206">
        <v>1</v>
      </c>
      <c r="W559" s="206">
        <v>1</v>
      </c>
      <c r="X559" s="206" t="e">
        <v>#DIV/0!</v>
      </c>
    </row>
    <row r="560" spans="1:24" x14ac:dyDescent="0.25">
      <c r="A560" s="206" t="str">
        <f t="shared" si="19"/>
        <v>SD18102IDPs</v>
      </c>
      <c r="B560" s="206" t="s">
        <v>194</v>
      </c>
      <c r="C560" s="206" t="s">
        <v>135</v>
      </c>
      <c r="D560" s="206" t="s">
        <v>558</v>
      </c>
      <c r="E560" s="206" t="s">
        <v>559</v>
      </c>
      <c r="F560" s="206" t="s">
        <v>735</v>
      </c>
      <c r="G560" s="207">
        <v>19972</v>
      </c>
      <c r="H560" s="206" t="s">
        <v>88</v>
      </c>
      <c r="I560" s="206" t="s">
        <v>732</v>
      </c>
      <c r="J560" s="233">
        <v>2.7027027027027029E-2</v>
      </c>
      <c r="K560" s="233">
        <v>9.90990990990991E-2</v>
      </c>
      <c r="L560" s="233">
        <v>0.71171171171171166</v>
      </c>
      <c r="M560" s="233">
        <v>3.6036036036036036E-2</v>
      </c>
      <c r="N560" s="233">
        <v>0.12612612612612611</v>
      </c>
      <c r="O560" s="207">
        <v>17453</v>
      </c>
      <c r="P560" s="207">
        <f t="shared" si="20"/>
        <v>15894</v>
      </c>
      <c r="Q560" s="207">
        <v>3</v>
      </c>
      <c r="R560" s="207">
        <v>3</v>
      </c>
      <c r="U560" s="206">
        <v>0</v>
      </c>
      <c r="V560" s="206">
        <v>1</v>
      </c>
      <c r="W560" s="206">
        <v>1</v>
      </c>
      <c r="X560" s="206" t="e">
        <v>#DIV/0!</v>
      </c>
    </row>
    <row r="561" spans="1:24" x14ac:dyDescent="0.25">
      <c r="A561" s="206" t="str">
        <f t="shared" si="19"/>
        <v>SD18102Non-hosting Population</v>
      </c>
      <c r="B561" s="206" t="s">
        <v>194</v>
      </c>
      <c r="C561" s="206" t="s">
        <v>135</v>
      </c>
      <c r="D561" s="206" t="s">
        <v>558</v>
      </c>
      <c r="E561" s="206" t="s">
        <v>559</v>
      </c>
      <c r="F561" s="206" t="s">
        <v>735</v>
      </c>
      <c r="G561" s="207">
        <v>107600</v>
      </c>
      <c r="H561" s="206" t="s">
        <v>568</v>
      </c>
      <c r="I561" s="206" t="s">
        <v>731</v>
      </c>
      <c r="J561" s="233">
        <v>2.7027027027027029E-2</v>
      </c>
      <c r="K561" s="233">
        <v>9.90990990990991E-2</v>
      </c>
      <c r="L561" s="233">
        <v>0.71171171171171166</v>
      </c>
      <c r="M561" s="233">
        <v>3.6036036036036036E-2</v>
      </c>
      <c r="N561" s="233">
        <v>0.12612612612612611</v>
      </c>
      <c r="O561" s="207">
        <v>17449</v>
      </c>
      <c r="P561" s="207">
        <f t="shared" si="20"/>
        <v>15890</v>
      </c>
      <c r="Q561" s="207">
        <v>3</v>
      </c>
      <c r="R561" s="207">
        <v>3</v>
      </c>
      <c r="U561" s="206">
        <v>0</v>
      </c>
      <c r="V561" s="206">
        <v>1</v>
      </c>
      <c r="W561" s="206">
        <v>1</v>
      </c>
      <c r="X561" s="206" t="e">
        <v>#DIV/0!</v>
      </c>
    </row>
    <row r="562" spans="1:24" x14ac:dyDescent="0.25">
      <c r="A562" s="206" t="str">
        <f t="shared" si="19"/>
        <v>SD18103Host Community</v>
      </c>
      <c r="B562" s="206" t="s">
        <v>194</v>
      </c>
      <c r="C562" s="206" t="s">
        <v>135</v>
      </c>
      <c r="D562" s="206" t="s">
        <v>560</v>
      </c>
      <c r="E562" s="206" t="s">
        <v>561</v>
      </c>
      <c r="F562" s="206" t="s">
        <v>735</v>
      </c>
      <c r="G562" s="207">
        <v>21146</v>
      </c>
      <c r="H562" s="206" t="s">
        <v>87</v>
      </c>
      <c r="I562" s="206" t="s">
        <v>731</v>
      </c>
      <c r="J562" s="233">
        <v>0</v>
      </c>
      <c r="K562" s="233">
        <v>0.19008264462809918</v>
      </c>
      <c r="L562" s="233">
        <v>0.80165289256198347</v>
      </c>
      <c r="M562" s="233">
        <v>0</v>
      </c>
      <c r="N562" s="233">
        <v>8.2644628099173556E-3</v>
      </c>
      <c r="O562" s="207">
        <v>17127</v>
      </c>
      <c r="P562" s="207">
        <f t="shared" si="20"/>
        <v>15597</v>
      </c>
      <c r="Q562" s="207">
        <v>3</v>
      </c>
      <c r="R562" s="207">
        <v>3</v>
      </c>
      <c r="U562" s="206">
        <v>0</v>
      </c>
      <c r="V562" s="206">
        <v>1</v>
      </c>
      <c r="W562" s="206">
        <v>1</v>
      </c>
      <c r="X562" s="206" t="e">
        <v>#DIV/0!</v>
      </c>
    </row>
    <row r="563" spans="1:24" x14ac:dyDescent="0.25">
      <c r="A563" s="206" t="str">
        <f t="shared" si="19"/>
        <v>SD18103IDPs</v>
      </c>
      <c r="B563" s="206" t="s">
        <v>194</v>
      </c>
      <c r="C563" s="206" t="s">
        <v>135</v>
      </c>
      <c r="D563" s="206" t="s">
        <v>560</v>
      </c>
      <c r="E563" s="206" t="s">
        <v>561</v>
      </c>
      <c r="F563" s="206" t="s">
        <v>735</v>
      </c>
      <c r="G563" s="207">
        <v>21146</v>
      </c>
      <c r="H563" s="206" t="s">
        <v>88</v>
      </c>
      <c r="I563" s="206" t="s">
        <v>732</v>
      </c>
      <c r="J563" s="233">
        <v>0</v>
      </c>
      <c r="K563" s="233">
        <v>0.19008264462809918</v>
      </c>
      <c r="L563" s="233">
        <v>0.80165289256198347</v>
      </c>
      <c r="M563" s="233">
        <v>0</v>
      </c>
      <c r="N563" s="233">
        <v>8.2644628099173556E-3</v>
      </c>
      <c r="O563" s="207">
        <v>17127</v>
      </c>
      <c r="P563" s="207">
        <f t="shared" si="20"/>
        <v>15597</v>
      </c>
      <c r="Q563" s="207">
        <v>3</v>
      </c>
      <c r="R563" s="207">
        <v>3</v>
      </c>
      <c r="U563" s="206">
        <v>0</v>
      </c>
      <c r="V563" s="206">
        <v>0</v>
      </c>
      <c r="W563" s="206">
        <v>1</v>
      </c>
      <c r="X563" s="206" t="e">
        <v>#DIV/0!</v>
      </c>
    </row>
    <row r="564" spans="1:24" x14ac:dyDescent="0.25">
      <c r="A564" s="206" t="str">
        <f t="shared" si="19"/>
        <v>SD18103Non-hosting Population</v>
      </c>
      <c r="B564" s="206" t="s">
        <v>194</v>
      </c>
      <c r="C564" s="206" t="s">
        <v>135</v>
      </c>
      <c r="D564" s="206" t="s">
        <v>560</v>
      </c>
      <c r="E564" s="206" t="s">
        <v>561</v>
      </c>
      <c r="F564" s="206" t="s">
        <v>735</v>
      </c>
      <c r="G564" s="207">
        <v>72277</v>
      </c>
      <c r="H564" s="206" t="s">
        <v>568</v>
      </c>
      <c r="I564" s="206" t="s">
        <v>731</v>
      </c>
      <c r="J564" s="233">
        <v>0</v>
      </c>
      <c r="K564" s="233">
        <v>0.19008264462809918</v>
      </c>
      <c r="L564" s="233">
        <v>0.80165289256198347</v>
      </c>
      <c r="M564" s="233">
        <v>0</v>
      </c>
      <c r="N564" s="233">
        <v>8.2644628099173556E-3</v>
      </c>
      <c r="O564" s="207">
        <v>597</v>
      </c>
      <c r="P564" s="207">
        <f t="shared" si="20"/>
        <v>544</v>
      </c>
      <c r="Q564" s="207">
        <v>3</v>
      </c>
      <c r="R564" s="207">
        <v>3</v>
      </c>
      <c r="U564" s="206">
        <v>0</v>
      </c>
      <c r="V564" s="206">
        <v>1</v>
      </c>
      <c r="W564" s="206">
        <v>1</v>
      </c>
      <c r="X564" s="206" t="e">
        <v>#DIV/0!</v>
      </c>
    </row>
    <row r="565" spans="1:24" x14ac:dyDescent="0.25">
      <c r="A565" s="206" t="str">
        <f t="shared" si="19"/>
        <v>SD18104Host Community</v>
      </c>
      <c r="B565" s="206" t="s">
        <v>194</v>
      </c>
      <c r="C565" s="206" t="s">
        <v>135</v>
      </c>
      <c r="D565" s="206" t="s">
        <v>562</v>
      </c>
      <c r="E565" s="206" t="s">
        <v>563</v>
      </c>
      <c r="F565" s="206" t="s">
        <v>735</v>
      </c>
      <c r="G565" s="207">
        <v>59785</v>
      </c>
      <c r="H565" s="206" t="s">
        <v>87</v>
      </c>
      <c r="I565" s="206" t="s">
        <v>731</v>
      </c>
      <c r="J565" s="233">
        <v>0.18518518518518517</v>
      </c>
      <c r="K565" s="233">
        <v>0.36419753086419754</v>
      </c>
      <c r="L565" s="233">
        <v>0.40740740740740738</v>
      </c>
      <c r="M565" s="233">
        <v>1.2345679012345678E-2</v>
      </c>
      <c r="N565" s="233">
        <v>3.0864197530864196E-2</v>
      </c>
      <c r="O565" s="207">
        <v>26940</v>
      </c>
      <c r="P565" s="207">
        <f t="shared" si="20"/>
        <v>24533</v>
      </c>
      <c r="Q565" s="207">
        <v>3</v>
      </c>
      <c r="R565" s="207">
        <v>3</v>
      </c>
      <c r="U565" s="206">
        <v>0</v>
      </c>
      <c r="V565" s="206">
        <v>1</v>
      </c>
      <c r="W565" s="206">
        <v>1</v>
      </c>
      <c r="X565" s="206" t="e">
        <v>#DIV/0!</v>
      </c>
    </row>
    <row r="566" spans="1:24" x14ac:dyDescent="0.25">
      <c r="A566" s="206" t="str">
        <f t="shared" si="19"/>
        <v>SD18104IDPs</v>
      </c>
      <c r="B566" s="206" t="s">
        <v>194</v>
      </c>
      <c r="C566" s="206" t="s">
        <v>135</v>
      </c>
      <c r="D566" s="206" t="s">
        <v>562</v>
      </c>
      <c r="E566" s="206" t="s">
        <v>563</v>
      </c>
      <c r="F566" s="206" t="s">
        <v>735</v>
      </c>
      <c r="G566" s="207">
        <v>96705</v>
      </c>
      <c r="H566" s="206" t="s">
        <v>88</v>
      </c>
      <c r="I566" s="206" t="s">
        <v>732</v>
      </c>
      <c r="J566" s="233">
        <v>0.18518518518518517</v>
      </c>
      <c r="K566" s="233">
        <v>0.36419753086419754</v>
      </c>
      <c r="L566" s="233">
        <v>0.40740740740740738</v>
      </c>
      <c r="M566" s="233">
        <v>1.2345679012345678E-2</v>
      </c>
      <c r="N566" s="233">
        <v>3.0864197530864196E-2</v>
      </c>
      <c r="O566" s="207">
        <v>43577</v>
      </c>
      <c r="P566" s="207">
        <f t="shared" si="20"/>
        <v>39683</v>
      </c>
      <c r="Q566" s="207">
        <v>3</v>
      </c>
      <c r="R566" s="207">
        <v>3</v>
      </c>
      <c r="U566" s="206">
        <v>0</v>
      </c>
      <c r="V566" s="206">
        <v>1</v>
      </c>
      <c r="W566" s="206">
        <v>1</v>
      </c>
      <c r="X566" s="206" t="e">
        <v>#DIV/0!</v>
      </c>
    </row>
    <row r="567" spans="1:24" x14ac:dyDescent="0.25">
      <c r="A567" s="206" t="str">
        <f t="shared" si="19"/>
        <v>SD18104Non-hosting Population</v>
      </c>
      <c r="B567" s="206" t="s">
        <v>194</v>
      </c>
      <c r="C567" s="206" t="s">
        <v>135</v>
      </c>
      <c r="D567" s="206" t="s">
        <v>562</v>
      </c>
      <c r="E567" s="206" t="s">
        <v>563</v>
      </c>
      <c r="F567" s="206" t="s">
        <v>735</v>
      </c>
      <c r="G567" s="207">
        <v>225816</v>
      </c>
      <c r="H567" s="206" t="s">
        <v>568</v>
      </c>
      <c r="I567" s="206" t="s">
        <v>731</v>
      </c>
      <c r="J567" s="233">
        <v>0.18518518518518517</v>
      </c>
      <c r="K567" s="233">
        <v>0.36419753086419754</v>
      </c>
      <c r="L567" s="233">
        <v>0.40740740740740738</v>
      </c>
      <c r="M567" s="233">
        <v>1.2345679012345678E-2</v>
      </c>
      <c r="N567" s="233">
        <v>3.0864197530864196E-2</v>
      </c>
      <c r="O567" s="207">
        <v>9757</v>
      </c>
      <c r="P567" s="207">
        <f t="shared" si="20"/>
        <v>8885</v>
      </c>
      <c r="Q567" s="207">
        <v>3</v>
      </c>
      <c r="R567" s="207">
        <v>3</v>
      </c>
      <c r="U567" s="206">
        <v>0</v>
      </c>
      <c r="V567" s="206">
        <v>1</v>
      </c>
      <c r="W567" s="206">
        <v>1</v>
      </c>
      <c r="X567" s="206" t="e">
        <v>#DIV/0!</v>
      </c>
    </row>
    <row r="568" spans="1:24" x14ac:dyDescent="0.25">
      <c r="A568" s="206" t="str">
        <f t="shared" si="19"/>
        <v>SD18105Host Community</v>
      </c>
      <c r="B568" s="206" t="s">
        <v>194</v>
      </c>
      <c r="C568" s="206" t="s">
        <v>135</v>
      </c>
      <c r="D568" s="206" t="s">
        <v>564</v>
      </c>
      <c r="E568" s="206" t="s">
        <v>565</v>
      </c>
      <c r="F568" s="206" t="s">
        <v>735</v>
      </c>
      <c r="G568" s="207">
        <v>9038</v>
      </c>
      <c r="H568" s="206" t="s">
        <v>87</v>
      </c>
      <c r="I568" s="206" t="s">
        <v>731</v>
      </c>
      <c r="J568" s="233">
        <v>0.29508196721311475</v>
      </c>
      <c r="K568" s="233">
        <v>0.49180327868852458</v>
      </c>
      <c r="L568" s="233">
        <v>0.21311475409836064</v>
      </c>
      <c r="M568" s="233">
        <v>0</v>
      </c>
      <c r="N568" s="233">
        <v>0</v>
      </c>
      <c r="O568" s="207">
        <v>1926</v>
      </c>
      <c r="P568" s="207">
        <f t="shared" si="20"/>
        <v>1754</v>
      </c>
      <c r="Q568" s="207">
        <v>3</v>
      </c>
      <c r="R568" s="207">
        <v>3</v>
      </c>
      <c r="U568" s="206">
        <v>0</v>
      </c>
      <c r="V568" s="206">
        <v>1</v>
      </c>
      <c r="W568" s="206">
        <v>1</v>
      </c>
      <c r="X568" s="206" t="e">
        <v>#DIV/0!</v>
      </c>
    </row>
    <row r="569" spans="1:24" x14ac:dyDescent="0.25">
      <c r="A569" s="206" t="str">
        <f t="shared" si="19"/>
        <v>SD18105IDPs</v>
      </c>
      <c r="B569" s="206" t="s">
        <v>194</v>
      </c>
      <c r="C569" s="206" t="s">
        <v>135</v>
      </c>
      <c r="D569" s="206" t="s">
        <v>564</v>
      </c>
      <c r="E569" s="206" t="s">
        <v>565</v>
      </c>
      <c r="F569" s="206" t="s">
        <v>735</v>
      </c>
      <c r="G569" s="207">
        <v>9038</v>
      </c>
      <c r="H569" s="206" t="s">
        <v>88</v>
      </c>
      <c r="I569" s="206" t="s">
        <v>732</v>
      </c>
      <c r="J569" s="233">
        <v>0.29508196721311475</v>
      </c>
      <c r="K569" s="233">
        <v>0.49180327868852458</v>
      </c>
      <c r="L569" s="233">
        <v>0.21311475409836064</v>
      </c>
      <c r="M569" s="233">
        <v>0</v>
      </c>
      <c r="N569" s="233">
        <v>0</v>
      </c>
      <c r="O569" s="207">
        <v>1926</v>
      </c>
      <c r="P569" s="207">
        <f t="shared" si="20"/>
        <v>1754</v>
      </c>
      <c r="Q569" s="207">
        <v>3</v>
      </c>
      <c r="R569" s="207">
        <v>3</v>
      </c>
      <c r="U569" s="206">
        <v>0</v>
      </c>
      <c r="V569" s="206">
        <v>1</v>
      </c>
      <c r="W569" s="206">
        <v>1</v>
      </c>
      <c r="X569" s="206" t="e">
        <v>#DIV/0!</v>
      </c>
    </row>
    <row r="570" spans="1:24" x14ac:dyDescent="0.25">
      <c r="A570" s="206" t="str">
        <f t="shared" si="19"/>
        <v>SD18105Non-hosting Population</v>
      </c>
      <c r="B570" s="206" t="s">
        <v>194</v>
      </c>
      <c r="C570" s="206" t="s">
        <v>135</v>
      </c>
      <c r="D570" s="206" t="s">
        <v>564</v>
      </c>
      <c r="E570" s="206" t="s">
        <v>565</v>
      </c>
      <c r="F570" s="206" t="s">
        <v>735</v>
      </c>
      <c r="G570" s="207">
        <v>142685</v>
      </c>
      <c r="H570" s="206" t="s">
        <v>568</v>
      </c>
      <c r="I570" s="206" t="s">
        <v>731</v>
      </c>
      <c r="J570" s="233">
        <v>0.29508196721311475</v>
      </c>
      <c r="K570" s="233">
        <v>0.49180327868852458</v>
      </c>
      <c r="L570" s="233">
        <v>0.21311475409836064</v>
      </c>
      <c r="M570" s="233">
        <v>0</v>
      </c>
      <c r="N570" s="233">
        <v>0</v>
      </c>
      <c r="O570" s="207">
        <v>0</v>
      </c>
      <c r="P570" s="207">
        <f t="shared" si="20"/>
        <v>0</v>
      </c>
      <c r="Q570" s="207">
        <v>3</v>
      </c>
      <c r="R570" s="207">
        <v>3</v>
      </c>
      <c r="U570" s="206">
        <v>0</v>
      </c>
      <c r="V570" s="206">
        <v>1</v>
      </c>
      <c r="W570" s="206">
        <v>1</v>
      </c>
      <c r="X570" s="206" t="e">
        <v>#DIV/0!</v>
      </c>
    </row>
    <row r="571" spans="1:24" x14ac:dyDescent="0.25">
      <c r="A571" s="206" t="str">
        <f t="shared" si="19"/>
        <v>SD18106Host Community</v>
      </c>
      <c r="B571" s="206" t="s">
        <v>194</v>
      </c>
      <c r="C571" s="206" t="s">
        <v>135</v>
      </c>
      <c r="D571" s="206" t="s">
        <v>566</v>
      </c>
      <c r="E571" s="206" t="s">
        <v>567</v>
      </c>
      <c r="F571" s="206" t="s">
        <v>735</v>
      </c>
      <c r="G571" s="207">
        <v>16580</v>
      </c>
      <c r="H571" s="206" t="s">
        <v>87</v>
      </c>
      <c r="I571" s="206" t="s">
        <v>731</v>
      </c>
      <c r="J571" s="233">
        <v>0</v>
      </c>
      <c r="K571" s="233">
        <v>0.19008264462809918</v>
      </c>
      <c r="L571" s="233">
        <v>0.73553719008264462</v>
      </c>
      <c r="M571" s="233">
        <v>8.2644628099173556E-3</v>
      </c>
      <c r="N571" s="233">
        <v>6.6115702479338845E-2</v>
      </c>
      <c r="O571" s="207">
        <v>13428</v>
      </c>
      <c r="P571" s="207">
        <f t="shared" si="20"/>
        <v>12228</v>
      </c>
      <c r="Q571" s="207">
        <v>3</v>
      </c>
      <c r="R571" s="207">
        <v>3</v>
      </c>
      <c r="U571" s="206">
        <v>0</v>
      </c>
      <c r="V571" s="206">
        <v>1</v>
      </c>
      <c r="W571" s="206">
        <v>1</v>
      </c>
      <c r="X571" s="206" t="e">
        <v>#DIV/0!</v>
      </c>
    </row>
    <row r="572" spans="1:24" x14ac:dyDescent="0.25">
      <c r="A572" s="206" t="str">
        <f t="shared" si="19"/>
        <v>SD18106IDPs</v>
      </c>
      <c r="B572" s="206" t="s">
        <v>194</v>
      </c>
      <c r="C572" s="206" t="s">
        <v>135</v>
      </c>
      <c r="D572" s="206" t="s">
        <v>566</v>
      </c>
      <c r="E572" s="206" t="s">
        <v>567</v>
      </c>
      <c r="F572" s="206" t="s">
        <v>735</v>
      </c>
      <c r="G572" s="207">
        <v>8023</v>
      </c>
      <c r="H572" s="206" t="s">
        <v>88</v>
      </c>
      <c r="I572" s="206" t="s">
        <v>732</v>
      </c>
      <c r="J572" s="233">
        <v>0</v>
      </c>
      <c r="K572" s="233">
        <v>0.19008264462809918</v>
      </c>
      <c r="L572" s="233">
        <v>0.73553719008264462</v>
      </c>
      <c r="M572" s="233">
        <v>8.2644628099173556E-3</v>
      </c>
      <c r="N572" s="233">
        <v>6.6115702479338845E-2</v>
      </c>
      <c r="O572" s="207">
        <v>6498</v>
      </c>
      <c r="P572" s="207">
        <f t="shared" si="20"/>
        <v>5917</v>
      </c>
      <c r="Q572" s="207">
        <v>3</v>
      </c>
      <c r="R572" s="207">
        <v>3</v>
      </c>
      <c r="U572" s="206">
        <v>0</v>
      </c>
      <c r="V572" s="206">
        <v>1</v>
      </c>
      <c r="W572" s="206">
        <v>1</v>
      </c>
      <c r="X572" s="206" t="e">
        <v>#DIV/0!</v>
      </c>
    </row>
    <row r="573" spans="1:24" x14ac:dyDescent="0.25">
      <c r="A573" s="206" t="str">
        <f t="shared" si="19"/>
        <v>SD18106Non-hosting Population</v>
      </c>
      <c r="B573" s="206" t="s">
        <v>194</v>
      </c>
      <c r="C573" s="206" t="s">
        <v>135</v>
      </c>
      <c r="D573" s="206" t="s">
        <v>566</v>
      </c>
      <c r="E573" s="206" t="s">
        <v>567</v>
      </c>
      <c r="F573" s="206" t="s">
        <v>735</v>
      </c>
      <c r="G573" s="207">
        <v>46255</v>
      </c>
      <c r="H573" s="206" t="s">
        <v>568</v>
      </c>
      <c r="I573" s="206" t="s">
        <v>731</v>
      </c>
      <c r="J573" s="233">
        <v>0</v>
      </c>
      <c r="K573" s="233">
        <v>0.19008264462809918</v>
      </c>
      <c r="L573" s="233">
        <v>0.73553719008264462</v>
      </c>
      <c r="M573" s="233">
        <v>8.2644628099173556E-3</v>
      </c>
      <c r="N573" s="233">
        <v>6.6115702479338845E-2</v>
      </c>
      <c r="O573" s="207">
        <v>3440</v>
      </c>
      <c r="P573" s="207">
        <f t="shared" si="20"/>
        <v>3133</v>
      </c>
      <c r="Q573" s="207">
        <v>3</v>
      </c>
      <c r="R573" s="207">
        <v>3</v>
      </c>
      <c r="U573" s="206">
        <v>0</v>
      </c>
      <c r="V573" s="206">
        <v>1</v>
      </c>
      <c r="W573" s="206">
        <v>1</v>
      </c>
      <c r="X573" s="206" t="e">
        <v>#DIV/0!</v>
      </c>
    </row>
  </sheetData>
  <autoFilter ref="E9:T573" xr:uid="{907BAD81-A52E-43AA-9E09-B9451805984E}"/>
  <mergeCells count="7">
    <mergeCell ref="U8:X8"/>
    <mergeCell ref="C1:E1"/>
    <mergeCell ref="C2:E2"/>
    <mergeCell ref="B8:F8"/>
    <mergeCell ref="G8:H8"/>
    <mergeCell ref="J8:N8"/>
    <mergeCell ref="Q8:S8"/>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1A02EE-46BD-4101-B410-27E3AEFDE685}">
  <dimension ref="A1:M190"/>
  <sheetViews>
    <sheetView zoomScale="80" zoomScaleNormal="80" workbookViewId="0">
      <selection activeCell="J3" sqref="J3"/>
    </sheetView>
  </sheetViews>
  <sheetFormatPr defaultColWidth="8.7109375" defaultRowHeight="12.75" x14ac:dyDescent="0.2"/>
  <cols>
    <col min="1" max="1" width="15" style="274" bestFit="1" customWidth="1"/>
    <col min="2" max="2" width="14.5703125" style="274" bestFit="1" customWidth="1"/>
    <col min="3" max="3" width="28" style="274" bestFit="1" customWidth="1"/>
    <col min="4" max="4" width="18" style="274" customWidth="1"/>
    <col min="5" max="5" width="28.28515625" style="284" customWidth="1"/>
    <col min="6" max="7" width="12" style="284" bestFit="1" customWidth="1"/>
    <col min="8" max="8" width="12.28515625" style="274" bestFit="1" customWidth="1"/>
    <col min="9" max="9" width="14" style="274" customWidth="1"/>
    <col min="10" max="11" width="15" style="274" customWidth="1"/>
    <col min="12" max="12" width="8.7109375" style="274"/>
    <col min="13" max="13" width="13" style="274" bestFit="1" customWidth="1"/>
    <col min="14" max="16384" width="8.7109375" style="274"/>
  </cols>
  <sheetData>
    <row r="1" spans="1:13" ht="15.6" customHeight="1" thickTop="1" thickBot="1" x14ac:dyDescent="0.25">
      <c r="A1" s="412" t="s">
        <v>55</v>
      </c>
      <c r="B1" s="412"/>
      <c r="C1" s="412"/>
      <c r="D1" s="412"/>
      <c r="E1" s="413" t="s">
        <v>577</v>
      </c>
      <c r="F1" s="414"/>
      <c r="G1" s="414"/>
      <c r="H1" s="414"/>
      <c r="I1" s="414"/>
      <c r="J1" s="414"/>
      <c r="K1" s="414"/>
    </row>
    <row r="2" spans="1:13" ht="13.5" thickTop="1" x14ac:dyDescent="0.2">
      <c r="A2" s="275" t="s">
        <v>69</v>
      </c>
      <c r="B2" s="276" t="s">
        <v>295</v>
      </c>
      <c r="C2" s="277" t="s">
        <v>70</v>
      </c>
      <c r="D2" s="276" t="s">
        <v>139</v>
      </c>
      <c r="E2" s="278" t="s">
        <v>701</v>
      </c>
      <c r="F2" s="278" t="s">
        <v>696</v>
      </c>
      <c r="G2" s="278" t="s">
        <v>697</v>
      </c>
      <c r="H2" s="279" t="s">
        <v>698</v>
      </c>
      <c r="I2" s="276" t="s">
        <v>699</v>
      </c>
      <c r="J2" s="276" t="s">
        <v>700</v>
      </c>
      <c r="K2" s="280" t="s">
        <v>703</v>
      </c>
      <c r="L2" s="274" t="s">
        <v>702</v>
      </c>
    </row>
    <row r="3" spans="1:13" x14ac:dyDescent="0.2">
      <c r="A3" s="281" t="s">
        <v>164</v>
      </c>
      <c r="B3" s="281" t="s">
        <v>118</v>
      </c>
      <c r="C3" s="281" t="s">
        <v>323</v>
      </c>
      <c r="D3" s="281" t="s">
        <v>324</v>
      </c>
      <c r="E3" s="282">
        <f>_xlfn.XLOOKUP(D3,'PIN2025'!B:B,'PIN2025'!E:E,0,0)</f>
        <v>114254</v>
      </c>
      <c r="F3" s="282">
        <f>ROUND(E3*_xlfn.XLOOKUP(D3,Sheet6!B:B,Sheet6!D:D,0,0),0)</f>
        <v>52906</v>
      </c>
      <c r="G3" s="282">
        <f>ROUND(E3*_xlfn.XLOOKUP(D3,Sheet6!B:B,Sheet6!C:C,0,0),0)</f>
        <v>61348</v>
      </c>
      <c r="H3" s="282">
        <v>40848.004166412247</v>
      </c>
      <c r="I3" s="282">
        <v>66601.87597667634</v>
      </c>
      <c r="J3" s="282">
        <v>6804.1198569114149</v>
      </c>
      <c r="K3" s="281"/>
      <c r="L3" s="274">
        <f>IF((F3+G3)&lt;&gt;E3,"Error",IF((H3+I3+J3)&lt;&gt;E3,"Error",0))</f>
        <v>0</v>
      </c>
    </row>
    <row r="4" spans="1:13" x14ac:dyDescent="0.2">
      <c r="A4" s="281" t="s">
        <v>164</v>
      </c>
      <c r="B4" s="281" t="s">
        <v>118</v>
      </c>
      <c r="C4" s="281" t="s">
        <v>325</v>
      </c>
      <c r="D4" s="281" t="s">
        <v>326</v>
      </c>
      <c r="E4" s="282">
        <f>_xlfn.XLOOKUP(D4,'PIN2025'!B:B,'PIN2025'!E:E,0,0)</f>
        <v>349805</v>
      </c>
      <c r="F4" s="282">
        <f>ROUND(E4*_xlfn.XLOOKUP(D4,Sheet6!B:B,Sheet6!D:D,0,0),0)</f>
        <v>161716</v>
      </c>
      <c r="G4" s="282">
        <f>ROUND(E4*_xlfn.XLOOKUP(D4,Sheet6!B:B,Sheet6!C:C,0,0),0)</f>
        <v>188089</v>
      </c>
      <c r="H4" s="282">
        <v>132984.77287976962</v>
      </c>
      <c r="I4" s="282">
        <v>197207.62119410015</v>
      </c>
      <c r="J4" s="282">
        <v>19612.605926130222</v>
      </c>
      <c r="K4" s="281"/>
      <c r="L4" s="274">
        <f t="shared" ref="L4:L67" si="0">IF((F4+G4)&lt;&gt;E4,"Error",IF((H4+I4+J4)&lt;&gt;E4,"Error",0))</f>
        <v>0</v>
      </c>
    </row>
    <row r="5" spans="1:13" x14ac:dyDescent="0.2">
      <c r="A5" s="281" t="s">
        <v>164</v>
      </c>
      <c r="B5" s="281" t="s">
        <v>118</v>
      </c>
      <c r="C5" s="281" t="s">
        <v>327</v>
      </c>
      <c r="D5" s="281" t="s">
        <v>328</v>
      </c>
      <c r="E5" s="282">
        <f>_xlfn.XLOOKUP(D5,'PIN2025'!B:B,'PIN2025'!E:E,0,0)</f>
        <v>83993</v>
      </c>
      <c r="F5" s="282">
        <f>ROUND(E5*_xlfn.XLOOKUP(D5,Sheet6!B:B,Sheet6!D:D,0,0),0)</f>
        <v>39646</v>
      </c>
      <c r="G5" s="282">
        <f>ROUND(E5*_xlfn.XLOOKUP(D5,Sheet6!B:B,Sheet6!C:C,0,0),0)</f>
        <v>44347</v>
      </c>
      <c r="H5" s="282">
        <v>31762.223261011186</v>
      </c>
      <c r="I5" s="282">
        <v>45612.605074917919</v>
      </c>
      <c r="J5" s="282">
        <v>6618.1716640708928</v>
      </c>
      <c r="K5" s="281"/>
      <c r="L5" s="274">
        <f>IF((F5+G5)&lt;&gt;E5,"Error",IF((H5+I5+J5)&lt;&gt;E5,"Error",0))</f>
        <v>0</v>
      </c>
    </row>
    <row r="6" spans="1:13" x14ac:dyDescent="0.2">
      <c r="A6" s="281" t="s">
        <v>164</v>
      </c>
      <c r="B6" s="281" t="s">
        <v>118</v>
      </c>
      <c r="C6" s="281" t="s">
        <v>329</v>
      </c>
      <c r="D6" s="281" t="s">
        <v>330</v>
      </c>
      <c r="E6" s="282">
        <f>_xlfn.XLOOKUP(D6,'PIN2025'!B:B,'PIN2025'!E:E,0,0)</f>
        <v>180555</v>
      </c>
      <c r="F6" s="282">
        <f>ROUND(E6*_xlfn.XLOOKUP(D6,Sheet6!B:B,Sheet6!D:D,0,0),0)</f>
        <v>84356</v>
      </c>
      <c r="G6" s="282">
        <f>ROUND(E6*_xlfn.XLOOKUP(D6,Sheet6!B:B,Sheet6!C:C,0,0),0)</f>
        <v>96199</v>
      </c>
      <c r="H6" s="282">
        <v>60493.939378745956</v>
      </c>
      <c r="I6" s="282">
        <v>109020.89857917996</v>
      </c>
      <c r="J6" s="282">
        <v>11040.162042074082</v>
      </c>
      <c r="K6" s="281"/>
      <c r="L6" s="274">
        <f t="shared" si="0"/>
        <v>0</v>
      </c>
      <c r="M6" s="283">
        <f>F6+G6</f>
        <v>180555</v>
      </c>
    </row>
    <row r="7" spans="1:13" x14ac:dyDescent="0.2">
      <c r="A7" s="281" t="s">
        <v>164</v>
      </c>
      <c r="B7" s="281" t="s">
        <v>118</v>
      </c>
      <c r="C7" s="281" t="s">
        <v>331</v>
      </c>
      <c r="D7" s="281" t="s">
        <v>332</v>
      </c>
      <c r="E7" s="282">
        <f>_xlfn.XLOOKUP(D7,'PIN2025'!B:B,'PIN2025'!E:E,0,0)</f>
        <v>106965</v>
      </c>
      <c r="F7" s="282">
        <f>ROUND(E7*_xlfn.XLOOKUP(D7,Sheet6!B:B,Sheet6!D:D,0,0),0)</f>
        <v>50862</v>
      </c>
      <c r="G7" s="282">
        <f>ROUND(E7*_xlfn.XLOOKUP(D7,Sheet6!B:B,Sheet6!C:C,0,0),0)</f>
        <v>56103</v>
      </c>
      <c r="H7" s="282">
        <v>40792.740841316787</v>
      </c>
      <c r="I7" s="282">
        <v>58551.58285718612</v>
      </c>
      <c r="J7" s="282">
        <v>7620.6763014970875</v>
      </c>
      <c r="K7" s="281"/>
      <c r="L7" s="274">
        <f t="shared" si="0"/>
        <v>0</v>
      </c>
    </row>
    <row r="8" spans="1:13" x14ac:dyDescent="0.2">
      <c r="A8" s="281" t="s">
        <v>164</v>
      </c>
      <c r="B8" s="281" t="s">
        <v>118</v>
      </c>
      <c r="C8" s="281" t="s">
        <v>333</v>
      </c>
      <c r="D8" s="281" t="s">
        <v>334</v>
      </c>
      <c r="E8" s="282">
        <f>_xlfn.XLOOKUP(D8,'PIN2025'!B:B,'PIN2025'!E:E,0,0)</f>
        <v>80526</v>
      </c>
      <c r="F8" s="282">
        <f>ROUND(E8*_xlfn.XLOOKUP(D8,Sheet6!B:B,Sheet6!D:D,0,0),0)</f>
        <v>37981</v>
      </c>
      <c r="G8" s="282">
        <f>ROUND(E8*_xlfn.XLOOKUP(D8,Sheet6!B:B,Sheet6!C:C,0,0),0)</f>
        <v>42545</v>
      </c>
      <c r="H8" s="282">
        <v>30566.711520002696</v>
      </c>
      <c r="I8" s="282">
        <v>43827.097366840491</v>
      </c>
      <c r="J8" s="282">
        <v>6132.1911131568158</v>
      </c>
      <c r="K8" s="281"/>
      <c r="L8" s="274">
        <f t="shared" si="0"/>
        <v>0</v>
      </c>
    </row>
    <row r="9" spans="1:13" x14ac:dyDescent="0.2">
      <c r="A9" s="281" t="s">
        <v>164</v>
      </c>
      <c r="B9" s="281" t="s">
        <v>118</v>
      </c>
      <c r="C9" s="281" t="s">
        <v>164</v>
      </c>
      <c r="D9" s="281" t="s">
        <v>335</v>
      </c>
      <c r="E9" s="282">
        <f>_xlfn.XLOOKUP(D9,'PIN2025'!B:B,'PIN2025'!E:E,0,0)</f>
        <v>22865</v>
      </c>
      <c r="F9" s="282">
        <f>ROUND(E9*_xlfn.XLOOKUP(D9,Sheet6!B:B,Sheet6!D:D,0,0),0)</f>
        <v>10707</v>
      </c>
      <c r="G9" s="282">
        <f>ROUND(E9*_xlfn.XLOOKUP(D9,Sheet6!B:B,Sheet6!C:C,0,0),0)</f>
        <v>12158</v>
      </c>
      <c r="H9" s="282">
        <v>8281.2712703450452</v>
      </c>
      <c r="I9" s="282">
        <v>12595.182700582014</v>
      </c>
      <c r="J9" s="282">
        <v>1988.5460290729413</v>
      </c>
      <c r="K9" s="281"/>
      <c r="L9" s="274">
        <f t="shared" si="0"/>
        <v>0</v>
      </c>
    </row>
    <row r="10" spans="1:13" x14ac:dyDescent="0.2">
      <c r="A10" s="281" t="s">
        <v>167</v>
      </c>
      <c r="B10" s="281" t="s">
        <v>119</v>
      </c>
      <c r="C10" s="281" t="s">
        <v>196</v>
      </c>
      <c r="D10" s="281" t="s">
        <v>195</v>
      </c>
      <c r="E10" s="282">
        <f>_xlfn.XLOOKUP(D10,'PIN2025'!B:B,'PIN2025'!E:E,0,0)</f>
        <v>101481</v>
      </c>
      <c r="F10" s="282">
        <f>ROUND(E10*_xlfn.XLOOKUP(D10,Sheet6!B:B,Sheet6!D:D,0,0),0)</f>
        <v>47828</v>
      </c>
      <c r="G10" s="282">
        <f>ROUND(E10*_xlfn.XLOOKUP(D10,Sheet6!B:B,Sheet6!C:C,0,0),0)</f>
        <v>53653</v>
      </c>
      <c r="H10" s="282">
        <v>57933.990803569694</v>
      </c>
      <c r="I10" s="282">
        <v>41262.19209456964</v>
      </c>
      <c r="J10" s="282">
        <v>2284.8171018606731</v>
      </c>
      <c r="K10" s="281"/>
      <c r="L10" s="274">
        <f t="shared" si="0"/>
        <v>0</v>
      </c>
    </row>
    <row r="11" spans="1:13" x14ac:dyDescent="0.2">
      <c r="A11" s="281" t="s">
        <v>167</v>
      </c>
      <c r="B11" s="281" t="s">
        <v>119</v>
      </c>
      <c r="C11" s="281" t="s">
        <v>199</v>
      </c>
      <c r="D11" s="281" t="s">
        <v>198</v>
      </c>
      <c r="E11" s="282">
        <f>_xlfn.XLOOKUP(D11,'PIN2025'!B:B,'PIN2025'!E:E,0,0)</f>
        <v>408696</v>
      </c>
      <c r="F11" s="282">
        <f>ROUND(E11*_xlfn.XLOOKUP(D11,Sheet6!B:B,Sheet6!D:D,0,0),0)</f>
        <v>206072</v>
      </c>
      <c r="G11" s="282">
        <f>ROUND(E11*_xlfn.XLOOKUP(D11,Sheet6!B:B,Sheet6!C:C,0,0),0)</f>
        <v>202624</v>
      </c>
      <c r="H11" s="282">
        <v>230989.77262079049</v>
      </c>
      <c r="I11" s="282">
        <v>158747.79035784927</v>
      </c>
      <c r="J11" s="282">
        <v>18958.437021360252</v>
      </c>
      <c r="K11" s="281"/>
      <c r="L11" s="274">
        <f t="shared" si="0"/>
        <v>0</v>
      </c>
    </row>
    <row r="12" spans="1:13" x14ac:dyDescent="0.2">
      <c r="A12" s="281" t="s">
        <v>167</v>
      </c>
      <c r="B12" s="281" t="s">
        <v>119</v>
      </c>
      <c r="C12" s="281" t="s">
        <v>201</v>
      </c>
      <c r="D12" s="281" t="s">
        <v>200</v>
      </c>
      <c r="E12" s="282">
        <f>_xlfn.XLOOKUP(D12,'PIN2025'!B:B,'PIN2025'!E:E,0,0)</f>
        <v>18318</v>
      </c>
      <c r="F12" s="282">
        <f>ROUND(E12*_xlfn.XLOOKUP(D12,Sheet6!B:B,Sheet6!D:D,0,0),0)</f>
        <v>9100</v>
      </c>
      <c r="G12" s="282">
        <f>ROUND(E12*_xlfn.XLOOKUP(D12,Sheet6!B:B,Sheet6!C:C,0,0),0)</f>
        <v>9218</v>
      </c>
      <c r="H12" s="282">
        <v>10017.044601208669</v>
      </c>
      <c r="I12" s="282">
        <v>7563.925182104369</v>
      </c>
      <c r="J12" s="282">
        <v>737.03021668696431</v>
      </c>
      <c r="K12" s="281"/>
      <c r="L12" s="274">
        <f t="shared" si="0"/>
        <v>0</v>
      </c>
    </row>
    <row r="13" spans="1:13" x14ac:dyDescent="0.2">
      <c r="A13" s="281" t="s">
        <v>167</v>
      </c>
      <c r="B13" s="281" t="s">
        <v>119</v>
      </c>
      <c r="C13" s="281" t="s">
        <v>203</v>
      </c>
      <c r="D13" s="281" t="s">
        <v>202</v>
      </c>
      <c r="E13" s="282">
        <f>_xlfn.XLOOKUP(D13,'PIN2025'!B:B,'PIN2025'!E:E,0,0)</f>
        <v>2492</v>
      </c>
      <c r="F13" s="282">
        <f>ROUND(E13*_xlfn.XLOOKUP(D13,Sheet6!B:B,Sheet6!D:D,0,0),0)</f>
        <v>1204</v>
      </c>
      <c r="G13" s="282">
        <f>ROUND(E13*_xlfn.XLOOKUP(D13,Sheet6!B:B,Sheet6!C:C,0,0),0)</f>
        <v>1288</v>
      </c>
      <c r="H13" s="282">
        <v>1295.668600478469</v>
      </c>
      <c r="I13" s="282">
        <v>1081.4378289473684</v>
      </c>
      <c r="J13" s="282">
        <v>114.89357057416268</v>
      </c>
      <c r="K13" s="281"/>
      <c r="L13" s="274">
        <f t="shared" si="0"/>
        <v>0</v>
      </c>
    </row>
    <row r="14" spans="1:13" x14ac:dyDescent="0.2">
      <c r="A14" s="281" t="s">
        <v>167</v>
      </c>
      <c r="B14" s="281" t="s">
        <v>119</v>
      </c>
      <c r="C14" s="281" t="s">
        <v>205</v>
      </c>
      <c r="D14" s="281" t="s">
        <v>204</v>
      </c>
      <c r="E14" s="282">
        <f>_xlfn.XLOOKUP(D14,'PIN2025'!B:B,'PIN2025'!E:E,0,0)</f>
        <v>18084</v>
      </c>
      <c r="F14" s="282">
        <f>ROUND(E14*_xlfn.XLOOKUP(D14,Sheet6!B:B,Sheet6!D:D,0,0),0)</f>
        <v>8891</v>
      </c>
      <c r="G14" s="282">
        <f>ROUND(E14*_xlfn.XLOOKUP(D14,Sheet6!B:B,Sheet6!C:C,0,0),0)</f>
        <v>9193</v>
      </c>
      <c r="H14" s="282">
        <v>10049.765098946285</v>
      </c>
      <c r="I14" s="282">
        <v>7425.3929581084558</v>
      </c>
      <c r="J14" s="282">
        <v>608.84194294525832</v>
      </c>
      <c r="K14" s="281"/>
      <c r="L14" s="274">
        <f t="shared" si="0"/>
        <v>0</v>
      </c>
    </row>
    <row r="15" spans="1:13" x14ac:dyDescent="0.2">
      <c r="A15" s="281" t="s">
        <v>167</v>
      </c>
      <c r="B15" s="281" t="s">
        <v>119</v>
      </c>
      <c r="C15" s="281" t="s">
        <v>207</v>
      </c>
      <c r="D15" s="281" t="s">
        <v>206</v>
      </c>
      <c r="E15" s="282">
        <f>_xlfn.XLOOKUP(D15,'PIN2025'!B:B,'PIN2025'!E:E,0,0)</f>
        <v>2425</v>
      </c>
      <c r="F15" s="282">
        <f>ROUND(E15*_xlfn.XLOOKUP(D15,Sheet6!B:B,Sheet6!D:D,0,0),0)</f>
        <v>1233</v>
      </c>
      <c r="G15" s="282">
        <f>ROUND(E15*_xlfn.XLOOKUP(D15,Sheet6!B:B,Sheet6!C:C,0,0),0)</f>
        <v>1192</v>
      </c>
      <c r="H15" s="282">
        <v>1344.9373558749396</v>
      </c>
      <c r="I15" s="282">
        <v>973.76488175041561</v>
      </c>
      <c r="J15" s="282">
        <v>106.29776237464471</v>
      </c>
      <c r="K15" s="281"/>
      <c r="L15" s="274">
        <f t="shared" si="0"/>
        <v>0</v>
      </c>
    </row>
    <row r="16" spans="1:13" x14ac:dyDescent="0.2">
      <c r="A16" s="281" t="s">
        <v>167</v>
      </c>
      <c r="B16" s="281" t="s">
        <v>119</v>
      </c>
      <c r="C16" s="281" t="s">
        <v>209</v>
      </c>
      <c r="D16" s="281" t="s">
        <v>208</v>
      </c>
      <c r="E16" s="282">
        <f>_xlfn.XLOOKUP(D16,'PIN2025'!B:B,'PIN2025'!E:E,0,0)</f>
        <v>462</v>
      </c>
      <c r="F16" s="282">
        <f>ROUND(E16*_xlfn.XLOOKUP(D16,Sheet6!B:B,Sheet6!D:D,0,0),0)</f>
        <v>235</v>
      </c>
      <c r="G16" s="282">
        <f>ROUND(E16*_xlfn.XLOOKUP(D16,Sheet6!B:B,Sheet6!C:C,0,0),0)</f>
        <v>227</v>
      </c>
      <c r="H16" s="282">
        <v>252.94844242361447</v>
      </c>
      <c r="I16" s="282">
        <v>188.41672710871646</v>
      </c>
      <c r="J16" s="282">
        <v>20.63483046766909</v>
      </c>
      <c r="K16" s="281"/>
      <c r="L16" s="274">
        <f t="shared" si="0"/>
        <v>0</v>
      </c>
    </row>
    <row r="17" spans="1:12" x14ac:dyDescent="0.2">
      <c r="A17" s="281" t="s">
        <v>167</v>
      </c>
      <c r="B17" s="281" t="s">
        <v>119</v>
      </c>
      <c r="C17" s="281" t="s">
        <v>211</v>
      </c>
      <c r="D17" s="281" t="s">
        <v>210</v>
      </c>
      <c r="E17" s="282">
        <f>_xlfn.XLOOKUP(D17,'PIN2025'!B:B,'PIN2025'!E:E,0,0)</f>
        <v>139660</v>
      </c>
      <c r="F17" s="282">
        <f>ROUND(E17*_xlfn.XLOOKUP(D17,Sheet6!B:B,Sheet6!D:D,0,0),0)</f>
        <v>69880</v>
      </c>
      <c r="G17" s="282">
        <f>ROUND(E17*_xlfn.XLOOKUP(D17,Sheet6!B:B,Sheet6!C:C,0,0),0)</f>
        <v>69780</v>
      </c>
      <c r="H17" s="282">
        <v>77459.956295737618</v>
      </c>
      <c r="I17" s="282">
        <v>57510.642558656255</v>
      </c>
      <c r="J17" s="282">
        <v>4689.4011456061316</v>
      </c>
      <c r="K17" s="281"/>
      <c r="L17" s="274">
        <f t="shared" si="0"/>
        <v>0</v>
      </c>
    </row>
    <row r="18" spans="1:12" x14ac:dyDescent="0.2">
      <c r="A18" s="281" t="s">
        <v>167</v>
      </c>
      <c r="B18" s="281" t="s">
        <v>119</v>
      </c>
      <c r="C18" s="281" t="s">
        <v>213</v>
      </c>
      <c r="D18" s="281" t="s">
        <v>212</v>
      </c>
      <c r="E18" s="282">
        <f>_xlfn.XLOOKUP(D18,'PIN2025'!B:B,'PIN2025'!E:E,0,0)</f>
        <v>7525</v>
      </c>
      <c r="F18" s="282">
        <f>ROUND(E18*_xlfn.XLOOKUP(D18,Sheet6!B:B,Sheet6!D:D,0,0),0)</f>
        <v>3846</v>
      </c>
      <c r="G18" s="282">
        <f>ROUND(E18*_xlfn.XLOOKUP(D18,Sheet6!B:B,Sheet6!C:C,0,0),0)</f>
        <v>3679</v>
      </c>
      <c r="H18" s="282">
        <v>4133.6807317210669</v>
      </c>
      <c r="I18" s="282">
        <v>3036.2583854783243</v>
      </c>
      <c r="J18" s="282">
        <v>355.06088280060879</v>
      </c>
      <c r="K18" s="281"/>
      <c r="L18" s="274">
        <f t="shared" si="0"/>
        <v>0</v>
      </c>
    </row>
    <row r="19" spans="1:12" x14ac:dyDescent="0.2">
      <c r="A19" s="281" t="s">
        <v>167</v>
      </c>
      <c r="B19" s="281" t="s">
        <v>119</v>
      </c>
      <c r="C19" s="281" t="s">
        <v>215</v>
      </c>
      <c r="D19" s="281" t="s">
        <v>214</v>
      </c>
      <c r="E19" s="282">
        <f>_xlfn.XLOOKUP(D19,'PIN2025'!B:B,'PIN2025'!E:E,0,0)</f>
        <v>246910</v>
      </c>
      <c r="F19" s="282">
        <f>ROUND(E19*_xlfn.XLOOKUP(D19,Sheet6!B:B,Sheet6!D:D,0,0),0)</f>
        <v>125082</v>
      </c>
      <c r="G19" s="282">
        <f>ROUND(E19*_xlfn.XLOOKUP(D19,Sheet6!B:B,Sheet6!C:C,0,0),0)</f>
        <v>121828</v>
      </c>
      <c r="H19" s="282">
        <v>133335.96748710677</v>
      </c>
      <c r="I19" s="282">
        <v>103207.43628962892</v>
      </c>
      <c r="J19" s="282">
        <v>10366.596223264318</v>
      </c>
      <c r="K19" s="281"/>
      <c r="L19" s="274">
        <f t="shared" si="0"/>
        <v>0</v>
      </c>
    </row>
    <row r="20" spans="1:12" x14ac:dyDescent="0.2">
      <c r="A20" s="281" t="s">
        <v>167</v>
      </c>
      <c r="B20" s="281" t="s">
        <v>119</v>
      </c>
      <c r="C20" s="281" t="s">
        <v>217</v>
      </c>
      <c r="D20" s="281" t="s">
        <v>216</v>
      </c>
      <c r="E20" s="282">
        <f>_xlfn.XLOOKUP(D20,'PIN2025'!B:B,'PIN2025'!E:E,0,0)</f>
        <v>57730</v>
      </c>
      <c r="F20" s="282">
        <f>ROUND(E20*_xlfn.XLOOKUP(D20,Sheet6!B:B,Sheet6!D:D,0,0),0)</f>
        <v>29143</v>
      </c>
      <c r="G20" s="282">
        <f>ROUND(E20*_xlfn.XLOOKUP(D20,Sheet6!B:B,Sheet6!C:C,0,0),0)</f>
        <v>28587</v>
      </c>
      <c r="H20" s="282">
        <v>32285.003059077917</v>
      </c>
      <c r="I20" s="282">
        <v>22810.503532606421</v>
      </c>
      <c r="J20" s="282">
        <v>2634.4934083156631</v>
      </c>
      <c r="K20" s="281"/>
      <c r="L20" s="274">
        <f t="shared" si="0"/>
        <v>0</v>
      </c>
    </row>
    <row r="21" spans="1:12" x14ac:dyDescent="0.2">
      <c r="A21" s="281" t="s">
        <v>167</v>
      </c>
      <c r="B21" s="281" t="s">
        <v>119</v>
      </c>
      <c r="C21" s="281" t="s">
        <v>219</v>
      </c>
      <c r="D21" s="281" t="s">
        <v>218</v>
      </c>
      <c r="E21" s="282">
        <f>_xlfn.XLOOKUP(D21,'PIN2025'!B:B,'PIN2025'!E:E,0,0)</f>
        <v>123122</v>
      </c>
      <c r="F21" s="282">
        <f>ROUND(E21*_xlfn.XLOOKUP(D21,Sheet6!B:B,Sheet6!D:D,0,0),0)</f>
        <v>62132</v>
      </c>
      <c r="G21" s="282">
        <f>ROUND(E21*_xlfn.XLOOKUP(D21,Sheet6!B:B,Sheet6!C:C,0,0),0)</f>
        <v>60990</v>
      </c>
      <c r="H21" s="282">
        <v>68857.999443230612</v>
      </c>
      <c r="I21" s="282">
        <v>48651.163749251311</v>
      </c>
      <c r="J21" s="282">
        <v>5612.8368075180742</v>
      </c>
      <c r="K21" s="281"/>
      <c r="L21" s="274">
        <f t="shared" si="0"/>
        <v>0</v>
      </c>
    </row>
    <row r="22" spans="1:12" x14ac:dyDescent="0.2">
      <c r="A22" s="281" t="s">
        <v>167</v>
      </c>
      <c r="B22" s="281" t="s">
        <v>119</v>
      </c>
      <c r="C22" s="281" t="s">
        <v>221</v>
      </c>
      <c r="D22" s="281" t="s">
        <v>220</v>
      </c>
      <c r="E22" s="282">
        <f>_xlfn.XLOOKUP(D22,'PIN2025'!B:B,'PIN2025'!E:E,0,0)</f>
        <v>52825</v>
      </c>
      <c r="F22" s="282">
        <f>ROUND(E22*_xlfn.XLOOKUP(D22,Sheet6!B:B,Sheet6!D:D,0,0),0)</f>
        <v>27260</v>
      </c>
      <c r="G22" s="282">
        <f>ROUND(E22*_xlfn.XLOOKUP(D22,Sheet6!B:B,Sheet6!C:C,0,0),0)</f>
        <v>25565</v>
      </c>
      <c r="H22" s="282">
        <v>30255.469977076875</v>
      </c>
      <c r="I22" s="282">
        <v>20401.097073056841</v>
      </c>
      <c r="J22" s="282">
        <v>2168.4329498662819</v>
      </c>
      <c r="K22" s="281"/>
      <c r="L22" s="274">
        <f t="shared" si="0"/>
        <v>0</v>
      </c>
    </row>
    <row r="23" spans="1:12" x14ac:dyDescent="0.2">
      <c r="A23" s="281" t="s">
        <v>167</v>
      </c>
      <c r="B23" s="281" t="s">
        <v>119</v>
      </c>
      <c r="C23" s="281" t="s">
        <v>223</v>
      </c>
      <c r="D23" s="281" t="s">
        <v>222</v>
      </c>
      <c r="E23" s="282">
        <f>_xlfn.XLOOKUP(D23,'PIN2025'!B:B,'PIN2025'!E:E,0,0)</f>
        <v>1915</v>
      </c>
      <c r="F23" s="282">
        <f>ROUND(E23*_xlfn.XLOOKUP(D23,Sheet6!B:B,Sheet6!D:D,0,0),0)</f>
        <v>976</v>
      </c>
      <c r="G23" s="282">
        <f>ROUND(E23*_xlfn.XLOOKUP(D23,Sheet6!B:B,Sheet6!C:C,0,0),0)</f>
        <v>939</v>
      </c>
      <c r="H23" s="282">
        <v>1049.0674521151991</v>
      </c>
      <c r="I23" s="282">
        <v>780.18371916770013</v>
      </c>
      <c r="J23" s="282">
        <v>85.748828717100736</v>
      </c>
      <c r="K23" s="281"/>
      <c r="L23" s="274">
        <f t="shared" si="0"/>
        <v>0</v>
      </c>
    </row>
    <row r="24" spans="1:12" x14ac:dyDescent="0.2">
      <c r="A24" s="281" t="s">
        <v>167</v>
      </c>
      <c r="B24" s="281" t="s">
        <v>119</v>
      </c>
      <c r="C24" s="281" t="s">
        <v>225</v>
      </c>
      <c r="D24" s="281" t="s">
        <v>224</v>
      </c>
      <c r="E24" s="282">
        <f>_xlfn.XLOOKUP(D24,'PIN2025'!B:B,'PIN2025'!E:E,0,0)</f>
        <v>29531</v>
      </c>
      <c r="F24" s="282">
        <f>ROUND(E24*_xlfn.XLOOKUP(D24,Sheet6!B:B,Sheet6!D:D,0,0),0)</f>
        <v>15068</v>
      </c>
      <c r="G24" s="282">
        <f>ROUND(E24*_xlfn.XLOOKUP(D24,Sheet6!B:B,Sheet6!C:C,0,0),0)</f>
        <v>14463</v>
      </c>
      <c r="H24" s="282">
        <v>16667.39371822861</v>
      </c>
      <c r="I24" s="282">
        <v>11608.696821931489</v>
      </c>
      <c r="J24" s="282">
        <v>1254.9094598399015</v>
      </c>
      <c r="K24" s="281"/>
      <c r="L24" s="274">
        <f t="shared" si="0"/>
        <v>0</v>
      </c>
    </row>
    <row r="25" spans="1:12" x14ac:dyDescent="0.2">
      <c r="A25" s="281" t="s">
        <v>167</v>
      </c>
      <c r="B25" s="281" t="s">
        <v>119</v>
      </c>
      <c r="C25" s="281" t="s">
        <v>227</v>
      </c>
      <c r="D25" s="281" t="s">
        <v>226</v>
      </c>
      <c r="E25" s="282">
        <f>_xlfn.XLOOKUP(D25,'PIN2025'!B:B,'PIN2025'!E:E,0,0)</f>
        <v>160932</v>
      </c>
      <c r="F25" s="282">
        <f>ROUND(E25*_xlfn.XLOOKUP(D25,Sheet6!B:B,Sheet6!D:D,0,0),0)</f>
        <v>81849</v>
      </c>
      <c r="G25" s="282">
        <f>ROUND(E25*_xlfn.XLOOKUP(D25,Sheet6!B:B,Sheet6!C:C,0,0),0)</f>
        <v>79083</v>
      </c>
      <c r="H25" s="282">
        <v>86568.294611972087</v>
      </c>
      <c r="I25" s="282">
        <v>65772.058277472679</v>
      </c>
      <c r="J25" s="282">
        <v>8591.6471105552191</v>
      </c>
      <c r="K25" s="281"/>
      <c r="L25" s="274">
        <f t="shared" si="0"/>
        <v>0</v>
      </c>
    </row>
    <row r="26" spans="1:12" x14ac:dyDescent="0.2">
      <c r="A26" s="281" t="s">
        <v>167</v>
      </c>
      <c r="B26" s="281" t="s">
        <v>119</v>
      </c>
      <c r="C26" s="281" t="s">
        <v>229</v>
      </c>
      <c r="D26" s="281" t="s">
        <v>228</v>
      </c>
      <c r="E26" s="282">
        <f>_xlfn.XLOOKUP(D26,'PIN2025'!B:B,'PIN2025'!E:E,0,0)</f>
        <v>11776</v>
      </c>
      <c r="F26" s="282">
        <f>ROUND(E26*_xlfn.XLOOKUP(D26,Sheet6!B:B,Sheet6!D:D,0,0),0)</f>
        <v>5973</v>
      </c>
      <c r="G26" s="282">
        <f>ROUND(E26*_xlfn.XLOOKUP(D26,Sheet6!B:B,Sheet6!C:C,0,0),0)</f>
        <v>5803</v>
      </c>
      <c r="H26" s="282">
        <v>6378.6008923954887</v>
      </c>
      <c r="I26" s="282">
        <v>4896.5374289051879</v>
      </c>
      <c r="J26" s="282">
        <v>500.86167869932399</v>
      </c>
      <c r="K26" s="281"/>
      <c r="L26" s="274">
        <f t="shared" si="0"/>
        <v>0</v>
      </c>
    </row>
    <row r="27" spans="1:12" x14ac:dyDescent="0.2">
      <c r="A27" s="281" t="s">
        <v>185</v>
      </c>
      <c r="B27" s="281" t="s">
        <v>120</v>
      </c>
      <c r="C27" s="281" t="s">
        <v>233</v>
      </c>
      <c r="D27" s="281" t="s">
        <v>232</v>
      </c>
      <c r="E27" s="282">
        <f>_xlfn.XLOOKUP(D27,'PIN2025'!B:B,'PIN2025'!E:E,0,0)</f>
        <v>23153</v>
      </c>
      <c r="F27" s="282">
        <f>ROUND(E27*_xlfn.XLOOKUP(D27,Sheet6!B:B,Sheet6!D:D,0,0),0)</f>
        <v>11491</v>
      </c>
      <c r="G27" s="282">
        <f>ROUND(E27*_xlfn.XLOOKUP(D27,Sheet6!B:B,Sheet6!C:C,0,0),0)</f>
        <v>11662</v>
      </c>
      <c r="H27" s="282">
        <v>11203.836951858548</v>
      </c>
      <c r="I27" s="282">
        <v>11284.010058836147</v>
      </c>
      <c r="J27" s="282">
        <v>665.15298930530446</v>
      </c>
      <c r="K27" s="281"/>
      <c r="L27" s="274">
        <f t="shared" si="0"/>
        <v>0</v>
      </c>
    </row>
    <row r="28" spans="1:12" x14ac:dyDescent="0.2">
      <c r="A28" s="281" t="s">
        <v>185</v>
      </c>
      <c r="B28" s="281" t="s">
        <v>120</v>
      </c>
      <c r="C28" s="281" t="s">
        <v>235</v>
      </c>
      <c r="D28" s="281" t="s">
        <v>234</v>
      </c>
      <c r="E28" s="282">
        <f>_xlfn.XLOOKUP(D28,'PIN2025'!B:B,'PIN2025'!E:E,0,0)</f>
        <v>38162</v>
      </c>
      <c r="F28" s="282">
        <f>ROUND(E28*_xlfn.XLOOKUP(D28,Sheet6!B:B,Sheet6!D:D,0,0),0)</f>
        <v>18934</v>
      </c>
      <c r="G28" s="282">
        <f>ROUND(E28*_xlfn.XLOOKUP(D28,Sheet6!B:B,Sheet6!C:C,0,0),0)</f>
        <v>19228</v>
      </c>
      <c r="H28" s="282">
        <v>18692.082865961533</v>
      </c>
      <c r="I28" s="282">
        <v>18227.931992697708</v>
      </c>
      <c r="J28" s="282">
        <v>1241.9851413407609</v>
      </c>
      <c r="K28" s="281"/>
      <c r="L28" s="274">
        <f t="shared" si="0"/>
        <v>0</v>
      </c>
    </row>
    <row r="29" spans="1:12" x14ac:dyDescent="0.2">
      <c r="A29" s="281" t="s">
        <v>185</v>
      </c>
      <c r="B29" s="281" t="s">
        <v>120</v>
      </c>
      <c r="C29" s="281" t="s">
        <v>237</v>
      </c>
      <c r="D29" s="281" t="s">
        <v>236</v>
      </c>
      <c r="E29" s="282">
        <f>_xlfn.XLOOKUP(D29,'PIN2025'!B:B,'PIN2025'!E:E,0,0)</f>
        <v>210664</v>
      </c>
      <c r="F29" s="282">
        <f>ROUND(E29*_xlfn.XLOOKUP(D29,Sheet6!B:B,Sheet6!D:D,0,0),0)</f>
        <v>105199</v>
      </c>
      <c r="G29" s="282">
        <f>ROUND(E29*_xlfn.XLOOKUP(D29,Sheet6!B:B,Sheet6!C:C,0,0),0)</f>
        <v>105465</v>
      </c>
      <c r="H29" s="282">
        <v>107170.2723178466</v>
      </c>
      <c r="I29" s="282">
        <v>93641.468823108065</v>
      </c>
      <c r="J29" s="282">
        <v>9852.2588590453415</v>
      </c>
      <c r="K29" s="281"/>
      <c r="L29" s="274">
        <f t="shared" si="0"/>
        <v>0</v>
      </c>
    </row>
    <row r="30" spans="1:12" x14ac:dyDescent="0.2">
      <c r="A30" s="281" t="s">
        <v>185</v>
      </c>
      <c r="B30" s="281" t="s">
        <v>120</v>
      </c>
      <c r="C30" s="281" t="s">
        <v>239</v>
      </c>
      <c r="D30" s="281" t="s">
        <v>238</v>
      </c>
      <c r="E30" s="282">
        <f>_xlfn.XLOOKUP(D30,'PIN2025'!B:B,'PIN2025'!E:E,0,0)</f>
        <v>42753</v>
      </c>
      <c r="F30" s="282">
        <f>ROUND(E30*_xlfn.XLOOKUP(D30,Sheet6!B:B,Sheet6!D:D,0,0),0)</f>
        <v>20273</v>
      </c>
      <c r="G30" s="282">
        <f>ROUND(E30*_xlfn.XLOOKUP(D30,Sheet6!B:B,Sheet6!C:C,0,0),0)</f>
        <v>22480</v>
      </c>
      <c r="H30" s="282">
        <v>19270.383451097063</v>
      </c>
      <c r="I30" s="282">
        <v>21518.003049460767</v>
      </c>
      <c r="J30" s="282">
        <v>1964.6134994421718</v>
      </c>
      <c r="K30" s="281"/>
      <c r="L30" s="274">
        <f t="shared" si="0"/>
        <v>0</v>
      </c>
    </row>
    <row r="31" spans="1:12" x14ac:dyDescent="0.2">
      <c r="A31" s="281" t="s">
        <v>185</v>
      </c>
      <c r="B31" s="281" t="s">
        <v>120</v>
      </c>
      <c r="C31" s="281" t="s">
        <v>241</v>
      </c>
      <c r="D31" s="281" t="s">
        <v>240</v>
      </c>
      <c r="E31" s="282">
        <f>_xlfn.XLOOKUP(D31,'PIN2025'!B:B,'PIN2025'!E:E,0,0)</f>
        <v>8603</v>
      </c>
      <c r="F31" s="282">
        <f>ROUND(E31*_xlfn.XLOOKUP(D31,Sheet6!B:B,Sheet6!D:D,0,0),0)</f>
        <v>4155</v>
      </c>
      <c r="G31" s="282">
        <f>ROUND(E31*_xlfn.XLOOKUP(D31,Sheet6!B:B,Sheet6!C:C,0,0),0)</f>
        <v>4448</v>
      </c>
      <c r="H31" s="282">
        <v>4260.7320343424208</v>
      </c>
      <c r="I31" s="282">
        <v>4041.5442660422591</v>
      </c>
      <c r="J31" s="282">
        <v>300.72369961532024</v>
      </c>
      <c r="K31" s="281"/>
      <c r="L31" s="274">
        <f t="shared" si="0"/>
        <v>0</v>
      </c>
    </row>
    <row r="32" spans="1:12" x14ac:dyDescent="0.2">
      <c r="A32" s="281" t="s">
        <v>185</v>
      </c>
      <c r="B32" s="281" t="s">
        <v>120</v>
      </c>
      <c r="C32" s="281" t="s">
        <v>243</v>
      </c>
      <c r="D32" s="281" t="s">
        <v>242</v>
      </c>
      <c r="E32" s="282">
        <f>_xlfn.XLOOKUP(D32,'PIN2025'!B:B,'PIN2025'!E:E,0,0)</f>
        <v>19635</v>
      </c>
      <c r="F32" s="282">
        <f>ROUND(E32*_xlfn.XLOOKUP(D32,Sheet6!B:B,Sheet6!D:D,0,0),0)</f>
        <v>9836</v>
      </c>
      <c r="G32" s="282">
        <f>ROUND(E32*_xlfn.XLOOKUP(D32,Sheet6!B:B,Sheet6!C:C,0,0),0)</f>
        <v>9799</v>
      </c>
      <c r="H32" s="282">
        <v>11077.148975109811</v>
      </c>
      <c r="I32" s="282">
        <v>7564.6017569546129</v>
      </c>
      <c r="J32" s="282">
        <v>993.24926793557825</v>
      </c>
      <c r="K32" s="281"/>
      <c r="L32" s="274">
        <f t="shared" si="0"/>
        <v>0</v>
      </c>
    </row>
    <row r="33" spans="1:12" x14ac:dyDescent="0.2">
      <c r="A33" s="281" t="s">
        <v>185</v>
      </c>
      <c r="B33" s="281" t="s">
        <v>120</v>
      </c>
      <c r="C33" s="281" t="s">
        <v>245</v>
      </c>
      <c r="D33" s="281" t="s">
        <v>244</v>
      </c>
      <c r="E33" s="282">
        <f>_xlfn.XLOOKUP(D33,'PIN2025'!B:B,'PIN2025'!E:E,0,0)</f>
        <v>8830</v>
      </c>
      <c r="F33" s="282">
        <f>ROUND(E33*_xlfn.XLOOKUP(D33,Sheet6!B:B,Sheet6!D:D,0,0),0)</f>
        <v>4171</v>
      </c>
      <c r="G33" s="282">
        <f>ROUND(E33*_xlfn.XLOOKUP(D33,Sheet6!B:B,Sheet6!C:C,0,0),0)</f>
        <v>4659</v>
      </c>
      <c r="H33" s="282">
        <v>4170.3099343019958</v>
      </c>
      <c r="I33" s="282">
        <v>4291.2717659935515</v>
      </c>
      <c r="J33" s="282">
        <v>368.41829970445309</v>
      </c>
      <c r="K33" s="281"/>
      <c r="L33" s="274">
        <f t="shared" si="0"/>
        <v>0</v>
      </c>
    </row>
    <row r="34" spans="1:12" x14ac:dyDescent="0.2">
      <c r="A34" s="281" t="s">
        <v>185</v>
      </c>
      <c r="B34" s="281" t="s">
        <v>120</v>
      </c>
      <c r="C34" s="281" t="s">
        <v>247</v>
      </c>
      <c r="D34" s="281" t="s">
        <v>246</v>
      </c>
      <c r="E34" s="282">
        <f>_xlfn.XLOOKUP(D34,'PIN2025'!B:B,'PIN2025'!E:E,0,0)</f>
        <v>8008</v>
      </c>
      <c r="F34" s="282">
        <f>ROUND(E34*_xlfn.XLOOKUP(D34,Sheet6!B:B,Sheet6!D:D,0,0),0)</f>
        <v>3828</v>
      </c>
      <c r="G34" s="282">
        <f>ROUND(E34*_xlfn.XLOOKUP(D34,Sheet6!B:B,Sheet6!C:C,0,0),0)</f>
        <v>4180</v>
      </c>
      <c r="H34" s="282">
        <v>3354.1734841891503</v>
      </c>
      <c r="I34" s="282">
        <v>4269.1743545111694</v>
      </c>
      <c r="J34" s="282">
        <v>384.65216129968087</v>
      </c>
      <c r="K34" s="281"/>
      <c r="L34" s="274">
        <f t="shared" si="0"/>
        <v>0</v>
      </c>
    </row>
    <row r="35" spans="1:12" x14ac:dyDescent="0.2">
      <c r="A35" s="281" t="s">
        <v>185</v>
      </c>
      <c r="B35" s="281" t="s">
        <v>120</v>
      </c>
      <c r="C35" s="281" t="s">
        <v>249</v>
      </c>
      <c r="D35" s="281" t="s">
        <v>248</v>
      </c>
      <c r="E35" s="282">
        <f>_xlfn.XLOOKUP(D35,'PIN2025'!B:B,'PIN2025'!E:E,0,0)</f>
        <v>23450</v>
      </c>
      <c r="F35" s="282">
        <f>ROUND(E35*_xlfn.XLOOKUP(D35,Sheet6!B:B,Sheet6!D:D,0,0),0)</f>
        <v>11285</v>
      </c>
      <c r="G35" s="282">
        <f>ROUND(E35*_xlfn.XLOOKUP(D35,Sheet6!B:B,Sheet6!C:C,0,0),0)</f>
        <v>12165</v>
      </c>
      <c r="H35" s="282">
        <v>11162.736112079181</v>
      </c>
      <c r="I35" s="282">
        <v>11338.443577054437</v>
      </c>
      <c r="J35" s="282">
        <v>948.82031086638312</v>
      </c>
      <c r="K35" s="281"/>
      <c r="L35" s="274">
        <f t="shared" si="0"/>
        <v>0</v>
      </c>
    </row>
    <row r="36" spans="1:12" x14ac:dyDescent="0.2">
      <c r="A36" s="281" t="s">
        <v>185</v>
      </c>
      <c r="B36" s="281" t="s">
        <v>120</v>
      </c>
      <c r="C36" s="281" t="s">
        <v>251</v>
      </c>
      <c r="D36" s="281" t="s">
        <v>250</v>
      </c>
      <c r="E36" s="282">
        <f>_xlfn.XLOOKUP(D36,'PIN2025'!B:B,'PIN2025'!E:E,0,0)</f>
        <v>126932</v>
      </c>
      <c r="F36" s="282">
        <f>ROUND(E36*_xlfn.XLOOKUP(D36,Sheet6!B:B,Sheet6!D:D,0,0),0)</f>
        <v>61175</v>
      </c>
      <c r="G36" s="282">
        <f>ROUND(E36*_xlfn.XLOOKUP(D36,Sheet6!B:B,Sheet6!C:C,0,0),0)</f>
        <v>65757</v>
      </c>
      <c r="H36" s="282">
        <v>57015.458045788931</v>
      </c>
      <c r="I36" s="282">
        <v>65288.370665490409</v>
      </c>
      <c r="J36" s="282">
        <v>4628.1712887206704</v>
      </c>
      <c r="K36" s="281"/>
      <c r="L36" s="274">
        <f t="shared" si="0"/>
        <v>0</v>
      </c>
    </row>
    <row r="37" spans="1:12" x14ac:dyDescent="0.2">
      <c r="A37" s="281" t="s">
        <v>185</v>
      </c>
      <c r="B37" s="281" t="s">
        <v>120</v>
      </c>
      <c r="C37" s="281" t="s">
        <v>253</v>
      </c>
      <c r="D37" s="281" t="s">
        <v>252</v>
      </c>
      <c r="E37" s="282">
        <f>_xlfn.XLOOKUP(D37,'PIN2025'!B:B,'PIN2025'!E:E,0,0)</f>
        <v>396</v>
      </c>
      <c r="F37" s="282">
        <f>ROUND(E37*_xlfn.XLOOKUP(D37,Sheet6!B:B,Sheet6!D:D,0,0),0)</f>
        <v>199</v>
      </c>
      <c r="G37" s="282">
        <f>ROUND(E37*_xlfn.XLOOKUP(D37,Sheet6!B:B,Sheet6!C:C,0,0),0)</f>
        <v>197</v>
      </c>
      <c r="H37" s="282">
        <v>196.6016051364366</v>
      </c>
      <c r="I37" s="282">
        <v>182.42696629213484</v>
      </c>
      <c r="J37" s="282">
        <v>16.971428571428572</v>
      </c>
      <c r="K37" s="281"/>
      <c r="L37" s="274">
        <f t="shared" si="0"/>
        <v>0</v>
      </c>
    </row>
    <row r="38" spans="1:12" x14ac:dyDescent="0.2">
      <c r="A38" s="281" t="s">
        <v>185</v>
      </c>
      <c r="B38" s="281" t="s">
        <v>120</v>
      </c>
      <c r="C38" s="281" t="s">
        <v>255</v>
      </c>
      <c r="D38" s="281" t="s">
        <v>254</v>
      </c>
      <c r="E38" s="282">
        <f>_xlfn.XLOOKUP(D38,'PIN2025'!B:B,'PIN2025'!E:E,0,0)</f>
        <v>64784</v>
      </c>
      <c r="F38" s="282">
        <f>ROUND(E38*_xlfn.XLOOKUP(D38,Sheet6!B:B,Sheet6!D:D,0,0),0)</f>
        <v>32398</v>
      </c>
      <c r="G38" s="282">
        <f>ROUND(E38*_xlfn.XLOOKUP(D38,Sheet6!B:B,Sheet6!C:C,0,0),0)</f>
        <v>32386</v>
      </c>
      <c r="H38" s="282">
        <v>33229.015962321253</v>
      </c>
      <c r="I38" s="282">
        <v>28892.06521322166</v>
      </c>
      <c r="J38" s="282">
        <v>2662.9188244570892</v>
      </c>
      <c r="K38" s="281"/>
      <c r="L38" s="274">
        <f t="shared" si="0"/>
        <v>0</v>
      </c>
    </row>
    <row r="39" spans="1:12" x14ac:dyDescent="0.2">
      <c r="A39" s="281" t="s">
        <v>185</v>
      </c>
      <c r="B39" s="281" t="s">
        <v>120</v>
      </c>
      <c r="C39" s="281" t="s">
        <v>257</v>
      </c>
      <c r="D39" s="281" t="s">
        <v>256</v>
      </c>
      <c r="E39" s="282">
        <f>_xlfn.XLOOKUP(D39,'PIN2025'!B:B,'PIN2025'!E:E,0,0)</f>
        <v>10733</v>
      </c>
      <c r="F39" s="282">
        <f>ROUND(E39*_xlfn.XLOOKUP(D39,Sheet6!B:B,Sheet6!D:D,0,0),0)</f>
        <v>5460</v>
      </c>
      <c r="G39" s="282">
        <f>ROUND(E39*_xlfn.XLOOKUP(D39,Sheet6!B:B,Sheet6!C:C,0,0),0)</f>
        <v>5273</v>
      </c>
      <c r="H39" s="282">
        <v>5482.6805793188842</v>
      </c>
      <c r="I39" s="282">
        <v>4838.2428702851885</v>
      </c>
      <c r="J39" s="282">
        <v>412.07655039592811</v>
      </c>
      <c r="K39" s="281"/>
      <c r="L39" s="274">
        <f t="shared" si="0"/>
        <v>0</v>
      </c>
    </row>
    <row r="40" spans="1:12" x14ac:dyDescent="0.2">
      <c r="A40" s="281" t="s">
        <v>185</v>
      </c>
      <c r="B40" s="281" t="s">
        <v>120</v>
      </c>
      <c r="C40" s="281" t="s">
        <v>259</v>
      </c>
      <c r="D40" s="281" t="s">
        <v>258</v>
      </c>
      <c r="E40" s="282">
        <f>_xlfn.XLOOKUP(D40,'PIN2025'!B:B,'PIN2025'!E:E,0,0)</f>
        <v>83877</v>
      </c>
      <c r="F40" s="282">
        <f>ROUND(E40*_xlfn.XLOOKUP(D40,Sheet6!B:B,Sheet6!D:D,0,0),0)</f>
        <v>42499</v>
      </c>
      <c r="G40" s="282">
        <f>ROUND(E40*_xlfn.XLOOKUP(D40,Sheet6!B:B,Sheet6!C:C,0,0),0)</f>
        <v>41378</v>
      </c>
      <c r="H40" s="282">
        <v>42572.476708395589</v>
      </c>
      <c r="I40" s="282">
        <v>37989.193222203583</v>
      </c>
      <c r="J40" s="282">
        <v>3315.3300694008276</v>
      </c>
      <c r="K40" s="281"/>
      <c r="L40" s="274">
        <f t="shared" si="0"/>
        <v>0</v>
      </c>
    </row>
    <row r="41" spans="1:12" x14ac:dyDescent="0.2">
      <c r="A41" s="281" t="s">
        <v>185</v>
      </c>
      <c r="B41" s="281" t="s">
        <v>120</v>
      </c>
      <c r="C41" s="281" t="s">
        <v>261</v>
      </c>
      <c r="D41" s="281" t="s">
        <v>260</v>
      </c>
      <c r="E41" s="282">
        <f>_xlfn.XLOOKUP(D41,'PIN2025'!B:B,'PIN2025'!E:E,0,0)</f>
        <v>43716</v>
      </c>
      <c r="F41" s="282">
        <f>ROUND(E41*_xlfn.XLOOKUP(D41,Sheet6!B:B,Sheet6!D:D,0,0),0)</f>
        <v>21176</v>
      </c>
      <c r="G41" s="282">
        <f>ROUND(E41*_xlfn.XLOOKUP(D41,Sheet6!B:B,Sheet6!C:C,0,0),0)</f>
        <v>22540</v>
      </c>
      <c r="H41" s="282">
        <v>21042.213328992653</v>
      </c>
      <c r="I41" s="282">
        <v>20605.093991256628</v>
      </c>
      <c r="J41" s="282">
        <v>2068.6926797507208</v>
      </c>
      <c r="K41" s="281"/>
      <c r="L41" s="274">
        <f t="shared" si="0"/>
        <v>0</v>
      </c>
    </row>
    <row r="42" spans="1:12" x14ac:dyDescent="0.2">
      <c r="A42" s="281" t="s">
        <v>185</v>
      </c>
      <c r="B42" s="281" t="s">
        <v>120</v>
      </c>
      <c r="C42" s="281" t="s">
        <v>263</v>
      </c>
      <c r="D42" s="281" t="s">
        <v>262</v>
      </c>
      <c r="E42" s="282">
        <f>_xlfn.XLOOKUP(D42,'PIN2025'!B:B,'PIN2025'!E:E,0,0)</f>
        <v>151409</v>
      </c>
      <c r="F42" s="282">
        <f>ROUND(E42*_xlfn.XLOOKUP(D42,Sheet6!B:B,Sheet6!D:D,0,0),0)</f>
        <v>74998</v>
      </c>
      <c r="G42" s="282">
        <f>ROUND(E42*_xlfn.XLOOKUP(D42,Sheet6!B:B,Sheet6!C:C,0,0),0)</f>
        <v>76411</v>
      </c>
      <c r="H42" s="282">
        <v>78007.461358836415</v>
      </c>
      <c r="I42" s="282">
        <v>66388.276174536761</v>
      </c>
      <c r="J42" s="282">
        <v>7013.2624666268184</v>
      </c>
      <c r="K42" s="281"/>
      <c r="L42" s="274">
        <f t="shared" si="0"/>
        <v>0</v>
      </c>
    </row>
    <row r="43" spans="1:12" x14ac:dyDescent="0.2">
      <c r="A43" s="281" t="s">
        <v>185</v>
      </c>
      <c r="B43" s="281" t="s">
        <v>120</v>
      </c>
      <c r="C43" s="281" t="s">
        <v>265</v>
      </c>
      <c r="D43" s="281" t="s">
        <v>264</v>
      </c>
      <c r="E43" s="282">
        <f>_xlfn.XLOOKUP(D43,'PIN2025'!B:B,'PIN2025'!E:E,0,0)</f>
        <v>319611</v>
      </c>
      <c r="F43" s="282">
        <f>ROUND(E43*_xlfn.XLOOKUP(D43,Sheet6!B:B,Sheet6!D:D,0,0),0)</f>
        <v>160868</v>
      </c>
      <c r="G43" s="282">
        <f>ROUND(E43*_xlfn.XLOOKUP(D43,Sheet6!B:B,Sheet6!C:C,0,0),0)</f>
        <v>158743</v>
      </c>
      <c r="H43" s="282">
        <v>171507.32793302895</v>
      </c>
      <c r="I43" s="282">
        <v>131615.19037438097</v>
      </c>
      <c r="J43" s="282">
        <v>16488.481692590089</v>
      </c>
      <c r="K43" s="281"/>
      <c r="L43" s="274">
        <f t="shared" si="0"/>
        <v>0</v>
      </c>
    </row>
    <row r="44" spans="1:12" x14ac:dyDescent="0.2">
      <c r="A44" s="281" t="s">
        <v>185</v>
      </c>
      <c r="B44" s="281" t="s">
        <v>120</v>
      </c>
      <c r="C44" s="281" t="s">
        <v>267</v>
      </c>
      <c r="D44" s="281" t="s">
        <v>266</v>
      </c>
      <c r="E44" s="282">
        <f>_xlfn.XLOOKUP(D44,'PIN2025'!B:B,'PIN2025'!E:E,0,0)</f>
        <v>359393</v>
      </c>
      <c r="F44" s="282">
        <f>ROUND(E44*_xlfn.XLOOKUP(D44,Sheet6!B:B,Sheet6!D:D,0,0),0)</f>
        <v>182973</v>
      </c>
      <c r="G44" s="282">
        <f>ROUND(E44*_xlfn.XLOOKUP(D44,Sheet6!B:B,Sheet6!C:C,0,0),0)</f>
        <v>176420</v>
      </c>
      <c r="H44" s="282">
        <v>195026.3979488629</v>
      </c>
      <c r="I44" s="282">
        <v>146291.56512461265</v>
      </c>
      <c r="J44" s="282">
        <v>18075.036926524474</v>
      </c>
      <c r="K44" s="281"/>
      <c r="L44" s="274">
        <f t="shared" si="0"/>
        <v>0</v>
      </c>
    </row>
    <row r="45" spans="1:12" x14ac:dyDescent="0.2">
      <c r="A45" s="281" t="s">
        <v>185</v>
      </c>
      <c r="B45" s="281" t="s">
        <v>120</v>
      </c>
      <c r="C45" s="281" t="s">
        <v>269</v>
      </c>
      <c r="D45" s="281" t="s">
        <v>268</v>
      </c>
      <c r="E45" s="282">
        <f>_xlfn.XLOOKUP(D45,'PIN2025'!B:B,'PIN2025'!E:E,0,0)</f>
        <v>23767</v>
      </c>
      <c r="F45" s="282">
        <f>ROUND(E45*_xlfn.XLOOKUP(D45,Sheet6!B:B,Sheet6!D:D,0,0),0)</f>
        <v>11990</v>
      </c>
      <c r="G45" s="282">
        <f>ROUND(E45*_xlfn.XLOOKUP(D45,Sheet6!B:B,Sheet6!C:C,0,0),0)</f>
        <v>11777</v>
      </c>
      <c r="H45" s="282">
        <v>11884.503325609539</v>
      </c>
      <c r="I45" s="282">
        <v>10931.789919040873</v>
      </c>
      <c r="J45" s="282">
        <v>950.70675534958775</v>
      </c>
      <c r="K45" s="281"/>
      <c r="L45" s="274">
        <f t="shared" si="0"/>
        <v>0</v>
      </c>
    </row>
    <row r="46" spans="1:12" x14ac:dyDescent="0.2">
      <c r="A46" s="281" t="s">
        <v>185</v>
      </c>
      <c r="B46" s="281" t="s">
        <v>120</v>
      </c>
      <c r="C46" s="281" t="s">
        <v>271</v>
      </c>
      <c r="D46" s="281" t="s">
        <v>270</v>
      </c>
      <c r="E46" s="282">
        <f>_xlfn.XLOOKUP(D46,'PIN2025'!B:B,'PIN2025'!E:E,0,0)</f>
        <v>39954</v>
      </c>
      <c r="F46" s="282">
        <f>ROUND(E46*_xlfn.XLOOKUP(D46,Sheet6!B:B,Sheet6!D:D,0,0),0)</f>
        <v>20343</v>
      </c>
      <c r="G46" s="282">
        <f>ROUND(E46*_xlfn.XLOOKUP(D46,Sheet6!B:B,Sheet6!C:C,0,0),0)</f>
        <v>19611</v>
      </c>
      <c r="H46" s="282">
        <v>19704.40050034114</v>
      </c>
      <c r="I46" s="282">
        <v>18334.840421499506</v>
      </c>
      <c r="J46" s="282">
        <v>1914.759078159351</v>
      </c>
      <c r="K46" s="281"/>
      <c r="L46" s="274">
        <f t="shared" si="0"/>
        <v>0</v>
      </c>
    </row>
    <row r="47" spans="1:12" x14ac:dyDescent="0.2">
      <c r="A47" s="281" t="s">
        <v>185</v>
      </c>
      <c r="B47" s="281" t="s">
        <v>120</v>
      </c>
      <c r="C47" s="281" t="s">
        <v>273</v>
      </c>
      <c r="D47" s="281" t="s">
        <v>272</v>
      </c>
      <c r="E47" s="282">
        <f>_xlfn.XLOOKUP(D47,'PIN2025'!B:B,'PIN2025'!E:E,0,0)</f>
        <v>11093</v>
      </c>
      <c r="F47" s="282">
        <f>ROUND(E47*_xlfn.XLOOKUP(D47,Sheet6!B:B,Sheet6!D:D,0,0),0)</f>
        <v>4993</v>
      </c>
      <c r="G47" s="282">
        <f>ROUND(E47*_xlfn.XLOOKUP(D47,Sheet6!B:B,Sheet6!C:C,0,0),0)</f>
        <v>6100</v>
      </c>
      <c r="H47" s="282">
        <v>4959.894022851202</v>
      </c>
      <c r="I47" s="282">
        <v>5718.3346937872602</v>
      </c>
      <c r="J47" s="282">
        <v>414.77128336153783</v>
      </c>
      <c r="K47" s="281"/>
      <c r="L47" s="274">
        <f t="shared" si="0"/>
        <v>0</v>
      </c>
    </row>
    <row r="48" spans="1:12" x14ac:dyDescent="0.2">
      <c r="A48" s="281" t="s">
        <v>191</v>
      </c>
      <c r="B48" s="281" t="s">
        <v>121</v>
      </c>
      <c r="C48" s="281" t="s">
        <v>275</v>
      </c>
      <c r="D48" s="281" t="s">
        <v>274</v>
      </c>
      <c r="E48" s="282">
        <f>_xlfn.XLOOKUP(D48,'PIN2025'!B:B,'PIN2025'!E:E,0,0)</f>
        <v>8905</v>
      </c>
      <c r="F48" s="282">
        <f>ROUND(E48*_xlfn.XLOOKUP(D48,Sheet6!B:B,Sheet6!D:D,0,0),0)</f>
        <v>4535</v>
      </c>
      <c r="G48" s="282">
        <f>ROUND(E48*_xlfn.XLOOKUP(D48,Sheet6!B:B,Sheet6!C:C,0,0),0)</f>
        <v>4370</v>
      </c>
      <c r="H48" s="282">
        <v>5193.4668703368234</v>
      </c>
      <c r="I48" s="282">
        <v>3347.4750529644753</v>
      </c>
      <c r="J48" s="282">
        <v>364.05807669870126</v>
      </c>
      <c r="K48" s="281"/>
      <c r="L48" s="274">
        <f t="shared" si="0"/>
        <v>0</v>
      </c>
    </row>
    <row r="49" spans="1:12" x14ac:dyDescent="0.2">
      <c r="A49" s="281" t="s">
        <v>191</v>
      </c>
      <c r="B49" s="281" t="s">
        <v>121</v>
      </c>
      <c r="C49" s="281" t="s">
        <v>277</v>
      </c>
      <c r="D49" s="281" t="s">
        <v>276</v>
      </c>
      <c r="E49" s="282">
        <f>_xlfn.XLOOKUP(D49,'PIN2025'!B:B,'PIN2025'!E:E,0,0)</f>
        <v>50388</v>
      </c>
      <c r="F49" s="282">
        <f>ROUND(E49*_xlfn.XLOOKUP(D49,Sheet6!B:B,Sheet6!D:D,0,0),0)</f>
        <v>24925</v>
      </c>
      <c r="G49" s="282">
        <f>ROUND(E49*_xlfn.XLOOKUP(D49,Sheet6!B:B,Sheet6!C:C,0,0),0)</f>
        <v>25463</v>
      </c>
      <c r="H49" s="282">
        <v>28392.906651932346</v>
      </c>
      <c r="I49" s="282">
        <v>20130.246001780397</v>
      </c>
      <c r="J49" s="282">
        <v>1864.847346287258</v>
      </c>
      <c r="K49" s="281"/>
      <c r="L49" s="274">
        <f t="shared" si="0"/>
        <v>0</v>
      </c>
    </row>
    <row r="50" spans="1:12" x14ac:dyDescent="0.2">
      <c r="A50" s="281" t="s">
        <v>191</v>
      </c>
      <c r="B50" s="281" t="s">
        <v>121</v>
      </c>
      <c r="C50" s="281" t="s">
        <v>279</v>
      </c>
      <c r="D50" s="281" t="s">
        <v>278</v>
      </c>
      <c r="E50" s="282">
        <f>_xlfn.XLOOKUP(D50,'PIN2025'!B:B,'PIN2025'!E:E,0,0)</f>
        <v>13232</v>
      </c>
      <c r="F50" s="282">
        <f>ROUND(E50*_xlfn.XLOOKUP(D50,Sheet6!B:B,Sheet6!D:D,0,0),0)</f>
        <v>6637</v>
      </c>
      <c r="G50" s="282">
        <f>ROUND(E50*_xlfn.XLOOKUP(D50,Sheet6!B:B,Sheet6!C:C,0,0),0)</f>
        <v>6595</v>
      </c>
      <c r="H50" s="282">
        <v>7645.7586872586862</v>
      </c>
      <c r="I50" s="282">
        <v>5062.9802123552126</v>
      </c>
      <c r="J50" s="282">
        <v>523.26110038610034</v>
      </c>
      <c r="K50" s="281"/>
      <c r="L50" s="274">
        <f t="shared" si="0"/>
        <v>0</v>
      </c>
    </row>
    <row r="51" spans="1:12" x14ac:dyDescent="0.2">
      <c r="A51" s="281" t="s">
        <v>191</v>
      </c>
      <c r="B51" s="281" t="s">
        <v>121</v>
      </c>
      <c r="C51" s="281" t="s">
        <v>281</v>
      </c>
      <c r="D51" s="281" t="s">
        <v>280</v>
      </c>
      <c r="E51" s="282">
        <f>_xlfn.XLOOKUP(D51,'PIN2025'!B:B,'PIN2025'!E:E,0,0)</f>
        <v>29311</v>
      </c>
      <c r="F51" s="282">
        <f>ROUND(E51*_xlfn.XLOOKUP(D51,Sheet6!B:B,Sheet6!D:D,0,0),0)</f>
        <v>14956</v>
      </c>
      <c r="G51" s="282">
        <f>ROUND(E51*_xlfn.XLOOKUP(D51,Sheet6!B:B,Sheet6!C:C,0,0),0)</f>
        <v>14355</v>
      </c>
      <c r="H51" s="282">
        <v>17163.187053328991</v>
      </c>
      <c r="I51" s="282">
        <v>10930.421136092104</v>
      </c>
      <c r="J51" s="282">
        <v>1217.3918105789073</v>
      </c>
      <c r="K51" s="281"/>
      <c r="L51" s="274">
        <f t="shared" si="0"/>
        <v>0</v>
      </c>
    </row>
    <row r="52" spans="1:12" x14ac:dyDescent="0.2">
      <c r="A52" s="281" t="s">
        <v>191</v>
      </c>
      <c r="B52" s="281" t="s">
        <v>121</v>
      </c>
      <c r="C52" s="281" t="s">
        <v>283</v>
      </c>
      <c r="D52" s="281" t="s">
        <v>282</v>
      </c>
      <c r="E52" s="282">
        <f>_xlfn.XLOOKUP(D52,'PIN2025'!B:B,'PIN2025'!E:E,0,0)</f>
        <v>53316</v>
      </c>
      <c r="F52" s="282">
        <f>ROUND(E52*_xlfn.XLOOKUP(D52,Sheet6!B:B,Sheet6!D:D,0,0),0)</f>
        <v>26737</v>
      </c>
      <c r="G52" s="282">
        <f>ROUND(E52*_xlfn.XLOOKUP(D52,Sheet6!B:B,Sheet6!C:C,0,0),0)</f>
        <v>26579</v>
      </c>
      <c r="H52" s="282">
        <v>30779.145447200455</v>
      </c>
      <c r="I52" s="282">
        <v>19862.654601276561</v>
      </c>
      <c r="J52" s="282">
        <v>2674.1999515229863</v>
      </c>
      <c r="K52" s="281"/>
      <c r="L52" s="274">
        <f t="shared" si="0"/>
        <v>0</v>
      </c>
    </row>
    <row r="53" spans="1:12" x14ac:dyDescent="0.2">
      <c r="A53" s="281" t="s">
        <v>191</v>
      </c>
      <c r="B53" s="281" t="s">
        <v>121</v>
      </c>
      <c r="C53" s="281" t="s">
        <v>285</v>
      </c>
      <c r="D53" s="281" t="s">
        <v>284</v>
      </c>
      <c r="E53" s="282">
        <f>_xlfn.XLOOKUP(D53,'PIN2025'!B:B,'PIN2025'!E:E,0,0)</f>
        <v>56030</v>
      </c>
      <c r="F53" s="282">
        <f>ROUND(E53*_xlfn.XLOOKUP(D53,Sheet6!B:B,Sheet6!D:D,0,0),0)</f>
        <v>28190</v>
      </c>
      <c r="G53" s="282">
        <f>ROUND(E53*_xlfn.XLOOKUP(D53,Sheet6!B:B,Sheet6!C:C,0,0),0)</f>
        <v>27840</v>
      </c>
      <c r="H53" s="282">
        <v>31957.54313784741</v>
      </c>
      <c r="I53" s="282">
        <v>22196.585156086563</v>
      </c>
      <c r="J53" s="282">
        <v>1875.8717060660297</v>
      </c>
      <c r="K53" s="281"/>
      <c r="L53" s="274">
        <f t="shared" si="0"/>
        <v>0</v>
      </c>
    </row>
    <row r="54" spans="1:12" x14ac:dyDescent="0.2">
      <c r="A54" s="281" t="s">
        <v>191</v>
      </c>
      <c r="B54" s="281" t="s">
        <v>121</v>
      </c>
      <c r="C54" s="281" t="s">
        <v>287</v>
      </c>
      <c r="D54" s="281" t="s">
        <v>286</v>
      </c>
      <c r="E54" s="282">
        <f>_xlfn.XLOOKUP(D54,'PIN2025'!B:B,'PIN2025'!E:E,0,0)</f>
        <v>14122</v>
      </c>
      <c r="F54" s="282">
        <f>ROUND(E54*_xlfn.XLOOKUP(D54,Sheet6!B:B,Sheet6!D:D,0,0),0)</f>
        <v>7043</v>
      </c>
      <c r="G54" s="282">
        <f>ROUND(E54*_xlfn.XLOOKUP(D54,Sheet6!B:B,Sheet6!C:C,0,0),0)</f>
        <v>7079</v>
      </c>
      <c r="H54" s="282">
        <v>8055.0020076764094</v>
      </c>
      <c r="I54" s="282">
        <v>5392.7944493652194</v>
      </c>
      <c r="J54" s="282">
        <v>674.20354295837024</v>
      </c>
      <c r="K54" s="281"/>
      <c r="L54" s="274">
        <f t="shared" si="0"/>
        <v>0</v>
      </c>
    </row>
    <row r="55" spans="1:12" x14ac:dyDescent="0.2">
      <c r="A55" s="281" t="s">
        <v>191</v>
      </c>
      <c r="B55" s="281" t="s">
        <v>121</v>
      </c>
      <c r="C55" s="281" t="s">
        <v>289</v>
      </c>
      <c r="D55" s="281" t="s">
        <v>288</v>
      </c>
      <c r="E55" s="282">
        <f>_xlfn.XLOOKUP(D55,'PIN2025'!B:B,'PIN2025'!E:E,0,0)</f>
        <v>22012</v>
      </c>
      <c r="F55" s="282">
        <f>ROUND(E55*_xlfn.XLOOKUP(D55,Sheet6!B:B,Sheet6!D:D,0,0),0)</f>
        <v>10898</v>
      </c>
      <c r="G55" s="282">
        <f>ROUND(E55*_xlfn.XLOOKUP(D55,Sheet6!B:B,Sheet6!C:C,0,0),0)</f>
        <v>11114</v>
      </c>
      <c r="H55" s="282">
        <v>12434.008623747039</v>
      </c>
      <c r="I55" s="282">
        <v>9023.716125660314</v>
      </c>
      <c r="J55" s="282">
        <v>554.27525059264929</v>
      </c>
      <c r="K55" s="281"/>
      <c r="L55" s="274">
        <f t="shared" si="0"/>
        <v>0</v>
      </c>
    </row>
    <row r="56" spans="1:12" x14ac:dyDescent="0.2">
      <c r="A56" s="281" t="s">
        <v>155</v>
      </c>
      <c r="B56" s="281" t="s">
        <v>122</v>
      </c>
      <c r="C56" s="281" t="s">
        <v>169</v>
      </c>
      <c r="D56" s="281" t="s">
        <v>168</v>
      </c>
      <c r="E56" s="282">
        <f>_xlfn.XLOOKUP(D56,'PIN2025'!B:B,'PIN2025'!E:E,0,0)</f>
        <v>56837</v>
      </c>
      <c r="F56" s="282">
        <f>ROUND(E56*_xlfn.XLOOKUP(D56,Sheet6!B:B,Sheet6!D:D,0,0),0)</f>
        <v>27739</v>
      </c>
      <c r="G56" s="282">
        <f>ROUND(E56*_xlfn.XLOOKUP(D56,Sheet6!B:B,Sheet6!C:C,0,0),0)</f>
        <v>29098</v>
      </c>
      <c r="H56" s="282">
        <v>28676.009343788133</v>
      </c>
      <c r="I56" s="282">
        <v>25038.127965833599</v>
      </c>
      <c r="J56" s="282">
        <v>3122.8626903782711</v>
      </c>
      <c r="K56" s="281"/>
      <c r="L56" s="274">
        <f t="shared" si="0"/>
        <v>0</v>
      </c>
    </row>
    <row r="57" spans="1:12" x14ac:dyDescent="0.2">
      <c r="A57" s="281" t="s">
        <v>155</v>
      </c>
      <c r="B57" s="281" t="s">
        <v>122</v>
      </c>
      <c r="C57" s="281" t="s">
        <v>172</v>
      </c>
      <c r="D57" s="281" t="s">
        <v>171</v>
      </c>
      <c r="E57" s="282">
        <f>_xlfn.XLOOKUP(D57,'PIN2025'!B:B,'PIN2025'!E:E,0,0)</f>
        <v>82870</v>
      </c>
      <c r="F57" s="282">
        <f>ROUND(E57*_xlfn.XLOOKUP(D57,Sheet6!B:B,Sheet6!D:D,0,0),0)</f>
        <v>41382</v>
      </c>
      <c r="G57" s="282">
        <f>ROUND(E57*_xlfn.XLOOKUP(D57,Sheet6!B:B,Sheet6!C:C,0,0),0)</f>
        <v>41488</v>
      </c>
      <c r="H57" s="282">
        <v>44691.966587642615</v>
      </c>
      <c r="I57" s="282">
        <v>34424.650212729925</v>
      </c>
      <c r="J57" s="282">
        <v>3753.3831996274585</v>
      </c>
      <c r="K57" s="281"/>
      <c r="L57" s="274">
        <f t="shared" si="0"/>
        <v>0</v>
      </c>
    </row>
    <row r="58" spans="1:12" x14ac:dyDescent="0.2">
      <c r="A58" s="281" t="s">
        <v>155</v>
      </c>
      <c r="B58" s="281" t="s">
        <v>122</v>
      </c>
      <c r="C58" s="281" t="s">
        <v>175</v>
      </c>
      <c r="D58" s="281" t="s">
        <v>174</v>
      </c>
      <c r="E58" s="282">
        <f>_xlfn.XLOOKUP(D58,'PIN2025'!B:B,'PIN2025'!E:E,0,0)</f>
        <v>179229</v>
      </c>
      <c r="F58" s="282">
        <f>ROUND(E58*_xlfn.XLOOKUP(D58,Sheet6!B:B,Sheet6!D:D,0,0),0)</f>
        <v>90386</v>
      </c>
      <c r="G58" s="282">
        <f>ROUND(E58*_xlfn.XLOOKUP(D58,Sheet6!B:B,Sheet6!C:C,0,0),0)</f>
        <v>88843</v>
      </c>
      <c r="H58" s="282">
        <v>94598.604152138374</v>
      </c>
      <c r="I58" s="282">
        <v>75212.675785671003</v>
      </c>
      <c r="J58" s="282">
        <v>9417.7200621906195</v>
      </c>
      <c r="K58" s="281"/>
      <c r="L58" s="274">
        <f t="shared" si="0"/>
        <v>0</v>
      </c>
    </row>
    <row r="59" spans="1:12" x14ac:dyDescent="0.2">
      <c r="A59" s="281" t="s">
        <v>155</v>
      </c>
      <c r="B59" s="281" t="s">
        <v>122</v>
      </c>
      <c r="C59" s="281" t="s">
        <v>178</v>
      </c>
      <c r="D59" s="281" t="s">
        <v>177</v>
      </c>
      <c r="E59" s="282">
        <f>_xlfn.XLOOKUP(D59,'PIN2025'!B:B,'PIN2025'!E:E,0,0)</f>
        <v>224293</v>
      </c>
      <c r="F59" s="282">
        <f>ROUND(E59*_xlfn.XLOOKUP(D59,Sheet6!B:B,Sheet6!D:D,0,0),0)</f>
        <v>114202</v>
      </c>
      <c r="G59" s="282">
        <f>ROUND(E59*_xlfn.XLOOKUP(D59,Sheet6!B:B,Sheet6!C:C,0,0),0)</f>
        <v>110091</v>
      </c>
      <c r="H59" s="282">
        <v>121107.30277620541</v>
      </c>
      <c r="I59" s="282">
        <v>89684.778284131724</v>
      </c>
      <c r="J59" s="282">
        <v>13500.918939662864</v>
      </c>
      <c r="K59" s="281"/>
      <c r="L59" s="274">
        <f t="shared" si="0"/>
        <v>0</v>
      </c>
    </row>
    <row r="60" spans="1:12" x14ac:dyDescent="0.2">
      <c r="A60" s="281" t="s">
        <v>155</v>
      </c>
      <c r="B60" s="281" t="s">
        <v>122</v>
      </c>
      <c r="C60" s="281" t="s">
        <v>181</v>
      </c>
      <c r="D60" s="281" t="s">
        <v>180</v>
      </c>
      <c r="E60" s="282">
        <f>_xlfn.XLOOKUP(D60,'PIN2025'!B:B,'PIN2025'!E:E,0,0)</f>
        <v>65219</v>
      </c>
      <c r="F60" s="282">
        <f>ROUND(E60*_xlfn.XLOOKUP(D60,Sheet6!B:B,Sheet6!D:D,0,0),0)</f>
        <v>33387</v>
      </c>
      <c r="G60" s="282">
        <f>ROUND(E60*_xlfn.XLOOKUP(D60,Sheet6!B:B,Sheet6!C:C,0,0),0)</f>
        <v>31832</v>
      </c>
      <c r="H60" s="282">
        <v>35684.811782639888</v>
      </c>
      <c r="I60" s="282">
        <v>26410.698499521761</v>
      </c>
      <c r="J60" s="282">
        <v>3123.4897178383549</v>
      </c>
      <c r="K60" s="281"/>
      <c r="L60" s="274">
        <f t="shared" si="0"/>
        <v>0</v>
      </c>
    </row>
    <row r="61" spans="1:12" x14ac:dyDescent="0.2">
      <c r="A61" s="281" t="s">
        <v>155</v>
      </c>
      <c r="B61" s="281" t="s">
        <v>122</v>
      </c>
      <c r="C61" s="281" t="s">
        <v>184</v>
      </c>
      <c r="D61" s="281" t="s">
        <v>183</v>
      </c>
      <c r="E61" s="282">
        <f>_xlfn.XLOOKUP(D61,'PIN2025'!B:B,'PIN2025'!E:E,0,0)</f>
        <v>68180</v>
      </c>
      <c r="F61" s="282">
        <f>ROUND(E61*_xlfn.XLOOKUP(D61,Sheet6!B:B,Sheet6!D:D,0,0),0)</f>
        <v>33268</v>
      </c>
      <c r="G61" s="282">
        <f>ROUND(E61*_xlfn.XLOOKUP(D61,Sheet6!B:B,Sheet6!C:C,0,0),0)</f>
        <v>34912</v>
      </c>
      <c r="H61" s="282">
        <v>34686.100173166691</v>
      </c>
      <c r="I61" s="282">
        <v>30545.054083220395</v>
      </c>
      <c r="J61" s="282">
        <v>2948.8457436129097</v>
      </c>
      <c r="K61" s="281"/>
      <c r="L61" s="274">
        <f t="shared" si="0"/>
        <v>0</v>
      </c>
    </row>
    <row r="62" spans="1:12" x14ac:dyDescent="0.2">
      <c r="A62" s="281" t="s">
        <v>155</v>
      </c>
      <c r="B62" s="281" t="s">
        <v>122</v>
      </c>
      <c r="C62" s="281" t="s">
        <v>187</v>
      </c>
      <c r="D62" s="281" t="s">
        <v>186</v>
      </c>
      <c r="E62" s="282">
        <f>_xlfn.XLOOKUP(D62,'PIN2025'!B:B,'PIN2025'!E:E,0,0)</f>
        <v>116552</v>
      </c>
      <c r="F62" s="282">
        <f>ROUND(E62*_xlfn.XLOOKUP(D62,Sheet6!B:B,Sheet6!D:D,0,0),0)</f>
        <v>57677</v>
      </c>
      <c r="G62" s="282">
        <f>ROUND(E62*_xlfn.XLOOKUP(D62,Sheet6!B:B,Sheet6!C:C,0,0),0)</f>
        <v>58875</v>
      </c>
      <c r="H62" s="282">
        <v>60769.102151673666</v>
      </c>
      <c r="I62" s="282">
        <v>50505.366104053392</v>
      </c>
      <c r="J62" s="282">
        <v>5277.5317442729402</v>
      </c>
      <c r="K62" s="281"/>
      <c r="L62" s="274">
        <f t="shared" si="0"/>
        <v>0</v>
      </c>
    </row>
    <row r="63" spans="1:12" x14ac:dyDescent="0.2">
      <c r="A63" s="281" t="s">
        <v>155</v>
      </c>
      <c r="B63" s="281" t="s">
        <v>122</v>
      </c>
      <c r="C63" s="281" t="s">
        <v>190</v>
      </c>
      <c r="D63" s="281" t="s">
        <v>189</v>
      </c>
      <c r="E63" s="282">
        <f>_xlfn.XLOOKUP(D63,'PIN2025'!B:B,'PIN2025'!E:E,0,0)</f>
        <v>47058</v>
      </c>
      <c r="F63" s="282">
        <f>ROUND(E63*_xlfn.XLOOKUP(D63,Sheet6!B:B,Sheet6!D:D,0,0),0)</f>
        <v>22454</v>
      </c>
      <c r="G63" s="282">
        <f>ROUND(E63*_xlfn.XLOOKUP(D63,Sheet6!B:B,Sheet6!C:C,0,0),0)</f>
        <v>24604</v>
      </c>
      <c r="H63" s="282">
        <v>23298.75533834755</v>
      </c>
      <c r="I63" s="282">
        <v>21628.580431103092</v>
      </c>
      <c r="J63" s="282">
        <v>2130.6642305493592</v>
      </c>
      <c r="K63" s="281"/>
      <c r="L63" s="274">
        <f t="shared" si="0"/>
        <v>0</v>
      </c>
    </row>
    <row r="64" spans="1:12" x14ac:dyDescent="0.2">
      <c r="A64" s="281" t="s">
        <v>155</v>
      </c>
      <c r="B64" s="281" t="s">
        <v>122</v>
      </c>
      <c r="C64" s="281" t="s">
        <v>193</v>
      </c>
      <c r="D64" s="281" t="s">
        <v>192</v>
      </c>
      <c r="E64" s="282">
        <f>_xlfn.XLOOKUP(D64,'PIN2025'!B:B,'PIN2025'!E:E,0,0)</f>
        <v>79584</v>
      </c>
      <c r="F64" s="282">
        <f>ROUND(E64*_xlfn.XLOOKUP(D64,Sheet6!B:B,Sheet6!D:D,0,0),0)</f>
        <v>39523</v>
      </c>
      <c r="G64" s="282">
        <f>ROUND(E64*_xlfn.XLOOKUP(D64,Sheet6!B:B,Sheet6!C:C,0,0),0)</f>
        <v>40061</v>
      </c>
      <c r="H64" s="282">
        <v>40600.66860338729</v>
      </c>
      <c r="I64" s="282">
        <v>34797.652220311851</v>
      </c>
      <c r="J64" s="282">
        <v>4185.6791763008632</v>
      </c>
      <c r="K64" s="281"/>
      <c r="L64" s="274">
        <f t="shared" si="0"/>
        <v>0</v>
      </c>
    </row>
    <row r="65" spans="1:12" x14ac:dyDescent="0.2">
      <c r="A65" s="281" t="s">
        <v>141</v>
      </c>
      <c r="B65" s="281" t="s">
        <v>123</v>
      </c>
      <c r="C65" s="281" t="s">
        <v>143</v>
      </c>
      <c r="D65" s="281" t="s">
        <v>142</v>
      </c>
      <c r="E65" s="282">
        <f>_xlfn.XLOOKUP(D65,'PIN2025'!B:B,'PIN2025'!E:E,0,0)</f>
        <v>57065</v>
      </c>
      <c r="F65" s="282">
        <f>ROUND(E65*_xlfn.XLOOKUP(D65,Sheet6!B:B,Sheet6!D:D,0,0),0)</f>
        <v>28879</v>
      </c>
      <c r="G65" s="282">
        <f>ROUND(E65*_xlfn.XLOOKUP(D65,Sheet6!B:B,Sheet6!C:C,0,0),0)</f>
        <v>28186</v>
      </c>
      <c r="H65" s="282">
        <v>32587.096578696444</v>
      </c>
      <c r="I65" s="282">
        <v>21844.928729576415</v>
      </c>
      <c r="J65" s="282">
        <v>2632.9746917271359</v>
      </c>
      <c r="K65" s="281"/>
      <c r="L65" s="274">
        <f t="shared" si="0"/>
        <v>0</v>
      </c>
    </row>
    <row r="66" spans="1:12" x14ac:dyDescent="0.2">
      <c r="A66" s="281" t="s">
        <v>141</v>
      </c>
      <c r="B66" s="281" t="s">
        <v>123</v>
      </c>
      <c r="C66" s="281" t="s">
        <v>146</v>
      </c>
      <c r="D66" s="281" t="s">
        <v>145</v>
      </c>
      <c r="E66" s="282">
        <f>_xlfn.XLOOKUP(D66,'PIN2025'!B:B,'PIN2025'!E:E,0,0)</f>
        <v>34331</v>
      </c>
      <c r="F66" s="282">
        <f>ROUND(E66*_xlfn.XLOOKUP(D66,Sheet6!B:B,Sheet6!D:D,0,0),0)</f>
        <v>17899</v>
      </c>
      <c r="G66" s="282">
        <f>ROUND(E66*_xlfn.XLOOKUP(D66,Sheet6!B:B,Sheet6!C:C,0,0),0)</f>
        <v>16432</v>
      </c>
      <c r="H66" s="282">
        <v>19270.128293176411</v>
      </c>
      <c r="I66" s="282">
        <v>13674.091646125129</v>
      </c>
      <c r="J66" s="282">
        <v>1386.7800606984597</v>
      </c>
      <c r="K66" s="281"/>
      <c r="L66" s="274">
        <f t="shared" si="0"/>
        <v>0</v>
      </c>
    </row>
    <row r="67" spans="1:12" x14ac:dyDescent="0.2">
      <c r="A67" s="281" t="s">
        <v>141</v>
      </c>
      <c r="B67" s="281" t="s">
        <v>123</v>
      </c>
      <c r="C67" s="281" t="s">
        <v>149</v>
      </c>
      <c r="D67" s="281" t="s">
        <v>148</v>
      </c>
      <c r="E67" s="282">
        <f>_xlfn.XLOOKUP(D67,'PIN2025'!B:B,'PIN2025'!E:E,0,0)</f>
        <v>9368</v>
      </c>
      <c r="F67" s="282">
        <f>ROUND(E67*_xlfn.XLOOKUP(D67,Sheet6!B:B,Sheet6!D:D,0,0),0)</f>
        <v>4832</v>
      </c>
      <c r="G67" s="282">
        <f>ROUND(E67*_xlfn.XLOOKUP(D67,Sheet6!B:B,Sheet6!C:C,0,0),0)</f>
        <v>4536</v>
      </c>
      <c r="H67" s="282">
        <v>5304.9276763336911</v>
      </c>
      <c r="I67" s="282">
        <v>3888.0302542069462</v>
      </c>
      <c r="J67" s="282">
        <v>175.04206945936266</v>
      </c>
      <c r="K67" s="281"/>
      <c r="L67" s="274">
        <f t="shared" si="0"/>
        <v>0</v>
      </c>
    </row>
    <row r="68" spans="1:12" x14ac:dyDescent="0.2">
      <c r="A68" s="281" t="s">
        <v>141</v>
      </c>
      <c r="B68" s="281" t="s">
        <v>123</v>
      </c>
      <c r="C68" s="281" t="s">
        <v>152</v>
      </c>
      <c r="D68" s="281" t="s">
        <v>151</v>
      </c>
      <c r="E68" s="282">
        <f>_xlfn.XLOOKUP(D68,'PIN2025'!B:B,'PIN2025'!E:E,0,0)</f>
        <v>45728</v>
      </c>
      <c r="F68" s="282">
        <f>ROUND(E68*_xlfn.XLOOKUP(D68,Sheet6!B:B,Sheet6!D:D,0,0),0)</f>
        <v>22982</v>
      </c>
      <c r="G68" s="282">
        <f>ROUND(E68*_xlfn.XLOOKUP(D68,Sheet6!B:B,Sheet6!C:C,0,0),0)</f>
        <v>22746</v>
      </c>
      <c r="H68" s="282">
        <v>26022.906276391055</v>
      </c>
      <c r="I68" s="282">
        <v>18175.903603548701</v>
      </c>
      <c r="J68" s="282">
        <v>1529.1901200602479</v>
      </c>
      <c r="K68" s="281"/>
      <c r="L68" s="274">
        <f t="shared" ref="L68:L131" si="1">IF((F68+G68)&lt;&gt;E68,"Error",IF((H68+I68+J68)&lt;&gt;E68,"Error",0))</f>
        <v>0</v>
      </c>
    </row>
    <row r="69" spans="1:12" x14ac:dyDescent="0.2">
      <c r="A69" s="281" t="s">
        <v>141</v>
      </c>
      <c r="B69" s="281" t="s">
        <v>123</v>
      </c>
      <c r="C69" s="281" t="s">
        <v>154</v>
      </c>
      <c r="D69" s="281" t="s">
        <v>153</v>
      </c>
      <c r="E69" s="282">
        <f>_xlfn.XLOOKUP(D69,'PIN2025'!B:B,'PIN2025'!E:E,0,0)</f>
        <v>70815</v>
      </c>
      <c r="F69" s="282">
        <f>ROUND(E69*_xlfn.XLOOKUP(D69,Sheet6!B:B,Sheet6!D:D,0,0),0)</f>
        <v>35582</v>
      </c>
      <c r="G69" s="282">
        <f>ROUND(E69*_xlfn.XLOOKUP(D69,Sheet6!B:B,Sheet6!C:C,0,0),0)</f>
        <v>35233</v>
      </c>
      <c r="H69" s="282">
        <v>40589.674892484123</v>
      </c>
      <c r="I69" s="282">
        <v>27261.40628199877</v>
      </c>
      <c r="J69" s="282">
        <v>2963.9188255171002</v>
      </c>
      <c r="K69" s="281"/>
      <c r="L69" s="274">
        <f t="shared" si="1"/>
        <v>0</v>
      </c>
    </row>
    <row r="70" spans="1:12" x14ac:dyDescent="0.2">
      <c r="A70" s="281" t="s">
        <v>141</v>
      </c>
      <c r="B70" s="281" t="s">
        <v>123</v>
      </c>
      <c r="C70" s="281" t="s">
        <v>157</v>
      </c>
      <c r="D70" s="281" t="s">
        <v>156</v>
      </c>
      <c r="E70" s="282">
        <f>_xlfn.XLOOKUP(D70,'PIN2025'!B:B,'PIN2025'!E:E,0,0)</f>
        <v>48748</v>
      </c>
      <c r="F70" s="282">
        <f>ROUND(E70*_xlfn.XLOOKUP(D70,Sheet6!B:B,Sheet6!D:D,0,0),0)</f>
        <v>25589</v>
      </c>
      <c r="G70" s="282">
        <f>ROUND(E70*_xlfn.XLOOKUP(D70,Sheet6!B:B,Sheet6!C:C,0,0),0)</f>
        <v>23159</v>
      </c>
      <c r="H70" s="282">
        <v>28285.906699403717</v>
      </c>
      <c r="I70" s="282">
        <v>18538.260820764644</v>
      </c>
      <c r="J70" s="282">
        <v>1923.8324798316378</v>
      </c>
      <c r="K70" s="281"/>
      <c r="L70" s="274">
        <f t="shared" si="1"/>
        <v>0</v>
      </c>
    </row>
    <row r="71" spans="1:12" x14ac:dyDescent="0.2">
      <c r="A71" s="281" t="s">
        <v>141</v>
      </c>
      <c r="B71" s="281" t="s">
        <v>123</v>
      </c>
      <c r="C71" s="281" t="s">
        <v>160</v>
      </c>
      <c r="D71" s="281" t="s">
        <v>159</v>
      </c>
      <c r="E71" s="282">
        <f>_xlfn.XLOOKUP(D71,'PIN2025'!B:B,'PIN2025'!E:E,0,0)</f>
        <v>34456</v>
      </c>
      <c r="F71" s="282">
        <f>ROUND(E71*_xlfn.XLOOKUP(D71,Sheet6!B:B,Sheet6!D:D,0,0),0)</f>
        <v>18070</v>
      </c>
      <c r="G71" s="282">
        <f>ROUND(E71*_xlfn.XLOOKUP(D71,Sheet6!B:B,Sheet6!C:C,0,0),0)</f>
        <v>16386</v>
      </c>
      <c r="H71" s="282">
        <v>19034.680093473704</v>
      </c>
      <c r="I71" s="282">
        <v>14562.181888265195</v>
      </c>
      <c r="J71" s="282">
        <v>859.1380182611</v>
      </c>
      <c r="K71" s="281"/>
      <c r="L71" s="274">
        <f t="shared" si="1"/>
        <v>0</v>
      </c>
    </row>
    <row r="72" spans="1:12" x14ac:dyDescent="0.2">
      <c r="A72" s="281" t="s">
        <v>141</v>
      </c>
      <c r="B72" s="281" t="s">
        <v>123</v>
      </c>
      <c r="C72" s="281" t="s">
        <v>163</v>
      </c>
      <c r="D72" s="281" t="s">
        <v>162</v>
      </c>
      <c r="E72" s="282">
        <f>_xlfn.XLOOKUP(D72,'PIN2025'!B:B,'PIN2025'!E:E,0,0)</f>
        <v>138246</v>
      </c>
      <c r="F72" s="282">
        <f>ROUND(E72*_xlfn.XLOOKUP(D72,Sheet6!B:B,Sheet6!D:D,0,0),0)</f>
        <v>72555</v>
      </c>
      <c r="G72" s="282">
        <f>ROUND(E72*_xlfn.XLOOKUP(D72,Sheet6!B:B,Sheet6!C:C,0,0),0)</f>
        <v>65691</v>
      </c>
      <c r="H72" s="282">
        <v>78952.423981984582</v>
      </c>
      <c r="I72" s="282">
        <v>53655.545234799501</v>
      </c>
      <c r="J72" s="282">
        <v>5638.0307832159169</v>
      </c>
      <c r="K72" s="281"/>
      <c r="L72" s="274">
        <f t="shared" si="1"/>
        <v>0</v>
      </c>
    </row>
    <row r="73" spans="1:12" x14ac:dyDescent="0.2">
      <c r="A73" s="281" t="s">
        <v>141</v>
      </c>
      <c r="B73" s="281" t="s">
        <v>123</v>
      </c>
      <c r="C73" s="281" t="s">
        <v>166</v>
      </c>
      <c r="D73" s="281" t="s">
        <v>165</v>
      </c>
      <c r="E73" s="282">
        <f>_xlfn.XLOOKUP(D73,'PIN2025'!B:B,'PIN2025'!E:E,0,0)</f>
        <v>139538</v>
      </c>
      <c r="F73" s="282">
        <f>ROUND(E73*_xlfn.XLOOKUP(D73,Sheet6!B:B,Sheet6!D:D,0,0),0)</f>
        <v>70314</v>
      </c>
      <c r="G73" s="282">
        <f>ROUND(E73*_xlfn.XLOOKUP(D73,Sheet6!B:B,Sheet6!C:C,0,0),0)</f>
        <v>69224</v>
      </c>
      <c r="H73" s="282">
        <v>80596.582573640277</v>
      </c>
      <c r="I73" s="282">
        <v>52029.969742661204</v>
      </c>
      <c r="J73" s="282">
        <v>6911.4476836985114</v>
      </c>
      <c r="K73" s="281"/>
      <c r="L73" s="274">
        <f t="shared" si="1"/>
        <v>0</v>
      </c>
    </row>
    <row r="74" spans="1:12" x14ac:dyDescent="0.2">
      <c r="A74" s="281" t="s">
        <v>188</v>
      </c>
      <c r="B74" s="281" t="s">
        <v>124</v>
      </c>
      <c r="C74" s="281" t="s">
        <v>336</v>
      </c>
      <c r="D74" s="281" t="s">
        <v>337</v>
      </c>
      <c r="E74" s="282">
        <f>_xlfn.XLOOKUP(D74,'PIN2025'!B:B,'PIN2025'!E:E,0,0)</f>
        <v>61485</v>
      </c>
      <c r="F74" s="282">
        <f>ROUND(E74*_xlfn.XLOOKUP(D74,Sheet6!B:B,Sheet6!D:D,0,0),0)</f>
        <v>31692</v>
      </c>
      <c r="G74" s="282">
        <f>ROUND(E74*_xlfn.XLOOKUP(D74,Sheet6!B:B,Sheet6!C:C,0,0),0)</f>
        <v>29793</v>
      </c>
      <c r="H74" s="282">
        <v>36391.512569805163</v>
      </c>
      <c r="I74" s="282">
        <v>22358.617874022402</v>
      </c>
      <c r="J74" s="282">
        <v>2734.8695561724344</v>
      </c>
      <c r="K74" s="281"/>
      <c r="L74" s="274">
        <f t="shared" si="1"/>
        <v>0</v>
      </c>
    </row>
    <row r="75" spans="1:12" x14ac:dyDescent="0.2">
      <c r="A75" s="281" t="s">
        <v>188</v>
      </c>
      <c r="B75" s="281" t="s">
        <v>124</v>
      </c>
      <c r="C75" s="281" t="s">
        <v>338</v>
      </c>
      <c r="D75" s="281" t="s">
        <v>339</v>
      </c>
      <c r="E75" s="282">
        <f>_xlfn.XLOOKUP(D75,'PIN2025'!B:B,'PIN2025'!E:E,0,0)</f>
        <v>4535</v>
      </c>
      <c r="F75" s="282">
        <f>ROUND(E75*_xlfn.XLOOKUP(D75,Sheet6!B:B,Sheet6!D:D,0,0),0)</f>
        <v>2357</v>
      </c>
      <c r="G75" s="282">
        <f>ROUND(E75*_xlfn.XLOOKUP(D75,Sheet6!B:B,Sheet6!C:C,0,0),0)</f>
        <v>2178</v>
      </c>
      <c r="H75" s="282">
        <v>2740.2296819787985</v>
      </c>
      <c r="I75" s="282">
        <v>1625.8238263503281</v>
      </c>
      <c r="J75" s="282">
        <v>168.94649167087331</v>
      </c>
      <c r="K75" s="281"/>
      <c r="L75" s="274">
        <f t="shared" si="1"/>
        <v>0</v>
      </c>
    </row>
    <row r="76" spans="1:12" x14ac:dyDescent="0.2">
      <c r="A76" s="281" t="s">
        <v>188</v>
      </c>
      <c r="B76" s="281" t="s">
        <v>124</v>
      </c>
      <c r="C76" s="281" t="s">
        <v>340</v>
      </c>
      <c r="D76" s="281" t="s">
        <v>341</v>
      </c>
      <c r="E76" s="282">
        <f>_xlfn.XLOOKUP(D76,'PIN2025'!B:B,'PIN2025'!E:E,0,0)</f>
        <v>77833</v>
      </c>
      <c r="F76" s="282">
        <f>ROUND(E76*_xlfn.XLOOKUP(D76,Sheet6!B:B,Sheet6!D:D,0,0),0)</f>
        <v>40873</v>
      </c>
      <c r="G76" s="282">
        <f>ROUND(E76*_xlfn.XLOOKUP(D76,Sheet6!B:B,Sheet6!C:C,0,0),0)</f>
        <v>36960</v>
      </c>
      <c r="H76" s="282">
        <v>46477.993871104089</v>
      </c>
      <c r="I76" s="282">
        <v>27873.810015350049</v>
      </c>
      <c r="J76" s="282">
        <v>3481.196113545861</v>
      </c>
      <c r="K76" s="281"/>
      <c r="L76" s="274">
        <f t="shared" si="1"/>
        <v>0</v>
      </c>
    </row>
    <row r="77" spans="1:12" x14ac:dyDescent="0.2">
      <c r="A77" s="281" t="s">
        <v>188</v>
      </c>
      <c r="B77" s="281" t="s">
        <v>124</v>
      </c>
      <c r="C77" s="281" t="s">
        <v>342</v>
      </c>
      <c r="D77" s="281" t="s">
        <v>343</v>
      </c>
      <c r="E77" s="282">
        <f>_xlfn.XLOOKUP(D77,'PIN2025'!B:B,'PIN2025'!E:E,0,0)</f>
        <v>9802</v>
      </c>
      <c r="F77" s="282">
        <f>ROUND(E77*_xlfn.XLOOKUP(D77,Sheet6!B:B,Sheet6!D:D,0,0),0)</f>
        <v>4909</v>
      </c>
      <c r="G77" s="282">
        <f>ROUND(E77*_xlfn.XLOOKUP(D77,Sheet6!B:B,Sheet6!C:C,0,0),0)</f>
        <v>4893</v>
      </c>
      <c r="H77" s="282">
        <v>5739.7917694440957</v>
      </c>
      <c r="I77" s="282">
        <v>3755.6780244436081</v>
      </c>
      <c r="J77" s="282">
        <v>306.53020611229567</v>
      </c>
      <c r="K77" s="281"/>
      <c r="L77" s="274">
        <f t="shared" si="1"/>
        <v>0</v>
      </c>
    </row>
    <row r="78" spans="1:12" x14ac:dyDescent="0.2">
      <c r="A78" s="281" t="s">
        <v>188</v>
      </c>
      <c r="B78" s="281" t="s">
        <v>124</v>
      </c>
      <c r="C78" s="281" t="s">
        <v>344</v>
      </c>
      <c r="D78" s="281" t="s">
        <v>345</v>
      </c>
      <c r="E78" s="282">
        <f>_xlfn.XLOOKUP(D78,'PIN2025'!B:B,'PIN2025'!E:E,0,0)</f>
        <v>22331</v>
      </c>
      <c r="F78" s="282">
        <f>ROUND(E78*_xlfn.XLOOKUP(D78,Sheet6!B:B,Sheet6!D:D,0,0),0)</f>
        <v>11629</v>
      </c>
      <c r="G78" s="282">
        <f>ROUND(E78*_xlfn.XLOOKUP(D78,Sheet6!B:B,Sheet6!C:C,0,0),0)</f>
        <v>10702</v>
      </c>
      <c r="H78" s="282">
        <v>13254.919626846555</v>
      </c>
      <c r="I78" s="282">
        <v>8016.830906839723</v>
      </c>
      <c r="J78" s="282">
        <v>1059.2494663137222</v>
      </c>
      <c r="K78" s="281"/>
      <c r="L78" s="274">
        <f t="shared" si="1"/>
        <v>0</v>
      </c>
    </row>
    <row r="79" spans="1:12" x14ac:dyDescent="0.2">
      <c r="A79" s="281" t="s">
        <v>188</v>
      </c>
      <c r="B79" s="281" t="s">
        <v>124</v>
      </c>
      <c r="C79" s="281" t="s">
        <v>346</v>
      </c>
      <c r="D79" s="281" t="s">
        <v>347</v>
      </c>
      <c r="E79" s="282">
        <f>_xlfn.XLOOKUP(D79,'PIN2025'!B:B,'PIN2025'!E:E,0,0)</f>
        <v>9473</v>
      </c>
      <c r="F79" s="282">
        <f>ROUND(E79*_xlfn.XLOOKUP(D79,Sheet6!B:B,Sheet6!D:D,0,0),0)</f>
        <v>4929</v>
      </c>
      <c r="G79" s="282">
        <f>ROUND(E79*_xlfn.XLOOKUP(D79,Sheet6!B:B,Sheet6!C:C,0,0),0)</f>
        <v>4544</v>
      </c>
      <c r="H79" s="282">
        <v>5659.5835827606134</v>
      </c>
      <c r="I79" s="282">
        <v>3433.0117926649114</v>
      </c>
      <c r="J79" s="282">
        <v>380.40462457447489</v>
      </c>
      <c r="K79" s="281"/>
      <c r="L79" s="274">
        <f t="shared" si="1"/>
        <v>0</v>
      </c>
    </row>
    <row r="80" spans="1:12" x14ac:dyDescent="0.2">
      <c r="A80" s="281" t="s">
        <v>188</v>
      </c>
      <c r="B80" s="281" t="s">
        <v>124</v>
      </c>
      <c r="C80" s="281" t="s">
        <v>348</v>
      </c>
      <c r="D80" s="281" t="s">
        <v>349</v>
      </c>
      <c r="E80" s="282">
        <f>_xlfn.XLOOKUP(D80,'PIN2025'!B:B,'PIN2025'!E:E,0,0)</f>
        <v>32458</v>
      </c>
      <c r="F80" s="282">
        <f>ROUND(E80*_xlfn.XLOOKUP(D80,Sheet6!B:B,Sheet6!D:D,0,0),0)</f>
        <v>16846</v>
      </c>
      <c r="G80" s="282">
        <f>ROUND(E80*_xlfn.XLOOKUP(D80,Sheet6!B:B,Sheet6!C:C,0,0),0)</f>
        <v>15612</v>
      </c>
      <c r="H80" s="282">
        <v>19444.802205176558</v>
      </c>
      <c r="I80" s="282">
        <v>11719.267178036576</v>
      </c>
      <c r="J80" s="282">
        <v>1293.930616786864</v>
      </c>
      <c r="K80" s="281"/>
      <c r="L80" s="274">
        <f t="shared" si="1"/>
        <v>0</v>
      </c>
    </row>
    <row r="81" spans="1:12" x14ac:dyDescent="0.2">
      <c r="A81" s="281" t="s">
        <v>188</v>
      </c>
      <c r="B81" s="281" t="s">
        <v>124</v>
      </c>
      <c r="C81" s="281" t="s">
        <v>350</v>
      </c>
      <c r="D81" s="281" t="s">
        <v>351</v>
      </c>
      <c r="E81" s="282">
        <f>_xlfn.XLOOKUP(D81,'PIN2025'!B:B,'PIN2025'!E:E,0,0)</f>
        <v>18858</v>
      </c>
      <c r="F81" s="282">
        <f>ROUND(E81*_xlfn.XLOOKUP(D81,Sheet6!B:B,Sheet6!D:D,0,0),0)</f>
        <v>9558</v>
      </c>
      <c r="G81" s="282">
        <f>ROUND(E81*_xlfn.XLOOKUP(D81,Sheet6!B:B,Sheet6!C:C,0,0),0)</f>
        <v>9300</v>
      </c>
      <c r="H81" s="282">
        <v>11019.828719196836</v>
      </c>
      <c r="I81" s="282">
        <v>7088.244295710374</v>
      </c>
      <c r="J81" s="282">
        <v>749.92698509278978</v>
      </c>
      <c r="K81" s="281"/>
      <c r="L81" s="274">
        <f t="shared" si="1"/>
        <v>0</v>
      </c>
    </row>
    <row r="82" spans="1:12" x14ac:dyDescent="0.2">
      <c r="A82" s="281" t="s">
        <v>188</v>
      </c>
      <c r="B82" s="281" t="s">
        <v>124</v>
      </c>
      <c r="C82" s="281" t="s">
        <v>352</v>
      </c>
      <c r="D82" s="281" t="s">
        <v>353</v>
      </c>
      <c r="E82" s="282">
        <f>_xlfn.XLOOKUP(D82,'PIN2025'!B:B,'PIN2025'!E:E,0,0)</f>
        <v>30567</v>
      </c>
      <c r="F82" s="282">
        <f>ROUND(E82*_xlfn.XLOOKUP(D82,Sheet6!B:B,Sheet6!D:D,0,0),0)</f>
        <v>15774</v>
      </c>
      <c r="G82" s="282">
        <f>ROUND(E82*_xlfn.XLOOKUP(D82,Sheet6!B:B,Sheet6!C:C,0,0),0)</f>
        <v>14793</v>
      </c>
      <c r="H82" s="282">
        <v>17998.065001139039</v>
      </c>
      <c r="I82" s="282">
        <v>11041.629508694661</v>
      </c>
      <c r="J82" s="282">
        <v>1527.3054901662995</v>
      </c>
      <c r="K82" s="281"/>
      <c r="L82" s="274">
        <f t="shared" si="1"/>
        <v>0</v>
      </c>
    </row>
    <row r="83" spans="1:12" x14ac:dyDescent="0.2">
      <c r="A83" s="281" t="s">
        <v>188</v>
      </c>
      <c r="B83" s="281" t="s">
        <v>124</v>
      </c>
      <c r="C83" s="281" t="s">
        <v>354</v>
      </c>
      <c r="D83" s="281" t="s">
        <v>355</v>
      </c>
      <c r="E83" s="282">
        <f>_xlfn.XLOOKUP(D83,'PIN2025'!B:B,'PIN2025'!E:E,0,0)</f>
        <v>45091</v>
      </c>
      <c r="F83" s="282">
        <f>ROUND(E83*_xlfn.XLOOKUP(D83,Sheet6!B:B,Sheet6!D:D,0,0),0)</f>
        <v>22846</v>
      </c>
      <c r="G83" s="282">
        <f>ROUND(E83*_xlfn.XLOOKUP(D83,Sheet6!B:B,Sheet6!C:C,0,0),0)</f>
        <v>22245</v>
      </c>
      <c r="H83" s="282">
        <v>26207.464785480075</v>
      </c>
      <c r="I83" s="282">
        <v>16949.992818547085</v>
      </c>
      <c r="J83" s="282">
        <v>1933.5423959728444</v>
      </c>
      <c r="K83" s="281"/>
      <c r="L83" s="274">
        <f t="shared" si="1"/>
        <v>0</v>
      </c>
    </row>
    <row r="84" spans="1:12" x14ac:dyDescent="0.2">
      <c r="A84" s="281" t="s">
        <v>188</v>
      </c>
      <c r="B84" s="281" t="s">
        <v>124</v>
      </c>
      <c r="C84" s="281" t="s">
        <v>356</v>
      </c>
      <c r="D84" s="281" t="s">
        <v>357</v>
      </c>
      <c r="E84" s="282">
        <f>_xlfn.XLOOKUP(D84,'PIN2025'!B:B,'PIN2025'!E:E,0,0)</f>
        <v>17767</v>
      </c>
      <c r="F84" s="282">
        <f>ROUND(E84*_xlfn.XLOOKUP(D84,Sheet6!B:B,Sheet6!D:D,0,0),0)</f>
        <v>9006</v>
      </c>
      <c r="G84" s="282">
        <f>ROUND(E84*_xlfn.XLOOKUP(D84,Sheet6!B:B,Sheet6!C:C,0,0),0)</f>
        <v>8761</v>
      </c>
      <c r="H84" s="282">
        <v>10382.235474413646</v>
      </c>
      <c r="I84" s="282">
        <v>6677.5595374774484</v>
      </c>
      <c r="J84" s="282">
        <v>707.20498810890604</v>
      </c>
      <c r="K84" s="281"/>
      <c r="L84" s="274">
        <f t="shared" si="1"/>
        <v>0</v>
      </c>
    </row>
    <row r="85" spans="1:12" x14ac:dyDescent="0.2">
      <c r="A85" s="281" t="s">
        <v>188</v>
      </c>
      <c r="B85" s="281" t="s">
        <v>124</v>
      </c>
      <c r="C85" s="281" t="s">
        <v>358</v>
      </c>
      <c r="D85" s="281" t="s">
        <v>359</v>
      </c>
      <c r="E85" s="282">
        <f>_xlfn.XLOOKUP(D85,'PIN2025'!B:B,'PIN2025'!E:E,0,0)</f>
        <v>50737</v>
      </c>
      <c r="F85" s="282">
        <f>ROUND(E85*_xlfn.XLOOKUP(D85,Sheet6!B:B,Sheet6!D:D,0,0),0)</f>
        <v>26239</v>
      </c>
      <c r="G85" s="282">
        <f>ROUND(E85*_xlfn.XLOOKUP(D85,Sheet6!B:B,Sheet6!C:C,0,0),0)</f>
        <v>24498</v>
      </c>
      <c r="H85" s="282">
        <v>29811.034970635348</v>
      </c>
      <c r="I85" s="282">
        <v>18190.860134143088</v>
      </c>
      <c r="J85" s="282">
        <v>2735.1048952215697</v>
      </c>
      <c r="K85" s="281"/>
      <c r="L85" s="274">
        <f t="shared" si="1"/>
        <v>0</v>
      </c>
    </row>
    <row r="86" spans="1:12" x14ac:dyDescent="0.2">
      <c r="A86" s="281" t="s">
        <v>188</v>
      </c>
      <c r="B86" s="281" t="s">
        <v>124</v>
      </c>
      <c r="C86" s="281" t="s">
        <v>360</v>
      </c>
      <c r="D86" s="281" t="s">
        <v>361</v>
      </c>
      <c r="E86" s="282">
        <f>_xlfn.XLOOKUP(D86,'PIN2025'!B:B,'PIN2025'!E:E,0,0)</f>
        <v>30043</v>
      </c>
      <c r="F86" s="282">
        <f>ROUND(E86*_xlfn.XLOOKUP(D86,Sheet6!B:B,Sheet6!D:D,0,0),0)</f>
        <v>15656</v>
      </c>
      <c r="G86" s="282">
        <f>ROUND(E86*_xlfn.XLOOKUP(D86,Sheet6!B:B,Sheet6!C:C,0,0),0)</f>
        <v>14387</v>
      </c>
      <c r="H86" s="282">
        <v>18008.866816698093</v>
      </c>
      <c r="I86" s="282">
        <v>10826.882488899701</v>
      </c>
      <c r="J86" s="282">
        <v>1207.2506944022059</v>
      </c>
      <c r="K86" s="281"/>
      <c r="L86" s="274">
        <f t="shared" si="1"/>
        <v>0</v>
      </c>
    </row>
    <row r="87" spans="1:12" x14ac:dyDescent="0.2">
      <c r="A87" s="281" t="s">
        <v>188</v>
      </c>
      <c r="B87" s="281" t="s">
        <v>124</v>
      </c>
      <c r="C87" s="281" t="s">
        <v>362</v>
      </c>
      <c r="D87" s="281" t="s">
        <v>363</v>
      </c>
      <c r="E87" s="282">
        <f>_xlfn.XLOOKUP(D87,'PIN2025'!B:B,'PIN2025'!E:E,0,0)</f>
        <v>12889</v>
      </c>
      <c r="F87" s="282">
        <f>ROUND(E87*_xlfn.XLOOKUP(D87,Sheet6!B:B,Sheet6!D:D,0,0),0)</f>
        <v>6746</v>
      </c>
      <c r="G87" s="282">
        <f>ROUND(E87*_xlfn.XLOOKUP(D87,Sheet6!B:B,Sheet6!C:C,0,0),0)</f>
        <v>6143</v>
      </c>
      <c r="H87" s="282">
        <v>7708.4389084507047</v>
      </c>
      <c r="I87" s="282">
        <v>4601.9176056338029</v>
      </c>
      <c r="J87" s="282">
        <v>578.64348591549299</v>
      </c>
      <c r="K87" s="281"/>
      <c r="L87" s="274">
        <f t="shared" si="1"/>
        <v>0</v>
      </c>
    </row>
    <row r="88" spans="1:12" x14ac:dyDescent="0.2">
      <c r="A88" s="281" t="s">
        <v>188</v>
      </c>
      <c r="B88" s="281" t="s">
        <v>124</v>
      </c>
      <c r="C88" s="281" t="s">
        <v>364</v>
      </c>
      <c r="D88" s="281" t="s">
        <v>365</v>
      </c>
      <c r="E88" s="282">
        <f>_xlfn.XLOOKUP(D88,'PIN2025'!B:B,'PIN2025'!E:E,0,0)</f>
        <v>5137</v>
      </c>
      <c r="F88" s="282">
        <f>ROUND(E88*_xlfn.XLOOKUP(D88,Sheet6!B:B,Sheet6!D:D,0,0),0)</f>
        <v>2629</v>
      </c>
      <c r="G88" s="282">
        <f>ROUND(E88*_xlfn.XLOOKUP(D88,Sheet6!B:B,Sheet6!C:C,0,0),0)</f>
        <v>2508</v>
      </c>
      <c r="H88" s="282">
        <v>3063.4338640112892</v>
      </c>
      <c r="I88" s="282">
        <v>1887.8446922266612</v>
      </c>
      <c r="J88" s="282">
        <v>185.72144376204957</v>
      </c>
      <c r="K88" s="281"/>
      <c r="L88" s="274">
        <f t="shared" si="1"/>
        <v>0</v>
      </c>
    </row>
    <row r="89" spans="1:12" x14ac:dyDescent="0.2">
      <c r="A89" s="281" t="s">
        <v>188</v>
      </c>
      <c r="B89" s="281" t="s">
        <v>124</v>
      </c>
      <c r="C89" s="281" t="s">
        <v>366</v>
      </c>
      <c r="D89" s="281" t="s">
        <v>367</v>
      </c>
      <c r="E89" s="282">
        <f>_xlfn.XLOOKUP(D89,'PIN2025'!B:B,'PIN2025'!E:E,0,0)</f>
        <v>6328</v>
      </c>
      <c r="F89" s="282">
        <f>ROUND(E89*_xlfn.XLOOKUP(D89,Sheet6!B:B,Sheet6!D:D,0,0),0)</f>
        <v>3154</v>
      </c>
      <c r="G89" s="282">
        <f>ROUND(E89*_xlfn.XLOOKUP(D89,Sheet6!B:B,Sheet6!C:C,0,0),0)</f>
        <v>3174</v>
      </c>
      <c r="H89" s="282">
        <v>3936.8280961182995</v>
      </c>
      <c r="I89" s="282">
        <v>2249.5563770794824</v>
      </c>
      <c r="J89" s="282">
        <v>141.61552680221811</v>
      </c>
      <c r="K89" s="281"/>
      <c r="L89" s="274">
        <f t="shared" si="1"/>
        <v>0</v>
      </c>
    </row>
    <row r="90" spans="1:12" x14ac:dyDescent="0.2">
      <c r="A90" s="281" t="s">
        <v>188</v>
      </c>
      <c r="B90" s="281" t="s">
        <v>124</v>
      </c>
      <c r="C90" s="281" t="s">
        <v>368</v>
      </c>
      <c r="D90" s="281" t="s">
        <v>369</v>
      </c>
      <c r="E90" s="282">
        <f>_xlfn.XLOOKUP(D90,'PIN2025'!B:B,'PIN2025'!E:E,0,0)</f>
        <v>8084</v>
      </c>
      <c r="F90" s="282">
        <f>ROUND(E90*_xlfn.XLOOKUP(D90,Sheet6!B:B,Sheet6!D:D,0,0),0)</f>
        <v>4198</v>
      </c>
      <c r="G90" s="282">
        <f>ROUND(E90*_xlfn.XLOOKUP(D90,Sheet6!B:B,Sheet6!C:C,0,0),0)</f>
        <v>3886</v>
      </c>
      <c r="H90" s="282">
        <v>4882.5636462836283</v>
      </c>
      <c r="I90" s="282">
        <v>2921.8704830654301</v>
      </c>
      <c r="J90" s="282">
        <v>279.5658706509422</v>
      </c>
      <c r="K90" s="281"/>
      <c r="L90" s="274">
        <f t="shared" si="1"/>
        <v>0</v>
      </c>
    </row>
    <row r="91" spans="1:12" x14ac:dyDescent="0.2">
      <c r="A91" s="281" t="s">
        <v>150</v>
      </c>
      <c r="B91" s="281" t="s">
        <v>125</v>
      </c>
      <c r="C91" s="281" t="s">
        <v>370</v>
      </c>
      <c r="D91" s="281" t="s">
        <v>371</v>
      </c>
      <c r="E91" s="282">
        <f>_xlfn.XLOOKUP(D91,'PIN2025'!B:B,'PIN2025'!E:E,0,0)</f>
        <v>89931</v>
      </c>
      <c r="F91" s="282">
        <f>ROUND(E91*_xlfn.XLOOKUP(D91,Sheet6!B:B,Sheet6!D:D,0,0),0)</f>
        <v>45432</v>
      </c>
      <c r="G91" s="282">
        <f>ROUND(E91*_xlfn.XLOOKUP(D91,Sheet6!B:B,Sheet6!C:C,0,0),0)</f>
        <v>44499</v>
      </c>
      <c r="H91" s="282">
        <v>54613.590937306028</v>
      </c>
      <c r="I91" s="282">
        <v>32220.919107273854</v>
      </c>
      <c r="J91" s="282">
        <v>3096.4899554201229</v>
      </c>
      <c r="K91" s="281"/>
      <c r="L91" s="274">
        <f t="shared" si="1"/>
        <v>0</v>
      </c>
    </row>
    <row r="92" spans="1:12" x14ac:dyDescent="0.2">
      <c r="A92" s="281" t="s">
        <v>150</v>
      </c>
      <c r="B92" s="281" t="s">
        <v>125</v>
      </c>
      <c r="C92" s="281" t="s">
        <v>372</v>
      </c>
      <c r="D92" s="281" t="s">
        <v>373</v>
      </c>
      <c r="E92" s="282">
        <f>_xlfn.XLOOKUP(D92,'PIN2025'!B:B,'PIN2025'!E:E,0,0)</f>
        <v>154324</v>
      </c>
      <c r="F92" s="282">
        <f>ROUND(E92*_xlfn.XLOOKUP(D92,Sheet6!B:B,Sheet6!D:D,0,0),0)</f>
        <v>77496</v>
      </c>
      <c r="G92" s="282">
        <f>ROUND(E92*_xlfn.XLOOKUP(D92,Sheet6!B:B,Sheet6!C:C,0,0),0)</f>
        <v>76828</v>
      </c>
      <c r="H92" s="282">
        <v>91631.657653046714</v>
      </c>
      <c r="I92" s="282">
        <v>56082.264849725609</v>
      </c>
      <c r="J92" s="282">
        <v>6610.0774972276713</v>
      </c>
      <c r="K92" s="281"/>
      <c r="L92" s="274">
        <f t="shared" si="1"/>
        <v>0</v>
      </c>
    </row>
    <row r="93" spans="1:12" x14ac:dyDescent="0.2">
      <c r="A93" s="281" t="s">
        <v>150</v>
      </c>
      <c r="B93" s="281" t="s">
        <v>125</v>
      </c>
      <c r="C93" s="281" t="s">
        <v>374</v>
      </c>
      <c r="D93" s="281" t="s">
        <v>375</v>
      </c>
      <c r="E93" s="282">
        <f>_xlfn.XLOOKUP(D93,'PIN2025'!B:B,'PIN2025'!E:E,0,0)</f>
        <v>34262</v>
      </c>
      <c r="F93" s="282">
        <f>ROUND(E93*_xlfn.XLOOKUP(D93,Sheet6!B:B,Sheet6!D:D,0,0),0)</f>
        <v>16892</v>
      </c>
      <c r="G93" s="282">
        <f>ROUND(E93*_xlfn.XLOOKUP(D93,Sheet6!B:B,Sheet6!C:C,0,0),0)</f>
        <v>17370</v>
      </c>
      <c r="H93" s="282">
        <v>20588.549689862255</v>
      </c>
      <c r="I93" s="282">
        <v>12763.379798502954</v>
      </c>
      <c r="J93" s="282">
        <v>910.07051163478968</v>
      </c>
      <c r="K93" s="281"/>
      <c r="L93" s="274">
        <f t="shared" si="1"/>
        <v>0</v>
      </c>
    </row>
    <row r="94" spans="1:12" x14ac:dyDescent="0.2">
      <c r="A94" s="281" t="s">
        <v>150</v>
      </c>
      <c r="B94" s="281" t="s">
        <v>125</v>
      </c>
      <c r="C94" s="281" t="s">
        <v>376</v>
      </c>
      <c r="D94" s="281" t="s">
        <v>377</v>
      </c>
      <c r="E94" s="282">
        <f>_xlfn.XLOOKUP(D94,'PIN2025'!B:B,'PIN2025'!E:E,0,0)</f>
        <v>18969</v>
      </c>
      <c r="F94" s="282">
        <f>ROUND(E94*_xlfn.XLOOKUP(D94,Sheet6!B:B,Sheet6!D:D,0,0),0)</f>
        <v>9537</v>
      </c>
      <c r="G94" s="282">
        <f>ROUND(E94*_xlfn.XLOOKUP(D94,Sheet6!B:B,Sheet6!C:C,0,0),0)</f>
        <v>9432</v>
      </c>
      <c r="H94" s="282">
        <v>11474.678047069825</v>
      </c>
      <c r="I94" s="282">
        <v>6860.8886221945131</v>
      </c>
      <c r="J94" s="282">
        <v>633.43333073566077</v>
      </c>
      <c r="K94" s="281"/>
      <c r="L94" s="274">
        <f t="shared" si="1"/>
        <v>0</v>
      </c>
    </row>
    <row r="95" spans="1:12" x14ac:dyDescent="0.2">
      <c r="A95" s="281" t="s">
        <v>150</v>
      </c>
      <c r="B95" s="281" t="s">
        <v>125</v>
      </c>
      <c r="C95" s="281" t="s">
        <v>378</v>
      </c>
      <c r="D95" s="281" t="s">
        <v>379</v>
      </c>
      <c r="E95" s="282">
        <f>_xlfn.XLOOKUP(D95,'PIN2025'!B:B,'PIN2025'!E:E,0,0)</f>
        <v>35441</v>
      </c>
      <c r="F95" s="282">
        <f>ROUND(E95*_xlfn.XLOOKUP(D95,Sheet6!B:B,Sheet6!D:D,0,0),0)</f>
        <v>17751</v>
      </c>
      <c r="G95" s="282">
        <f>ROUND(E95*_xlfn.XLOOKUP(D95,Sheet6!B:B,Sheet6!C:C,0,0),0)</f>
        <v>17690</v>
      </c>
      <c r="H95" s="282">
        <v>21017.77694916058</v>
      </c>
      <c r="I95" s="282">
        <v>12935.729690315849</v>
      </c>
      <c r="J95" s="282">
        <v>1487.4933605235701</v>
      </c>
      <c r="K95" s="281"/>
      <c r="L95" s="274">
        <f t="shared" si="1"/>
        <v>0</v>
      </c>
    </row>
    <row r="96" spans="1:12" x14ac:dyDescent="0.2">
      <c r="A96" s="281" t="s">
        <v>150</v>
      </c>
      <c r="B96" s="281" t="s">
        <v>125</v>
      </c>
      <c r="C96" s="281" t="s">
        <v>380</v>
      </c>
      <c r="D96" s="281" t="s">
        <v>381</v>
      </c>
      <c r="E96" s="282">
        <f>_xlfn.XLOOKUP(D96,'PIN2025'!B:B,'PIN2025'!E:E,0,0)</f>
        <v>45640</v>
      </c>
      <c r="F96" s="282">
        <f>ROUND(E96*_xlfn.XLOOKUP(D96,Sheet6!B:B,Sheet6!D:D,0,0),0)</f>
        <v>23022</v>
      </c>
      <c r="G96" s="282">
        <f>ROUND(E96*_xlfn.XLOOKUP(D96,Sheet6!B:B,Sheet6!C:C,0,0),0)</f>
        <v>22618</v>
      </c>
      <c r="H96" s="282">
        <v>27627.391321198342</v>
      </c>
      <c r="I96" s="282">
        <v>16520.893459247873</v>
      </c>
      <c r="J96" s="282">
        <v>1491.7152195537869</v>
      </c>
      <c r="K96" s="281"/>
      <c r="L96" s="274">
        <f t="shared" si="1"/>
        <v>0</v>
      </c>
    </row>
    <row r="97" spans="1:12" x14ac:dyDescent="0.2">
      <c r="A97" s="281" t="s">
        <v>150</v>
      </c>
      <c r="B97" s="281" t="s">
        <v>125</v>
      </c>
      <c r="C97" s="281" t="s">
        <v>382</v>
      </c>
      <c r="D97" s="281" t="s">
        <v>383</v>
      </c>
      <c r="E97" s="282">
        <f>_xlfn.XLOOKUP(D97,'PIN2025'!B:B,'PIN2025'!E:E,0,0)</f>
        <v>13655</v>
      </c>
      <c r="F97" s="282">
        <f>ROUND(E97*_xlfn.XLOOKUP(D97,Sheet6!B:B,Sheet6!D:D,0,0),0)</f>
        <v>6816</v>
      </c>
      <c r="G97" s="282">
        <f>ROUND(E97*_xlfn.XLOOKUP(D97,Sheet6!B:B,Sheet6!C:C,0,0),0)</f>
        <v>6839</v>
      </c>
      <c r="H97" s="282">
        <v>8247.8301989543997</v>
      </c>
      <c r="I97" s="282">
        <v>5042.0482682253851</v>
      </c>
      <c r="J97" s="282">
        <v>365.1215328202149</v>
      </c>
      <c r="K97" s="281"/>
      <c r="L97" s="274">
        <f t="shared" si="1"/>
        <v>0</v>
      </c>
    </row>
    <row r="98" spans="1:12" x14ac:dyDescent="0.2">
      <c r="A98" s="281" t="s">
        <v>197</v>
      </c>
      <c r="B98" s="281" t="s">
        <v>126</v>
      </c>
      <c r="C98" s="281" t="s">
        <v>384</v>
      </c>
      <c r="D98" s="281" t="s">
        <v>385</v>
      </c>
      <c r="E98" s="282">
        <f>_xlfn.XLOOKUP(D98,'PIN2025'!B:B,'PIN2025'!E:E,0,0)</f>
        <v>121533</v>
      </c>
      <c r="F98" s="282">
        <f>ROUND(E98*_xlfn.XLOOKUP(D98,Sheet6!B:B,Sheet6!D:D,0,0),0)</f>
        <v>64239</v>
      </c>
      <c r="G98" s="282">
        <f>ROUND(E98*_xlfn.XLOOKUP(D98,Sheet6!B:B,Sheet6!C:C,0,0),0)</f>
        <v>57294</v>
      </c>
      <c r="H98" s="282">
        <v>67277.136810412558</v>
      </c>
      <c r="I98" s="282">
        <v>48506.987467790408</v>
      </c>
      <c r="J98" s="282">
        <v>5748.8757217970342</v>
      </c>
      <c r="K98" s="281"/>
      <c r="L98" s="274">
        <f t="shared" si="1"/>
        <v>0</v>
      </c>
    </row>
    <row r="99" spans="1:12" x14ac:dyDescent="0.2">
      <c r="A99" s="281" t="s">
        <v>197</v>
      </c>
      <c r="B99" s="281" t="s">
        <v>126</v>
      </c>
      <c r="C99" s="281" t="s">
        <v>386</v>
      </c>
      <c r="D99" s="281" t="s">
        <v>387</v>
      </c>
      <c r="E99" s="282">
        <f>_xlfn.XLOOKUP(D99,'PIN2025'!B:B,'PIN2025'!E:E,0,0)</f>
        <v>12912</v>
      </c>
      <c r="F99" s="282">
        <f>ROUND(E99*_xlfn.XLOOKUP(D99,Sheet6!B:B,Sheet6!D:D,0,0),0)</f>
        <v>6707</v>
      </c>
      <c r="G99" s="282">
        <f>ROUND(E99*_xlfn.XLOOKUP(D99,Sheet6!B:B,Sheet6!C:C,0,0),0)</f>
        <v>6205</v>
      </c>
      <c r="H99" s="282">
        <v>7064.0472666261794</v>
      </c>
      <c r="I99" s="282">
        <v>5194.3185350639724</v>
      </c>
      <c r="J99" s="282">
        <v>653.63419830984753</v>
      </c>
      <c r="K99" s="281"/>
      <c r="L99" s="274">
        <f t="shared" si="1"/>
        <v>0</v>
      </c>
    </row>
    <row r="100" spans="1:12" x14ac:dyDescent="0.2">
      <c r="A100" s="281" t="s">
        <v>197</v>
      </c>
      <c r="B100" s="281" t="s">
        <v>126</v>
      </c>
      <c r="C100" s="281" t="s">
        <v>388</v>
      </c>
      <c r="D100" s="281" t="s">
        <v>389</v>
      </c>
      <c r="E100" s="282">
        <f>_xlfn.XLOOKUP(D100,'PIN2025'!B:B,'PIN2025'!E:E,0,0)</f>
        <v>236740</v>
      </c>
      <c r="F100" s="282">
        <f>ROUND(E100*_xlfn.XLOOKUP(D100,Sheet6!B:B,Sheet6!D:D,0,0),0)</f>
        <v>123816</v>
      </c>
      <c r="G100" s="282">
        <f>ROUND(E100*_xlfn.XLOOKUP(D100,Sheet6!B:B,Sheet6!C:C,0,0),0)</f>
        <v>112924</v>
      </c>
      <c r="H100" s="282">
        <v>128569.32545283576</v>
      </c>
      <c r="I100" s="282">
        <v>96990.156844042212</v>
      </c>
      <c r="J100" s="282">
        <v>11180.517703122012</v>
      </c>
      <c r="K100" s="281"/>
      <c r="L100" s="274">
        <f t="shared" si="1"/>
        <v>0</v>
      </c>
    </row>
    <row r="101" spans="1:12" x14ac:dyDescent="0.2">
      <c r="A101" s="281" t="s">
        <v>197</v>
      </c>
      <c r="B101" s="281" t="s">
        <v>126</v>
      </c>
      <c r="C101" s="281" t="s">
        <v>390</v>
      </c>
      <c r="D101" s="281" t="s">
        <v>391</v>
      </c>
      <c r="E101" s="282">
        <f>_xlfn.XLOOKUP(D101,'PIN2025'!B:B,'PIN2025'!E:E,0,0)</f>
        <v>164605</v>
      </c>
      <c r="F101" s="282">
        <f>ROUND(E101*_xlfn.XLOOKUP(D101,Sheet6!B:B,Sheet6!D:D,0,0),0)</f>
        <v>86705</v>
      </c>
      <c r="G101" s="282">
        <f>ROUND(E101*_xlfn.XLOOKUP(D101,Sheet6!B:B,Sheet6!C:C,0,0),0)</f>
        <v>77900</v>
      </c>
      <c r="H101" s="282">
        <v>89959.241487638603</v>
      </c>
      <c r="I101" s="282">
        <v>66820.260496947478</v>
      </c>
      <c r="J101" s="282">
        <v>7825.4980154139148</v>
      </c>
      <c r="K101" s="281"/>
      <c r="L101" s="274">
        <f t="shared" si="1"/>
        <v>0</v>
      </c>
    </row>
    <row r="102" spans="1:12" x14ac:dyDescent="0.2">
      <c r="A102" s="281" t="s">
        <v>197</v>
      </c>
      <c r="B102" s="281" t="s">
        <v>126</v>
      </c>
      <c r="C102" s="281" t="s">
        <v>392</v>
      </c>
      <c r="D102" s="281" t="s">
        <v>393</v>
      </c>
      <c r="E102" s="282">
        <f>_xlfn.XLOOKUP(D102,'PIN2025'!B:B,'PIN2025'!E:E,0,0)</f>
        <v>19883</v>
      </c>
      <c r="F102" s="282">
        <f>ROUND(E102*_xlfn.XLOOKUP(D102,Sheet6!B:B,Sheet6!D:D,0,0),0)</f>
        <v>10513</v>
      </c>
      <c r="G102" s="282">
        <f>ROUND(E102*_xlfn.XLOOKUP(D102,Sheet6!B:B,Sheet6!C:C,0,0),0)</f>
        <v>9370</v>
      </c>
      <c r="H102" s="282">
        <v>11103.377384265543</v>
      </c>
      <c r="I102" s="282">
        <v>7768.9900514186802</v>
      </c>
      <c r="J102" s="282">
        <v>1010.6325643157752</v>
      </c>
      <c r="K102" s="281"/>
      <c r="L102" s="274">
        <f t="shared" si="1"/>
        <v>0</v>
      </c>
    </row>
    <row r="103" spans="1:12" x14ac:dyDescent="0.2">
      <c r="A103" s="281" t="s">
        <v>197</v>
      </c>
      <c r="B103" s="281" t="s">
        <v>126</v>
      </c>
      <c r="C103" s="281" t="s">
        <v>394</v>
      </c>
      <c r="D103" s="281" t="s">
        <v>395</v>
      </c>
      <c r="E103" s="282">
        <f>_xlfn.XLOOKUP(D103,'PIN2025'!B:B,'PIN2025'!E:E,0,0)</f>
        <v>43010</v>
      </c>
      <c r="F103" s="282">
        <f>ROUND(E103*_xlfn.XLOOKUP(D103,Sheet6!B:B,Sheet6!D:D,0,0),0)</f>
        <v>22180</v>
      </c>
      <c r="G103" s="282">
        <f>ROUND(E103*_xlfn.XLOOKUP(D103,Sheet6!B:B,Sheet6!C:C,0,0),0)</f>
        <v>20830</v>
      </c>
      <c r="H103" s="282">
        <v>23621.766586540747</v>
      </c>
      <c r="I103" s="282">
        <v>17467.819403141064</v>
      </c>
      <c r="J103" s="282">
        <v>1920.4140103181919</v>
      </c>
      <c r="K103" s="281"/>
      <c r="L103" s="274">
        <f t="shared" si="1"/>
        <v>0</v>
      </c>
    </row>
    <row r="104" spans="1:12" x14ac:dyDescent="0.2">
      <c r="A104" s="281" t="s">
        <v>197</v>
      </c>
      <c r="B104" s="281" t="s">
        <v>126</v>
      </c>
      <c r="C104" s="281" t="s">
        <v>396</v>
      </c>
      <c r="D104" s="281" t="s">
        <v>397</v>
      </c>
      <c r="E104" s="282">
        <f>_xlfn.XLOOKUP(D104,'PIN2025'!B:B,'PIN2025'!E:E,0,0)</f>
        <v>27935</v>
      </c>
      <c r="F104" s="282">
        <f>ROUND(E104*_xlfn.XLOOKUP(D104,Sheet6!B:B,Sheet6!D:D,0,0),0)</f>
        <v>14451</v>
      </c>
      <c r="G104" s="282">
        <f>ROUND(E104*_xlfn.XLOOKUP(D104,Sheet6!B:B,Sheet6!C:C,0,0),0)</f>
        <v>13484</v>
      </c>
      <c r="H104" s="282">
        <v>15022.730839745733</v>
      </c>
      <c r="I104" s="282">
        <v>11419.461639344261</v>
      </c>
      <c r="J104" s="282">
        <v>1492.8075209100034</v>
      </c>
      <c r="K104" s="281"/>
      <c r="L104" s="274">
        <f t="shared" si="1"/>
        <v>0</v>
      </c>
    </row>
    <row r="105" spans="1:12" x14ac:dyDescent="0.2">
      <c r="A105" s="281" t="s">
        <v>197</v>
      </c>
      <c r="B105" s="281" t="s">
        <v>126</v>
      </c>
      <c r="C105" s="281" t="s">
        <v>398</v>
      </c>
      <c r="D105" s="281" t="s">
        <v>399</v>
      </c>
      <c r="E105" s="282">
        <f>_xlfn.XLOOKUP(D105,'PIN2025'!B:B,'PIN2025'!E:E,0,0)</f>
        <v>293252</v>
      </c>
      <c r="F105" s="282">
        <f>ROUND(E105*_xlfn.XLOOKUP(D105,Sheet6!B:B,Sheet6!D:D,0,0),0)</f>
        <v>152181</v>
      </c>
      <c r="G105" s="282">
        <f>ROUND(E105*_xlfn.XLOOKUP(D105,Sheet6!B:B,Sheet6!C:C,0,0),0)</f>
        <v>141071</v>
      </c>
      <c r="H105" s="282">
        <v>160610.15501762333</v>
      </c>
      <c r="I105" s="282">
        <v>119763.96762322896</v>
      </c>
      <c r="J105" s="282">
        <v>12877.877359147711</v>
      </c>
      <c r="K105" s="281"/>
      <c r="L105" s="274">
        <f t="shared" si="1"/>
        <v>0</v>
      </c>
    </row>
    <row r="106" spans="1:12" x14ac:dyDescent="0.2">
      <c r="A106" s="281" t="s">
        <v>197</v>
      </c>
      <c r="B106" s="281" t="s">
        <v>126</v>
      </c>
      <c r="C106" s="281" t="s">
        <v>400</v>
      </c>
      <c r="D106" s="281" t="s">
        <v>401</v>
      </c>
      <c r="E106" s="282">
        <f>_xlfn.XLOOKUP(D106,'PIN2025'!B:B,'PIN2025'!E:E,0,0)</f>
        <v>45533</v>
      </c>
      <c r="F106" s="282">
        <f>ROUND(E106*_xlfn.XLOOKUP(D106,Sheet6!B:B,Sheet6!D:D,0,0),0)</f>
        <v>23611</v>
      </c>
      <c r="G106" s="282">
        <f>ROUND(E106*_xlfn.XLOOKUP(D106,Sheet6!B:B,Sheet6!C:C,0,0),0)</f>
        <v>21922</v>
      </c>
      <c r="H106" s="282">
        <v>24760.486394993361</v>
      </c>
      <c r="I106" s="282">
        <v>18423.785661123293</v>
      </c>
      <c r="J106" s="282">
        <v>2348.7279438833489</v>
      </c>
      <c r="K106" s="281"/>
      <c r="L106" s="274">
        <f t="shared" si="1"/>
        <v>0</v>
      </c>
    </row>
    <row r="107" spans="1:12" x14ac:dyDescent="0.2">
      <c r="A107" s="281" t="s">
        <v>176</v>
      </c>
      <c r="B107" s="281" t="s">
        <v>127</v>
      </c>
      <c r="C107" s="281" t="s">
        <v>402</v>
      </c>
      <c r="D107" s="281" t="s">
        <v>403</v>
      </c>
      <c r="E107" s="282">
        <f>_xlfn.XLOOKUP(D107,'PIN2025'!B:B,'PIN2025'!E:E,0,0)</f>
        <v>9161</v>
      </c>
      <c r="F107" s="282">
        <f>ROUND(E107*_xlfn.XLOOKUP(D107,Sheet6!B:B,Sheet6!D:D,0,0),0)</f>
        <v>4185</v>
      </c>
      <c r="G107" s="282">
        <f>ROUND(E107*_xlfn.XLOOKUP(D107,Sheet6!B:B,Sheet6!C:C,0,0),0)</f>
        <v>4976</v>
      </c>
      <c r="H107" s="282">
        <v>3650.575196698052</v>
      </c>
      <c r="I107" s="282">
        <v>4938.2906358828841</v>
      </c>
      <c r="J107" s="282">
        <v>572.1341674190636</v>
      </c>
      <c r="K107" s="281"/>
      <c r="L107" s="274">
        <f t="shared" si="1"/>
        <v>0</v>
      </c>
    </row>
    <row r="108" spans="1:12" x14ac:dyDescent="0.2">
      <c r="A108" s="281" t="s">
        <v>176</v>
      </c>
      <c r="B108" s="281" t="s">
        <v>127</v>
      </c>
      <c r="C108" s="281" t="s">
        <v>404</v>
      </c>
      <c r="D108" s="281" t="s">
        <v>405</v>
      </c>
      <c r="E108" s="282">
        <f>_xlfn.XLOOKUP(D108,'PIN2025'!B:B,'PIN2025'!E:E,0,0)</f>
        <v>330821</v>
      </c>
      <c r="F108" s="282">
        <f>ROUND(E108*_xlfn.XLOOKUP(D108,Sheet6!B:B,Sheet6!D:D,0,0),0)</f>
        <v>166002</v>
      </c>
      <c r="G108" s="282">
        <f>ROUND(E108*_xlfn.XLOOKUP(D108,Sheet6!B:B,Sheet6!C:C,0,0),0)</f>
        <v>164819</v>
      </c>
      <c r="H108" s="282">
        <v>164663.84983390011</v>
      </c>
      <c r="I108" s="282">
        <v>138602.31962565714</v>
      </c>
      <c r="J108" s="282">
        <v>27554.830540442748</v>
      </c>
      <c r="K108" s="281"/>
      <c r="L108" s="274">
        <f t="shared" si="1"/>
        <v>0</v>
      </c>
    </row>
    <row r="109" spans="1:12" x14ac:dyDescent="0.2">
      <c r="A109" s="281" t="s">
        <v>176</v>
      </c>
      <c r="B109" s="281" t="s">
        <v>127</v>
      </c>
      <c r="C109" s="281" t="s">
        <v>406</v>
      </c>
      <c r="D109" s="281" t="s">
        <v>407</v>
      </c>
      <c r="E109" s="282">
        <f>_xlfn.XLOOKUP(D109,'PIN2025'!B:B,'PIN2025'!E:E,0,0)</f>
        <v>2388</v>
      </c>
      <c r="F109" s="282">
        <f>ROUND(E109*_xlfn.XLOOKUP(D109,Sheet6!B:B,Sheet6!D:D,0,0),0)</f>
        <v>1090</v>
      </c>
      <c r="G109" s="282">
        <f>ROUND(E109*_xlfn.XLOOKUP(D109,Sheet6!B:B,Sheet6!C:C,0,0),0)</f>
        <v>1298</v>
      </c>
      <c r="H109" s="282">
        <v>968.94078741726946</v>
      </c>
      <c r="I109" s="282">
        <v>1260.123888433365</v>
      </c>
      <c r="J109" s="282">
        <v>158.93532414936556</v>
      </c>
      <c r="K109" s="281"/>
      <c r="L109" s="274">
        <f t="shared" si="1"/>
        <v>0</v>
      </c>
    </row>
    <row r="110" spans="1:12" x14ac:dyDescent="0.2">
      <c r="A110" s="281" t="s">
        <v>176</v>
      </c>
      <c r="B110" s="281" t="s">
        <v>127</v>
      </c>
      <c r="C110" s="281" t="s">
        <v>408</v>
      </c>
      <c r="D110" s="281" t="s">
        <v>409</v>
      </c>
      <c r="E110" s="282">
        <f>_xlfn.XLOOKUP(D110,'PIN2025'!B:B,'PIN2025'!E:E,0,0)</f>
        <v>469</v>
      </c>
      <c r="F110" s="282">
        <f>ROUND(E110*_xlfn.XLOOKUP(D110,Sheet6!B:B,Sheet6!D:D,0,0),0)</f>
        <v>213</v>
      </c>
      <c r="G110" s="282">
        <f>ROUND(E110*_xlfn.XLOOKUP(D110,Sheet6!B:B,Sheet6!C:C,0,0),0)</f>
        <v>256</v>
      </c>
      <c r="H110" s="282">
        <v>180.40803919253926</v>
      </c>
      <c r="I110" s="282">
        <v>248.74273993625312</v>
      </c>
      <c r="J110" s="282">
        <v>39.849220871207649</v>
      </c>
      <c r="K110" s="281"/>
      <c r="L110" s="274">
        <f t="shared" si="1"/>
        <v>0</v>
      </c>
    </row>
    <row r="111" spans="1:12" x14ac:dyDescent="0.2">
      <c r="A111" s="281" t="s">
        <v>176</v>
      </c>
      <c r="B111" s="281" t="s">
        <v>127</v>
      </c>
      <c r="C111" s="281" t="s">
        <v>410</v>
      </c>
      <c r="D111" s="281" t="s">
        <v>411</v>
      </c>
      <c r="E111" s="282">
        <f>_xlfn.XLOOKUP(D111,'PIN2025'!B:B,'PIN2025'!E:E,0,0)</f>
        <v>32284</v>
      </c>
      <c r="F111" s="282">
        <f>ROUND(E111*_xlfn.XLOOKUP(D111,Sheet6!B:B,Sheet6!D:D,0,0),0)</f>
        <v>14641</v>
      </c>
      <c r="G111" s="282">
        <f>ROUND(E111*_xlfn.XLOOKUP(D111,Sheet6!B:B,Sheet6!C:C,0,0),0)</f>
        <v>17643</v>
      </c>
      <c r="H111" s="282">
        <v>12283.409842157007</v>
      </c>
      <c r="I111" s="282">
        <v>17256.753806733293</v>
      </c>
      <c r="J111" s="282">
        <v>2743.8363511097004</v>
      </c>
      <c r="K111" s="281"/>
      <c r="L111" s="274">
        <f t="shared" si="1"/>
        <v>0</v>
      </c>
    </row>
    <row r="112" spans="1:12" x14ac:dyDescent="0.2">
      <c r="A112" s="281" t="s">
        <v>176</v>
      </c>
      <c r="B112" s="281" t="s">
        <v>127</v>
      </c>
      <c r="C112" s="281" t="s">
        <v>412</v>
      </c>
      <c r="D112" s="281" t="s">
        <v>413</v>
      </c>
      <c r="E112" s="282">
        <f>_xlfn.XLOOKUP(D112,'PIN2025'!B:B,'PIN2025'!E:E,0,0)</f>
        <v>4900</v>
      </c>
      <c r="F112" s="282">
        <f>ROUND(E112*_xlfn.XLOOKUP(D112,Sheet6!B:B,Sheet6!D:D,0,0),0)</f>
        <v>2328</v>
      </c>
      <c r="G112" s="282">
        <f>ROUND(E112*_xlfn.XLOOKUP(D112,Sheet6!B:B,Sheet6!C:C,0,0),0)</f>
        <v>2572</v>
      </c>
      <c r="H112" s="282">
        <v>2011.2380572903585</v>
      </c>
      <c r="I112" s="282">
        <v>2508.93310350204</v>
      </c>
      <c r="J112" s="282">
        <v>379.82883920760173</v>
      </c>
      <c r="K112" s="281"/>
      <c r="L112" s="274">
        <f t="shared" si="1"/>
        <v>0</v>
      </c>
    </row>
    <row r="113" spans="1:12" x14ac:dyDescent="0.2">
      <c r="A113" s="281" t="s">
        <v>176</v>
      </c>
      <c r="B113" s="281" t="s">
        <v>127</v>
      </c>
      <c r="C113" s="281" t="s">
        <v>414</v>
      </c>
      <c r="D113" s="281" t="s">
        <v>415</v>
      </c>
      <c r="E113" s="282">
        <f>_xlfn.XLOOKUP(D113,'PIN2025'!B:B,'PIN2025'!E:E,0,0)</f>
        <v>5575</v>
      </c>
      <c r="F113" s="282">
        <f>ROUND(E113*_xlfn.XLOOKUP(D113,Sheet6!B:B,Sheet6!D:D,0,0),0)</f>
        <v>2580</v>
      </c>
      <c r="G113" s="282">
        <f>ROUND(E113*_xlfn.XLOOKUP(D113,Sheet6!B:B,Sheet6!C:C,0,0),0)</f>
        <v>2995</v>
      </c>
      <c r="H113" s="282">
        <v>2108.9597289042117</v>
      </c>
      <c r="I113" s="282">
        <v>3014.4596436951874</v>
      </c>
      <c r="J113" s="282">
        <v>451.58062740060035</v>
      </c>
      <c r="K113" s="281"/>
      <c r="L113" s="274">
        <f t="shared" si="1"/>
        <v>0</v>
      </c>
    </row>
    <row r="114" spans="1:12" x14ac:dyDescent="0.2">
      <c r="A114" s="281" t="s">
        <v>176</v>
      </c>
      <c r="B114" s="281" t="s">
        <v>127</v>
      </c>
      <c r="C114" s="281" t="s">
        <v>416</v>
      </c>
      <c r="D114" s="281" t="s">
        <v>417</v>
      </c>
      <c r="E114" s="282">
        <f>_xlfn.XLOOKUP(D114,'PIN2025'!B:B,'PIN2025'!E:E,0,0)</f>
        <v>29757</v>
      </c>
      <c r="F114" s="282">
        <f>ROUND(E114*_xlfn.XLOOKUP(D114,Sheet6!B:B,Sheet6!D:D,0,0),0)</f>
        <v>13574</v>
      </c>
      <c r="G114" s="282">
        <f>ROUND(E114*_xlfn.XLOOKUP(D114,Sheet6!B:B,Sheet6!C:C,0,0),0)</f>
        <v>16183</v>
      </c>
      <c r="H114" s="282">
        <v>11784.294968946197</v>
      </c>
      <c r="I114" s="282">
        <v>16115.780243704852</v>
      </c>
      <c r="J114" s="282">
        <v>1856.9247873489503</v>
      </c>
      <c r="K114" s="281"/>
      <c r="L114" s="274">
        <f t="shared" si="1"/>
        <v>0</v>
      </c>
    </row>
    <row r="115" spans="1:12" x14ac:dyDescent="0.2">
      <c r="A115" s="281" t="s">
        <v>176</v>
      </c>
      <c r="B115" s="281" t="s">
        <v>127</v>
      </c>
      <c r="C115" s="281" t="s">
        <v>418</v>
      </c>
      <c r="D115" s="281" t="s">
        <v>419</v>
      </c>
      <c r="E115" s="282">
        <f>_xlfn.XLOOKUP(D115,'PIN2025'!B:B,'PIN2025'!E:E,0,0)</f>
        <v>5557</v>
      </c>
      <c r="F115" s="282">
        <f>ROUND(E115*_xlfn.XLOOKUP(D115,Sheet6!B:B,Sheet6!D:D,0,0),0)</f>
        <v>2627</v>
      </c>
      <c r="G115" s="282">
        <f>ROUND(E115*_xlfn.XLOOKUP(D115,Sheet6!B:B,Sheet6!C:C,0,0),0)</f>
        <v>2930</v>
      </c>
      <c r="H115" s="282">
        <v>2266.0700860765483</v>
      </c>
      <c r="I115" s="282">
        <v>2887.8956775888432</v>
      </c>
      <c r="J115" s="282">
        <v>403.03423633460886</v>
      </c>
      <c r="K115" s="281"/>
      <c r="L115" s="274">
        <f t="shared" si="1"/>
        <v>0</v>
      </c>
    </row>
    <row r="116" spans="1:12" x14ac:dyDescent="0.2">
      <c r="A116" s="281" t="s">
        <v>176</v>
      </c>
      <c r="B116" s="281" t="s">
        <v>127</v>
      </c>
      <c r="C116" s="281" t="s">
        <v>420</v>
      </c>
      <c r="D116" s="281" t="s">
        <v>421</v>
      </c>
      <c r="E116" s="282">
        <f>_xlfn.XLOOKUP(D116,'PIN2025'!B:B,'PIN2025'!E:E,0,0)</f>
        <v>22194</v>
      </c>
      <c r="F116" s="282">
        <f>ROUND(E116*_xlfn.XLOOKUP(D116,Sheet6!B:B,Sheet6!D:D,0,0),0)</f>
        <v>10628</v>
      </c>
      <c r="G116" s="282">
        <f>ROUND(E116*_xlfn.XLOOKUP(D116,Sheet6!B:B,Sheet6!C:C,0,0),0)</f>
        <v>11566</v>
      </c>
      <c r="H116" s="282">
        <v>8740.8746001899708</v>
      </c>
      <c r="I116" s="282">
        <v>11445.481981894663</v>
      </c>
      <c r="J116" s="282">
        <v>2007.6434179153662</v>
      </c>
      <c r="K116" s="281"/>
      <c r="L116" s="274">
        <f t="shared" si="1"/>
        <v>0</v>
      </c>
    </row>
    <row r="117" spans="1:12" x14ac:dyDescent="0.2">
      <c r="A117" s="281" t="s">
        <v>161</v>
      </c>
      <c r="B117" s="281" t="s">
        <v>128</v>
      </c>
      <c r="C117" s="281" t="s">
        <v>422</v>
      </c>
      <c r="D117" s="281" t="s">
        <v>423</v>
      </c>
      <c r="E117" s="282">
        <f>_xlfn.XLOOKUP(D117,'PIN2025'!B:B,'PIN2025'!E:E,0,0)</f>
        <v>44721</v>
      </c>
      <c r="F117" s="282">
        <f>ROUND(E117*_xlfn.XLOOKUP(D117,Sheet6!B:B,Sheet6!D:D,0,0),0)</f>
        <v>23322</v>
      </c>
      <c r="G117" s="282">
        <f>ROUND(E117*_xlfn.XLOOKUP(D117,Sheet6!B:B,Sheet6!C:C,0,0),0)</f>
        <v>21399</v>
      </c>
      <c r="H117" s="282">
        <v>21746.94435424394</v>
      </c>
      <c r="I117" s="282">
        <v>20014.829105015899</v>
      </c>
      <c r="J117" s="282">
        <v>2959.2265407401601</v>
      </c>
      <c r="K117" s="281"/>
      <c r="L117" s="274">
        <f t="shared" si="1"/>
        <v>0</v>
      </c>
    </row>
    <row r="118" spans="1:12" x14ac:dyDescent="0.2">
      <c r="A118" s="281" t="s">
        <v>161</v>
      </c>
      <c r="B118" s="281" t="s">
        <v>128</v>
      </c>
      <c r="C118" s="281" t="s">
        <v>424</v>
      </c>
      <c r="D118" s="281" t="s">
        <v>425</v>
      </c>
      <c r="E118" s="282">
        <f>_xlfn.XLOOKUP(D118,'PIN2025'!B:B,'PIN2025'!E:E,0,0)</f>
        <v>128783</v>
      </c>
      <c r="F118" s="282">
        <f>ROUND(E118*_xlfn.XLOOKUP(D118,Sheet6!B:B,Sheet6!D:D,0,0),0)</f>
        <v>66643</v>
      </c>
      <c r="G118" s="282">
        <f>ROUND(E118*_xlfn.XLOOKUP(D118,Sheet6!B:B,Sheet6!C:C,0,0),0)</f>
        <v>62140</v>
      </c>
      <c r="H118" s="282">
        <v>62497.451610814198</v>
      </c>
      <c r="I118" s="282">
        <v>58021.966703250262</v>
      </c>
      <c r="J118" s="282">
        <v>8263.58168593554</v>
      </c>
      <c r="K118" s="281"/>
      <c r="L118" s="274">
        <f t="shared" si="1"/>
        <v>0</v>
      </c>
    </row>
    <row r="119" spans="1:12" x14ac:dyDescent="0.2">
      <c r="A119" s="281" t="s">
        <v>161</v>
      </c>
      <c r="B119" s="281" t="s">
        <v>128</v>
      </c>
      <c r="C119" s="281" t="s">
        <v>426</v>
      </c>
      <c r="D119" s="281" t="s">
        <v>427</v>
      </c>
      <c r="E119" s="282">
        <f>_xlfn.XLOOKUP(D119,'PIN2025'!B:B,'PIN2025'!E:E,0,0)</f>
        <v>5295</v>
      </c>
      <c r="F119" s="282">
        <f>ROUND(E119*_xlfn.XLOOKUP(D119,Sheet6!B:B,Sheet6!D:D,0,0),0)</f>
        <v>2625</v>
      </c>
      <c r="G119" s="282">
        <f>ROUND(E119*_xlfn.XLOOKUP(D119,Sheet6!B:B,Sheet6!C:C,0,0),0)</f>
        <v>2670</v>
      </c>
      <c r="H119" s="282">
        <v>2613.3083183640806</v>
      </c>
      <c r="I119" s="282">
        <v>2449.4496990541702</v>
      </c>
      <c r="J119" s="282">
        <v>232.24198258174917</v>
      </c>
      <c r="K119" s="281"/>
      <c r="L119" s="274">
        <f t="shared" si="1"/>
        <v>0</v>
      </c>
    </row>
    <row r="120" spans="1:12" x14ac:dyDescent="0.2">
      <c r="A120" s="281" t="s">
        <v>161</v>
      </c>
      <c r="B120" s="281" t="s">
        <v>128</v>
      </c>
      <c r="C120" s="281" t="s">
        <v>428</v>
      </c>
      <c r="D120" s="281" t="s">
        <v>429</v>
      </c>
      <c r="E120" s="282">
        <f>_xlfn.XLOOKUP(D120,'PIN2025'!B:B,'PIN2025'!E:E,0,0)</f>
        <v>3683</v>
      </c>
      <c r="F120" s="282">
        <f>ROUND(E120*_xlfn.XLOOKUP(D120,Sheet6!B:B,Sheet6!D:D,0,0),0)</f>
        <v>1738</v>
      </c>
      <c r="G120" s="282">
        <f>ROUND(E120*_xlfn.XLOOKUP(D120,Sheet6!B:B,Sheet6!C:C,0,0),0)</f>
        <v>1945</v>
      </c>
      <c r="H120" s="282">
        <v>1645.0086384635276</v>
      </c>
      <c r="I120" s="282">
        <v>1791.8333880808773</v>
      </c>
      <c r="J120" s="282">
        <v>246.15797345559506</v>
      </c>
      <c r="K120" s="281"/>
      <c r="L120" s="274">
        <f t="shared" si="1"/>
        <v>0</v>
      </c>
    </row>
    <row r="121" spans="1:12" x14ac:dyDescent="0.2">
      <c r="A121" s="281" t="s">
        <v>161</v>
      </c>
      <c r="B121" s="281" t="s">
        <v>128</v>
      </c>
      <c r="C121" s="281" t="s">
        <v>430</v>
      </c>
      <c r="D121" s="281" t="s">
        <v>431</v>
      </c>
      <c r="E121" s="282">
        <f>_xlfn.XLOOKUP(D121,'PIN2025'!B:B,'PIN2025'!E:E,0,0)</f>
        <v>36442</v>
      </c>
      <c r="F121" s="282">
        <f>ROUND(E121*_xlfn.XLOOKUP(D121,Sheet6!B:B,Sheet6!D:D,0,0),0)</f>
        <v>17434</v>
      </c>
      <c r="G121" s="282">
        <f>ROUND(E121*_xlfn.XLOOKUP(D121,Sheet6!B:B,Sheet6!C:C,0,0),0)</f>
        <v>19008</v>
      </c>
      <c r="H121" s="282">
        <v>16315.973153934448</v>
      </c>
      <c r="I121" s="282">
        <v>17649.176571865835</v>
      </c>
      <c r="J121" s="282">
        <v>2476.8502741997195</v>
      </c>
      <c r="K121" s="281"/>
      <c r="L121" s="274">
        <f t="shared" si="1"/>
        <v>0</v>
      </c>
    </row>
    <row r="122" spans="1:12" x14ac:dyDescent="0.2">
      <c r="A122" s="281" t="s">
        <v>161</v>
      </c>
      <c r="B122" s="281" t="s">
        <v>128</v>
      </c>
      <c r="C122" s="281" t="s">
        <v>432</v>
      </c>
      <c r="D122" s="281" t="s">
        <v>433</v>
      </c>
      <c r="E122" s="282">
        <f>_xlfn.XLOOKUP(D122,'PIN2025'!B:B,'PIN2025'!E:E,0,0)</f>
        <v>1742</v>
      </c>
      <c r="F122" s="282">
        <f>ROUND(E122*_xlfn.XLOOKUP(D122,Sheet6!B:B,Sheet6!D:D,0,0),0)</f>
        <v>826</v>
      </c>
      <c r="G122" s="282">
        <f>ROUND(E122*_xlfn.XLOOKUP(D122,Sheet6!B:B,Sheet6!C:C,0,0),0)</f>
        <v>916</v>
      </c>
      <c r="H122" s="282">
        <v>772.33255026390452</v>
      </c>
      <c r="I122" s="282">
        <v>858.86919181133112</v>
      </c>
      <c r="J122" s="282">
        <v>110.79825792476433</v>
      </c>
      <c r="K122" s="281"/>
      <c r="L122" s="274">
        <f t="shared" si="1"/>
        <v>0</v>
      </c>
    </row>
    <row r="123" spans="1:12" x14ac:dyDescent="0.2">
      <c r="A123" s="281" t="s">
        <v>161</v>
      </c>
      <c r="B123" s="281" t="s">
        <v>128</v>
      </c>
      <c r="C123" s="281" t="s">
        <v>434</v>
      </c>
      <c r="D123" s="281" t="s">
        <v>435</v>
      </c>
      <c r="E123" s="282">
        <f>_xlfn.XLOOKUP(D123,'PIN2025'!B:B,'PIN2025'!E:E,0,0)</f>
        <v>7962</v>
      </c>
      <c r="F123" s="282">
        <f>ROUND(E123*_xlfn.XLOOKUP(D123,Sheet6!B:B,Sheet6!D:D,0,0),0)</f>
        <v>3273</v>
      </c>
      <c r="G123" s="282">
        <f>ROUND(E123*_xlfn.XLOOKUP(D123,Sheet6!B:B,Sheet6!C:C,0,0),0)</f>
        <v>4689</v>
      </c>
      <c r="H123" s="282">
        <v>2789.2047021061649</v>
      </c>
      <c r="I123" s="282">
        <v>4479.0640864972702</v>
      </c>
      <c r="J123" s="282">
        <v>693.73121139656519</v>
      </c>
      <c r="K123" s="281"/>
      <c r="L123" s="274">
        <f t="shared" si="1"/>
        <v>0</v>
      </c>
    </row>
    <row r="124" spans="1:12" x14ac:dyDescent="0.2">
      <c r="A124" s="281" t="s">
        <v>161</v>
      </c>
      <c r="B124" s="281" t="s">
        <v>128</v>
      </c>
      <c r="C124" s="281" t="s">
        <v>436</v>
      </c>
      <c r="D124" s="281" t="s">
        <v>437</v>
      </c>
      <c r="E124" s="282">
        <f>_xlfn.XLOOKUP(D124,'PIN2025'!B:B,'PIN2025'!E:E,0,0)</f>
        <v>4334</v>
      </c>
      <c r="F124" s="282">
        <f>ROUND(E124*_xlfn.XLOOKUP(D124,Sheet6!B:B,Sheet6!D:D,0,0),0)</f>
        <v>1885</v>
      </c>
      <c r="G124" s="282">
        <f>ROUND(E124*_xlfn.XLOOKUP(D124,Sheet6!B:B,Sheet6!C:C,0,0),0)</f>
        <v>2449</v>
      </c>
      <c r="H124" s="282">
        <v>1682.3202976136467</v>
      </c>
      <c r="I124" s="282">
        <v>2325.9832989293168</v>
      </c>
      <c r="J124" s="282">
        <v>325.69640345703652</v>
      </c>
      <c r="K124" s="281"/>
      <c r="L124" s="274">
        <f t="shared" si="1"/>
        <v>0</v>
      </c>
    </row>
    <row r="125" spans="1:12" x14ac:dyDescent="0.2">
      <c r="A125" s="281" t="s">
        <v>161</v>
      </c>
      <c r="B125" s="281" t="s">
        <v>128</v>
      </c>
      <c r="C125" s="281" t="s">
        <v>438</v>
      </c>
      <c r="D125" s="281" t="s">
        <v>439</v>
      </c>
      <c r="E125" s="282">
        <f>_xlfn.XLOOKUP(D125,'PIN2025'!B:B,'PIN2025'!E:E,0,0)</f>
        <v>5656</v>
      </c>
      <c r="F125" s="282">
        <f>ROUND(E125*_xlfn.XLOOKUP(D125,Sheet6!B:B,Sheet6!D:D,0,0),0)</f>
        <v>2867</v>
      </c>
      <c r="G125" s="282">
        <f>ROUND(E125*_xlfn.XLOOKUP(D125,Sheet6!B:B,Sheet6!C:C,0,0),0)</f>
        <v>2789</v>
      </c>
      <c r="H125" s="282">
        <v>2741.0404886539204</v>
      </c>
      <c r="I125" s="282">
        <v>2591.2348941662699</v>
      </c>
      <c r="J125" s="282">
        <v>323.7246171798098</v>
      </c>
      <c r="K125" s="281"/>
      <c r="L125" s="274">
        <f t="shared" si="1"/>
        <v>0</v>
      </c>
    </row>
    <row r="126" spans="1:12" x14ac:dyDescent="0.2">
      <c r="A126" s="281" t="s">
        <v>161</v>
      </c>
      <c r="B126" s="281" t="s">
        <v>128</v>
      </c>
      <c r="C126" s="281" t="s">
        <v>440</v>
      </c>
      <c r="D126" s="281" t="s">
        <v>441</v>
      </c>
      <c r="E126" s="282">
        <f>_xlfn.XLOOKUP(D126,'PIN2025'!B:B,'PIN2025'!E:E,0,0)</f>
        <v>8555</v>
      </c>
      <c r="F126" s="282">
        <f>ROUND(E126*_xlfn.XLOOKUP(D126,Sheet6!B:B,Sheet6!D:D,0,0),0)</f>
        <v>4450</v>
      </c>
      <c r="G126" s="282">
        <f>ROUND(E126*_xlfn.XLOOKUP(D126,Sheet6!B:B,Sheet6!C:C,0,0),0)</f>
        <v>4105</v>
      </c>
      <c r="H126" s="282">
        <v>4247.930203362278</v>
      </c>
      <c r="I126" s="282">
        <v>3805.4503826622995</v>
      </c>
      <c r="J126" s="282">
        <v>501.61941397542267</v>
      </c>
      <c r="K126" s="281"/>
      <c r="L126" s="274">
        <f t="shared" si="1"/>
        <v>0</v>
      </c>
    </row>
    <row r="127" spans="1:12" x14ac:dyDescent="0.2">
      <c r="A127" s="281" t="s">
        <v>161</v>
      </c>
      <c r="B127" s="281" t="s">
        <v>128</v>
      </c>
      <c r="C127" s="281" t="s">
        <v>442</v>
      </c>
      <c r="D127" s="281" t="s">
        <v>443</v>
      </c>
      <c r="E127" s="282">
        <f>_xlfn.XLOOKUP(D127,'PIN2025'!B:B,'PIN2025'!E:E,0,0)</f>
        <v>44387</v>
      </c>
      <c r="F127" s="282">
        <f>ROUND(E127*_xlfn.XLOOKUP(D127,Sheet6!B:B,Sheet6!D:D,0,0),0)</f>
        <v>23119</v>
      </c>
      <c r="G127" s="282">
        <f>ROUND(E127*_xlfn.XLOOKUP(D127,Sheet6!B:B,Sheet6!C:C,0,0),0)</f>
        <v>21268</v>
      </c>
      <c r="H127" s="282">
        <v>22042.197473741093</v>
      </c>
      <c r="I127" s="282">
        <v>19876.419061771758</v>
      </c>
      <c r="J127" s="282">
        <v>2468.383464487149</v>
      </c>
      <c r="K127" s="281"/>
      <c r="L127" s="274">
        <f t="shared" si="1"/>
        <v>0</v>
      </c>
    </row>
    <row r="128" spans="1:12" x14ac:dyDescent="0.2">
      <c r="A128" s="281" t="s">
        <v>158</v>
      </c>
      <c r="B128" s="281" t="s">
        <v>129</v>
      </c>
      <c r="C128" s="281" t="s">
        <v>444</v>
      </c>
      <c r="D128" s="281" t="s">
        <v>445</v>
      </c>
      <c r="E128" s="282">
        <f>_xlfn.XLOOKUP(D128,'PIN2025'!B:B,'PIN2025'!E:E,0,0)</f>
        <v>10552</v>
      </c>
      <c r="F128" s="282">
        <f>ROUND(E128*_xlfn.XLOOKUP(D128,Sheet6!B:B,Sheet6!D:D,0,0),0)</f>
        <v>5207</v>
      </c>
      <c r="G128" s="282">
        <f>ROUND(E128*_xlfn.XLOOKUP(D128,Sheet6!B:B,Sheet6!C:C,0,0),0)</f>
        <v>5345</v>
      </c>
      <c r="H128" s="282">
        <v>5870.2949462220422</v>
      </c>
      <c r="I128" s="282">
        <v>4278.3402058541797</v>
      </c>
      <c r="J128" s="282">
        <v>403.36484792377865</v>
      </c>
      <c r="K128" s="281"/>
      <c r="L128" s="274">
        <f t="shared" si="1"/>
        <v>0</v>
      </c>
    </row>
    <row r="129" spans="1:12" x14ac:dyDescent="0.2">
      <c r="A129" s="281" t="s">
        <v>158</v>
      </c>
      <c r="B129" s="281" t="s">
        <v>129</v>
      </c>
      <c r="C129" s="281" t="s">
        <v>446</v>
      </c>
      <c r="D129" s="281" t="s">
        <v>447</v>
      </c>
      <c r="E129" s="282">
        <f>_xlfn.XLOOKUP(D129,'PIN2025'!B:B,'PIN2025'!E:E,0,0)</f>
        <v>36292</v>
      </c>
      <c r="F129" s="282">
        <f>ROUND(E129*_xlfn.XLOOKUP(D129,Sheet6!B:B,Sheet6!D:D,0,0),0)</f>
        <v>18779</v>
      </c>
      <c r="G129" s="282">
        <f>ROUND(E129*_xlfn.XLOOKUP(D129,Sheet6!B:B,Sheet6!C:C,0,0),0)</f>
        <v>17513</v>
      </c>
      <c r="H129" s="282">
        <v>20774.931158511085</v>
      </c>
      <c r="I129" s="282">
        <v>13859.314233932802</v>
      </c>
      <c r="J129" s="282">
        <v>1657.7546075561131</v>
      </c>
      <c r="K129" s="281"/>
      <c r="L129" s="274">
        <f t="shared" si="1"/>
        <v>0</v>
      </c>
    </row>
    <row r="130" spans="1:12" x14ac:dyDescent="0.2">
      <c r="A130" s="281" t="s">
        <v>158</v>
      </c>
      <c r="B130" s="281" t="s">
        <v>129</v>
      </c>
      <c r="C130" s="281" t="s">
        <v>448</v>
      </c>
      <c r="D130" s="281" t="s">
        <v>449</v>
      </c>
      <c r="E130" s="282">
        <f>_xlfn.XLOOKUP(D130,'PIN2025'!B:B,'PIN2025'!E:E,0,0)</f>
        <v>26004</v>
      </c>
      <c r="F130" s="282">
        <f>ROUND(E130*_xlfn.XLOOKUP(D130,Sheet6!B:B,Sheet6!D:D,0,0),0)</f>
        <v>13799</v>
      </c>
      <c r="G130" s="282">
        <f>ROUND(E130*_xlfn.XLOOKUP(D130,Sheet6!B:B,Sheet6!C:C,0,0),0)</f>
        <v>12205</v>
      </c>
      <c r="H130" s="282">
        <v>14791.016260162602</v>
      </c>
      <c r="I130" s="282">
        <v>9710.6585365853662</v>
      </c>
      <c r="J130" s="282">
        <v>1502.3252032520325</v>
      </c>
      <c r="K130" s="281"/>
      <c r="L130" s="274">
        <f t="shared" si="1"/>
        <v>0</v>
      </c>
    </row>
    <row r="131" spans="1:12" x14ac:dyDescent="0.2">
      <c r="A131" s="281" t="s">
        <v>158</v>
      </c>
      <c r="B131" s="281" t="s">
        <v>129</v>
      </c>
      <c r="C131" s="281" t="s">
        <v>450</v>
      </c>
      <c r="D131" s="281" t="s">
        <v>451</v>
      </c>
      <c r="E131" s="282">
        <f>_xlfn.XLOOKUP(D131,'PIN2025'!B:B,'PIN2025'!E:E,0,0)</f>
        <v>6446</v>
      </c>
      <c r="F131" s="282">
        <f>ROUND(E131*_xlfn.XLOOKUP(D131,Sheet6!B:B,Sheet6!D:D,0,0),0)</f>
        <v>3380</v>
      </c>
      <c r="G131" s="282">
        <f>ROUND(E131*_xlfn.XLOOKUP(D131,Sheet6!B:B,Sheet6!C:C,0,0),0)</f>
        <v>3066</v>
      </c>
      <c r="H131" s="282">
        <v>3719.3982615566965</v>
      </c>
      <c r="I131" s="282">
        <v>2406.252370604504</v>
      </c>
      <c r="J131" s="282">
        <v>320.34936783879891</v>
      </c>
      <c r="K131" s="281"/>
      <c r="L131" s="274">
        <f t="shared" si="1"/>
        <v>0</v>
      </c>
    </row>
    <row r="132" spans="1:12" x14ac:dyDescent="0.2">
      <c r="A132" s="281" t="s">
        <v>158</v>
      </c>
      <c r="B132" s="281" t="s">
        <v>129</v>
      </c>
      <c r="C132" s="281" t="s">
        <v>452</v>
      </c>
      <c r="D132" s="281" t="s">
        <v>453</v>
      </c>
      <c r="E132" s="282">
        <f>_xlfn.XLOOKUP(D132,'PIN2025'!B:B,'PIN2025'!E:E,0,0)</f>
        <v>76381</v>
      </c>
      <c r="F132" s="282">
        <f>ROUND(E132*_xlfn.XLOOKUP(D132,Sheet6!B:B,Sheet6!D:D,0,0),0)</f>
        <v>39816</v>
      </c>
      <c r="G132" s="282">
        <f>ROUND(E132*_xlfn.XLOOKUP(D132,Sheet6!B:B,Sheet6!C:C,0,0),0)</f>
        <v>36565</v>
      </c>
      <c r="H132" s="282">
        <v>43831.277846307479</v>
      </c>
      <c r="I132" s="282">
        <v>28611.048181270831</v>
      </c>
      <c r="J132" s="282">
        <v>3938.6739724216927</v>
      </c>
      <c r="K132" s="281"/>
      <c r="L132" s="274">
        <f t="shared" ref="L132:L190" si="2">IF((F132+G132)&lt;&gt;E132,"Error",IF((H132+I132+J132)&lt;&gt;E132,"Error",0))</f>
        <v>0</v>
      </c>
    </row>
    <row r="133" spans="1:12" x14ac:dyDescent="0.2">
      <c r="A133" s="281" t="s">
        <v>158</v>
      </c>
      <c r="B133" s="281" t="s">
        <v>129</v>
      </c>
      <c r="C133" s="281" t="s">
        <v>454</v>
      </c>
      <c r="D133" s="281" t="s">
        <v>455</v>
      </c>
      <c r="E133" s="282">
        <f>_xlfn.XLOOKUP(D133,'PIN2025'!B:B,'PIN2025'!E:E,0,0)</f>
        <v>9472</v>
      </c>
      <c r="F133" s="282">
        <f>ROUND(E133*_xlfn.XLOOKUP(D133,Sheet6!B:B,Sheet6!D:D,0,0),0)</f>
        <v>4905</v>
      </c>
      <c r="G133" s="282">
        <f>ROUND(E133*_xlfn.XLOOKUP(D133,Sheet6!B:B,Sheet6!C:C,0,0),0)</f>
        <v>4567</v>
      </c>
      <c r="H133" s="282">
        <v>5395.3731004205938</v>
      </c>
      <c r="I133" s="282">
        <v>3588.9185931088118</v>
      </c>
      <c r="J133" s="282">
        <v>487.70830647059427</v>
      </c>
      <c r="K133" s="281"/>
      <c r="L133" s="274">
        <f t="shared" si="2"/>
        <v>0</v>
      </c>
    </row>
    <row r="134" spans="1:12" x14ac:dyDescent="0.2">
      <c r="A134" s="281" t="s">
        <v>158</v>
      </c>
      <c r="B134" s="281" t="s">
        <v>129</v>
      </c>
      <c r="C134" s="281" t="s">
        <v>456</v>
      </c>
      <c r="D134" s="281" t="s">
        <v>457</v>
      </c>
      <c r="E134" s="282">
        <f>_xlfn.XLOOKUP(D134,'PIN2025'!B:B,'PIN2025'!E:E,0,0)</f>
        <v>21088</v>
      </c>
      <c r="F134" s="282">
        <f>ROUND(E134*_xlfn.XLOOKUP(D134,Sheet6!B:B,Sheet6!D:D,0,0),0)</f>
        <v>11045</v>
      </c>
      <c r="G134" s="282">
        <f>ROUND(E134*_xlfn.XLOOKUP(D134,Sheet6!B:B,Sheet6!C:C,0,0),0)</f>
        <v>10043</v>
      </c>
      <c r="H134" s="282">
        <v>12241.400572073448</v>
      </c>
      <c r="I134" s="282">
        <v>7811.4402765258246</v>
      </c>
      <c r="J134" s="282">
        <v>1035.1591514007282</v>
      </c>
      <c r="K134" s="281"/>
      <c r="L134" s="274">
        <f t="shared" si="2"/>
        <v>0</v>
      </c>
    </row>
    <row r="135" spans="1:12" x14ac:dyDescent="0.2">
      <c r="A135" s="281" t="s">
        <v>158</v>
      </c>
      <c r="B135" s="281" t="s">
        <v>129</v>
      </c>
      <c r="C135" s="281" t="s">
        <v>458</v>
      </c>
      <c r="D135" s="281" t="s">
        <v>459</v>
      </c>
      <c r="E135" s="282">
        <f>_xlfn.XLOOKUP(D135,'PIN2025'!B:B,'PIN2025'!E:E,0,0)</f>
        <v>71450</v>
      </c>
      <c r="F135" s="282">
        <f>ROUND(E135*_xlfn.XLOOKUP(D135,Sheet6!B:B,Sheet6!D:D,0,0),0)</f>
        <v>36626</v>
      </c>
      <c r="G135" s="282">
        <f>ROUND(E135*_xlfn.XLOOKUP(D135,Sheet6!B:B,Sheet6!C:C,0,0),0)</f>
        <v>34824</v>
      </c>
      <c r="H135" s="282">
        <v>39667.146151320449</v>
      </c>
      <c r="I135" s="282">
        <v>27860.616439387777</v>
      </c>
      <c r="J135" s="282">
        <v>3922.2374092917753</v>
      </c>
      <c r="K135" s="281"/>
      <c r="L135" s="274">
        <f t="shared" si="2"/>
        <v>0</v>
      </c>
    </row>
    <row r="136" spans="1:12" x14ac:dyDescent="0.2">
      <c r="A136" s="281" t="s">
        <v>158</v>
      </c>
      <c r="B136" s="281" t="s">
        <v>129</v>
      </c>
      <c r="C136" s="281" t="s">
        <v>460</v>
      </c>
      <c r="D136" s="281" t="s">
        <v>461</v>
      </c>
      <c r="E136" s="282">
        <f>_xlfn.XLOOKUP(D136,'PIN2025'!B:B,'PIN2025'!E:E,0,0)</f>
        <v>24839</v>
      </c>
      <c r="F136" s="282">
        <f>ROUND(E136*_xlfn.XLOOKUP(D136,Sheet6!B:B,Sheet6!D:D,0,0),0)</f>
        <v>12673</v>
      </c>
      <c r="G136" s="282">
        <f>ROUND(E136*_xlfn.XLOOKUP(D136,Sheet6!B:B,Sheet6!C:C,0,0),0)</f>
        <v>12166</v>
      </c>
      <c r="H136" s="282">
        <v>13961.079680107016</v>
      </c>
      <c r="I136" s="282">
        <v>9670.3564073557209</v>
      </c>
      <c r="J136" s="282">
        <v>1207.5639125372618</v>
      </c>
      <c r="K136" s="281"/>
      <c r="L136" s="274">
        <f t="shared" si="2"/>
        <v>0</v>
      </c>
    </row>
    <row r="137" spans="1:12" x14ac:dyDescent="0.2">
      <c r="A137" s="281" t="s">
        <v>158</v>
      </c>
      <c r="B137" s="281" t="s">
        <v>129</v>
      </c>
      <c r="C137" s="281" t="s">
        <v>462</v>
      </c>
      <c r="D137" s="281" t="s">
        <v>463</v>
      </c>
      <c r="E137" s="282">
        <f>_xlfn.XLOOKUP(D137,'PIN2025'!B:B,'PIN2025'!E:E,0,0)</f>
        <v>80366</v>
      </c>
      <c r="F137" s="282">
        <f>ROUND(E137*_xlfn.XLOOKUP(D137,Sheet6!B:B,Sheet6!D:D,0,0),0)</f>
        <v>42141</v>
      </c>
      <c r="G137" s="282">
        <f>ROUND(E137*_xlfn.XLOOKUP(D137,Sheet6!B:B,Sheet6!C:C,0,0),0)</f>
        <v>38225</v>
      </c>
      <c r="H137" s="282">
        <v>46290.704824485561</v>
      </c>
      <c r="I137" s="282">
        <v>30084.244444340588</v>
      </c>
      <c r="J137" s="282">
        <v>3991.0507311738506</v>
      </c>
      <c r="K137" s="281"/>
      <c r="L137" s="274">
        <f t="shared" si="2"/>
        <v>0</v>
      </c>
    </row>
    <row r="138" spans="1:12" x14ac:dyDescent="0.2">
      <c r="A138" s="281" t="s">
        <v>158</v>
      </c>
      <c r="B138" s="281" t="s">
        <v>129</v>
      </c>
      <c r="C138" s="281" t="s">
        <v>464</v>
      </c>
      <c r="D138" s="281" t="s">
        <v>465</v>
      </c>
      <c r="E138" s="282">
        <f>_xlfn.XLOOKUP(D138,'PIN2025'!B:B,'PIN2025'!E:E,0,0)</f>
        <v>5863</v>
      </c>
      <c r="F138" s="282">
        <f>ROUND(E138*_xlfn.XLOOKUP(D138,Sheet6!B:B,Sheet6!D:D,0,0),0)</f>
        <v>3039</v>
      </c>
      <c r="G138" s="282">
        <f>ROUND(E138*_xlfn.XLOOKUP(D138,Sheet6!B:B,Sheet6!C:C,0,0),0)</f>
        <v>2824</v>
      </c>
      <c r="H138" s="282">
        <v>3370.8502144018926</v>
      </c>
      <c r="I138" s="282">
        <v>2201.4345704568977</v>
      </c>
      <c r="J138" s="282">
        <v>290.71521514120951</v>
      </c>
      <c r="K138" s="281"/>
      <c r="L138" s="274">
        <f t="shared" si="2"/>
        <v>0</v>
      </c>
    </row>
    <row r="139" spans="1:12" x14ac:dyDescent="0.2">
      <c r="A139" s="281" t="s">
        <v>158</v>
      </c>
      <c r="B139" s="281" t="s">
        <v>129</v>
      </c>
      <c r="C139" s="281" t="s">
        <v>466</v>
      </c>
      <c r="D139" s="281" t="s">
        <v>467</v>
      </c>
      <c r="E139" s="282">
        <f>_xlfn.XLOOKUP(D139,'PIN2025'!B:B,'PIN2025'!E:E,0,0)</f>
        <v>80630</v>
      </c>
      <c r="F139" s="282">
        <f>ROUND(E139*_xlfn.XLOOKUP(D139,Sheet6!B:B,Sheet6!D:D,0,0),0)</f>
        <v>41770</v>
      </c>
      <c r="G139" s="282">
        <f>ROUND(E139*_xlfn.XLOOKUP(D139,Sheet6!B:B,Sheet6!C:C,0,0),0)</f>
        <v>38860</v>
      </c>
      <c r="H139" s="282">
        <v>46743.970503538556</v>
      </c>
      <c r="I139" s="282">
        <v>30367.449138053209</v>
      </c>
      <c r="J139" s="282">
        <v>3518.5803584082405</v>
      </c>
      <c r="K139" s="281"/>
      <c r="L139" s="274">
        <f t="shared" si="2"/>
        <v>0</v>
      </c>
    </row>
    <row r="140" spans="1:12" x14ac:dyDescent="0.2">
      <c r="A140" s="281" t="s">
        <v>170</v>
      </c>
      <c r="B140" s="281" t="s">
        <v>130</v>
      </c>
      <c r="C140" s="281" t="s">
        <v>468</v>
      </c>
      <c r="D140" s="281" t="s">
        <v>469</v>
      </c>
      <c r="E140" s="282">
        <f>_xlfn.XLOOKUP(D140,'PIN2025'!B:B,'PIN2025'!E:E,0,0)</f>
        <v>47714</v>
      </c>
      <c r="F140" s="282">
        <f>ROUND(E140*_xlfn.XLOOKUP(D140,Sheet6!B:B,Sheet6!D:D,0,0),0)</f>
        <v>25318</v>
      </c>
      <c r="G140" s="282">
        <f>ROUND(E140*_xlfn.XLOOKUP(D140,Sheet6!B:B,Sheet6!C:C,0,0),0)</f>
        <v>22396</v>
      </c>
      <c r="H140" s="282">
        <v>28599.085035023152</v>
      </c>
      <c r="I140" s="282">
        <v>17007.951030247867</v>
      </c>
      <c r="J140" s="282">
        <v>2106.9639347289826</v>
      </c>
      <c r="K140" s="281"/>
      <c r="L140" s="274">
        <f t="shared" si="2"/>
        <v>0</v>
      </c>
    </row>
    <row r="141" spans="1:12" x14ac:dyDescent="0.2">
      <c r="A141" s="281" t="s">
        <v>170</v>
      </c>
      <c r="B141" s="281" t="s">
        <v>130</v>
      </c>
      <c r="C141" s="281" t="s">
        <v>470</v>
      </c>
      <c r="D141" s="281" t="s">
        <v>471</v>
      </c>
      <c r="E141" s="282">
        <f>_xlfn.XLOOKUP(D141,'PIN2025'!B:B,'PIN2025'!E:E,0,0)</f>
        <v>124952</v>
      </c>
      <c r="F141" s="282">
        <f>ROUND(E141*_xlfn.XLOOKUP(D141,Sheet6!B:B,Sheet6!D:D,0,0),0)</f>
        <v>64350</v>
      </c>
      <c r="G141" s="282">
        <f>ROUND(E141*_xlfn.XLOOKUP(D141,Sheet6!B:B,Sheet6!C:C,0,0),0)</f>
        <v>60602</v>
      </c>
      <c r="H141" s="282">
        <v>72574.480704876914</v>
      </c>
      <c r="I141" s="282">
        <v>46598.069516262476</v>
      </c>
      <c r="J141" s="282">
        <v>5779.4497788606159</v>
      </c>
      <c r="K141" s="281"/>
      <c r="L141" s="274">
        <f t="shared" si="2"/>
        <v>0</v>
      </c>
    </row>
    <row r="142" spans="1:12" x14ac:dyDescent="0.2">
      <c r="A142" s="281" t="s">
        <v>170</v>
      </c>
      <c r="B142" s="281" t="s">
        <v>130</v>
      </c>
      <c r="C142" s="281" t="s">
        <v>472</v>
      </c>
      <c r="D142" s="281" t="s">
        <v>473</v>
      </c>
      <c r="E142" s="282">
        <f>_xlfn.XLOOKUP(D142,'PIN2025'!B:B,'PIN2025'!E:E,0,0)</f>
        <v>3230</v>
      </c>
      <c r="F142" s="282">
        <f>ROUND(E142*_xlfn.XLOOKUP(D142,Sheet6!B:B,Sheet6!D:D,0,0),0)</f>
        <v>1634</v>
      </c>
      <c r="G142" s="282">
        <f>ROUND(E142*_xlfn.XLOOKUP(D142,Sheet6!B:B,Sheet6!C:C,0,0),0)</f>
        <v>1596</v>
      </c>
      <c r="H142" s="282">
        <v>1819.16093457681</v>
      </c>
      <c r="I142" s="282">
        <v>1258.7236077703226</v>
      </c>
      <c r="J142" s="282">
        <v>152.11545765286746</v>
      </c>
      <c r="K142" s="281"/>
      <c r="L142" s="274">
        <f t="shared" si="2"/>
        <v>0</v>
      </c>
    </row>
    <row r="143" spans="1:12" x14ac:dyDescent="0.2">
      <c r="A143" s="281" t="s">
        <v>170</v>
      </c>
      <c r="B143" s="281" t="s">
        <v>130</v>
      </c>
      <c r="C143" s="281" t="s">
        <v>474</v>
      </c>
      <c r="D143" s="281" t="s">
        <v>475</v>
      </c>
      <c r="E143" s="282">
        <f>_xlfn.XLOOKUP(D143,'PIN2025'!B:B,'PIN2025'!E:E,0,0)</f>
        <v>34098</v>
      </c>
      <c r="F143" s="282">
        <f>ROUND(E143*_xlfn.XLOOKUP(D143,Sheet6!B:B,Sheet6!D:D,0,0),0)</f>
        <v>18197</v>
      </c>
      <c r="G143" s="282">
        <f>ROUND(E143*_xlfn.XLOOKUP(D143,Sheet6!B:B,Sheet6!C:C,0,0),0)</f>
        <v>15901</v>
      </c>
      <c r="H143" s="282">
        <v>20451.12402363709</v>
      </c>
      <c r="I143" s="282">
        <v>12139.253618874129</v>
      </c>
      <c r="J143" s="282">
        <v>1507.6223574887813</v>
      </c>
      <c r="K143" s="281"/>
      <c r="L143" s="274">
        <f t="shared" si="2"/>
        <v>0</v>
      </c>
    </row>
    <row r="144" spans="1:12" x14ac:dyDescent="0.2">
      <c r="A144" s="281" t="s">
        <v>170</v>
      </c>
      <c r="B144" s="281" t="s">
        <v>130</v>
      </c>
      <c r="C144" s="281" t="s">
        <v>476</v>
      </c>
      <c r="D144" s="281" t="s">
        <v>477</v>
      </c>
      <c r="E144" s="282">
        <f>_xlfn.XLOOKUP(D144,'PIN2025'!B:B,'PIN2025'!E:E,0,0)</f>
        <v>9107</v>
      </c>
      <c r="F144" s="282">
        <f>ROUND(E144*_xlfn.XLOOKUP(D144,Sheet6!B:B,Sheet6!D:D,0,0),0)</f>
        <v>4487</v>
      </c>
      <c r="G144" s="282">
        <f>ROUND(E144*_xlfn.XLOOKUP(D144,Sheet6!B:B,Sheet6!C:C,0,0),0)</f>
        <v>4620</v>
      </c>
      <c r="H144" s="282">
        <v>5094.968182237646</v>
      </c>
      <c r="I144" s="282">
        <v>3623.4806780779591</v>
      </c>
      <c r="J144" s="282">
        <v>388.55113968439508</v>
      </c>
      <c r="K144" s="281"/>
      <c r="L144" s="274">
        <f t="shared" si="2"/>
        <v>0</v>
      </c>
    </row>
    <row r="145" spans="1:12" x14ac:dyDescent="0.2">
      <c r="A145" s="281" t="s">
        <v>170</v>
      </c>
      <c r="B145" s="281" t="s">
        <v>130</v>
      </c>
      <c r="C145" s="281" t="s">
        <v>478</v>
      </c>
      <c r="D145" s="281" t="s">
        <v>479</v>
      </c>
      <c r="E145" s="282">
        <f>_xlfn.XLOOKUP(D145,'PIN2025'!B:B,'PIN2025'!E:E,0,0)</f>
        <v>11438</v>
      </c>
      <c r="F145" s="282">
        <f>ROUND(E145*_xlfn.XLOOKUP(D145,Sheet6!B:B,Sheet6!D:D,0,0),0)</f>
        <v>6193</v>
      </c>
      <c r="G145" s="282">
        <f>ROUND(E145*_xlfn.XLOOKUP(D145,Sheet6!B:B,Sheet6!C:C,0,0),0)</f>
        <v>5245</v>
      </c>
      <c r="H145" s="282">
        <v>7015.3460596263767</v>
      </c>
      <c r="I145" s="282">
        <v>3957.9917426300267</v>
      </c>
      <c r="J145" s="282">
        <v>464.66219774359661</v>
      </c>
      <c r="K145" s="281"/>
      <c r="L145" s="274">
        <f t="shared" si="2"/>
        <v>0</v>
      </c>
    </row>
    <row r="146" spans="1:12" x14ac:dyDescent="0.2">
      <c r="A146" s="281" t="s">
        <v>170</v>
      </c>
      <c r="B146" s="281" t="s">
        <v>130</v>
      </c>
      <c r="C146" s="281" t="s">
        <v>480</v>
      </c>
      <c r="D146" s="281" t="s">
        <v>481</v>
      </c>
      <c r="E146" s="282">
        <f>_xlfn.XLOOKUP(D146,'PIN2025'!B:B,'PIN2025'!E:E,0,0)</f>
        <v>11954</v>
      </c>
      <c r="F146" s="282">
        <f>ROUND(E146*_xlfn.XLOOKUP(D146,Sheet6!B:B,Sheet6!D:D,0,0),0)</f>
        <v>6389</v>
      </c>
      <c r="G146" s="282">
        <f>ROUND(E146*_xlfn.XLOOKUP(D146,Sheet6!B:B,Sheet6!C:C,0,0),0)</f>
        <v>5565</v>
      </c>
      <c r="H146" s="282">
        <v>7165.4748130683729</v>
      </c>
      <c r="I146" s="282">
        <v>4269.3777433479281</v>
      </c>
      <c r="J146" s="282">
        <v>519.14744358369819</v>
      </c>
      <c r="K146" s="281"/>
      <c r="L146" s="274">
        <f t="shared" si="2"/>
        <v>0</v>
      </c>
    </row>
    <row r="147" spans="1:12" x14ac:dyDescent="0.2">
      <c r="A147" s="281" t="s">
        <v>170</v>
      </c>
      <c r="B147" s="281" t="s">
        <v>130</v>
      </c>
      <c r="C147" s="281" t="s">
        <v>466</v>
      </c>
      <c r="D147" s="281" t="s">
        <v>482</v>
      </c>
      <c r="E147" s="282">
        <f>_xlfn.XLOOKUP(D147,'PIN2025'!B:B,'PIN2025'!E:E,0,0)</f>
        <v>48407</v>
      </c>
      <c r="F147" s="282">
        <f>ROUND(E147*_xlfn.XLOOKUP(D147,Sheet6!B:B,Sheet6!D:D,0,0),0)</f>
        <v>25673</v>
      </c>
      <c r="G147" s="282">
        <f>ROUND(E147*_xlfn.XLOOKUP(D147,Sheet6!B:B,Sheet6!C:C,0,0),0)</f>
        <v>22734</v>
      </c>
      <c r="H147" s="282">
        <v>29076.818307598063</v>
      </c>
      <c r="I147" s="282">
        <v>17218.171838364211</v>
      </c>
      <c r="J147" s="282">
        <v>2112.0098540377262</v>
      </c>
      <c r="K147" s="281"/>
      <c r="L147" s="274">
        <f t="shared" si="2"/>
        <v>0</v>
      </c>
    </row>
    <row r="148" spans="1:12" x14ac:dyDescent="0.2">
      <c r="A148" s="281" t="s">
        <v>182</v>
      </c>
      <c r="B148" s="281" t="s">
        <v>131</v>
      </c>
      <c r="C148" s="281" t="s">
        <v>483</v>
      </c>
      <c r="D148" s="281" t="s">
        <v>484</v>
      </c>
      <c r="E148" s="282">
        <f>_xlfn.XLOOKUP(D148,'PIN2025'!B:B,'PIN2025'!E:E,0,0)</f>
        <v>11762</v>
      </c>
      <c r="F148" s="282">
        <f>ROUND(E148*_xlfn.XLOOKUP(D148,Sheet6!B:B,Sheet6!D:D,0,0),0)</f>
        <v>6029</v>
      </c>
      <c r="G148" s="282">
        <f>ROUND(E148*_xlfn.XLOOKUP(D148,Sheet6!B:B,Sheet6!C:C,0,0),0)</f>
        <v>5733</v>
      </c>
      <c r="H148" s="282">
        <v>6530.4023427217689</v>
      </c>
      <c r="I148" s="282">
        <v>4662.6022792375707</v>
      </c>
      <c r="J148" s="282">
        <v>568.99537804066085</v>
      </c>
      <c r="K148" s="281"/>
      <c r="L148" s="274">
        <f t="shared" si="2"/>
        <v>0</v>
      </c>
    </row>
    <row r="149" spans="1:12" x14ac:dyDescent="0.2">
      <c r="A149" s="281" t="s">
        <v>182</v>
      </c>
      <c r="B149" s="281" t="s">
        <v>131</v>
      </c>
      <c r="C149" s="281" t="s">
        <v>182</v>
      </c>
      <c r="D149" s="281" t="s">
        <v>485</v>
      </c>
      <c r="E149" s="282">
        <f>_xlfn.XLOOKUP(D149,'PIN2025'!B:B,'PIN2025'!E:E,0,0)</f>
        <v>102879</v>
      </c>
      <c r="F149" s="282">
        <f>ROUND(E149*_xlfn.XLOOKUP(D149,Sheet6!B:B,Sheet6!D:D,0,0),0)</f>
        <v>54130</v>
      </c>
      <c r="G149" s="282">
        <f>ROUND(E149*_xlfn.XLOOKUP(D149,Sheet6!B:B,Sheet6!C:C,0,0),0)</f>
        <v>48749</v>
      </c>
      <c r="H149" s="282">
        <v>57056.432823270748</v>
      </c>
      <c r="I149" s="282">
        <v>40440.386522876695</v>
      </c>
      <c r="J149" s="282">
        <v>5382.1806538525543</v>
      </c>
      <c r="K149" s="281"/>
      <c r="L149" s="274">
        <f t="shared" si="2"/>
        <v>0</v>
      </c>
    </row>
    <row r="150" spans="1:12" x14ac:dyDescent="0.2">
      <c r="A150" s="281" t="s">
        <v>182</v>
      </c>
      <c r="B150" s="281" t="s">
        <v>131</v>
      </c>
      <c r="C150" s="281" t="s">
        <v>486</v>
      </c>
      <c r="D150" s="281" t="s">
        <v>487</v>
      </c>
      <c r="E150" s="282">
        <f>_xlfn.XLOOKUP(D150,'PIN2025'!B:B,'PIN2025'!E:E,0,0)</f>
        <v>16031</v>
      </c>
      <c r="F150" s="282">
        <f>ROUND(E150*_xlfn.XLOOKUP(D150,Sheet6!B:B,Sheet6!D:D,0,0),0)</f>
        <v>8275</v>
      </c>
      <c r="G150" s="282">
        <f>ROUND(E150*_xlfn.XLOOKUP(D150,Sheet6!B:B,Sheet6!C:C,0,0),0)</f>
        <v>7756</v>
      </c>
      <c r="H150" s="282">
        <v>8859.7065647155068</v>
      </c>
      <c r="I150" s="282">
        <v>6370.708763179422</v>
      </c>
      <c r="J150" s="282">
        <v>800.58467210507183</v>
      </c>
      <c r="K150" s="281"/>
      <c r="L150" s="274">
        <f t="shared" si="2"/>
        <v>0</v>
      </c>
    </row>
    <row r="151" spans="1:12" x14ac:dyDescent="0.2">
      <c r="A151" s="281" t="s">
        <v>182</v>
      </c>
      <c r="B151" s="281" t="s">
        <v>131</v>
      </c>
      <c r="C151" s="281" t="s">
        <v>488</v>
      </c>
      <c r="D151" s="281" t="s">
        <v>489</v>
      </c>
      <c r="E151" s="282">
        <f>_xlfn.XLOOKUP(D151,'PIN2025'!B:B,'PIN2025'!E:E,0,0)</f>
        <v>32978</v>
      </c>
      <c r="F151" s="282">
        <f>ROUND(E151*_xlfn.XLOOKUP(D151,Sheet6!B:B,Sheet6!D:D,0,0),0)</f>
        <v>17179</v>
      </c>
      <c r="G151" s="282">
        <f>ROUND(E151*_xlfn.XLOOKUP(D151,Sheet6!B:B,Sheet6!C:C,0,0),0)</f>
        <v>15799</v>
      </c>
      <c r="H151" s="282">
        <v>18595.07221385336</v>
      </c>
      <c r="I151" s="282">
        <v>12907.313352140451</v>
      </c>
      <c r="J151" s="282">
        <v>1475.6144340061899</v>
      </c>
      <c r="K151" s="281"/>
      <c r="L151" s="274">
        <f t="shared" si="2"/>
        <v>0</v>
      </c>
    </row>
    <row r="152" spans="1:12" x14ac:dyDescent="0.2">
      <c r="A152" s="281" t="s">
        <v>182</v>
      </c>
      <c r="B152" s="281" t="s">
        <v>131</v>
      </c>
      <c r="C152" s="281" t="s">
        <v>490</v>
      </c>
      <c r="D152" s="281" t="s">
        <v>491</v>
      </c>
      <c r="E152" s="282">
        <f>_xlfn.XLOOKUP(D152,'PIN2025'!B:B,'PIN2025'!E:E,0,0)</f>
        <v>39566</v>
      </c>
      <c r="F152" s="282">
        <f>ROUND(E152*_xlfn.XLOOKUP(D152,Sheet6!B:B,Sheet6!D:D,0,0),0)</f>
        <v>20895</v>
      </c>
      <c r="G152" s="282">
        <f>ROUND(E152*_xlfn.XLOOKUP(D152,Sheet6!B:B,Sheet6!C:C,0,0),0)</f>
        <v>18671</v>
      </c>
      <c r="H152" s="282">
        <v>22302.58649904597</v>
      </c>
      <c r="I152" s="282">
        <v>15337.353883900725</v>
      </c>
      <c r="J152" s="282">
        <v>1926.0596170533038</v>
      </c>
      <c r="K152" s="281"/>
      <c r="L152" s="274">
        <f t="shared" si="2"/>
        <v>0</v>
      </c>
    </row>
    <row r="153" spans="1:12" x14ac:dyDescent="0.2">
      <c r="A153" s="281" t="s">
        <v>182</v>
      </c>
      <c r="B153" s="281" t="s">
        <v>131</v>
      </c>
      <c r="C153" s="281" t="s">
        <v>492</v>
      </c>
      <c r="D153" s="281" t="s">
        <v>493</v>
      </c>
      <c r="E153" s="282">
        <f>_xlfn.XLOOKUP(D153,'PIN2025'!B:B,'PIN2025'!E:E,0,0)</f>
        <v>37800</v>
      </c>
      <c r="F153" s="282">
        <f>ROUND(E153*_xlfn.XLOOKUP(D153,Sheet6!B:B,Sheet6!D:D,0,0),0)</f>
        <v>19908</v>
      </c>
      <c r="G153" s="282">
        <f>ROUND(E153*_xlfn.XLOOKUP(D153,Sheet6!B:B,Sheet6!C:C,0,0),0)</f>
        <v>17892</v>
      </c>
      <c r="H153" s="282">
        <v>21266.905164563548</v>
      </c>
      <c r="I153" s="282">
        <v>14688.708208663978</v>
      </c>
      <c r="J153" s="282">
        <v>1844.3866267724732</v>
      </c>
      <c r="K153" s="281"/>
      <c r="L153" s="274">
        <f t="shared" si="2"/>
        <v>0</v>
      </c>
    </row>
    <row r="154" spans="1:12" x14ac:dyDescent="0.2">
      <c r="A154" s="281" t="s">
        <v>182</v>
      </c>
      <c r="B154" s="281" t="s">
        <v>131</v>
      </c>
      <c r="C154" s="281" t="s">
        <v>494</v>
      </c>
      <c r="D154" s="281" t="s">
        <v>495</v>
      </c>
      <c r="E154" s="282">
        <f>_xlfn.XLOOKUP(D154,'PIN2025'!B:B,'PIN2025'!E:E,0,0)</f>
        <v>28994</v>
      </c>
      <c r="F154" s="282">
        <f>ROUND(E154*_xlfn.XLOOKUP(D154,Sheet6!B:B,Sheet6!D:D,0,0),0)</f>
        <v>14955</v>
      </c>
      <c r="G154" s="282">
        <f>ROUND(E154*_xlfn.XLOOKUP(D154,Sheet6!B:B,Sheet6!C:C,0,0),0)</f>
        <v>14039</v>
      </c>
      <c r="H154" s="282">
        <v>16041.623082890734</v>
      </c>
      <c r="I154" s="282">
        <v>11464.442680670765</v>
      </c>
      <c r="J154" s="282">
        <v>1487.9342364385031</v>
      </c>
      <c r="K154" s="281"/>
      <c r="L154" s="274">
        <f t="shared" si="2"/>
        <v>0</v>
      </c>
    </row>
    <row r="155" spans="1:12" x14ac:dyDescent="0.2">
      <c r="A155" s="281" t="s">
        <v>147</v>
      </c>
      <c r="B155" s="281" t="s">
        <v>132</v>
      </c>
      <c r="C155" s="281" t="s">
        <v>496</v>
      </c>
      <c r="D155" s="281" t="s">
        <v>497</v>
      </c>
      <c r="E155" s="282">
        <f>_xlfn.XLOOKUP(D155,'PIN2025'!B:B,'PIN2025'!E:E,0,0)</f>
        <v>70244</v>
      </c>
      <c r="F155" s="282">
        <f>ROUND(E155*_xlfn.XLOOKUP(D155,Sheet6!B:B,Sheet6!D:D,0,0),0)</f>
        <v>35601</v>
      </c>
      <c r="G155" s="282">
        <f>ROUND(E155*_xlfn.XLOOKUP(D155,Sheet6!B:B,Sheet6!C:C,0,0),0)</f>
        <v>34643</v>
      </c>
      <c r="H155" s="282">
        <v>35575.71474888525</v>
      </c>
      <c r="I155" s="282">
        <v>30004.157709158622</v>
      </c>
      <c r="J155" s="282">
        <v>4664.1275419561252</v>
      </c>
      <c r="K155" s="281"/>
      <c r="L155" s="274">
        <f t="shared" si="2"/>
        <v>0</v>
      </c>
    </row>
    <row r="156" spans="1:12" x14ac:dyDescent="0.2">
      <c r="A156" s="281" t="s">
        <v>147</v>
      </c>
      <c r="B156" s="281" t="s">
        <v>132</v>
      </c>
      <c r="C156" s="281" t="s">
        <v>498</v>
      </c>
      <c r="D156" s="281" t="s">
        <v>499</v>
      </c>
      <c r="E156" s="282">
        <f>_xlfn.XLOOKUP(D156,'PIN2025'!B:B,'PIN2025'!E:E,0,0)</f>
        <v>182903</v>
      </c>
      <c r="F156" s="282">
        <f>ROUND(E156*_xlfn.XLOOKUP(D156,Sheet6!B:B,Sheet6!D:D,0,0),0)</f>
        <v>95126</v>
      </c>
      <c r="G156" s="282">
        <f>ROUND(E156*_xlfn.XLOOKUP(D156,Sheet6!B:B,Sheet6!C:C,0,0),0)</f>
        <v>87777</v>
      </c>
      <c r="H156" s="282">
        <v>95124.831588656161</v>
      </c>
      <c r="I156" s="282">
        <v>76761.588580226933</v>
      </c>
      <c r="J156" s="282">
        <v>11016.579831116909</v>
      </c>
      <c r="K156" s="281"/>
      <c r="L156" s="274">
        <f t="shared" si="2"/>
        <v>0</v>
      </c>
    </row>
    <row r="157" spans="1:12" x14ac:dyDescent="0.2">
      <c r="A157" s="281" t="s">
        <v>147</v>
      </c>
      <c r="B157" s="281" t="s">
        <v>132</v>
      </c>
      <c r="C157" s="281" t="s">
        <v>500</v>
      </c>
      <c r="D157" s="281" t="s">
        <v>501</v>
      </c>
      <c r="E157" s="282">
        <f>_xlfn.XLOOKUP(D157,'PIN2025'!B:B,'PIN2025'!E:E,0,0)</f>
        <v>83039</v>
      </c>
      <c r="F157" s="282">
        <f>ROUND(E157*_xlfn.XLOOKUP(D157,Sheet6!B:B,Sheet6!D:D,0,0),0)</f>
        <v>43249</v>
      </c>
      <c r="G157" s="282">
        <f>ROUND(E157*_xlfn.XLOOKUP(D157,Sheet6!B:B,Sheet6!C:C,0,0),0)</f>
        <v>39790</v>
      </c>
      <c r="H157" s="282">
        <v>45211.278207135161</v>
      </c>
      <c r="I157" s="282">
        <v>34067.988367598155</v>
      </c>
      <c r="J157" s="282">
        <v>3759.7334252666842</v>
      </c>
      <c r="K157" s="281"/>
      <c r="L157" s="274">
        <f t="shared" si="2"/>
        <v>0</v>
      </c>
    </row>
    <row r="158" spans="1:12" x14ac:dyDescent="0.2">
      <c r="A158" s="281" t="s">
        <v>147</v>
      </c>
      <c r="B158" s="281" t="s">
        <v>132</v>
      </c>
      <c r="C158" s="281" t="s">
        <v>502</v>
      </c>
      <c r="D158" s="281" t="s">
        <v>503</v>
      </c>
      <c r="E158" s="282">
        <f>_xlfn.XLOOKUP(D158,'PIN2025'!B:B,'PIN2025'!E:E,0,0)</f>
        <v>151192</v>
      </c>
      <c r="F158" s="282">
        <f>ROUND(E158*_xlfn.XLOOKUP(D158,Sheet6!B:B,Sheet6!D:D,0,0),0)</f>
        <v>79251</v>
      </c>
      <c r="G158" s="282">
        <f>ROUND(E158*_xlfn.XLOOKUP(D158,Sheet6!B:B,Sheet6!C:C,0,0),0)</f>
        <v>71941</v>
      </c>
      <c r="H158" s="282">
        <v>80402.307109113186</v>
      </c>
      <c r="I158" s="282">
        <v>62854.824917274622</v>
      </c>
      <c r="J158" s="282">
        <v>7934.8679736121858</v>
      </c>
      <c r="K158" s="281"/>
      <c r="L158" s="274">
        <f t="shared" si="2"/>
        <v>0</v>
      </c>
    </row>
    <row r="159" spans="1:12" x14ac:dyDescent="0.2">
      <c r="A159" s="281" t="s">
        <v>147</v>
      </c>
      <c r="B159" s="281" t="s">
        <v>132</v>
      </c>
      <c r="C159" s="281" t="s">
        <v>504</v>
      </c>
      <c r="D159" s="281" t="s">
        <v>505</v>
      </c>
      <c r="E159" s="282">
        <f>_xlfn.XLOOKUP(D159,'PIN2025'!B:B,'PIN2025'!E:E,0,0)</f>
        <v>203181</v>
      </c>
      <c r="F159" s="282">
        <f>ROUND(E159*_xlfn.XLOOKUP(D159,Sheet6!B:B,Sheet6!D:D,0,0),0)</f>
        <v>105362</v>
      </c>
      <c r="G159" s="282">
        <f>ROUND(E159*_xlfn.XLOOKUP(D159,Sheet6!B:B,Sheet6!C:C,0,0),0)</f>
        <v>97819</v>
      </c>
      <c r="H159" s="282">
        <v>105489.42485508601</v>
      </c>
      <c r="I159" s="282">
        <v>85607.644419809818</v>
      </c>
      <c r="J159" s="282">
        <v>12083.930725104177</v>
      </c>
      <c r="K159" s="281"/>
      <c r="L159" s="274">
        <f t="shared" si="2"/>
        <v>0</v>
      </c>
    </row>
    <row r="160" spans="1:12" x14ac:dyDescent="0.2">
      <c r="A160" s="281" t="s">
        <v>147</v>
      </c>
      <c r="B160" s="281" t="s">
        <v>132</v>
      </c>
      <c r="C160" s="281" t="s">
        <v>506</v>
      </c>
      <c r="D160" s="281" t="s">
        <v>507</v>
      </c>
      <c r="E160" s="282">
        <f>_xlfn.XLOOKUP(D160,'PIN2025'!B:B,'PIN2025'!E:E,0,0)</f>
        <v>150190</v>
      </c>
      <c r="F160" s="282">
        <f>ROUND(E160*_xlfn.XLOOKUP(D160,Sheet6!B:B,Sheet6!D:D,0,0),0)</f>
        <v>76505</v>
      </c>
      <c r="G160" s="282">
        <f>ROUND(E160*_xlfn.XLOOKUP(D160,Sheet6!B:B,Sheet6!C:C,0,0),0)</f>
        <v>73685</v>
      </c>
      <c r="H160" s="282">
        <v>78194.727522976114</v>
      </c>
      <c r="I160" s="282">
        <v>63581.124665950185</v>
      </c>
      <c r="J160" s="282">
        <v>8414.1478110737044</v>
      </c>
      <c r="K160" s="281"/>
      <c r="L160" s="274">
        <f t="shared" si="2"/>
        <v>0</v>
      </c>
    </row>
    <row r="161" spans="1:12" x14ac:dyDescent="0.2">
      <c r="A161" s="281" t="s">
        <v>147</v>
      </c>
      <c r="B161" s="281" t="s">
        <v>132</v>
      </c>
      <c r="C161" s="281" t="s">
        <v>508</v>
      </c>
      <c r="D161" s="281" t="s">
        <v>509</v>
      </c>
      <c r="E161" s="282">
        <f>_xlfn.XLOOKUP(D161,'PIN2025'!B:B,'PIN2025'!E:E,0,0)</f>
        <v>121124</v>
      </c>
      <c r="F161" s="282">
        <f>ROUND(E161*_xlfn.XLOOKUP(D161,Sheet6!B:B,Sheet6!D:D,0,0),0)</f>
        <v>63209</v>
      </c>
      <c r="G161" s="282">
        <f>ROUND(E161*_xlfn.XLOOKUP(D161,Sheet6!B:B,Sheet6!C:C,0,0),0)</f>
        <v>57915</v>
      </c>
      <c r="H161" s="282">
        <v>65294.785544618593</v>
      </c>
      <c r="I161" s="282">
        <v>49715.363345989812</v>
      </c>
      <c r="J161" s="282">
        <v>6113.8511093915895</v>
      </c>
      <c r="K161" s="281"/>
      <c r="L161" s="274">
        <f t="shared" si="2"/>
        <v>0</v>
      </c>
    </row>
    <row r="162" spans="1:12" x14ac:dyDescent="0.2">
      <c r="A162" s="281" t="s">
        <v>147</v>
      </c>
      <c r="B162" s="281" t="s">
        <v>132</v>
      </c>
      <c r="C162" s="281" t="s">
        <v>510</v>
      </c>
      <c r="D162" s="281" t="s">
        <v>511</v>
      </c>
      <c r="E162" s="282">
        <f>_xlfn.XLOOKUP(D162,'PIN2025'!B:B,'PIN2025'!E:E,0,0)</f>
        <v>88992</v>
      </c>
      <c r="F162" s="282">
        <f>ROUND(E162*_xlfn.XLOOKUP(D162,Sheet6!B:B,Sheet6!D:D,0,0),0)</f>
        <v>46504</v>
      </c>
      <c r="G162" s="282">
        <f>ROUND(E162*_xlfn.XLOOKUP(D162,Sheet6!B:B,Sheet6!C:C,0,0),0)</f>
        <v>42488</v>
      </c>
      <c r="H162" s="282">
        <v>48106.942637927226</v>
      </c>
      <c r="I162" s="282">
        <v>36454.608938262361</v>
      </c>
      <c r="J162" s="282">
        <v>4430.4484238104151</v>
      </c>
      <c r="K162" s="281"/>
      <c r="L162" s="274">
        <f t="shared" si="2"/>
        <v>0</v>
      </c>
    </row>
    <row r="163" spans="1:12" x14ac:dyDescent="0.2">
      <c r="A163" s="281" t="s">
        <v>179</v>
      </c>
      <c r="B163" s="281" t="s">
        <v>133</v>
      </c>
      <c r="C163" s="281" t="s">
        <v>512</v>
      </c>
      <c r="D163" s="281" t="s">
        <v>513</v>
      </c>
      <c r="E163" s="282">
        <f>_xlfn.XLOOKUP(D163,'PIN2025'!B:B,'PIN2025'!E:E,0,0)</f>
        <v>13206</v>
      </c>
      <c r="F163" s="282">
        <f>ROUND(E163*_xlfn.XLOOKUP(D163,Sheet6!B:B,Sheet6!D:D,0,0),0)</f>
        <v>6510</v>
      </c>
      <c r="G163" s="282">
        <f>ROUND(E163*_xlfn.XLOOKUP(D163,Sheet6!B:B,Sheet6!C:C,0,0),0)</f>
        <v>6696</v>
      </c>
      <c r="H163" s="282">
        <v>6462.4282362652875</v>
      </c>
      <c r="I163" s="282">
        <v>5897.9178524102281</v>
      </c>
      <c r="J163" s="282">
        <v>845.65391132448451</v>
      </c>
      <c r="K163" s="281"/>
      <c r="L163" s="274">
        <f t="shared" si="2"/>
        <v>0</v>
      </c>
    </row>
    <row r="164" spans="1:12" x14ac:dyDescent="0.2">
      <c r="A164" s="281" t="s">
        <v>179</v>
      </c>
      <c r="B164" s="281" t="s">
        <v>133</v>
      </c>
      <c r="C164" s="281" t="s">
        <v>514</v>
      </c>
      <c r="D164" s="281" t="s">
        <v>515</v>
      </c>
      <c r="E164" s="282">
        <f>_xlfn.XLOOKUP(D164,'PIN2025'!B:B,'PIN2025'!E:E,0,0)</f>
        <v>66111</v>
      </c>
      <c r="F164" s="282">
        <f>ROUND(E164*_xlfn.XLOOKUP(D164,Sheet6!B:B,Sheet6!D:D,0,0),0)</f>
        <v>33714</v>
      </c>
      <c r="G164" s="282">
        <f>ROUND(E164*_xlfn.XLOOKUP(D164,Sheet6!B:B,Sheet6!C:C,0,0),0)</f>
        <v>32397</v>
      </c>
      <c r="H164" s="282">
        <v>33858.59505302654</v>
      </c>
      <c r="I164" s="282">
        <v>28272.174389360505</v>
      </c>
      <c r="J164" s="282">
        <v>3980.2305576129511</v>
      </c>
      <c r="K164" s="281"/>
      <c r="L164" s="274">
        <f t="shared" si="2"/>
        <v>0</v>
      </c>
    </row>
    <row r="165" spans="1:12" x14ac:dyDescent="0.2">
      <c r="A165" s="281" t="s">
        <v>179</v>
      </c>
      <c r="B165" s="281" t="s">
        <v>133</v>
      </c>
      <c r="C165" s="281" t="s">
        <v>516</v>
      </c>
      <c r="D165" s="281" t="s">
        <v>517</v>
      </c>
      <c r="E165" s="282">
        <f>_xlfn.XLOOKUP(D165,'PIN2025'!B:B,'PIN2025'!E:E,0,0)</f>
        <v>221876</v>
      </c>
      <c r="F165" s="282">
        <f>ROUND(E165*_xlfn.XLOOKUP(D165,Sheet6!B:B,Sheet6!D:D,0,0),0)</f>
        <v>112529</v>
      </c>
      <c r="G165" s="282">
        <f>ROUND(E165*_xlfn.XLOOKUP(D165,Sheet6!B:B,Sheet6!C:C,0,0),0)</f>
        <v>109347</v>
      </c>
      <c r="H165" s="282">
        <v>114669.66539365929</v>
      </c>
      <c r="I165" s="282">
        <v>94399.845463390899</v>
      </c>
      <c r="J165" s="282">
        <v>12806.489142949809</v>
      </c>
      <c r="K165" s="281"/>
      <c r="L165" s="274">
        <f t="shared" si="2"/>
        <v>0</v>
      </c>
    </row>
    <row r="166" spans="1:12" x14ac:dyDescent="0.2">
      <c r="A166" s="281" t="s">
        <v>179</v>
      </c>
      <c r="B166" s="281" t="s">
        <v>133</v>
      </c>
      <c r="C166" s="281" t="s">
        <v>518</v>
      </c>
      <c r="D166" s="281" t="s">
        <v>519</v>
      </c>
      <c r="E166" s="282">
        <f>_xlfn.XLOOKUP(D166,'PIN2025'!B:B,'PIN2025'!E:E,0,0)</f>
        <v>145279</v>
      </c>
      <c r="F166" s="282">
        <f>ROUND(E166*_xlfn.XLOOKUP(D166,Sheet6!B:B,Sheet6!D:D,0,0),0)</f>
        <v>72809</v>
      </c>
      <c r="G166" s="282">
        <f>ROUND(E166*_xlfn.XLOOKUP(D166,Sheet6!B:B,Sheet6!C:C,0,0),0)</f>
        <v>72470</v>
      </c>
      <c r="H166" s="282">
        <v>73450.199110467278</v>
      </c>
      <c r="I166" s="282">
        <v>63120.018292466426</v>
      </c>
      <c r="J166" s="282">
        <v>8708.7825970662943</v>
      </c>
      <c r="K166" s="281"/>
      <c r="L166" s="274">
        <f t="shared" si="2"/>
        <v>0</v>
      </c>
    </row>
    <row r="167" spans="1:12" x14ac:dyDescent="0.2">
      <c r="A167" s="281" t="s">
        <v>179</v>
      </c>
      <c r="B167" s="281" t="s">
        <v>133</v>
      </c>
      <c r="C167" s="281" t="s">
        <v>520</v>
      </c>
      <c r="D167" s="281" t="s">
        <v>521</v>
      </c>
      <c r="E167" s="282">
        <f>_xlfn.XLOOKUP(D167,'PIN2025'!B:B,'PIN2025'!E:E,0,0)</f>
        <v>92376</v>
      </c>
      <c r="F167" s="282">
        <f>ROUND(E167*_xlfn.XLOOKUP(D167,Sheet6!B:B,Sheet6!D:D,0,0),0)</f>
        <v>46836</v>
      </c>
      <c r="G167" s="282">
        <f>ROUND(E167*_xlfn.XLOOKUP(D167,Sheet6!B:B,Sheet6!C:C,0,0),0)</f>
        <v>45540</v>
      </c>
      <c r="H167" s="282">
        <v>47102.82546525669</v>
      </c>
      <c r="I167" s="282">
        <v>39158.352545509944</v>
      </c>
      <c r="J167" s="282">
        <v>6114.8219892333573</v>
      </c>
      <c r="K167" s="281"/>
      <c r="L167" s="274">
        <f t="shared" si="2"/>
        <v>0</v>
      </c>
    </row>
    <row r="168" spans="1:12" x14ac:dyDescent="0.2">
      <c r="A168" s="281" t="s">
        <v>179</v>
      </c>
      <c r="B168" s="281" t="s">
        <v>133</v>
      </c>
      <c r="C168" s="281" t="s">
        <v>522</v>
      </c>
      <c r="D168" s="281" t="s">
        <v>523</v>
      </c>
      <c r="E168" s="282">
        <f>_xlfn.XLOOKUP(D168,'PIN2025'!B:B,'PIN2025'!E:E,0,0)</f>
        <v>25950</v>
      </c>
      <c r="F168" s="282">
        <f>ROUND(E168*_xlfn.XLOOKUP(D168,Sheet6!B:B,Sheet6!D:D,0,0),0)</f>
        <v>13242</v>
      </c>
      <c r="G168" s="282">
        <f>ROUND(E168*_xlfn.XLOOKUP(D168,Sheet6!B:B,Sheet6!C:C,0,0),0)</f>
        <v>12708</v>
      </c>
      <c r="H168" s="282">
        <v>12755.981774788457</v>
      </c>
      <c r="I168" s="282">
        <v>11278.031026252984</v>
      </c>
      <c r="J168" s="282">
        <v>1915.9871989585595</v>
      </c>
      <c r="K168" s="281"/>
      <c r="L168" s="274">
        <f t="shared" si="2"/>
        <v>0</v>
      </c>
    </row>
    <row r="169" spans="1:12" x14ac:dyDescent="0.2">
      <c r="A169" s="281" t="s">
        <v>179</v>
      </c>
      <c r="B169" s="281" t="s">
        <v>133</v>
      </c>
      <c r="C169" s="281" t="s">
        <v>524</v>
      </c>
      <c r="D169" s="281" t="s">
        <v>525</v>
      </c>
      <c r="E169" s="282">
        <f>_xlfn.XLOOKUP(D169,'PIN2025'!B:B,'PIN2025'!E:E,0,0)</f>
        <v>18758</v>
      </c>
      <c r="F169" s="282">
        <f>ROUND(E169*_xlfn.XLOOKUP(D169,Sheet6!B:B,Sheet6!D:D,0,0),0)</f>
        <v>9256</v>
      </c>
      <c r="G169" s="282">
        <f>ROUND(E169*_xlfn.XLOOKUP(D169,Sheet6!B:B,Sheet6!C:C,0,0),0)</f>
        <v>9502</v>
      </c>
      <c r="H169" s="282">
        <v>9212.089778112073</v>
      </c>
      <c r="I169" s="282">
        <v>8351.1547198194803</v>
      </c>
      <c r="J169" s="282">
        <v>1194.755502068447</v>
      </c>
      <c r="K169" s="281"/>
      <c r="L169" s="274">
        <f t="shared" si="2"/>
        <v>0</v>
      </c>
    </row>
    <row r="170" spans="1:12" x14ac:dyDescent="0.2">
      <c r="A170" s="281" t="s">
        <v>173</v>
      </c>
      <c r="B170" s="281" t="s">
        <v>134</v>
      </c>
      <c r="C170" s="281" t="s">
        <v>526</v>
      </c>
      <c r="D170" s="281" t="s">
        <v>527</v>
      </c>
      <c r="E170" s="282">
        <f>_xlfn.XLOOKUP(D170,'PIN2025'!B:B,'PIN2025'!E:E,0,0)</f>
        <v>25731</v>
      </c>
      <c r="F170" s="282">
        <f>ROUND(E170*_xlfn.XLOOKUP(D170,Sheet6!B:B,Sheet6!D:D,0,0),0)</f>
        <v>12898</v>
      </c>
      <c r="G170" s="282">
        <f>ROUND(E170*_xlfn.XLOOKUP(D170,Sheet6!B:B,Sheet6!C:C,0,0),0)</f>
        <v>12833</v>
      </c>
      <c r="H170" s="282">
        <v>12234.342793446334</v>
      </c>
      <c r="I170" s="282">
        <v>11509.248027177182</v>
      </c>
      <c r="J170" s="282">
        <v>1987.4091793764819</v>
      </c>
      <c r="K170" s="281"/>
      <c r="L170" s="274">
        <f t="shared" si="2"/>
        <v>0</v>
      </c>
    </row>
    <row r="171" spans="1:12" x14ac:dyDescent="0.2">
      <c r="A171" s="281" t="s">
        <v>173</v>
      </c>
      <c r="B171" s="281" t="s">
        <v>134</v>
      </c>
      <c r="C171" s="281" t="s">
        <v>528</v>
      </c>
      <c r="D171" s="281" t="s">
        <v>529</v>
      </c>
      <c r="E171" s="282">
        <f>_xlfn.XLOOKUP(D171,'PIN2025'!B:B,'PIN2025'!E:E,0,0)</f>
        <v>36037</v>
      </c>
      <c r="F171" s="282">
        <f>ROUND(E171*_xlfn.XLOOKUP(D171,Sheet6!B:B,Sheet6!D:D,0,0),0)</f>
        <v>19050</v>
      </c>
      <c r="G171" s="282">
        <f>ROUND(E171*_xlfn.XLOOKUP(D171,Sheet6!B:B,Sheet6!C:C,0,0),0)</f>
        <v>16987</v>
      </c>
      <c r="H171" s="282">
        <v>17593.105105507439</v>
      </c>
      <c r="I171" s="282">
        <v>15611.837437197953</v>
      </c>
      <c r="J171" s="282">
        <v>2832.0574572946075</v>
      </c>
      <c r="K171" s="281"/>
      <c r="L171" s="274">
        <f t="shared" si="2"/>
        <v>0</v>
      </c>
    </row>
    <row r="172" spans="1:12" x14ac:dyDescent="0.2">
      <c r="A172" s="281" t="s">
        <v>173</v>
      </c>
      <c r="B172" s="281" t="s">
        <v>134</v>
      </c>
      <c r="C172" s="281" t="s">
        <v>530</v>
      </c>
      <c r="D172" s="281" t="s">
        <v>531</v>
      </c>
      <c r="E172" s="282">
        <f>_xlfn.XLOOKUP(D172,'PIN2025'!B:B,'PIN2025'!E:E,0,0)</f>
        <v>34296</v>
      </c>
      <c r="F172" s="282">
        <f>ROUND(E172*_xlfn.XLOOKUP(D172,Sheet6!B:B,Sheet6!D:D,0,0),0)</f>
        <v>17674</v>
      </c>
      <c r="G172" s="282">
        <f>ROUND(E172*_xlfn.XLOOKUP(D172,Sheet6!B:B,Sheet6!C:C,0,0),0)</f>
        <v>16622</v>
      </c>
      <c r="H172" s="282">
        <v>16529.138221528861</v>
      </c>
      <c r="I172" s="282">
        <v>15357.224461778471</v>
      </c>
      <c r="J172" s="282">
        <v>2409.6373166926678</v>
      </c>
      <c r="K172" s="281"/>
      <c r="L172" s="274">
        <f t="shared" si="2"/>
        <v>0</v>
      </c>
    </row>
    <row r="173" spans="1:12" x14ac:dyDescent="0.2">
      <c r="A173" s="281" t="s">
        <v>173</v>
      </c>
      <c r="B173" s="281" t="s">
        <v>134</v>
      </c>
      <c r="C173" s="281" t="s">
        <v>532</v>
      </c>
      <c r="D173" s="281" t="s">
        <v>533</v>
      </c>
      <c r="E173" s="282">
        <f>_xlfn.XLOOKUP(D173,'PIN2025'!B:B,'PIN2025'!E:E,0,0)</f>
        <v>66479</v>
      </c>
      <c r="F173" s="282">
        <f>ROUND(E173*_xlfn.XLOOKUP(D173,Sheet6!B:B,Sheet6!D:D,0,0),0)</f>
        <v>34148</v>
      </c>
      <c r="G173" s="282">
        <f>ROUND(E173*_xlfn.XLOOKUP(D173,Sheet6!B:B,Sheet6!C:C,0,0),0)</f>
        <v>32331</v>
      </c>
      <c r="H173" s="282">
        <v>31653.80274783686</v>
      </c>
      <c r="I173" s="282">
        <v>30123.801473538959</v>
      </c>
      <c r="J173" s="282">
        <v>4701.3957786241808</v>
      </c>
      <c r="K173" s="281"/>
      <c r="L173" s="274">
        <f t="shared" si="2"/>
        <v>0</v>
      </c>
    </row>
    <row r="174" spans="1:12" x14ac:dyDescent="0.2">
      <c r="A174" s="281" t="s">
        <v>173</v>
      </c>
      <c r="B174" s="281" t="s">
        <v>134</v>
      </c>
      <c r="C174" s="281" t="s">
        <v>534</v>
      </c>
      <c r="D174" s="281" t="s">
        <v>535</v>
      </c>
      <c r="E174" s="282">
        <f>_xlfn.XLOOKUP(D174,'PIN2025'!B:B,'PIN2025'!E:E,0,0)</f>
        <v>32685</v>
      </c>
      <c r="F174" s="282">
        <f>ROUND(E174*_xlfn.XLOOKUP(D174,Sheet6!B:B,Sheet6!D:D,0,0),0)</f>
        <v>17126</v>
      </c>
      <c r="G174" s="282">
        <f>ROUND(E174*_xlfn.XLOOKUP(D174,Sheet6!B:B,Sheet6!C:C,0,0),0)</f>
        <v>15559</v>
      </c>
      <c r="H174" s="282">
        <v>15995.522436705047</v>
      </c>
      <c r="I174" s="282">
        <v>14363.403000690192</v>
      </c>
      <c r="J174" s="282">
        <v>2326.0745626047615</v>
      </c>
      <c r="K174" s="281"/>
      <c r="L174" s="274">
        <f t="shared" si="2"/>
        <v>0</v>
      </c>
    </row>
    <row r="175" spans="1:12" x14ac:dyDescent="0.2">
      <c r="A175" s="281" t="s">
        <v>173</v>
      </c>
      <c r="B175" s="281" t="s">
        <v>134</v>
      </c>
      <c r="C175" s="281" t="s">
        <v>536</v>
      </c>
      <c r="D175" s="281" t="s">
        <v>537</v>
      </c>
      <c r="E175" s="282">
        <f>_xlfn.XLOOKUP(D175,'PIN2025'!B:B,'PIN2025'!E:E,0,0)</f>
        <v>48411</v>
      </c>
      <c r="F175" s="282">
        <f>ROUND(E175*_xlfn.XLOOKUP(D175,Sheet6!B:B,Sheet6!D:D,0,0),0)</f>
        <v>24722</v>
      </c>
      <c r="G175" s="282">
        <f>ROUND(E175*_xlfn.XLOOKUP(D175,Sheet6!B:B,Sheet6!C:C,0,0),0)</f>
        <v>23689</v>
      </c>
      <c r="H175" s="282">
        <v>23193.63232355527</v>
      </c>
      <c r="I175" s="282">
        <v>21900.554767456812</v>
      </c>
      <c r="J175" s="282">
        <v>3316.8129089879171</v>
      </c>
      <c r="K175" s="281"/>
      <c r="L175" s="274">
        <f t="shared" si="2"/>
        <v>0</v>
      </c>
    </row>
    <row r="176" spans="1:12" x14ac:dyDescent="0.2">
      <c r="A176" s="281" t="s">
        <v>173</v>
      </c>
      <c r="B176" s="281" t="s">
        <v>134</v>
      </c>
      <c r="C176" s="281" t="s">
        <v>538</v>
      </c>
      <c r="D176" s="281" t="s">
        <v>539</v>
      </c>
      <c r="E176" s="282">
        <f>_xlfn.XLOOKUP(D176,'PIN2025'!B:B,'PIN2025'!E:E,0,0)</f>
        <v>45340</v>
      </c>
      <c r="F176" s="282">
        <f>ROUND(E176*_xlfn.XLOOKUP(D176,Sheet6!B:B,Sheet6!D:D,0,0),0)</f>
        <v>23045</v>
      </c>
      <c r="G176" s="282">
        <f>ROUND(E176*_xlfn.XLOOKUP(D176,Sheet6!B:B,Sheet6!C:C,0,0),0)</f>
        <v>22295</v>
      </c>
      <c r="H176" s="282">
        <v>21517.322740431009</v>
      </c>
      <c r="I176" s="282">
        <v>20343.499453200384</v>
      </c>
      <c r="J176" s="282">
        <v>3479.1778063686074</v>
      </c>
      <c r="K176" s="281"/>
      <c r="L176" s="274">
        <f t="shared" si="2"/>
        <v>0</v>
      </c>
    </row>
    <row r="177" spans="1:12" x14ac:dyDescent="0.2">
      <c r="A177" s="281" t="s">
        <v>194</v>
      </c>
      <c r="B177" s="281" t="s">
        <v>135</v>
      </c>
      <c r="C177" s="281" t="s">
        <v>540</v>
      </c>
      <c r="D177" s="281" t="s">
        <v>541</v>
      </c>
      <c r="E177" s="282">
        <f>_xlfn.XLOOKUP(D177,'PIN2025'!B:B,'PIN2025'!E:E,0,0)</f>
        <v>29502</v>
      </c>
      <c r="F177" s="282">
        <f>ROUND(E177*_xlfn.XLOOKUP(D177,Sheet6!B:B,Sheet6!D:D,0,0),0)</f>
        <v>15280</v>
      </c>
      <c r="G177" s="282">
        <f>ROUND(E177*_xlfn.XLOOKUP(D177,Sheet6!B:B,Sheet6!C:C,0,0),0)</f>
        <v>14222</v>
      </c>
      <c r="H177" s="282">
        <v>17455.202356582082</v>
      </c>
      <c r="I177" s="282">
        <v>10798.057634563203</v>
      </c>
      <c r="J177" s="282">
        <v>1248.740008854717</v>
      </c>
      <c r="K177" s="281"/>
      <c r="L177" s="274">
        <f t="shared" si="2"/>
        <v>0</v>
      </c>
    </row>
    <row r="178" spans="1:12" x14ac:dyDescent="0.2">
      <c r="A178" s="281" t="s">
        <v>194</v>
      </c>
      <c r="B178" s="281" t="s">
        <v>135</v>
      </c>
      <c r="C178" s="281" t="s">
        <v>542</v>
      </c>
      <c r="D178" s="281" t="s">
        <v>543</v>
      </c>
      <c r="E178" s="282">
        <f>_xlfn.XLOOKUP(D178,'PIN2025'!B:B,'PIN2025'!E:E,0,0)</f>
        <v>37775</v>
      </c>
      <c r="F178" s="282">
        <f>ROUND(E178*_xlfn.XLOOKUP(D178,Sheet6!B:B,Sheet6!D:D,0,0),0)</f>
        <v>19357</v>
      </c>
      <c r="G178" s="282">
        <f>ROUND(E178*_xlfn.XLOOKUP(D178,Sheet6!B:B,Sheet6!C:C,0,0),0)</f>
        <v>18418</v>
      </c>
      <c r="H178" s="282">
        <v>21932.056422687809</v>
      </c>
      <c r="I178" s="282">
        <v>14095.988819353403</v>
      </c>
      <c r="J178" s="282">
        <v>1746.95475795879</v>
      </c>
      <c r="K178" s="281"/>
      <c r="L178" s="274">
        <f t="shared" si="2"/>
        <v>0</v>
      </c>
    </row>
    <row r="179" spans="1:12" x14ac:dyDescent="0.2">
      <c r="A179" s="281" t="s">
        <v>194</v>
      </c>
      <c r="B179" s="281" t="s">
        <v>135</v>
      </c>
      <c r="C179" s="281" t="s">
        <v>544</v>
      </c>
      <c r="D179" s="281" t="s">
        <v>545</v>
      </c>
      <c r="E179" s="282">
        <f>_xlfn.XLOOKUP(D179,'PIN2025'!B:B,'PIN2025'!E:E,0,0)</f>
        <v>33951</v>
      </c>
      <c r="F179" s="282">
        <f>ROUND(E179*_xlfn.XLOOKUP(D179,Sheet6!B:B,Sheet6!D:D,0,0),0)</f>
        <v>17704</v>
      </c>
      <c r="G179" s="282">
        <f>ROUND(E179*_xlfn.XLOOKUP(D179,Sheet6!B:B,Sheet6!C:C,0,0),0)</f>
        <v>16247</v>
      </c>
      <c r="H179" s="282">
        <v>20083.155094175421</v>
      </c>
      <c r="I179" s="282">
        <v>12349.463525037156</v>
      </c>
      <c r="J179" s="282">
        <v>1518.3813807874228</v>
      </c>
      <c r="K179" s="281"/>
      <c r="L179" s="274">
        <f t="shared" si="2"/>
        <v>0</v>
      </c>
    </row>
    <row r="180" spans="1:12" x14ac:dyDescent="0.2">
      <c r="A180" s="281" t="s">
        <v>194</v>
      </c>
      <c r="B180" s="281" t="s">
        <v>135</v>
      </c>
      <c r="C180" s="281" t="s">
        <v>546</v>
      </c>
      <c r="D180" s="281" t="s">
        <v>547</v>
      </c>
      <c r="E180" s="282">
        <f>_xlfn.XLOOKUP(D180,'PIN2025'!B:B,'PIN2025'!E:E,0,0)</f>
        <v>13726</v>
      </c>
      <c r="F180" s="282">
        <f>ROUND(E180*_xlfn.XLOOKUP(D180,Sheet6!B:B,Sheet6!D:D,0,0),0)</f>
        <v>7194</v>
      </c>
      <c r="G180" s="282">
        <f>ROUND(E180*_xlfn.XLOOKUP(D180,Sheet6!B:B,Sheet6!C:C,0,0),0)</f>
        <v>6532</v>
      </c>
      <c r="H180" s="282">
        <v>8188.5503683334737</v>
      </c>
      <c r="I180" s="282">
        <v>4963.9603020820005</v>
      </c>
      <c r="J180" s="282">
        <v>573.4893295845269</v>
      </c>
      <c r="K180" s="281"/>
      <c r="L180" s="274">
        <f t="shared" si="2"/>
        <v>0</v>
      </c>
    </row>
    <row r="181" spans="1:12" x14ac:dyDescent="0.2">
      <c r="A181" s="281" t="s">
        <v>194</v>
      </c>
      <c r="B181" s="281" t="s">
        <v>135</v>
      </c>
      <c r="C181" s="281" t="s">
        <v>548</v>
      </c>
      <c r="D181" s="281" t="s">
        <v>549</v>
      </c>
      <c r="E181" s="282">
        <f>_xlfn.XLOOKUP(D181,'PIN2025'!B:B,'PIN2025'!E:E,0,0)</f>
        <v>33619</v>
      </c>
      <c r="F181" s="282">
        <f>ROUND(E181*_xlfn.XLOOKUP(D181,Sheet6!B:B,Sheet6!D:D,0,0),0)</f>
        <v>16858</v>
      </c>
      <c r="G181" s="282">
        <f>ROUND(E181*_xlfn.XLOOKUP(D181,Sheet6!B:B,Sheet6!C:C,0,0),0)</f>
        <v>16761</v>
      </c>
      <c r="H181" s="282">
        <v>19486.397096370463</v>
      </c>
      <c r="I181" s="282">
        <v>12833.285356695869</v>
      </c>
      <c r="J181" s="282">
        <v>1299.3175469336672</v>
      </c>
      <c r="K181" s="281"/>
      <c r="L181" s="274">
        <f t="shared" si="2"/>
        <v>0</v>
      </c>
    </row>
    <row r="182" spans="1:12" x14ac:dyDescent="0.2">
      <c r="A182" s="281" t="s">
        <v>194</v>
      </c>
      <c r="B182" s="281" t="s">
        <v>135</v>
      </c>
      <c r="C182" s="281" t="s">
        <v>550</v>
      </c>
      <c r="D182" s="281" t="s">
        <v>551</v>
      </c>
      <c r="E182" s="282">
        <f>_xlfn.XLOOKUP(D182,'PIN2025'!B:B,'PIN2025'!E:E,0,0)</f>
        <v>43913</v>
      </c>
      <c r="F182" s="282">
        <f>ROUND(E182*_xlfn.XLOOKUP(D182,Sheet6!B:B,Sheet6!D:D,0,0),0)</f>
        <v>22401</v>
      </c>
      <c r="G182" s="282">
        <f>ROUND(E182*_xlfn.XLOOKUP(D182,Sheet6!B:B,Sheet6!C:C,0,0),0)</f>
        <v>21512</v>
      </c>
      <c r="H182" s="282">
        <v>25741.909483507938</v>
      </c>
      <c r="I182" s="282">
        <v>16435.784720252526</v>
      </c>
      <c r="J182" s="282">
        <v>1735.3057962395353</v>
      </c>
      <c r="K182" s="281"/>
      <c r="L182" s="274">
        <f t="shared" si="2"/>
        <v>0</v>
      </c>
    </row>
    <row r="183" spans="1:12" x14ac:dyDescent="0.2">
      <c r="A183" s="281" t="s">
        <v>194</v>
      </c>
      <c r="B183" s="281" t="s">
        <v>135</v>
      </c>
      <c r="C183" s="281" t="s">
        <v>552</v>
      </c>
      <c r="D183" s="281" t="s">
        <v>553</v>
      </c>
      <c r="E183" s="282">
        <f>_xlfn.XLOOKUP(D183,'PIN2025'!B:B,'PIN2025'!E:E,0,0)</f>
        <v>9066</v>
      </c>
      <c r="F183" s="282">
        <f>ROUND(E183*_xlfn.XLOOKUP(D183,Sheet6!B:B,Sheet6!D:D,0,0),0)</f>
        <v>4641</v>
      </c>
      <c r="G183" s="282">
        <f>ROUND(E183*_xlfn.XLOOKUP(D183,Sheet6!B:B,Sheet6!C:C,0,0),0)</f>
        <v>4425</v>
      </c>
      <c r="H183" s="282">
        <v>5209.4085937499995</v>
      </c>
      <c r="I183" s="282">
        <v>3407.7181640624999</v>
      </c>
      <c r="J183" s="282">
        <v>448.87324218750001</v>
      </c>
      <c r="K183" s="281"/>
      <c r="L183" s="274">
        <f t="shared" si="2"/>
        <v>0</v>
      </c>
    </row>
    <row r="184" spans="1:12" x14ac:dyDescent="0.2">
      <c r="A184" s="281" t="s">
        <v>194</v>
      </c>
      <c r="B184" s="281" t="s">
        <v>135</v>
      </c>
      <c r="C184" s="281" t="s">
        <v>554</v>
      </c>
      <c r="D184" s="281" t="s">
        <v>555</v>
      </c>
      <c r="E184" s="282">
        <f>_xlfn.XLOOKUP(D184,'PIN2025'!B:B,'PIN2025'!E:E,0,0)</f>
        <v>21143</v>
      </c>
      <c r="F184" s="282">
        <f>ROUND(E184*_xlfn.XLOOKUP(D184,Sheet6!B:B,Sheet6!D:D,0,0),0)</f>
        <v>10943</v>
      </c>
      <c r="G184" s="282">
        <f>ROUND(E184*_xlfn.XLOOKUP(D184,Sheet6!B:B,Sheet6!C:C,0,0),0)</f>
        <v>10200</v>
      </c>
      <c r="H184" s="282">
        <v>12606.429011917549</v>
      </c>
      <c r="I184" s="282">
        <v>7743.7828564860874</v>
      </c>
      <c r="J184" s="282">
        <v>792.78813159636491</v>
      </c>
      <c r="K184" s="281"/>
      <c r="L184" s="274">
        <f t="shared" si="2"/>
        <v>0</v>
      </c>
    </row>
    <row r="185" spans="1:12" x14ac:dyDescent="0.2">
      <c r="A185" s="281" t="s">
        <v>194</v>
      </c>
      <c r="B185" s="281" t="s">
        <v>135</v>
      </c>
      <c r="C185" s="281" t="s">
        <v>556</v>
      </c>
      <c r="D185" s="281" t="s">
        <v>557</v>
      </c>
      <c r="E185" s="282">
        <f>_xlfn.XLOOKUP(D185,'PIN2025'!B:B,'PIN2025'!E:E,0,0)</f>
        <v>58717</v>
      </c>
      <c r="F185" s="282">
        <f>ROUND(E185*_xlfn.XLOOKUP(D185,Sheet6!B:B,Sheet6!D:D,0,0),0)</f>
        <v>29588</v>
      </c>
      <c r="G185" s="282">
        <f>ROUND(E185*_xlfn.XLOOKUP(D185,Sheet6!B:B,Sheet6!C:C,0,0),0)</f>
        <v>29129</v>
      </c>
      <c r="H185" s="282">
        <v>34047.913729210144</v>
      </c>
      <c r="I185" s="282">
        <v>22603.055865427181</v>
      </c>
      <c r="J185" s="282">
        <v>2066.0304053626764</v>
      </c>
      <c r="K185" s="281"/>
      <c r="L185" s="274">
        <f t="shared" si="2"/>
        <v>0</v>
      </c>
    </row>
    <row r="186" spans="1:12" x14ac:dyDescent="0.2">
      <c r="A186" s="281" t="s">
        <v>194</v>
      </c>
      <c r="B186" s="281" t="s">
        <v>135</v>
      </c>
      <c r="C186" s="281" t="s">
        <v>558</v>
      </c>
      <c r="D186" s="281" t="s">
        <v>559</v>
      </c>
      <c r="E186" s="282">
        <f>_xlfn.XLOOKUP(D186,'PIN2025'!B:B,'PIN2025'!E:E,0,0)</f>
        <v>47122</v>
      </c>
      <c r="F186" s="282">
        <f>ROUND(E186*_xlfn.XLOOKUP(D186,Sheet6!B:B,Sheet6!D:D,0,0),0)</f>
        <v>24013</v>
      </c>
      <c r="G186" s="282">
        <f>ROUND(E186*_xlfn.XLOOKUP(D186,Sheet6!B:B,Sheet6!C:C,0,0),0)</f>
        <v>23109</v>
      </c>
      <c r="H186" s="282">
        <v>27751.497643822186</v>
      </c>
      <c r="I186" s="282">
        <v>17641.549043909348</v>
      </c>
      <c r="J186" s="282">
        <v>1728.9533122684679</v>
      </c>
      <c r="K186" s="281"/>
      <c r="L186" s="274">
        <f t="shared" si="2"/>
        <v>0</v>
      </c>
    </row>
    <row r="187" spans="1:12" x14ac:dyDescent="0.2">
      <c r="A187" s="281" t="s">
        <v>194</v>
      </c>
      <c r="B187" s="281" t="s">
        <v>135</v>
      </c>
      <c r="C187" s="281" t="s">
        <v>560</v>
      </c>
      <c r="D187" s="281" t="s">
        <v>561</v>
      </c>
      <c r="E187" s="282">
        <f>_xlfn.XLOOKUP(D187,'PIN2025'!B:B,'PIN2025'!E:E,0,0)</f>
        <v>31738</v>
      </c>
      <c r="F187" s="282">
        <f>ROUND(E187*_xlfn.XLOOKUP(D187,Sheet6!B:B,Sheet6!D:D,0,0),0)</f>
        <v>15745</v>
      </c>
      <c r="G187" s="282">
        <f>ROUND(E187*_xlfn.XLOOKUP(D187,Sheet6!B:B,Sheet6!C:C,0,0),0)</f>
        <v>15993</v>
      </c>
      <c r="H187" s="282">
        <v>17872.830207124091</v>
      </c>
      <c r="I187" s="282">
        <v>12631.873037209019</v>
      </c>
      <c r="J187" s="282">
        <v>1233.2967556668907</v>
      </c>
      <c r="K187" s="281"/>
      <c r="L187" s="274">
        <f t="shared" si="2"/>
        <v>0</v>
      </c>
    </row>
    <row r="188" spans="1:12" x14ac:dyDescent="0.2">
      <c r="A188" s="281" t="s">
        <v>194</v>
      </c>
      <c r="B188" s="281" t="s">
        <v>135</v>
      </c>
      <c r="C188" s="281" t="s">
        <v>562</v>
      </c>
      <c r="D188" s="281" t="s">
        <v>563</v>
      </c>
      <c r="E188" s="282">
        <f>_xlfn.XLOOKUP(D188,'PIN2025'!B:B,'PIN2025'!E:E,0,0)</f>
        <v>73101</v>
      </c>
      <c r="F188" s="282">
        <f>ROUND(E188*_xlfn.XLOOKUP(D188,Sheet6!B:B,Sheet6!D:D,0,0),0)</f>
        <v>37795</v>
      </c>
      <c r="G188" s="282">
        <f>ROUND(E188*_xlfn.XLOOKUP(D188,Sheet6!B:B,Sheet6!C:C,0,0),0)</f>
        <v>35306</v>
      </c>
      <c r="H188" s="282">
        <v>43397.996515471197</v>
      </c>
      <c r="I188" s="282">
        <v>26720.223441186557</v>
      </c>
      <c r="J188" s="282">
        <v>2982.7800433422371</v>
      </c>
      <c r="K188" s="281"/>
      <c r="L188" s="274">
        <f t="shared" si="2"/>
        <v>0</v>
      </c>
    </row>
    <row r="189" spans="1:12" x14ac:dyDescent="0.2">
      <c r="A189" s="281" t="s">
        <v>194</v>
      </c>
      <c r="B189" s="281" t="s">
        <v>135</v>
      </c>
      <c r="C189" s="281" t="s">
        <v>564</v>
      </c>
      <c r="D189" s="281" t="s">
        <v>565</v>
      </c>
      <c r="E189" s="282">
        <f>_xlfn.XLOOKUP(D189,'PIN2025'!B:B,'PIN2025'!E:E,0,0)</f>
        <v>3508</v>
      </c>
      <c r="F189" s="282">
        <f>ROUND(E189*_xlfn.XLOOKUP(D189,Sheet6!B:B,Sheet6!D:D,0,0),0)</f>
        <v>1808</v>
      </c>
      <c r="G189" s="282">
        <f>ROUND(E189*_xlfn.XLOOKUP(D189,Sheet6!B:B,Sheet6!C:C,0,0),0)</f>
        <v>1700</v>
      </c>
      <c r="H189" s="282">
        <v>2026.4705743308389</v>
      </c>
      <c r="I189" s="282">
        <v>1313.2005896952619</v>
      </c>
      <c r="J189" s="282">
        <v>168.32883597389912</v>
      </c>
      <c r="K189" s="281"/>
      <c r="L189" s="274">
        <f t="shared" si="2"/>
        <v>0</v>
      </c>
    </row>
    <row r="190" spans="1:12" x14ac:dyDescent="0.2">
      <c r="A190" s="281" t="s">
        <v>194</v>
      </c>
      <c r="B190" s="281" t="s">
        <v>135</v>
      </c>
      <c r="C190" s="281" t="s">
        <v>566</v>
      </c>
      <c r="D190" s="281" t="s">
        <v>567</v>
      </c>
      <c r="E190" s="282">
        <f>_xlfn.XLOOKUP(D190,'PIN2025'!B:B,'PIN2025'!E:E,0,0)</f>
        <v>21278</v>
      </c>
      <c r="F190" s="282">
        <f>ROUND(E190*_xlfn.XLOOKUP(D190,Sheet6!B:B,Sheet6!D:D,0,0),0)</f>
        <v>10575</v>
      </c>
      <c r="G190" s="282">
        <f>ROUND(E190*_xlfn.XLOOKUP(D190,Sheet6!B:B,Sheet6!C:C,0,0),0)</f>
        <v>10703</v>
      </c>
      <c r="H190" s="282">
        <v>12027.569350878299</v>
      </c>
      <c r="I190" s="282">
        <v>8406.1697664169242</v>
      </c>
      <c r="J190" s="282">
        <v>844.26088270477874</v>
      </c>
      <c r="K190" s="281"/>
      <c r="L190" s="274">
        <f t="shared" si="2"/>
        <v>0</v>
      </c>
    </row>
  </sheetData>
  <mergeCells count="2">
    <mergeCell ref="A1:D1"/>
    <mergeCell ref="E1:K1"/>
  </mergeCells>
  <conditionalFormatting sqref="L3:L190">
    <cfRule type="cellIs" dxfId="139" priority="1" operator="greaterThan">
      <formula>0</formula>
    </cfRule>
  </conditionalFormatting>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064E21-5855-4EEF-95AE-07788B83A174}">
  <dimension ref="A3:K194"/>
  <sheetViews>
    <sheetView topLeftCell="D3" workbookViewId="0">
      <selection activeCell="J13" sqref="J13:K18"/>
    </sheetView>
  </sheetViews>
  <sheetFormatPr defaultRowHeight="15" x14ac:dyDescent="0.25"/>
  <cols>
    <col min="1" max="1" width="13.140625" bestFit="1" customWidth="1"/>
    <col min="2" max="2" width="29.28515625" bestFit="1" customWidth="1"/>
    <col min="3" max="3" width="15.5703125" bestFit="1" customWidth="1"/>
    <col min="10" max="10" width="13.140625" bestFit="1" customWidth="1"/>
    <col min="11" max="11" width="22.42578125" bestFit="1" customWidth="1"/>
  </cols>
  <sheetData>
    <row r="3" spans="1:11" x14ac:dyDescent="0.25">
      <c r="A3" s="147" t="s">
        <v>117</v>
      </c>
      <c r="B3" s="147" t="s">
        <v>70</v>
      </c>
      <c r="C3" t="s">
        <v>92</v>
      </c>
      <c r="E3" t="s">
        <v>117</v>
      </c>
      <c r="F3" t="s">
        <v>70</v>
      </c>
      <c r="G3" t="s">
        <v>92</v>
      </c>
      <c r="H3" t="s">
        <v>569</v>
      </c>
    </row>
    <row r="4" spans="1:11" x14ac:dyDescent="0.25">
      <c r="A4" s="77" t="s">
        <v>324</v>
      </c>
      <c r="B4" s="77" t="s">
        <v>323</v>
      </c>
      <c r="C4" s="201">
        <v>621782</v>
      </c>
      <c r="E4" t="s">
        <v>324</v>
      </c>
      <c r="F4" t="s">
        <v>323</v>
      </c>
      <c r="G4">
        <v>621782</v>
      </c>
      <c r="H4">
        <f>_xlfn.XLOOKUP(E4,Sheet1!L:L,Sheet1!O:O)</f>
        <v>4</v>
      </c>
      <c r="J4" s="147" t="s">
        <v>117</v>
      </c>
      <c r="K4" t="s">
        <v>570</v>
      </c>
    </row>
    <row r="5" spans="1:11" x14ac:dyDescent="0.25">
      <c r="A5" s="77" t="s">
        <v>326</v>
      </c>
      <c r="B5" s="77" t="s">
        <v>325</v>
      </c>
      <c r="C5" s="201">
        <v>612511.4</v>
      </c>
      <c r="E5" t="s">
        <v>326</v>
      </c>
      <c r="F5" t="s">
        <v>325</v>
      </c>
      <c r="G5">
        <v>612511.4</v>
      </c>
      <c r="H5">
        <f>_xlfn.XLOOKUP(E5,Sheet1!L:L,Sheet1!O:O)</f>
        <v>4</v>
      </c>
      <c r="J5" s="77">
        <v>1</v>
      </c>
      <c r="K5" s="148">
        <v>0</v>
      </c>
    </row>
    <row r="6" spans="1:11" x14ac:dyDescent="0.25">
      <c r="A6" s="77" t="s">
        <v>328</v>
      </c>
      <c r="B6" s="77" t="s">
        <v>327</v>
      </c>
      <c r="C6" s="201">
        <v>246757</v>
      </c>
      <c r="E6" t="s">
        <v>328</v>
      </c>
      <c r="F6" t="s">
        <v>327</v>
      </c>
      <c r="G6">
        <v>246757</v>
      </c>
      <c r="H6">
        <f>_xlfn.XLOOKUP(E6,Sheet1!L:L,Sheet1!O:O)</f>
        <v>4</v>
      </c>
      <c r="J6" s="77">
        <v>3</v>
      </c>
      <c r="K6" s="148">
        <v>10499466.088300001</v>
      </c>
    </row>
    <row r="7" spans="1:11" x14ac:dyDescent="0.25">
      <c r="A7" s="77" t="s">
        <v>330</v>
      </c>
      <c r="B7" s="77" t="s">
        <v>329</v>
      </c>
      <c r="C7" s="201">
        <v>312992.5</v>
      </c>
      <c r="E7" t="s">
        <v>330</v>
      </c>
      <c r="F7" t="s">
        <v>329</v>
      </c>
      <c r="G7">
        <v>312992.5</v>
      </c>
      <c r="H7">
        <f>_xlfn.XLOOKUP(E7,Sheet1!L:L,Sheet1!O:O)</f>
        <v>4</v>
      </c>
      <c r="J7" s="77">
        <v>4</v>
      </c>
      <c r="K7" s="148">
        <v>10693263.807</v>
      </c>
    </row>
    <row r="8" spans="1:11" x14ac:dyDescent="0.25">
      <c r="A8" s="77" t="s">
        <v>332</v>
      </c>
      <c r="B8" s="77" t="s">
        <v>331</v>
      </c>
      <c r="C8" s="201">
        <v>409487.75</v>
      </c>
      <c r="E8" t="s">
        <v>332</v>
      </c>
      <c r="F8" t="s">
        <v>331</v>
      </c>
      <c r="G8">
        <v>409487.75</v>
      </c>
      <c r="H8">
        <f>_xlfn.XLOOKUP(E8,Sheet1!L:L,Sheet1!O:O)</f>
        <v>5</v>
      </c>
      <c r="J8" s="77">
        <v>5</v>
      </c>
      <c r="K8" s="148">
        <v>3586579.1100000003</v>
      </c>
    </row>
    <row r="9" spans="1:11" x14ac:dyDescent="0.25">
      <c r="A9" s="77" t="s">
        <v>334</v>
      </c>
      <c r="B9" s="77" t="s">
        <v>333</v>
      </c>
      <c r="C9" s="201">
        <v>172006.95</v>
      </c>
      <c r="E9" t="s">
        <v>334</v>
      </c>
      <c r="F9" t="s">
        <v>333</v>
      </c>
      <c r="G9">
        <v>172006.95</v>
      </c>
      <c r="H9">
        <f>_xlfn.XLOOKUP(E9,Sheet1!L:L,Sheet1!O:O)</f>
        <v>5</v>
      </c>
      <c r="J9" s="77" t="s">
        <v>91</v>
      </c>
      <c r="K9" s="148">
        <v>24779309.0053</v>
      </c>
    </row>
    <row r="10" spans="1:11" x14ac:dyDescent="0.25">
      <c r="A10" s="77" t="s">
        <v>335</v>
      </c>
      <c r="B10" s="77" t="s">
        <v>164</v>
      </c>
      <c r="C10" s="201">
        <v>289706.2</v>
      </c>
      <c r="E10" t="s">
        <v>335</v>
      </c>
      <c r="F10" t="s">
        <v>164</v>
      </c>
      <c r="G10">
        <v>289706.2</v>
      </c>
      <c r="H10">
        <f>_xlfn.XLOOKUP(E10,Sheet1!L:L,Sheet1!O:O)</f>
        <v>5</v>
      </c>
    </row>
    <row r="11" spans="1:11" x14ac:dyDescent="0.25">
      <c r="A11" s="77" t="s">
        <v>195</v>
      </c>
      <c r="B11" s="77" t="s">
        <v>196</v>
      </c>
      <c r="C11" s="201">
        <v>110332</v>
      </c>
      <c r="E11" t="s">
        <v>195</v>
      </c>
      <c r="F11" t="s">
        <v>196</v>
      </c>
      <c r="G11">
        <v>110332</v>
      </c>
      <c r="H11">
        <f>_xlfn.XLOOKUP(E11,Sheet1!L:L,Sheet1!O:O)</f>
        <v>4</v>
      </c>
    </row>
    <row r="12" spans="1:11" x14ac:dyDescent="0.25">
      <c r="A12" s="77" t="s">
        <v>198</v>
      </c>
      <c r="B12" s="77" t="s">
        <v>199</v>
      </c>
      <c r="C12" s="201">
        <v>861786</v>
      </c>
      <c r="E12" t="s">
        <v>198</v>
      </c>
      <c r="F12" t="s">
        <v>199</v>
      </c>
      <c r="G12">
        <v>861786</v>
      </c>
      <c r="H12">
        <f>_xlfn.XLOOKUP(E12,Sheet1!L:L,Sheet1!O:O)</f>
        <v>4</v>
      </c>
    </row>
    <row r="13" spans="1:11" x14ac:dyDescent="0.25">
      <c r="A13" s="77" t="s">
        <v>200</v>
      </c>
      <c r="B13" s="77" t="s">
        <v>201</v>
      </c>
      <c r="C13" s="201">
        <v>12500</v>
      </c>
      <c r="E13" t="s">
        <v>200</v>
      </c>
      <c r="F13" t="s">
        <v>201</v>
      </c>
      <c r="G13">
        <v>12500</v>
      </c>
      <c r="H13">
        <f>_xlfn.XLOOKUP(E13,Sheet1!L:L,Sheet1!O:O)</f>
        <v>3</v>
      </c>
      <c r="J13" s="150" t="s">
        <v>571</v>
      </c>
      <c r="K13" s="150" t="s">
        <v>572</v>
      </c>
    </row>
    <row r="14" spans="1:11" x14ac:dyDescent="0.25">
      <c r="A14" s="77" t="s">
        <v>202</v>
      </c>
      <c r="B14" s="77" t="s">
        <v>203</v>
      </c>
      <c r="C14" s="201">
        <v>22062</v>
      </c>
      <c r="E14" t="s">
        <v>202</v>
      </c>
      <c r="F14" t="s">
        <v>203</v>
      </c>
      <c r="G14">
        <v>22062</v>
      </c>
      <c r="H14">
        <f>_xlfn.XLOOKUP(E14,Sheet1!L:L,Sheet1!O:O)</f>
        <v>3</v>
      </c>
      <c r="J14" s="73">
        <v>1</v>
      </c>
      <c r="K14" s="149">
        <v>0</v>
      </c>
    </row>
    <row r="15" spans="1:11" x14ac:dyDescent="0.25">
      <c r="A15" s="77" t="s">
        <v>204</v>
      </c>
      <c r="B15" s="77" t="s">
        <v>205</v>
      </c>
      <c r="C15" s="201">
        <v>33818</v>
      </c>
      <c r="E15" t="s">
        <v>204</v>
      </c>
      <c r="F15" t="s">
        <v>205</v>
      </c>
      <c r="G15">
        <v>33818</v>
      </c>
      <c r="H15">
        <f>_xlfn.XLOOKUP(E15,Sheet1!L:L,Sheet1!O:O)</f>
        <v>4</v>
      </c>
      <c r="J15" s="73">
        <v>3</v>
      </c>
      <c r="K15" s="149">
        <v>10499466.088300001</v>
      </c>
    </row>
    <row r="16" spans="1:11" x14ac:dyDescent="0.25">
      <c r="A16" s="77" t="s">
        <v>206</v>
      </c>
      <c r="B16" s="77" t="s">
        <v>207</v>
      </c>
      <c r="C16" s="201">
        <v>15857</v>
      </c>
      <c r="E16" t="s">
        <v>206</v>
      </c>
      <c r="F16" t="s">
        <v>207</v>
      </c>
      <c r="G16">
        <v>15857</v>
      </c>
      <c r="H16">
        <f>_xlfn.XLOOKUP(E16,Sheet1!L:L,Sheet1!O:O)</f>
        <v>3</v>
      </c>
      <c r="J16" s="73">
        <v>4</v>
      </c>
      <c r="K16" s="149">
        <v>10693263.807</v>
      </c>
    </row>
    <row r="17" spans="1:11" x14ac:dyDescent="0.25">
      <c r="A17" s="77" t="s">
        <v>208</v>
      </c>
      <c r="B17" s="77" t="s">
        <v>209</v>
      </c>
      <c r="C17" s="201">
        <v>41937</v>
      </c>
      <c r="E17" t="s">
        <v>208</v>
      </c>
      <c r="F17" t="s">
        <v>209</v>
      </c>
      <c r="G17">
        <v>41937</v>
      </c>
      <c r="H17">
        <f>_xlfn.XLOOKUP(E17,Sheet1!L:L,Sheet1!O:O)</f>
        <v>3</v>
      </c>
      <c r="J17" s="73">
        <v>5</v>
      </c>
      <c r="K17" s="149">
        <v>3586579.1100000003</v>
      </c>
    </row>
    <row r="18" spans="1:11" x14ac:dyDescent="0.25">
      <c r="A18" s="77" t="s">
        <v>210</v>
      </c>
      <c r="B18" s="77" t="s">
        <v>211</v>
      </c>
      <c r="C18" s="201">
        <v>177091</v>
      </c>
      <c r="E18" t="s">
        <v>210</v>
      </c>
      <c r="F18" t="s">
        <v>211</v>
      </c>
      <c r="G18">
        <v>177091</v>
      </c>
      <c r="H18">
        <f>_xlfn.XLOOKUP(E18,Sheet1!L:L,Sheet1!O:O)</f>
        <v>5</v>
      </c>
      <c r="J18" s="73" t="s">
        <v>91</v>
      </c>
      <c r="K18" s="149">
        <v>24779309.0053</v>
      </c>
    </row>
    <row r="19" spans="1:11" x14ac:dyDescent="0.25">
      <c r="A19" s="77" t="s">
        <v>212</v>
      </c>
      <c r="B19" s="77" t="s">
        <v>213</v>
      </c>
      <c r="C19" s="201">
        <v>28243</v>
      </c>
      <c r="E19" t="s">
        <v>212</v>
      </c>
      <c r="F19" t="s">
        <v>213</v>
      </c>
      <c r="G19">
        <v>28243</v>
      </c>
      <c r="H19">
        <f>_xlfn.XLOOKUP(E19,Sheet1!L:L,Sheet1!O:O)</f>
        <v>3</v>
      </c>
    </row>
    <row r="20" spans="1:11" x14ac:dyDescent="0.25">
      <c r="A20" s="77" t="s">
        <v>214</v>
      </c>
      <c r="B20" s="77" t="s">
        <v>215</v>
      </c>
      <c r="C20" s="201">
        <v>184693.8</v>
      </c>
      <c r="E20" t="s">
        <v>214</v>
      </c>
      <c r="F20" t="s">
        <v>215</v>
      </c>
      <c r="G20">
        <v>184693.8</v>
      </c>
      <c r="H20">
        <f>_xlfn.XLOOKUP(E20,Sheet1!L:L,Sheet1!O:O)</f>
        <v>5</v>
      </c>
    </row>
    <row r="21" spans="1:11" x14ac:dyDescent="0.25">
      <c r="A21" s="77" t="s">
        <v>216</v>
      </c>
      <c r="B21" s="77" t="s">
        <v>217</v>
      </c>
      <c r="C21" s="201">
        <v>79239</v>
      </c>
      <c r="E21" t="s">
        <v>216</v>
      </c>
      <c r="F21" t="s">
        <v>217</v>
      </c>
      <c r="G21">
        <v>79239</v>
      </c>
      <c r="H21">
        <f>_xlfn.XLOOKUP(E21,Sheet1!L:L,Sheet1!O:O)</f>
        <v>4</v>
      </c>
    </row>
    <row r="22" spans="1:11" x14ac:dyDescent="0.25">
      <c r="A22" s="77" t="s">
        <v>218</v>
      </c>
      <c r="B22" s="77" t="s">
        <v>219</v>
      </c>
      <c r="C22" s="201">
        <v>157288</v>
      </c>
      <c r="E22" t="s">
        <v>218</v>
      </c>
      <c r="F22" t="s">
        <v>219</v>
      </c>
      <c r="G22">
        <v>157288</v>
      </c>
      <c r="H22">
        <f>_xlfn.XLOOKUP(E22,Sheet1!L:L,Sheet1!O:O)</f>
        <v>4</v>
      </c>
    </row>
    <row r="23" spans="1:11" x14ac:dyDescent="0.25">
      <c r="A23" s="77" t="s">
        <v>220</v>
      </c>
      <c r="B23" s="77" t="s">
        <v>221</v>
      </c>
      <c r="C23" s="201">
        <v>44665</v>
      </c>
      <c r="E23" t="s">
        <v>220</v>
      </c>
      <c r="F23" t="s">
        <v>221</v>
      </c>
      <c r="G23">
        <v>44665</v>
      </c>
      <c r="H23">
        <f>_xlfn.XLOOKUP(E23,Sheet1!L:L,Sheet1!O:O)</f>
        <v>3</v>
      </c>
    </row>
    <row r="24" spans="1:11" x14ac:dyDescent="0.25">
      <c r="A24" s="77" t="s">
        <v>222</v>
      </c>
      <c r="B24" s="77" t="s">
        <v>223</v>
      </c>
      <c r="C24" s="201">
        <v>43782</v>
      </c>
      <c r="E24" t="s">
        <v>222</v>
      </c>
      <c r="F24" t="s">
        <v>223</v>
      </c>
      <c r="G24">
        <v>43782</v>
      </c>
      <c r="H24">
        <f>_xlfn.XLOOKUP(E24,Sheet1!L:L,Sheet1!O:O)</f>
        <v>3</v>
      </c>
    </row>
    <row r="25" spans="1:11" x14ac:dyDescent="0.25">
      <c r="A25" s="77" t="s">
        <v>224</v>
      </c>
      <c r="B25" s="77" t="s">
        <v>225</v>
      </c>
      <c r="C25" s="201">
        <v>76612</v>
      </c>
      <c r="E25" t="s">
        <v>224</v>
      </c>
      <c r="F25" t="s">
        <v>225</v>
      </c>
      <c r="G25">
        <v>76612</v>
      </c>
      <c r="H25">
        <f>_xlfn.XLOOKUP(E25,Sheet1!L:L,Sheet1!O:O)</f>
        <v>3</v>
      </c>
    </row>
    <row r="26" spans="1:11" x14ac:dyDescent="0.25">
      <c r="A26" s="77" t="s">
        <v>226</v>
      </c>
      <c r="B26" s="77" t="s">
        <v>227</v>
      </c>
      <c r="C26" s="201">
        <v>140819</v>
      </c>
      <c r="E26" t="s">
        <v>226</v>
      </c>
      <c r="F26" t="s">
        <v>227</v>
      </c>
      <c r="G26">
        <v>140819</v>
      </c>
      <c r="H26">
        <f>_xlfn.XLOOKUP(E26,Sheet1!L:L,Sheet1!O:O)</f>
        <v>5</v>
      </c>
    </row>
    <row r="27" spans="1:11" x14ac:dyDescent="0.25">
      <c r="A27" s="77" t="s">
        <v>228</v>
      </c>
      <c r="B27" s="77" t="s">
        <v>229</v>
      </c>
      <c r="C27" s="201">
        <v>19634</v>
      </c>
      <c r="E27" t="s">
        <v>228</v>
      </c>
      <c r="F27" t="s">
        <v>229</v>
      </c>
      <c r="G27">
        <v>19634</v>
      </c>
      <c r="H27">
        <f>_xlfn.XLOOKUP(E27,Sheet1!L:L,Sheet1!O:O)</f>
        <v>4</v>
      </c>
    </row>
    <row r="28" spans="1:11" x14ac:dyDescent="0.25">
      <c r="A28" s="77" t="s">
        <v>232</v>
      </c>
      <c r="B28" s="77" t="s">
        <v>233</v>
      </c>
      <c r="C28" s="201">
        <v>115305</v>
      </c>
      <c r="E28" t="s">
        <v>232</v>
      </c>
      <c r="F28" t="s">
        <v>233</v>
      </c>
      <c r="G28">
        <v>115305</v>
      </c>
      <c r="H28">
        <f>_xlfn.XLOOKUP(E28,Sheet1!L:L,Sheet1!O:O)</f>
        <v>3</v>
      </c>
    </row>
    <row r="29" spans="1:11" x14ac:dyDescent="0.25">
      <c r="A29" s="77" t="s">
        <v>234</v>
      </c>
      <c r="B29" s="77" t="s">
        <v>235</v>
      </c>
      <c r="C29" s="201">
        <v>93455</v>
      </c>
      <c r="E29" t="s">
        <v>234</v>
      </c>
      <c r="F29" t="s">
        <v>235</v>
      </c>
      <c r="G29">
        <v>93455</v>
      </c>
      <c r="H29">
        <f>_xlfn.XLOOKUP(E29,Sheet1!L:L,Sheet1!O:O)</f>
        <v>3</v>
      </c>
    </row>
    <row r="30" spans="1:11" x14ac:dyDescent="0.25">
      <c r="A30" s="77" t="s">
        <v>236</v>
      </c>
      <c r="B30" s="77" t="s">
        <v>237</v>
      </c>
      <c r="C30" s="201">
        <v>252194</v>
      </c>
      <c r="E30" t="s">
        <v>236</v>
      </c>
      <c r="F30" t="s">
        <v>237</v>
      </c>
      <c r="G30">
        <v>252194</v>
      </c>
      <c r="H30">
        <f>_xlfn.XLOOKUP(E30,Sheet1!L:L,Sheet1!O:O)</f>
        <v>4</v>
      </c>
    </row>
    <row r="31" spans="1:11" x14ac:dyDescent="0.25">
      <c r="A31" s="77" t="s">
        <v>238</v>
      </c>
      <c r="B31" s="77" t="s">
        <v>239</v>
      </c>
      <c r="C31" s="201">
        <v>102793</v>
      </c>
      <c r="E31" t="s">
        <v>238</v>
      </c>
      <c r="F31" t="s">
        <v>239</v>
      </c>
      <c r="G31">
        <v>102793</v>
      </c>
      <c r="H31">
        <f>_xlfn.XLOOKUP(E31,Sheet1!L:L,Sheet1!O:O)</f>
        <v>4</v>
      </c>
    </row>
    <row r="32" spans="1:11" x14ac:dyDescent="0.25">
      <c r="A32" s="77" t="s">
        <v>240</v>
      </c>
      <c r="B32" s="77" t="s">
        <v>241</v>
      </c>
      <c r="C32" s="201">
        <v>39806</v>
      </c>
      <c r="E32" t="s">
        <v>240</v>
      </c>
      <c r="F32" t="s">
        <v>241</v>
      </c>
      <c r="G32">
        <v>39806</v>
      </c>
      <c r="H32">
        <f>_xlfn.XLOOKUP(E32,Sheet1!L:L,Sheet1!O:O)</f>
        <v>3</v>
      </c>
    </row>
    <row r="33" spans="1:8" x14ac:dyDescent="0.25">
      <c r="A33" s="77" t="s">
        <v>242</v>
      </c>
      <c r="B33" s="77" t="s">
        <v>243</v>
      </c>
      <c r="C33" s="201">
        <v>12235.8</v>
      </c>
      <c r="E33" t="s">
        <v>242</v>
      </c>
      <c r="F33" t="s">
        <v>243</v>
      </c>
      <c r="G33">
        <v>12235.8</v>
      </c>
      <c r="H33">
        <f>_xlfn.XLOOKUP(E33,Sheet1!L:L,Sheet1!O:O)</f>
        <v>4</v>
      </c>
    </row>
    <row r="34" spans="1:8" x14ac:dyDescent="0.25">
      <c r="A34" s="77" t="s">
        <v>244</v>
      </c>
      <c r="B34" s="77" t="s">
        <v>245</v>
      </c>
      <c r="C34" s="201">
        <v>83946</v>
      </c>
      <c r="E34" t="s">
        <v>244</v>
      </c>
      <c r="F34" t="s">
        <v>245</v>
      </c>
      <c r="G34">
        <v>83946</v>
      </c>
      <c r="H34">
        <f>_xlfn.XLOOKUP(E34,Sheet1!L:L,Sheet1!O:O)</f>
        <v>3</v>
      </c>
    </row>
    <row r="35" spans="1:8" x14ac:dyDescent="0.25">
      <c r="A35" s="77" t="s">
        <v>246</v>
      </c>
      <c r="B35" s="77" t="s">
        <v>247</v>
      </c>
      <c r="C35" s="201">
        <v>36990</v>
      </c>
      <c r="E35" t="s">
        <v>246</v>
      </c>
      <c r="F35" t="s">
        <v>247</v>
      </c>
      <c r="G35">
        <v>36990</v>
      </c>
      <c r="H35">
        <f>_xlfn.XLOOKUP(E35,Sheet1!L:L,Sheet1!O:O)</f>
        <v>4</v>
      </c>
    </row>
    <row r="36" spans="1:8" x14ac:dyDescent="0.25">
      <c r="A36" s="77" t="s">
        <v>248</v>
      </c>
      <c r="B36" s="77" t="s">
        <v>249</v>
      </c>
      <c r="C36" s="201">
        <v>81262</v>
      </c>
      <c r="E36" t="s">
        <v>248</v>
      </c>
      <c r="F36" t="s">
        <v>249</v>
      </c>
      <c r="G36">
        <v>81262</v>
      </c>
      <c r="H36">
        <f>_xlfn.XLOOKUP(E36,Sheet1!L:L,Sheet1!O:O)</f>
        <v>4</v>
      </c>
    </row>
    <row r="37" spans="1:8" x14ac:dyDescent="0.25">
      <c r="A37" s="77" t="s">
        <v>250</v>
      </c>
      <c r="B37" s="77" t="s">
        <v>251</v>
      </c>
      <c r="C37" s="201">
        <v>216584</v>
      </c>
      <c r="E37" t="s">
        <v>250</v>
      </c>
      <c r="F37" t="s">
        <v>251</v>
      </c>
      <c r="G37">
        <v>216584</v>
      </c>
      <c r="H37">
        <f>_xlfn.XLOOKUP(E37,Sheet1!L:L,Sheet1!O:O)</f>
        <v>4</v>
      </c>
    </row>
    <row r="38" spans="1:8" x14ac:dyDescent="0.25">
      <c r="A38" s="77" t="s">
        <v>252</v>
      </c>
      <c r="B38" s="77" t="s">
        <v>253</v>
      </c>
      <c r="C38" s="201">
        <v>26785</v>
      </c>
      <c r="E38" t="s">
        <v>252</v>
      </c>
      <c r="F38" t="s">
        <v>253</v>
      </c>
      <c r="G38">
        <v>26785</v>
      </c>
      <c r="H38">
        <f>_xlfn.XLOOKUP(E38,Sheet1!L:L,Sheet1!O:O)</f>
        <v>3</v>
      </c>
    </row>
    <row r="39" spans="1:8" x14ac:dyDescent="0.25">
      <c r="A39" s="77" t="s">
        <v>254</v>
      </c>
      <c r="B39" s="77" t="s">
        <v>255</v>
      </c>
      <c r="C39" s="201">
        <v>81594</v>
      </c>
      <c r="E39" t="s">
        <v>254</v>
      </c>
      <c r="F39" t="s">
        <v>255</v>
      </c>
      <c r="G39">
        <v>81594</v>
      </c>
      <c r="H39">
        <f>_xlfn.XLOOKUP(E39,Sheet1!L:L,Sheet1!O:O)</f>
        <v>3</v>
      </c>
    </row>
    <row r="40" spans="1:8" x14ac:dyDescent="0.25">
      <c r="A40" s="77" t="s">
        <v>256</v>
      </c>
      <c r="B40" s="77" t="s">
        <v>257</v>
      </c>
      <c r="C40" s="201">
        <v>72920</v>
      </c>
      <c r="E40" t="s">
        <v>256</v>
      </c>
      <c r="F40" t="s">
        <v>257</v>
      </c>
      <c r="G40">
        <v>72920</v>
      </c>
      <c r="H40">
        <f>_xlfn.XLOOKUP(E40,Sheet1!L:L,Sheet1!O:O)</f>
        <v>5</v>
      </c>
    </row>
    <row r="41" spans="1:8" x14ac:dyDescent="0.25">
      <c r="A41" s="77" t="s">
        <v>258</v>
      </c>
      <c r="B41" s="77" t="s">
        <v>259</v>
      </c>
      <c r="C41" s="201">
        <v>109010</v>
      </c>
      <c r="E41" t="s">
        <v>258</v>
      </c>
      <c r="F41" t="s">
        <v>259</v>
      </c>
      <c r="G41">
        <v>109010</v>
      </c>
      <c r="H41">
        <f>_xlfn.XLOOKUP(E41,Sheet1!L:L,Sheet1!O:O)</f>
        <v>4</v>
      </c>
    </row>
    <row r="42" spans="1:8" x14ac:dyDescent="0.25">
      <c r="A42" s="77" t="s">
        <v>260</v>
      </c>
      <c r="B42" s="77" t="s">
        <v>261</v>
      </c>
      <c r="C42" s="201">
        <v>66555</v>
      </c>
      <c r="E42" t="s">
        <v>260</v>
      </c>
      <c r="F42" t="s">
        <v>261</v>
      </c>
      <c r="G42">
        <v>66555</v>
      </c>
      <c r="H42">
        <f>_xlfn.XLOOKUP(E42,Sheet1!L:L,Sheet1!O:O)</f>
        <v>4</v>
      </c>
    </row>
    <row r="43" spans="1:8" x14ac:dyDescent="0.25">
      <c r="A43" s="77" t="s">
        <v>262</v>
      </c>
      <c r="B43" s="77" t="s">
        <v>263</v>
      </c>
      <c r="C43" s="201">
        <v>132477</v>
      </c>
      <c r="E43" t="s">
        <v>262</v>
      </c>
      <c r="F43" t="s">
        <v>263</v>
      </c>
      <c r="G43">
        <v>132477</v>
      </c>
      <c r="H43">
        <f>_xlfn.XLOOKUP(E43,Sheet1!L:L,Sheet1!O:O)</f>
        <v>4</v>
      </c>
    </row>
    <row r="44" spans="1:8" x14ac:dyDescent="0.25">
      <c r="A44" s="77" t="s">
        <v>264</v>
      </c>
      <c r="B44" s="77" t="s">
        <v>265</v>
      </c>
      <c r="C44" s="201">
        <v>575818.81999999995</v>
      </c>
      <c r="E44" t="s">
        <v>264</v>
      </c>
      <c r="F44" t="s">
        <v>265</v>
      </c>
      <c r="G44">
        <v>575818.81999999995</v>
      </c>
      <c r="H44">
        <f>_xlfn.XLOOKUP(E44,Sheet1!L:L,Sheet1!O:O)</f>
        <v>4</v>
      </c>
    </row>
    <row r="45" spans="1:8" x14ac:dyDescent="0.25">
      <c r="A45" s="77" t="s">
        <v>266</v>
      </c>
      <c r="B45" s="77" t="s">
        <v>267</v>
      </c>
      <c r="C45" s="201">
        <v>607594</v>
      </c>
      <c r="E45" t="s">
        <v>266</v>
      </c>
      <c r="F45" t="s">
        <v>267</v>
      </c>
      <c r="G45">
        <v>607594</v>
      </c>
      <c r="H45">
        <f>_xlfn.XLOOKUP(E45,Sheet1!L:L,Sheet1!O:O)</f>
        <v>5</v>
      </c>
    </row>
    <row r="46" spans="1:8" x14ac:dyDescent="0.25">
      <c r="A46" s="77" t="s">
        <v>268</v>
      </c>
      <c r="B46" s="77" t="s">
        <v>269</v>
      </c>
      <c r="C46" s="201">
        <v>65008</v>
      </c>
      <c r="E46" t="s">
        <v>268</v>
      </c>
      <c r="F46" t="s">
        <v>269</v>
      </c>
      <c r="G46">
        <v>65008</v>
      </c>
      <c r="H46">
        <f>_xlfn.XLOOKUP(E46,Sheet1!L:L,Sheet1!O:O)</f>
        <v>4</v>
      </c>
    </row>
    <row r="47" spans="1:8" x14ac:dyDescent="0.25">
      <c r="A47" s="77" t="s">
        <v>270</v>
      </c>
      <c r="B47" s="77" t="s">
        <v>271</v>
      </c>
      <c r="C47" s="201">
        <v>314896.53000000003</v>
      </c>
      <c r="E47" t="s">
        <v>270</v>
      </c>
      <c r="F47" t="s">
        <v>271</v>
      </c>
      <c r="G47">
        <v>314896.53000000003</v>
      </c>
      <c r="H47">
        <f>_xlfn.XLOOKUP(E47,Sheet1!L:L,Sheet1!O:O)</f>
        <v>5</v>
      </c>
    </row>
    <row r="48" spans="1:8" x14ac:dyDescent="0.25">
      <c r="A48" s="77" t="s">
        <v>272</v>
      </c>
      <c r="B48" s="77" t="s">
        <v>273</v>
      </c>
      <c r="C48" s="201">
        <v>68121</v>
      </c>
      <c r="E48" t="s">
        <v>272</v>
      </c>
      <c r="F48" t="s">
        <v>273</v>
      </c>
      <c r="G48">
        <v>68121</v>
      </c>
      <c r="H48">
        <f>_xlfn.XLOOKUP(E48,Sheet1!L:L,Sheet1!O:O)</f>
        <v>3</v>
      </c>
    </row>
    <row r="49" spans="1:8" x14ac:dyDescent="0.25">
      <c r="A49" s="77" t="s">
        <v>274</v>
      </c>
      <c r="B49" s="77" t="s">
        <v>275</v>
      </c>
      <c r="C49" s="201">
        <v>126055</v>
      </c>
      <c r="E49" t="s">
        <v>274</v>
      </c>
      <c r="F49" t="s">
        <v>275</v>
      </c>
      <c r="G49">
        <v>126055</v>
      </c>
      <c r="H49">
        <f>_xlfn.XLOOKUP(E49,Sheet1!L:L,Sheet1!O:O)</f>
        <v>4</v>
      </c>
    </row>
    <row r="50" spans="1:8" x14ac:dyDescent="0.25">
      <c r="A50" s="77" t="s">
        <v>276</v>
      </c>
      <c r="B50" s="77" t="s">
        <v>277</v>
      </c>
      <c r="C50" s="201">
        <v>354233.63699999999</v>
      </c>
      <c r="E50" t="s">
        <v>276</v>
      </c>
      <c r="F50" t="s">
        <v>277</v>
      </c>
      <c r="G50">
        <v>354233.63699999999</v>
      </c>
      <c r="H50">
        <f>_xlfn.XLOOKUP(E50,Sheet1!L:L,Sheet1!O:O)</f>
        <v>4</v>
      </c>
    </row>
    <row r="51" spans="1:8" x14ac:dyDescent="0.25">
      <c r="A51" s="77" t="s">
        <v>278</v>
      </c>
      <c r="B51" s="77" t="s">
        <v>279</v>
      </c>
      <c r="C51" s="201">
        <v>65099</v>
      </c>
      <c r="E51" t="s">
        <v>278</v>
      </c>
      <c r="F51" t="s">
        <v>279</v>
      </c>
      <c r="G51">
        <v>65099</v>
      </c>
      <c r="H51">
        <f>_xlfn.XLOOKUP(E51,Sheet1!L:L,Sheet1!O:O)</f>
        <v>5</v>
      </c>
    </row>
    <row r="52" spans="1:8" x14ac:dyDescent="0.25">
      <c r="A52" s="77" t="s">
        <v>280</v>
      </c>
      <c r="B52" s="77" t="s">
        <v>281</v>
      </c>
      <c r="C52" s="201">
        <v>114439</v>
      </c>
      <c r="E52" t="s">
        <v>280</v>
      </c>
      <c r="F52" t="s">
        <v>281</v>
      </c>
      <c r="G52">
        <v>114439</v>
      </c>
      <c r="H52">
        <f>_xlfn.XLOOKUP(E52,Sheet1!L:L,Sheet1!O:O)</f>
        <v>4</v>
      </c>
    </row>
    <row r="53" spans="1:8" x14ac:dyDescent="0.25">
      <c r="A53" s="77" t="s">
        <v>282</v>
      </c>
      <c r="B53" s="77" t="s">
        <v>283</v>
      </c>
      <c r="C53" s="201">
        <v>92933</v>
      </c>
      <c r="E53" t="s">
        <v>282</v>
      </c>
      <c r="F53" t="s">
        <v>283</v>
      </c>
      <c r="G53">
        <v>92933</v>
      </c>
      <c r="H53">
        <f>_xlfn.XLOOKUP(E53,Sheet1!L:L,Sheet1!O:O)</f>
        <v>4</v>
      </c>
    </row>
    <row r="54" spans="1:8" x14ac:dyDescent="0.25">
      <c r="A54" s="77" t="s">
        <v>284</v>
      </c>
      <c r="B54" s="77" t="s">
        <v>285</v>
      </c>
      <c r="C54" s="201">
        <v>202783.8</v>
      </c>
      <c r="E54" t="s">
        <v>284</v>
      </c>
      <c r="F54" t="s">
        <v>285</v>
      </c>
      <c r="G54">
        <v>202783.8</v>
      </c>
      <c r="H54">
        <f>_xlfn.XLOOKUP(E54,Sheet1!L:L,Sheet1!O:O)</f>
        <v>4</v>
      </c>
    </row>
    <row r="55" spans="1:8" x14ac:dyDescent="0.25">
      <c r="A55" s="77" t="s">
        <v>286</v>
      </c>
      <c r="B55" s="77" t="s">
        <v>287</v>
      </c>
      <c r="C55" s="201">
        <v>67414.95</v>
      </c>
      <c r="E55" t="s">
        <v>286</v>
      </c>
      <c r="F55" t="s">
        <v>287</v>
      </c>
      <c r="G55">
        <v>67414.95</v>
      </c>
      <c r="H55">
        <f>_xlfn.XLOOKUP(E55,Sheet1!L:L,Sheet1!O:O)</f>
        <v>4</v>
      </c>
    </row>
    <row r="56" spans="1:8" x14ac:dyDescent="0.25">
      <c r="A56" s="77" t="s">
        <v>288</v>
      </c>
      <c r="B56" s="77" t="s">
        <v>289</v>
      </c>
      <c r="C56" s="201">
        <v>77060</v>
      </c>
      <c r="E56" t="s">
        <v>288</v>
      </c>
      <c r="F56" t="s">
        <v>289</v>
      </c>
      <c r="G56">
        <v>77060</v>
      </c>
      <c r="H56">
        <f>_xlfn.XLOOKUP(E56,Sheet1!L:L,Sheet1!O:O)</f>
        <v>4</v>
      </c>
    </row>
    <row r="57" spans="1:8" x14ac:dyDescent="0.25">
      <c r="A57" s="77" t="s">
        <v>168</v>
      </c>
      <c r="B57" s="77" t="s">
        <v>169</v>
      </c>
      <c r="C57" s="201">
        <v>116402</v>
      </c>
      <c r="E57" t="s">
        <v>168</v>
      </c>
      <c r="F57" t="s">
        <v>169</v>
      </c>
      <c r="G57">
        <v>116402</v>
      </c>
      <c r="H57">
        <f>_xlfn.XLOOKUP(E57,Sheet1!L:L,Sheet1!O:O)</f>
        <v>4</v>
      </c>
    </row>
    <row r="58" spans="1:8" x14ac:dyDescent="0.25">
      <c r="A58" s="77" t="s">
        <v>171</v>
      </c>
      <c r="B58" s="77" t="s">
        <v>172</v>
      </c>
      <c r="C58" s="201">
        <v>102846</v>
      </c>
      <c r="E58" t="s">
        <v>171</v>
      </c>
      <c r="F58" t="s">
        <v>172</v>
      </c>
      <c r="G58">
        <v>102846</v>
      </c>
      <c r="H58">
        <f>_xlfn.XLOOKUP(E58,Sheet1!L:L,Sheet1!O:O)</f>
        <v>3</v>
      </c>
    </row>
    <row r="59" spans="1:8" x14ac:dyDescent="0.25">
      <c r="A59" s="77" t="s">
        <v>174</v>
      </c>
      <c r="B59" s="77" t="s">
        <v>175</v>
      </c>
      <c r="C59" s="201">
        <v>244018</v>
      </c>
      <c r="E59" t="s">
        <v>174</v>
      </c>
      <c r="F59" t="s">
        <v>175</v>
      </c>
      <c r="G59">
        <v>244018</v>
      </c>
      <c r="H59">
        <f>_xlfn.XLOOKUP(E59,Sheet1!L:L,Sheet1!O:O)</f>
        <v>4</v>
      </c>
    </row>
    <row r="60" spans="1:8" x14ac:dyDescent="0.25">
      <c r="A60" s="77" t="s">
        <v>177</v>
      </c>
      <c r="B60" s="77" t="s">
        <v>178</v>
      </c>
      <c r="C60" s="201">
        <v>121268</v>
      </c>
      <c r="E60" t="s">
        <v>177</v>
      </c>
      <c r="F60" t="s">
        <v>178</v>
      </c>
      <c r="G60">
        <v>121268</v>
      </c>
      <c r="H60">
        <f>_xlfn.XLOOKUP(E60,Sheet1!L:L,Sheet1!O:O)</f>
        <v>4</v>
      </c>
    </row>
    <row r="61" spans="1:8" x14ac:dyDescent="0.25">
      <c r="A61" s="77" t="s">
        <v>180</v>
      </c>
      <c r="B61" s="77" t="s">
        <v>181</v>
      </c>
      <c r="C61" s="201">
        <v>106752</v>
      </c>
      <c r="E61" t="s">
        <v>180</v>
      </c>
      <c r="F61" t="s">
        <v>181</v>
      </c>
      <c r="G61">
        <v>106752</v>
      </c>
      <c r="H61">
        <f>_xlfn.XLOOKUP(E61,Sheet1!L:L,Sheet1!O:O)</f>
        <v>4</v>
      </c>
    </row>
    <row r="62" spans="1:8" x14ac:dyDescent="0.25">
      <c r="A62" s="77" t="s">
        <v>183</v>
      </c>
      <c r="B62" s="77" t="s">
        <v>184</v>
      </c>
      <c r="C62" s="201">
        <v>113270</v>
      </c>
      <c r="E62" t="s">
        <v>183</v>
      </c>
      <c r="F62" t="s">
        <v>184</v>
      </c>
      <c r="G62">
        <v>113270</v>
      </c>
      <c r="H62">
        <f>_xlfn.XLOOKUP(E62,Sheet1!L:L,Sheet1!O:O)</f>
        <v>3</v>
      </c>
    </row>
    <row r="63" spans="1:8" x14ac:dyDescent="0.25">
      <c r="A63" s="77" t="s">
        <v>186</v>
      </c>
      <c r="B63" s="77" t="s">
        <v>187</v>
      </c>
      <c r="C63" s="201">
        <v>189966</v>
      </c>
      <c r="E63" t="s">
        <v>186</v>
      </c>
      <c r="F63" t="s">
        <v>187</v>
      </c>
      <c r="G63">
        <v>189966</v>
      </c>
      <c r="H63">
        <f>_xlfn.XLOOKUP(E63,Sheet1!L:L,Sheet1!O:O)</f>
        <v>4</v>
      </c>
    </row>
    <row r="64" spans="1:8" x14ac:dyDescent="0.25">
      <c r="A64" s="77" t="s">
        <v>189</v>
      </c>
      <c r="B64" s="77" t="s">
        <v>190</v>
      </c>
      <c r="C64" s="201">
        <v>86002</v>
      </c>
      <c r="E64" t="s">
        <v>189</v>
      </c>
      <c r="F64" t="s">
        <v>190</v>
      </c>
      <c r="G64">
        <v>86002</v>
      </c>
      <c r="H64">
        <f>_xlfn.XLOOKUP(E64,Sheet1!L:L,Sheet1!O:O)</f>
        <v>4</v>
      </c>
    </row>
    <row r="65" spans="1:8" x14ac:dyDescent="0.25">
      <c r="A65" s="77" t="s">
        <v>192</v>
      </c>
      <c r="B65" s="77" t="s">
        <v>193</v>
      </c>
      <c r="C65" s="201">
        <v>108900.9</v>
      </c>
      <c r="E65" t="s">
        <v>192</v>
      </c>
      <c r="F65" t="s">
        <v>193</v>
      </c>
      <c r="G65">
        <v>108900.9</v>
      </c>
      <c r="H65">
        <f>_xlfn.XLOOKUP(E65,Sheet1!L:L,Sheet1!O:O)</f>
        <v>4</v>
      </c>
    </row>
    <row r="66" spans="1:8" x14ac:dyDescent="0.25">
      <c r="A66" s="77" t="s">
        <v>142</v>
      </c>
      <c r="B66" s="77" t="s">
        <v>143</v>
      </c>
      <c r="C66" s="201">
        <v>149402</v>
      </c>
      <c r="E66" t="s">
        <v>142</v>
      </c>
      <c r="F66" t="s">
        <v>143</v>
      </c>
      <c r="G66">
        <v>149402</v>
      </c>
      <c r="H66">
        <f>_xlfn.XLOOKUP(E66,Sheet1!L:L,Sheet1!O:O)</f>
        <v>4</v>
      </c>
    </row>
    <row r="67" spans="1:8" x14ac:dyDescent="0.25">
      <c r="A67" s="77" t="s">
        <v>145</v>
      </c>
      <c r="B67" s="77" t="s">
        <v>146</v>
      </c>
      <c r="C67" s="201">
        <v>74989.5</v>
      </c>
      <c r="E67" t="s">
        <v>145</v>
      </c>
      <c r="F67" t="s">
        <v>146</v>
      </c>
      <c r="G67">
        <v>74989.5</v>
      </c>
      <c r="H67">
        <f>_xlfn.XLOOKUP(E67,Sheet1!L:L,Sheet1!O:O)</f>
        <v>4</v>
      </c>
    </row>
    <row r="68" spans="1:8" x14ac:dyDescent="0.25">
      <c r="A68" s="77" t="s">
        <v>148</v>
      </c>
      <c r="B68" s="77" t="s">
        <v>149</v>
      </c>
      <c r="C68" s="201">
        <v>99844</v>
      </c>
      <c r="E68" t="s">
        <v>148</v>
      </c>
      <c r="F68" t="s">
        <v>149</v>
      </c>
      <c r="G68">
        <v>99844</v>
      </c>
      <c r="H68">
        <f>_xlfn.XLOOKUP(E68,Sheet1!L:L,Sheet1!O:O)</f>
        <v>4</v>
      </c>
    </row>
    <row r="69" spans="1:8" x14ac:dyDescent="0.25">
      <c r="A69" s="77" t="s">
        <v>151</v>
      </c>
      <c r="B69" s="77" t="s">
        <v>152</v>
      </c>
      <c r="C69" s="201">
        <v>172054</v>
      </c>
      <c r="E69" t="s">
        <v>151</v>
      </c>
      <c r="F69" t="s">
        <v>152</v>
      </c>
      <c r="G69">
        <v>172054</v>
      </c>
      <c r="H69">
        <f>_xlfn.XLOOKUP(E69,Sheet1!L:L,Sheet1!O:O)</f>
        <v>4</v>
      </c>
    </row>
    <row r="70" spans="1:8" x14ac:dyDescent="0.25">
      <c r="A70" s="77" t="s">
        <v>153</v>
      </c>
      <c r="B70" s="77" t="s">
        <v>154</v>
      </c>
      <c r="C70" s="201">
        <v>229943</v>
      </c>
      <c r="E70" t="s">
        <v>153</v>
      </c>
      <c r="F70" t="s">
        <v>154</v>
      </c>
      <c r="G70">
        <v>229943</v>
      </c>
      <c r="H70">
        <f>_xlfn.XLOOKUP(E70,Sheet1!L:L,Sheet1!O:O)</f>
        <v>4</v>
      </c>
    </row>
    <row r="71" spans="1:8" x14ac:dyDescent="0.25">
      <c r="A71" s="77" t="s">
        <v>156</v>
      </c>
      <c r="B71" s="77" t="s">
        <v>157</v>
      </c>
      <c r="C71" s="201">
        <v>120296</v>
      </c>
      <c r="E71" t="s">
        <v>156</v>
      </c>
      <c r="F71" t="s">
        <v>157</v>
      </c>
      <c r="G71">
        <v>120296</v>
      </c>
      <c r="H71">
        <f>_xlfn.XLOOKUP(E71,Sheet1!L:L,Sheet1!O:O)</f>
        <v>4</v>
      </c>
    </row>
    <row r="72" spans="1:8" x14ac:dyDescent="0.25">
      <c r="A72" s="77" t="s">
        <v>159</v>
      </c>
      <c r="B72" s="77" t="s">
        <v>160</v>
      </c>
      <c r="C72" s="201">
        <v>175787.8</v>
      </c>
      <c r="E72" t="s">
        <v>159</v>
      </c>
      <c r="F72" t="s">
        <v>160</v>
      </c>
      <c r="G72">
        <v>175787.8</v>
      </c>
      <c r="H72">
        <f>_xlfn.XLOOKUP(E72,Sheet1!L:L,Sheet1!O:O)</f>
        <v>3</v>
      </c>
    </row>
    <row r="73" spans="1:8" x14ac:dyDescent="0.25">
      <c r="A73" s="77" t="s">
        <v>162</v>
      </c>
      <c r="B73" s="77" t="s">
        <v>163</v>
      </c>
      <c r="C73" s="201">
        <v>452985</v>
      </c>
      <c r="E73" t="s">
        <v>162</v>
      </c>
      <c r="F73" t="s">
        <v>163</v>
      </c>
      <c r="G73">
        <v>452985</v>
      </c>
      <c r="H73">
        <f>_xlfn.XLOOKUP(E73,Sheet1!L:L,Sheet1!O:O)</f>
        <v>5</v>
      </c>
    </row>
    <row r="74" spans="1:8" x14ac:dyDescent="0.25">
      <c r="A74" s="77" t="s">
        <v>165</v>
      </c>
      <c r="B74" s="77" t="s">
        <v>166</v>
      </c>
      <c r="C74" s="201">
        <v>171195</v>
      </c>
      <c r="E74" t="s">
        <v>165</v>
      </c>
      <c r="F74" t="s">
        <v>166</v>
      </c>
      <c r="G74">
        <v>171195</v>
      </c>
      <c r="H74">
        <f>_xlfn.XLOOKUP(E74,Sheet1!L:L,Sheet1!O:O)</f>
        <v>4</v>
      </c>
    </row>
    <row r="75" spans="1:8" x14ac:dyDescent="0.25">
      <c r="A75" s="77" t="s">
        <v>337</v>
      </c>
      <c r="B75" s="77" t="s">
        <v>336</v>
      </c>
      <c r="C75" s="201">
        <v>163407</v>
      </c>
      <c r="E75" t="s">
        <v>337</v>
      </c>
      <c r="F75" t="s">
        <v>336</v>
      </c>
      <c r="G75">
        <v>163407</v>
      </c>
      <c r="H75">
        <f>_xlfn.XLOOKUP(E75,Sheet1!L:L,Sheet1!O:O)</f>
        <v>4</v>
      </c>
    </row>
    <row r="76" spans="1:8" x14ac:dyDescent="0.25">
      <c r="A76" s="77" t="s">
        <v>339</v>
      </c>
      <c r="B76" s="77" t="s">
        <v>338</v>
      </c>
      <c r="C76" s="201">
        <v>40897</v>
      </c>
      <c r="E76" t="s">
        <v>339</v>
      </c>
      <c r="F76" t="s">
        <v>338</v>
      </c>
      <c r="G76">
        <v>40897</v>
      </c>
      <c r="H76">
        <f>_xlfn.XLOOKUP(E76,Sheet1!L:L,Sheet1!O:O)</f>
        <v>3</v>
      </c>
    </row>
    <row r="77" spans="1:8" x14ac:dyDescent="0.25">
      <c r="A77" s="77" t="s">
        <v>341</v>
      </c>
      <c r="B77" s="77" t="s">
        <v>340</v>
      </c>
      <c r="C77" s="201">
        <v>120449</v>
      </c>
      <c r="E77" t="s">
        <v>341</v>
      </c>
      <c r="F77" t="s">
        <v>340</v>
      </c>
      <c r="G77">
        <v>120449</v>
      </c>
      <c r="H77">
        <f>_xlfn.XLOOKUP(E77,Sheet1!L:L,Sheet1!O:O)</f>
        <v>4</v>
      </c>
    </row>
    <row r="78" spans="1:8" x14ac:dyDescent="0.25">
      <c r="A78" s="77" t="s">
        <v>343</v>
      </c>
      <c r="B78" s="77" t="s">
        <v>342</v>
      </c>
      <c r="C78" s="201">
        <v>70546</v>
      </c>
      <c r="E78" t="s">
        <v>343</v>
      </c>
      <c r="F78" t="s">
        <v>342</v>
      </c>
      <c r="G78">
        <v>70546</v>
      </c>
      <c r="H78">
        <f>_xlfn.XLOOKUP(E78,Sheet1!L:L,Sheet1!O:O)</f>
        <v>3</v>
      </c>
    </row>
    <row r="79" spans="1:8" x14ac:dyDescent="0.25">
      <c r="A79" s="77" t="s">
        <v>345</v>
      </c>
      <c r="B79" s="77" t="s">
        <v>344</v>
      </c>
      <c r="C79" s="201">
        <v>55396</v>
      </c>
      <c r="E79" t="s">
        <v>345</v>
      </c>
      <c r="F79" t="s">
        <v>344</v>
      </c>
      <c r="G79">
        <v>55396</v>
      </c>
      <c r="H79">
        <f>_xlfn.XLOOKUP(E79,Sheet1!L:L,Sheet1!O:O)</f>
        <v>3</v>
      </c>
    </row>
    <row r="80" spans="1:8" x14ac:dyDescent="0.25">
      <c r="A80" s="77" t="s">
        <v>347</v>
      </c>
      <c r="B80" s="77" t="s">
        <v>346</v>
      </c>
      <c r="C80" s="201">
        <v>60376</v>
      </c>
      <c r="E80" t="s">
        <v>347</v>
      </c>
      <c r="F80" t="s">
        <v>346</v>
      </c>
      <c r="G80">
        <v>60376</v>
      </c>
      <c r="H80">
        <f>_xlfn.XLOOKUP(E80,Sheet1!L:L,Sheet1!O:O)</f>
        <v>3</v>
      </c>
    </row>
    <row r="81" spans="1:8" x14ac:dyDescent="0.25">
      <c r="A81" s="77" t="s">
        <v>349</v>
      </c>
      <c r="B81" s="77" t="s">
        <v>348</v>
      </c>
      <c r="C81" s="201">
        <v>157579.5</v>
      </c>
      <c r="E81" t="s">
        <v>349</v>
      </c>
      <c r="F81" t="s">
        <v>348</v>
      </c>
      <c r="G81">
        <v>157579.5</v>
      </c>
      <c r="H81">
        <f>_xlfn.XLOOKUP(E81,Sheet1!L:L,Sheet1!O:O)</f>
        <v>3</v>
      </c>
    </row>
    <row r="82" spans="1:8" x14ac:dyDescent="0.25">
      <c r="A82" s="77" t="s">
        <v>351</v>
      </c>
      <c r="B82" s="77" t="s">
        <v>350</v>
      </c>
      <c r="C82" s="201">
        <v>104512</v>
      </c>
      <c r="E82" t="s">
        <v>351</v>
      </c>
      <c r="F82" t="s">
        <v>350</v>
      </c>
      <c r="G82">
        <v>104512</v>
      </c>
      <c r="H82">
        <f>_xlfn.XLOOKUP(E82,Sheet1!L:L,Sheet1!O:O)</f>
        <v>3</v>
      </c>
    </row>
    <row r="83" spans="1:8" x14ac:dyDescent="0.25">
      <c r="A83" s="77" t="s">
        <v>353</v>
      </c>
      <c r="B83" s="77" t="s">
        <v>352</v>
      </c>
      <c r="C83" s="201">
        <v>52154</v>
      </c>
      <c r="E83" t="s">
        <v>353</v>
      </c>
      <c r="F83" t="s">
        <v>352</v>
      </c>
      <c r="G83">
        <v>52154</v>
      </c>
      <c r="H83">
        <f>_xlfn.XLOOKUP(E83,Sheet1!L:L,Sheet1!O:O)</f>
        <v>3</v>
      </c>
    </row>
    <row r="84" spans="1:8" x14ac:dyDescent="0.25">
      <c r="A84" s="77" t="s">
        <v>355</v>
      </c>
      <c r="B84" s="77" t="s">
        <v>354</v>
      </c>
      <c r="C84" s="201">
        <v>173373.6</v>
      </c>
      <c r="E84" t="s">
        <v>355</v>
      </c>
      <c r="F84" t="s">
        <v>354</v>
      </c>
      <c r="G84">
        <v>173373.6</v>
      </c>
      <c r="H84">
        <f>_xlfn.XLOOKUP(E84,Sheet1!L:L,Sheet1!O:O)</f>
        <v>5</v>
      </c>
    </row>
    <row r="85" spans="1:8" x14ac:dyDescent="0.25">
      <c r="A85" s="77" t="s">
        <v>357</v>
      </c>
      <c r="B85" s="77" t="s">
        <v>356</v>
      </c>
      <c r="C85" s="201">
        <v>95861</v>
      </c>
      <c r="E85" t="s">
        <v>357</v>
      </c>
      <c r="F85" t="s">
        <v>356</v>
      </c>
      <c r="G85">
        <v>95861</v>
      </c>
      <c r="H85">
        <f>_xlfn.XLOOKUP(E85,Sheet1!L:L,Sheet1!O:O)</f>
        <v>3</v>
      </c>
    </row>
    <row r="86" spans="1:8" x14ac:dyDescent="0.25">
      <c r="A86" s="77" t="s">
        <v>359</v>
      </c>
      <c r="B86" s="77" t="s">
        <v>358</v>
      </c>
      <c r="C86" s="201">
        <v>42665</v>
      </c>
      <c r="E86" t="s">
        <v>359</v>
      </c>
      <c r="F86" t="s">
        <v>358</v>
      </c>
      <c r="G86">
        <v>42665</v>
      </c>
      <c r="H86">
        <f>_xlfn.XLOOKUP(E86,Sheet1!L:L,Sheet1!O:O)</f>
        <v>4</v>
      </c>
    </row>
    <row r="87" spans="1:8" x14ac:dyDescent="0.25">
      <c r="A87" s="77" t="s">
        <v>361</v>
      </c>
      <c r="B87" s="77" t="s">
        <v>360</v>
      </c>
      <c r="C87" s="201">
        <v>73388</v>
      </c>
      <c r="E87" t="s">
        <v>361</v>
      </c>
      <c r="F87" t="s">
        <v>360</v>
      </c>
      <c r="G87">
        <v>73388</v>
      </c>
      <c r="H87">
        <f>_xlfn.XLOOKUP(E87,Sheet1!L:L,Sheet1!O:O)</f>
        <v>4</v>
      </c>
    </row>
    <row r="88" spans="1:8" x14ac:dyDescent="0.25">
      <c r="A88" s="77" t="s">
        <v>363</v>
      </c>
      <c r="B88" s="77" t="s">
        <v>362</v>
      </c>
      <c r="C88" s="201">
        <v>31946</v>
      </c>
      <c r="E88" t="s">
        <v>363</v>
      </c>
      <c r="F88" t="s">
        <v>362</v>
      </c>
      <c r="G88">
        <v>31946</v>
      </c>
      <c r="H88">
        <f>_xlfn.XLOOKUP(E88,Sheet1!L:L,Sheet1!O:O)</f>
        <v>4</v>
      </c>
    </row>
    <row r="89" spans="1:8" x14ac:dyDescent="0.25">
      <c r="A89" s="77" t="s">
        <v>365</v>
      </c>
      <c r="B89" s="77" t="s">
        <v>364</v>
      </c>
      <c r="C89" s="201">
        <v>45832</v>
      </c>
      <c r="E89" t="s">
        <v>365</v>
      </c>
      <c r="F89" t="s">
        <v>364</v>
      </c>
      <c r="G89">
        <v>45832</v>
      </c>
      <c r="H89">
        <f>_xlfn.XLOOKUP(E89,Sheet1!L:L,Sheet1!O:O)</f>
        <v>3</v>
      </c>
    </row>
    <row r="90" spans="1:8" x14ac:dyDescent="0.25">
      <c r="A90" s="77" t="s">
        <v>367</v>
      </c>
      <c r="B90" s="77" t="s">
        <v>366</v>
      </c>
      <c r="C90" s="201">
        <v>25415</v>
      </c>
      <c r="E90" t="s">
        <v>367</v>
      </c>
      <c r="F90" t="s">
        <v>366</v>
      </c>
      <c r="G90">
        <v>25415</v>
      </c>
      <c r="H90">
        <f>_xlfn.XLOOKUP(E90,Sheet1!L:L,Sheet1!O:O)</f>
        <v>5</v>
      </c>
    </row>
    <row r="91" spans="1:8" x14ac:dyDescent="0.25">
      <c r="A91" s="77" t="s">
        <v>369</v>
      </c>
      <c r="B91" s="77" t="s">
        <v>368</v>
      </c>
      <c r="C91" s="201">
        <v>58995</v>
      </c>
      <c r="E91" t="s">
        <v>369</v>
      </c>
      <c r="F91" t="s">
        <v>368</v>
      </c>
      <c r="G91">
        <v>58995</v>
      </c>
      <c r="H91">
        <f>_xlfn.XLOOKUP(E91,Sheet1!L:L,Sheet1!O:O)</f>
        <v>5</v>
      </c>
    </row>
    <row r="92" spans="1:8" x14ac:dyDescent="0.25">
      <c r="A92" s="77" t="s">
        <v>371</v>
      </c>
      <c r="B92" s="77" t="s">
        <v>370</v>
      </c>
      <c r="C92" s="201">
        <v>99452</v>
      </c>
      <c r="E92" t="s">
        <v>371</v>
      </c>
      <c r="F92" t="s">
        <v>370</v>
      </c>
      <c r="G92">
        <v>99452</v>
      </c>
      <c r="H92">
        <f>_xlfn.XLOOKUP(E92,Sheet1!L:L,Sheet1!O:O)</f>
        <v>3</v>
      </c>
    </row>
    <row r="93" spans="1:8" x14ac:dyDescent="0.25">
      <c r="A93" s="77" t="s">
        <v>373</v>
      </c>
      <c r="B93" s="77" t="s">
        <v>372</v>
      </c>
      <c r="C93" s="201">
        <v>123943</v>
      </c>
      <c r="E93" t="s">
        <v>373</v>
      </c>
      <c r="F93" t="s">
        <v>372</v>
      </c>
      <c r="G93">
        <v>123943</v>
      </c>
      <c r="H93">
        <f>_xlfn.XLOOKUP(E93,Sheet1!L:L,Sheet1!O:O)</f>
        <v>3</v>
      </c>
    </row>
    <row r="94" spans="1:8" x14ac:dyDescent="0.25">
      <c r="A94" s="77" t="s">
        <v>375</v>
      </c>
      <c r="B94" s="77" t="s">
        <v>374</v>
      </c>
      <c r="C94" s="201">
        <v>80344</v>
      </c>
      <c r="E94" t="s">
        <v>375</v>
      </c>
      <c r="F94" t="s">
        <v>374</v>
      </c>
      <c r="G94">
        <v>80344</v>
      </c>
      <c r="H94">
        <f>_xlfn.XLOOKUP(E94,Sheet1!L:L,Sheet1!O:O)</f>
        <v>4</v>
      </c>
    </row>
    <row r="95" spans="1:8" x14ac:dyDescent="0.25">
      <c r="A95" s="77" t="s">
        <v>377</v>
      </c>
      <c r="B95" s="77" t="s">
        <v>376</v>
      </c>
      <c r="C95" s="201">
        <v>103677</v>
      </c>
      <c r="E95" t="s">
        <v>377</v>
      </c>
      <c r="F95" t="s">
        <v>376</v>
      </c>
      <c r="G95">
        <v>103677</v>
      </c>
      <c r="H95">
        <f>_xlfn.XLOOKUP(E95,Sheet1!L:L,Sheet1!O:O)</f>
        <v>3</v>
      </c>
    </row>
    <row r="96" spans="1:8" x14ac:dyDescent="0.25">
      <c r="A96" s="77" t="s">
        <v>379</v>
      </c>
      <c r="B96" s="77" t="s">
        <v>378</v>
      </c>
      <c r="C96" s="201">
        <v>50990</v>
      </c>
      <c r="E96" t="s">
        <v>379</v>
      </c>
      <c r="F96" t="s">
        <v>378</v>
      </c>
      <c r="G96">
        <v>50990</v>
      </c>
      <c r="H96">
        <f>_xlfn.XLOOKUP(E96,Sheet1!L:L,Sheet1!O:O)</f>
        <v>3</v>
      </c>
    </row>
    <row r="97" spans="1:8" x14ac:dyDescent="0.25">
      <c r="A97" s="77" t="s">
        <v>381</v>
      </c>
      <c r="B97" s="77" t="s">
        <v>380</v>
      </c>
      <c r="C97" s="201">
        <v>69743</v>
      </c>
      <c r="E97" t="s">
        <v>381</v>
      </c>
      <c r="F97" t="s">
        <v>380</v>
      </c>
      <c r="G97">
        <v>69743</v>
      </c>
      <c r="H97">
        <f>_xlfn.XLOOKUP(E97,Sheet1!L:L,Sheet1!O:O)</f>
        <v>4</v>
      </c>
    </row>
    <row r="98" spans="1:8" x14ac:dyDescent="0.25">
      <c r="A98" s="77" t="s">
        <v>383</v>
      </c>
      <c r="B98" s="77" t="s">
        <v>382</v>
      </c>
      <c r="C98" s="201">
        <v>53724.6</v>
      </c>
      <c r="E98" t="s">
        <v>383</v>
      </c>
      <c r="F98" t="s">
        <v>382</v>
      </c>
      <c r="G98">
        <v>53724.6</v>
      </c>
      <c r="H98">
        <f>_xlfn.XLOOKUP(E98,Sheet1!L:L,Sheet1!O:O)</f>
        <v>5</v>
      </c>
    </row>
    <row r="99" spans="1:8" x14ac:dyDescent="0.25">
      <c r="A99" s="77" t="s">
        <v>385</v>
      </c>
      <c r="B99" s="77" t="s">
        <v>384</v>
      </c>
      <c r="C99" s="201">
        <v>181754</v>
      </c>
      <c r="E99" t="s">
        <v>385</v>
      </c>
      <c r="F99" t="s">
        <v>384</v>
      </c>
      <c r="G99">
        <v>181754</v>
      </c>
      <c r="H99">
        <f>_xlfn.XLOOKUP(E99,Sheet1!L:L,Sheet1!O:O)</f>
        <v>4</v>
      </c>
    </row>
    <row r="100" spans="1:8" x14ac:dyDescent="0.25">
      <c r="A100" s="77" t="s">
        <v>387</v>
      </c>
      <c r="B100" s="77" t="s">
        <v>386</v>
      </c>
      <c r="C100" s="201">
        <v>66937</v>
      </c>
      <c r="E100" t="s">
        <v>387</v>
      </c>
      <c r="F100" t="s">
        <v>386</v>
      </c>
      <c r="G100">
        <v>66937</v>
      </c>
      <c r="H100">
        <f>_xlfn.XLOOKUP(E100,Sheet1!L:L,Sheet1!O:O)</f>
        <v>3</v>
      </c>
    </row>
    <row r="101" spans="1:8" x14ac:dyDescent="0.25">
      <c r="A101" s="77" t="s">
        <v>389</v>
      </c>
      <c r="B101" s="77" t="s">
        <v>388</v>
      </c>
      <c r="C101" s="201">
        <v>121723</v>
      </c>
      <c r="E101" t="s">
        <v>389</v>
      </c>
      <c r="F101" t="s">
        <v>388</v>
      </c>
      <c r="G101">
        <v>121723</v>
      </c>
      <c r="H101">
        <f>_xlfn.XLOOKUP(E101,Sheet1!L:L,Sheet1!O:O)</f>
        <v>3</v>
      </c>
    </row>
    <row r="102" spans="1:8" x14ac:dyDescent="0.25">
      <c r="A102" s="77" t="s">
        <v>391</v>
      </c>
      <c r="B102" s="77" t="s">
        <v>390</v>
      </c>
      <c r="C102" s="201">
        <v>146620</v>
      </c>
      <c r="E102" t="s">
        <v>391</v>
      </c>
      <c r="F102" t="s">
        <v>390</v>
      </c>
      <c r="G102">
        <v>146620</v>
      </c>
      <c r="H102">
        <f>_xlfn.XLOOKUP(E102,Sheet1!L:L,Sheet1!O:O)</f>
        <v>3</v>
      </c>
    </row>
    <row r="103" spans="1:8" x14ac:dyDescent="0.25">
      <c r="A103" s="77" t="s">
        <v>393</v>
      </c>
      <c r="B103" s="77" t="s">
        <v>392</v>
      </c>
      <c r="C103" s="201">
        <v>87322</v>
      </c>
      <c r="E103" t="s">
        <v>393</v>
      </c>
      <c r="F103" t="s">
        <v>392</v>
      </c>
      <c r="G103">
        <v>87322</v>
      </c>
      <c r="H103">
        <f>_xlfn.XLOOKUP(E103,Sheet1!L:L,Sheet1!O:O)</f>
        <v>3</v>
      </c>
    </row>
    <row r="104" spans="1:8" x14ac:dyDescent="0.25">
      <c r="A104" s="77" t="s">
        <v>395</v>
      </c>
      <c r="B104" s="77" t="s">
        <v>394</v>
      </c>
      <c r="C104" s="201">
        <v>385775</v>
      </c>
      <c r="E104" t="s">
        <v>395</v>
      </c>
      <c r="F104" t="s">
        <v>394</v>
      </c>
      <c r="G104">
        <v>385775</v>
      </c>
      <c r="H104">
        <f>_xlfn.XLOOKUP(E104,Sheet1!L:L,Sheet1!O:O)</f>
        <v>4</v>
      </c>
    </row>
    <row r="105" spans="1:8" x14ac:dyDescent="0.25">
      <c r="A105" s="77" t="s">
        <v>397</v>
      </c>
      <c r="B105" s="77" t="s">
        <v>396</v>
      </c>
      <c r="C105" s="201">
        <v>198498</v>
      </c>
      <c r="E105" t="s">
        <v>397</v>
      </c>
      <c r="F105" t="s">
        <v>396</v>
      </c>
      <c r="G105">
        <v>198498</v>
      </c>
      <c r="H105">
        <f>_xlfn.XLOOKUP(E105,Sheet1!L:L,Sheet1!O:O)</f>
        <v>3</v>
      </c>
    </row>
    <row r="106" spans="1:8" x14ac:dyDescent="0.25">
      <c r="A106" s="77" t="s">
        <v>399</v>
      </c>
      <c r="B106" s="77" t="s">
        <v>398</v>
      </c>
      <c r="C106" s="201">
        <v>342245</v>
      </c>
      <c r="E106" t="s">
        <v>399</v>
      </c>
      <c r="F106" t="s">
        <v>398</v>
      </c>
      <c r="G106">
        <v>342245</v>
      </c>
      <c r="H106">
        <f>_xlfn.XLOOKUP(E106,Sheet1!L:L,Sheet1!O:O)</f>
        <v>4</v>
      </c>
    </row>
    <row r="107" spans="1:8" x14ac:dyDescent="0.25">
      <c r="A107" s="77" t="s">
        <v>401</v>
      </c>
      <c r="B107" s="77" t="s">
        <v>400</v>
      </c>
      <c r="C107" s="201">
        <v>228002</v>
      </c>
      <c r="E107" t="s">
        <v>401</v>
      </c>
      <c r="F107" t="s">
        <v>400</v>
      </c>
      <c r="G107">
        <v>228002</v>
      </c>
      <c r="H107">
        <f>_xlfn.XLOOKUP(E107,Sheet1!L:L,Sheet1!O:O)</f>
        <v>3</v>
      </c>
    </row>
    <row r="108" spans="1:8" x14ac:dyDescent="0.25">
      <c r="A108" s="77" t="s">
        <v>403</v>
      </c>
      <c r="B108" s="77" t="s">
        <v>402</v>
      </c>
      <c r="C108" s="201">
        <v>23217</v>
      </c>
      <c r="E108" t="s">
        <v>403</v>
      </c>
      <c r="F108" t="s">
        <v>402</v>
      </c>
      <c r="G108">
        <v>23217</v>
      </c>
      <c r="H108">
        <f>_xlfn.XLOOKUP(E108,Sheet1!L:L,Sheet1!O:O)</f>
        <v>3</v>
      </c>
    </row>
    <row r="109" spans="1:8" x14ac:dyDescent="0.25">
      <c r="A109" s="77" t="s">
        <v>405</v>
      </c>
      <c r="B109" s="77" t="s">
        <v>404</v>
      </c>
      <c r="C109" s="201">
        <v>271265</v>
      </c>
      <c r="E109" t="s">
        <v>405</v>
      </c>
      <c r="F109" t="s">
        <v>404</v>
      </c>
      <c r="G109">
        <v>271265</v>
      </c>
      <c r="H109">
        <f>_xlfn.XLOOKUP(E109,Sheet1!L:L,Sheet1!O:O)</f>
        <v>3</v>
      </c>
    </row>
    <row r="110" spans="1:8" x14ac:dyDescent="0.25">
      <c r="A110" s="77" t="s">
        <v>407</v>
      </c>
      <c r="B110" s="77" t="s">
        <v>406</v>
      </c>
      <c r="C110" s="201">
        <v>64768</v>
      </c>
      <c r="E110" t="s">
        <v>407</v>
      </c>
      <c r="F110" t="s">
        <v>406</v>
      </c>
      <c r="G110">
        <v>64768</v>
      </c>
      <c r="H110">
        <f>_xlfn.XLOOKUP(E110,Sheet1!L:L,Sheet1!O:O)</f>
        <v>3</v>
      </c>
    </row>
    <row r="111" spans="1:8" x14ac:dyDescent="0.25">
      <c r="A111" s="77" t="s">
        <v>409</v>
      </c>
      <c r="B111" s="77" t="s">
        <v>408</v>
      </c>
      <c r="C111" s="201">
        <v>16046</v>
      </c>
      <c r="E111" t="s">
        <v>409</v>
      </c>
      <c r="F111" t="s">
        <v>408</v>
      </c>
      <c r="G111">
        <v>16046</v>
      </c>
      <c r="H111">
        <f>_xlfn.XLOOKUP(E111,Sheet1!L:L,Sheet1!O:O)</f>
        <v>3</v>
      </c>
    </row>
    <row r="112" spans="1:8" x14ac:dyDescent="0.25">
      <c r="A112" s="77" t="s">
        <v>411</v>
      </c>
      <c r="B112" s="77" t="s">
        <v>410</v>
      </c>
      <c r="C112" s="201">
        <v>33292</v>
      </c>
      <c r="E112" t="s">
        <v>411</v>
      </c>
      <c r="F112" t="s">
        <v>410</v>
      </c>
      <c r="G112">
        <v>33292</v>
      </c>
      <c r="H112">
        <f>_xlfn.XLOOKUP(E112,Sheet1!L:L,Sheet1!O:O)</f>
        <v>3</v>
      </c>
    </row>
    <row r="113" spans="1:8" x14ac:dyDescent="0.25">
      <c r="A113" s="77" t="s">
        <v>413</v>
      </c>
      <c r="B113" s="77" t="s">
        <v>412</v>
      </c>
      <c r="C113" s="201">
        <v>16958</v>
      </c>
      <c r="E113" t="s">
        <v>413</v>
      </c>
      <c r="F113" t="s">
        <v>412</v>
      </c>
      <c r="G113">
        <v>16958</v>
      </c>
      <c r="H113">
        <f>_xlfn.XLOOKUP(E113,Sheet1!L:L,Sheet1!O:O)</f>
        <v>3</v>
      </c>
    </row>
    <row r="114" spans="1:8" x14ac:dyDescent="0.25">
      <c r="A114" s="77" t="s">
        <v>415</v>
      </c>
      <c r="B114" s="77" t="s">
        <v>414</v>
      </c>
      <c r="C114" s="201">
        <v>48202</v>
      </c>
      <c r="E114" t="s">
        <v>415</v>
      </c>
      <c r="F114" t="s">
        <v>414</v>
      </c>
      <c r="G114">
        <v>48202</v>
      </c>
      <c r="H114">
        <f>_xlfn.XLOOKUP(E114,Sheet1!L:L,Sheet1!O:O)</f>
        <v>3</v>
      </c>
    </row>
    <row r="115" spans="1:8" x14ac:dyDescent="0.25">
      <c r="A115" s="77" t="s">
        <v>417</v>
      </c>
      <c r="B115" s="77" t="s">
        <v>416</v>
      </c>
      <c r="C115" s="201">
        <v>147455</v>
      </c>
      <c r="E115" t="s">
        <v>417</v>
      </c>
      <c r="F115" t="s">
        <v>416</v>
      </c>
      <c r="G115">
        <v>147455</v>
      </c>
      <c r="H115">
        <f>_xlfn.XLOOKUP(E115,Sheet1!L:L,Sheet1!O:O)</f>
        <v>3</v>
      </c>
    </row>
    <row r="116" spans="1:8" x14ac:dyDescent="0.25">
      <c r="A116" s="77" t="s">
        <v>419</v>
      </c>
      <c r="B116" s="77" t="s">
        <v>418</v>
      </c>
      <c r="C116" s="201">
        <v>49343</v>
      </c>
      <c r="E116" t="s">
        <v>419</v>
      </c>
      <c r="F116" t="s">
        <v>418</v>
      </c>
      <c r="G116">
        <v>49343</v>
      </c>
      <c r="H116">
        <f>_xlfn.XLOOKUP(E116,Sheet1!L:L,Sheet1!O:O)</f>
        <v>3</v>
      </c>
    </row>
    <row r="117" spans="1:8" x14ac:dyDescent="0.25">
      <c r="A117" s="77" t="s">
        <v>421</v>
      </c>
      <c r="B117" s="77" t="s">
        <v>420</v>
      </c>
      <c r="C117" s="201">
        <v>39523</v>
      </c>
      <c r="E117" t="s">
        <v>421</v>
      </c>
      <c r="F117" t="s">
        <v>420</v>
      </c>
      <c r="G117">
        <v>39523</v>
      </c>
      <c r="H117">
        <f>_xlfn.XLOOKUP(E117,Sheet1!L:L,Sheet1!O:O)</f>
        <v>3</v>
      </c>
    </row>
    <row r="118" spans="1:8" x14ac:dyDescent="0.25">
      <c r="A118" s="77" t="s">
        <v>423</v>
      </c>
      <c r="B118" s="77" t="s">
        <v>422</v>
      </c>
      <c r="C118" s="201">
        <v>141434</v>
      </c>
      <c r="E118" t="s">
        <v>423</v>
      </c>
      <c r="F118" t="s">
        <v>422</v>
      </c>
      <c r="G118">
        <v>141434</v>
      </c>
      <c r="H118">
        <f>_xlfn.XLOOKUP(E118,Sheet1!L:L,Sheet1!O:O)</f>
        <v>3</v>
      </c>
    </row>
    <row r="119" spans="1:8" x14ac:dyDescent="0.25">
      <c r="A119" s="77" t="s">
        <v>425</v>
      </c>
      <c r="B119" s="77" t="s">
        <v>424</v>
      </c>
      <c r="C119" s="201">
        <v>172370.25</v>
      </c>
      <c r="E119" t="s">
        <v>425</v>
      </c>
      <c r="F119" t="s">
        <v>424</v>
      </c>
      <c r="G119">
        <v>172370.25</v>
      </c>
      <c r="H119">
        <f>_xlfn.XLOOKUP(E119,Sheet1!L:L,Sheet1!O:O)</f>
        <v>3</v>
      </c>
    </row>
    <row r="120" spans="1:8" x14ac:dyDescent="0.25">
      <c r="A120" s="77" t="s">
        <v>427</v>
      </c>
      <c r="B120" s="77" t="s">
        <v>426</v>
      </c>
      <c r="C120" s="201">
        <v>106798</v>
      </c>
      <c r="E120" t="s">
        <v>427</v>
      </c>
      <c r="F120" t="s">
        <v>426</v>
      </c>
      <c r="G120">
        <v>106798</v>
      </c>
      <c r="H120">
        <f>_xlfn.XLOOKUP(E120,Sheet1!L:L,Sheet1!O:O)</f>
        <v>3</v>
      </c>
    </row>
    <row r="121" spans="1:8" x14ac:dyDescent="0.25">
      <c r="A121" s="77" t="s">
        <v>429</v>
      </c>
      <c r="B121" s="77" t="s">
        <v>428</v>
      </c>
      <c r="C121" s="201">
        <v>81906</v>
      </c>
      <c r="E121" t="s">
        <v>429</v>
      </c>
      <c r="F121" t="s">
        <v>428</v>
      </c>
      <c r="G121">
        <v>81906</v>
      </c>
      <c r="H121">
        <f>_xlfn.XLOOKUP(E121,Sheet1!L:L,Sheet1!O:O)</f>
        <v>3</v>
      </c>
    </row>
    <row r="122" spans="1:8" x14ac:dyDescent="0.25">
      <c r="A122" s="77" t="s">
        <v>431</v>
      </c>
      <c r="B122" s="77" t="s">
        <v>430</v>
      </c>
      <c r="C122" s="201">
        <v>92335</v>
      </c>
      <c r="E122" t="s">
        <v>431</v>
      </c>
      <c r="F122" t="s">
        <v>430</v>
      </c>
      <c r="G122">
        <v>92335</v>
      </c>
      <c r="H122">
        <f>_xlfn.XLOOKUP(E122,Sheet1!L:L,Sheet1!O:O)</f>
        <v>3</v>
      </c>
    </row>
    <row r="123" spans="1:8" x14ac:dyDescent="0.25">
      <c r="A123" s="77" t="s">
        <v>433</v>
      </c>
      <c r="B123" s="77" t="s">
        <v>432</v>
      </c>
      <c r="C123" s="201">
        <v>80143</v>
      </c>
      <c r="E123" t="s">
        <v>433</v>
      </c>
      <c r="F123" t="s">
        <v>432</v>
      </c>
      <c r="G123">
        <v>80143</v>
      </c>
      <c r="H123">
        <f>_xlfn.XLOOKUP(E123,Sheet1!L:L,Sheet1!O:O)</f>
        <v>4</v>
      </c>
    </row>
    <row r="124" spans="1:8" x14ac:dyDescent="0.25">
      <c r="A124" s="77" t="s">
        <v>435</v>
      </c>
      <c r="B124" s="77" t="s">
        <v>434</v>
      </c>
      <c r="C124" s="201">
        <v>217712</v>
      </c>
      <c r="E124" t="s">
        <v>435</v>
      </c>
      <c r="F124" t="s">
        <v>434</v>
      </c>
      <c r="G124">
        <v>217712</v>
      </c>
      <c r="H124">
        <f>_xlfn.XLOOKUP(E124,Sheet1!L:L,Sheet1!O:O)</f>
        <v>4</v>
      </c>
    </row>
    <row r="125" spans="1:8" x14ac:dyDescent="0.25">
      <c r="A125" s="77" t="s">
        <v>437</v>
      </c>
      <c r="B125" s="77" t="s">
        <v>436</v>
      </c>
      <c r="C125" s="201">
        <v>185377</v>
      </c>
      <c r="E125" t="s">
        <v>437</v>
      </c>
      <c r="F125" t="s">
        <v>436</v>
      </c>
      <c r="G125">
        <v>185377</v>
      </c>
      <c r="H125">
        <f>_xlfn.XLOOKUP(E125,Sheet1!L:L,Sheet1!O:O)</f>
        <v>3</v>
      </c>
    </row>
    <row r="126" spans="1:8" x14ac:dyDescent="0.25">
      <c r="A126" s="77" t="s">
        <v>439</v>
      </c>
      <c r="B126" s="77" t="s">
        <v>438</v>
      </c>
      <c r="C126" s="201">
        <v>79474</v>
      </c>
      <c r="E126" t="s">
        <v>439</v>
      </c>
      <c r="F126" t="s">
        <v>438</v>
      </c>
      <c r="G126">
        <v>79474</v>
      </c>
      <c r="H126">
        <f>_xlfn.XLOOKUP(E126,Sheet1!L:L,Sheet1!O:O)</f>
        <v>3</v>
      </c>
    </row>
    <row r="127" spans="1:8" x14ac:dyDescent="0.25">
      <c r="A127" s="77" t="s">
        <v>441</v>
      </c>
      <c r="B127" s="77" t="s">
        <v>440</v>
      </c>
      <c r="C127" s="201">
        <v>150960</v>
      </c>
      <c r="E127" t="s">
        <v>441</v>
      </c>
      <c r="F127" t="s">
        <v>440</v>
      </c>
      <c r="G127">
        <v>150960</v>
      </c>
      <c r="H127">
        <f>_xlfn.XLOOKUP(E127,Sheet1!L:L,Sheet1!O:O)</f>
        <v>3</v>
      </c>
    </row>
    <row r="128" spans="1:8" x14ac:dyDescent="0.25">
      <c r="A128" s="77" t="s">
        <v>443</v>
      </c>
      <c r="B128" s="77" t="s">
        <v>442</v>
      </c>
      <c r="C128" s="201">
        <v>120823</v>
      </c>
      <c r="E128" t="s">
        <v>443</v>
      </c>
      <c r="F128" t="s">
        <v>442</v>
      </c>
      <c r="G128">
        <v>120823</v>
      </c>
      <c r="H128">
        <f>_xlfn.XLOOKUP(E128,Sheet1!L:L,Sheet1!O:O)</f>
        <v>3</v>
      </c>
    </row>
    <row r="129" spans="1:8" x14ac:dyDescent="0.25">
      <c r="A129" s="77" t="s">
        <v>445</v>
      </c>
      <c r="B129" s="77" t="s">
        <v>444</v>
      </c>
      <c r="C129" s="201">
        <v>54075</v>
      </c>
      <c r="E129" t="s">
        <v>445</v>
      </c>
      <c r="F129" t="s">
        <v>444</v>
      </c>
      <c r="G129">
        <v>54075</v>
      </c>
      <c r="H129">
        <f>_xlfn.XLOOKUP(E129,Sheet1!L:L,Sheet1!O:O)</f>
        <v>3</v>
      </c>
    </row>
    <row r="130" spans="1:8" x14ac:dyDescent="0.25">
      <c r="A130" s="77" t="s">
        <v>447</v>
      </c>
      <c r="B130" s="77" t="s">
        <v>446</v>
      </c>
      <c r="C130" s="201">
        <v>79254</v>
      </c>
      <c r="E130" t="s">
        <v>447</v>
      </c>
      <c r="F130" t="s">
        <v>446</v>
      </c>
      <c r="G130">
        <v>79254</v>
      </c>
      <c r="H130">
        <f>_xlfn.XLOOKUP(E130,Sheet1!L:L,Sheet1!O:O)</f>
        <v>3</v>
      </c>
    </row>
    <row r="131" spans="1:8" x14ac:dyDescent="0.25">
      <c r="A131" s="77" t="s">
        <v>449</v>
      </c>
      <c r="B131" s="77" t="s">
        <v>448</v>
      </c>
      <c r="C131" s="201">
        <v>47385</v>
      </c>
      <c r="E131" t="s">
        <v>449</v>
      </c>
      <c r="F131" t="s">
        <v>448</v>
      </c>
      <c r="G131">
        <v>47385</v>
      </c>
      <c r="H131">
        <f>_xlfn.XLOOKUP(E131,Sheet1!L:L,Sheet1!O:O)</f>
        <v>3</v>
      </c>
    </row>
    <row r="132" spans="1:8" x14ac:dyDescent="0.25">
      <c r="A132" s="77" t="s">
        <v>451</v>
      </c>
      <c r="B132" s="77" t="s">
        <v>450</v>
      </c>
      <c r="C132" s="201">
        <v>65507</v>
      </c>
      <c r="E132" t="s">
        <v>451</v>
      </c>
      <c r="F132" t="s">
        <v>450</v>
      </c>
      <c r="G132">
        <v>65507</v>
      </c>
      <c r="H132">
        <f>_xlfn.XLOOKUP(E132,Sheet1!L:L,Sheet1!O:O)</f>
        <v>3</v>
      </c>
    </row>
    <row r="133" spans="1:8" x14ac:dyDescent="0.25">
      <c r="A133" s="77" t="s">
        <v>453</v>
      </c>
      <c r="B133" s="77" t="s">
        <v>452</v>
      </c>
      <c r="C133" s="201">
        <v>68569</v>
      </c>
      <c r="E133" t="s">
        <v>453</v>
      </c>
      <c r="F133" t="s">
        <v>452</v>
      </c>
      <c r="G133">
        <v>68569</v>
      </c>
      <c r="H133">
        <f>_xlfn.XLOOKUP(E133,Sheet1!L:L,Sheet1!O:O)</f>
        <v>3</v>
      </c>
    </row>
    <row r="134" spans="1:8" x14ac:dyDescent="0.25">
      <c r="A134" s="77" t="s">
        <v>455</v>
      </c>
      <c r="B134" s="77" t="s">
        <v>454</v>
      </c>
      <c r="C134" s="201">
        <v>65472</v>
      </c>
      <c r="E134" t="s">
        <v>455</v>
      </c>
      <c r="F134" t="s">
        <v>454</v>
      </c>
      <c r="G134">
        <v>65472</v>
      </c>
      <c r="H134">
        <f>_xlfn.XLOOKUP(E134,Sheet1!L:L,Sheet1!O:O)</f>
        <v>3</v>
      </c>
    </row>
    <row r="135" spans="1:8" x14ac:dyDescent="0.25">
      <c r="A135" s="77" t="s">
        <v>457</v>
      </c>
      <c r="B135" s="77" t="s">
        <v>456</v>
      </c>
      <c r="C135" s="201">
        <v>58346</v>
      </c>
      <c r="E135" t="s">
        <v>457</v>
      </c>
      <c r="F135" t="s">
        <v>456</v>
      </c>
      <c r="G135">
        <v>58346</v>
      </c>
      <c r="H135">
        <f>_xlfn.XLOOKUP(E135,Sheet1!L:L,Sheet1!O:O)</f>
        <v>3</v>
      </c>
    </row>
    <row r="136" spans="1:8" x14ac:dyDescent="0.25">
      <c r="A136" s="77" t="s">
        <v>459</v>
      </c>
      <c r="B136" s="77" t="s">
        <v>458</v>
      </c>
      <c r="C136" s="201">
        <v>194302</v>
      </c>
      <c r="E136" t="s">
        <v>459</v>
      </c>
      <c r="F136" t="s">
        <v>458</v>
      </c>
      <c r="G136">
        <v>194302</v>
      </c>
      <c r="H136">
        <f>_xlfn.XLOOKUP(E136,Sheet1!L:L,Sheet1!O:O)</f>
        <v>3</v>
      </c>
    </row>
    <row r="137" spans="1:8" x14ac:dyDescent="0.25">
      <c r="A137" s="77" t="s">
        <v>461</v>
      </c>
      <c r="B137" s="77" t="s">
        <v>460</v>
      </c>
      <c r="C137" s="201">
        <v>96472</v>
      </c>
      <c r="E137" t="s">
        <v>461</v>
      </c>
      <c r="F137" t="s">
        <v>460</v>
      </c>
      <c r="G137">
        <v>96472</v>
      </c>
      <c r="H137">
        <f>_xlfn.XLOOKUP(E137,Sheet1!L:L,Sheet1!O:O)</f>
        <v>3</v>
      </c>
    </row>
    <row r="138" spans="1:8" x14ac:dyDescent="0.25">
      <c r="A138" s="77" t="s">
        <v>463</v>
      </c>
      <c r="B138" s="77" t="s">
        <v>462</v>
      </c>
      <c r="C138" s="201">
        <v>87260</v>
      </c>
      <c r="E138" t="s">
        <v>463</v>
      </c>
      <c r="F138" t="s">
        <v>462</v>
      </c>
      <c r="G138">
        <v>87260</v>
      </c>
      <c r="H138">
        <f>_xlfn.XLOOKUP(E138,Sheet1!L:L,Sheet1!O:O)</f>
        <v>3</v>
      </c>
    </row>
    <row r="139" spans="1:8" x14ac:dyDescent="0.25">
      <c r="A139" s="77" t="s">
        <v>465</v>
      </c>
      <c r="B139" s="77" t="s">
        <v>464</v>
      </c>
      <c r="C139" s="201">
        <v>112881</v>
      </c>
      <c r="E139" t="s">
        <v>465</v>
      </c>
      <c r="F139" t="s">
        <v>464</v>
      </c>
      <c r="G139">
        <v>112881</v>
      </c>
      <c r="H139">
        <f>_xlfn.XLOOKUP(E139,Sheet1!L:L,Sheet1!O:O)</f>
        <v>3</v>
      </c>
    </row>
    <row r="140" spans="1:8" x14ac:dyDescent="0.25">
      <c r="A140" s="77" t="s">
        <v>467</v>
      </c>
      <c r="B140" s="77" t="s">
        <v>466</v>
      </c>
      <c r="C140" s="201">
        <v>114115</v>
      </c>
      <c r="E140" t="s">
        <v>467</v>
      </c>
      <c r="F140" t="s">
        <v>466</v>
      </c>
      <c r="G140">
        <v>114115</v>
      </c>
      <c r="H140">
        <f>_xlfn.XLOOKUP(E140,Sheet1!L:L,Sheet1!O:O)</f>
        <v>3</v>
      </c>
    </row>
    <row r="141" spans="1:8" x14ac:dyDescent="0.25">
      <c r="A141" s="77" t="s">
        <v>469</v>
      </c>
      <c r="B141" s="77" t="s">
        <v>468</v>
      </c>
      <c r="C141" s="201">
        <v>136110</v>
      </c>
      <c r="E141" t="s">
        <v>469</v>
      </c>
      <c r="F141" t="s">
        <v>468</v>
      </c>
      <c r="G141">
        <v>136110</v>
      </c>
      <c r="H141">
        <f>_xlfn.XLOOKUP(E141,Sheet1!L:L,Sheet1!O:O)</f>
        <v>5</v>
      </c>
    </row>
    <row r="142" spans="1:8" x14ac:dyDescent="0.25">
      <c r="A142" s="77" t="s">
        <v>471</v>
      </c>
      <c r="B142" s="77" t="s">
        <v>470</v>
      </c>
      <c r="C142" s="201">
        <v>251661.68</v>
      </c>
      <c r="E142" t="s">
        <v>471</v>
      </c>
      <c r="F142" t="s">
        <v>470</v>
      </c>
      <c r="G142">
        <v>251661.68</v>
      </c>
      <c r="H142">
        <f>_xlfn.XLOOKUP(E142,Sheet1!L:L,Sheet1!O:O)</f>
        <v>5</v>
      </c>
    </row>
    <row r="143" spans="1:8" x14ac:dyDescent="0.25">
      <c r="A143" s="77" t="s">
        <v>473</v>
      </c>
      <c r="B143" s="77" t="s">
        <v>472</v>
      </c>
      <c r="C143" s="201">
        <v>142885</v>
      </c>
      <c r="E143" t="s">
        <v>473</v>
      </c>
      <c r="F143" t="s">
        <v>472</v>
      </c>
      <c r="G143">
        <v>142885</v>
      </c>
      <c r="H143">
        <f>_xlfn.XLOOKUP(E143,Sheet1!L:L,Sheet1!O:O)</f>
        <v>3</v>
      </c>
    </row>
    <row r="144" spans="1:8" x14ac:dyDescent="0.25">
      <c r="A144" s="77" t="s">
        <v>475</v>
      </c>
      <c r="B144" s="77" t="s">
        <v>474</v>
      </c>
      <c r="C144" s="201">
        <v>87685</v>
      </c>
      <c r="E144" t="s">
        <v>475</v>
      </c>
      <c r="F144" t="s">
        <v>474</v>
      </c>
      <c r="G144">
        <v>87685</v>
      </c>
      <c r="H144">
        <f>_xlfn.XLOOKUP(E144,Sheet1!L:L,Sheet1!O:O)</f>
        <v>3</v>
      </c>
    </row>
    <row r="145" spans="1:8" x14ac:dyDescent="0.25">
      <c r="A145" s="77" t="s">
        <v>477</v>
      </c>
      <c r="B145" s="77" t="s">
        <v>476</v>
      </c>
      <c r="C145" s="201">
        <v>101812</v>
      </c>
      <c r="E145" t="s">
        <v>477</v>
      </c>
      <c r="F145" t="s">
        <v>476</v>
      </c>
      <c r="G145">
        <v>101812</v>
      </c>
      <c r="H145">
        <f>_xlfn.XLOOKUP(E145,Sheet1!L:L,Sheet1!O:O)</f>
        <v>3</v>
      </c>
    </row>
    <row r="146" spans="1:8" x14ac:dyDescent="0.25">
      <c r="A146" s="77" t="s">
        <v>479</v>
      </c>
      <c r="B146" s="77" t="s">
        <v>478</v>
      </c>
      <c r="C146" s="201">
        <v>55137</v>
      </c>
      <c r="E146" t="s">
        <v>479</v>
      </c>
      <c r="F146" t="s">
        <v>478</v>
      </c>
      <c r="G146">
        <v>55137</v>
      </c>
      <c r="H146">
        <f>_xlfn.XLOOKUP(E146,Sheet1!L:L,Sheet1!O:O)</f>
        <v>3</v>
      </c>
    </row>
    <row r="147" spans="1:8" x14ac:dyDescent="0.25">
      <c r="A147" s="77" t="s">
        <v>481</v>
      </c>
      <c r="B147" s="77" t="s">
        <v>480</v>
      </c>
      <c r="C147" s="201">
        <v>67807</v>
      </c>
      <c r="E147" t="s">
        <v>481</v>
      </c>
      <c r="F147" t="s">
        <v>480</v>
      </c>
      <c r="G147">
        <v>67807</v>
      </c>
      <c r="H147">
        <f>_xlfn.XLOOKUP(E147,Sheet1!L:L,Sheet1!O:O)</f>
        <v>3</v>
      </c>
    </row>
    <row r="148" spans="1:8" x14ac:dyDescent="0.25">
      <c r="A148" s="77" t="s">
        <v>482</v>
      </c>
      <c r="B148" s="77" t="s">
        <v>466</v>
      </c>
      <c r="C148" s="201">
        <v>80437</v>
      </c>
      <c r="E148" t="s">
        <v>482</v>
      </c>
      <c r="F148" t="s">
        <v>466</v>
      </c>
      <c r="G148">
        <v>80437</v>
      </c>
      <c r="H148">
        <f>_xlfn.XLOOKUP(E148,Sheet1!L:L,Sheet1!O:O)</f>
        <v>4</v>
      </c>
    </row>
    <row r="149" spans="1:8" x14ac:dyDescent="0.25">
      <c r="A149" s="77" t="s">
        <v>484</v>
      </c>
      <c r="B149" s="77" t="s">
        <v>483</v>
      </c>
      <c r="C149" s="201">
        <v>133928</v>
      </c>
      <c r="E149" t="s">
        <v>484</v>
      </c>
      <c r="F149" t="s">
        <v>483</v>
      </c>
      <c r="G149">
        <v>133928</v>
      </c>
      <c r="H149">
        <f>_xlfn.XLOOKUP(E149,Sheet1!L:L,Sheet1!O:O)</f>
        <v>3</v>
      </c>
    </row>
    <row r="150" spans="1:8" x14ac:dyDescent="0.25">
      <c r="A150" s="77" t="s">
        <v>485</v>
      </c>
      <c r="B150" s="77" t="s">
        <v>182</v>
      </c>
      <c r="C150" s="201">
        <v>145948.7383</v>
      </c>
      <c r="E150" t="s">
        <v>485</v>
      </c>
      <c r="F150" t="s">
        <v>182</v>
      </c>
      <c r="G150">
        <v>145948.7383</v>
      </c>
      <c r="H150">
        <f>_xlfn.XLOOKUP(E150,Sheet1!L:L,Sheet1!O:O)</f>
        <v>3</v>
      </c>
    </row>
    <row r="151" spans="1:8" x14ac:dyDescent="0.25">
      <c r="A151" s="77" t="s">
        <v>487</v>
      </c>
      <c r="B151" s="77" t="s">
        <v>486</v>
      </c>
      <c r="C151" s="201">
        <v>92252</v>
      </c>
      <c r="E151" t="s">
        <v>487</v>
      </c>
      <c r="F151" t="s">
        <v>486</v>
      </c>
      <c r="G151">
        <v>92252</v>
      </c>
      <c r="H151">
        <f>_xlfn.XLOOKUP(E151,Sheet1!L:L,Sheet1!O:O)</f>
        <v>3</v>
      </c>
    </row>
    <row r="152" spans="1:8" x14ac:dyDescent="0.25">
      <c r="A152" s="77" t="s">
        <v>489</v>
      </c>
      <c r="B152" s="77" t="s">
        <v>488</v>
      </c>
      <c r="C152" s="201">
        <v>166203</v>
      </c>
      <c r="E152" t="s">
        <v>489</v>
      </c>
      <c r="F152" t="s">
        <v>488</v>
      </c>
      <c r="G152">
        <v>166203</v>
      </c>
      <c r="H152">
        <f>_xlfn.XLOOKUP(E152,Sheet1!L:L,Sheet1!O:O)</f>
        <v>4</v>
      </c>
    </row>
    <row r="153" spans="1:8" x14ac:dyDescent="0.25">
      <c r="A153" s="77" t="s">
        <v>491</v>
      </c>
      <c r="B153" s="77" t="s">
        <v>490</v>
      </c>
      <c r="C153" s="201">
        <v>142434</v>
      </c>
      <c r="E153" t="s">
        <v>491</v>
      </c>
      <c r="F153" t="s">
        <v>490</v>
      </c>
      <c r="G153">
        <v>142434</v>
      </c>
      <c r="H153">
        <f>_xlfn.XLOOKUP(E153,Sheet1!L:L,Sheet1!O:O)</f>
        <v>3</v>
      </c>
    </row>
    <row r="154" spans="1:8" x14ac:dyDescent="0.25">
      <c r="A154" s="77" t="s">
        <v>493</v>
      </c>
      <c r="B154" s="77" t="s">
        <v>492</v>
      </c>
      <c r="C154" s="201">
        <v>172693</v>
      </c>
      <c r="E154" t="s">
        <v>493</v>
      </c>
      <c r="F154" t="s">
        <v>492</v>
      </c>
      <c r="G154">
        <v>172693</v>
      </c>
      <c r="H154">
        <f>_xlfn.XLOOKUP(E154,Sheet1!L:L,Sheet1!O:O)</f>
        <v>3</v>
      </c>
    </row>
    <row r="155" spans="1:8" x14ac:dyDescent="0.25">
      <c r="A155" s="77" t="s">
        <v>495</v>
      </c>
      <c r="B155" s="77" t="s">
        <v>494</v>
      </c>
      <c r="C155" s="201">
        <v>124209</v>
      </c>
      <c r="E155" t="s">
        <v>495</v>
      </c>
      <c r="F155" t="s">
        <v>494</v>
      </c>
      <c r="G155">
        <v>124209</v>
      </c>
      <c r="H155">
        <f>_xlfn.XLOOKUP(E155,Sheet1!L:L,Sheet1!O:O)</f>
        <v>3</v>
      </c>
    </row>
    <row r="156" spans="1:8" x14ac:dyDescent="0.25">
      <c r="A156" s="77" t="s">
        <v>497</v>
      </c>
      <c r="B156" s="77" t="s">
        <v>496</v>
      </c>
      <c r="C156" s="201">
        <v>155042</v>
      </c>
      <c r="E156" t="s">
        <v>497</v>
      </c>
      <c r="F156" t="s">
        <v>496</v>
      </c>
      <c r="G156">
        <v>155042</v>
      </c>
      <c r="H156">
        <f>_xlfn.XLOOKUP(E156,Sheet1!L:L,Sheet1!O:O)</f>
        <v>3</v>
      </c>
    </row>
    <row r="157" spans="1:8" x14ac:dyDescent="0.25">
      <c r="A157" s="77" t="s">
        <v>499</v>
      </c>
      <c r="B157" s="77" t="s">
        <v>498</v>
      </c>
      <c r="C157" s="201">
        <v>158803</v>
      </c>
      <c r="E157" t="s">
        <v>499</v>
      </c>
      <c r="F157" t="s">
        <v>498</v>
      </c>
      <c r="G157">
        <v>158803</v>
      </c>
      <c r="H157">
        <f>_xlfn.XLOOKUP(E157,Sheet1!L:L,Sheet1!O:O)</f>
        <v>3</v>
      </c>
    </row>
    <row r="158" spans="1:8" x14ac:dyDescent="0.25">
      <c r="A158" s="77" t="s">
        <v>501</v>
      </c>
      <c r="B158" s="77" t="s">
        <v>500</v>
      </c>
      <c r="C158" s="201">
        <v>134849</v>
      </c>
      <c r="E158" t="s">
        <v>501</v>
      </c>
      <c r="F158" t="s">
        <v>500</v>
      </c>
      <c r="G158">
        <v>134849</v>
      </c>
      <c r="H158">
        <f>_xlfn.XLOOKUP(E158,Sheet1!L:L,Sheet1!O:O)</f>
        <v>3</v>
      </c>
    </row>
    <row r="159" spans="1:8" x14ac:dyDescent="0.25">
      <c r="A159" s="77" t="s">
        <v>503</v>
      </c>
      <c r="B159" s="77" t="s">
        <v>502</v>
      </c>
      <c r="C159" s="201">
        <v>146963</v>
      </c>
      <c r="E159" t="s">
        <v>503</v>
      </c>
      <c r="F159" t="s">
        <v>502</v>
      </c>
      <c r="G159">
        <v>146963</v>
      </c>
      <c r="H159">
        <f>_xlfn.XLOOKUP(E159,Sheet1!L:L,Sheet1!O:O)</f>
        <v>3</v>
      </c>
    </row>
    <row r="160" spans="1:8" x14ac:dyDescent="0.25">
      <c r="A160" s="77" t="s">
        <v>505</v>
      </c>
      <c r="B160" s="77" t="s">
        <v>504</v>
      </c>
      <c r="C160" s="201">
        <v>269705</v>
      </c>
      <c r="E160" t="s">
        <v>505</v>
      </c>
      <c r="F160" t="s">
        <v>504</v>
      </c>
      <c r="G160">
        <v>269705</v>
      </c>
      <c r="H160">
        <f>_xlfn.XLOOKUP(E160,Sheet1!L:L,Sheet1!O:O)</f>
        <v>3</v>
      </c>
    </row>
    <row r="161" spans="1:8" x14ac:dyDescent="0.25">
      <c r="A161" s="77" t="s">
        <v>507</v>
      </c>
      <c r="B161" s="77" t="s">
        <v>506</v>
      </c>
      <c r="C161" s="201">
        <v>291484</v>
      </c>
      <c r="E161" t="s">
        <v>507</v>
      </c>
      <c r="F161" t="s">
        <v>506</v>
      </c>
      <c r="G161">
        <v>291484</v>
      </c>
      <c r="H161">
        <f>_xlfn.XLOOKUP(E161,Sheet1!L:L,Sheet1!O:O)</f>
        <v>4</v>
      </c>
    </row>
    <row r="162" spans="1:8" x14ac:dyDescent="0.25">
      <c r="A162" s="77" t="s">
        <v>509</v>
      </c>
      <c r="B162" s="77" t="s">
        <v>508</v>
      </c>
      <c r="C162" s="201">
        <v>222762</v>
      </c>
      <c r="E162" t="s">
        <v>509</v>
      </c>
      <c r="F162" t="s">
        <v>508</v>
      </c>
      <c r="G162">
        <v>222762</v>
      </c>
      <c r="H162">
        <f>_xlfn.XLOOKUP(E162,Sheet1!L:L,Sheet1!O:O)</f>
        <v>3</v>
      </c>
    </row>
    <row r="163" spans="1:8" x14ac:dyDescent="0.25">
      <c r="A163" s="77" t="s">
        <v>511</v>
      </c>
      <c r="B163" s="77" t="s">
        <v>510</v>
      </c>
      <c r="C163" s="201">
        <v>92132</v>
      </c>
      <c r="E163" t="s">
        <v>511</v>
      </c>
      <c r="F163" t="s">
        <v>510</v>
      </c>
      <c r="G163">
        <v>92132</v>
      </c>
      <c r="H163">
        <f>_xlfn.XLOOKUP(E163,Sheet1!L:L,Sheet1!O:O)</f>
        <v>3</v>
      </c>
    </row>
    <row r="164" spans="1:8" x14ac:dyDescent="0.25">
      <c r="A164" s="77" t="s">
        <v>513</v>
      </c>
      <c r="B164" s="77" t="s">
        <v>512</v>
      </c>
      <c r="C164" s="201">
        <v>56200</v>
      </c>
      <c r="E164" t="s">
        <v>513</v>
      </c>
      <c r="F164" t="s">
        <v>512</v>
      </c>
      <c r="G164">
        <v>56200</v>
      </c>
      <c r="H164">
        <f>_xlfn.XLOOKUP(E164,Sheet1!L:L,Sheet1!O:O)</f>
        <v>3</v>
      </c>
    </row>
    <row r="165" spans="1:8" x14ac:dyDescent="0.25">
      <c r="A165" s="77" t="s">
        <v>515</v>
      </c>
      <c r="B165" s="77" t="s">
        <v>514</v>
      </c>
      <c r="C165" s="201">
        <v>191732</v>
      </c>
      <c r="E165" t="s">
        <v>515</v>
      </c>
      <c r="F165" t="s">
        <v>514</v>
      </c>
      <c r="G165">
        <v>191732</v>
      </c>
      <c r="H165">
        <f>_xlfn.XLOOKUP(E165,Sheet1!L:L,Sheet1!O:O)</f>
        <v>3</v>
      </c>
    </row>
    <row r="166" spans="1:8" x14ac:dyDescent="0.25">
      <c r="A166" s="77" t="s">
        <v>517</v>
      </c>
      <c r="B166" s="77" t="s">
        <v>516</v>
      </c>
      <c r="C166" s="201">
        <v>202260</v>
      </c>
      <c r="E166" t="s">
        <v>517</v>
      </c>
      <c r="F166" t="s">
        <v>516</v>
      </c>
      <c r="G166">
        <v>202260</v>
      </c>
      <c r="H166">
        <f>_xlfn.XLOOKUP(E166,Sheet1!L:L,Sheet1!O:O)</f>
        <v>4</v>
      </c>
    </row>
    <row r="167" spans="1:8" x14ac:dyDescent="0.25">
      <c r="A167" s="77" t="s">
        <v>519</v>
      </c>
      <c r="B167" s="77" t="s">
        <v>518</v>
      </c>
      <c r="C167" s="201">
        <v>219806</v>
      </c>
      <c r="E167" t="s">
        <v>519</v>
      </c>
      <c r="F167" t="s">
        <v>518</v>
      </c>
      <c r="G167">
        <v>219806</v>
      </c>
      <c r="H167">
        <f>_xlfn.XLOOKUP(E167,Sheet1!L:L,Sheet1!O:O)</f>
        <v>3</v>
      </c>
    </row>
    <row r="168" spans="1:8" x14ac:dyDescent="0.25">
      <c r="A168" s="77" t="s">
        <v>521</v>
      </c>
      <c r="B168" s="77" t="s">
        <v>520</v>
      </c>
      <c r="C168" s="201">
        <v>207242</v>
      </c>
      <c r="E168" t="s">
        <v>521</v>
      </c>
      <c r="F168" t="s">
        <v>520</v>
      </c>
      <c r="G168">
        <v>207242</v>
      </c>
      <c r="H168">
        <f>_xlfn.XLOOKUP(E168,Sheet1!L:L,Sheet1!O:O)</f>
        <v>3</v>
      </c>
    </row>
    <row r="169" spans="1:8" x14ac:dyDescent="0.25">
      <c r="A169" s="77" t="s">
        <v>523</v>
      </c>
      <c r="B169" s="77" t="s">
        <v>522</v>
      </c>
      <c r="C169" s="201">
        <v>99472</v>
      </c>
      <c r="E169" t="s">
        <v>523</v>
      </c>
      <c r="F169" t="s">
        <v>522</v>
      </c>
      <c r="G169">
        <v>99472</v>
      </c>
      <c r="H169">
        <f>_xlfn.XLOOKUP(E169,Sheet1!L:L,Sheet1!O:O)</f>
        <v>3</v>
      </c>
    </row>
    <row r="170" spans="1:8" x14ac:dyDescent="0.25">
      <c r="A170" s="77" t="s">
        <v>525</v>
      </c>
      <c r="B170" s="77" t="s">
        <v>524</v>
      </c>
      <c r="C170" s="201">
        <v>62304</v>
      </c>
      <c r="E170" t="s">
        <v>525</v>
      </c>
      <c r="F170" t="s">
        <v>524</v>
      </c>
      <c r="G170">
        <v>62304</v>
      </c>
      <c r="H170">
        <f>_xlfn.XLOOKUP(E170,Sheet1!L:L,Sheet1!O:O)</f>
        <v>3</v>
      </c>
    </row>
    <row r="171" spans="1:8" x14ac:dyDescent="0.25">
      <c r="A171" s="77" t="s">
        <v>527</v>
      </c>
      <c r="B171" s="77" t="s">
        <v>526</v>
      </c>
      <c r="C171" s="201">
        <v>77152</v>
      </c>
      <c r="E171" t="s">
        <v>527</v>
      </c>
      <c r="F171" t="s">
        <v>526</v>
      </c>
      <c r="G171">
        <v>77152</v>
      </c>
      <c r="H171">
        <f>_xlfn.XLOOKUP(E171,Sheet1!L:L,Sheet1!O:O)</f>
        <v>3</v>
      </c>
    </row>
    <row r="172" spans="1:8" x14ac:dyDescent="0.25">
      <c r="A172" s="77" t="s">
        <v>529</v>
      </c>
      <c r="B172" s="77" t="s">
        <v>528</v>
      </c>
      <c r="C172" s="201">
        <v>89520</v>
      </c>
      <c r="E172" t="s">
        <v>529</v>
      </c>
      <c r="F172" t="s">
        <v>528</v>
      </c>
      <c r="G172">
        <v>89520</v>
      </c>
      <c r="H172">
        <f>_xlfn.XLOOKUP(E172,Sheet1!L:L,Sheet1!O:O)</f>
        <v>3</v>
      </c>
    </row>
    <row r="173" spans="1:8" x14ac:dyDescent="0.25">
      <c r="A173" s="77" t="s">
        <v>531</v>
      </c>
      <c r="B173" s="77" t="s">
        <v>530</v>
      </c>
      <c r="C173" s="201">
        <v>88604</v>
      </c>
      <c r="E173" t="s">
        <v>531</v>
      </c>
      <c r="F173" t="s">
        <v>530</v>
      </c>
      <c r="G173">
        <v>88604</v>
      </c>
      <c r="H173">
        <f>_xlfn.XLOOKUP(E173,Sheet1!L:L,Sheet1!O:O)</f>
        <v>3</v>
      </c>
    </row>
    <row r="174" spans="1:8" x14ac:dyDescent="0.25">
      <c r="A174" s="77" t="s">
        <v>533</v>
      </c>
      <c r="B174" s="77" t="s">
        <v>532</v>
      </c>
      <c r="C174" s="201">
        <v>105567</v>
      </c>
      <c r="E174" t="s">
        <v>533</v>
      </c>
      <c r="F174" t="s">
        <v>532</v>
      </c>
      <c r="G174">
        <v>105567</v>
      </c>
      <c r="H174">
        <f>_xlfn.XLOOKUP(E174,Sheet1!L:L,Sheet1!O:O)</f>
        <v>3</v>
      </c>
    </row>
    <row r="175" spans="1:8" x14ac:dyDescent="0.25">
      <c r="A175" s="77" t="s">
        <v>535</v>
      </c>
      <c r="B175" s="77" t="s">
        <v>534</v>
      </c>
      <c r="C175" s="201">
        <v>80620</v>
      </c>
      <c r="E175" t="s">
        <v>535</v>
      </c>
      <c r="F175" t="s">
        <v>534</v>
      </c>
      <c r="G175">
        <v>80620</v>
      </c>
      <c r="H175">
        <f>_xlfn.XLOOKUP(E175,Sheet1!L:L,Sheet1!O:O)</f>
        <v>3</v>
      </c>
    </row>
    <row r="176" spans="1:8" x14ac:dyDescent="0.25">
      <c r="A176" s="77" t="s">
        <v>537</v>
      </c>
      <c r="B176" s="77" t="s">
        <v>536</v>
      </c>
      <c r="C176" s="201">
        <v>157484.79999999999</v>
      </c>
      <c r="E176" t="s">
        <v>537</v>
      </c>
      <c r="F176" t="s">
        <v>536</v>
      </c>
      <c r="G176">
        <v>157484.79999999999</v>
      </c>
      <c r="H176">
        <f>_xlfn.XLOOKUP(E176,Sheet1!L:L,Sheet1!O:O)</f>
        <v>3</v>
      </c>
    </row>
    <row r="177" spans="1:8" x14ac:dyDescent="0.25">
      <c r="A177" s="77" t="s">
        <v>539</v>
      </c>
      <c r="B177" s="77" t="s">
        <v>538</v>
      </c>
      <c r="C177" s="201">
        <v>147552</v>
      </c>
      <c r="E177" t="s">
        <v>539</v>
      </c>
      <c r="F177" t="s">
        <v>538</v>
      </c>
      <c r="G177">
        <v>147552</v>
      </c>
      <c r="H177">
        <f>_xlfn.XLOOKUP(E177,Sheet1!L:L,Sheet1!O:O)</f>
        <v>3</v>
      </c>
    </row>
    <row r="178" spans="1:8" x14ac:dyDescent="0.25">
      <c r="A178" s="77" t="s">
        <v>541</v>
      </c>
      <c r="B178" s="77" t="s">
        <v>540</v>
      </c>
      <c r="C178" s="201">
        <v>82222</v>
      </c>
      <c r="E178" t="s">
        <v>541</v>
      </c>
      <c r="F178" t="s">
        <v>540</v>
      </c>
      <c r="G178">
        <v>82222</v>
      </c>
      <c r="H178">
        <f>_xlfn.XLOOKUP(E178,Sheet1!L:L,Sheet1!O:O)</f>
        <v>3</v>
      </c>
    </row>
    <row r="179" spans="1:8" x14ac:dyDescent="0.25">
      <c r="A179" s="77" t="s">
        <v>543</v>
      </c>
      <c r="B179" s="77" t="s">
        <v>542</v>
      </c>
      <c r="C179" s="201">
        <v>156696</v>
      </c>
      <c r="E179" t="s">
        <v>543</v>
      </c>
      <c r="F179" t="s">
        <v>542</v>
      </c>
      <c r="G179">
        <v>156696</v>
      </c>
      <c r="H179">
        <f>_xlfn.XLOOKUP(E179,Sheet1!L:L,Sheet1!O:O)</f>
        <v>4</v>
      </c>
    </row>
    <row r="180" spans="1:8" x14ac:dyDescent="0.25">
      <c r="A180" s="77" t="s">
        <v>545</v>
      </c>
      <c r="B180" s="77" t="s">
        <v>544</v>
      </c>
      <c r="C180" s="201">
        <v>44151</v>
      </c>
      <c r="E180" t="s">
        <v>545</v>
      </c>
      <c r="F180" t="s">
        <v>544</v>
      </c>
      <c r="G180">
        <v>44151</v>
      </c>
      <c r="H180">
        <f>_xlfn.XLOOKUP(E180,Sheet1!L:L,Sheet1!O:O)</f>
        <v>4</v>
      </c>
    </row>
    <row r="181" spans="1:8" x14ac:dyDescent="0.25">
      <c r="A181" s="77" t="s">
        <v>547</v>
      </c>
      <c r="B181" s="77" t="s">
        <v>546</v>
      </c>
      <c r="C181" s="201">
        <v>52701</v>
      </c>
      <c r="E181" t="s">
        <v>547</v>
      </c>
      <c r="F181" t="s">
        <v>546</v>
      </c>
      <c r="G181">
        <v>52701</v>
      </c>
      <c r="H181">
        <f>_xlfn.XLOOKUP(E181,Sheet1!L:L,Sheet1!O:O)</f>
        <v>3</v>
      </c>
    </row>
    <row r="182" spans="1:8" x14ac:dyDescent="0.25">
      <c r="A182" s="77" t="s">
        <v>549</v>
      </c>
      <c r="B182" s="77" t="s">
        <v>548</v>
      </c>
      <c r="C182" s="201">
        <v>50731.5</v>
      </c>
      <c r="E182" t="s">
        <v>549</v>
      </c>
      <c r="F182" t="s">
        <v>548</v>
      </c>
      <c r="G182">
        <v>50731.5</v>
      </c>
      <c r="H182">
        <f>_xlfn.XLOOKUP(E182,Sheet1!L:L,Sheet1!O:O)</f>
        <v>4</v>
      </c>
    </row>
    <row r="183" spans="1:8" x14ac:dyDescent="0.25">
      <c r="A183" s="77" t="s">
        <v>551</v>
      </c>
      <c r="B183" s="77" t="s">
        <v>550</v>
      </c>
      <c r="C183" s="201">
        <v>52484</v>
      </c>
      <c r="E183" t="s">
        <v>551</v>
      </c>
      <c r="F183" t="s">
        <v>550</v>
      </c>
      <c r="G183">
        <v>52484</v>
      </c>
      <c r="H183">
        <f>_xlfn.XLOOKUP(E183,Sheet1!L:L,Sheet1!O:O)</f>
        <v>3</v>
      </c>
    </row>
    <row r="184" spans="1:8" x14ac:dyDescent="0.25">
      <c r="A184" s="77" t="s">
        <v>553</v>
      </c>
      <c r="B184" s="77" t="s">
        <v>552</v>
      </c>
      <c r="C184" s="201">
        <v>74313</v>
      </c>
      <c r="E184" t="s">
        <v>553</v>
      </c>
      <c r="F184" t="s">
        <v>552</v>
      </c>
      <c r="G184">
        <v>74313</v>
      </c>
      <c r="H184">
        <f>_xlfn.XLOOKUP(E184,Sheet1!L:L,Sheet1!O:O)</f>
        <v>4</v>
      </c>
    </row>
    <row r="185" spans="1:8" x14ac:dyDescent="0.25">
      <c r="A185" s="77" t="s">
        <v>555</v>
      </c>
      <c r="B185" s="77" t="s">
        <v>554</v>
      </c>
      <c r="C185" s="201">
        <v>57727</v>
      </c>
      <c r="E185" t="s">
        <v>555</v>
      </c>
      <c r="F185" t="s">
        <v>554</v>
      </c>
      <c r="G185">
        <v>57727</v>
      </c>
      <c r="H185">
        <f>_xlfn.XLOOKUP(E185,Sheet1!L:L,Sheet1!O:O)</f>
        <v>3</v>
      </c>
    </row>
    <row r="186" spans="1:8" x14ac:dyDescent="0.25">
      <c r="A186" s="77" t="s">
        <v>557</v>
      </c>
      <c r="B186" s="77" t="s">
        <v>556</v>
      </c>
      <c r="C186" s="201">
        <v>49791</v>
      </c>
      <c r="E186" t="s">
        <v>557</v>
      </c>
      <c r="F186" t="s">
        <v>556</v>
      </c>
      <c r="G186">
        <v>49791</v>
      </c>
      <c r="H186">
        <f>_xlfn.XLOOKUP(E186,Sheet1!L:L,Sheet1!O:O)</f>
        <v>3</v>
      </c>
    </row>
    <row r="187" spans="1:8" x14ac:dyDescent="0.25">
      <c r="A187" s="77" t="s">
        <v>559</v>
      </c>
      <c r="B187" s="77" t="s">
        <v>558</v>
      </c>
      <c r="C187" s="201">
        <v>62752</v>
      </c>
      <c r="E187" t="s">
        <v>559</v>
      </c>
      <c r="F187" t="s">
        <v>558</v>
      </c>
      <c r="G187">
        <v>62752</v>
      </c>
      <c r="H187">
        <f>_xlfn.XLOOKUP(E187,Sheet1!L:L,Sheet1!O:O)</f>
        <v>4</v>
      </c>
    </row>
    <row r="188" spans="1:8" x14ac:dyDescent="0.25">
      <c r="A188" s="77" t="s">
        <v>561</v>
      </c>
      <c r="B188" s="77" t="s">
        <v>560</v>
      </c>
      <c r="C188" s="201">
        <v>41646</v>
      </c>
      <c r="E188" t="s">
        <v>561</v>
      </c>
      <c r="F188" t="s">
        <v>560</v>
      </c>
      <c r="G188">
        <v>41646</v>
      </c>
      <c r="H188">
        <f>_xlfn.XLOOKUP(E188,Sheet1!L:L,Sheet1!O:O)</f>
        <v>4</v>
      </c>
    </row>
    <row r="189" spans="1:8" x14ac:dyDescent="0.25">
      <c r="A189" s="77" t="s">
        <v>563</v>
      </c>
      <c r="B189" s="77" t="s">
        <v>562</v>
      </c>
      <c r="C189" s="201">
        <v>92427</v>
      </c>
      <c r="E189" t="s">
        <v>563</v>
      </c>
      <c r="F189" t="s">
        <v>562</v>
      </c>
      <c r="G189">
        <v>92427</v>
      </c>
      <c r="H189">
        <f>_xlfn.XLOOKUP(E189,Sheet1!L:L,Sheet1!O:O)</f>
        <v>3</v>
      </c>
    </row>
    <row r="190" spans="1:8" x14ac:dyDescent="0.25">
      <c r="A190" s="77" t="s">
        <v>565</v>
      </c>
      <c r="B190" s="77" t="s">
        <v>564</v>
      </c>
      <c r="C190" s="201">
        <v>29215</v>
      </c>
      <c r="E190" t="s">
        <v>565</v>
      </c>
      <c r="F190" t="s">
        <v>564</v>
      </c>
      <c r="G190">
        <v>29215</v>
      </c>
      <c r="H190">
        <f>_xlfn.XLOOKUP(E190,Sheet1!L:L,Sheet1!O:O)</f>
        <v>3</v>
      </c>
    </row>
    <row r="191" spans="1:8" x14ac:dyDescent="0.25">
      <c r="A191" s="77" t="s">
        <v>567</v>
      </c>
      <c r="B191" s="77" t="s">
        <v>566</v>
      </c>
      <c r="C191" s="201">
        <v>41276</v>
      </c>
      <c r="E191" t="s">
        <v>567</v>
      </c>
      <c r="F191" t="s">
        <v>566</v>
      </c>
      <c r="G191">
        <v>41276</v>
      </c>
      <c r="H191">
        <f>_xlfn.XLOOKUP(E191,Sheet1!L:L,Sheet1!O:O)</f>
        <v>3</v>
      </c>
    </row>
    <row r="192" spans="1:8" x14ac:dyDescent="0.25">
      <c r="A192" s="77" t="s">
        <v>573</v>
      </c>
      <c r="B192" s="77" t="s">
        <v>574</v>
      </c>
      <c r="C192" s="201">
        <v>29245</v>
      </c>
      <c r="E192" t="s">
        <v>573</v>
      </c>
      <c r="F192" t="s">
        <v>574</v>
      </c>
      <c r="G192">
        <v>29245</v>
      </c>
      <c r="H192">
        <f>_xlfn.XLOOKUP(E192,Sheet1!L:L,Sheet1!O:O)</f>
        <v>3</v>
      </c>
    </row>
    <row r="193" spans="1:8" x14ac:dyDescent="0.25">
      <c r="A193" s="77" t="s">
        <v>230</v>
      </c>
      <c r="B193" s="77" t="s">
        <v>231</v>
      </c>
      <c r="C193" s="201">
        <v>0</v>
      </c>
      <c r="E193" t="s">
        <v>230</v>
      </c>
      <c r="F193" t="s">
        <v>231</v>
      </c>
      <c r="G193">
        <v>0</v>
      </c>
      <c r="H193">
        <f>_xlfn.XLOOKUP(E193,Sheet1!L:L,Sheet1!O:O)</f>
        <v>1</v>
      </c>
    </row>
    <row r="194" spans="1:8" x14ac:dyDescent="0.25">
      <c r="A194" s="77" t="s">
        <v>91</v>
      </c>
      <c r="C194" s="201">
        <v>24779309.0053</v>
      </c>
      <c r="E194" t="s">
        <v>91</v>
      </c>
      <c r="G194">
        <v>24779309.0053</v>
      </c>
    </row>
  </sheetData>
  <pageMargins left="0.7" right="0.7" top="0.75" bottom="0.75" header="0.3" footer="0.3"/>
  <pageSetup orientation="portrait"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1 6 " ? > < D a t a M a s h u p   x m l n s = " h t t p : / / s c h e m a s . m i c r o s o f t . c o m / D a t a M a s h u p " > A A A A A H g E A A B Q S w M E F A A C A A g A C G q r V j i y G d 2 k A A A A 9 g A A A B I A H A B D b 2 5 m a W c v U G F j a 2 F n Z S 5 4 b W w g o h g A K K A U A A A A A A A A A A A A A A A A A A A A A A A A A A A A h Y 9 N D o I w G E S v Q r q n P 0 i M I a U s 3 E p i Q j R u m 1 K h E T 4 M L Z a 7 u f B I X k G M o u 5 c z p u 3 m L l f b z w b 2 y a 4 6 N 6 a D l L E M E W B B t W V B q o U D e 4 Y r l A m + F a q k 6 x 0 M M l g k 9 G W K a q d O y e E e O + x X + C u r 0 h E K S O H f F O o W r c S f W T z X w 4 N W C d B a S T 4 / j V G R J i x J Y 5 p j C k n M + S 5 g a 8 Q T X u f 7 Q / k 6 6 F x Q 6 + F h n B X c D J H T t 4 f x A N Q S w M E F A A C A A g A C G q r V g / 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A h q q 1 b X L D f f c g E A A P o D A A A T A B w A R m 9 y b X V s Y X M v U 2 V j d G l v b j E u b S C i G A A o o B Q A A A A A A A A A A A A A A A A A A A A A A A A A A A C F k l F r w j A U h d + F / o f Q w V D o B M e 2 F / H B Z U 4 F d Y X K f B A f 0 v b O F t N E 0 k Q s p f 9 9 6 a r T x Z b 1 p f C d m 3 P b k 5 N C I G P O k F e 9 e 3 2 r Z b X S i A g I k f Q p p i q V I N x 4 8 Y w G i I K 0 W k g / H l c i A E 1 G x w B o F y s h g M k V F z u f 8 1 2 7 k 6 8 X J I G B / d f B 3 h R r z J n U o x u n M r q z c U T Y V i 9 b Z n u w t e O S + B S 6 S 0 F Y + s V F g j l V C S v F t F 1 t d f L c 1 m 5 o + m Y 7 a M r k y 1 O 3 l A s H 5 f Y w T G K G e l q Q G i E J R 3 n N k f u A e Q g N 8 m M T b z r m 8 r 2 i p I z t 9 k s u G h o L r v Y 3 h z H G 8 z N k K v F B / O B R q I K z p a m 9 c x 6 W F 6 V E L L M a f Q K E y q j O N A G x B R Z k 6 B 7 N 4 g P Q O N J W a c 3 k x w E E E U E U s y 1 y B Z d V K 2 o G x 6 + f Z 0 p Y V v 2 R a 5 L J 7 A b N h y b x I q C 6 I D U 7 V k N v Y u C i U 1 u c 3 j / N M W p W V u i U v 3 F t 1 / E b k p m + I f + G b z o 2 Z m 8 M N k Z v z F 3 y M o R T X F e 0 6 F i t m N U H 1 v 8 G U E s B A i 0 A F A A C A A g A C G q r V j i y G d 2 k A A A A 9 g A A A B I A A A A A A A A A A A A A A A A A A A A A A E N v b m Z p Z y 9 Q Y W N r Y W d l L n h t b F B L A Q I t A B Q A A g A I A A h q q 1 Y P y u m r p A A A A O k A A A A T A A A A A A A A A A A A A A A A A P A A A A B b Q 2 9 u d G V u d F 9 U e X B l c 1 0 u e G 1 s U E s B A i 0 A F A A C A A g A C G q r V t c s N 9 9 y A Q A A + g M A A B M A A A A A A A A A A A A A A A A A 4 Q E A A E Z v c m 1 1 b G F z L 1 N l Y 3 R p b 2 4 x L m 1 Q S w U G A A A A A A M A A w D C A A A A o A M A A A A A E A E A A O + 7 v z w / e G 1 s I H Z l c n N p b 2 4 9 I j E u M C I g Z W 5 j b 2 R p b m c 9 I n V 0 Z i 0 4 I j 8 + P F B l c m 1 p c 3 N p b 2 5 M a X N 0 I H h t b G 5 z O n h z Z D 0 i a H R 0 c D o v L 3 d 3 d y 5 3 M y 5 v c m c v M j A w M S 9 Y T U x T Y 2 h l b W E i I H h t b G 5 z O n h z a T 0 i a H R 0 c D o v L 3 d 3 d y 5 3 M y 5 v c m c v M j A w M S 9 Y T U x T Y 2 h l b W E t a W 5 z d G F u Y 2 U i P j x D Y W 5 F d m F s d W F 0 Z U Z 1 d H V y Z V B h Y 2 t h Z 2 V z P m Z h b H N l P C 9 D Y W 5 F d m F s d W F 0 Z U Z 1 d H V y Z V B h Y 2 t h Z 2 V z P j x G a X J l d 2 F s b E V u Y W J s Z W Q + d H J 1 Z T w v R m l y Z X d h b G x F b m F i b G V k P j w v U G V y b W l z c 2 l v b k x p c 3 Q + a h Q A A A A A A A B I F A A A 7 7 u / P D 9 4 b W w g d m V y c 2 l v b j 0 i M S 4 w I i B l b m N v Z G l u Z z 0 i d X R m L T g i P z 4 8 T G 9 j Y W x Q Y W N r Y W d l T W V 0 Y W R h d G F G a W x l I H h t b G 5 z O n h z Z D 0 i a H R 0 c D o v L 3 d 3 d y 5 3 M y 5 v c m c v M j A w M S 9 Y T U x T Y 2 h l b W E i I H h t b G 5 z O n h z a T 0 i a H R 0 c D o v L 3 d 3 d y 5 3 M y 5 v c m c v M j A w M S 9 Y T U x T Y 2 h l b W E t a W 5 z d G F u Y 2 U i P j x J d G V t c z 4 8 S X R l b T 4 8 S X R l b U x v Y 2 F 0 a W 9 u P j x J d G V t V H l w Z T 5 B b G x G b 3 J t d W x h c z w v S X R l b V R 5 c G U + P E l 0 Z W 1 Q Y X R o I C 8 + P C 9 J d G V t T G 9 j Y X R p b 2 4 + P F N 0 Y W J s Z U V u d H J p Z X M + P E V u d H J 5 I F R 5 c G U 9 I l J l b G F 0 a W 9 u c 2 h p c H M i I F Z h b H V l P S J z Q U F B Q U F B P T 0 i I C 8 + P C 9 T d G F i b G V F b n R y a W V z P j w v S X R l b T 4 8 S X R l b T 4 8 S X R l b U x v Y 2 F 0 a W 9 u P j x J d G V t V H l w Z T 5 G b 3 J t d W x h P C 9 J d G V t V H l w Z T 4 8 S X R l b V B h d G g + U 2 V j d G l v b j E v d G J s Q 2 x 1 c 3 R l c l B p T j U 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T m F 2 a W d h d G l v b l N 0 Z X B O Y W 1 l I i B W Y W x 1 Z T 0 i c 0 5 h d m l n Y X R p b 2 4 i I C 8 + P E V u d H J 5 I F R 5 c G U 9 I k 5 h b W V V c G R h d G V k Q W Z 0 Z X J G a W x s I i B W Y W x 1 Z T 0 i b D A i I C 8 + P E V u d H J 5 I F R 5 c G U 9 I l J l c 3 V s d F R 5 c G U i I F Z h b H V l P S J z R X h j Z X B 0 a W 9 u I i A v P j x F b n R y e S B U e X B l P S J C d W Z m Z X J O Z X h 0 U m V m c m V z a C I g V m F s d W U 9 I m w x I i A v P j x F b n R y e S B U e X B l P S J G a W x s Z W R D b 2 1 w b G V 0 Z V J l c 3 V s d F R v V 2 9 y a 3 N o Z W V 0 I i B W Y W x 1 Z T 0 i b D E i I C 8 + P E V u d H J 5 I F R 5 c G U 9 I k F k Z G V k V G 9 E Y X R h T W 9 k Z W w i I F Z h b H V l P S J s M C I g L z 4 8 R W 5 0 c n k g V H l w Z T 0 i R m l s b E N v d W 5 0 I i B W Y W x 1 Z T 0 i b D E w N C I g L z 4 8 R W 5 0 c n k g V H l w Z T 0 i R m l s b E V y c m 9 y Q 2 9 k Z S I g V m F s d W U 9 I n N V b m t u b 3 d u I i A v P j x F b n R y e S B U e X B l P S J G a W x s R X J y b 3 J D b 3 V u d C I g V m F s d W U 9 I m w w I i A v P j x F b n R y e S B U e X B l P S J G a W x s T G F z d F V w Z G F 0 Z W Q i I F Z h b H V l P S J k M j A y M y 0 w M S 0 x O F Q x N D o x N T o y O S 4 0 M z M z M T Y y W i I g L z 4 8 R W 5 0 c n k g V H l w Z T 0 i R m l s b E N v b H V t b l R 5 c G V z I i B W Y W x 1 Z T 0 i c 0 F 3 W U d C Z 1 l E Q m d N R E F 3 T U R B d 0 F B Q U F B R E F 3 P T 0 i I C 8 + P E V u d H J 5 I F R 5 c G U 9 I k Z p b G x D b 2 x 1 b W 5 O Y W 1 l c y I g V m F s d W U 9 I n N b J n F 1 b 3 Q 7 U G l O I E l E J n F 1 b 3 Q 7 L C Z x d W 9 0 O 0 F k b W l u I D E m c X V v d D s s J n F 1 b 3 Q 7 Q W R t a W 4 g M S B Q L U N v Z G U m c X V v d D s s J n F 1 b 3 Q 7 Q W R t a W 4 g M i Z x d W 9 0 O y w m c X V v d D t B Z G 1 p b i A y I F A t Q 2 9 k Z S Z x d W 9 0 O y w m c X V v d D t Q b 3 B 1 b G F 0 a W 9 u J n F 1 b 3 Q 7 L C Z x d W 9 0 O 1 B v c H V s Y X R p b 2 4 g R 3 J v d X A m c X V v d D s s J n F 1 b 3 Q 7 Q 0 N D T S Z x d W 9 0 O y w m c X V v d D t F Z H V j Y X R p b 2 4 m c X V v d D s s J n F 1 b 3 Q 7 R m 9 v Z C B T Z W N 1 c m l 0 e S Z x d W 9 0 O y w m c X V v d D t I Z W F s d G g m c X V v d D s s J n F 1 b 3 Q 7 R W 1 l c m d l b m N 5 I F x 1 M D A y N i B M a X Z l b G l o b 2 9 k c y Z x d W 9 0 O y w m c X V v d D t P d m V y Y X J j a G l u Z y B Q c m 9 0 Z W N 0 a W 9 u J n F 1 b 3 Q 7 L C Z x d W 9 0 O 0 d C V i Z x d W 9 0 O y w m c X V v d D t D U C Z x d W 9 0 O y w m c X V v d D t I T F A m c X V v d D s s J n F 1 b 3 Q 7 T U E m c X V v d D s s J n F 1 b 3 Q 7 U 2 h l b H R l c i Z x d W 9 0 O y w m c X V v d D t X Q V N I J n F 1 b 3 Q 7 X S I g L z 4 8 R W 5 0 c n k g V H l w Z T 0 i R m l s b F N 0 Y X R 1 c y I g V m F s d W U 9 I n N D b 2 1 w b G V 0 Z S I g L z 4 8 R W 5 0 c n k g V H l w Z T 0 i U m V s Y X R p b 2 5 z a G l w S W 5 m b 0 N v b n R h a W 5 l c i I g V m F s d W U 9 I n N 7 J n F 1 b 3 Q 7 Y 2 9 s d W 1 u Q 2 9 1 b n Q m c X V v d D s 6 M T k s J n F 1 b 3 Q 7 a 2 V 5 Q 2 9 s d W 1 u T m F t Z X M m c X V v d D s 6 W 1 0 s J n F 1 b 3 Q 7 c X V l c n l S Z W x h d G l v b n N o a X B z J n F 1 b 3 Q 7 O l t d L C Z x d W 9 0 O 2 N v b H V t b k l k Z W 5 0 a X R p Z X M m c X V v d D s 6 W y Z x d W 9 0 O 1 N l Y 3 R p b 2 4 x L 3 R i b E N s d X N 0 Z X J Q a U 4 1 L 0 F 1 d G 9 S Z W 1 v d m V k Q 2 9 s d W 1 u c z E u e 1 B p T i B J R C w w f S Z x d W 9 0 O y w m c X V v d D t T Z W N 0 a W 9 u M S 9 0 Y m x D b H V z d G V y U G l O N S 9 B d X R v U m V t b 3 Z l Z E N v b H V t b n M x L n t B Z G 1 p b i A x L D F 9 J n F 1 b 3 Q 7 L C Z x d W 9 0 O 1 N l Y 3 R p b 2 4 x L 3 R i b E N s d X N 0 Z X J Q a U 4 1 L 0 F 1 d G 9 S Z W 1 v d m V k Q 2 9 s d W 1 u c z E u e 0 F k b W l u I D E g U C 1 D b 2 R l L D J 9 J n F 1 b 3 Q 7 L C Z x d W 9 0 O 1 N l Y 3 R p b 2 4 x L 3 R i b E N s d X N 0 Z X J Q a U 4 1 L 0 F 1 d G 9 S Z W 1 v d m V k Q 2 9 s d W 1 u c z E u e 0 F k b W l u I D I s M 3 0 m c X V v d D s s J n F 1 b 3 Q 7 U 2 V j d G l v b j E v d G J s Q 2 x 1 c 3 R l c l B p T j U v Q X V 0 b 1 J l b W 9 2 Z W R D b 2 x 1 b W 5 z M S 5 7 Q W R t a W 4 g M i B Q L U N v Z G U s N H 0 m c X V v d D s s J n F 1 b 3 Q 7 U 2 V j d G l v b j E v d G J s Q 2 x 1 c 3 R l c l B p T j U v Q X V 0 b 1 J l b W 9 2 Z W R D b 2 x 1 b W 5 z M S 5 7 U G 9 w d W x h d G l v b i w 1 f S Z x d W 9 0 O y w m c X V v d D t T Z W N 0 a W 9 u M S 9 0 Y m x D b H V z d G V y U G l O N S 9 B d X R v U m V t b 3 Z l Z E N v b H V t b n M x L n t Q b 3 B 1 b G F 0 a W 9 u I E d y b 3 V w L D Z 9 J n F 1 b 3 Q 7 L C Z x d W 9 0 O 1 N l Y 3 R p b 2 4 x L 3 R i b E N s d X N 0 Z X J Q a U 4 1 L 0 F 1 d G 9 S Z W 1 v d m V k Q 2 9 s d W 1 u c z E u e 0 N D Q 0 0 s N 3 0 m c X V v d D s s J n F 1 b 3 Q 7 U 2 V j d G l v b j E v d G J s Q 2 x 1 c 3 R l c l B p T j U v Q X V 0 b 1 J l b W 9 2 Z W R D b 2 x 1 b W 5 z M S 5 7 R W R 1 Y 2 F 0 a W 9 u L D h 9 J n F 1 b 3 Q 7 L C Z x d W 9 0 O 1 N l Y 3 R p b 2 4 x L 3 R i b E N s d X N 0 Z X J Q a U 4 1 L 0 F 1 d G 9 S Z W 1 v d m V k Q 2 9 s d W 1 u c z E u e 0 Z v b 2 Q g U 2 V j d X J p d H k s O X 0 m c X V v d D s s J n F 1 b 3 Q 7 U 2 V j d G l v b j E v d G J s Q 2 x 1 c 3 R l c l B p T j U v Q X V 0 b 1 J l b W 9 2 Z W R D b 2 x 1 b W 5 z M S 5 7 S G V h b H R o L D E w f S Z x d W 9 0 O y w m c X V v d D t T Z W N 0 a W 9 u M S 9 0 Y m x D b H V z d G V y U G l O N S 9 B d X R v U m V t b 3 Z l Z E N v b H V t b n M x L n t F b W V y Z 2 V u Y 3 k g X H U w M D I 2 I E x p d m V s a W h v b 2 R z L D E x f S Z x d W 9 0 O y w m c X V v d D t T Z W N 0 a W 9 u M S 9 0 Y m x D b H V z d G V y U G l O N S 9 B d X R v U m V t b 3 Z l Z E N v b H V t b n M x L n t P d m V y Y X J j a G l u Z y B Q c m 9 0 Z W N 0 a W 9 u L D E y f S Z x d W 9 0 O y w m c X V v d D t T Z W N 0 a W 9 u M S 9 0 Y m x D b H V z d G V y U G l O N S 9 B d X R v U m V t b 3 Z l Z E N v b H V t b n M x L n t H Q l Y s M T N 9 J n F 1 b 3 Q 7 L C Z x d W 9 0 O 1 N l Y 3 R p b 2 4 x L 3 R i b E N s d X N 0 Z X J Q a U 4 1 L 0 F 1 d G 9 S Z W 1 v d m V k Q 2 9 s d W 1 u c z E u e 0 N Q L D E 0 f S Z x d W 9 0 O y w m c X V v d D t T Z W N 0 a W 9 u M S 9 0 Y m x D b H V z d G V y U G l O N S 9 B d X R v U m V t b 3 Z l Z E N v b H V t b n M x L n t I T F A s M T V 9 J n F 1 b 3 Q 7 L C Z x d W 9 0 O 1 N l Y 3 R p b 2 4 x L 3 R i b E N s d X N 0 Z X J Q a U 4 1 L 0 F 1 d G 9 S Z W 1 v d m V k Q 2 9 s d W 1 u c z E u e 0 1 B L D E 2 f S Z x d W 9 0 O y w m c X V v d D t T Z W N 0 a W 9 u M S 9 0 Y m x D b H V z d G V y U G l O N S 9 B d X R v U m V t b 3 Z l Z E N v b H V t b n M x L n t T a G V s d G V y L D E 3 f S Z x d W 9 0 O y w m c X V v d D t T Z W N 0 a W 9 u M S 9 0 Y m x D b H V z d G V y U G l O N S 9 B d X R v U m V t b 3 Z l Z E N v b H V t b n M x L n t X Q V N I L D E 4 f S Z x d W 9 0 O 1 0 s J n F 1 b 3 Q 7 Q 2 9 s d W 1 u Q 2 9 1 b n Q m c X V v d D s 6 M T k s J n F 1 b 3 Q 7 S 2 V 5 Q 2 9 s d W 1 u T m F t Z X M m c X V v d D s 6 W 1 0 s J n F 1 b 3 Q 7 Q 2 9 s d W 1 u S W R l b n R p d G l l c y Z x d W 9 0 O z p b J n F 1 b 3 Q 7 U 2 V j d G l v b j E v d G J s Q 2 x 1 c 3 R l c l B p T j U v Q X V 0 b 1 J l b W 9 2 Z W R D b 2 x 1 b W 5 z M S 5 7 U G l O I E l E L D B 9 J n F 1 b 3 Q 7 L C Z x d W 9 0 O 1 N l Y 3 R p b 2 4 x L 3 R i b E N s d X N 0 Z X J Q a U 4 1 L 0 F 1 d G 9 S Z W 1 v d m V k Q 2 9 s d W 1 u c z E u e 0 F k b W l u I D E s M X 0 m c X V v d D s s J n F 1 b 3 Q 7 U 2 V j d G l v b j E v d G J s Q 2 x 1 c 3 R l c l B p T j U v Q X V 0 b 1 J l b W 9 2 Z W R D b 2 x 1 b W 5 z M S 5 7 Q W R t a W 4 g M S B Q L U N v Z G U s M n 0 m c X V v d D s s J n F 1 b 3 Q 7 U 2 V j d G l v b j E v d G J s Q 2 x 1 c 3 R l c l B p T j U v Q X V 0 b 1 J l b W 9 2 Z W R D b 2 x 1 b W 5 z M S 5 7 Q W R t a W 4 g M i w z f S Z x d W 9 0 O y w m c X V v d D t T Z W N 0 a W 9 u M S 9 0 Y m x D b H V z d G V y U G l O N S 9 B d X R v U m V t b 3 Z l Z E N v b H V t b n M x L n t B Z G 1 p b i A y I F A t Q 2 9 k Z S w 0 f S Z x d W 9 0 O y w m c X V v d D t T Z W N 0 a W 9 u M S 9 0 Y m x D b H V z d G V y U G l O N S 9 B d X R v U m V t b 3 Z l Z E N v b H V t b n M x L n t Q b 3 B 1 b G F 0 a W 9 u L D V 9 J n F 1 b 3 Q 7 L C Z x d W 9 0 O 1 N l Y 3 R p b 2 4 x L 3 R i b E N s d X N 0 Z X J Q a U 4 1 L 0 F 1 d G 9 S Z W 1 v d m V k Q 2 9 s d W 1 u c z E u e 1 B v c H V s Y X R p b 2 4 g R 3 J v d X A s N n 0 m c X V v d D s s J n F 1 b 3 Q 7 U 2 V j d G l v b j E v d G J s Q 2 x 1 c 3 R l c l B p T j U v Q X V 0 b 1 J l b W 9 2 Z W R D b 2 x 1 b W 5 z M S 5 7 Q 0 N D T S w 3 f S Z x d W 9 0 O y w m c X V v d D t T Z W N 0 a W 9 u M S 9 0 Y m x D b H V z d G V y U G l O N S 9 B d X R v U m V t b 3 Z l Z E N v b H V t b n M x L n t F Z H V j Y X R p b 2 4 s O H 0 m c X V v d D s s J n F 1 b 3 Q 7 U 2 V j d G l v b j E v d G J s Q 2 x 1 c 3 R l c l B p T j U v Q X V 0 b 1 J l b W 9 2 Z W R D b 2 x 1 b W 5 z M S 5 7 R m 9 v Z C B T Z W N 1 c m l 0 e S w 5 f S Z x d W 9 0 O y w m c X V v d D t T Z W N 0 a W 9 u M S 9 0 Y m x D b H V z d G V y U G l O N S 9 B d X R v U m V t b 3 Z l Z E N v b H V t b n M x L n t I Z W F s d G g s M T B 9 J n F 1 b 3 Q 7 L C Z x d W 9 0 O 1 N l Y 3 R p b 2 4 x L 3 R i b E N s d X N 0 Z X J Q a U 4 1 L 0 F 1 d G 9 S Z W 1 v d m V k Q 2 9 s d W 1 u c z E u e 0 V t Z X J n Z W 5 j e S B c d T A w M j Y g T G l 2 Z W x p a G 9 v Z H M s M T F 9 J n F 1 b 3 Q 7 L C Z x d W 9 0 O 1 N l Y 3 R p b 2 4 x L 3 R i b E N s d X N 0 Z X J Q a U 4 1 L 0 F 1 d G 9 S Z W 1 v d m V k Q 2 9 s d W 1 u c z E u e 0 9 2 Z X J h c m N o a W 5 n I F B y b 3 R l Y 3 R p b 2 4 s M T J 9 J n F 1 b 3 Q 7 L C Z x d W 9 0 O 1 N l Y 3 R p b 2 4 x L 3 R i b E N s d X N 0 Z X J Q a U 4 1 L 0 F 1 d G 9 S Z W 1 v d m V k Q 2 9 s d W 1 u c z E u e 0 d C V i w x M 3 0 m c X V v d D s s J n F 1 b 3 Q 7 U 2 V j d G l v b j E v d G J s Q 2 x 1 c 3 R l c l B p T j U v Q X V 0 b 1 J l b W 9 2 Z W R D b 2 x 1 b W 5 z M S 5 7 Q 1 A s M T R 9 J n F 1 b 3 Q 7 L C Z x d W 9 0 O 1 N l Y 3 R p b 2 4 x L 3 R i b E N s d X N 0 Z X J Q a U 4 1 L 0 F 1 d G 9 S Z W 1 v d m V k Q 2 9 s d W 1 u c z E u e 0 h M U C w x N X 0 m c X V v d D s s J n F 1 b 3 Q 7 U 2 V j d G l v b j E v d G J s Q 2 x 1 c 3 R l c l B p T j U v Q X V 0 b 1 J l b W 9 2 Z W R D b 2 x 1 b W 5 z M S 5 7 T U E s M T Z 9 J n F 1 b 3 Q 7 L C Z x d W 9 0 O 1 N l Y 3 R p b 2 4 x L 3 R i b E N s d X N 0 Z X J Q a U 4 1 L 0 F 1 d G 9 S Z W 1 v d m V k Q 2 9 s d W 1 u c z E u e 1 N o Z W x 0 Z X I s M T d 9 J n F 1 b 3 Q 7 L C Z x d W 9 0 O 1 N l Y 3 R p b 2 4 x L 3 R i b E N s d X N 0 Z X J Q a U 4 1 L 0 F 1 d G 9 S Z W 1 v d m V k Q 2 9 s d W 1 u c z E u e 1 d B U 0 g s M T h 9 J n F 1 b 3 Q 7 X S w m c X V v d D t S Z W x h d G l v b n N o a X B J b m Z v J n F 1 b 3 Q 7 O l t d f S I g L z 4 8 L 1 N 0 Y W J s Z U V u d H J p Z X M + P C 9 J d G V t P j x J d G V t P j x J d G V t T G 9 j Y X R p b 2 4 + P E l 0 Z W 1 U e X B l P k Z v c m 1 1 b G E 8 L 0 l 0 Z W 1 U e X B l P j x J d G V t U G F 0 a D 5 T Z W N 0 a W 9 u M S 9 0 Y m x D b H V z d G V y U G l O N S 9 T b 3 V y Y 2 U 8 L 0 l 0 Z W 1 Q Y X R o P j w v S X R l b U x v Y 2 F 0 a W 9 u P j x T d G F i b G V F b n R y a W V z I C 8 + P C 9 J d G V t P j x J d G V t P j x J d G V t T G 9 j Y X R p b 2 4 + P E l 0 Z W 1 U e X B l P k Z v c m 1 1 b G E 8 L 0 l 0 Z W 1 U e X B l P j x J d G V t U G F 0 a D 5 T Z W N 0 a W 9 u M S 9 0 Y m x D b H V z d G V y U G l O N S 9 D a G F u Z 2 V k J T I w V H l w Z T w v S X R l b V B h d G g + P C 9 J d G V t T G 9 j Y X R p b 2 4 + P F N 0 Y W J s Z U V u d H J p Z X M g L z 4 8 L 0 l 0 Z W 0 + P E l 0 Z W 0 + P E l 0 Z W 1 M b 2 N h d G l v b j 4 8 S X R l b V R 5 c G U + R m 9 y b X V s Y T w v S X R l b V R 5 c G U + P E l 0 Z W 1 Q Y X R o P l N l Y 3 R p b 2 4 x L 3 R i b E N s d X N 0 Z X J Q a U 4 1 L 0 N o Y W 5 n Z W Q l M j B U e X B l M T w v S X R l b V B h d G g + P C 9 J d G V t T G 9 j Y X R p b 2 4 + P F N 0 Y W J s Z U V u d H J p Z X M g L z 4 8 L 0 l 0 Z W 0 + P C 9 J d G V t c z 4 8 L 0 x v Y 2 F s U G F j a 2 F n Z U 1 l d G F k Y X R h R m l s Z T 4 W A A A A U E s F B g A A A A A A A A A A A A A A A A A A A A A A A C Y B A A A B A A A A 0 I y d 3 w E V 0 R G M e g D A T 8 K X 6 w E A A A A k + w a l w M I U R L F U j T e + 7 w b h A A A A A A I A A A A A A B B m A A A A A Q A A I A A A A D b L 0 I 6 T n Q A 0 7 b Y m B v F p P t j L / 6 U Z 2 B U a U C + 3 r t E 1 K J 3 J A A A A A A 6 A A A A A A g A A I A A A A D F Z + X K J x B P C 8 Y s L 8 a r 3 I c H A p x o T i x 2 + e d T t X v 5 M i a Y 1 U A A A A J k e T b 3 C 6 i 0 J i s F J o 0 i o h n I H i y E z d j Q Q D q 7 V I B j 8 S d W t Q a M 0 N F x B G j Q N S j o X C f F 2 H H I M p G s s F c m L J A F w m q x e 6 K a g P w x S g u a a 1 I 3 7 g L + I d N J a Q A A A A D K J Y E + 2 I W J / I N H Y 0 e E b O 3 P L J E Q U a g R L 0 2 E h u q N p w j 5 Y q H K S d f N m D b w Y Q I f y u f J C S A 7 k F a A n n z U M Z G x 5 P Z Q O M j A = < / D a t a M a s h u p > 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eb4227c6-2611-435d-8858-021be0fb62a5" xsi:nil="true"/>
    <lcf76f155ced4ddcb4097134ff3c332f xmlns="95d4bb91-23c8-4156-aa9a-0bdbd6f27c39">
      <Terms xmlns="http://schemas.microsoft.com/office/infopath/2007/PartnerControls"/>
    </lcf76f155ced4ddcb4097134ff3c332f>
    <SharedWithUsers xmlns="eb4227c6-2611-435d-8858-021be0fb62a5">
      <UserInfo>
        <DisplayName/>
        <AccountId xsi:nil="true"/>
        <AccountType/>
      </UserInfo>
    </SharedWithUsers>
    <MediaLengthInSeconds xmlns="95d4bb91-23c8-4156-aa9a-0bdbd6f27c39" xsi:nil="true"/>
  </documentManagement>
</p:properties>
</file>

<file path=customXml/item4.xml><?xml version="1.0" encoding="utf-8"?>
<ct:contentTypeSchema xmlns:ct="http://schemas.microsoft.com/office/2006/metadata/contentType" xmlns:ma="http://schemas.microsoft.com/office/2006/metadata/properties/metaAttributes" ct:_="" ma:_="" ma:contentTypeName="Document" ma:contentTypeID="0x010100E35A04E84A262440A8D0D12A4F2865C3" ma:contentTypeVersion="22" ma:contentTypeDescription="Create a new document." ma:contentTypeScope="" ma:versionID="3c0fdb1eee4956830757f63b5384eb54">
  <xsd:schema xmlns:xsd="http://www.w3.org/2001/XMLSchema" xmlns:xs="http://www.w3.org/2001/XMLSchema" xmlns:p="http://schemas.microsoft.com/office/2006/metadata/properties" xmlns:ns2="95d4bb91-23c8-4156-aa9a-0bdbd6f27c39" xmlns:ns3="eb4227c6-2611-435d-8858-021be0fb62a5" targetNamespace="http://schemas.microsoft.com/office/2006/metadata/properties" ma:root="true" ma:fieldsID="6c1d151375d02a3062a1171b5bb88ee3" ns2:_="" ns3:_="">
    <xsd:import namespace="95d4bb91-23c8-4156-aa9a-0bdbd6f27c39"/>
    <xsd:import namespace="eb4227c6-2611-435d-8858-021be0fb62a5"/>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GenerationTime" minOccurs="0"/>
                <xsd:element ref="ns2:MediaServiceEventHashCode" minOccurs="0"/>
                <xsd:element ref="ns2:MediaServiceOCR" minOccurs="0"/>
                <xsd:element ref="ns2:MediaServiceLocation" minOccurs="0"/>
                <xsd:element ref="ns3:SharedWithUsers" minOccurs="0"/>
                <xsd:element ref="ns3:SharedWithDetails" minOccurs="0"/>
                <xsd:element ref="ns2:MediaLengthInSeconds" minOccurs="0"/>
                <xsd:element ref="ns3:TaxCatchAll" minOccurs="0"/>
                <xsd:element ref="ns2:lcf76f155ced4ddcb4097134ff3c332f"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5d4bb91-23c8-4156-aa9a-0bdbd6f27c3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Location" ma:index="17" nillable="true" ma:displayName="Location" ma:internalName="MediaServiceLocatio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lcf76f155ced4ddcb4097134ff3c332f" ma:index="23" nillable="true" ma:taxonomy="true" ma:internalName="lcf76f155ced4ddcb4097134ff3c332f" ma:taxonomyFieldName="MediaServiceImageTags" ma:displayName="Image Tags" ma:readOnly="false" ma:fieldId="{5cf76f15-5ced-4ddc-b409-7134ff3c332f}" ma:taxonomyMulti="true" ma:sspId="f5f3f4cc-79b9-4d17-b8fa-dd7577b1fbe8"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eb4227c6-2611-435d-8858-021be0fb62a5"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TaxCatchAll" ma:index="21" nillable="true" ma:displayName="Taxonomy Catch All Column" ma:hidden="true" ma:list="{044d518e-b721-47d3-a29f-4a6bdc05903a}" ma:internalName="TaxCatchAll" ma:showField="CatchAllData" ma:web="eb4227c6-2611-435d-8858-021be0fb62a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9BA3362-B553-4C18-82A9-9E38B32353F9}">
  <ds:schemaRefs>
    <ds:schemaRef ds:uri="http://schemas.microsoft.com/DataMashup"/>
  </ds:schemaRefs>
</ds:datastoreItem>
</file>

<file path=customXml/itemProps2.xml><?xml version="1.0" encoding="utf-8"?>
<ds:datastoreItem xmlns:ds="http://schemas.openxmlformats.org/officeDocument/2006/customXml" ds:itemID="{D2773FCC-826E-4CAD-9139-51980A25E697}">
  <ds:schemaRefs>
    <ds:schemaRef ds:uri="http://schemas.microsoft.com/sharepoint/v3/contenttype/forms"/>
  </ds:schemaRefs>
</ds:datastoreItem>
</file>

<file path=customXml/itemProps3.xml><?xml version="1.0" encoding="utf-8"?>
<ds:datastoreItem xmlns:ds="http://schemas.openxmlformats.org/officeDocument/2006/customXml" ds:itemID="{4DB33FB5-1F5A-4D1B-85FB-9C0BE1535D94}">
  <ds:schemaRefs>
    <ds:schemaRef ds:uri="54319f82-ed47-4ad7-8494-e45e7b8a4807"/>
    <ds:schemaRef ds:uri="http://purl.org/dc/elements/1.1/"/>
    <ds:schemaRef ds:uri="http://purl.org/dc/dcmitype/"/>
    <ds:schemaRef ds:uri="http://schemas.microsoft.com/office/infopath/2007/PartnerControls"/>
    <ds:schemaRef ds:uri="http://schemas.openxmlformats.org/package/2006/metadata/core-properties"/>
    <ds:schemaRef ds:uri="http://purl.org/dc/terms/"/>
    <ds:schemaRef ds:uri="985ec44e-1bab-4c0b-9df0-6ba128686fc9"/>
    <ds:schemaRef ds:uri="http://schemas.microsoft.com/office/2006/documentManagement/types"/>
    <ds:schemaRef ds:uri="9d8aa39c-44a2-42fc-8e18-f7d519ded37b"/>
    <ds:schemaRef ds:uri="http://schemas.microsoft.com/office/2006/metadata/properties"/>
    <ds:schemaRef ds:uri="http://www.w3.org/XML/1998/namespace"/>
    <ds:schemaRef ds:uri="eb4227c6-2611-435d-8858-021be0fb62a5"/>
    <ds:schemaRef ds:uri="95d4bb91-23c8-4156-aa9a-0bdbd6f27c39"/>
  </ds:schemaRefs>
</ds:datastoreItem>
</file>

<file path=customXml/itemProps4.xml><?xml version="1.0" encoding="utf-8"?>
<ds:datastoreItem xmlns:ds="http://schemas.openxmlformats.org/officeDocument/2006/customXml" ds:itemID="{9AF4252D-9AD6-4BBC-B5EF-29907202484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5d4bb91-23c8-4156-aa9a-0bdbd6f27c39"/>
    <ds:schemaRef ds:uri="eb4227c6-2611-435d-8858-021be0fb62a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19</vt:i4>
      </vt:variant>
      <vt:variant>
        <vt:lpstr>Named Ranges</vt:lpstr>
      </vt:variant>
      <vt:variant>
        <vt:i4>7</vt:i4>
      </vt:variant>
    </vt:vector>
  </HeadingPairs>
  <TitlesOfParts>
    <vt:vector size="26" baseType="lpstr">
      <vt:lpstr>Thresholds</vt:lpstr>
      <vt:lpstr>Contributing_Factor_Indicators</vt:lpstr>
      <vt:lpstr>Sheet3</vt:lpstr>
      <vt:lpstr>PiN by cluster</vt:lpstr>
      <vt:lpstr>Sheet4</vt:lpstr>
      <vt:lpstr>Cluster PIN</vt:lpstr>
      <vt:lpstr>Overall severity &amp; PIN Analysis</vt:lpstr>
      <vt:lpstr>SADD PIN</vt:lpstr>
      <vt:lpstr>Sheet2</vt:lpstr>
      <vt:lpstr>Sheet1</vt:lpstr>
      <vt:lpstr>Sheet5</vt:lpstr>
      <vt:lpstr>High pin</vt:lpstr>
      <vt:lpstr>Analysis</vt:lpstr>
      <vt:lpstr>PIN2025</vt:lpstr>
      <vt:lpstr>PiN Historical Trend</vt:lpstr>
      <vt:lpstr>Cluster Severity</vt:lpstr>
      <vt:lpstr>Sheet6</vt:lpstr>
      <vt:lpstr>Reference Table Indicators</vt:lpstr>
      <vt:lpstr>Summary</vt:lpstr>
      <vt:lpstr>flag_pin_historical</vt:lpstr>
      <vt:lpstr>flag_pin_perc</vt:lpstr>
      <vt:lpstr>perc_1st_2nd</vt:lpstr>
      <vt:lpstr>perc_1st_3rd</vt:lpstr>
      <vt:lpstr>sectors_sev_4</vt:lpstr>
      <vt:lpstr>sectors_sev_5</vt:lpstr>
      <vt:lpstr>zero_pin_thresh</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Muhammad Kashif NADEEM</dc:creator>
  <cp:keywords/>
  <dc:description/>
  <cp:lastModifiedBy>Kadjo Modeste Kouassi</cp:lastModifiedBy>
  <cp:revision/>
  <dcterms:created xsi:type="dcterms:W3CDTF">2021-12-15T14:13:54Z</dcterms:created>
  <dcterms:modified xsi:type="dcterms:W3CDTF">2024-12-16T09:14:46Z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0x010100C9520ABD1F0C954DB69FA176BCC1C37C</vt:lpwstr>
  </property>
  <property fmtid="{D5CDD505-2E9C-101B-9397-08002B2CF9AE}" pid="3" name="Order">
    <vt:r8>138800</vt:r8>
  </property>
  <property fmtid="{D5CDD505-2E9C-101B-9397-08002B2CF9AE}" pid="4" name="xd_Signature">
    <vt:bool>false</vt:bool>
  </property>
  <property fmtid="{D5CDD505-2E9C-101B-9397-08002B2CF9AE}" pid="5" name="xd_ProgID">
    <vt:lpwstr/>
  </property>
  <property fmtid="{D5CDD505-2E9C-101B-9397-08002B2CF9AE}" pid="6" name="ComplianceAssetId">
    <vt:lpwstr/>
  </property>
  <property fmtid="{D5CDD505-2E9C-101B-9397-08002B2CF9AE}" pid="7" name="TemplateUrl">
    <vt:lpwstr/>
  </property>
  <property fmtid="{D5CDD505-2E9C-101B-9397-08002B2CF9AE}" pid="8" name="_ExtendedDescription">
    <vt:lpwstr/>
  </property>
  <property fmtid="{D5CDD505-2E9C-101B-9397-08002B2CF9AE}" pid="9" name="TriggerFlowInfo">
    <vt:lpwstr/>
  </property>
  <property fmtid="{D5CDD505-2E9C-101B-9397-08002B2CF9AE}" pid="10" name="MediaServiceImageTags">
    <vt:lpwstr/>
  </property>
  <property fmtid="{D5CDD505-2E9C-101B-9397-08002B2CF9AE}" pid="11" name="MSIP_Label_2059aa38-f392-4105-be92-628035578272_Enabled">
    <vt:lpwstr>true</vt:lpwstr>
  </property>
  <property fmtid="{D5CDD505-2E9C-101B-9397-08002B2CF9AE}" pid="12" name="MSIP_Label_2059aa38-f392-4105-be92-628035578272_SetDate">
    <vt:lpwstr>2023-06-22T08:58:42Z</vt:lpwstr>
  </property>
  <property fmtid="{D5CDD505-2E9C-101B-9397-08002B2CF9AE}" pid="13" name="MSIP_Label_2059aa38-f392-4105-be92-628035578272_Method">
    <vt:lpwstr>Standard</vt:lpwstr>
  </property>
  <property fmtid="{D5CDD505-2E9C-101B-9397-08002B2CF9AE}" pid="14" name="MSIP_Label_2059aa38-f392-4105-be92-628035578272_Name">
    <vt:lpwstr>IOMLb0020IN123173</vt:lpwstr>
  </property>
  <property fmtid="{D5CDD505-2E9C-101B-9397-08002B2CF9AE}" pid="15" name="MSIP_Label_2059aa38-f392-4105-be92-628035578272_SiteId">
    <vt:lpwstr>1588262d-23fb-43b4-bd6e-bce49c8e6186</vt:lpwstr>
  </property>
  <property fmtid="{D5CDD505-2E9C-101B-9397-08002B2CF9AE}" pid="16" name="MSIP_Label_2059aa38-f392-4105-be92-628035578272_ActionId">
    <vt:lpwstr>2ff094ab-fe3d-4829-bf14-8209364b3908</vt:lpwstr>
  </property>
  <property fmtid="{D5CDD505-2E9C-101B-9397-08002B2CF9AE}" pid="17" name="MSIP_Label_2059aa38-f392-4105-be92-628035578272_ContentBits">
    <vt:lpwstr>0</vt:lpwstr>
  </property>
</Properties>
</file>